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/>
  <mc:AlternateContent xmlns:mc="http://schemas.openxmlformats.org/markup-compatibility/2006">
    <mc:Choice Requires="x15">
      <x15ac:absPath xmlns:x15ac="http://schemas.microsoft.com/office/spreadsheetml/2010/11/ac" url="Z:\_Data pps.iainjbr@gmail.com\___SIMPASCA 2021\"/>
    </mc:Choice>
  </mc:AlternateContent>
  <xr:revisionPtr revIDLastSave="0" documentId="13_ncr:1_{6301046D-399B-42C8-9FBF-684BBD342DF0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Rekap SPP" sheetId="2" r:id="rId1"/>
    <sheet name="Tgl Lulus" sheetId="14" r:id="rId2"/>
    <sheet name="Surat Tagih" sheetId="17" r:id="rId3"/>
    <sheet name="Hitung Per Prodi" sheetId="7" r:id="rId4"/>
    <sheet name="DB Wisuda" sheetId="11" r:id="rId5"/>
    <sheet name="Slip-S3" sheetId="16" r:id="rId6"/>
    <sheet name="Slip-S2" sheetId="1" r:id="rId7"/>
    <sheet name="Surat S3" sheetId="19" r:id="rId8"/>
    <sheet name="PMB" sheetId="9" r:id="rId9"/>
    <sheet name="Sheet1" sheetId="15" r:id="rId10"/>
    <sheet name="Sheet2" sheetId="20" r:id="rId11"/>
  </sheets>
  <externalReferences>
    <externalReference r:id="rId12"/>
    <externalReference r:id="rId13"/>
  </externalReferences>
  <definedNames>
    <definedName name="_xlnm._FilterDatabase" localSheetId="0" hidden="1">'Rekap SPP'!$A$1:$BB$602</definedName>
    <definedName name="_xlnm._FilterDatabase" localSheetId="1" hidden="1">'Tgl Lulus'!$A$1:$F$447</definedName>
    <definedName name="BSP">Sheet1!$A$1:$F$1300</definedName>
    <definedName name="DB">'Rekap SPP'!$A$5:$BB$3387</definedName>
    <definedName name="DBP">[1]DB!$A$3:$L$27</definedName>
    <definedName name="DNIMP">'Rekap SPP'!$C$5:$BB$3387</definedName>
    <definedName name="Kbyr">[2]Epay!$K$4:$M$26</definedName>
    <definedName name="KP">[2]Epay!$O$4:$P$12</definedName>
    <definedName name="_xlnm.Print_Area" localSheetId="6">'Slip-S2'!$A$2:$G$26</definedName>
    <definedName name="_xlnm.Print_Area" localSheetId="5">'Slip-S3'!$A$2:$H$45</definedName>
    <definedName name="_xlnm.Print_Area" localSheetId="7">'Surat S3'!$A$1:$H$62</definedName>
    <definedName name="_xlnm.Print_Area" localSheetId="2">'Surat Tagih'!$A$1:$H$55</definedName>
    <definedName name="_xlnm.Print_Titles" localSheetId="0">'Rekap SPP'!$2:$4</definedName>
    <definedName name="Tlus">'Tgl Lulus'!$B$2:$F$582</definedName>
    <definedName name="Wis">'DB Wisuda'!$B$2:$E$1097</definedName>
  </definedNames>
  <calcPr calcId="181029"/>
</workbook>
</file>

<file path=xl/calcChain.xml><?xml version="1.0" encoding="utf-8"?>
<calcChain xmlns="http://schemas.openxmlformats.org/spreadsheetml/2006/main">
  <c r="I2035" i="20" l="1"/>
  <c r="H2035" i="20"/>
  <c r="I2007" i="20"/>
  <c r="H2007" i="20"/>
  <c r="I1983" i="20"/>
  <c r="H1983" i="20"/>
  <c r="I1970" i="20"/>
  <c r="H1970" i="20"/>
  <c r="I1951" i="20"/>
  <c r="H1951" i="20"/>
  <c r="I1937" i="20"/>
  <c r="H1937" i="20"/>
  <c r="I1901" i="20"/>
  <c r="H1901" i="20"/>
  <c r="I1858" i="20"/>
  <c r="H1858" i="20"/>
  <c r="I1779" i="20"/>
  <c r="H1779" i="20"/>
  <c r="I1776" i="20"/>
  <c r="H1776" i="20"/>
  <c r="I1775" i="20"/>
  <c r="H1775" i="20"/>
  <c r="I1774" i="20"/>
  <c r="H1774" i="20"/>
  <c r="I1773" i="20"/>
  <c r="H1773" i="20"/>
  <c r="H1772" i="20"/>
  <c r="H1771" i="20"/>
  <c r="I1770" i="20"/>
  <c r="H1770" i="20"/>
  <c r="I1769" i="20"/>
  <c r="H1769" i="20"/>
  <c r="I1768" i="20"/>
  <c r="H1768" i="20"/>
  <c r="I1767" i="20"/>
  <c r="H1767" i="20"/>
  <c r="I1766" i="20"/>
  <c r="H1766" i="20"/>
  <c r="I1765" i="20"/>
  <c r="H1765" i="20"/>
  <c r="I1764" i="20"/>
  <c r="H1764" i="20"/>
  <c r="I1763" i="20"/>
  <c r="H1763" i="20"/>
  <c r="I1762" i="20"/>
  <c r="H1762" i="20"/>
  <c r="I1761" i="20"/>
  <c r="H1761" i="20"/>
  <c r="I1760" i="20"/>
  <c r="H1760" i="20"/>
  <c r="I1759" i="20"/>
  <c r="H1759" i="20"/>
  <c r="I1758" i="20"/>
  <c r="H1758" i="20"/>
  <c r="I1757" i="20"/>
  <c r="H1757" i="20"/>
  <c r="I1756" i="20"/>
  <c r="H1756" i="20"/>
  <c r="I1755" i="20"/>
  <c r="H1755" i="20"/>
  <c r="I1754" i="20"/>
  <c r="H1754" i="20"/>
  <c r="I1753" i="20"/>
  <c r="H1753" i="20"/>
  <c r="I1752" i="20"/>
  <c r="H1752" i="20"/>
  <c r="I1751" i="20"/>
  <c r="H1751" i="20"/>
  <c r="I1750" i="20"/>
  <c r="H1750" i="20"/>
  <c r="I1749" i="20"/>
  <c r="H1749" i="20"/>
  <c r="I1748" i="20"/>
  <c r="H1748" i="20"/>
  <c r="I1747" i="20"/>
  <c r="H1747" i="20"/>
  <c r="I1746" i="20"/>
  <c r="H1746" i="20"/>
  <c r="I1745" i="20"/>
  <c r="H1745" i="20"/>
  <c r="I1744" i="20"/>
  <c r="H1744" i="20"/>
  <c r="I1743" i="20"/>
  <c r="H1743" i="20"/>
  <c r="I1742" i="20"/>
  <c r="H1742" i="20"/>
  <c r="I1741" i="20"/>
  <c r="H1741" i="20"/>
  <c r="I1740" i="20"/>
  <c r="H1740" i="20"/>
  <c r="I1739" i="20"/>
  <c r="H1739" i="20"/>
  <c r="I1738" i="20"/>
  <c r="H1738" i="20"/>
  <c r="I1737" i="20"/>
  <c r="H1737" i="20"/>
  <c r="I1736" i="20"/>
  <c r="H1736" i="20"/>
  <c r="I1735" i="20"/>
  <c r="H1735" i="20"/>
  <c r="I1734" i="20"/>
  <c r="H1734" i="20"/>
  <c r="I1733" i="20"/>
  <c r="H1733" i="20"/>
  <c r="I1732" i="20"/>
  <c r="H1732" i="20"/>
  <c r="I1731" i="20"/>
  <c r="H1731" i="20"/>
  <c r="I1730" i="20"/>
  <c r="H1730" i="20"/>
  <c r="I1729" i="20"/>
  <c r="H1729" i="20"/>
  <c r="I1728" i="20"/>
  <c r="H1728" i="20"/>
  <c r="I1727" i="20"/>
  <c r="H1727" i="20"/>
  <c r="I1726" i="20"/>
  <c r="H1726" i="20"/>
  <c r="I1725" i="20"/>
  <c r="H1725" i="20"/>
  <c r="I1724" i="20"/>
  <c r="H1724" i="20"/>
  <c r="I1723" i="20"/>
  <c r="H1723" i="20"/>
  <c r="I1722" i="20"/>
  <c r="H1722" i="20"/>
  <c r="I1721" i="20"/>
  <c r="H1721" i="20"/>
  <c r="I1720" i="20"/>
  <c r="H1720" i="20"/>
  <c r="I1719" i="20"/>
  <c r="H1719" i="20"/>
  <c r="I1718" i="20"/>
  <c r="H1718" i="20"/>
  <c r="I1717" i="20"/>
  <c r="H1717" i="20"/>
  <c r="I1716" i="20"/>
  <c r="H1716" i="20"/>
  <c r="I1715" i="20"/>
  <c r="H1715" i="20"/>
  <c r="I1714" i="20"/>
  <c r="H1714" i="20"/>
  <c r="I1713" i="20"/>
  <c r="H1713" i="20"/>
  <c r="I1712" i="20"/>
  <c r="H1712" i="20"/>
  <c r="I1711" i="20"/>
  <c r="H1711" i="20"/>
  <c r="I1710" i="20"/>
  <c r="H1710" i="20"/>
  <c r="I1709" i="20"/>
  <c r="H1709" i="20"/>
  <c r="I1708" i="20"/>
  <c r="H1708" i="20"/>
  <c r="I1707" i="20"/>
  <c r="H1707" i="20"/>
  <c r="I1706" i="20"/>
  <c r="H1706" i="20"/>
  <c r="I1705" i="20"/>
  <c r="H1705" i="20"/>
  <c r="I1704" i="20"/>
  <c r="H1704" i="20"/>
  <c r="I1703" i="20"/>
  <c r="H1703" i="20"/>
  <c r="I1702" i="20"/>
  <c r="H1702" i="20"/>
  <c r="I1701" i="20"/>
  <c r="H1701" i="20"/>
  <c r="I1700" i="20"/>
  <c r="H1700" i="20"/>
  <c r="I1699" i="20"/>
  <c r="H1699" i="20"/>
  <c r="I1698" i="20"/>
  <c r="H1698" i="20"/>
  <c r="I1697" i="20"/>
  <c r="H1697" i="20"/>
  <c r="I1696" i="20"/>
  <c r="H1696" i="20"/>
  <c r="I1695" i="20"/>
  <c r="H1695" i="20"/>
  <c r="I1694" i="20"/>
  <c r="H1694" i="20"/>
  <c r="I1693" i="20"/>
  <c r="H1693" i="20"/>
  <c r="I1692" i="20"/>
  <c r="H1692" i="20"/>
  <c r="I1691" i="20"/>
  <c r="H1691" i="20"/>
  <c r="I1690" i="20"/>
  <c r="H1690" i="20"/>
  <c r="I1689" i="20"/>
  <c r="H1689" i="20"/>
  <c r="I1688" i="20"/>
  <c r="H1688" i="20"/>
  <c r="I1687" i="20"/>
  <c r="H1687" i="20"/>
  <c r="I1686" i="20"/>
  <c r="H1686" i="20"/>
  <c r="I1685" i="20"/>
  <c r="H1685" i="20"/>
  <c r="I1684" i="20"/>
  <c r="H1684" i="20"/>
  <c r="I1683" i="20"/>
  <c r="H1683" i="20"/>
  <c r="I1682" i="20"/>
  <c r="H1682" i="20"/>
  <c r="I1681" i="20"/>
  <c r="H1681" i="20"/>
  <c r="I1680" i="20"/>
  <c r="H1680" i="20"/>
  <c r="I1679" i="20"/>
  <c r="H1679" i="20"/>
  <c r="I1678" i="20"/>
  <c r="H1678" i="20"/>
  <c r="I1677" i="20"/>
  <c r="H1677" i="20"/>
  <c r="I1676" i="20"/>
  <c r="H1676" i="20"/>
  <c r="I1675" i="20"/>
  <c r="H1675" i="20"/>
  <c r="I1674" i="20"/>
  <c r="H1674" i="20"/>
  <c r="I1673" i="20"/>
  <c r="H1673" i="20"/>
  <c r="I1672" i="20"/>
  <c r="H1672" i="20"/>
  <c r="I1671" i="20"/>
  <c r="H1671" i="20"/>
  <c r="I1670" i="20"/>
  <c r="H1670" i="20"/>
  <c r="I1669" i="20"/>
  <c r="H1669" i="20"/>
  <c r="I1668" i="20"/>
  <c r="H1668" i="20"/>
  <c r="I1667" i="20"/>
  <c r="H1667" i="20"/>
  <c r="I1666" i="20"/>
  <c r="H1666" i="20"/>
  <c r="I1665" i="20"/>
  <c r="H1665" i="20"/>
  <c r="I1664" i="20"/>
  <c r="H1664" i="20"/>
  <c r="I1663" i="20"/>
  <c r="H1663" i="20"/>
  <c r="I1662" i="20"/>
  <c r="H1662" i="20"/>
  <c r="I1661" i="20"/>
  <c r="H1661" i="20"/>
  <c r="I1660" i="20"/>
  <c r="H1660" i="20"/>
  <c r="I1659" i="20"/>
  <c r="H1659" i="20"/>
  <c r="I1658" i="20"/>
  <c r="H1658" i="20"/>
  <c r="I1657" i="20"/>
  <c r="H1657" i="20"/>
  <c r="I1656" i="20"/>
  <c r="H1656" i="20"/>
  <c r="I1655" i="20"/>
  <c r="H1655" i="20"/>
  <c r="I1654" i="20"/>
  <c r="H1654" i="20"/>
  <c r="I1653" i="20"/>
  <c r="H1653" i="20"/>
  <c r="I1652" i="20"/>
  <c r="H1652" i="20"/>
  <c r="I1651" i="20"/>
  <c r="H1651" i="20"/>
  <c r="I1650" i="20"/>
  <c r="H1650" i="20"/>
  <c r="I1649" i="20"/>
  <c r="H1649" i="20"/>
  <c r="I1648" i="20"/>
  <c r="H1648" i="20"/>
  <c r="I1647" i="20"/>
  <c r="H1647" i="20"/>
  <c r="I1646" i="20"/>
  <c r="H1646" i="20"/>
  <c r="I1645" i="20"/>
  <c r="H1645" i="20"/>
  <c r="I1644" i="20"/>
  <c r="H1644" i="20"/>
  <c r="I1643" i="20"/>
  <c r="H1643" i="20"/>
  <c r="I1642" i="20"/>
  <c r="H1642" i="20"/>
  <c r="I1641" i="20"/>
  <c r="H1641" i="20"/>
  <c r="I1640" i="20"/>
  <c r="H1640" i="20"/>
  <c r="I1639" i="20"/>
  <c r="H1639" i="20"/>
  <c r="I1638" i="20"/>
  <c r="H1638" i="20"/>
  <c r="I1637" i="20"/>
  <c r="H1637" i="20"/>
  <c r="I1636" i="20"/>
  <c r="H1636" i="20"/>
  <c r="I1635" i="20"/>
  <c r="H1635" i="20"/>
  <c r="I1634" i="20"/>
  <c r="H1634" i="20"/>
  <c r="I1633" i="20"/>
  <c r="H1633" i="20"/>
  <c r="I1632" i="20"/>
  <c r="H1632" i="20"/>
  <c r="I1631" i="20"/>
  <c r="H1631" i="20"/>
  <c r="I1630" i="20"/>
  <c r="H1630" i="20"/>
  <c r="I1629" i="20"/>
  <c r="H1629" i="20"/>
  <c r="I1628" i="20"/>
  <c r="H1628" i="20"/>
  <c r="I1627" i="20"/>
  <c r="H1627" i="20"/>
  <c r="I1626" i="20"/>
  <c r="H1626" i="20"/>
  <c r="I1625" i="20"/>
  <c r="H1625" i="20"/>
  <c r="I1624" i="20"/>
  <c r="H1624" i="20"/>
  <c r="I1623" i="20"/>
  <c r="H1623" i="20"/>
  <c r="I1622" i="20"/>
  <c r="H1622" i="20"/>
  <c r="I1621" i="20"/>
  <c r="H1621" i="20"/>
  <c r="I1620" i="20"/>
  <c r="H1620" i="20"/>
  <c r="I1619" i="20"/>
  <c r="H1619" i="20"/>
  <c r="I1618" i="20"/>
  <c r="H1618" i="20"/>
  <c r="I1617" i="20"/>
  <c r="H1617" i="20"/>
  <c r="I1616" i="20"/>
  <c r="H1616" i="20"/>
  <c r="I1615" i="20"/>
  <c r="H1615" i="20"/>
  <c r="I1614" i="20"/>
  <c r="H1614" i="20"/>
  <c r="I1613" i="20"/>
  <c r="H1613" i="20"/>
  <c r="I1612" i="20"/>
  <c r="H1612" i="20"/>
  <c r="I1611" i="20"/>
  <c r="H1611" i="20"/>
  <c r="I1610" i="20"/>
  <c r="H1610" i="20"/>
  <c r="I1609" i="20"/>
  <c r="H1609" i="20"/>
  <c r="I1608" i="20"/>
  <c r="H1608" i="20"/>
  <c r="I1607" i="20"/>
  <c r="H1607" i="20"/>
  <c r="I1606" i="20"/>
  <c r="H1606" i="20"/>
  <c r="I1605" i="20"/>
  <c r="H1605" i="20"/>
  <c r="I1604" i="20"/>
  <c r="H1604" i="20"/>
  <c r="I1603" i="20"/>
  <c r="H1603" i="20"/>
  <c r="I1602" i="20"/>
  <c r="H1602" i="20"/>
  <c r="I1601" i="20"/>
  <c r="H1601" i="20"/>
  <c r="I1600" i="20"/>
  <c r="H1600" i="20"/>
  <c r="I1599" i="20"/>
  <c r="H1599" i="20"/>
  <c r="I1598" i="20"/>
  <c r="H1598" i="20"/>
  <c r="I1597" i="20"/>
  <c r="H1597" i="20"/>
  <c r="I1596" i="20"/>
  <c r="H1596" i="20"/>
  <c r="I1595" i="20"/>
  <c r="H1595" i="20"/>
  <c r="I1594" i="20"/>
  <c r="H1594" i="20"/>
  <c r="I1593" i="20"/>
  <c r="H1593" i="20"/>
  <c r="I1592" i="20"/>
  <c r="H1592" i="20"/>
  <c r="I1591" i="20"/>
  <c r="H1591" i="20"/>
  <c r="I1590" i="20"/>
  <c r="H1590" i="20"/>
  <c r="I1589" i="20"/>
  <c r="H1589" i="20"/>
  <c r="I1588" i="20"/>
  <c r="H1588" i="20"/>
  <c r="I1587" i="20"/>
  <c r="H1587" i="20"/>
  <c r="I1586" i="20"/>
  <c r="H1586" i="20"/>
  <c r="I1585" i="20"/>
  <c r="H1585" i="20"/>
  <c r="I1584" i="20"/>
  <c r="H1584" i="20"/>
  <c r="I1583" i="20"/>
  <c r="H1583" i="20"/>
  <c r="I1582" i="20"/>
  <c r="H1582" i="20"/>
  <c r="I1581" i="20"/>
  <c r="H1581" i="20"/>
  <c r="I1580" i="20"/>
  <c r="H1580" i="20"/>
  <c r="I1579" i="20"/>
  <c r="H1579" i="20"/>
  <c r="I1578" i="20"/>
  <c r="H1578" i="20"/>
  <c r="I1577" i="20"/>
  <c r="H1577" i="20"/>
  <c r="I1576" i="20"/>
  <c r="H1576" i="20"/>
  <c r="I1575" i="20"/>
  <c r="H1575" i="20"/>
  <c r="I1574" i="20"/>
  <c r="H1574" i="20"/>
  <c r="I1573" i="20"/>
  <c r="H1573" i="20"/>
  <c r="I1572" i="20"/>
  <c r="H1572" i="20"/>
  <c r="I1571" i="20"/>
  <c r="H1571" i="20"/>
  <c r="I1570" i="20"/>
  <c r="H1570" i="20"/>
  <c r="I1569" i="20"/>
  <c r="H1569" i="20"/>
  <c r="I1568" i="20"/>
  <c r="H1568" i="20"/>
  <c r="I1567" i="20"/>
  <c r="H1567" i="20"/>
  <c r="I1566" i="20"/>
  <c r="H1566" i="20"/>
  <c r="I1565" i="20"/>
  <c r="H1565" i="20"/>
  <c r="I1564" i="20"/>
  <c r="H1564" i="20"/>
  <c r="I1563" i="20"/>
  <c r="H1563" i="20"/>
  <c r="I1562" i="20"/>
  <c r="H1562" i="20"/>
  <c r="I1561" i="20"/>
  <c r="H1561" i="20"/>
  <c r="I1560" i="20"/>
  <c r="H1560" i="20"/>
  <c r="I1559" i="20"/>
  <c r="H1559" i="20"/>
  <c r="I1558" i="20"/>
  <c r="H1558" i="20"/>
  <c r="I1557" i="20"/>
  <c r="H1557" i="20"/>
  <c r="I1556" i="20"/>
  <c r="H1556" i="20"/>
  <c r="I1555" i="20"/>
  <c r="H1555" i="20"/>
  <c r="I1554" i="20"/>
  <c r="H1554" i="20"/>
  <c r="I1553" i="20"/>
  <c r="H1553" i="20"/>
  <c r="I1552" i="20"/>
  <c r="H1552" i="20"/>
  <c r="I1551" i="20"/>
  <c r="H1551" i="20"/>
  <c r="I1550" i="20"/>
  <c r="H1550" i="20"/>
  <c r="I1549" i="20"/>
  <c r="H1549" i="20"/>
  <c r="I1548" i="20"/>
  <c r="H1548" i="20"/>
  <c r="I1547" i="20"/>
  <c r="H1547" i="20"/>
  <c r="I1546" i="20"/>
  <c r="H1546" i="20"/>
  <c r="I1545" i="20"/>
  <c r="H1545" i="20"/>
  <c r="I1544" i="20"/>
  <c r="H1544" i="20"/>
  <c r="I1543" i="20"/>
  <c r="H1543" i="20"/>
  <c r="I1542" i="20"/>
  <c r="H1542" i="20"/>
  <c r="I1541" i="20"/>
  <c r="H1541" i="20"/>
  <c r="I1540" i="20"/>
  <c r="H1540" i="20"/>
  <c r="I1539" i="20"/>
  <c r="H1539" i="20"/>
  <c r="I1538" i="20"/>
  <c r="H1538" i="20"/>
  <c r="I1537" i="20"/>
  <c r="H1537" i="20"/>
  <c r="I1536" i="20"/>
  <c r="H1536" i="20"/>
  <c r="I1535" i="20"/>
  <c r="H1535" i="20"/>
  <c r="I1534" i="20"/>
  <c r="H1534" i="20"/>
  <c r="I1533" i="20"/>
  <c r="H1533" i="20"/>
  <c r="I1532" i="20"/>
  <c r="H1532" i="20"/>
  <c r="I1531" i="20"/>
  <c r="H1531" i="20"/>
  <c r="I1530" i="20"/>
  <c r="H1530" i="20"/>
  <c r="I1529" i="20"/>
  <c r="H1529" i="20"/>
  <c r="I1528" i="20"/>
  <c r="H1528" i="20"/>
  <c r="I1527" i="20"/>
  <c r="H1527" i="20"/>
  <c r="I1526" i="20"/>
  <c r="H1526" i="20"/>
  <c r="I1525" i="20"/>
  <c r="H1525" i="20"/>
  <c r="I1524" i="20"/>
  <c r="H1524" i="20"/>
  <c r="I1523" i="20"/>
  <c r="H1523" i="20"/>
  <c r="I1522" i="20"/>
  <c r="H1522" i="20"/>
  <c r="I1521" i="20"/>
  <c r="H1521" i="20"/>
  <c r="I1520" i="20"/>
  <c r="H1520" i="20"/>
  <c r="I1519" i="20"/>
  <c r="H1519" i="20"/>
  <c r="I1518" i="20"/>
  <c r="H1518" i="20"/>
  <c r="I1517" i="20"/>
  <c r="H1517" i="20"/>
  <c r="I1516" i="20"/>
  <c r="H1516" i="20"/>
  <c r="I1515" i="20"/>
  <c r="H1515" i="20"/>
  <c r="I1514" i="20"/>
  <c r="H1514" i="20"/>
  <c r="I1513" i="20"/>
  <c r="H1513" i="20"/>
  <c r="I1512" i="20"/>
  <c r="H1512" i="20"/>
  <c r="I1511" i="20"/>
  <c r="H1511" i="20"/>
  <c r="I1510" i="20"/>
  <c r="H1510" i="20"/>
  <c r="I1509" i="20"/>
  <c r="H1509" i="20"/>
  <c r="I1508" i="20"/>
  <c r="H1508" i="20"/>
  <c r="I1507" i="20"/>
  <c r="H1507" i="20"/>
  <c r="I1506" i="20"/>
  <c r="H1506" i="20"/>
  <c r="I1505" i="20"/>
  <c r="H1505" i="20"/>
  <c r="I1504" i="20"/>
  <c r="H1504" i="20"/>
  <c r="I1503" i="20"/>
  <c r="H1503" i="20"/>
  <c r="I1502" i="20"/>
  <c r="H1502" i="20"/>
  <c r="I1501" i="20"/>
  <c r="H1501" i="20"/>
  <c r="I1500" i="20"/>
  <c r="H1500" i="20"/>
  <c r="I1499" i="20"/>
  <c r="H1499" i="20"/>
  <c r="I1498" i="20"/>
  <c r="H1498" i="20"/>
  <c r="I1497" i="20"/>
  <c r="H1497" i="20"/>
  <c r="I1496" i="20"/>
  <c r="H1496" i="20"/>
  <c r="I1495" i="20"/>
  <c r="H1495" i="20"/>
  <c r="I1494" i="20"/>
  <c r="H1494" i="20"/>
  <c r="I1493" i="20"/>
  <c r="H1493" i="20"/>
  <c r="I1492" i="20"/>
  <c r="H1492" i="20"/>
  <c r="I1491" i="20"/>
  <c r="H1491" i="20"/>
  <c r="I1490" i="20"/>
  <c r="H1490" i="20"/>
  <c r="I1489" i="20"/>
  <c r="H1489" i="20"/>
  <c r="I1488" i="20"/>
  <c r="H1488" i="20"/>
  <c r="I1487" i="20"/>
  <c r="H1487" i="20"/>
  <c r="I1486" i="20"/>
  <c r="H1486" i="20"/>
  <c r="I1485" i="20"/>
  <c r="H1485" i="20"/>
  <c r="I1484" i="20"/>
  <c r="H1484" i="20"/>
  <c r="I1483" i="20"/>
  <c r="H1483" i="20"/>
  <c r="I1481" i="20"/>
  <c r="H1481" i="20"/>
  <c r="I1480" i="20"/>
  <c r="H1480" i="20"/>
  <c r="I1479" i="20"/>
  <c r="H1479" i="20"/>
  <c r="I1478" i="20"/>
  <c r="H1478" i="20"/>
  <c r="I1477" i="20"/>
  <c r="H1477" i="20"/>
  <c r="I1476" i="20"/>
  <c r="H1476" i="20"/>
  <c r="I1475" i="20"/>
  <c r="H1475" i="20"/>
  <c r="I1474" i="20"/>
  <c r="H1474" i="20"/>
  <c r="I1473" i="20"/>
  <c r="H1473" i="20"/>
  <c r="I1472" i="20"/>
  <c r="H1472" i="20"/>
  <c r="I1471" i="20"/>
  <c r="H1471" i="20"/>
  <c r="I1470" i="20"/>
  <c r="H1470" i="20"/>
  <c r="I1469" i="20"/>
  <c r="H1469" i="20"/>
  <c r="I1468" i="20"/>
  <c r="H1468" i="20"/>
  <c r="I1467" i="20"/>
  <c r="H1467" i="20"/>
  <c r="I1466" i="20"/>
  <c r="H1466" i="20"/>
  <c r="I1465" i="20"/>
  <c r="H1465" i="20"/>
  <c r="I1464" i="20"/>
  <c r="H1464" i="20"/>
  <c r="I1463" i="20"/>
  <c r="H1463" i="20"/>
  <c r="I1462" i="20"/>
  <c r="H1462" i="20"/>
  <c r="I1461" i="20"/>
  <c r="H1461" i="20"/>
  <c r="I1460" i="20"/>
  <c r="H1460" i="20"/>
  <c r="I1459" i="20"/>
  <c r="H1459" i="20"/>
  <c r="I1458" i="20"/>
  <c r="H1458" i="20"/>
  <c r="I1457" i="20"/>
  <c r="H1457" i="20"/>
  <c r="I1456" i="20"/>
  <c r="H1456" i="20"/>
  <c r="I1455" i="20"/>
  <c r="H1455" i="20"/>
  <c r="I1454" i="20"/>
  <c r="H1454" i="20"/>
  <c r="I1453" i="20"/>
  <c r="H1453" i="20"/>
  <c r="I1452" i="20"/>
  <c r="H1452" i="20"/>
  <c r="I1451" i="20"/>
  <c r="H1451" i="20"/>
  <c r="I1450" i="20"/>
  <c r="H1450" i="20"/>
  <c r="I1449" i="20"/>
  <c r="H1449" i="20"/>
  <c r="I1448" i="20"/>
  <c r="H1448" i="20"/>
  <c r="I1447" i="20"/>
  <c r="H1447" i="20"/>
  <c r="I1446" i="20"/>
  <c r="H1446" i="20"/>
  <c r="I1445" i="20"/>
  <c r="H1445" i="20"/>
  <c r="I1444" i="20"/>
  <c r="H1444" i="20"/>
  <c r="I1443" i="20"/>
  <c r="H1443" i="20"/>
  <c r="I1442" i="20"/>
  <c r="H1442" i="20"/>
  <c r="I1441" i="20"/>
  <c r="H1441" i="20"/>
  <c r="I1440" i="20"/>
  <c r="H1440" i="20"/>
  <c r="I1439" i="20"/>
  <c r="H1439" i="20"/>
  <c r="I1438" i="20"/>
  <c r="H1438" i="20"/>
  <c r="I1437" i="20"/>
  <c r="H1437" i="20"/>
  <c r="I1436" i="20"/>
  <c r="H1436" i="20"/>
  <c r="I1435" i="20"/>
  <c r="H1435" i="20"/>
  <c r="I1434" i="20"/>
  <c r="H1434" i="20"/>
  <c r="I1433" i="20"/>
  <c r="H1433" i="20"/>
  <c r="I1432" i="20"/>
  <c r="H1432" i="20"/>
  <c r="I1431" i="20"/>
  <c r="H1431" i="20"/>
  <c r="I1430" i="20"/>
  <c r="H1430" i="20"/>
  <c r="I1429" i="20"/>
  <c r="H1429" i="20"/>
  <c r="I1428" i="20"/>
  <c r="H1428" i="20"/>
  <c r="I1427" i="20"/>
  <c r="H1427" i="20"/>
  <c r="I1426" i="20"/>
  <c r="H1426" i="20"/>
  <c r="I1425" i="20"/>
  <c r="H1425" i="20"/>
  <c r="I1424" i="20"/>
  <c r="H1424" i="20"/>
  <c r="I1423" i="20"/>
  <c r="H1423" i="20"/>
  <c r="I1422" i="20"/>
  <c r="H1422" i="20"/>
  <c r="I1421" i="20"/>
  <c r="H1421" i="20"/>
  <c r="I1420" i="20"/>
  <c r="H1420" i="20"/>
  <c r="I1419" i="20"/>
  <c r="H1419" i="20"/>
  <c r="I1418" i="20"/>
  <c r="H1418" i="20"/>
  <c r="I1417" i="20"/>
  <c r="H1417" i="20"/>
  <c r="I1416" i="20"/>
  <c r="H1416" i="20"/>
  <c r="I1415" i="20"/>
  <c r="H1415" i="20"/>
  <c r="I1414" i="20"/>
  <c r="H1414" i="20"/>
  <c r="I1413" i="20"/>
  <c r="H1413" i="20"/>
  <c r="I1412" i="20"/>
  <c r="H1412" i="20"/>
  <c r="I1411" i="20"/>
  <c r="H1411" i="20"/>
  <c r="I1410" i="20"/>
  <c r="H1410" i="20"/>
  <c r="I1409" i="20"/>
  <c r="H1409" i="20"/>
  <c r="I1408" i="20"/>
  <c r="H1408" i="20"/>
  <c r="I1407" i="20"/>
  <c r="H1407" i="20"/>
  <c r="I1406" i="20"/>
  <c r="H1406" i="20"/>
  <c r="I1405" i="20"/>
  <c r="H1405" i="20"/>
  <c r="I1404" i="20"/>
  <c r="H1404" i="20"/>
  <c r="I1403" i="20"/>
  <c r="H1403" i="20"/>
  <c r="I1402" i="20"/>
  <c r="H1402" i="20"/>
  <c r="I1401" i="20"/>
  <c r="H1401" i="20"/>
  <c r="I1400" i="20"/>
  <c r="H1400" i="20"/>
  <c r="I1399" i="20"/>
  <c r="H1399" i="20"/>
  <c r="I1398" i="20"/>
  <c r="H1398" i="20"/>
  <c r="I1397" i="20"/>
  <c r="H1397" i="20"/>
  <c r="I1396" i="20"/>
  <c r="H1396" i="20"/>
  <c r="I1395" i="20"/>
  <c r="H1395" i="20"/>
  <c r="I1394" i="20"/>
  <c r="H1394" i="20"/>
  <c r="I1393" i="20"/>
  <c r="H1393" i="20"/>
  <c r="I1392" i="20"/>
  <c r="H1392" i="20"/>
  <c r="I1391" i="20"/>
  <c r="H1391" i="20"/>
  <c r="I1390" i="20"/>
  <c r="H1390" i="20"/>
  <c r="I1389" i="20"/>
  <c r="H1389" i="20"/>
  <c r="I1388" i="20"/>
  <c r="H1388" i="20"/>
  <c r="I1387" i="20"/>
  <c r="H1387" i="20"/>
  <c r="I1386" i="20"/>
  <c r="H1386" i="20"/>
  <c r="I1385" i="20"/>
  <c r="H1385" i="20"/>
  <c r="I1384" i="20"/>
  <c r="H1384" i="20"/>
  <c r="I1383" i="20"/>
  <c r="H1383" i="20"/>
  <c r="I1382" i="20"/>
  <c r="H1382" i="20"/>
  <c r="I1381" i="20"/>
  <c r="H1381" i="20"/>
  <c r="I1380" i="20"/>
  <c r="H1380" i="20"/>
  <c r="I1379" i="20"/>
  <c r="H1379" i="20"/>
  <c r="I1378" i="20"/>
  <c r="H1378" i="20"/>
  <c r="I1377" i="20"/>
  <c r="H1377" i="20"/>
  <c r="I1376" i="20"/>
  <c r="H1376" i="20"/>
  <c r="I1375" i="20"/>
  <c r="H1375" i="20"/>
  <c r="I1374" i="20"/>
  <c r="H1374" i="20"/>
  <c r="I1373" i="20"/>
  <c r="H1373" i="20"/>
  <c r="I1372" i="20"/>
  <c r="H1372" i="20"/>
  <c r="I1371" i="20"/>
  <c r="H1371" i="20"/>
  <c r="I1370" i="20"/>
  <c r="H1370" i="20"/>
  <c r="I1369" i="20"/>
  <c r="H1369" i="20"/>
  <c r="I1368" i="20"/>
  <c r="H1368" i="20"/>
  <c r="I1367" i="20"/>
  <c r="H1367" i="20"/>
  <c r="I1366" i="20"/>
  <c r="H1366" i="20"/>
  <c r="I1365" i="20"/>
  <c r="H1365" i="20"/>
  <c r="I1364" i="20"/>
  <c r="H1364" i="20"/>
  <c r="I1363" i="20"/>
  <c r="H1363" i="20"/>
  <c r="I1362" i="20"/>
  <c r="H1362" i="20"/>
  <c r="I1361" i="20"/>
  <c r="H1361" i="20"/>
  <c r="I1360" i="20"/>
  <c r="H1360" i="20"/>
  <c r="I1359" i="20"/>
  <c r="H1359" i="20"/>
  <c r="I1358" i="20"/>
  <c r="H1358" i="20"/>
  <c r="I1357" i="20"/>
  <c r="H1357" i="20"/>
  <c r="I1356" i="20"/>
  <c r="H1356" i="20"/>
  <c r="I1355" i="20"/>
  <c r="H1355" i="20"/>
  <c r="I1354" i="20"/>
  <c r="H1354" i="20"/>
  <c r="I1353" i="20"/>
  <c r="H1353" i="20"/>
  <c r="I1352" i="20"/>
  <c r="H1352" i="20"/>
  <c r="I1351" i="20"/>
  <c r="H1351" i="20"/>
  <c r="I1350" i="20"/>
  <c r="H1350" i="20"/>
  <c r="I1349" i="20"/>
  <c r="H1349" i="20"/>
  <c r="I1348" i="20"/>
  <c r="H1348" i="20"/>
  <c r="I1347" i="20"/>
  <c r="H1347" i="20"/>
  <c r="I1346" i="20"/>
  <c r="H1346" i="20"/>
  <c r="I1345" i="20"/>
  <c r="H1345" i="20"/>
  <c r="I1344" i="20"/>
  <c r="H1344" i="20"/>
  <c r="I1343" i="20"/>
  <c r="H1343" i="20"/>
  <c r="I1342" i="20"/>
  <c r="H1342" i="20"/>
  <c r="I1341" i="20"/>
  <c r="H1341" i="20"/>
  <c r="I1340" i="20"/>
  <c r="H1340" i="20"/>
  <c r="I1339" i="20"/>
  <c r="H1339" i="20"/>
  <c r="I1338" i="20"/>
  <c r="H1338" i="20"/>
  <c r="I1337" i="20"/>
  <c r="H1337" i="20"/>
  <c r="I1336" i="20"/>
  <c r="H1336" i="20"/>
  <c r="I1335" i="20"/>
  <c r="H1335" i="20"/>
  <c r="I1334" i="20"/>
  <c r="H1334" i="20"/>
  <c r="I1333" i="20"/>
  <c r="H1333" i="20"/>
  <c r="I1332" i="20"/>
  <c r="H1332" i="20"/>
  <c r="I1331" i="20"/>
  <c r="H1331" i="20"/>
  <c r="I1330" i="20"/>
  <c r="H1330" i="20"/>
  <c r="I1329" i="20"/>
  <c r="H1329" i="20"/>
  <c r="I1328" i="20"/>
  <c r="H1328" i="20"/>
  <c r="I1327" i="20"/>
  <c r="H1327" i="20"/>
  <c r="I1326" i="20"/>
  <c r="H1326" i="20"/>
  <c r="I1325" i="20"/>
  <c r="H1325" i="20"/>
  <c r="I1324" i="20"/>
  <c r="H1324" i="20"/>
  <c r="I1323" i="20"/>
  <c r="H1323" i="20"/>
  <c r="I1322" i="20"/>
  <c r="H1322" i="20"/>
  <c r="I1321" i="20"/>
  <c r="H1321" i="20"/>
  <c r="I1320" i="20"/>
  <c r="H1320" i="20"/>
  <c r="I1319" i="20"/>
  <c r="H1319" i="20"/>
  <c r="I1318" i="20"/>
  <c r="H1318" i="20"/>
  <c r="I1317" i="20"/>
  <c r="H1317" i="20"/>
  <c r="I1316" i="20"/>
  <c r="H1316" i="20"/>
  <c r="I1315" i="20"/>
  <c r="H1315" i="20"/>
  <c r="I1314" i="20"/>
  <c r="H1314" i="20"/>
  <c r="I1313" i="20"/>
  <c r="H1313" i="20"/>
  <c r="I1312" i="20"/>
  <c r="H1312" i="20"/>
  <c r="I1311" i="20"/>
  <c r="H1311" i="20"/>
  <c r="I1310" i="20"/>
  <c r="H1310" i="20"/>
  <c r="I1309" i="20"/>
  <c r="H1309" i="20"/>
  <c r="I1308" i="20"/>
  <c r="H1308" i="20"/>
  <c r="I1307" i="20"/>
  <c r="H1307" i="20"/>
  <c r="I1306" i="20"/>
  <c r="H1306" i="20"/>
  <c r="I1305" i="20"/>
  <c r="H1305" i="20"/>
  <c r="I1304" i="20"/>
  <c r="H1304" i="20"/>
  <c r="I1303" i="20"/>
  <c r="H1303" i="20"/>
  <c r="I1302" i="20"/>
  <c r="H1302" i="20"/>
  <c r="I1301" i="20"/>
  <c r="H1301" i="20"/>
  <c r="I1300" i="20"/>
  <c r="H1300" i="20"/>
  <c r="I1299" i="20"/>
  <c r="H1299" i="20"/>
  <c r="I1298" i="20"/>
  <c r="H1298" i="20"/>
  <c r="I1297" i="20"/>
  <c r="H1297" i="20"/>
  <c r="I1296" i="20"/>
  <c r="H1296" i="20"/>
  <c r="I1295" i="20"/>
  <c r="H1295" i="20"/>
  <c r="I1294" i="20"/>
  <c r="H1294" i="20"/>
  <c r="I1293" i="20"/>
  <c r="H1293" i="20"/>
  <c r="I1292" i="20"/>
  <c r="H1292" i="20"/>
  <c r="I1291" i="20"/>
  <c r="H1291" i="20"/>
  <c r="I1290" i="20"/>
  <c r="H1290" i="20"/>
  <c r="I1289" i="20"/>
  <c r="H1289" i="20"/>
  <c r="I1288" i="20"/>
  <c r="H1288" i="20"/>
  <c r="I1287" i="20"/>
  <c r="H1287" i="20"/>
  <c r="I1286" i="20"/>
  <c r="H1286" i="20"/>
  <c r="I1285" i="20"/>
  <c r="H1285" i="20"/>
  <c r="I1284" i="20"/>
  <c r="H1284" i="20"/>
  <c r="I1283" i="20"/>
  <c r="H1283" i="20"/>
  <c r="I1282" i="20"/>
  <c r="H1282" i="20"/>
  <c r="I1281" i="20"/>
  <c r="H1281" i="20"/>
  <c r="I1280" i="20"/>
  <c r="H1280" i="20"/>
  <c r="I1279" i="20"/>
  <c r="H1279" i="20"/>
  <c r="I1278" i="20"/>
  <c r="H1278" i="20"/>
  <c r="I1277" i="20"/>
  <c r="H1277" i="20"/>
  <c r="I1276" i="20"/>
  <c r="H1276" i="20"/>
  <c r="I1275" i="20"/>
  <c r="H1275" i="20"/>
  <c r="I1274" i="20"/>
  <c r="H1274" i="20"/>
  <c r="I1273" i="20"/>
  <c r="H1273" i="20"/>
  <c r="I1272" i="20"/>
  <c r="H1272" i="20"/>
  <c r="I1271" i="20"/>
  <c r="H1271" i="20"/>
  <c r="I1270" i="20"/>
  <c r="H1270" i="20"/>
  <c r="I1269" i="20"/>
  <c r="H1269" i="20"/>
  <c r="I1268" i="20"/>
  <c r="H1268" i="20"/>
  <c r="I1267" i="20"/>
  <c r="H1267" i="20"/>
  <c r="I1266" i="20"/>
  <c r="H1266" i="20"/>
  <c r="I1265" i="20"/>
  <c r="H1265" i="20"/>
  <c r="I1264" i="20"/>
  <c r="H1264" i="20"/>
  <c r="I1263" i="20"/>
  <c r="H1263" i="20"/>
  <c r="I1262" i="20"/>
  <c r="H1262" i="20"/>
  <c r="I1261" i="20"/>
  <c r="H1261" i="20"/>
  <c r="I1260" i="20"/>
  <c r="H1260" i="20"/>
  <c r="I1259" i="20"/>
  <c r="H1259" i="20"/>
  <c r="I1258" i="20"/>
  <c r="H1258" i="20"/>
  <c r="I1257" i="20"/>
  <c r="H1257" i="20"/>
  <c r="I1256" i="20"/>
  <c r="H1256" i="20"/>
  <c r="I1255" i="20"/>
  <c r="H1255" i="20"/>
  <c r="I1254" i="20"/>
  <c r="H1254" i="20"/>
  <c r="I1253" i="20"/>
  <c r="H1253" i="20"/>
  <c r="I1252" i="20"/>
  <c r="H1252" i="20"/>
  <c r="I1251" i="20"/>
  <c r="H1251" i="20"/>
  <c r="I1250" i="20"/>
  <c r="H1250" i="20"/>
  <c r="I1249" i="20"/>
  <c r="H1249" i="20"/>
  <c r="I1248" i="20"/>
  <c r="H1248" i="20"/>
  <c r="I1247" i="20"/>
  <c r="H1247" i="20"/>
  <c r="I1246" i="20"/>
  <c r="H1246" i="20"/>
  <c r="I1245" i="20"/>
  <c r="H1245" i="20"/>
  <c r="I1244" i="20"/>
  <c r="H1244" i="20"/>
  <c r="I1243" i="20"/>
  <c r="H1243" i="20"/>
  <c r="I1242" i="20"/>
  <c r="H1242" i="20"/>
  <c r="I1241" i="20"/>
  <c r="H1241" i="20"/>
  <c r="I1240" i="20"/>
  <c r="H1240" i="20"/>
  <c r="I1239" i="20"/>
  <c r="H1239" i="20"/>
  <c r="I1238" i="20"/>
  <c r="H1238" i="20"/>
  <c r="I1237" i="20"/>
  <c r="H1237" i="20"/>
  <c r="I1236" i="20"/>
  <c r="H1236" i="20"/>
  <c r="I1235" i="20"/>
  <c r="H1235" i="20"/>
  <c r="I1234" i="20"/>
  <c r="H1234" i="20"/>
  <c r="I1233" i="20"/>
  <c r="H1233" i="20"/>
  <c r="I1232" i="20"/>
  <c r="H1232" i="20"/>
  <c r="I1231" i="20"/>
  <c r="H1231" i="20"/>
  <c r="I1230" i="20"/>
  <c r="H1230" i="20"/>
  <c r="I1229" i="20"/>
  <c r="H1229" i="20"/>
  <c r="I1228" i="20"/>
  <c r="H1228" i="20"/>
  <c r="I1227" i="20"/>
  <c r="H1227" i="20"/>
  <c r="I1226" i="20"/>
  <c r="H1226" i="20"/>
  <c r="I1225" i="20"/>
  <c r="H1225" i="20"/>
  <c r="I1224" i="20"/>
  <c r="H1224" i="20"/>
  <c r="I1223" i="20"/>
  <c r="H1223" i="20"/>
  <c r="I1222" i="20"/>
  <c r="H1222" i="20"/>
  <c r="I1221" i="20"/>
  <c r="H1221" i="20"/>
  <c r="I1220" i="20"/>
  <c r="H1220" i="20"/>
  <c r="I1219" i="20"/>
  <c r="H1219" i="20"/>
  <c r="I1218" i="20"/>
  <c r="H1218" i="20"/>
  <c r="I1217" i="20"/>
  <c r="H1217" i="20"/>
  <c r="I1216" i="20"/>
  <c r="H1216" i="20"/>
  <c r="I1215" i="20"/>
  <c r="H1215" i="20"/>
  <c r="I1214" i="20"/>
  <c r="H1214" i="20"/>
  <c r="I1213" i="20"/>
  <c r="H1213" i="20"/>
  <c r="I1212" i="20"/>
  <c r="H1212" i="20"/>
  <c r="I1211" i="20"/>
  <c r="H1211" i="20"/>
  <c r="I1210" i="20"/>
  <c r="H1210" i="20"/>
  <c r="I1209" i="20"/>
  <c r="H1209" i="20"/>
  <c r="I1208" i="20"/>
  <c r="H1208" i="20"/>
  <c r="I1207" i="20"/>
  <c r="H1207" i="20"/>
  <c r="I1206" i="20"/>
  <c r="H1206" i="20"/>
  <c r="I1205" i="20"/>
  <c r="H1205" i="20"/>
  <c r="I1204" i="20"/>
  <c r="H1204" i="20"/>
  <c r="I1203" i="20"/>
  <c r="H1203" i="20"/>
  <c r="I1202" i="20"/>
  <c r="H1202" i="20"/>
  <c r="I1201" i="20"/>
  <c r="H1201" i="20"/>
  <c r="I1200" i="20"/>
  <c r="H1200" i="20"/>
  <c r="I1199" i="20"/>
  <c r="H1199" i="20"/>
  <c r="I1198" i="20"/>
  <c r="H1198" i="20"/>
  <c r="I1197" i="20"/>
  <c r="H1197" i="20"/>
  <c r="I1196" i="20"/>
  <c r="H1196" i="20"/>
  <c r="I1195" i="20"/>
  <c r="H1195" i="20"/>
  <c r="I1194" i="20"/>
  <c r="H1194" i="20"/>
  <c r="I1193" i="20"/>
  <c r="H1193" i="20"/>
  <c r="I1192" i="20"/>
  <c r="H1192" i="20"/>
  <c r="I1191" i="20"/>
  <c r="H1191" i="20"/>
  <c r="I1190" i="20"/>
  <c r="H1190" i="20"/>
  <c r="I1189" i="20"/>
  <c r="H1189" i="20"/>
  <c r="I1188" i="20"/>
  <c r="H1188" i="20"/>
  <c r="I1187" i="20"/>
  <c r="H1187" i="20"/>
  <c r="I1186" i="20"/>
  <c r="H1186" i="20"/>
  <c r="I1185" i="20"/>
  <c r="H1185" i="20"/>
  <c r="I1184" i="20"/>
  <c r="H1184" i="20"/>
  <c r="I1183" i="20"/>
  <c r="H1183" i="20"/>
  <c r="I1182" i="20"/>
  <c r="H1182" i="20"/>
  <c r="I1181" i="20"/>
  <c r="H1181" i="20"/>
  <c r="I1180" i="20"/>
  <c r="H1180" i="20"/>
  <c r="I1179" i="20"/>
  <c r="H1179" i="20"/>
  <c r="I1178" i="20"/>
  <c r="H1178" i="20"/>
  <c r="I1177" i="20"/>
  <c r="H1177" i="20"/>
  <c r="I1176" i="20"/>
  <c r="H1176" i="20"/>
  <c r="I1175" i="20"/>
  <c r="H1175" i="20"/>
  <c r="I1174" i="20"/>
  <c r="H1174" i="20"/>
  <c r="I1173" i="20"/>
  <c r="H1173" i="20"/>
  <c r="I1172" i="20"/>
  <c r="H1172" i="20"/>
  <c r="I1171" i="20"/>
  <c r="H1171" i="20"/>
  <c r="I1170" i="20"/>
  <c r="H1170" i="20"/>
  <c r="I1169" i="20"/>
  <c r="H1169" i="20"/>
  <c r="I1168" i="20"/>
  <c r="H1168" i="20"/>
  <c r="I1167" i="20"/>
  <c r="H1167" i="20"/>
  <c r="I1166" i="20"/>
  <c r="H1166" i="20"/>
  <c r="I1165" i="20"/>
  <c r="H1165" i="20"/>
  <c r="I1164" i="20"/>
  <c r="H1164" i="20"/>
  <c r="I1163" i="20"/>
  <c r="H1163" i="20"/>
  <c r="I1162" i="20"/>
  <c r="H1162" i="20"/>
  <c r="I1161" i="20"/>
  <c r="H1161" i="20"/>
  <c r="I1160" i="20"/>
  <c r="H1160" i="20"/>
  <c r="I1159" i="20"/>
  <c r="H1159" i="20"/>
  <c r="I1158" i="20"/>
  <c r="H1158" i="20"/>
  <c r="I1157" i="20"/>
  <c r="H1157" i="20"/>
  <c r="I1156" i="20"/>
  <c r="H1156" i="20"/>
  <c r="I1155" i="20"/>
  <c r="H1155" i="20"/>
  <c r="I1154" i="20"/>
  <c r="H1154" i="20"/>
  <c r="I1153" i="20"/>
  <c r="H1153" i="20"/>
  <c r="I1152" i="20"/>
  <c r="H1152" i="20"/>
  <c r="I1151" i="20"/>
  <c r="H1151" i="20"/>
  <c r="I1150" i="20"/>
  <c r="H1150" i="20"/>
  <c r="I1149" i="20"/>
  <c r="H1149" i="20"/>
  <c r="I1148" i="20"/>
  <c r="H1148" i="20"/>
  <c r="I1147" i="20"/>
  <c r="H1147" i="20"/>
  <c r="I1146" i="20"/>
  <c r="H1146" i="20"/>
  <c r="I1145" i="20"/>
  <c r="H1145" i="20"/>
  <c r="I1144" i="20"/>
  <c r="H1144" i="20"/>
  <c r="I1143" i="20"/>
  <c r="H1143" i="20"/>
  <c r="I1142" i="20"/>
  <c r="H1142" i="20"/>
  <c r="I1141" i="20"/>
  <c r="H1141" i="20"/>
  <c r="I1140" i="20"/>
  <c r="H1140" i="20"/>
  <c r="I1139" i="20"/>
  <c r="H1139" i="20"/>
  <c r="I1138" i="20"/>
  <c r="H1138" i="20"/>
  <c r="I1137" i="20"/>
  <c r="H1137" i="20"/>
  <c r="I1136" i="20"/>
  <c r="H1136" i="20"/>
  <c r="I1135" i="20"/>
  <c r="H1135" i="20"/>
  <c r="I1134" i="20"/>
  <c r="H1134" i="20"/>
  <c r="I1133" i="20"/>
  <c r="H1133" i="20"/>
  <c r="I1132" i="20"/>
  <c r="H1132" i="20"/>
  <c r="I1131" i="20"/>
  <c r="H1131" i="20"/>
  <c r="I1130" i="20"/>
  <c r="H1130" i="20"/>
  <c r="I1129" i="20"/>
  <c r="H1129" i="20"/>
  <c r="I1128" i="20"/>
  <c r="H1128" i="20"/>
  <c r="I1127" i="20"/>
  <c r="H1127" i="20"/>
  <c r="I1126" i="20"/>
  <c r="H1126" i="20"/>
  <c r="I1125" i="20"/>
  <c r="H1125" i="20"/>
  <c r="I1124" i="20"/>
  <c r="H1124" i="20"/>
  <c r="I1123" i="20"/>
  <c r="H1123" i="20"/>
  <c r="I1122" i="20"/>
  <c r="H1122" i="20"/>
  <c r="I1121" i="20"/>
  <c r="H1121" i="20"/>
  <c r="I1120" i="20"/>
  <c r="H1120" i="20"/>
  <c r="I1119" i="20"/>
  <c r="H1119" i="20"/>
  <c r="I1118" i="20"/>
  <c r="H1118" i="20"/>
  <c r="I1117" i="20"/>
  <c r="H1117" i="20"/>
  <c r="I1116" i="20"/>
  <c r="H1116" i="20"/>
  <c r="I1115" i="20"/>
  <c r="H1115" i="20"/>
  <c r="I1114" i="20"/>
  <c r="H1114" i="20"/>
  <c r="I1113" i="20"/>
  <c r="H1113" i="20"/>
  <c r="I1112" i="20"/>
  <c r="H1112" i="20"/>
  <c r="I1111" i="20"/>
  <c r="H1111" i="20"/>
  <c r="I1110" i="20"/>
  <c r="H1110" i="20"/>
  <c r="I1109" i="20"/>
  <c r="H1109" i="20"/>
  <c r="I1108" i="20"/>
  <c r="H1108" i="20"/>
  <c r="I1107" i="20"/>
  <c r="H1107" i="20"/>
  <c r="I1106" i="20"/>
  <c r="H1106" i="20"/>
  <c r="I1105" i="20"/>
  <c r="H1105" i="20"/>
  <c r="I1104" i="20"/>
  <c r="H1104" i="20"/>
  <c r="I1103" i="20"/>
  <c r="H1103" i="20"/>
  <c r="I1102" i="20"/>
  <c r="H1102" i="20"/>
  <c r="I1101" i="20"/>
  <c r="H1101" i="20"/>
  <c r="I1100" i="20"/>
  <c r="H1100" i="20"/>
  <c r="I1099" i="20"/>
  <c r="H1099" i="20"/>
  <c r="I1098" i="20"/>
  <c r="H1098" i="20"/>
  <c r="I1097" i="20"/>
  <c r="H1097" i="20"/>
  <c r="I1096" i="20"/>
  <c r="H1096" i="20"/>
  <c r="I1095" i="20"/>
  <c r="H1095" i="20"/>
  <c r="I1094" i="20"/>
  <c r="H1094" i="20"/>
  <c r="I1093" i="20"/>
  <c r="H1093" i="20"/>
  <c r="I1092" i="20"/>
  <c r="H1092" i="20"/>
  <c r="I1091" i="20"/>
  <c r="H1091" i="20"/>
  <c r="I1090" i="20"/>
  <c r="H1090" i="20"/>
  <c r="I1089" i="20"/>
  <c r="H1089" i="20"/>
  <c r="I1088" i="20"/>
  <c r="H1088" i="20"/>
  <c r="I1087" i="20"/>
  <c r="H1087" i="20"/>
  <c r="I1086" i="20"/>
  <c r="H1086" i="20"/>
  <c r="I1085" i="20"/>
  <c r="H1085" i="20"/>
  <c r="I1084" i="20"/>
  <c r="H1084" i="20"/>
  <c r="I1083" i="20"/>
  <c r="H1083" i="20"/>
  <c r="I1082" i="20"/>
  <c r="H1082" i="20"/>
  <c r="I1081" i="20"/>
  <c r="H1081" i="20"/>
  <c r="I1080" i="20"/>
  <c r="H1080" i="20"/>
  <c r="I1079" i="20"/>
  <c r="H1079" i="20"/>
  <c r="I1078" i="20"/>
  <c r="H1078" i="20"/>
  <c r="I1077" i="20"/>
  <c r="H1077" i="20"/>
  <c r="I1076" i="20"/>
  <c r="H1076" i="20"/>
  <c r="I1075" i="20"/>
  <c r="H1075" i="20"/>
  <c r="I1074" i="20"/>
  <c r="H1074" i="20"/>
  <c r="I1073" i="20"/>
  <c r="H1073" i="20"/>
  <c r="I1072" i="20"/>
  <c r="H1072" i="20"/>
  <c r="I1071" i="20"/>
  <c r="H1071" i="20"/>
  <c r="I1070" i="20"/>
  <c r="H1070" i="20"/>
  <c r="I1069" i="20"/>
  <c r="H1069" i="20"/>
  <c r="I1068" i="20"/>
  <c r="H1068" i="20"/>
  <c r="I1067" i="20"/>
  <c r="H1067" i="20"/>
  <c r="I1066" i="20"/>
  <c r="H1066" i="20"/>
  <c r="I1065" i="20"/>
  <c r="H1065" i="20"/>
  <c r="I1064" i="20"/>
  <c r="H1064" i="20"/>
  <c r="I1063" i="20"/>
  <c r="H1063" i="20"/>
  <c r="I1062" i="20"/>
  <c r="H1062" i="20"/>
  <c r="I1061" i="20"/>
  <c r="H1061" i="20"/>
  <c r="I1060" i="20"/>
  <c r="H1060" i="20"/>
  <c r="I1059" i="20"/>
  <c r="H1059" i="20"/>
  <c r="I1058" i="20"/>
  <c r="H1058" i="20"/>
  <c r="I1057" i="20"/>
  <c r="H1057" i="20"/>
  <c r="I1056" i="20"/>
  <c r="H1056" i="20"/>
  <c r="I1055" i="20"/>
  <c r="H1055" i="20"/>
  <c r="I1054" i="20"/>
  <c r="H1054" i="20"/>
  <c r="I1053" i="20"/>
  <c r="H1053" i="20"/>
  <c r="I1052" i="20"/>
  <c r="H1052" i="20"/>
  <c r="I1051" i="20"/>
  <c r="H1051" i="20"/>
  <c r="I1050" i="20"/>
  <c r="H1050" i="20"/>
  <c r="I1049" i="20"/>
  <c r="H1049" i="20"/>
  <c r="I1048" i="20"/>
  <c r="H1048" i="20"/>
  <c r="I1047" i="20"/>
  <c r="H1047" i="20"/>
  <c r="I1046" i="20"/>
  <c r="H1046" i="20"/>
  <c r="I1045" i="20"/>
  <c r="H1045" i="20"/>
  <c r="I1044" i="20"/>
  <c r="H1044" i="20"/>
  <c r="I1043" i="20"/>
  <c r="H1043" i="20"/>
  <c r="I1042" i="20"/>
  <c r="H1042" i="20"/>
  <c r="I1041" i="20"/>
  <c r="H1041" i="20"/>
  <c r="I1040" i="20"/>
  <c r="H1040" i="20"/>
  <c r="I1039" i="20"/>
  <c r="H1039" i="20"/>
  <c r="I1038" i="20"/>
  <c r="H1038" i="20"/>
  <c r="I1037" i="20"/>
  <c r="H1037" i="20"/>
  <c r="I1036" i="20"/>
  <c r="H1036" i="20"/>
  <c r="I1035" i="20"/>
  <c r="H1035" i="20"/>
  <c r="I1034" i="20"/>
  <c r="H1034" i="20"/>
  <c r="I1033" i="20"/>
  <c r="H1033" i="20"/>
  <c r="I1032" i="20"/>
  <c r="H1032" i="20"/>
  <c r="I1031" i="20"/>
  <c r="H1031" i="20"/>
  <c r="I1030" i="20"/>
  <c r="H1030" i="20"/>
  <c r="I1029" i="20"/>
  <c r="H1029" i="20"/>
  <c r="I1028" i="20"/>
  <c r="H1028" i="20"/>
  <c r="I1027" i="20"/>
  <c r="H1027" i="20"/>
  <c r="I1026" i="20"/>
  <c r="H1026" i="20"/>
  <c r="I1025" i="20"/>
  <c r="H1025" i="20"/>
  <c r="I1024" i="20"/>
  <c r="H1024" i="20"/>
  <c r="I1023" i="20"/>
  <c r="H1023" i="20"/>
  <c r="I1021" i="20"/>
  <c r="H1021" i="20"/>
  <c r="I1020" i="20"/>
  <c r="H1020" i="20"/>
  <c r="I1019" i="20"/>
  <c r="H1019" i="20"/>
  <c r="I1018" i="20"/>
  <c r="H1018" i="20"/>
  <c r="I1017" i="20"/>
  <c r="H1017" i="20"/>
  <c r="I1016" i="20"/>
  <c r="H1016" i="20"/>
  <c r="I1015" i="20"/>
  <c r="H1015" i="20"/>
  <c r="I1014" i="20"/>
  <c r="H1014" i="20"/>
  <c r="I1013" i="20"/>
  <c r="H1013" i="20"/>
  <c r="I1012" i="20"/>
  <c r="H1012" i="20"/>
  <c r="I1011" i="20"/>
  <c r="H1011" i="20"/>
  <c r="I1010" i="20"/>
  <c r="H1010" i="20"/>
  <c r="I1009" i="20"/>
  <c r="H1009" i="20"/>
  <c r="I1008" i="20"/>
  <c r="H1008" i="20"/>
  <c r="I1007" i="20"/>
  <c r="H1007" i="20"/>
  <c r="I1006" i="20"/>
  <c r="H1006" i="20"/>
  <c r="I1005" i="20"/>
  <c r="H1005" i="20"/>
  <c r="I1004" i="20"/>
  <c r="H1004" i="20"/>
  <c r="I1003" i="20"/>
  <c r="H1003" i="20"/>
  <c r="I1002" i="20"/>
  <c r="H1002" i="20"/>
  <c r="I1001" i="20"/>
  <c r="H1001" i="20"/>
  <c r="I1000" i="20"/>
  <c r="H1000" i="20"/>
  <c r="I999" i="20"/>
  <c r="H999" i="20"/>
  <c r="I998" i="20"/>
  <c r="H998" i="20"/>
  <c r="I997" i="20"/>
  <c r="H997" i="20"/>
  <c r="I996" i="20"/>
  <c r="H996" i="20"/>
  <c r="I995" i="20"/>
  <c r="H995" i="20"/>
  <c r="I994" i="20"/>
  <c r="H994" i="20"/>
  <c r="I993" i="20"/>
  <c r="H993" i="20"/>
  <c r="I992" i="20"/>
  <c r="H992" i="20"/>
  <c r="I991" i="20"/>
  <c r="H991" i="20"/>
  <c r="I990" i="20"/>
  <c r="H990" i="20"/>
  <c r="I989" i="20"/>
  <c r="H989" i="20"/>
  <c r="I988" i="20"/>
  <c r="H988" i="20"/>
  <c r="I987" i="20"/>
  <c r="H987" i="20"/>
  <c r="I986" i="20"/>
  <c r="H986" i="20"/>
  <c r="I985" i="20"/>
  <c r="H985" i="20"/>
  <c r="I984" i="20"/>
  <c r="H984" i="20"/>
  <c r="I983" i="20"/>
  <c r="H983" i="20"/>
  <c r="I982" i="20"/>
  <c r="H982" i="20"/>
  <c r="I981" i="20"/>
  <c r="H981" i="20"/>
  <c r="I980" i="20"/>
  <c r="H980" i="20"/>
  <c r="I979" i="20"/>
  <c r="H979" i="20"/>
  <c r="I978" i="20"/>
  <c r="H978" i="20"/>
  <c r="I977" i="20"/>
  <c r="H977" i="20"/>
  <c r="I976" i="20"/>
  <c r="H976" i="20"/>
  <c r="I975" i="20"/>
  <c r="H975" i="20"/>
  <c r="I974" i="20"/>
  <c r="H974" i="20"/>
  <c r="I973" i="20"/>
  <c r="H973" i="20"/>
  <c r="I972" i="20"/>
  <c r="H972" i="20"/>
  <c r="I971" i="20"/>
  <c r="H971" i="20"/>
  <c r="I970" i="20"/>
  <c r="H970" i="20"/>
  <c r="I969" i="20"/>
  <c r="H969" i="20"/>
  <c r="I968" i="20"/>
  <c r="H968" i="20"/>
  <c r="I967" i="20"/>
  <c r="H967" i="20"/>
  <c r="I966" i="20"/>
  <c r="H966" i="20"/>
  <c r="I965" i="20"/>
  <c r="H965" i="20"/>
  <c r="I964" i="20"/>
  <c r="H964" i="20"/>
  <c r="I963" i="20"/>
  <c r="H963" i="20"/>
  <c r="I962" i="20"/>
  <c r="H962" i="20"/>
  <c r="I961" i="20"/>
  <c r="H961" i="20"/>
  <c r="I960" i="20"/>
  <c r="H960" i="20"/>
  <c r="I959" i="20"/>
  <c r="H959" i="20"/>
  <c r="I958" i="20"/>
  <c r="H958" i="20"/>
  <c r="I957" i="20"/>
  <c r="H957" i="20"/>
  <c r="I956" i="20"/>
  <c r="H956" i="20"/>
  <c r="I955" i="20"/>
  <c r="H955" i="20"/>
  <c r="I954" i="20"/>
  <c r="H954" i="20"/>
  <c r="I953" i="20"/>
  <c r="H953" i="20"/>
  <c r="I952" i="20"/>
  <c r="H952" i="20"/>
  <c r="I951" i="20"/>
  <c r="H951" i="20"/>
  <c r="I950" i="20"/>
  <c r="H950" i="20"/>
  <c r="I949" i="20"/>
  <c r="H949" i="20"/>
  <c r="I948" i="20"/>
  <c r="H948" i="20"/>
  <c r="I947" i="20"/>
  <c r="H947" i="20"/>
  <c r="I946" i="20"/>
  <c r="H946" i="20"/>
  <c r="I945" i="20"/>
  <c r="H945" i="20"/>
  <c r="I944" i="20"/>
  <c r="H944" i="20"/>
  <c r="I943" i="20"/>
  <c r="H943" i="20"/>
  <c r="I942" i="20"/>
  <c r="H942" i="20"/>
  <c r="I941" i="20"/>
  <c r="H941" i="20"/>
  <c r="I940" i="20"/>
  <c r="H940" i="20"/>
  <c r="I939" i="20"/>
  <c r="H939" i="20"/>
  <c r="I938" i="20"/>
  <c r="H938" i="20"/>
  <c r="I937" i="20"/>
  <c r="H937" i="20"/>
  <c r="I936" i="20"/>
  <c r="H936" i="20"/>
  <c r="I935" i="20"/>
  <c r="H935" i="20"/>
  <c r="I934" i="20"/>
  <c r="H934" i="20"/>
  <c r="I933" i="20"/>
  <c r="H933" i="20"/>
  <c r="I932" i="20"/>
  <c r="H932" i="20"/>
  <c r="I931" i="20"/>
  <c r="H931" i="20"/>
  <c r="I930" i="20"/>
  <c r="H930" i="20"/>
  <c r="I929" i="20"/>
  <c r="H929" i="20"/>
  <c r="I928" i="20"/>
  <c r="H928" i="20"/>
  <c r="I927" i="20"/>
  <c r="H927" i="20"/>
  <c r="I926" i="20"/>
  <c r="H926" i="20"/>
  <c r="I925" i="20"/>
  <c r="H925" i="20"/>
  <c r="I924" i="20"/>
  <c r="H924" i="20"/>
  <c r="I923" i="20"/>
  <c r="H923" i="20"/>
  <c r="I922" i="20"/>
  <c r="H922" i="20"/>
  <c r="I921" i="20"/>
  <c r="H921" i="20"/>
  <c r="I920" i="20"/>
  <c r="H920" i="20"/>
  <c r="I919" i="20"/>
  <c r="H919" i="20"/>
  <c r="I918" i="20"/>
  <c r="H918" i="20"/>
  <c r="I917" i="20"/>
  <c r="H917" i="20"/>
  <c r="I916" i="20"/>
  <c r="H916" i="20"/>
  <c r="I915" i="20"/>
  <c r="H915" i="20"/>
  <c r="I914" i="20"/>
  <c r="H914" i="20"/>
  <c r="I913" i="20"/>
  <c r="H913" i="20"/>
  <c r="I912" i="20"/>
  <c r="H912" i="20"/>
  <c r="I911" i="20"/>
  <c r="H911" i="20"/>
  <c r="I910" i="20"/>
  <c r="H910" i="20"/>
  <c r="I909" i="20"/>
  <c r="H909" i="20"/>
  <c r="I908" i="20"/>
  <c r="H908" i="20"/>
  <c r="I907" i="20"/>
  <c r="H907" i="20"/>
  <c r="I906" i="20"/>
  <c r="H906" i="20"/>
  <c r="I905" i="20"/>
  <c r="H905" i="20"/>
  <c r="I904" i="20"/>
  <c r="H904" i="20"/>
  <c r="I903" i="20"/>
  <c r="H903" i="20"/>
  <c r="I902" i="20"/>
  <c r="H902" i="20"/>
  <c r="I901" i="20"/>
  <c r="H901" i="20"/>
  <c r="I900" i="20"/>
  <c r="H900" i="20"/>
  <c r="I899" i="20"/>
  <c r="H899" i="20"/>
  <c r="I898" i="20"/>
  <c r="H898" i="20"/>
  <c r="I897" i="20"/>
  <c r="H897" i="20"/>
  <c r="I896" i="20"/>
  <c r="H896" i="20"/>
  <c r="I895" i="20"/>
  <c r="H895" i="20"/>
  <c r="I894" i="20"/>
  <c r="H894" i="20"/>
  <c r="I893" i="20"/>
  <c r="H893" i="20"/>
  <c r="I892" i="20"/>
  <c r="H892" i="20"/>
  <c r="I891" i="20"/>
  <c r="H891" i="20"/>
  <c r="I890" i="20"/>
  <c r="H890" i="20"/>
  <c r="I889" i="20"/>
  <c r="H889" i="20"/>
  <c r="I888" i="20"/>
  <c r="H888" i="20"/>
  <c r="I887" i="20"/>
  <c r="H887" i="20"/>
  <c r="I886" i="20"/>
  <c r="H886" i="20"/>
  <c r="I885" i="20"/>
  <c r="H885" i="20"/>
  <c r="I884" i="20"/>
  <c r="H884" i="20"/>
  <c r="I883" i="20"/>
  <c r="H883" i="20"/>
  <c r="I882" i="20"/>
  <c r="H882" i="20"/>
  <c r="I881" i="20"/>
  <c r="H881" i="20"/>
  <c r="I880" i="20"/>
  <c r="H880" i="20"/>
  <c r="I879" i="20"/>
  <c r="H879" i="20"/>
  <c r="I878" i="20"/>
  <c r="H878" i="20"/>
  <c r="I877" i="20"/>
  <c r="H877" i="20"/>
  <c r="I876" i="20"/>
  <c r="H876" i="20"/>
  <c r="I875" i="20"/>
  <c r="H875" i="20"/>
  <c r="I874" i="20"/>
  <c r="H874" i="20"/>
  <c r="I873" i="20"/>
  <c r="H873" i="20"/>
  <c r="I872" i="20"/>
  <c r="H872" i="20"/>
  <c r="I871" i="20"/>
  <c r="H871" i="20"/>
  <c r="I870" i="20"/>
  <c r="H870" i="20"/>
  <c r="I869" i="20"/>
  <c r="H869" i="20"/>
  <c r="I868" i="20"/>
  <c r="H868" i="20"/>
  <c r="I867" i="20"/>
  <c r="H867" i="20"/>
  <c r="I865" i="20"/>
  <c r="H865" i="20"/>
  <c r="I864" i="20"/>
  <c r="H864" i="20"/>
  <c r="I863" i="20"/>
  <c r="H863" i="20"/>
  <c r="I862" i="20"/>
  <c r="H862" i="20"/>
  <c r="I861" i="20"/>
  <c r="H861" i="20"/>
  <c r="I860" i="20"/>
  <c r="H860" i="20"/>
  <c r="I859" i="20"/>
  <c r="H859" i="20"/>
  <c r="I858" i="20"/>
  <c r="H858" i="20"/>
  <c r="I857" i="20"/>
  <c r="H857" i="20"/>
  <c r="I856" i="20"/>
  <c r="H856" i="20"/>
  <c r="I855" i="20"/>
  <c r="H855" i="20"/>
  <c r="I854" i="20"/>
  <c r="H854" i="20"/>
  <c r="I853" i="20"/>
  <c r="H853" i="20"/>
  <c r="I852" i="20"/>
  <c r="H852" i="20"/>
  <c r="I851" i="20"/>
  <c r="H851" i="20"/>
  <c r="I850" i="20"/>
  <c r="H850" i="20"/>
  <c r="I849" i="20"/>
  <c r="H849" i="20"/>
  <c r="I848" i="20"/>
  <c r="H848" i="20"/>
  <c r="I847" i="20"/>
  <c r="H847" i="20"/>
  <c r="I846" i="20"/>
  <c r="H846" i="20"/>
  <c r="I845" i="20"/>
  <c r="H845" i="20"/>
  <c r="I844" i="20"/>
  <c r="H844" i="20"/>
  <c r="I843" i="20"/>
  <c r="H843" i="20"/>
  <c r="I842" i="20"/>
  <c r="H842" i="20"/>
  <c r="I841" i="20"/>
  <c r="H841" i="20"/>
  <c r="I840" i="20"/>
  <c r="H840" i="20"/>
  <c r="I839" i="20"/>
  <c r="H839" i="20"/>
  <c r="I838" i="20"/>
  <c r="H838" i="20"/>
  <c r="I837" i="20"/>
  <c r="H837" i="20"/>
  <c r="I836" i="20"/>
  <c r="H836" i="20"/>
  <c r="I835" i="20"/>
  <c r="H835" i="20"/>
  <c r="I834" i="20"/>
  <c r="H834" i="20"/>
  <c r="I833" i="20"/>
  <c r="H833" i="20"/>
  <c r="I832" i="20"/>
  <c r="H832" i="20"/>
  <c r="I831" i="20"/>
  <c r="H831" i="20"/>
  <c r="I830" i="20"/>
  <c r="H830" i="20"/>
  <c r="I829" i="20"/>
  <c r="H829" i="20"/>
  <c r="I828" i="20"/>
  <c r="H828" i="20"/>
  <c r="I827" i="20"/>
  <c r="H827" i="20"/>
  <c r="I826" i="20"/>
  <c r="H826" i="20"/>
  <c r="I825" i="20"/>
  <c r="H825" i="20"/>
  <c r="I824" i="20"/>
  <c r="H824" i="20"/>
  <c r="I823" i="20"/>
  <c r="H823" i="20"/>
  <c r="I822" i="20"/>
  <c r="H822" i="20"/>
  <c r="I821" i="20"/>
  <c r="H821" i="20"/>
  <c r="I820" i="20"/>
  <c r="H820" i="20"/>
  <c r="I819" i="20"/>
  <c r="H819" i="20"/>
  <c r="I818" i="20"/>
  <c r="H818" i="20"/>
  <c r="I817" i="20"/>
  <c r="H817" i="20"/>
  <c r="I816" i="20"/>
  <c r="H816" i="20"/>
  <c r="I815" i="20"/>
  <c r="H815" i="20"/>
  <c r="I814" i="20"/>
  <c r="H814" i="20"/>
  <c r="I813" i="20"/>
  <c r="H813" i="20"/>
  <c r="I812" i="20"/>
  <c r="H812" i="20"/>
  <c r="I810" i="20"/>
  <c r="H810" i="20"/>
  <c r="I809" i="20"/>
  <c r="H809" i="20"/>
  <c r="I808" i="20"/>
  <c r="H808" i="20"/>
  <c r="I807" i="20"/>
  <c r="H807" i="20"/>
  <c r="I806" i="20"/>
  <c r="H806" i="20"/>
  <c r="I805" i="20"/>
  <c r="H805" i="20"/>
  <c r="I804" i="20"/>
  <c r="H804" i="20"/>
  <c r="I803" i="20"/>
  <c r="H803" i="20"/>
  <c r="I802" i="20"/>
  <c r="H802" i="20"/>
  <c r="I801" i="20"/>
  <c r="H801" i="20"/>
  <c r="I800" i="20"/>
  <c r="H800" i="20"/>
  <c r="I799" i="20"/>
  <c r="H799" i="20"/>
  <c r="I798" i="20"/>
  <c r="H798" i="20"/>
  <c r="I797" i="20"/>
  <c r="H797" i="20"/>
  <c r="I796" i="20"/>
  <c r="H796" i="20"/>
  <c r="I795" i="20"/>
  <c r="H795" i="20"/>
  <c r="I794" i="20"/>
  <c r="H794" i="20"/>
  <c r="I792" i="20"/>
  <c r="H792" i="20"/>
  <c r="I791" i="20"/>
  <c r="H791" i="20"/>
  <c r="I790" i="20"/>
  <c r="H790" i="20"/>
  <c r="I789" i="20"/>
  <c r="H789" i="20"/>
  <c r="I788" i="20"/>
  <c r="H788" i="20"/>
  <c r="I787" i="20"/>
  <c r="H787" i="20"/>
  <c r="I786" i="20"/>
  <c r="H786" i="20"/>
  <c r="I785" i="20"/>
  <c r="H785" i="20"/>
  <c r="I784" i="20"/>
  <c r="H784" i="20"/>
  <c r="I783" i="20"/>
  <c r="H783" i="20"/>
  <c r="I782" i="20"/>
  <c r="H782" i="20"/>
  <c r="I781" i="20"/>
  <c r="H781" i="20"/>
  <c r="I780" i="20"/>
  <c r="H780" i="20"/>
  <c r="I779" i="20"/>
  <c r="H779" i="20"/>
  <c r="I778" i="20"/>
  <c r="H778" i="20"/>
  <c r="I777" i="20"/>
  <c r="H777" i="20"/>
  <c r="I776" i="20"/>
  <c r="H776" i="20"/>
  <c r="I775" i="20"/>
  <c r="H775" i="20"/>
  <c r="I774" i="20"/>
  <c r="H774" i="20"/>
  <c r="I773" i="20"/>
  <c r="H773" i="20"/>
  <c r="I770" i="20"/>
  <c r="H770" i="20"/>
  <c r="I769" i="20"/>
  <c r="H769" i="20"/>
  <c r="I768" i="20"/>
  <c r="H768" i="20"/>
  <c r="I767" i="20"/>
  <c r="H767" i="20"/>
  <c r="I766" i="20"/>
  <c r="H766" i="20"/>
  <c r="I765" i="20"/>
  <c r="H765" i="20"/>
  <c r="I764" i="20"/>
  <c r="H764" i="20"/>
  <c r="I763" i="20"/>
  <c r="H763" i="20"/>
  <c r="I762" i="20"/>
  <c r="H762" i="20"/>
  <c r="I761" i="20"/>
  <c r="H761" i="20"/>
  <c r="I760" i="20"/>
  <c r="H760" i="20"/>
  <c r="I758" i="20"/>
  <c r="H758" i="20"/>
  <c r="I757" i="20"/>
  <c r="H757" i="20"/>
  <c r="I756" i="20"/>
  <c r="H756" i="20"/>
  <c r="I755" i="20"/>
  <c r="H755" i="20"/>
  <c r="I754" i="20"/>
  <c r="H754" i="20"/>
  <c r="I753" i="20"/>
  <c r="H753" i="20"/>
  <c r="I752" i="20"/>
  <c r="H752" i="20"/>
  <c r="I751" i="20"/>
  <c r="H751" i="20"/>
  <c r="I750" i="20"/>
  <c r="H750" i="20"/>
  <c r="I749" i="20"/>
  <c r="H749" i="20"/>
  <c r="I748" i="20"/>
  <c r="H748" i="20"/>
  <c r="I747" i="20"/>
  <c r="H747" i="20"/>
  <c r="I746" i="20"/>
  <c r="H746" i="20"/>
  <c r="I745" i="20"/>
  <c r="H745" i="20"/>
  <c r="I744" i="20"/>
  <c r="H744" i="20"/>
  <c r="I743" i="20"/>
  <c r="H743" i="20"/>
  <c r="I742" i="20"/>
  <c r="H742" i="20"/>
  <c r="I741" i="20"/>
  <c r="H741" i="20"/>
  <c r="I740" i="20"/>
  <c r="H740" i="20"/>
  <c r="I739" i="20"/>
  <c r="H739" i="20"/>
  <c r="I738" i="20"/>
  <c r="H738" i="20"/>
  <c r="I736" i="20"/>
  <c r="H736" i="20"/>
  <c r="I735" i="20"/>
  <c r="H735" i="20"/>
  <c r="I734" i="20"/>
  <c r="H734" i="20"/>
  <c r="I733" i="20"/>
  <c r="H733" i="20"/>
  <c r="I732" i="20"/>
  <c r="H732" i="20"/>
  <c r="I731" i="20"/>
  <c r="H731" i="20"/>
  <c r="I730" i="20"/>
  <c r="H730" i="20"/>
  <c r="I729" i="20"/>
  <c r="H729" i="20"/>
  <c r="I728" i="20"/>
  <c r="H728" i="20"/>
  <c r="I727" i="20"/>
  <c r="H727" i="20"/>
  <c r="I726" i="20"/>
  <c r="H726" i="20"/>
  <c r="I725" i="20"/>
  <c r="H725" i="20"/>
  <c r="I724" i="20"/>
  <c r="H724" i="20"/>
  <c r="I723" i="20"/>
  <c r="H723" i="20"/>
  <c r="I722" i="20"/>
  <c r="H722" i="20"/>
  <c r="I721" i="20"/>
  <c r="H721" i="20"/>
  <c r="I720" i="20"/>
  <c r="H720" i="20"/>
  <c r="I719" i="20"/>
  <c r="H719" i="20"/>
  <c r="I718" i="20"/>
  <c r="H718" i="20"/>
  <c r="I716" i="20"/>
  <c r="H716" i="20"/>
  <c r="I715" i="20"/>
  <c r="H715" i="20"/>
  <c r="I714" i="20"/>
  <c r="H714" i="20"/>
  <c r="I713" i="20"/>
  <c r="H713" i="20"/>
  <c r="I712" i="20"/>
  <c r="H712" i="20"/>
  <c r="I711" i="20"/>
  <c r="H711" i="20"/>
  <c r="I710" i="20"/>
  <c r="H710" i="20"/>
  <c r="I709" i="20"/>
  <c r="H709" i="20"/>
  <c r="I708" i="20"/>
  <c r="H708" i="20"/>
  <c r="I707" i="20"/>
  <c r="H707" i="20"/>
  <c r="I706" i="20"/>
  <c r="H706" i="20"/>
  <c r="I705" i="20"/>
  <c r="H705" i="20"/>
  <c r="I704" i="20"/>
  <c r="H704" i="20"/>
  <c r="I703" i="20"/>
  <c r="H703" i="20"/>
  <c r="I702" i="20"/>
  <c r="H702" i="20"/>
  <c r="I701" i="20"/>
  <c r="H701" i="20"/>
  <c r="I700" i="20"/>
  <c r="H700" i="20"/>
  <c r="I699" i="20"/>
  <c r="H699" i="20"/>
  <c r="I698" i="20"/>
  <c r="H698" i="20"/>
  <c r="I697" i="20"/>
  <c r="H697" i="20"/>
  <c r="I696" i="20"/>
  <c r="H696" i="20"/>
  <c r="I695" i="20"/>
  <c r="H695" i="20"/>
  <c r="I694" i="20"/>
  <c r="H694" i="20"/>
  <c r="I693" i="20"/>
  <c r="H693" i="20"/>
  <c r="I692" i="20"/>
  <c r="H692" i="20"/>
  <c r="I691" i="20"/>
  <c r="H691" i="20"/>
  <c r="I689" i="20"/>
  <c r="H689" i="20"/>
  <c r="I688" i="20"/>
  <c r="H688" i="20"/>
  <c r="I687" i="20"/>
  <c r="H687" i="20"/>
  <c r="I686" i="20"/>
  <c r="H686" i="20"/>
  <c r="I685" i="20"/>
  <c r="H685" i="20"/>
  <c r="I684" i="20"/>
  <c r="H684" i="20"/>
  <c r="I683" i="20"/>
  <c r="H683" i="20"/>
  <c r="I682" i="20"/>
  <c r="H682" i="20"/>
  <c r="I681" i="20"/>
  <c r="H681" i="20"/>
  <c r="I680" i="20"/>
  <c r="H680" i="20"/>
  <c r="I679" i="20"/>
  <c r="H679" i="20"/>
  <c r="I678" i="20"/>
  <c r="H678" i="20"/>
  <c r="I677" i="20"/>
  <c r="H677" i="20"/>
  <c r="I676" i="20"/>
  <c r="H676" i="20"/>
  <c r="I675" i="20"/>
  <c r="H675" i="20"/>
  <c r="I674" i="20"/>
  <c r="H674" i="20"/>
  <c r="I673" i="20"/>
  <c r="H673" i="20"/>
  <c r="I672" i="20"/>
  <c r="H672" i="20"/>
  <c r="I668" i="20"/>
  <c r="H668" i="20"/>
  <c r="I666" i="20"/>
  <c r="H666" i="20"/>
  <c r="I665" i="20"/>
  <c r="H665" i="20"/>
  <c r="I664" i="20"/>
  <c r="H664" i="20"/>
  <c r="I663" i="20"/>
  <c r="H663" i="20"/>
  <c r="I662" i="20"/>
  <c r="H662" i="20"/>
  <c r="I661" i="20"/>
  <c r="H661" i="20"/>
  <c r="I660" i="20"/>
  <c r="H660" i="20"/>
  <c r="I657" i="20"/>
  <c r="H657" i="20"/>
  <c r="I656" i="20"/>
  <c r="H656" i="20"/>
  <c r="I655" i="20"/>
  <c r="H655" i="20"/>
  <c r="I654" i="20"/>
  <c r="H654" i="20"/>
  <c r="I653" i="20"/>
  <c r="H653" i="20"/>
  <c r="I652" i="20"/>
  <c r="H652" i="20"/>
  <c r="I651" i="20"/>
  <c r="H651" i="20"/>
  <c r="I650" i="20"/>
  <c r="H650" i="20"/>
  <c r="I649" i="20"/>
  <c r="H649" i="20"/>
  <c r="I648" i="20"/>
  <c r="H648" i="20"/>
  <c r="I645" i="20"/>
  <c r="H645" i="20"/>
  <c r="I644" i="20"/>
  <c r="H644" i="20"/>
  <c r="I643" i="20"/>
  <c r="H643" i="20"/>
  <c r="I642" i="20"/>
  <c r="H642" i="20"/>
  <c r="I641" i="20"/>
  <c r="H641" i="20"/>
  <c r="I640" i="20"/>
  <c r="H640" i="20"/>
  <c r="I639" i="20"/>
  <c r="H639" i="20"/>
  <c r="I638" i="20"/>
  <c r="H638" i="20"/>
  <c r="I637" i="20"/>
  <c r="H637" i="20"/>
  <c r="I636" i="20"/>
  <c r="H636" i="20"/>
  <c r="I635" i="20"/>
  <c r="H635" i="20"/>
  <c r="I634" i="20"/>
  <c r="H634" i="20"/>
  <c r="I633" i="20"/>
  <c r="H633" i="20"/>
  <c r="I632" i="20"/>
  <c r="H632" i="20"/>
  <c r="I631" i="20"/>
  <c r="H631" i="20"/>
  <c r="I630" i="20"/>
  <c r="H630" i="20"/>
  <c r="I629" i="20"/>
  <c r="H629" i="20"/>
  <c r="I628" i="20"/>
  <c r="H628" i="20"/>
  <c r="I627" i="20"/>
  <c r="H627" i="20"/>
  <c r="I626" i="20"/>
  <c r="H626" i="20"/>
  <c r="I625" i="20"/>
  <c r="H625" i="20"/>
  <c r="I624" i="20"/>
  <c r="H624" i="20"/>
  <c r="I620" i="20"/>
  <c r="H620" i="20"/>
  <c r="I619" i="20"/>
  <c r="H619" i="20"/>
  <c r="I618" i="20"/>
  <c r="H618" i="20"/>
  <c r="I617" i="20"/>
  <c r="H617" i="20"/>
  <c r="I616" i="20"/>
  <c r="H616" i="20"/>
  <c r="I615" i="20"/>
  <c r="H615" i="20"/>
  <c r="I614" i="20"/>
  <c r="H614" i="20"/>
  <c r="I613" i="20"/>
  <c r="H613" i="20"/>
  <c r="I612" i="20"/>
  <c r="H612" i="20"/>
  <c r="I611" i="20"/>
  <c r="H611" i="20"/>
  <c r="I610" i="20"/>
  <c r="H610" i="20"/>
  <c r="I609" i="20"/>
  <c r="H609" i="20"/>
  <c r="I608" i="20"/>
  <c r="H608" i="20"/>
  <c r="I607" i="20"/>
  <c r="H607" i="20"/>
  <c r="I606" i="20"/>
  <c r="H606" i="20"/>
  <c r="I605" i="20"/>
  <c r="H605" i="20"/>
  <c r="I604" i="20"/>
  <c r="H604" i="20"/>
  <c r="I602" i="20"/>
  <c r="H602" i="20"/>
  <c r="I601" i="20"/>
  <c r="H601" i="20"/>
  <c r="I600" i="20"/>
  <c r="H600" i="20"/>
  <c r="I599" i="20"/>
  <c r="H599" i="20"/>
  <c r="I598" i="20"/>
  <c r="H598" i="20"/>
  <c r="I597" i="20"/>
  <c r="H597" i="20"/>
  <c r="I596" i="20"/>
  <c r="H596" i="20"/>
  <c r="I595" i="20"/>
  <c r="H595" i="20"/>
  <c r="I594" i="20"/>
  <c r="H594" i="20"/>
  <c r="I593" i="20"/>
  <c r="H593" i="20"/>
  <c r="I592" i="20"/>
  <c r="H592" i="20"/>
  <c r="I591" i="20"/>
  <c r="H591" i="20"/>
  <c r="I590" i="20"/>
  <c r="H590" i="20"/>
  <c r="I589" i="20"/>
  <c r="H589" i="20"/>
  <c r="I588" i="20"/>
  <c r="H588" i="20"/>
  <c r="I587" i="20"/>
  <c r="H587" i="20"/>
  <c r="I586" i="20"/>
  <c r="H586" i="20"/>
  <c r="I585" i="20"/>
  <c r="H585" i="20"/>
  <c r="I584" i="20"/>
  <c r="H584" i="20"/>
  <c r="I583" i="20"/>
  <c r="H583" i="20"/>
  <c r="I582" i="20"/>
  <c r="H582" i="20"/>
  <c r="I581" i="20"/>
  <c r="H581" i="20"/>
  <c r="I580" i="20"/>
  <c r="H580" i="20"/>
  <c r="I579" i="20"/>
  <c r="H579" i="20"/>
  <c r="I578" i="20"/>
  <c r="H578" i="20"/>
  <c r="I577" i="20"/>
  <c r="H577" i="20"/>
  <c r="I576" i="20"/>
  <c r="H576" i="20"/>
  <c r="I575" i="20"/>
  <c r="H575" i="20"/>
  <c r="I574" i="20"/>
  <c r="H574" i="20"/>
  <c r="I573" i="20"/>
  <c r="H573" i="20"/>
  <c r="I572" i="20"/>
  <c r="H572" i="20"/>
  <c r="I571" i="20"/>
  <c r="H571" i="20"/>
  <c r="I570" i="20"/>
  <c r="H570" i="20"/>
  <c r="I569" i="20"/>
  <c r="H569" i="20"/>
  <c r="I568" i="20"/>
  <c r="H568" i="20"/>
  <c r="I567" i="20"/>
  <c r="H567" i="20"/>
  <c r="I566" i="20"/>
  <c r="H566" i="20"/>
  <c r="I565" i="20"/>
  <c r="H565" i="20"/>
  <c r="I564" i="20"/>
  <c r="H564" i="20"/>
  <c r="I563" i="20"/>
  <c r="H563" i="20"/>
  <c r="I562" i="20"/>
  <c r="H562" i="20"/>
  <c r="I561" i="20"/>
  <c r="H561" i="20"/>
  <c r="I560" i="20"/>
  <c r="H560" i="20"/>
  <c r="I559" i="20"/>
  <c r="H559" i="20"/>
  <c r="I558" i="20"/>
  <c r="H558" i="20"/>
  <c r="I557" i="20"/>
  <c r="H557" i="20"/>
  <c r="I556" i="20"/>
  <c r="H556" i="20"/>
  <c r="I555" i="20"/>
  <c r="H555" i="20"/>
  <c r="I554" i="20"/>
  <c r="H554" i="20"/>
  <c r="I553" i="20"/>
  <c r="H553" i="20"/>
  <c r="I552" i="20"/>
  <c r="H552" i="20"/>
  <c r="I551" i="20"/>
  <c r="H551" i="20"/>
  <c r="I550" i="20"/>
  <c r="H550" i="20"/>
  <c r="I549" i="20"/>
  <c r="H549" i="20"/>
  <c r="I548" i="20"/>
  <c r="H548" i="20"/>
  <c r="I547" i="20"/>
  <c r="H547" i="20"/>
  <c r="I546" i="20"/>
  <c r="H546" i="20"/>
  <c r="I545" i="20"/>
  <c r="H545" i="20"/>
  <c r="I544" i="20"/>
  <c r="H544" i="20"/>
  <c r="I543" i="20"/>
  <c r="H543" i="20"/>
  <c r="I542" i="20"/>
  <c r="H542" i="20"/>
  <c r="I541" i="20"/>
  <c r="H541" i="20"/>
  <c r="I540" i="20"/>
  <c r="H540" i="20"/>
  <c r="I539" i="20"/>
  <c r="H539" i="20"/>
  <c r="I538" i="20"/>
  <c r="H538" i="20"/>
  <c r="I537" i="20"/>
  <c r="H537" i="20"/>
  <c r="I536" i="20"/>
  <c r="H536" i="20"/>
  <c r="I535" i="20"/>
  <c r="H535" i="20"/>
  <c r="I534" i="20"/>
  <c r="H534" i="20"/>
  <c r="I533" i="20"/>
  <c r="H533" i="20"/>
  <c r="I532" i="20"/>
  <c r="H532" i="20"/>
  <c r="I531" i="20"/>
  <c r="H531" i="20"/>
  <c r="I530" i="20"/>
  <c r="H530" i="20"/>
  <c r="I529" i="20"/>
  <c r="H529" i="20"/>
  <c r="I528" i="20"/>
  <c r="H528" i="20"/>
  <c r="I527" i="20"/>
  <c r="H527" i="20"/>
  <c r="I526" i="20"/>
  <c r="H526" i="20"/>
  <c r="I525" i="20"/>
  <c r="H525" i="20"/>
  <c r="I524" i="20"/>
  <c r="H524" i="20"/>
  <c r="I523" i="20"/>
  <c r="H523" i="20"/>
  <c r="I522" i="20"/>
  <c r="H522" i="20"/>
  <c r="I521" i="20"/>
  <c r="H521" i="20"/>
  <c r="I520" i="20"/>
  <c r="H520" i="20"/>
  <c r="I519" i="20"/>
  <c r="H519" i="20"/>
  <c r="I518" i="20"/>
  <c r="H518" i="20"/>
  <c r="I517" i="20"/>
  <c r="H517" i="20"/>
  <c r="I516" i="20"/>
  <c r="H516" i="20"/>
  <c r="I515" i="20"/>
  <c r="H515" i="20"/>
  <c r="I514" i="20"/>
  <c r="H514" i="20"/>
  <c r="I513" i="20"/>
  <c r="H513" i="20"/>
  <c r="I512" i="20"/>
  <c r="H512" i="20"/>
  <c r="I511" i="20"/>
  <c r="H511" i="20"/>
  <c r="I510" i="20"/>
  <c r="H510" i="20"/>
  <c r="I509" i="20"/>
  <c r="H509" i="20"/>
  <c r="I508" i="20"/>
  <c r="H508" i="20"/>
  <c r="I507" i="20"/>
  <c r="H507" i="20"/>
  <c r="I506" i="20"/>
  <c r="H506" i="20"/>
  <c r="I505" i="20"/>
  <c r="H505" i="20"/>
  <c r="I504" i="20"/>
  <c r="H504" i="20"/>
  <c r="I503" i="20"/>
  <c r="H503" i="20"/>
  <c r="I502" i="20"/>
  <c r="H502" i="20"/>
  <c r="I501" i="20"/>
  <c r="H501" i="20"/>
  <c r="I500" i="20"/>
  <c r="H500" i="20"/>
  <c r="I499" i="20"/>
  <c r="H499" i="20"/>
  <c r="I498" i="20"/>
  <c r="H498" i="20"/>
  <c r="I497" i="20"/>
  <c r="H497" i="20"/>
  <c r="I496" i="20"/>
  <c r="H496" i="20"/>
  <c r="I495" i="20"/>
  <c r="H495" i="20"/>
  <c r="I494" i="20"/>
  <c r="H494" i="20"/>
  <c r="I493" i="20"/>
  <c r="H493" i="20"/>
  <c r="I492" i="20"/>
  <c r="H492" i="20"/>
  <c r="I491" i="20"/>
  <c r="H491" i="20"/>
  <c r="I490" i="20"/>
  <c r="H490" i="20"/>
  <c r="I489" i="20"/>
  <c r="H489" i="20"/>
  <c r="I488" i="20"/>
  <c r="H488" i="20"/>
  <c r="I487" i="20"/>
  <c r="H487" i="20"/>
  <c r="I486" i="20"/>
  <c r="H486" i="20"/>
  <c r="I485" i="20"/>
  <c r="H485" i="20"/>
  <c r="I484" i="20"/>
  <c r="H484" i="20"/>
  <c r="I483" i="20"/>
  <c r="H483" i="20"/>
  <c r="I482" i="20"/>
  <c r="H482" i="20"/>
  <c r="I481" i="20"/>
  <c r="H481" i="20"/>
  <c r="I480" i="20"/>
  <c r="H480" i="20"/>
  <c r="I479" i="20"/>
  <c r="H479" i="20"/>
  <c r="I478" i="20"/>
  <c r="H478" i="20"/>
  <c r="I477" i="20"/>
  <c r="H477" i="20"/>
  <c r="I476" i="20"/>
  <c r="H476" i="20"/>
  <c r="I475" i="20"/>
  <c r="H475" i="20"/>
  <c r="I474" i="20"/>
  <c r="H474" i="20"/>
  <c r="I473" i="20"/>
  <c r="H473" i="20"/>
  <c r="I472" i="20"/>
  <c r="H472" i="20"/>
  <c r="I471" i="20"/>
  <c r="H471" i="20"/>
  <c r="I470" i="20"/>
  <c r="H470" i="20"/>
  <c r="I469" i="20"/>
  <c r="H469" i="20"/>
  <c r="I468" i="20"/>
  <c r="H468" i="20"/>
  <c r="I467" i="20"/>
  <c r="H467" i="20"/>
  <c r="I466" i="20"/>
  <c r="H466" i="20"/>
  <c r="I465" i="20"/>
  <c r="H465" i="20"/>
  <c r="I464" i="20"/>
  <c r="H464" i="20"/>
  <c r="I463" i="20"/>
  <c r="H463" i="20"/>
  <c r="I462" i="20"/>
  <c r="H462" i="20"/>
  <c r="I461" i="20"/>
  <c r="H461" i="20"/>
  <c r="I460" i="20"/>
  <c r="H460" i="20"/>
  <c r="I459" i="20"/>
  <c r="H459" i="20"/>
  <c r="I458" i="20"/>
  <c r="H458" i="20"/>
  <c r="I457" i="20"/>
  <c r="H457" i="20"/>
  <c r="I456" i="20"/>
  <c r="H456" i="20"/>
  <c r="I455" i="20"/>
  <c r="H455" i="20"/>
  <c r="I454" i="20"/>
  <c r="H454" i="20"/>
  <c r="I453" i="20"/>
  <c r="H453" i="20"/>
  <c r="I452" i="20"/>
  <c r="H452" i="20"/>
  <c r="I451" i="20"/>
  <c r="H451" i="20"/>
  <c r="I450" i="20"/>
  <c r="H450" i="20"/>
  <c r="I449" i="20"/>
  <c r="H449" i="20"/>
  <c r="I448" i="20"/>
  <c r="H448" i="20"/>
  <c r="I447" i="20"/>
  <c r="H447" i="20"/>
  <c r="I446" i="20"/>
  <c r="H446" i="20"/>
  <c r="I445" i="20"/>
  <c r="H445" i="20"/>
  <c r="I444" i="20"/>
  <c r="H444" i="20"/>
  <c r="I443" i="20"/>
  <c r="H443" i="20"/>
  <c r="I442" i="20"/>
  <c r="H442" i="20"/>
  <c r="I441" i="20"/>
  <c r="H441" i="20"/>
  <c r="I440" i="20"/>
  <c r="H440" i="20"/>
  <c r="I439" i="20"/>
  <c r="H439" i="20"/>
  <c r="I438" i="20"/>
  <c r="H438" i="20"/>
  <c r="I437" i="20"/>
  <c r="H437" i="20"/>
  <c r="I436" i="20"/>
  <c r="H436" i="20"/>
  <c r="I435" i="20"/>
  <c r="H435" i="20"/>
  <c r="I434" i="20"/>
  <c r="H434" i="20"/>
  <c r="I433" i="20"/>
  <c r="H433" i="20"/>
  <c r="I432" i="20"/>
  <c r="H432" i="20"/>
  <c r="I431" i="20"/>
  <c r="H431" i="20"/>
  <c r="I430" i="20"/>
  <c r="H430" i="20"/>
  <c r="I429" i="20"/>
  <c r="H429" i="20"/>
  <c r="I428" i="20"/>
  <c r="H428" i="20"/>
  <c r="I427" i="20"/>
  <c r="H427" i="20"/>
  <c r="I426" i="20"/>
  <c r="H426" i="20"/>
  <c r="I425" i="20"/>
  <c r="H425" i="20"/>
  <c r="I424" i="20"/>
  <c r="H424" i="20"/>
  <c r="I423" i="20"/>
  <c r="H423" i="20"/>
  <c r="I422" i="20"/>
  <c r="H422" i="20"/>
  <c r="I421" i="20"/>
  <c r="H421" i="20"/>
  <c r="I420" i="20"/>
  <c r="H420" i="20"/>
  <c r="I419" i="20"/>
  <c r="H419" i="20"/>
  <c r="I418" i="20"/>
  <c r="H418" i="20"/>
  <c r="I417" i="20"/>
  <c r="H417" i="20"/>
  <c r="I416" i="20"/>
  <c r="H416" i="20"/>
  <c r="I415" i="20"/>
  <c r="H415" i="20"/>
  <c r="I414" i="20"/>
  <c r="H414" i="20"/>
  <c r="I413" i="20"/>
  <c r="H413" i="20"/>
  <c r="I412" i="20"/>
  <c r="H412" i="20"/>
  <c r="I411" i="20"/>
  <c r="H411" i="20"/>
  <c r="I410" i="20"/>
  <c r="H410" i="20"/>
  <c r="I409" i="20"/>
  <c r="H409" i="20"/>
  <c r="I408" i="20"/>
  <c r="H408" i="20"/>
  <c r="I407" i="20"/>
  <c r="H407" i="20"/>
  <c r="I406" i="20"/>
  <c r="H406" i="20"/>
  <c r="I405" i="20"/>
  <c r="H405" i="20"/>
  <c r="I404" i="20"/>
  <c r="H404" i="20"/>
  <c r="I403" i="20"/>
  <c r="H403" i="20"/>
  <c r="I402" i="20"/>
  <c r="H402" i="20"/>
  <c r="I401" i="20"/>
  <c r="H401" i="20"/>
  <c r="I400" i="20"/>
  <c r="H400" i="20"/>
  <c r="I399" i="20"/>
  <c r="H399" i="20"/>
  <c r="I398" i="20"/>
  <c r="H398" i="20"/>
  <c r="I397" i="20"/>
  <c r="H397" i="20"/>
  <c r="I396" i="20"/>
  <c r="H396" i="20"/>
  <c r="I395" i="20"/>
  <c r="H395" i="20"/>
  <c r="I394" i="20"/>
  <c r="H394" i="20"/>
  <c r="I393" i="20"/>
  <c r="H393" i="20"/>
  <c r="I392" i="20"/>
  <c r="H392" i="20"/>
  <c r="I391" i="20"/>
  <c r="H391" i="20"/>
  <c r="I390" i="20"/>
  <c r="H390" i="20"/>
  <c r="I389" i="20"/>
  <c r="H389" i="20"/>
  <c r="I388" i="20"/>
  <c r="H388" i="20"/>
  <c r="I387" i="20"/>
  <c r="H387" i="20"/>
  <c r="I386" i="20"/>
  <c r="H386" i="20"/>
  <c r="I385" i="20"/>
  <c r="H385" i="20"/>
  <c r="I384" i="20"/>
  <c r="H384" i="20"/>
  <c r="I383" i="20"/>
  <c r="H383" i="20"/>
  <c r="I382" i="20"/>
  <c r="H382" i="20"/>
  <c r="I381" i="20"/>
  <c r="H381" i="20"/>
  <c r="I380" i="20"/>
  <c r="H380" i="20"/>
  <c r="I379" i="20"/>
  <c r="H379" i="20"/>
  <c r="I378" i="20"/>
  <c r="H378" i="20"/>
  <c r="I377" i="20"/>
  <c r="H377" i="20"/>
  <c r="I376" i="20"/>
  <c r="H376" i="20"/>
  <c r="I375" i="20"/>
  <c r="H375" i="20"/>
  <c r="I374" i="20"/>
  <c r="H374" i="20"/>
  <c r="I373" i="20"/>
  <c r="H373" i="20"/>
  <c r="I372" i="20"/>
  <c r="H372" i="20"/>
  <c r="I371" i="20"/>
  <c r="H371" i="20"/>
  <c r="I370" i="20"/>
  <c r="H370" i="20"/>
  <c r="I369" i="20"/>
  <c r="H369" i="20"/>
  <c r="I368" i="20"/>
  <c r="H368" i="20"/>
  <c r="I367" i="20"/>
  <c r="H367" i="20"/>
  <c r="I366" i="20"/>
  <c r="H366" i="20"/>
  <c r="I365" i="20"/>
  <c r="H365" i="20"/>
  <c r="I364" i="20"/>
  <c r="H364" i="20"/>
  <c r="I363" i="20"/>
  <c r="H363" i="20"/>
  <c r="I362" i="20"/>
  <c r="H362" i="20"/>
  <c r="I361" i="20"/>
  <c r="H361" i="20"/>
  <c r="I360" i="20"/>
  <c r="H360" i="20"/>
  <c r="I359" i="20"/>
  <c r="H359" i="20"/>
  <c r="I358" i="20"/>
  <c r="H358" i="20"/>
  <c r="I357" i="20"/>
  <c r="H357" i="20"/>
  <c r="I356" i="20"/>
  <c r="H356" i="20"/>
  <c r="I355" i="20"/>
  <c r="H355" i="20"/>
  <c r="I354" i="20"/>
  <c r="H354" i="20"/>
  <c r="I353" i="20"/>
  <c r="H353" i="20"/>
  <c r="I352" i="20"/>
  <c r="H352" i="20"/>
  <c r="I351" i="20"/>
  <c r="H351" i="20"/>
  <c r="I350" i="20"/>
  <c r="H350" i="20"/>
  <c r="I349" i="20"/>
  <c r="H349" i="20"/>
  <c r="I348" i="20"/>
  <c r="H348" i="20"/>
  <c r="I347" i="20"/>
  <c r="H347" i="20"/>
  <c r="I346" i="20"/>
  <c r="H346" i="20"/>
  <c r="I345" i="20"/>
  <c r="H345" i="20"/>
  <c r="I344" i="20"/>
  <c r="H344" i="20"/>
  <c r="I343" i="20"/>
  <c r="H343" i="20"/>
  <c r="I342" i="20"/>
  <c r="H342" i="20"/>
  <c r="I341" i="20"/>
  <c r="H341" i="20"/>
  <c r="I340" i="20"/>
  <c r="H340" i="20"/>
  <c r="I339" i="20"/>
  <c r="H339" i="20"/>
  <c r="I338" i="20"/>
  <c r="H338" i="20"/>
  <c r="I337" i="20"/>
  <c r="H337" i="20"/>
  <c r="I336" i="20"/>
  <c r="H336" i="20"/>
  <c r="I335" i="20"/>
  <c r="H335" i="20"/>
  <c r="I334" i="20"/>
  <c r="H334" i="20"/>
  <c r="I333" i="20"/>
  <c r="H333" i="20"/>
  <c r="I332" i="20"/>
  <c r="H332" i="20"/>
  <c r="I331" i="20"/>
  <c r="H331" i="20"/>
  <c r="I330" i="20"/>
  <c r="H330" i="20"/>
  <c r="I329" i="20"/>
  <c r="H329" i="20"/>
  <c r="I328" i="20"/>
  <c r="H328" i="20"/>
  <c r="I327" i="20"/>
  <c r="H327" i="20"/>
  <c r="I326" i="20"/>
  <c r="H326" i="20"/>
  <c r="I325" i="20"/>
  <c r="H325" i="20"/>
  <c r="I324" i="20"/>
  <c r="H324" i="20"/>
  <c r="I323" i="20"/>
  <c r="H323" i="20"/>
  <c r="I322" i="20"/>
  <c r="H322" i="20"/>
  <c r="I321" i="20"/>
  <c r="H321" i="20"/>
  <c r="I320" i="20"/>
  <c r="H320" i="20"/>
  <c r="I319" i="20"/>
  <c r="H319" i="20"/>
  <c r="I318" i="20"/>
  <c r="H318" i="20"/>
  <c r="I317" i="20"/>
  <c r="H317" i="20"/>
  <c r="I316" i="20"/>
  <c r="H316" i="20"/>
  <c r="I315" i="20"/>
  <c r="H315" i="20"/>
  <c r="I314" i="20"/>
  <c r="H314" i="20"/>
  <c r="I313" i="20"/>
  <c r="H313" i="20"/>
  <c r="I312" i="20"/>
  <c r="H312" i="20"/>
  <c r="I311" i="20"/>
  <c r="H311" i="20"/>
  <c r="I310" i="20"/>
  <c r="H310" i="20"/>
  <c r="I309" i="20"/>
  <c r="H309" i="20"/>
  <c r="I308" i="20"/>
  <c r="H308" i="20"/>
  <c r="I307" i="20"/>
  <c r="H307" i="20"/>
  <c r="I306" i="20"/>
  <c r="H306" i="20"/>
  <c r="I305" i="20"/>
  <c r="H305" i="20"/>
  <c r="I304" i="20"/>
  <c r="H304" i="20"/>
  <c r="I303" i="20"/>
  <c r="H303" i="20"/>
  <c r="I302" i="20"/>
  <c r="H302" i="20"/>
  <c r="I301" i="20"/>
  <c r="H301" i="20"/>
  <c r="I300" i="20"/>
  <c r="H300" i="20"/>
  <c r="I299" i="20"/>
  <c r="H299" i="20"/>
  <c r="I298" i="20"/>
  <c r="H298" i="20"/>
  <c r="I297" i="20"/>
  <c r="H297" i="20"/>
  <c r="I296" i="20"/>
  <c r="H296" i="20"/>
  <c r="I295" i="20"/>
  <c r="H295" i="20"/>
  <c r="I294" i="20"/>
  <c r="H294" i="20"/>
  <c r="I293" i="20"/>
  <c r="H293" i="20"/>
  <c r="I292" i="20"/>
  <c r="H292" i="20"/>
  <c r="I291" i="20"/>
  <c r="H291" i="20"/>
  <c r="I290" i="20"/>
  <c r="H290" i="20"/>
  <c r="I289" i="20"/>
  <c r="H289" i="20"/>
  <c r="I288" i="20"/>
  <c r="H288" i="20"/>
  <c r="I287" i="20"/>
  <c r="H287" i="20"/>
  <c r="I286" i="20"/>
  <c r="H286" i="20"/>
  <c r="I285" i="20"/>
  <c r="H285" i="20"/>
  <c r="I284" i="20"/>
  <c r="H284" i="20"/>
  <c r="I283" i="20"/>
  <c r="H283" i="20"/>
  <c r="I282" i="20"/>
  <c r="H282" i="20"/>
  <c r="I281" i="20"/>
  <c r="H281" i="20"/>
  <c r="I280" i="20"/>
  <c r="H280" i="20"/>
  <c r="I279" i="20"/>
  <c r="H279" i="20"/>
  <c r="I278" i="20"/>
  <c r="H278" i="20"/>
  <c r="I277" i="20"/>
  <c r="H277" i="20"/>
  <c r="I276" i="20"/>
  <c r="H276" i="20"/>
  <c r="I275" i="20"/>
  <c r="H275" i="20"/>
  <c r="I274" i="20"/>
  <c r="H274" i="20"/>
  <c r="I273" i="20"/>
  <c r="H273" i="20"/>
  <c r="I272" i="20"/>
  <c r="H272" i="20"/>
  <c r="I271" i="20"/>
  <c r="H271" i="20"/>
  <c r="I270" i="20"/>
  <c r="H270" i="20"/>
  <c r="I269" i="20"/>
  <c r="H269" i="20"/>
  <c r="I268" i="20"/>
  <c r="H268" i="20"/>
  <c r="I267" i="20"/>
  <c r="H267" i="20"/>
  <c r="I266" i="20"/>
  <c r="H266" i="20"/>
  <c r="I265" i="20"/>
  <c r="H265" i="20"/>
  <c r="I264" i="20"/>
  <c r="H264" i="20"/>
  <c r="I263" i="20"/>
  <c r="H263" i="20"/>
  <c r="I262" i="20"/>
  <c r="H262" i="20"/>
  <c r="I261" i="20"/>
  <c r="H261" i="20"/>
  <c r="I260" i="20"/>
  <c r="H260" i="20"/>
  <c r="I259" i="20"/>
  <c r="H259" i="20"/>
  <c r="I258" i="20"/>
  <c r="H258" i="20"/>
  <c r="I257" i="20"/>
  <c r="H257" i="20"/>
  <c r="I256" i="20"/>
  <c r="H256" i="20"/>
  <c r="I255" i="20"/>
  <c r="H255" i="20"/>
  <c r="I254" i="20"/>
  <c r="H254" i="20"/>
  <c r="I253" i="20"/>
  <c r="H253" i="20"/>
  <c r="I252" i="20"/>
  <c r="H252" i="20"/>
  <c r="I251" i="20"/>
  <c r="H251" i="20"/>
  <c r="I250" i="20"/>
  <c r="H250" i="20"/>
  <c r="I249" i="20"/>
  <c r="H249" i="20"/>
  <c r="I248" i="20"/>
  <c r="H248" i="20"/>
  <c r="I247" i="20"/>
  <c r="H247" i="20"/>
  <c r="I246" i="20"/>
  <c r="H246" i="20"/>
  <c r="I245" i="20"/>
  <c r="H245" i="20"/>
  <c r="I244" i="20"/>
  <c r="H244" i="20"/>
  <c r="I243" i="20"/>
  <c r="H243" i="20"/>
  <c r="I242" i="20"/>
  <c r="H242" i="20"/>
  <c r="I241" i="20"/>
  <c r="H241" i="20"/>
  <c r="I240" i="20"/>
  <c r="H240" i="20"/>
  <c r="I239" i="20"/>
  <c r="H239" i="20"/>
  <c r="I238" i="20"/>
  <c r="H238" i="20"/>
  <c r="I237" i="20"/>
  <c r="H237" i="20"/>
  <c r="I236" i="20"/>
  <c r="H236" i="20"/>
  <c r="I235" i="20"/>
  <c r="H235" i="20"/>
  <c r="I234" i="20"/>
  <c r="H234" i="20"/>
  <c r="I233" i="20"/>
  <c r="H233" i="20"/>
  <c r="I232" i="20"/>
  <c r="H232" i="20"/>
  <c r="I231" i="20"/>
  <c r="H231" i="20"/>
  <c r="I230" i="20"/>
  <c r="H230" i="20"/>
  <c r="I229" i="20"/>
  <c r="H229" i="20"/>
  <c r="I228" i="20"/>
  <c r="H228" i="20"/>
  <c r="I227" i="20"/>
  <c r="H227" i="20"/>
  <c r="I226" i="20"/>
  <c r="H226" i="20"/>
  <c r="I225" i="20"/>
  <c r="H225" i="20"/>
  <c r="I224" i="20"/>
  <c r="H224" i="20"/>
  <c r="I223" i="20"/>
  <c r="H223" i="20"/>
  <c r="I222" i="20"/>
  <c r="H222" i="20"/>
  <c r="I221" i="20"/>
  <c r="H221" i="20"/>
  <c r="I220" i="20"/>
  <c r="H220" i="20"/>
  <c r="I219" i="20"/>
  <c r="H219" i="20"/>
  <c r="I218" i="20"/>
  <c r="H218" i="20"/>
  <c r="I217" i="20"/>
  <c r="H217" i="20"/>
  <c r="I216" i="20"/>
  <c r="H216" i="20"/>
  <c r="I215" i="20"/>
  <c r="H215" i="20"/>
  <c r="I214" i="20"/>
  <c r="H214" i="20"/>
  <c r="I213" i="20"/>
  <c r="H213" i="20"/>
  <c r="I212" i="20"/>
  <c r="H212" i="20"/>
  <c r="I211" i="20"/>
  <c r="H211" i="20"/>
  <c r="I210" i="20"/>
  <c r="H210" i="20"/>
  <c r="I209" i="20"/>
  <c r="H209" i="20"/>
  <c r="I208" i="20"/>
  <c r="H208" i="20"/>
  <c r="I207" i="20"/>
  <c r="H207" i="20"/>
  <c r="I206" i="20"/>
  <c r="H206" i="20"/>
  <c r="I205" i="20"/>
  <c r="H205" i="20"/>
  <c r="I204" i="20"/>
  <c r="H204" i="20"/>
  <c r="I203" i="20"/>
  <c r="H203" i="20"/>
  <c r="I202" i="20"/>
  <c r="H202" i="20"/>
  <c r="I201" i="20"/>
  <c r="H201" i="20"/>
  <c r="I200" i="20"/>
  <c r="H200" i="20"/>
  <c r="I199" i="20"/>
  <c r="H199" i="20"/>
  <c r="I198" i="20"/>
  <c r="H198" i="20"/>
  <c r="I197" i="20"/>
  <c r="H197" i="20"/>
  <c r="I196" i="20"/>
  <c r="H196" i="20"/>
  <c r="I195" i="20"/>
  <c r="H195" i="20"/>
  <c r="I194" i="20"/>
  <c r="H194" i="20"/>
  <c r="I193" i="20"/>
  <c r="H193" i="20"/>
  <c r="I192" i="20"/>
  <c r="H192" i="20"/>
  <c r="I191" i="20"/>
  <c r="H191" i="20"/>
  <c r="I190" i="20"/>
  <c r="H190" i="20"/>
  <c r="I189" i="20"/>
  <c r="H189" i="20"/>
  <c r="I188" i="20"/>
  <c r="H188" i="20"/>
  <c r="I187" i="20"/>
  <c r="H187" i="20"/>
  <c r="I186" i="20"/>
  <c r="H186" i="20"/>
  <c r="I185" i="20"/>
  <c r="H185" i="20"/>
  <c r="I184" i="20"/>
  <c r="H184" i="20"/>
  <c r="I183" i="20"/>
  <c r="H183" i="20"/>
  <c r="I182" i="20"/>
  <c r="H182" i="20"/>
  <c r="I181" i="20"/>
  <c r="H181" i="20"/>
  <c r="I180" i="20"/>
  <c r="H180" i="20"/>
  <c r="I179" i="20"/>
  <c r="H179" i="20"/>
  <c r="I178" i="20"/>
  <c r="H178" i="20"/>
  <c r="I177" i="20"/>
  <c r="H177" i="20"/>
  <c r="I176" i="20"/>
  <c r="H176" i="20"/>
  <c r="I175" i="20"/>
  <c r="H175" i="20"/>
  <c r="I174" i="20"/>
  <c r="H174" i="20"/>
  <c r="I173" i="20"/>
  <c r="H173" i="20"/>
  <c r="I172" i="20"/>
  <c r="H172" i="20"/>
  <c r="I171" i="20"/>
  <c r="H171" i="20"/>
  <c r="I170" i="20"/>
  <c r="H170" i="20"/>
  <c r="I169" i="20"/>
  <c r="H169" i="20"/>
  <c r="I168" i="20"/>
  <c r="H168" i="20"/>
  <c r="I167" i="20"/>
  <c r="H167" i="20"/>
  <c r="I166" i="20"/>
  <c r="H166" i="20"/>
  <c r="I165" i="20"/>
  <c r="H165" i="20"/>
  <c r="I164" i="20"/>
  <c r="H164" i="20"/>
  <c r="I163" i="20"/>
  <c r="H163" i="20"/>
  <c r="I162" i="20"/>
  <c r="H162" i="20"/>
  <c r="I161" i="20"/>
  <c r="H161" i="20"/>
  <c r="I160" i="20"/>
  <c r="H160" i="20"/>
  <c r="I159" i="20"/>
  <c r="H159" i="20"/>
  <c r="I158" i="20"/>
  <c r="H158" i="20"/>
  <c r="I157" i="20"/>
  <c r="H157" i="20"/>
  <c r="I156" i="20"/>
  <c r="H156" i="20"/>
  <c r="I155" i="20"/>
  <c r="H155" i="20"/>
  <c r="I154" i="20"/>
  <c r="H154" i="20"/>
  <c r="I153" i="20"/>
  <c r="H153" i="20"/>
  <c r="I152" i="20"/>
  <c r="H152" i="20"/>
  <c r="I151" i="20"/>
  <c r="H151" i="20"/>
  <c r="I150" i="20"/>
  <c r="H150" i="20"/>
  <c r="I149" i="20"/>
  <c r="H149" i="20"/>
  <c r="I148" i="20"/>
  <c r="H148" i="20"/>
  <c r="I147" i="20"/>
  <c r="H147" i="20"/>
  <c r="I146" i="20"/>
  <c r="H146" i="20"/>
  <c r="I145" i="20"/>
  <c r="H145" i="20"/>
  <c r="I144" i="20"/>
  <c r="H144" i="20"/>
  <c r="I143" i="20"/>
  <c r="H143" i="20"/>
  <c r="I142" i="20"/>
  <c r="H142" i="20"/>
  <c r="I141" i="20"/>
  <c r="H141" i="20"/>
  <c r="I140" i="20"/>
  <c r="H140" i="20"/>
  <c r="I139" i="20"/>
  <c r="H139" i="20"/>
  <c r="I138" i="20"/>
  <c r="H138" i="20"/>
  <c r="I137" i="20"/>
  <c r="H137" i="20"/>
  <c r="I136" i="20"/>
  <c r="H136" i="20"/>
  <c r="I135" i="20"/>
  <c r="H135" i="20"/>
  <c r="I134" i="20"/>
  <c r="H134" i="20"/>
  <c r="I133" i="20"/>
  <c r="H133" i="20"/>
  <c r="I132" i="20"/>
  <c r="H132" i="20"/>
  <c r="I131" i="20"/>
  <c r="H131" i="20"/>
  <c r="I130" i="20"/>
  <c r="H130" i="20"/>
  <c r="I129" i="20"/>
  <c r="H129" i="20"/>
  <c r="I128" i="20"/>
  <c r="H128" i="20"/>
  <c r="I127" i="20"/>
  <c r="H127" i="20"/>
  <c r="I126" i="20"/>
  <c r="H126" i="20"/>
  <c r="I125" i="20"/>
  <c r="H125" i="20"/>
  <c r="I124" i="20"/>
  <c r="H124" i="20"/>
  <c r="I123" i="20"/>
  <c r="H123" i="20"/>
  <c r="I122" i="20"/>
  <c r="H122" i="20"/>
  <c r="I121" i="20"/>
  <c r="H121" i="20"/>
  <c r="I120" i="20"/>
  <c r="H120" i="20"/>
  <c r="I119" i="20"/>
  <c r="H119" i="20"/>
  <c r="I118" i="20"/>
  <c r="H118" i="20"/>
  <c r="I117" i="20"/>
  <c r="H117" i="20"/>
  <c r="I116" i="20"/>
  <c r="H116" i="20"/>
  <c r="I115" i="20"/>
  <c r="H115" i="20"/>
  <c r="I114" i="20"/>
  <c r="H114" i="20"/>
  <c r="I113" i="20"/>
  <c r="H113" i="20"/>
  <c r="I112" i="20"/>
  <c r="H112" i="20"/>
  <c r="I111" i="20"/>
  <c r="H111" i="20"/>
  <c r="I110" i="20"/>
  <c r="H110" i="20"/>
  <c r="I109" i="20"/>
  <c r="H109" i="20"/>
  <c r="I108" i="20"/>
  <c r="H108" i="20"/>
  <c r="I106" i="20"/>
  <c r="H106" i="20"/>
  <c r="I105" i="20"/>
  <c r="H105" i="20"/>
  <c r="I104" i="20"/>
  <c r="H104" i="20"/>
  <c r="I103" i="20"/>
  <c r="H103" i="20"/>
  <c r="I102" i="20"/>
  <c r="H102" i="20"/>
  <c r="I101" i="20"/>
  <c r="H101" i="20"/>
  <c r="I100" i="20"/>
  <c r="H100" i="20"/>
  <c r="I99" i="20"/>
  <c r="H99" i="20"/>
  <c r="I98" i="20"/>
  <c r="H98" i="20"/>
  <c r="I97" i="20"/>
  <c r="H97" i="20"/>
  <c r="I96" i="20"/>
  <c r="H96" i="20"/>
  <c r="I95" i="20"/>
  <c r="H95" i="20"/>
  <c r="I94" i="20"/>
  <c r="H94" i="20"/>
  <c r="I93" i="20"/>
  <c r="H93" i="20"/>
  <c r="I92" i="20"/>
  <c r="H92" i="20"/>
  <c r="I91" i="20"/>
  <c r="H91" i="20"/>
  <c r="I90" i="20"/>
  <c r="H90" i="20"/>
  <c r="I89" i="20"/>
  <c r="H89" i="20"/>
  <c r="I88" i="20"/>
  <c r="H88" i="20"/>
  <c r="I87" i="20"/>
  <c r="H87" i="20"/>
  <c r="I86" i="20"/>
  <c r="H86" i="20"/>
  <c r="I85" i="20"/>
  <c r="H85" i="20"/>
  <c r="I84" i="20"/>
  <c r="H84" i="20"/>
  <c r="I83" i="20"/>
  <c r="H83" i="20"/>
  <c r="I82" i="20"/>
  <c r="H82" i="20"/>
  <c r="I81" i="20"/>
  <c r="H81" i="20"/>
  <c r="I80" i="20"/>
  <c r="H80" i="20"/>
  <c r="I79" i="20"/>
  <c r="H79" i="20"/>
  <c r="I78" i="20"/>
  <c r="H78" i="20"/>
  <c r="I77" i="20"/>
  <c r="H77" i="20"/>
  <c r="I76" i="20"/>
  <c r="H76" i="20"/>
  <c r="I75" i="20"/>
  <c r="H75" i="20"/>
  <c r="I74" i="20"/>
  <c r="H74" i="20"/>
  <c r="I73" i="20"/>
  <c r="H73" i="20"/>
  <c r="I72" i="20"/>
  <c r="H72" i="20"/>
  <c r="I71" i="20"/>
  <c r="H71" i="20"/>
  <c r="I70" i="20"/>
  <c r="H70" i="20"/>
  <c r="I69" i="20"/>
  <c r="H69" i="20"/>
  <c r="I68" i="20"/>
  <c r="H68" i="20"/>
  <c r="I67" i="20"/>
  <c r="H67" i="20"/>
  <c r="I66" i="20"/>
  <c r="H66" i="20"/>
  <c r="I65" i="20"/>
  <c r="H65" i="20"/>
  <c r="I64" i="20"/>
  <c r="H64" i="20"/>
  <c r="I63" i="20"/>
  <c r="H63" i="20"/>
  <c r="I62" i="20"/>
  <c r="H62" i="20"/>
  <c r="I61" i="20"/>
  <c r="H61" i="20"/>
  <c r="I60" i="20"/>
  <c r="H60" i="20"/>
  <c r="I59" i="20"/>
  <c r="H59" i="20"/>
  <c r="I58" i="20"/>
  <c r="H58" i="20"/>
  <c r="I57" i="20"/>
  <c r="H57" i="20"/>
  <c r="I56" i="20"/>
  <c r="H56" i="20"/>
  <c r="I55" i="20"/>
  <c r="H55" i="20"/>
  <c r="I54" i="20"/>
  <c r="H54" i="20"/>
  <c r="I53" i="20"/>
  <c r="H53" i="20"/>
  <c r="I52" i="20"/>
  <c r="H52" i="20"/>
  <c r="I51" i="20"/>
  <c r="H51" i="20"/>
  <c r="I50" i="20"/>
  <c r="H50" i="20"/>
  <c r="I49" i="20"/>
  <c r="H49" i="20"/>
  <c r="I48" i="20"/>
  <c r="H48" i="20"/>
  <c r="I47" i="20"/>
  <c r="H47" i="20"/>
  <c r="I46" i="20"/>
  <c r="H46" i="20"/>
  <c r="I45" i="20"/>
  <c r="H45" i="20"/>
  <c r="I44" i="20"/>
  <c r="H44" i="20"/>
  <c r="I43" i="20"/>
  <c r="H43" i="20"/>
  <c r="I42" i="20"/>
  <c r="H42" i="20"/>
  <c r="I41" i="20"/>
  <c r="H41" i="20"/>
  <c r="I40" i="20"/>
  <c r="H40" i="20"/>
  <c r="I39" i="20"/>
  <c r="H39" i="20"/>
  <c r="I38" i="20"/>
  <c r="H38" i="20"/>
  <c r="I37" i="20"/>
  <c r="H37" i="20"/>
  <c r="I36" i="20"/>
  <c r="H36" i="20"/>
  <c r="I35" i="20"/>
  <c r="H35" i="20"/>
  <c r="I34" i="20"/>
  <c r="H34" i="20"/>
  <c r="I33" i="20"/>
  <c r="H33" i="20"/>
  <c r="I32" i="20"/>
  <c r="H32" i="20"/>
  <c r="I31" i="20"/>
  <c r="H31" i="20"/>
  <c r="I30" i="20"/>
  <c r="H30" i="20"/>
  <c r="I29" i="20"/>
  <c r="H29" i="20"/>
  <c r="I28" i="20"/>
  <c r="H28" i="20"/>
  <c r="I27" i="20"/>
  <c r="H27" i="20"/>
  <c r="I26" i="20"/>
  <c r="H26" i="20"/>
  <c r="I25" i="20"/>
  <c r="H25" i="20"/>
  <c r="I24" i="20"/>
  <c r="H24" i="20"/>
  <c r="I23" i="20"/>
  <c r="H23" i="20"/>
  <c r="I22" i="20"/>
  <c r="H22" i="20"/>
  <c r="I21" i="20"/>
  <c r="H21" i="20"/>
  <c r="I20" i="20"/>
  <c r="H20" i="20"/>
  <c r="I19" i="20"/>
  <c r="H19" i="20"/>
  <c r="I18" i="20"/>
  <c r="H18" i="20"/>
  <c r="I17" i="20"/>
  <c r="H17" i="20"/>
  <c r="I16" i="20"/>
  <c r="H16" i="20"/>
  <c r="I15" i="20"/>
  <c r="H15" i="20"/>
  <c r="I14" i="20"/>
  <c r="H14" i="20"/>
  <c r="I13" i="20"/>
  <c r="H13" i="20"/>
  <c r="I12" i="20"/>
  <c r="H12" i="20"/>
  <c r="I11" i="20"/>
  <c r="H11" i="20"/>
  <c r="I10" i="20"/>
  <c r="H10" i="20"/>
  <c r="I9" i="20"/>
  <c r="H9" i="20"/>
  <c r="I8" i="20"/>
  <c r="H8" i="20"/>
  <c r="I7" i="20"/>
  <c r="H7" i="20"/>
  <c r="I6" i="20"/>
  <c r="H6" i="20"/>
  <c r="I5" i="20"/>
  <c r="H5" i="20"/>
  <c r="F44" i="19"/>
  <c r="E44" i="19"/>
  <c r="F43" i="19"/>
  <c r="E43" i="19"/>
  <c r="F42" i="19"/>
  <c r="E42" i="19"/>
  <c r="F41" i="19"/>
  <c r="E41" i="19"/>
  <c r="F40" i="19"/>
  <c r="E40" i="19"/>
  <c r="F39" i="19"/>
  <c r="E39" i="19"/>
  <c r="F37" i="19"/>
  <c r="E37" i="19"/>
  <c r="F36" i="19"/>
  <c r="E36" i="19"/>
  <c r="F35" i="19"/>
  <c r="E35" i="19"/>
  <c r="F34" i="19"/>
  <c r="E34" i="19"/>
  <c r="F33" i="19"/>
  <c r="E33" i="19"/>
  <c r="F32" i="19"/>
  <c r="E32" i="19"/>
  <c r="F31" i="19"/>
  <c r="E31" i="19"/>
  <c r="F30" i="19"/>
  <c r="E30" i="19"/>
  <c r="F29" i="19"/>
  <c r="E29" i="19"/>
  <c r="F28" i="19"/>
  <c r="E28" i="19"/>
  <c r="F27" i="19"/>
  <c r="E27" i="19"/>
  <c r="F26" i="19"/>
  <c r="E26" i="19"/>
  <c r="F25" i="19"/>
  <c r="E25" i="19"/>
  <c r="C22" i="19"/>
  <c r="C21" i="19"/>
  <c r="C20" i="19"/>
  <c r="C19" i="19"/>
  <c r="A12" i="19"/>
  <c r="E47" i="1"/>
  <c r="F46" i="1"/>
  <c r="E46" i="1"/>
  <c r="F44" i="1"/>
  <c r="E44" i="1"/>
  <c r="F43" i="1"/>
  <c r="E43" i="1"/>
  <c r="F42" i="1"/>
  <c r="E42" i="1"/>
  <c r="F41" i="1"/>
  <c r="E41" i="1"/>
  <c r="F40" i="1"/>
  <c r="E40" i="1"/>
  <c r="F39" i="1"/>
  <c r="E39" i="1"/>
  <c r="F38" i="1"/>
  <c r="E38" i="1"/>
  <c r="F37" i="1"/>
  <c r="E37" i="1"/>
  <c r="F36" i="1"/>
  <c r="E36" i="1"/>
  <c r="E31" i="1"/>
  <c r="D31" i="1"/>
  <c r="D30" i="1"/>
  <c r="D29" i="1"/>
  <c r="D28" i="1"/>
  <c r="F23" i="1"/>
  <c r="E23" i="1"/>
  <c r="F22" i="1"/>
  <c r="E22" i="1"/>
  <c r="F19" i="1"/>
  <c r="E19" i="1"/>
  <c r="F18" i="1"/>
  <c r="E18" i="1"/>
  <c r="F17" i="1"/>
  <c r="E17" i="1"/>
  <c r="F16" i="1"/>
  <c r="E16" i="1"/>
  <c r="F15" i="1"/>
  <c r="E15" i="1"/>
  <c r="F14" i="1"/>
  <c r="E14" i="1"/>
  <c r="F13" i="1"/>
  <c r="E13" i="1"/>
  <c r="F12" i="1"/>
  <c r="E12" i="1"/>
  <c r="K7" i="1"/>
  <c r="E7" i="1"/>
  <c r="D7" i="1"/>
  <c r="D6" i="1"/>
  <c r="D5" i="1"/>
  <c r="D4" i="1"/>
  <c r="F33" i="16"/>
  <c r="E33" i="16"/>
  <c r="F32" i="16"/>
  <c r="E32" i="16"/>
  <c r="F31" i="16"/>
  <c r="E31" i="16"/>
  <c r="F30" i="16"/>
  <c r="E30" i="16"/>
  <c r="F29" i="16"/>
  <c r="E29" i="16"/>
  <c r="F28" i="16"/>
  <c r="E28" i="16"/>
  <c r="F25" i="16"/>
  <c r="E25" i="16"/>
  <c r="F24" i="16"/>
  <c r="E24" i="16"/>
  <c r="F23" i="16"/>
  <c r="E23" i="16"/>
  <c r="F22" i="16"/>
  <c r="E22" i="16"/>
  <c r="F21" i="16"/>
  <c r="E21" i="16"/>
  <c r="F20" i="16"/>
  <c r="E20" i="16"/>
  <c r="F19" i="16"/>
  <c r="E19" i="16"/>
  <c r="F18" i="16"/>
  <c r="E18" i="16"/>
  <c r="F17" i="16"/>
  <c r="E17" i="16"/>
  <c r="F16" i="16"/>
  <c r="E16" i="16"/>
  <c r="F15" i="16"/>
  <c r="E15" i="16"/>
  <c r="F14" i="16"/>
  <c r="E14" i="16"/>
  <c r="F13" i="16"/>
  <c r="E13" i="16"/>
  <c r="F12" i="16"/>
  <c r="E12" i="16"/>
  <c r="E7" i="16"/>
  <c r="D7" i="16"/>
  <c r="D6" i="16"/>
  <c r="D5" i="16"/>
  <c r="D4" i="16"/>
  <c r="F835" i="11"/>
  <c r="F834" i="11"/>
  <c r="F833" i="11"/>
  <c r="F832" i="11"/>
  <c r="F831" i="11"/>
  <c r="F830" i="11"/>
  <c r="F829" i="11"/>
  <c r="F828" i="11"/>
  <c r="F827" i="11"/>
  <c r="F826" i="11"/>
  <c r="F825" i="11"/>
  <c r="F824" i="11"/>
  <c r="F823" i="11"/>
  <c r="F822" i="11"/>
  <c r="F821" i="11"/>
  <c r="F820" i="11"/>
  <c r="F819" i="11"/>
  <c r="F818" i="11"/>
  <c r="F817" i="11"/>
  <c r="F816" i="11"/>
  <c r="F815" i="11"/>
  <c r="F814" i="11"/>
  <c r="F813" i="11"/>
  <c r="F812" i="11"/>
  <c r="F811" i="11"/>
  <c r="F810" i="11"/>
  <c r="F809" i="11"/>
  <c r="F808" i="11"/>
  <c r="F807" i="11"/>
  <c r="F806" i="11"/>
  <c r="F805" i="11"/>
  <c r="F804" i="11"/>
  <c r="F803" i="11"/>
  <c r="F802" i="11"/>
  <c r="F801" i="11"/>
  <c r="F800" i="11"/>
  <c r="F799" i="11"/>
  <c r="F798" i="11"/>
  <c r="F797" i="11"/>
  <c r="F796" i="11"/>
  <c r="F795" i="11"/>
  <c r="F794" i="11"/>
  <c r="F793" i="11"/>
  <c r="F792" i="11"/>
  <c r="F791" i="11"/>
  <c r="F789" i="11"/>
  <c r="F788" i="11"/>
  <c r="F787" i="11"/>
  <c r="F786" i="11"/>
  <c r="F785" i="11"/>
  <c r="F784" i="11"/>
  <c r="F783" i="11"/>
  <c r="F782" i="11"/>
  <c r="F781" i="11"/>
  <c r="F780" i="11"/>
  <c r="F779" i="11"/>
  <c r="F778" i="11"/>
  <c r="F777" i="11"/>
  <c r="F776" i="11"/>
  <c r="F775" i="11"/>
  <c r="F774" i="11"/>
  <c r="F773" i="11"/>
  <c r="F772" i="11"/>
  <c r="F771" i="11"/>
  <c r="F770" i="11"/>
  <c r="F769" i="11"/>
  <c r="F768" i="11"/>
  <c r="F767" i="11"/>
  <c r="F766" i="11"/>
  <c r="F765" i="11"/>
  <c r="F764" i="11"/>
  <c r="F763" i="11"/>
  <c r="F762" i="11"/>
  <c r="F761" i="11"/>
  <c r="F760" i="11"/>
  <c r="F759" i="11"/>
  <c r="F758" i="11"/>
  <c r="F757" i="11"/>
  <c r="F756" i="11"/>
  <c r="F755" i="11"/>
  <c r="F754" i="11"/>
  <c r="F753" i="11"/>
  <c r="F752" i="11"/>
  <c r="F751" i="11"/>
  <c r="F750" i="11"/>
  <c r="F749" i="11"/>
  <c r="F748" i="11"/>
  <c r="F747" i="11"/>
  <c r="F746" i="11"/>
  <c r="F745" i="11"/>
  <c r="F744" i="11"/>
  <c r="F742" i="11"/>
  <c r="F741" i="11"/>
  <c r="F740" i="11"/>
  <c r="F739" i="11"/>
  <c r="F738" i="11"/>
  <c r="F737" i="11"/>
  <c r="F736" i="11"/>
  <c r="F735" i="11"/>
  <c r="F734" i="11"/>
  <c r="F733" i="11"/>
  <c r="F732" i="11"/>
  <c r="F731" i="11"/>
  <c r="F730" i="11"/>
  <c r="F729" i="11"/>
  <c r="F728" i="11"/>
  <c r="F727" i="11"/>
  <c r="F726" i="11"/>
  <c r="F725" i="11"/>
  <c r="F724" i="11"/>
  <c r="F723" i="11"/>
  <c r="F722" i="11"/>
  <c r="F721" i="11"/>
  <c r="F720" i="11"/>
  <c r="F719" i="11"/>
  <c r="F718" i="11"/>
  <c r="F717" i="11"/>
  <c r="F716" i="11"/>
  <c r="F715" i="11"/>
  <c r="F714" i="11"/>
  <c r="F713" i="11"/>
  <c r="F712" i="11"/>
  <c r="F711" i="11"/>
  <c r="F710" i="11"/>
  <c r="F709" i="11"/>
  <c r="F708" i="11"/>
  <c r="F707" i="11"/>
  <c r="F706" i="11"/>
  <c r="F705" i="11"/>
  <c r="F704" i="11"/>
  <c r="F703" i="11"/>
  <c r="F702" i="11"/>
  <c r="F701" i="11"/>
  <c r="F700" i="11"/>
  <c r="F699" i="11"/>
  <c r="F698" i="11"/>
  <c r="F697" i="11"/>
  <c r="F696" i="11"/>
  <c r="F695" i="11"/>
  <c r="F694" i="11"/>
  <c r="F693" i="11"/>
  <c r="F692" i="11"/>
  <c r="F691" i="11"/>
  <c r="F690" i="11"/>
  <c r="F689" i="11"/>
  <c r="F688" i="11"/>
  <c r="F687" i="11"/>
  <c r="F686" i="11"/>
  <c r="F685" i="11"/>
  <c r="F684" i="11"/>
  <c r="F683" i="11"/>
  <c r="F682" i="11"/>
  <c r="F681" i="11"/>
  <c r="F680" i="11"/>
  <c r="F679" i="11"/>
  <c r="F678" i="11"/>
  <c r="F677" i="11"/>
  <c r="F676" i="11"/>
  <c r="F675" i="11"/>
  <c r="F674" i="11"/>
  <c r="F673" i="11"/>
  <c r="F672" i="11"/>
  <c r="F671" i="11"/>
  <c r="F670" i="11"/>
  <c r="F669" i="11"/>
  <c r="F668" i="11"/>
  <c r="F667" i="11"/>
  <c r="F666" i="11"/>
  <c r="F665" i="11"/>
  <c r="F664" i="11"/>
  <c r="F663" i="11"/>
  <c r="F662" i="11"/>
  <c r="F661" i="11"/>
  <c r="F660" i="11"/>
  <c r="F659" i="11"/>
  <c r="F658" i="11"/>
  <c r="F657" i="11"/>
  <c r="F656" i="11"/>
  <c r="F655" i="11"/>
  <c r="F654" i="11"/>
  <c r="F653" i="11"/>
  <c r="F652" i="11"/>
  <c r="F651" i="11"/>
  <c r="F650" i="11"/>
  <c r="F649" i="11"/>
  <c r="F648" i="11"/>
  <c r="F647" i="11"/>
  <c r="F646" i="11"/>
  <c r="F645" i="11"/>
  <c r="F644" i="11"/>
  <c r="F643" i="11"/>
  <c r="F642" i="11"/>
  <c r="F641" i="11"/>
  <c r="F640" i="11"/>
  <c r="F639" i="11"/>
  <c r="F638" i="11"/>
  <c r="F637" i="11"/>
  <c r="F636" i="11"/>
  <c r="F635" i="11"/>
  <c r="F634" i="11"/>
  <c r="F633" i="11"/>
  <c r="F632" i="11"/>
  <c r="F631" i="11"/>
  <c r="F630" i="11"/>
  <c r="F629" i="11"/>
  <c r="F628" i="11"/>
  <c r="F627" i="11"/>
  <c r="F626" i="11"/>
  <c r="F625" i="11"/>
  <c r="F623" i="11"/>
  <c r="F622" i="11"/>
  <c r="F621" i="11"/>
  <c r="F620" i="11"/>
  <c r="F619" i="11"/>
  <c r="F618" i="11"/>
  <c r="F617" i="11"/>
  <c r="F616" i="11"/>
  <c r="F615" i="11"/>
  <c r="F614" i="11"/>
  <c r="F613" i="11"/>
  <c r="F612" i="11"/>
  <c r="F611" i="11"/>
  <c r="F610" i="11"/>
  <c r="F609" i="11"/>
  <c r="F608" i="11"/>
  <c r="F607" i="11"/>
  <c r="F606" i="11"/>
  <c r="F605" i="11"/>
  <c r="F604" i="11"/>
  <c r="F603" i="11"/>
  <c r="F602" i="11"/>
  <c r="F601" i="11"/>
  <c r="F600" i="11"/>
  <c r="F599" i="11"/>
  <c r="F598" i="11"/>
  <c r="F597" i="11"/>
  <c r="F596" i="11"/>
  <c r="F595" i="11"/>
  <c r="F594" i="11"/>
  <c r="F593" i="11"/>
  <c r="F592" i="11"/>
  <c r="F591" i="11"/>
  <c r="F590" i="11"/>
  <c r="F589" i="11"/>
  <c r="F588" i="11"/>
  <c r="F587" i="11"/>
  <c r="F586" i="11"/>
  <c r="F585" i="11"/>
  <c r="F584" i="11"/>
  <c r="F583" i="11"/>
  <c r="F582" i="11"/>
  <c r="F581" i="11"/>
  <c r="F580" i="11"/>
  <c r="F579" i="11"/>
  <c r="F578" i="11"/>
  <c r="F577" i="11"/>
  <c r="F576" i="11"/>
  <c r="F575" i="11"/>
  <c r="F574" i="11"/>
  <c r="F573" i="11"/>
  <c r="F572" i="11"/>
  <c r="F571" i="11"/>
  <c r="F570" i="11"/>
  <c r="F569" i="11"/>
  <c r="F568" i="11"/>
  <c r="F567" i="11"/>
  <c r="F566" i="11"/>
  <c r="F565" i="11"/>
  <c r="F564" i="11"/>
  <c r="F563" i="11"/>
  <c r="F562" i="11"/>
  <c r="F561" i="11"/>
  <c r="F560" i="11"/>
  <c r="F559" i="11"/>
  <c r="F558" i="11"/>
  <c r="F557" i="11"/>
  <c r="F556" i="11"/>
  <c r="F555" i="11"/>
  <c r="F554" i="11"/>
  <c r="F553" i="11"/>
  <c r="F552" i="11"/>
  <c r="F551" i="11"/>
  <c r="F550" i="11"/>
  <c r="F549" i="11"/>
  <c r="F548" i="11"/>
  <c r="F547" i="11"/>
  <c r="F546" i="11"/>
  <c r="F545" i="11"/>
  <c r="F544" i="11"/>
  <c r="F543" i="11"/>
  <c r="F542" i="11"/>
  <c r="F541" i="11"/>
  <c r="F540" i="11"/>
  <c r="F539" i="11"/>
  <c r="F538" i="11"/>
  <c r="F537" i="11"/>
  <c r="F536" i="11"/>
  <c r="F535" i="11"/>
  <c r="F534" i="11"/>
  <c r="F533" i="11"/>
  <c r="F532" i="11"/>
  <c r="F531" i="11"/>
  <c r="F530" i="11"/>
  <c r="F528" i="11"/>
  <c r="F527" i="11"/>
  <c r="F526" i="11"/>
  <c r="F525" i="11"/>
  <c r="F524" i="11"/>
  <c r="F523" i="11"/>
  <c r="F522" i="11"/>
  <c r="F521" i="11"/>
  <c r="F520" i="11"/>
  <c r="F519" i="11"/>
  <c r="F518" i="11"/>
  <c r="F517" i="11"/>
  <c r="F516" i="11"/>
  <c r="F515" i="11"/>
  <c r="F514" i="11"/>
  <c r="F513" i="11"/>
  <c r="F512" i="11"/>
  <c r="F511" i="11"/>
  <c r="F510" i="11"/>
  <c r="F509" i="11"/>
  <c r="F508" i="11"/>
  <c r="F507" i="11"/>
  <c r="F506" i="11"/>
  <c r="F505" i="11"/>
  <c r="F504" i="11"/>
  <c r="F503" i="11"/>
  <c r="F502" i="11"/>
  <c r="F501" i="11"/>
  <c r="F500" i="11"/>
  <c r="F499" i="11"/>
  <c r="F498" i="11"/>
  <c r="F497" i="11"/>
  <c r="F496" i="11"/>
  <c r="F495" i="11"/>
  <c r="F494" i="11"/>
  <c r="F493" i="11"/>
  <c r="F492" i="11"/>
  <c r="F491" i="11"/>
  <c r="F490" i="11"/>
  <c r="F489" i="11"/>
  <c r="F488" i="11"/>
  <c r="F487" i="11"/>
  <c r="F486" i="11"/>
  <c r="F485" i="11"/>
  <c r="F484" i="11"/>
  <c r="F483" i="11"/>
  <c r="F482" i="11"/>
  <c r="F481" i="11"/>
  <c r="F480" i="11"/>
  <c r="F479" i="11"/>
  <c r="F478" i="11"/>
  <c r="F477" i="11"/>
  <c r="F476" i="11"/>
  <c r="F475" i="11"/>
  <c r="F474" i="11"/>
  <c r="F473" i="11"/>
  <c r="F472" i="11"/>
  <c r="F470" i="11"/>
  <c r="F469" i="11"/>
  <c r="F468" i="11"/>
  <c r="F467" i="11"/>
  <c r="F466" i="11"/>
  <c r="F465" i="11"/>
  <c r="F464" i="11"/>
  <c r="F463" i="11"/>
  <c r="F462" i="11"/>
  <c r="F461" i="11"/>
  <c r="F460" i="11"/>
  <c r="F459" i="11"/>
  <c r="F458" i="11"/>
  <c r="F457" i="11"/>
  <c r="F456" i="11"/>
  <c r="F455" i="11"/>
  <c r="F454" i="11"/>
  <c r="F453" i="11"/>
  <c r="F452" i="11"/>
  <c r="F451" i="11"/>
  <c r="F450" i="11"/>
  <c r="F449" i="11"/>
  <c r="F448" i="11"/>
  <c r="F447" i="11"/>
  <c r="F446" i="11"/>
  <c r="F445" i="11"/>
  <c r="F444" i="11"/>
  <c r="F443" i="11"/>
  <c r="F442" i="11"/>
  <c r="F441" i="11"/>
  <c r="F440" i="11"/>
  <c r="F439" i="11"/>
  <c r="F438" i="11"/>
  <c r="F437" i="11"/>
  <c r="F436" i="11"/>
  <c r="F435" i="11"/>
  <c r="F434" i="11"/>
  <c r="F433" i="11"/>
  <c r="F432" i="11"/>
  <c r="F431" i="11"/>
  <c r="F430" i="11"/>
  <c r="F429" i="11"/>
  <c r="F428" i="11"/>
  <c r="F427" i="11"/>
  <c r="F426" i="11"/>
  <c r="F425" i="11"/>
  <c r="F424" i="11"/>
  <c r="F423" i="11"/>
  <c r="F422" i="11"/>
  <c r="F421" i="11"/>
  <c r="F420" i="11"/>
  <c r="F419" i="11"/>
  <c r="F418" i="11"/>
  <c r="F417" i="11"/>
  <c r="F416" i="11"/>
  <c r="F415" i="11"/>
  <c r="F414" i="11"/>
  <c r="F413" i="11"/>
  <c r="F412" i="11"/>
  <c r="F411" i="11"/>
  <c r="F410" i="11"/>
  <c r="F409" i="11"/>
  <c r="F408" i="11"/>
  <c r="F407" i="11"/>
  <c r="F406" i="11"/>
  <c r="F405" i="11"/>
  <c r="F404" i="11"/>
  <c r="F403" i="11"/>
  <c r="F402" i="11"/>
  <c r="F401" i="11"/>
  <c r="F400" i="11"/>
  <c r="F399" i="11"/>
  <c r="F398" i="11"/>
  <c r="F397" i="11"/>
  <c r="F396" i="11"/>
  <c r="F395" i="11"/>
  <c r="F394" i="11"/>
  <c r="F393" i="11"/>
  <c r="F392" i="11"/>
  <c r="F391" i="11"/>
  <c r="F390" i="11"/>
  <c r="F389" i="11"/>
  <c r="F388" i="11"/>
  <c r="F387" i="11"/>
  <c r="F386" i="11"/>
  <c r="F385" i="11"/>
  <c r="F384" i="11"/>
  <c r="F383" i="11"/>
  <c r="F382" i="11"/>
  <c r="F381" i="11"/>
  <c r="F380" i="11"/>
  <c r="F379" i="11"/>
  <c r="F378" i="11"/>
  <c r="F377" i="11"/>
  <c r="F376" i="11"/>
  <c r="F375" i="11"/>
  <c r="F374" i="11"/>
  <c r="F373" i="11"/>
  <c r="F372" i="11"/>
  <c r="F371" i="11"/>
  <c r="F370" i="11"/>
  <c r="F369" i="11"/>
  <c r="F368" i="11"/>
  <c r="F367" i="11"/>
  <c r="F366" i="11"/>
  <c r="F365" i="11"/>
  <c r="F364" i="11"/>
  <c r="F363" i="11"/>
  <c r="F362" i="11"/>
  <c r="F361" i="11"/>
  <c r="F360" i="11"/>
  <c r="F359" i="11"/>
  <c r="F358" i="11"/>
  <c r="F357" i="11"/>
  <c r="F356" i="11"/>
  <c r="F355" i="11"/>
  <c r="F354" i="11"/>
  <c r="F353" i="11"/>
  <c r="F352" i="11"/>
  <c r="F351" i="11"/>
  <c r="F350" i="11"/>
  <c r="F349" i="11"/>
  <c r="F348" i="11"/>
  <c r="F347" i="11"/>
  <c r="F346" i="11"/>
  <c r="F345" i="11"/>
  <c r="F344" i="11"/>
  <c r="F343" i="11"/>
  <c r="F342" i="11"/>
  <c r="F341" i="11"/>
  <c r="F340" i="11"/>
  <c r="F339" i="11"/>
  <c r="F338" i="11"/>
  <c r="F337" i="11"/>
  <c r="F336" i="11"/>
  <c r="F335" i="11"/>
  <c r="F334" i="11"/>
  <c r="F333" i="11"/>
  <c r="F332" i="11"/>
  <c r="F331" i="11"/>
  <c r="F330" i="11"/>
  <c r="F329" i="11"/>
  <c r="F328" i="11"/>
  <c r="F327" i="11"/>
  <c r="F326" i="11"/>
  <c r="F325" i="11"/>
  <c r="F324" i="11"/>
  <c r="F323" i="11"/>
  <c r="F322" i="11"/>
  <c r="F321" i="11"/>
  <c r="F320" i="11"/>
  <c r="F319" i="11"/>
  <c r="F318" i="11"/>
  <c r="F317" i="11"/>
  <c r="F316" i="11"/>
  <c r="F315" i="11"/>
  <c r="F314" i="11"/>
  <c r="F313" i="11"/>
  <c r="F312" i="11"/>
  <c r="F311" i="11"/>
  <c r="F310" i="11"/>
  <c r="F309" i="11"/>
  <c r="F308" i="11"/>
  <c r="F307" i="11"/>
  <c r="F306" i="11"/>
  <c r="F305" i="11"/>
  <c r="F304" i="11"/>
  <c r="F303" i="11"/>
  <c r="F302" i="11"/>
  <c r="F301" i="11"/>
  <c r="F300" i="11"/>
  <c r="F299" i="11"/>
  <c r="F298" i="11"/>
  <c r="F297" i="11"/>
  <c r="F296" i="11"/>
  <c r="F295" i="11"/>
  <c r="F294" i="11"/>
  <c r="F293" i="11"/>
  <c r="F292" i="11"/>
  <c r="F291" i="11"/>
  <c r="F290" i="11"/>
  <c r="F289" i="11"/>
  <c r="F288" i="11"/>
  <c r="F287" i="11"/>
  <c r="F286" i="11"/>
  <c r="F285" i="11"/>
  <c r="F284" i="11"/>
  <c r="F283" i="11"/>
  <c r="F282" i="11"/>
  <c r="F281" i="11"/>
  <c r="F280" i="11"/>
  <c r="F279" i="11"/>
  <c r="F278" i="11"/>
  <c r="F277" i="11"/>
  <c r="F276" i="11"/>
  <c r="F275" i="11"/>
  <c r="F274" i="11"/>
  <c r="F273" i="11"/>
  <c r="F272" i="11"/>
  <c r="F271" i="11"/>
  <c r="F270" i="11"/>
  <c r="F269" i="11"/>
  <c r="F268" i="11"/>
  <c r="F267" i="11"/>
  <c r="F266" i="11"/>
  <c r="F265" i="11"/>
  <c r="F264" i="11"/>
  <c r="F263" i="11"/>
  <c r="F262" i="11"/>
  <c r="F261" i="11"/>
  <c r="F260" i="11"/>
  <c r="F259" i="11"/>
  <c r="F258" i="11"/>
  <c r="F257" i="11"/>
  <c r="F256" i="11"/>
  <c r="F255" i="11"/>
  <c r="F254" i="11"/>
  <c r="F253" i="11"/>
  <c r="F252" i="11"/>
  <c r="F251" i="11"/>
  <c r="F250" i="11"/>
  <c r="F249" i="11"/>
  <c r="F248" i="11"/>
  <c r="F247" i="11"/>
  <c r="F246" i="11"/>
  <c r="F245" i="11"/>
  <c r="F244" i="11"/>
  <c r="F243" i="11"/>
  <c r="F242" i="11"/>
  <c r="F241" i="11"/>
  <c r="F240" i="11"/>
  <c r="F239" i="11"/>
  <c r="F238" i="11"/>
  <c r="F237" i="11"/>
  <c r="F236" i="11"/>
  <c r="F235" i="11"/>
  <c r="F234" i="11"/>
  <c r="F233" i="11"/>
  <c r="F232" i="11"/>
  <c r="F231" i="11"/>
  <c r="F230" i="11"/>
  <c r="F229" i="11"/>
  <c r="F228" i="11"/>
  <c r="F227" i="11"/>
  <c r="F226" i="11"/>
  <c r="F225" i="11"/>
  <c r="F224" i="11"/>
  <c r="F223" i="11"/>
  <c r="F222" i="11"/>
  <c r="F221" i="11"/>
  <c r="F220" i="11"/>
  <c r="F219" i="11"/>
  <c r="F218" i="11"/>
  <c r="F217" i="11"/>
  <c r="F216" i="11"/>
  <c r="F215" i="11"/>
  <c r="F214" i="11"/>
  <c r="F213" i="11"/>
  <c r="F212" i="11"/>
  <c r="F211" i="11"/>
  <c r="F210" i="11"/>
  <c r="F209" i="11"/>
  <c r="F208" i="11"/>
  <c r="F207" i="11"/>
  <c r="F206" i="11"/>
  <c r="F205" i="11"/>
  <c r="F204" i="11"/>
  <c r="F203" i="11"/>
  <c r="F202" i="11"/>
  <c r="F201" i="11"/>
  <c r="F200" i="11"/>
  <c r="F199" i="11"/>
  <c r="F198" i="11"/>
  <c r="F197" i="11"/>
  <c r="F196" i="11"/>
  <c r="F195" i="11"/>
  <c r="F194" i="11"/>
  <c r="F193" i="11"/>
  <c r="F192" i="11"/>
  <c r="F191" i="11"/>
  <c r="F190" i="11"/>
  <c r="F189" i="11"/>
  <c r="F188" i="11"/>
  <c r="F187" i="11"/>
  <c r="F186" i="11"/>
  <c r="F185" i="11"/>
  <c r="F184" i="11"/>
  <c r="F183" i="11"/>
  <c r="F182" i="11"/>
  <c r="F181" i="11"/>
  <c r="F180" i="11"/>
  <c r="F179" i="11"/>
  <c r="F178" i="11"/>
  <c r="F177" i="11"/>
  <c r="F176" i="11"/>
  <c r="F175" i="11"/>
  <c r="F174" i="11"/>
  <c r="F173" i="11"/>
  <c r="F172" i="11"/>
  <c r="F171" i="11"/>
  <c r="F170" i="11"/>
  <c r="F169" i="11"/>
  <c r="F168" i="11"/>
  <c r="F167" i="11"/>
  <c r="F166" i="11"/>
  <c r="F165" i="11"/>
  <c r="F164" i="11"/>
  <c r="F163" i="11"/>
  <c r="F162" i="11"/>
  <c r="F161" i="11"/>
  <c r="F160" i="11"/>
  <c r="F159" i="11"/>
  <c r="F158" i="11"/>
  <c r="F157" i="11"/>
  <c r="F156" i="11"/>
  <c r="F155" i="11"/>
  <c r="F154" i="11"/>
  <c r="F153" i="11"/>
  <c r="F152" i="11"/>
  <c r="F151" i="11"/>
  <c r="F150" i="11"/>
  <c r="F149" i="11"/>
  <c r="F148" i="11"/>
  <c r="F147" i="11"/>
  <c r="F146" i="11"/>
  <c r="F145" i="11"/>
  <c r="F144" i="11"/>
  <c r="F143" i="11"/>
  <c r="F142" i="11"/>
  <c r="F141" i="11"/>
  <c r="F140" i="11"/>
  <c r="F139" i="11"/>
  <c r="F138" i="11"/>
  <c r="F137" i="11"/>
  <c r="F136" i="11"/>
  <c r="F135" i="11"/>
  <c r="F134" i="11"/>
  <c r="F133" i="11"/>
  <c r="F132" i="11"/>
  <c r="F131" i="11"/>
  <c r="F130" i="11"/>
  <c r="F129" i="11"/>
  <c r="F128" i="11"/>
  <c r="F127" i="11"/>
  <c r="F126" i="11"/>
  <c r="F125" i="11"/>
  <c r="F124" i="11"/>
  <c r="F123" i="11"/>
  <c r="F122" i="11"/>
  <c r="F121" i="11"/>
  <c r="F120" i="11"/>
  <c r="F119" i="11"/>
  <c r="F118" i="11"/>
  <c r="F117" i="11"/>
  <c r="F116" i="11"/>
  <c r="F115" i="11"/>
  <c r="F114" i="11"/>
  <c r="F113" i="11"/>
  <c r="F112" i="11"/>
  <c r="F111" i="11"/>
  <c r="F110" i="11"/>
  <c r="F109" i="11"/>
  <c r="F108" i="11"/>
  <c r="F107" i="11"/>
  <c r="F106" i="11"/>
  <c r="F105" i="11"/>
  <c r="F104" i="11"/>
  <c r="F103" i="11"/>
  <c r="F102" i="11"/>
  <c r="F101" i="11"/>
  <c r="F100" i="11"/>
  <c r="F99" i="11"/>
  <c r="F98" i="11"/>
  <c r="F97" i="11"/>
  <c r="F96" i="11"/>
  <c r="F95" i="11"/>
  <c r="F94" i="11"/>
  <c r="F93" i="11"/>
  <c r="F92" i="11"/>
  <c r="F91" i="11"/>
  <c r="F90" i="11"/>
  <c r="F89" i="11"/>
  <c r="F88" i="11"/>
  <c r="F87" i="11"/>
  <c r="F86" i="11"/>
  <c r="F85" i="11"/>
  <c r="F84" i="11"/>
  <c r="F83" i="11"/>
  <c r="F82" i="11"/>
  <c r="F81" i="11"/>
  <c r="F80" i="11"/>
  <c r="F79" i="11"/>
  <c r="F78" i="11"/>
  <c r="F77" i="11"/>
  <c r="F76" i="11"/>
  <c r="F75" i="11"/>
  <c r="F74" i="11"/>
  <c r="F73" i="11"/>
  <c r="F72" i="11"/>
  <c r="F71" i="11"/>
  <c r="F70" i="11"/>
  <c r="F69" i="11"/>
  <c r="F68" i="11"/>
  <c r="F67" i="11"/>
  <c r="F66" i="11"/>
  <c r="F65" i="11"/>
  <c r="F64" i="11"/>
  <c r="F63" i="11"/>
  <c r="F62" i="11"/>
  <c r="F61" i="11"/>
  <c r="F60" i="11"/>
  <c r="F59" i="11"/>
  <c r="F58" i="11"/>
  <c r="F57" i="11"/>
  <c r="F56" i="11"/>
  <c r="F55" i="11"/>
  <c r="F54" i="11"/>
  <c r="F53" i="11"/>
  <c r="F52" i="11"/>
  <c r="F51" i="11"/>
  <c r="F50" i="11"/>
  <c r="F49" i="11"/>
  <c r="F48" i="11"/>
  <c r="F47" i="11"/>
  <c r="F46" i="11"/>
  <c r="F45" i="11"/>
  <c r="F44" i="11"/>
  <c r="F43" i="11"/>
  <c r="F42" i="11"/>
  <c r="F41" i="11"/>
  <c r="F40" i="11"/>
  <c r="F39" i="11"/>
  <c r="F38" i="11"/>
  <c r="F37" i="11"/>
  <c r="F36" i="11"/>
  <c r="F35" i="11"/>
  <c r="F34" i="11"/>
  <c r="F33" i="11"/>
  <c r="F32" i="11"/>
  <c r="F31" i="11"/>
  <c r="F30" i="11"/>
  <c r="F29" i="11"/>
  <c r="F28" i="11"/>
  <c r="F27" i="11"/>
  <c r="F26" i="11"/>
  <c r="F25" i="11"/>
  <c r="F24" i="11"/>
  <c r="F23" i="11"/>
  <c r="F22" i="11"/>
  <c r="F21" i="11"/>
  <c r="F20" i="11"/>
  <c r="F19" i="11"/>
  <c r="F18" i="11"/>
  <c r="F17" i="11"/>
  <c r="F16" i="11"/>
  <c r="F15" i="11"/>
  <c r="F14" i="11"/>
  <c r="F13" i="11"/>
  <c r="F12" i="11"/>
  <c r="F11" i="11"/>
  <c r="F10" i="11"/>
  <c r="F9" i="11"/>
  <c r="F8" i="11"/>
  <c r="F7" i="11"/>
  <c r="F6" i="11"/>
  <c r="F5" i="11"/>
  <c r="F4" i="11"/>
  <c r="F3" i="11"/>
  <c r="F2" i="11"/>
  <c r="G2234" i="7"/>
  <c r="F2234" i="7"/>
  <c r="E2234" i="7"/>
  <c r="D2234" i="7"/>
  <c r="C2234" i="7"/>
  <c r="B2234" i="7"/>
  <c r="G2233" i="7"/>
  <c r="F2233" i="7"/>
  <c r="I2233" i="7" s="1"/>
  <c r="E2233" i="7"/>
  <c r="D2233" i="7"/>
  <c r="C2233" i="7"/>
  <c r="B2233" i="7"/>
  <c r="G2232" i="7"/>
  <c r="F2232" i="7"/>
  <c r="I2232" i="7" s="1"/>
  <c r="E2232" i="7"/>
  <c r="D2232" i="7"/>
  <c r="C2232" i="7"/>
  <c r="B2232" i="7"/>
  <c r="G2231" i="7"/>
  <c r="F2231" i="7"/>
  <c r="H2231" i="7" s="1"/>
  <c r="E2231" i="7"/>
  <c r="D2231" i="7"/>
  <c r="C2231" i="7"/>
  <c r="B2231" i="7"/>
  <c r="G2230" i="7"/>
  <c r="F2230" i="7"/>
  <c r="E2230" i="7"/>
  <c r="D2230" i="7"/>
  <c r="C2230" i="7"/>
  <c r="B2230" i="7"/>
  <c r="G2229" i="7"/>
  <c r="F2229" i="7"/>
  <c r="I2229" i="7" s="1"/>
  <c r="E2229" i="7"/>
  <c r="D2229" i="7"/>
  <c r="C2229" i="7"/>
  <c r="B2229" i="7"/>
  <c r="G2228" i="7"/>
  <c r="F2228" i="7"/>
  <c r="I2228" i="7" s="1"/>
  <c r="E2228" i="7"/>
  <c r="D2228" i="7"/>
  <c r="C2228" i="7"/>
  <c r="B2228" i="7"/>
  <c r="G2227" i="7"/>
  <c r="F2227" i="7"/>
  <c r="H2227" i="7" s="1"/>
  <c r="E2227" i="7"/>
  <c r="D2227" i="7"/>
  <c r="C2227" i="7"/>
  <c r="B2227" i="7"/>
  <c r="G2226" i="7"/>
  <c r="F2226" i="7"/>
  <c r="E2226" i="7"/>
  <c r="D2226" i="7"/>
  <c r="C2226" i="7"/>
  <c r="B2226" i="7"/>
  <c r="G2225" i="7"/>
  <c r="F2225" i="7"/>
  <c r="I2225" i="7" s="1"/>
  <c r="E2225" i="7"/>
  <c r="D2225" i="7"/>
  <c r="C2225" i="7"/>
  <c r="B2225" i="7"/>
  <c r="G2224" i="7"/>
  <c r="F2224" i="7"/>
  <c r="H2224" i="7" s="1"/>
  <c r="E2224" i="7"/>
  <c r="D2224" i="7"/>
  <c r="C2224" i="7"/>
  <c r="B2224" i="7"/>
  <c r="G2223" i="7"/>
  <c r="F2223" i="7"/>
  <c r="H2223" i="7" s="1"/>
  <c r="E2223" i="7"/>
  <c r="D2223" i="7"/>
  <c r="C2223" i="7"/>
  <c r="B2223" i="7"/>
  <c r="G2222" i="7"/>
  <c r="F2222" i="7"/>
  <c r="E2222" i="7"/>
  <c r="D2222" i="7"/>
  <c r="C2222" i="7"/>
  <c r="B2222" i="7"/>
  <c r="G2221" i="7"/>
  <c r="F2221" i="7"/>
  <c r="I2221" i="7" s="1"/>
  <c r="E2221" i="7"/>
  <c r="D2221" i="7"/>
  <c r="C2221" i="7"/>
  <c r="B2221" i="7"/>
  <c r="G2220" i="7"/>
  <c r="F2220" i="7"/>
  <c r="I2220" i="7" s="1"/>
  <c r="E2220" i="7"/>
  <c r="D2220" i="7"/>
  <c r="C2220" i="7"/>
  <c r="B2220" i="7"/>
  <c r="G2219" i="7"/>
  <c r="F2219" i="7"/>
  <c r="E2219" i="7"/>
  <c r="D2219" i="7"/>
  <c r="C2219" i="7"/>
  <c r="B2219" i="7"/>
  <c r="G2218" i="7"/>
  <c r="F2218" i="7"/>
  <c r="E2218" i="7"/>
  <c r="D2218" i="7"/>
  <c r="C2218" i="7"/>
  <c r="B2218" i="7"/>
  <c r="G2217" i="7"/>
  <c r="F2217" i="7"/>
  <c r="E2217" i="7"/>
  <c r="D2217" i="7"/>
  <c r="C2217" i="7"/>
  <c r="B2217" i="7"/>
  <c r="G2216" i="7"/>
  <c r="F2216" i="7"/>
  <c r="E2216" i="7"/>
  <c r="D2216" i="7"/>
  <c r="C2216" i="7"/>
  <c r="B2216" i="7"/>
  <c r="G2215" i="7"/>
  <c r="F2215" i="7"/>
  <c r="H2215" i="7" s="1"/>
  <c r="E2215" i="7"/>
  <c r="D2215" i="7"/>
  <c r="C2215" i="7"/>
  <c r="B2215" i="7"/>
  <c r="G2214" i="7"/>
  <c r="F2214" i="7"/>
  <c r="E2214" i="7"/>
  <c r="D2214" i="7"/>
  <c r="C2214" i="7"/>
  <c r="B2214" i="7"/>
  <c r="G2213" i="7"/>
  <c r="F2213" i="7"/>
  <c r="I2213" i="7" s="1"/>
  <c r="E2213" i="7"/>
  <c r="D2213" i="7"/>
  <c r="C2213" i="7"/>
  <c r="B2213" i="7"/>
  <c r="G2212" i="7"/>
  <c r="F2212" i="7"/>
  <c r="I2212" i="7" s="1"/>
  <c r="E2212" i="7"/>
  <c r="D2212" i="7"/>
  <c r="C2212" i="7"/>
  <c r="B2212" i="7"/>
  <c r="G2211" i="7"/>
  <c r="F2211" i="7"/>
  <c r="H2211" i="7" s="1"/>
  <c r="E2211" i="7"/>
  <c r="D2211" i="7"/>
  <c r="C2211" i="7"/>
  <c r="B2211" i="7"/>
  <c r="G2210" i="7"/>
  <c r="F2210" i="7"/>
  <c r="E2210" i="7"/>
  <c r="D2210" i="7"/>
  <c r="C2210" i="7"/>
  <c r="B2210" i="7"/>
  <c r="G2209" i="7"/>
  <c r="F2209" i="7"/>
  <c r="E2209" i="7"/>
  <c r="D2209" i="7"/>
  <c r="C2209" i="7"/>
  <c r="B2209" i="7"/>
  <c r="G2208" i="7"/>
  <c r="F2208" i="7"/>
  <c r="E2208" i="7"/>
  <c r="D2208" i="7"/>
  <c r="C2208" i="7"/>
  <c r="B2208" i="7"/>
  <c r="G2207" i="7"/>
  <c r="F2207" i="7"/>
  <c r="H2207" i="7" s="1"/>
  <c r="E2207" i="7"/>
  <c r="D2207" i="7"/>
  <c r="C2207" i="7"/>
  <c r="B2207" i="7"/>
  <c r="G2206" i="7"/>
  <c r="F2206" i="7"/>
  <c r="E2206" i="7"/>
  <c r="D2206" i="7"/>
  <c r="C2206" i="7"/>
  <c r="B2206" i="7"/>
  <c r="G2205" i="7"/>
  <c r="F2205" i="7"/>
  <c r="I2205" i="7" s="1"/>
  <c r="E2205" i="7"/>
  <c r="D2205" i="7"/>
  <c r="C2205" i="7"/>
  <c r="B2205" i="7"/>
  <c r="G2204" i="7"/>
  <c r="F2204" i="7"/>
  <c r="H2204" i="7" s="1"/>
  <c r="E2204" i="7"/>
  <c r="D2204" i="7"/>
  <c r="C2204" i="7"/>
  <c r="B2204" i="7"/>
  <c r="G2203" i="7"/>
  <c r="F2203" i="7"/>
  <c r="H2203" i="7" s="1"/>
  <c r="E2203" i="7"/>
  <c r="D2203" i="7"/>
  <c r="C2203" i="7"/>
  <c r="B2203" i="7"/>
  <c r="G2202" i="7"/>
  <c r="F2202" i="7"/>
  <c r="E2202" i="7"/>
  <c r="D2202" i="7"/>
  <c r="C2202" i="7"/>
  <c r="B2202" i="7"/>
  <c r="G2201" i="7"/>
  <c r="F2201" i="7"/>
  <c r="E2201" i="7"/>
  <c r="D2201" i="7"/>
  <c r="C2201" i="7"/>
  <c r="B2201" i="7"/>
  <c r="G2200" i="7"/>
  <c r="F2200" i="7"/>
  <c r="E2200" i="7"/>
  <c r="D2200" i="7"/>
  <c r="C2200" i="7"/>
  <c r="B2200" i="7"/>
  <c r="G2199" i="7"/>
  <c r="F2199" i="7"/>
  <c r="H2199" i="7" s="1"/>
  <c r="E2199" i="7"/>
  <c r="D2199" i="7"/>
  <c r="C2199" i="7"/>
  <c r="B2199" i="7"/>
  <c r="G2198" i="7"/>
  <c r="F2198" i="7"/>
  <c r="E2198" i="7"/>
  <c r="D2198" i="7"/>
  <c r="C2198" i="7"/>
  <c r="B2198" i="7"/>
  <c r="G2197" i="7"/>
  <c r="F2197" i="7"/>
  <c r="I2197" i="7" s="1"/>
  <c r="E2197" i="7"/>
  <c r="D2197" i="7"/>
  <c r="C2197" i="7"/>
  <c r="B2197" i="7"/>
  <c r="G2196" i="7"/>
  <c r="F2196" i="7"/>
  <c r="I2196" i="7" s="1"/>
  <c r="E2196" i="7"/>
  <c r="D2196" i="7"/>
  <c r="C2196" i="7"/>
  <c r="B2196" i="7"/>
  <c r="G2195" i="7"/>
  <c r="F2195" i="7"/>
  <c r="H2195" i="7" s="1"/>
  <c r="E2195" i="7"/>
  <c r="D2195" i="7"/>
  <c r="C2195" i="7"/>
  <c r="B2195" i="7"/>
  <c r="G2194" i="7"/>
  <c r="F2194" i="7"/>
  <c r="E2194" i="7"/>
  <c r="D2194" i="7"/>
  <c r="C2194" i="7"/>
  <c r="B2194" i="7"/>
  <c r="G2193" i="7"/>
  <c r="F2193" i="7"/>
  <c r="E2193" i="7"/>
  <c r="D2193" i="7"/>
  <c r="C2193" i="7"/>
  <c r="B2193" i="7"/>
  <c r="G2192" i="7"/>
  <c r="F2192" i="7"/>
  <c r="E2192" i="7"/>
  <c r="D2192" i="7"/>
  <c r="C2192" i="7"/>
  <c r="B2192" i="7"/>
  <c r="G2191" i="7"/>
  <c r="F2191" i="7"/>
  <c r="H2191" i="7" s="1"/>
  <c r="E2191" i="7"/>
  <c r="D2191" i="7"/>
  <c r="C2191" i="7"/>
  <c r="B2191" i="7"/>
  <c r="G2190" i="7"/>
  <c r="F2190" i="7"/>
  <c r="E2190" i="7"/>
  <c r="D2190" i="7"/>
  <c r="C2190" i="7"/>
  <c r="B2190" i="7"/>
  <c r="G2189" i="7"/>
  <c r="F2189" i="7"/>
  <c r="I2189" i="7" s="1"/>
  <c r="E2189" i="7"/>
  <c r="D2189" i="7"/>
  <c r="C2189" i="7"/>
  <c r="B2189" i="7"/>
  <c r="G2188" i="7"/>
  <c r="F2188" i="7"/>
  <c r="H2188" i="7" s="1"/>
  <c r="E2188" i="7"/>
  <c r="D2188" i="7"/>
  <c r="C2188" i="7"/>
  <c r="B2188" i="7"/>
  <c r="G2187" i="7"/>
  <c r="F2187" i="7"/>
  <c r="H2187" i="7" s="1"/>
  <c r="E2187" i="7"/>
  <c r="D2187" i="7"/>
  <c r="C2187" i="7"/>
  <c r="B2187" i="7"/>
  <c r="G2186" i="7"/>
  <c r="F2186" i="7"/>
  <c r="E2186" i="7"/>
  <c r="D2186" i="7"/>
  <c r="C2186" i="7"/>
  <c r="B2186" i="7"/>
  <c r="G2185" i="7"/>
  <c r="F2185" i="7"/>
  <c r="E2185" i="7"/>
  <c r="D2185" i="7"/>
  <c r="C2185" i="7"/>
  <c r="B2185" i="7"/>
  <c r="G2184" i="7"/>
  <c r="F2184" i="7"/>
  <c r="E2184" i="7"/>
  <c r="D2184" i="7"/>
  <c r="C2184" i="7"/>
  <c r="B2184" i="7"/>
  <c r="G2183" i="7"/>
  <c r="F2183" i="7"/>
  <c r="H2183" i="7" s="1"/>
  <c r="E2183" i="7"/>
  <c r="D2183" i="7"/>
  <c r="C2183" i="7"/>
  <c r="B2183" i="7"/>
  <c r="G2182" i="7"/>
  <c r="F2182" i="7"/>
  <c r="E2182" i="7"/>
  <c r="D2182" i="7"/>
  <c r="C2182" i="7"/>
  <c r="B2182" i="7"/>
  <c r="G2181" i="7"/>
  <c r="F2181" i="7"/>
  <c r="I2181" i="7" s="1"/>
  <c r="E2181" i="7"/>
  <c r="D2181" i="7"/>
  <c r="C2181" i="7"/>
  <c r="B2181" i="7"/>
  <c r="G2180" i="7"/>
  <c r="F2180" i="7"/>
  <c r="E2180" i="7"/>
  <c r="D2180" i="7"/>
  <c r="C2180" i="7"/>
  <c r="B2180" i="7"/>
  <c r="G2179" i="7"/>
  <c r="F2179" i="7"/>
  <c r="H2179" i="7" s="1"/>
  <c r="E2179" i="7"/>
  <c r="D2179" i="7"/>
  <c r="C2179" i="7"/>
  <c r="B2179" i="7"/>
  <c r="G2178" i="7"/>
  <c r="F2178" i="7"/>
  <c r="E2178" i="7"/>
  <c r="D2178" i="7"/>
  <c r="C2178" i="7"/>
  <c r="B2178" i="7"/>
  <c r="G2177" i="7"/>
  <c r="F2177" i="7"/>
  <c r="E2177" i="7"/>
  <c r="D2177" i="7"/>
  <c r="C2177" i="7"/>
  <c r="B2177" i="7"/>
  <c r="G2176" i="7"/>
  <c r="F2176" i="7"/>
  <c r="E2176" i="7"/>
  <c r="D2176" i="7"/>
  <c r="C2176" i="7"/>
  <c r="B2176" i="7"/>
  <c r="G2175" i="7"/>
  <c r="F2175" i="7"/>
  <c r="H2175" i="7" s="1"/>
  <c r="E2175" i="7"/>
  <c r="D2175" i="7"/>
  <c r="C2175" i="7"/>
  <c r="B2175" i="7"/>
  <c r="G2174" i="7"/>
  <c r="F2174" i="7"/>
  <c r="H2174" i="7" s="1"/>
  <c r="E2174" i="7"/>
  <c r="D2174" i="7"/>
  <c r="C2174" i="7"/>
  <c r="B2174" i="7"/>
  <c r="G2173" i="7"/>
  <c r="F2173" i="7"/>
  <c r="I2173" i="7" s="1"/>
  <c r="E2173" i="7"/>
  <c r="D2173" i="7"/>
  <c r="C2173" i="7"/>
  <c r="B2173" i="7"/>
  <c r="G2172" i="7"/>
  <c r="F2172" i="7"/>
  <c r="I2172" i="7" s="1"/>
  <c r="E2172" i="7"/>
  <c r="D2172" i="7"/>
  <c r="C2172" i="7"/>
  <c r="B2172" i="7"/>
  <c r="G2171" i="7"/>
  <c r="F2171" i="7"/>
  <c r="I2171" i="7" s="1"/>
  <c r="E2171" i="7"/>
  <c r="D2171" i="7"/>
  <c r="C2171" i="7"/>
  <c r="B2171" i="7"/>
  <c r="G2170" i="7"/>
  <c r="F2170" i="7"/>
  <c r="H2170" i="7" s="1"/>
  <c r="E2170" i="7"/>
  <c r="D2170" i="7"/>
  <c r="C2170" i="7"/>
  <c r="B2170" i="7"/>
  <c r="G2169" i="7"/>
  <c r="F2169" i="7"/>
  <c r="E2169" i="7"/>
  <c r="D2169" i="7"/>
  <c r="C2169" i="7"/>
  <c r="B2169" i="7"/>
  <c r="G2168" i="7"/>
  <c r="F2168" i="7"/>
  <c r="E2168" i="7"/>
  <c r="D2168" i="7"/>
  <c r="C2168" i="7"/>
  <c r="B2168" i="7"/>
  <c r="G2167" i="7"/>
  <c r="F2167" i="7"/>
  <c r="E2167" i="7"/>
  <c r="D2167" i="7"/>
  <c r="C2167" i="7"/>
  <c r="B2167" i="7"/>
  <c r="G2166" i="7"/>
  <c r="F2166" i="7"/>
  <c r="E2166" i="7"/>
  <c r="D2166" i="7"/>
  <c r="C2166" i="7"/>
  <c r="B2166" i="7"/>
  <c r="G2165" i="7"/>
  <c r="F2165" i="7"/>
  <c r="E2165" i="7"/>
  <c r="D2165" i="7"/>
  <c r="C2165" i="7"/>
  <c r="B2165" i="7"/>
  <c r="G2164" i="7"/>
  <c r="F2164" i="7"/>
  <c r="E2164" i="7"/>
  <c r="D2164" i="7"/>
  <c r="C2164" i="7"/>
  <c r="B2164" i="7"/>
  <c r="G2163" i="7"/>
  <c r="F2163" i="7"/>
  <c r="E2163" i="7"/>
  <c r="D2163" i="7"/>
  <c r="C2163" i="7"/>
  <c r="B2163" i="7"/>
  <c r="G2162" i="7"/>
  <c r="F2162" i="7"/>
  <c r="E2162" i="7"/>
  <c r="D2162" i="7"/>
  <c r="C2162" i="7"/>
  <c r="B2162" i="7"/>
  <c r="G2161" i="7"/>
  <c r="F2161" i="7"/>
  <c r="E2161" i="7"/>
  <c r="D2161" i="7"/>
  <c r="C2161" i="7"/>
  <c r="B2161" i="7"/>
  <c r="G2160" i="7"/>
  <c r="F2160" i="7"/>
  <c r="H2160" i="7" s="1"/>
  <c r="E2160" i="7"/>
  <c r="D2160" i="7"/>
  <c r="C2160" i="7"/>
  <c r="B2160" i="7"/>
  <c r="G2159" i="7"/>
  <c r="F2159" i="7"/>
  <c r="I2159" i="7" s="1"/>
  <c r="E2159" i="7"/>
  <c r="D2159" i="7"/>
  <c r="C2159" i="7"/>
  <c r="B2159" i="7"/>
  <c r="G2158" i="7"/>
  <c r="F2158" i="7"/>
  <c r="H2158" i="7" s="1"/>
  <c r="E2158" i="7"/>
  <c r="D2158" i="7"/>
  <c r="C2158" i="7"/>
  <c r="B2158" i="7"/>
  <c r="G2157" i="7"/>
  <c r="F2157" i="7"/>
  <c r="I2157" i="7" s="1"/>
  <c r="E2157" i="7"/>
  <c r="D2157" i="7"/>
  <c r="C2157" i="7"/>
  <c r="B2157" i="7"/>
  <c r="G2156" i="7"/>
  <c r="F2156" i="7"/>
  <c r="E2156" i="7"/>
  <c r="D2156" i="7"/>
  <c r="C2156" i="7"/>
  <c r="B2156" i="7"/>
  <c r="G2155" i="7"/>
  <c r="F2155" i="7"/>
  <c r="E2155" i="7"/>
  <c r="D2155" i="7"/>
  <c r="C2155" i="7"/>
  <c r="B2155" i="7"/>
  <c r="G2154" i="7"/>
  <c r="F2154" i="7"/>
  <c r="H2154" i="7" s="1"/>
  <c r="E2154" i="7"/>
  <c r="D2154" i="7"/>
  <c r="C2154" i="7"/>
  <c r="B2154" i="7"/>
  <c r="G2153" i="7"/>
  <c r="F2153" i="7"/>
  <c r="I2153" i="7" s="1"/>
  <c r="E2153" i="7"/>
  <c r="D2153" i="7"/>
  <c r="C2153" i="7"/>
  <c r="B2153" i="7"/>
  <c r="G2152" i="7"/>
  <c r="F2152" i="7"/>
  <c r="I2152" i="7" s="1"/>
  <c r="E2152" i="7"/>
  <c r="D2152" i="7"/>
  <c r="C2152" i="7"/>
  <c r="B2152" i="7"/>
  <c r="G2151" i="7"/>
  <c r="F2151" i="7"/>
  <c r="I2151" i="7" s="1"/>
  <c r="E2151" i="7"/>
  <c r="D2151" i="7"/>
  <c r="C2151" i="7"/>
  <c r="B2151" i="7"/>
  <c r="G2150" i="7"/>
  <c r="F2150" i="7"/>
  <c r="H2150" i="7" s="1"/>
  <c r="E2150" i="7"/>
  <c r="D2150" i="7"/>
  <c r="C2150" i="7"/>
  <c r="B2150" i="7"/>
  <c r="G2149" i="7"/>
  <c r="F2149" i="7"/>
  <c r="I2149" i="7" s="1"/>
  <c r="E2149" i="7"/>
  <c r="D2149" i="7"/>
  <c r="C2149" i="7"/>
  <c r="B2149" i="7"/>
  <c r="G2148" i="7"/>
  <c r="F2148" i="7"/>
  <c r="I2148" i="7" s="1"/>
  <c r="E2148" i="7"/>
  <c r="D2148" i="7"/>
  <c r="C2148" i="7"/>
  <c r="B2148" i="7"/>
  <c r="G2147" i="7"/>
  <c r="F2147" i="7"/>
  <c r="E2147" i="7"/>
  <c r="D2147" i="7"/>
  <c r="C2147" i="7"/>
  <c r="B2147" i="7"/>
  <c r="G2146" i="7"/>
  <c r="F2146" i="7"/>
  <c r="E2146" i="7"/>
  <c r="D2146" i="7"/>
  <c r="C2146" i="7"/>
  <c r="B2146" i="7"/>
  <c r="G2145" i="7"/>
  <c r="F2145" i="7"/>
  <c r="E2145" i="7"/>
  <c r="D2145" i="7"/>
  <c r="C2145" i="7"/>
  <c r="B2145" i="7"/>
  <c r="G2144" i="7"/>
  <c r="F2144" i="7"/>
  <c r="E2144" i="7"/>
  <c r="D2144" i="7"/>
  <c r="C2144" i="7"/>
  <c r="B2144" i="7"/>
  <c r="G2143" i="7"/>
  <c r="F2143" i="7"/>
  <c r="I2143" i="7" s="1"/>
  <c r="E2143" i="7"/>
  <c r="D2143" i="7"/>
  <c r="C2143" i="7"/>
  <c r="B2143" i="7"/>
  <c r="G2142" i="7"/>
  <c r="F2142" i="7"/>
  <c r="H2142" i="7" s="1"/>
  <c r="E2142" i="7"/>
  <c r="D2142" i="7"/>
  <c r="C2142" i="7"/>
  <c r="B2142" i="7"/>
  <c r="G2141" i="7"/>
  <c r="F2141" i="7"/>
  <c r="I2141" i="7" s="1"/>
  <c r="E2141" i="7"/>
  <c r="D2141" i="7"/>
  <c r="C2141" i="7"/>
  <c r="B2141" i="7"/>
  <c r="G2140" i="7"/>
  <c r="F2140" i="7"/>
  <c r="I2140" i="7" s="1"/>
  <c r="E2140" i="7"/>
  <c r="D2140" i="7"/>
  <c r="C2140" i="7"/>
  <c r="B2140" i="7"/>
  <c r="G2139" i="7"/>
  <c r="F2139" i="7"/>
  <c r="I2139" i="7" s="1"/>
  <c r="E2139" i="7"/>
  <c r="D2139" i="7"/>
  <c r="C2139" i="7"/>
  <c r="B2139" i="7"/>
  <c r="G2138" i="7"/>
  <c r="F2138" i="7"/>
  <c r="E2138" i="7"/>
  <c r="D2138" i="7"/>
  <c r="C2138" i="7"/>
  <c r="B2138" i="7"/>
  <c r="G2137" i="7"/>
  <c r="F2137" i="7"/>
  <c r="E2137" i="7"/>
  <c r="D2137" i="7"/>
  <c r="C2137" i="7"/>
  <c r="B2137" i="7"/>
  <c r="G2136" i="7"/>
  <c r="F2136" i="7"/>
  <c r="E2136" i="7"/>
  <c r="D2136" i="7"/>
  <c r="C2136" i="7"/>
  <c r="B2136" i="7"/>
  <c r="G2135" i="7"/>
  <c r="F2135" i="7"/>
  <c r="E2135" i="7"/>
  <c r="D2135" i="7"/>
  <c r="C2135" i="7"/>
  <c r="B2135" i="7"/>
  <c r="G2134" i="7"/>
  <c r="F2134" i="7"/>
  <c r="E2134" i="7"/>
  <c r="D2134" i="7"/>
  <c r="C2134" i="7"/>
  <c r="B2134" i="7"/>
  <c r="G2133" i="7"/>
  <c r="F2133" i="7"/>
  <c r="E2133" i="7"/>
  <c r="D2133" i="7"/>
  <c r="C2133" i="7"/>
  <c r="B2133" i="7"/>
  <c r="G2132" i="7"/>
  <c r="F2132" i="7"/>
  <c r="E2132" i="7"/>
  <c r="D2132" i="7"/>
  <c r="C2132" i="7"/>
  <c r="B2132" i="7"/>
  <c r="G2131" i="7"/>
  <c r="F2131" i="7"/>
  <c r="E2131" i="7"/>
  <c r="D2131" i="7"/>
  <c r="C2131" i="7"/>
  <c r="B2131" i="7"/>
  <c r="G2130" i="7"/>
  <c r="F2130" i="7"/>
  <c r="E2130" i="7"/>
  <c r="D2130" i="7"/>
  <c r="C2130" i="7"/>
  <c r="B2130" i="7"/>
  <c r="G2129" i="7"/>
  <c r="F2129" i="7"/>
  <c r="E2129" i="7"/>
  <c r="D2129" i="7"/>
  <c r="C2129" i="7"/>
  <c r="B2129" i="7"/>
  <c r="G2128" i="7"/>
  <c r="F2128" i="7"/>
  <c r="I2128" i="7" s="1"/>
  <c r="E2128" i="7"/>
  <c r="D2128" i="7"/>
  <c r="C2128" i="7"/>
  <c r="B2128" i="7"/>
  <c r="G2127" i="7"/>
  <c r="F2127" i="7"/>
  <c r="E2127" i="7"/>
  <c r="D2127" i="7"/>
  <c r="C2127" i="7"/>
  <c r="B2127" i="7"/>
  <c r="G2126" i="7"/>
  <c r="F2126" i="7"/>
  <c r="E2126" i="7"/>
  <c r="D2126" i="7"/>
  <c r="C2126" i="7"/>
  <c r="B2126" i="7"/>
  <c r="G2125" i="7"/>
  <c r="F2125" i="7"/>
  <c r="E2125" i="7"/>
  <c r="D2125" i="7"/>
  <c r="C2125" i="7"/>
  <c r="B2125" i="7"/>
  <c r="G2124" i="7"/>
  <c r="F2124" i="7"/>
  <c r="I2124" i="7" s="1"/>
  <c r="E2124" i="7"/>
  <c r="D2124" i="7"/>
  <c r="C2124" i="7"/>
  <c r="B2124" i="7"/>
  <c r="G2123" i="7"/>
  <c r="F2123" i="7"/>
  <c r="E2123" i="7"/>
  <c r="D2123" i="7"/>
  <c r="C2123" i="7"/>
  <c r="B2123" i="7"/>
  <c r="G2122" i="7"/>
  <c r="F2122" i="7"/>
  <c r="E2122" i="7"/>
  <c r="D2122" i="7"/>
  <c r="C2122" i="7"/>
  <c r="B2122" i="7"/>
  <c r="G2121" i="7"/>
  <c r="F2121" i="7"/>
  <c r="E2121" i="7"/>
  <c r="D2121" i="7"/>
  <c r="C2121" i="7"/>
  <c r="B2121" i="7"/>
  <c r="G2120" i="7"/>
  <c r="F2120" i="7"/>
  <c r="I2120" i="7" s="1"/>
  <c r="E2120" i="7"/>
  <c r="D2120" i="7"/>
  <c r="C2120" i="7"/>
  <c r="B2120" i="7"/>
  <c r="G2119" i="7"/>
  <c r="F2119" i="7"/>
  <c r="E2119" i="7"/>
  <c r="D2119" i="7"/>
  <c r="C2119" i="7"/>
  <c r="B2119" i="7"/>
  <c r="G2118" i="7"/>
  <c r="F2118" i="7"/>
  <c r="E2118" i="7"/>
  <c r="D2118" i="7"/>
  <c r="C2118" i="7"/>
  <c r="B2118" i="7"/>
  <c r="G2117" i="7"/>
  <c r="F2117" i="7"/>
  <c r="E2117" i="7"/>
  <c r="D2117" i="7"/>
  <c r="C2117" i="7"/>
  <c r="B2117" i="7"/>
  <c r="G2116" i="7"/>
  <c r="F2116" i="7"/>
  <c r="I2116" i="7" s="1"/>
  <c r="E2116" i="7"/>
  <c r="D2116" i="7"/>
  <c r="C2116" i="7"/>
  <c r="B2116" i="7"/>
  <c r="G2115" i="7"/>
  <c r="F2115" i="7"/>
  <c r="E2115" i="7"/>
  <c r="D2115" i="7"/>
  <c r="C2115" i="7"/>
  <c r="B2115" i="7"/>
  <c r="G2114" i="7"/>
  <c r="F2114" i="7"/>
  <c r="E2114" i="7"/>
  <c r="D2114" i="7"/>
  <c r="C2114" i="7"/>
  <c r="B2114" i="7"/>
  <c r="G2113" i="7"/>
  <c r="F2113" i="7"/>
  <c r="E2113" i="7"/>
  <c r="D2113" i="7"/>
  <c r="C2113" i="7"/>
  <c r="B2113" i="7"/>
  <c r="G2112" i="7"/>
  <c r="F2112" i="7"/>
  <c r="I2112" i="7" s="1"/>
  <c r="E2112" i="7"/>
  <c r="D2112" i="7"/>
  <c r="C2112" i="7"/>
  <c r="B2112" i="7"/>
  <c r="G2111" i="7"/>
  <c r="F2111" i="7"/>
  <c r="E2111" i="7"/>
  <c r="D2111" i="7"/>
  <c r="C2111" i="7"/>
  <c r="B2111" i="7"/>
  <c r="G2110" i="7"/>
  <c r="F2110" i="7"/>
  <c r="E2110" i="7"/>
  <c r="D2110" i="7"/>
  <c r="C2110" i="7"/>
  <c r="B2110" i="7"/>
  <c r="G2109" i="7"/>
  <c r="F2109" i="7"/>
  <c r="E2109" i="7"/>
  <c r="D2109" i="7"/>
  <c r="C2109" i="7"/>
  <c r="B2109" i="7"/>
  <c r="G2108" i="7"/>
  <c r="F2108" i="7"/>
  <c r="I2108" i="7" s="1"/>
  <c r="E2108" i="7"/>
  <c r="D2108" i="7"/>
  <c r="C2108" i="7"/>
  <c r="B2108" i="7"/>
  <c r="G2107" i="7"/>
  <c r="F2107" i="7"/>
  <c r="E2107" i="7"/>
  <c r="D2107" i="7"/>
  <c r="C2107" i="7"/>
  <c r="B2107" i="7"/>
  <c r="G2106" i="7"/>
  <c r="F2106" i="7"/>
  <c r="E2106" i="7"/>
  <c r="D2106" i="7"/>
  <c r="C2106" i="7"/>
  <c r="B2106" i="7"/>
  <c r="G2105" i="7"/>
  <c r="F2105" i="7"/>
  <c r="E2105" i="7"/>
  <c r="D2105" i="7"/>
  <c r="C2105" i="7"/>
  <c r="B2105" i="7"/>
  <c r="G2104" i="7"/>
  <c r="F2104" i="7"/>
  <c r="I2104" i="7" s="1"/>
  <c r="E2104" i="7"/>
  <c r="D2104" i="7"/>
  <c r="C2104" i="7"/>
  <c r="B2104" i="7"/>
  <c r="G2103" i="7"/>
  <c r="F2103" i="7"/>
  <c r="E2103" i="7"/>
  <c r="D2103" i="7"/>
  <c r="C2103" i="7"/>
  <c r="B2103" i="7"/>
  <c r="G2102" i="7"/>
  <c r="F2102" i="7"/>
  <c r="E2102" i="7"/>
  <c r="D2102" i="7"/>
  <c r="C2102" i="7"/>
  <c r="B2102" i="7"/>
  <c r="G2101" i="7"/>
  <c r="F2101" i="7"/>
  <c r="E2101" i="7"/>
  <c r="D2101" i="7"/>
  <c r="C2101" i="7"/>
  <c r="B2101" i="7"/>
  <c r="G2100" i="7"/>
  <c r="F2100" i="7"/>
  <c r="I2100" i="7" s="1"/>
  <c r="E2100" i="7"/>
  <c r="D2100" i="7"/>
  <c r="C2100" i="7"/>
  <c r="B2100" i="7"/>
  <c r="G2099" i="7"/>
  <c r="F2099" i="7"/>
  <c r="E2099" i="7"/>
  <c r="D2099" i="7"/>
  <c r="C2099" i="7"/>
  <c r="B2099" i="7"/>
  <c r="G2098" i="7"/>
  <c r="F2098" i="7"/>
  <c r="E2098" i="7"/>
  <c r="D2098" i="7"/>
  <c r="C2098" i="7"/>
  <c r="B2098" i="7"/>
  <c r="G2097" i="7"/>
  <c r="F2097" i="7"/>
  <c r="E2097" i="7"/>
  <c r="D2097" i="7"/>
  <c r="C2097" i="7"/>
  <c r="B2097" i="7"/>
  <c r="G2096" i="7"/>
  <c r="F2096" i="7"/>
  <c r="I2096" i="7" s="1"/>
  <c r="E2096" i="7"/>
  <c r="D2096" i="7"/>
  <c r="C2096" i="7"/>
  <c r="B2096" i="7"/>
  <c r="G2095" i="7"/>
  <c r="F2095" i="7"/>
  <c r="E2095" i="7"/>
  <c r="D2095" i="7"/>
  <c r="C2095" i="7"/>
  <c r="B2095" i="7"/>
  <c r="G2094" i="7"/>
  <c r="F2094" i="7"/>
  <c r="E2094" i="7"/>
  <c r="D2094" i="7"/>
  <c r="C2094" i="7"/>
  <c r="B2094" i="7"/>
  <c r="G2093" i="7"/>
  <c r="F2093" i="7"/>
  <c r="E2093" i="7"/>
  <c r="D2093" i="7"/>
  <c r="C2093" i="7"/>
  <c r="B2093" i="7"/>
  <c r="G2092" i="7"/>
  <c r="F2092" i="7"/>
  <c r="I2092" i="7" s="1"/>
  <c r="E2092" i="7"/>
  <c r="D2092" i="7"/>
  <c r="C2092" i="7"/>
  <c r="B2092" i="7"/>
  <c r="G2091" i="7"/>
  <c r="F2091" i="7"/>
  <c r="E2091" i="7"/>
  <c r="D2091" i="7"/>
  <c r="C2091" i="7"/>
  <c r="B2091" i="7"/>
  <c r="G2090" i="7"/>
  <c r="F2090" i="7"/>
  <c r="E2090" i="7"/>
  <c r="D2090" i="7"/>
  <c r="C2090" i="7"/>
  <c r="B2090" i="7"/>
  <c r="G2089" i="7"/>
  <c r="F2089" i="7"/>
  <c r="E2089" i="7"/>
  <c r="D2089" i="7"/>
  <c r="C2089" i="7"/>
  <c r="B2089" i="7"/>
  <c r="G2088" i="7"/>
  <c r="F2088" i="7"/>
  <c r="I2088" i="7" s="1"/>
  <c r="E2088" i="7"/>
  <c r="D2088" i="7"/>
  <c r="C2088" i="7"/>
  <c r="B2088" i="7"/>
  <c r="G2087" i="7"/>
  <c r="F2087" i="7"/>
  <c r="E2087" i="7"/>
  <c r="D2087" i="7"/>
  <c r="C2087" i="7"/>
  <c r="B2087" i="7"/>
  <c r="G2086" i="7"/>
  <c r="F2086" i="7"/>
  <c r="E2086" i="7"/>
  <c r="D2086" i="7"/>
  <c r="C2086" i="7"/>
  <c r="B2086" i="7"/>
  <c r="G2085" i="7"/>
  <c r="F2085" i="7"/>
  <c r="E2085" i="7"/>
  <c r="D2085" i="7"/>
  <c r="C2085" i="7"/>
  <c r="B2085" i="7"/>
  <c r="G2084" i="7"/>
  <c r="F2084" i="7"/>
  <c r="I2084" i="7" s="1"/>
  <c r="E2084" i="7"/>
  <c r="D2084" i="7"/>
  <c r="C2084" i="7"/>
  <c r="B2084" i="7"/>
  <c r="G2083" i="7"/>
  <c r="F2083" i="7"/>
  <c r="E2083" i="7"/>
  <c r="D2083" i="7"/>
  <c r="C2083" i="7"/>
  <c r="B2083" i="7"/>
  <c r="G2082" i="7"/>
  <c r="F2082" i="7"/>
  <c r="E2082" i="7"/>
  <c r="D2082" i="7"/>
  <c r="C2082" i="7"/>
  <c r="B2082" i="7"/>
  <c r="G2081" i="7"/>
  <c r="F2081" i="7"/>
  <c r="E2081" i="7"/>
  <c r="D2081" i="7"/>
  <c r="C2081" i="7"/>
  <c r="B2081" i="7"/>
  <c r="G2080" i="7"/>
  <c r="F2080" i="7"/>
  <c r="I2080" i="7" s="1"/>
  <c r="E2080" i="7"/>
  <c r="D2080" i="7"/>
  <c r="C2080" i="7"/>
  <c r="B2080" i="7"/>
  <c r="G2079" i="7"/>
  <c r="F2079" i="7"/>
  <c r="E2079" i="7"/>
  <c r="D2079" i="7"/>
  <c r="C2079" i="7"/>
  <c r="B2079" i="7"/>
  <c r="G2078" i="7"/>
  <c r="F2078" i="7"/>
  <c r="E2078" i="7"/>
  <c r="D2078" i="7"/>
  <c r="C2078" i="7"/>
  <c r="B2078" i="7"/>
  <c r="G2077" i="7"/>
  <c r="F2077" i="7"/>
  <c r="E2077" i="7"/>
  <c r="D2077" i="7"/>
  <c r="C2077" i="7"/>
  <c r="B2077" i="7"/>
  <c r="G2076" i="7"/>
  <c r="F2076" i="7"/>
  <c r="E2076" i="7"/>
  <c r="D2076" i="7"/>
  <c r="C2076" i="7"/>
  <c r="B2076" i="7"/>
  <c r="G2075" i="7"/>
  <c r="F2075" i="7"/>
  <c r="I2075" i="7" s="1"/>
  <c r="E2075" i="7"/>
  <c r="D2075" i="7"/>
  <c r="C2075" i="7"/>
  <c r="B2075" i="7"/>
  <c r="G2074" i="7"/>
  <c r="F2074" i="7"/>
  <c r="I2074" i="7" s="1"/>
  <c r="E2074" i="7"/>
  <c r="D2074" i="7"/>
  <c r="C2074" i="7"/>
  <c r="B2074" i="7"/>
  <c r="G2073" i="7"/>
  <c r="F2073" i="7"/>
  <c r="H2073" i="7" s="1"/>
  <c r="E2073" i="7"/>
  <c r="D2073" i="7"/>
  <c r="C2073" i="7"/>
  <c r="B2073" i="7"/>
  <c r="G2072" i="7"/>
  <c r="F2072" i="7"/>
  <c r="E2072" i="7"/>
  <c r="D2072" i="7"/>
  <c r="C2072" i="7"/>
  <c r="B2072" i="7"/>
  <c r="G2071" i="7"/>
  <c r="F2071" i="7"/>
  <c r="H2071" i="7" s="1"/>
  <c r="E2071" i="7"/>
  <c r="D2071" i="7"/>
  <c r="C2071" i="7"/>
  <c r="B2071" i="7"/>
  <c r="G2070" i="7"/>
  <c r="F2070" i="7"/>
  <c r="E2070" i="7"/>
  <c r="D2070" i="7"/>
  <c r="C2070" i="7"/>
  <c r="B2070" i="7"/>
  <c r="G2069" i="7"/>
  <c r="F2069" i="7"/>
  <c r="H2069" i="7" s="1"/>
  <c r="E2069" i="7"/>
  <c r="D2069" i="7"/>
  <c r="C2069" i="7"/>
  <c r="B2069" i="7"/>
  <c r="G2068" i="7"/>
  <c r="F2068" i="7"/>
  <c r="E2068" i="7"/>
  <c r="D2068" i="7"/>
  <c r="C2068" i="7"/>
  <c r="B2068" i="7"/>
  <c r="G2067" i="7"/>
  <c r="F2067" i="7"/>
  <c r="H2067" i="7" s="1"/>
  <c r="E2067" i="7"/>
  <c r="D2067" i="7"/>
  <c r="C2067" i="7"/>
  <c r="B2067" i="7"/>
  <c r="G2066" i="7"/>
  <c r="F2066" i="7"/>
  <c r="H2066" i="7" s="1"/>
  <c r="E2066" i="7"/>
  <c r="D2066" i="7"/>
  <c r="C2066" i="7"/>
  <c r="B2066" i="7"/>
  <c r="G2065" i="7"/>
  <c r="F2065" i="7"/>
  <c r="H2065" i="7" s="1"/>
  <c r="E2065" i="7"/>
  <c r="D2065" i="7"/>
  <c r="C2065" i="7"/>
  <c r="B2065" i="7"/>
  <c r="G2064" i="7"/>
  <c r="F2064" i="7"/>
  <c r="E2064" i="7"/>
  <c r="D2064" i="7"/>
  <c r="C2064" i="7"/>
  <c r="B2064" i="7"/>
  <c r="G2063" i="7"/>
  <c r="F2063" i="7"/>
  <c r="H2063" i="7" s="1"/>
  <c r="E2063" i="7"/>
  <c r="D2063" i="7"/>
  <c r="C2063" i="7"/>
  <c r="B2063" i="7"/>
  <c r="G2062" i="7"/>
  <c r="F2062" i="7"/>
  <c r="H2062" i="7" s="1"/>
  <c r="E2062" i="7"/>
  <c r="D2062" i="7"/>
  <c r="C2062" i="7"/>
  <c r="B2062" i="7"/>
  <c r="G2061" i="7"/>
  <c r="F2061" i="7"/>
  <c r="H2061" i="7" s="1"/>
  <c r="E2061" i="7"/>
  <c r="D2061" i="7"/>
  <c r="C2061" i="7"/>
  <c r="B2061" i="7"/>
  <c r="G2060" i="7"/>
  <c r="F2060" i="7"/>
  <c r="E2060" i="7"/>
  <c r="D2060" i="7"/>
  <c r="C2060" i="7"/>
  <c r="B2060" i="7"/>
  <c r="G2059" i="7"/>
  <c r="F2059" i="7"/>
  <c r="I2059" i="7" s="1"/>
  <c r="E2059" i="7"/>
  <c r="D2059" i="7"/>
  <c r="C2059" i="7"/>
  <c r="B2059" i="7"/>
  <c r="G2058" i="7"/>
  <c r="F2058" i="7"/>
  <c r="I2058" i="7" s="1"/>
  <c r="E2058" i="7"/>
  <c r="D2058" i="7"/>
  <c r="C2058" i="7"/>
  <c r="B2058" i="7"/>
  <c r="G2057" i="7"/>
  <c r="F2057" i="7"/>
  <c r="E2057" i="7"/>
  <c r="D2057" i="7"/>
  <c r="C2057" i="7"/>
  <c r="B2057" i="7"/>
  <c r="G2056" i="7"/>
  <c r="F2056" i="7"/>
  <c r="E2056" i="7"/>
  <c r="D2056" i="7"/>
  <c r="C2056" i="7"/>
  <c r="B2056" i="7"/>
  <c r="G2055" i="7"/>
  <c r="F2055" i="7"/>
  <c r="I2055" i="7" s="1"/>
  <c r="E2055" i="7"/>
  <c r="D2055" i="7"/>
  <c r="C2055" i="7"/>
  <c r="B2055" i="7"/>
  <c r="G2054" i="7"/>
  <c r="F2054" i="7"/>
  <c r="I2054" i="7" s="1"/>
  <c r="E2054" i="7"/>
  <c r="D2054" i="7"/>
  <c r="C2054" i="7"/>
  <c r="B2054" i="7"/>
  <c r="G2053" i="7"/>
  <c r="F2053" i="7"/>
  <c r="H2053" i="7" s="1"/>
  <c r="E2053" i="7"/>
  <c r="D2053" i="7"/>
  <c r="C2053" i="7"/>
  <c r="B2053" i="7"/>
  <c r="G2052" i="7"/>
  <c r="F2052" i="7"/>
  <c r="E2052" i="7"/>
  <c r="D2052" i="7"/>
  <c r="C2052" i="7"/>
  <c r="B2052" i="7"/>
  <c r="G2051" i="7"/>
  <c r="F2051" i="7"/>
  <c r="I2051" i="7" s="1"/>
  <c r="E2051" i="7"/>
  <c r="D2051" i="7"/>
  <c r="C2051" i="7"/>
  <c r="B2051" i="7"/>
  <c r="G2050" i="7"/>
  <c r="F2050" i="7"/>
  <c r="I2050" i="7" s="1"/>
  <c r="E2050" i="7"/>
  <c r="D2050" i="7"/>
  <c r="C2050" i="7"/>
  <c r="B2050" i="7"/>
  <c r="G2049" i="7"/>
  <c r="F2049" i="7"/>
  <c r="H2049" i="7" s="1"/>
  <c r="E2049" i="7"/>
  <c r="D2049" i="7"/>
  <c r="C2049" i="7"/>
  <c r="B2049" i="7"/>
  <c r="G2048" i="7"/>
  <c r="F2048" i="7"/>
  <c r="E2048" i="7"/>
  <c r="D2048" i="7"/>
  <c r="C2048" i="7"/>
  <c r="B2048" i="7"/>
  <c r="G2047" i="7"/>
  <c r="F2047" i="7"/>
  <c r="I2047" i="7" s="1"/>
  <c r="E2047" i="7"/>
  <c r="D2047" i="7"/>
  <c r="C2047" i="7"/>
  <c r="B2047" i="7"/>
  <c r="G2046" i="7"/>
  <c r="F2046" i="7"/>
  <c r="I2046" i="7" s="1"/>
  <c r="E2046" i="7"/>
  <c r="D2046" i="7"/>
  <c r="C2046" i="7"/>
  <c r="B2046" i="7"/>
  <c r="G2045" i="7"/>
  <c r="F2045" i="7"/>
  <c r="H2045" i="7" s="1"/>
  <c r="E2045" i="7"/>
  <c r="D2045" i="7"/>
  <c r="C2045" i="7"/>
  <c r="B2045" i="7"/>
  <c r="G2044" i="7"/>
  <c r="F2044" i="7"/>
  <c r="E2044" i="7"/>
  <c r="D2044" i="7"/>
  <c r="C2044" i="7"/>
  <c r="B2044" i="7"/>
  <c r="G2043" i="7"/>
  <c r="F2043" i="7"/>
  <c r="E2043" i="7"/>
  <c r="D2043" i="7"/>
  <c r="C2043" i="7"/>
  <c r="B2043" i="7"/>
  <c r="G2042" i="7"/>
  <c r="F2042" i="7"/>
  <c r="E2042" i="7"/>
  <c r="D2042" i="7"/>
  <c r="C2042" i="7"/>
  <c r="B2042" i="7"/>
  <c r="G2041" i="7"/>
  <c r="F2041" i="7"/>
  <c r="E2041" i="7"/>
  <c r="D2041" i="7"/>
  <c r="C2041" i="7"/>
  <c r="B2041" i="7"/>
  <c r="G2040" i="7"/>
  <c r="F2040" i="7"/>
  <c r="E2040" i="7"/>
  <c r="D2040" i="7"/>
  <c r="C2040" i="7"/>
  <c r="B2040" i="7"/>
  <c r="G2039" i="7"/>
  <c r="F2039" i="7"/>
  <c r="I2039" i="7" s="1"/>
  <c r="E2039" i="7"/>
  <c r="D2039" i="7"/>
  <c r="C2039" i="7"/>
  <c r="B2039" i="7"/>
  <c r="G2038" i="7"/>
  <c r="F2038" i="7"/>
  <c r="I2038" i="7" s="1"/>
  <c r="E2038" i="7"/>
  <c r="D2038" i="7"/>
  <c r="C2038" i="7"/>
  <c r="B2038" i="7"/>
  <c r="G2037" i="7"/>
  <c r="F2037" i="7"/>
  <c r="H2037" i="7" s="1"/>
  <c r="E2037" i="7"/>
  <c r="D2037" i="7"/>
  <c r="C2037" i="7"/>
  <c r="B2037" i="7"/>
  <c r="G2036" i="7"/>
  <c r="F2036" i="7"/>
  <c r="E2036" i="7"/>
  <c r="D2036" i="7"/>
  <c r="C2036" i="7"/>
  <c r="B2036" i="7"/>
  <c r="G2035" i="7"/>
  <c r="F2035" i="7"/>
  <c r="I2035" i="7" s="1"/>
  <c r="E2035" i="7"/>
  <c r="D2035" i="7"/>
  <c r="C2035" i="7"/>
  <c r="B2035" i="7"/>
  <c r="G2034" i="7"/>
  <c r="F2034" i="7"/>
  <c r="I2034" i="7" s="1"/>
  <c r="E2034" i="7"/>
  <c r="D2034" i="7"/>
  <c r="C2034" i="7"/>
  <c r="B2034" i="7"/>
  <c r="G2033" i="7"/>
  <c r="F2033" i="7"/>
  <c r="H2033" i="7" s="1"/>
  <c r="E2033" i="7"/>
  <c r="D2033" i="7"/>
  <c r="C2033" i="7"/>
  <c r="B2033" i="7"/>
  <c r="G2032" i="7"/>
  <c r="F2032" i="7"/>
  <c r="E2032" i="7"/>
  <c r="D2032" i="7"/>
  <c r="C2032" i="7"/>
  <c r="B2032" i="7"/>
  <c r="G2031" i="7"/>
  <c r="F2031" i="7"/>
  <c r="I2031" i="7" s="1"/>
  <c r="E2031" i="7"/>
  <c r="D2031" i="7"/>
  <c r="C2031" i="7"/>
  <c r="B2031" i="7"/>
  <c r="G2030" i="7"/>
  <c r="F2030" i="7"/>
  <c r="I2030" i="7" s="1"/>
  <c r="E2030" i="7"/>
  <c r="D2030" i="7"/>
  <c r="C2030" i="7"/>
  <c r="B2030" i="7"/>
  <c r="G2029" i="7"/>
  <c r="F2029" i="7"/>
  <c r="H2029" i="7" s="1"/>
  <c r="E2029" i="7"/>
  <c r="D2029" i="7"/>
  <c r="C2029" i="7"/>
  <c r="B2029" i="7"/>
  <c r="G2028" i="7"/>
  <c r="F2028" i="7"/>
  <c r="I2028" i="7" s="1"/>
  <c r="E2028" i="7"/>
  <c r="D2028" i="7"/>
  <c r="C2028" i="7"/>
  <c r="B2028" i="7"/>
  <c r="G2027" i="7"/>
  <c r="F2027" i="7"/>
  <c r="I2027" i="7" s="1"/>
  <c r="E2027" i="7"/>
  <c r="D2027" i="7"/>
  <c r="C2027" i="7"/>
  <c r="B2027" i="7"/>
  <c r="G2026" i="7"/>
  <c r="F2026" i="7"/>
  <c r="I2026" i="7" s="1"/>
  <c r="E2026" i="7"/>
  <c r="D2026" i="7"/>
  <c r="C2026" i="7"/>
  <c r="B2026" i="7"/>
  <c r="G2025" i="7"/>
  <c r="F2025" i="7"/>
  <c r="E2025" i="7"/>
  <c r="D2025" i="7"/>
  <c r="C2025" i="7"/>
  <c r="B2025" i="7"/>
  <c r="G2024" i="7"/>
  <c r="F2024" i="7"/>
  <c r="H2024" i="7" s="1"/>
  <c r="E2024" i="7"/>
  <c r="D2024" i="7"/>
  <c r="C2024" i="7"/>
  <c r="B2024" i="7"/>
  <c r="G2023" i="7"/>
  <c r="F2023" i="7"/>
  <c r="I2023" i="7" s="1"/>
  <c r="E2023" i="7"/>
  <c r="D2023" i="7"/>
  <c r="C2023" i="7"/>
  <c r="B2023" i="7"/>
  <c r="G2022" i="7"/>
  <c r="F2022" i="7"/>
  <c r="I2022" i="7" s="1"/>
  <c r="E2022" i="7"/>
  <c r="D2022" i="7"/>
  <c r="C2022" i="7"/>
  <c r="B2022" i="7"/>
  <c r="G2021" i="7"/>
  <c r="F2021" i="7"/>
  <c r="I2021" i="7" s="1"/>
  <c r="E2021" i="7"/>
  <c r="D2021" i="7"/>
  <c r="C2021" i="7"/>
  <c r="B2021" i="7"/>
  <c r="G2020" i="7"/>
  <c r="F2020" i="7"/>
  <c r="I2020" i="7" s="1"/>
  <c r="E2020" i="7"/>
  <c r="D2020" i="7"/>
  <c r="C2020" i="7"/>
  <c r="B2020" i="7"/>
  <c r="G2019" i="7"/>
  <c r="F2019" i="7"/>
  <c r="I2019" i="7" s="1"/>
  <c r="E2019" i="7"/>
  <c r="D2019" i="7"/>
  <c r="C2019" i="7"/>
  <c r="B2019" i="7"/>
  <c r="G2018" i="7"/>
  <c r="F2018" i="7"/>
  <c r="I2018" i="7" s="1"/>
  <c r="E2018" i="7"/>
  <c r="D2018" i="7"/>
  <c r="C2018" i="7"/>
  <c r="B2018" i="7"/>
  <c r="G2017" i="7"/>
  <c r="F2017" i="7"/>
  <c r="I2017" i="7" s="1"/>
  <c r="E2017" i="7"/>
  <c r="D2017" i="7"/>
  <c r="C2017" i="7"/>
  <c r="B2017" i="7"/>
  <c r="G2016" i="7"/>
  <c r="F2016" i="7"/>
  <c r="E2016" i="7"/>
  <c r="D2016" i="7"/>
  <c r="C2016" i="7"/>
  <c r="B2016" i="7"/>
  <c r="G2015" i="7"/>
  <c r="F2015" i="7"/>
  <c r="I2015" i="7" s="1"/>
  <c r="E2015" i="7"/>
  <c r="D2015" i="7"/>
  <c r="C2015" i="7"/>
  <c r="B2015" i="7"/>
  <c r="G2014" i="7"/>
  <c r="F2014" i="7"/>
  <c r="I2014" i="7" s="1"/>
  <c r="E2014" i="7"/>
  <c r="D2014" i="7"/>
  <c r="C2014" i="7"/>
  <c r="B2014" i="7"/>
  <c r="G2013" i="7"/>
  <c r="F2013" i="7"/>
  <c r="I2013" i="7" s="1"/>
  <c r="E2013" i="7"/>
  <c r="D2013" i="7"/>
  <c r="C2013" i="7"/>
  <c r="B2013" i="7"/>
  <c r="G2012" i="7"/>
  <c r="F2012" i="7"/>
  <c r="I2012" i="7" s="1"/>
  <c r="E2012" i="7"/>
  <c r="D2012" i="7"/>
  <c r="C2012" i="7"/>
  <c r="B2012" i="7"/>
  <c r="G2011" i="7"/>
  <c r="F2011" i="7"/>
  <c r="I2011" i="7" s="1"/>
  <c r="E2011" i="7"/>
  <c r="D2011" i="7"/>
  <c r="C2011" i="7"/>
  <c r="B2011" i="7"/>
  <c r="G2010" i="7"/>
  <c r="F2010" i="7"/>
  <c r="I2010" i="7" s="1"/>
  <c r="E2010" i="7"/>
  <c r="D2010" i="7"/>
  <c r="C2010" i="7"/>
  <c r="B2010" i="7"/>
  <c r="G2009" i="7"/>
  <c r="F2009" i="7"/>
  <c r="E2009" i="7"/>
  <c r="D2009" i="7"/>
  <c r="C2009" i="7"/>
  <c r="B2009" i="7"/>
  <c r="G2008" i="7"/>
  <c r="F2008" i="7"/>
  <c r="H2008" i="7" s="1"/>
  <c r="E2008" i="7"/>
  <c r="D2008" i="7"/>
  <c r="C2008" i="7"/>
  <c r="B2008" i="7"/>
  <c r="G2007" i="7"/>
  <c r="F2007" i="7"/>
  <c r="I2007" i="7" s="1"/>
  <c r="E2007" i="7"/>
  <c r="D2007" i="7"/>
  <c r="C2007" i="7"/>
  <c r="B2007" i="7"/>
  <c r="G2006" i="7"/>
  <c r="F2006" i="7"/>
  <c r="I2006" i="7" s="1"/>
  <c r="E2006" i="7"/>
  <c r="D2006" i="7"/>
  <c r="C2006" i="7"/>
  <c r="B2006" i="7"/>
  <c r="G2005" i="7"/>
  <c r="F2005" i="7"/>
  <c r="I2005" i="7" s="1"/>
  <c r="E2005" i="7"/>
  <c r="D2005" i="7"/>
  <c r="C2005" i="7"/>
  <c r="B2005" i="7"/>
  <c r="G2004" i="7"/>
  <c r="F2004" i="7"/>
  <c r="I2004" i="7" s="1"/>
  <c r="E2004" i="7"/>
  <c r="D2004" i="7"/>
  <c r="C2004" i="7"/>
  <c r="B2004" i="7"/>
  <c r="G2003" i="7"/>
  <c r="F2003" i="7"/>
  <c r="I2003" i="7" s="1"/>
  <c r="E2003" i="7"/>
  <c r="D2003" i="7"/>
  <c r="C2003" i="7"/>
  <c r="B2003" i="7"/>
  <c r="G2002" i="7"/>
  <c r="F2002" i="7"/>
  <c r="I2002" i="7" s="1"/>
  <c r="E2002" i="7"/>
  <c r="D2002" i="7"/>
  <c r="C2002" i="7"/>
  <c r="B2002" i="7"/>
  <c r="G2001" i="7"/>
  <c r="F2001" i="7"/>
  <c r="I2001" i="7" s="1"/>
  <c r="E2001" i="7"/>
  <c r="D2001" i="7"/>
  <c r="C2001" i="7"/>
  <c r="B2001" i="7"/>
  <c r="G2000" i="7"/>
  <c r="F2000" i="7"/>
  <c r="I2000" i="7" s="1"/>
  <c r="E2000" i="7"/>
  <c r="D2000" i="7"/>
  <c r="C2000" i="7"/>
  <c r="B2000" i="7"/>
  <c r="G1999" i="7"/>
  <c r="F1999" i="7"/>
  <c r="I1999" i="7" s="1"/>
  <c r="E1999" i="7"/>
  <c r="D1999" i="7"/>
  <c r="C1999" i="7"/>
  <c r="B1999" i="7"/>
  <c r="G1998" i="7"/>
  <c r="F1998" i="7"/>
  <c r="I1998" i="7" s="1"/>
  <c r="E1998" i="7"/>
  <c r="D1998" i="7"/>
  <c r="C1998" i="7"/>
  <c r="B1998" i="7"/>
  <c r="G1997" i="7"/>
  <c r="F1997" i="7"/>
  <c r="I1997" i="7" s="1"/>
  <c r="E1997" i="7"/>
  <c r="D1997" i="7"/>
  <c r="C1997" i="7"/>
  <c r="B1997" i="7"/>
  <c r="G1996" i="7"/>
  <c r="F1996" i="7"/>
  <c r="I1996" i="7" s="1"/>
  <c r="E1996" i="7"/>
  <c r="D1996" i="7"/>
  <c r="C1996" i="7"/>
  <c r="B1996" i="7"/>
  <c r="G1995" i="7"/>
  <c r="F1995" i="7"/>
  <c r="I1995" i="7" s="1"/>
  <c r="E1995" i="7"/>
  <c r="D1995" i="7"/>
  <c r="C1995" i="7"/>
  <c r="B1995" i="7"/>
  <c r="G1994" i="7"/>
  <c r="F1994" i="7"/>
  <c r="I1994" i="7" s="1"/>
  <c r="E1994" i="7"/>
  <c r="D1994" i="7"/>
  <c r="C1994" i="7"/>
  <c r="B1994" i="7"/>
  <c r="G1993" i="7"/>
  <c r="F1993" i="7"/>
  <c r="E1993" i="7"/>
  <c r="D1993" i="7"/>
  <c r="C1993" i="7"/>
  <c r="B1993" i="7"/>
  <c r="G1992" i="7"/>
  <c r="F1992" i="7"/>
  <c r="H1992" i="7" s="1"/>
  <c r="E1992" i="7"/>
  <c r="D1992" i="7"/>
  <c r="C1992" i="7"/>
  <c r="B1992" i="7"/>
  <c r="G1991" i="7"/>
  <c r="F1991" i="7"/>
  <c r="I1991" i="7" s="1"/>
  <c r="E1991" i="7"/>
  <c r="D1991" i="7"/>
  <c r="C1991" i="7"/>
  <c r="B1991" i="7"/>
  <c r="G1990" i="7"/>
  <c r="F1990" i="7"/>
  <c r="I1990" i="7" s="1"/>
  <c r="E1990" i="7"/>
  <c r="D1990" i="7"/>
  <c r="C1990" i="7"/>
  <c r="B1990" i="7"/>
  <c r="G1989" i="7"/>
  <c r="F1989" i="7"/>
  <c r="I1989" i="7" s="1"/>
  <c r="E1989" i="7"/>
  <c r="D1989" i="7"/>
  <c r="C1989" i="7"/>
  <c r="B1989" i="7"/>
  <c r="G1988" i="7"/>
  <c r="F1988" i="7"/>
  <c r="I1988" i="7" s="1"/>
  <c r="E1988" i="7"/>
  <c r="D1988" i="7"/>
  <c r="C1988" i="7"/>
  <c r="B1988" i="7"/>
  <c r="G1987" i="7"/>
  <c r="F1987" i="7"/>
  <c r="I1987" i="7" s="1"/>
  <c r="E1987" i="7"/>
  <c r="D1987" i="7"/>
  <c r="C1987" i="7"/>
  <c r="B1987" i="7"/>
  <c r="G1986" i="7"/>
  <c r="F1986" i="7"/>
  <c r="I1986" i="7" s="1"/>
  <c r="E1986" i="7"/>
  <c r="D1986" i="7"/>
  <c r="C1986" i="7"/>
  <c r="B1986" i="7"/>
  <c r="G1985" i="7"/>
  <c r="F1985" i="7"/>
  <c r="I1985" i="7" s="1"/>
  <c r="E1985" i="7"/>
  <c r="D1985" i="7"/>
  <c r="C1985" i="7"/>
  <c r="B1985" i="7"/>
  <c r="G1984" i="7"/>
  <c r="F1984" i="7"/>
  <c r="I1984" i="7" s="1"/>
  <c r="E1984" i="7"/>
  <c r="D1984" i="7"/>
  <c r="C1984" i="7"/>
  <c r="B1984" i="7"/>
  <c r="G1983" i="7"/>
  <c r="F1983" i="7"/>
  <c r="I1983" i="7" s="1"/>
  <c r="E1983" i="7"/>
  <c r="D1983" i="7"/>
  <c r="C1983" i="7"/>
  <c r="B1983" i="7"/>
  <c r="G1982" i="7"/>
  <c r="F1982" i="7"/>
  <c r="I1982" i="7" s="1"/>
  <c r="E1982" i="7"/>
  <c r="D1982" i="7"/>
  <c r="C1982" i="7"/>
  <c r="B1982" i="7"/>
  <c r="G1981" i="7"/>
  <c r="F1981" i="7"/>
  <c r="E1981" i="7"/>
  <c r="D1981" i="7"/>
  <c r="C1981" i="7"/>
  <c r="B1981" i="7"/>
  <c r="G1980" i="7"/>
  <c r="F1980" i="7"/>
  <c r="I1980" i="7" s="1"/>
  <c r="E1980" i="7"/>
  <c r="D1980" i="7"/>
  <c r="C1980" i="7"/>
  <c r="B1980" i="7"/>
  <c r="G1979" i="7"/>
  <c r="F1979" i="7"/>
  <c r="I1979" i="7" s="1"/>
  <c r="E1979" i="7"/>
  <c r="D1979" i="7"/>
  <c r="C1979" i="7"/>
  <c r="B1979" i="7"/>
  <c r="G1978" i="7"/>
  <c r="F1978" i="7"/>
  <c r="I1978" i="7" s="1"/>
  <c r="E1978" i="7"/>
  <c r="D1978" i="7"/>
  <c r="C1978" i="7"/>
  <c r="B1978" i="7"/>
  <c r="G1977" i="7"/>
  <c r="F1977" i="7"/>
  <c r="E1977" i="7"/>
  <c r="D1977" i="7"/>
  <c r="C1977" i="7"/>
  <c r="B1977" i="7"/>
  <c r="G1976" i="7"/>
  <c r="F1976" i="7"/>
  <c r="H1976" i="7" s="1"/>
  <c r="E1976" i="7"/>
  <c r="D1976" i="7"/>
  <c r="C1976" i="7"/>
  <c r="B1976" i="7"/>
  <c r="G1975" i="7"/>
  <c r="F1975" i="7"/>
  <c r="I1975" i="7" s="1"/>
  <c r="E1975" i="7"/>
  <c r="D1975" i="7"/>
  <c r="C1975" i="7"/>
  <c r="B1975" i="7"/>
  <c r="G1974" i="7"/>
  <c r="F1974" i="7"/>
  <c r="I1974" i="7" s="1"/>
  <c r="E1974" i="7"/>
  <c r="D1974" i="7"/>
  <c r="C1974" i="7"/>
  <c r="B1974" i="7"/>
  <c r="G1973" i="7"/>
  <c r="F1973" i="7"/>
  <c r="I1973" i="7" s="1"/>
  <c r="E1973" i="7"/>
  <c r="D1973" i="7"/>
  <c r="C1973" i="7"/>
  <c r="B1973" i="7"/>
  <c r="G1972" i="7"/>
  <c r="F1972" i="7"/>
  <c r="I1972" i="7" s="1"/>
  <c r="E1972" i="7"/>
  <c r="D1972" i="7"/>
  <c r="C1972" i="7"/>
  <c r="B1972" i="7"/>
  <c r="G1971" i="7"/>
  <c r="F1971" i="7"/>
  <c r="I1971" i="7" s="1"/>
  <c r="E1971" i="7"/>
  <c r="D1971" i="7"/>
  <c r="C1971" i="7"/>
  <c r="B1971" i="7"/>
  <c r="G1970" i="7"/>
  <c r="F1970" i="7"/>
  <c r="I1970" i="7" s="1"/>
  <c r="E1970" i="7"/>
  <c r="D1970" i="7"/>
  <c r="C1970" i="7"/>
  <c r="B1970" i="7"/>
  <c r="G1969" i="7"/>
  <c r="F1969" i="7"/>
  <c r="I1969" i="7" s="1"/>
  <c r="E1969" i="7"/>
  <c r="D1969" i="7"/>
  <c r="C1969" i="7"/>
  <c r="B1969" i="7"/>
  <c r="G1968" i="7"/>
  <c r="F1968" i="7"/>
  <c r="I1968" i="7" s="1"/>
  <c r="E1968" i="7"/>
  <c r="D1968" i="7"/>
  <c r="C1968" i="7"/>
  <c r="B1968" i="7"/>
  <c r="G1967" i="7"/>
  <c r="F1967" i="7"/>
  <c r="I1967" i="7" s="1"/>
  <c r="E1967" i="7"/>
  <c r="D1967" i="7"/>
  <c r="C1967" i="7"/>
  <c r="B1967" i="7"/>
  <c r="G1966" i="7"/>
  <c r="F1966" i="7"/>
  <c r="I1966" i="7" s="1"/>
  <c r="E1966" i="7"/>
  <c r="D1966" i="7"/>
  <c r="C1966" i="7"/>
  <c r="B1966" i="7"/>
  <c r="G1965" i="7"/>
  <c r="F1965" i="7"/>
  <c r="I1965" i="7" s="1"/>
  <c r="E1965" i="7"/>
  <c r="D1965" i="7"/>
  <c r="C1965" i="7"/>
  <c r="B1965" i="7"/>
  <c r="G1964" i="7"/>
  <c r="F1964" i="7"/>
  <c r="I1964" i="7" s="1"/>
  <c r="E1964" i="7"/>
  <c r="D1964" i="7"/>
  <c r="C1964" i="7"/>
  <c r="B1964" i="7"/>
  <c r="G1963" i="7"/>
  <c r="F1963" i="7"/>
  <c r="I1963" i="7" s="1"/>
  <c r="E1963" i="7"/>
  <c r="D1963" i="7"/>
  <c r="C1963" i="7"/>
  <c r="B1963" i="7"/>
  <c r="G1962" i="7"/>
  <c r="F1962" i="7"/>
  <c r="I1962" i="7" s="1"/>
  <c r="E1962" i="7"/>
  <c r="D1962" i="7"/>
  <c r="C1962" i="7"/>
  <c r="B1962" i="7"/>
  <c r="G1961" i="7"/>
  <c r="F1961" i="7"/>
  <c r="E1961" i="7"/>
  <c r="D1961" i="7"/>
  <c r="C1961" i="7"/>
  <c r="B1961" i="7"/>
  <c r="G1960" i="7"/>
  <c r="F1960" i="7"/>
  <c r="H1960" i="7" s="1"/>
  <c r="E1960" i="7"/>
  <c r="D1960" i="7"/>
  <c r="C1960" i="7"/>
  <c r="B1960" i="7"/>
  <c r="G1959" i="7"/>
  <c r="F1959" i="7"/>
  <c r="I1959" i="7" s="1"/>
  <c r="E1959" i="7"/>
  <c r="D1959" i="7"/>
  <c r="C1959" i="7"/>
  <c r="B1959" i="7"/>
  <c r="G1958" i="7"/>
  <c r="F1958" i="7"/>
  <c r="I1958" i="7" s="1"/>
  <c r="E1958" i="7"/>
  <c r="D1958" i="7"/>
  <c r="C1958" i="7"/>
  <c r="B1958" i="7"/>
  <c r="G1957" i="7"/>
  <c r="F1957" i="7"/>
  <c r="I1957" i="7" s="1"/>
  <c r="E1957" i="7"/>
  <c r="D1957" i="7"/>
  <c r="C1957" i="7"/>
  <c r="B1957" i="7"/>
  <c r="G1956" i="7"/>
  <c r="F1956" i="7"/>
  <c r="I1956" i="7" s="1"/>
  <c r="E1956" i="7"/>
  <c r="D1956" i="7"/>
  <c r="C1956" i="7"/>
  <c r="B1956" i="7"/>
  <c r="G1955" i="7"/>
  <c r="F1955" i="7"/>
  <c r="I1955" i="7" s="1"/>
  <c r="E1955" i="7"/>
  <c r="D1955" i="7"/>
  <c r="C1955" i="7"/>
  <c r="B1955" i="7"/>
  <c r="G1954" i="7"/>
  <c r="F1954" i="7"/>
  <c r="I1954" i="7" s="1"/>
  <c r="E1954" i="7"/>
  <c r="D1954" i="7"/>
  <c r="C1954" i="7"/>
  <c r="B1954" i="7"/>
  <c r="G1953" i="7"/>
  <c r="F1953" i="7"/>
  <c r="I1953" i="7" s="1"/>
  <c r="E1953" i="7"/>
  <c r="D1953" i="7"/>
  <c r="C1953" i="7"/>
  <c r="B1953" i="7"/>
  <c r="G1952" i="7"/>
  <c r="F1952" i="7"/>
  <c r="E1952" i="7"/>
  <c r="D1952" i="7"/>
  <c r="C1952" i="7"/>
  <c r="B1952" i="7"/>
  <c r="G1951" i="7"/>
  <c r="F1951" i="7"/>
  <c r="I1951" i="7" s="1"/>
  <c r="E1951" i="7"/>
  <c r="D1951" i="7"/>
  <c r="C1951" i="7"/>
  <c r="B1951" i="7"/>
  <c r="G1950" i="7"/>
  <c r="F1950" i="7"/>
  <c r="I1950" i="7" s="1"/>
  <c r="E1950" i="7"/>
  <c r="D1950" i="7"/>
  <c r="C1950" i="7"/>
  <c r="B1950" i="7"/>
  <c r="G1949" i="7"/>
  <c r="F1949" i="7"/>
  <c r="I1949" i="7" s="1"/>
  <c r="E1949" i="7"/>
  <c r="D1949" i="7"/>
  <c r="C1949" i="7"/>
  <c r="B1949" i="7"/>
  <c r="G1948" i="7"/>
  <c r="F1948" i="7"/>
  <c r="I1948" i="7" s="1"/>
  <c r="E1948" i="7"/>
  <c r="D1948" i="7"/>
  <c r="C1948" i="7"/>
  <c r="B1948" i="7"/>
  <c r="G1947" i="7"/>
  <c r="F1947" i="7"/>
  <c r="I1947" i="7" s="1"/>
  <c r="E1947" i="7"/>
  <c r="D1947" i="7"/>
  <c r="C1947" i="7"/>
  <c r="B1947" i="7"/>
  <c r="G1946" i="7"/>
  <c r="F1946" i="7"/>
  <c r="I1946" i="7" s="1"/>
  <c r="E1946" i="7"/>
  <c r="D1946" i="7"/>
  <c r="C1946" i="7"/>
  <c r="B1946" i="7"/>
  <c r="G1945" i="7"/>
  <c r="F1945" i="7"/>
  <c r="E1945" i="7"/>
  <c r="D1945" i="7"/>
  <c r="C1945" i="7"/>
  <c r="B1945" i="7"/>
  <c r="G1944" i="7"/>
  <c r="F1944" i="7"/>
  <c r="E1944" i="7"/>
  <c r="D1944" i="7"/>
  <c r="C1944" i="7"/>
  <c r="B1944" i="7"/>
  <c r="G1943" i="7"/>
  <c r="F1943" i="7"/>
  <c r="I1943" i="7" s="1"/>
  <c r="E1943" i="7"/>
  <c r="D1943" i="7"/>
  <c r="C1943" i="7"/>
  <c r="B1943" i="7"/>
  <c r="G1942" i="7"/>
  <c r="F1942" i="7"/>
  <c r="I1942" i="7" s="1"/>
  <c r="E1942" i="7"/>
  <c r="D1942" i="7"/>
  <c r="C1942" i="7"/>
  <c r="B1942" i="7"/>
  <c r="G1941" i="7"/>
  <c r="F1941" i="7"/>
  <c r="I1941" i="7" s="1"/>
  <c r="E1941" i="7"/>
  <c r="D1941" i="7"/>
  <c r="C1941" i="7"/>
  <c r="B1941" i="7"/>
  <c r="G1940" i="7"/>
  <c r="F1940" i="7"/>
  <c r="H1940" i="7" s="1"/>
  <c r="E1940" i="7"/>
  <c r="D1940" i="7"/>
  <c r="C1940" i="7"/>
  <c r="B1940" i="7"/>
  <c r="G1939" i="7"/>
  <c r="F1939" i="7"/>
  <c r="I1939" i="7" s="1"/>
  <c r="E1939" i="7"/>
  <c r="D1939" i="7"/>
  <c r="C1939" i="7"/>
  <c r="B1939" i="7"/>
  <c r="G1938" i="7"/>
  <c r="F1938" i="7"/>
  <c r="I1938" i="7" s="1"/>
  <c r="E1938" i="7"/>
  <c r="D1938" i="7"/>
  <c r="C1938" i="7"/>
  <c r="B1938" i="7"/>
  <c r="G1937" i="7"/>
  <c r="F1937" i="7"/>
  <c r="I1937" i="7" s="1"/>
  <c r="E1937" i="7"/>
  <c r="D1937" i="7"/>
  <c r="C1937" i="7"/>
  <c r="B1937" i="7"/>
  <c r="G1936" i="7"/>
  <c r="F1936" i="7"/>
  <c r="E1936" i="7"/>
  <c r="D1936" i="7"/>
  <c r="C1936" i="7"/>
  <c r="B1936" i="7"/>
  <c r="G1935" i="7"/>
  <c r="F1935" i="7"/>
  <c r="I1935" i="7" s="1"/>
  <c r="E1935" i="7"/>
  <c r="D1935" i="7"/>
  <c r="C1935" i="7"/>
  <c r="B1935" i="7"/>
  <c r="G1934" i="7"/>
  <c r="F1934" i="7"/>
  <c r="I1934" i="7" s="1"/>
  <c r="E1934" i="7"/>
  <c r="D1934" i="7"/>
  <c r="C1934" i="7"/>
  <c r="B1934" i="7"/>
  <c r="G1933" i="7"/>
  <c r="F1933" i="7"/>
  <c r="I1933" i="7" s="1"/>
  <c r="E1933" i="7"/>
  <c r="D1933" i="7"/>
  <c r="C1933" i="7"/>
  <c r="B1933" i="7"/>
  <c r="G1932" i="7"/>
  <c r="F1932" i="7"/>
  <c r="I1932" i="7" s="1"/>
  <c r="E1932" i="7"/>
  <c r="D1932" i="7"/>
  <c r="C1932" i="7"/>
  <c r="B1932" i="7"/>
  <c r="G1931" i="7"/>
  <c r="F1931" i="7"/>
  <c r="I1931" i="7" s="1"/>
  <c r="E1931" i="7"/>
  <c r="D1931" i="7"/>
  <c r="C1931" i="7"/>
  <c r="B1931" i="7"/>
  <c r="G1930" i="7"/>
  <c r="F1930" i="7"/>
  <c r="I1930" i="7" s="1"/>
  <c r="E1930" i="7"/>
  <c r="D1930" i="7"/>
  <c r="C1930" i="7"/>
  <c r="B1930" i="7"/>
  <c r="G1929" i="7"/>
  <c r="F1929" i="7"/>
  <c r="E1929" i="7"/>
  <c r="D1929" i="7"/>
  <c r="C1929" i="7"/>
  <c r="B1929" i="7"/>
  <c r="G1928" i="7"/>
  <c r="F1928" i="7"/>
  <c r="E1928" i="7"/>
  <c r="D1928" i="7"/>
  <c r="C1928" i="7"/>
  <c r="B1928" i="7"/>
  <c r="G1927" i="7"/>
  <c r="F1927" i="7"/>
  <c r="I1927" i="7" s="1"/>
  <c r="E1927" i="7"/>
  <c r="D1927" i="7"/>
  <c r="C1927" i="7"/>
  <c r="B1927" i="7"/>
  <c r="G1926" i="7"/>
  <c r="F1926" i="7"/>
  <c r="I1926" i="7" s="1"/>
  <c r="E1926" i="7"/>
  <c r="D1926" i="7"/>
  <c r="C1926" i="7"/>
  <c r="B1926" i="7"/>
  <c r="G1925" i="7"/>
  <c r="F1925" i="7"/>
  <c r="I1925" i="7" s="1"/>
  <c r="E1925" i="7"/>
  <c r="D1925" i="7"/>
  <c r="C1925" i="7"/>
  <c r="B1925" i="7"/>
  <c r="G1924" i="7"/>
  <c r="F1924" i="7"/>
  <c r="I1924" i="7" s="1"/>
  <c r="E1924" i="7"/>
  <c r="D1924" i="7"/>
  <c r="C1924" i="7"/>
  <c r="B1924" i="7"/>
  <c r="G1923" i="7"/>
  <c r="F1923" i="7"/>
  <c r="I1923" i="7" s="1"/>
  <c r="E1923" i="7"/>
  <c r="D1923" i="7"/>
  <c r="C1923" i="7"/>
  <c r="B1923" i="7"/>
  <c r="G1922" i="7"/>
  <c r="F1922" i="7"/>
  <c r="I1922" i="7" s="1"/>
  <c r="E1922" i="7"/>
  <c r="D1922" i="7"/>
  <c r="C1922" i="7"/>
  <c r="B1922" i="7"/>
  <c r="G1921" i="7"/>
  <c r="F1921" i="7"/>
  <c r="I1921" i="7" s="1"/>
  <c r="E1921" i="7"/>
  <c r="D1921" i="7"/>
  <c r="C1921" i="7"/>
  <c r="B1921" i="7"/>
  <c r="G1920" i="7"/>
  <c r="F1920" i="7"/>
  <c r="H1920" i="7" s="1"/>
  <c r="E1920" i="7"/>
  <c r="D1920" i="7"/>
  <c r="C1920" i="7"/>
  <c r="B1920" i="7"/>
  <c r="G1919" i="7"/>
  <c r="F1919" i="7"/>
  <c r="H1919" i="7" s="1"/>
  <c r="E1919" i="7"/>
  <c r="D1919" i="7"/>
  <c r="C1919" i="7"/>
  <c r="B1919" i="7"/>
  <c r="G1918" i="7"/>
  <c r="F1918" i="7"/>
  <c r="I1918" i="7" s="1"/>
  <c r="E1918" i="7"/>
  <c r="D1918" i="7"/>
  <c r="C1918" i="7"/>
  <c r="B1918" i="7"/>
  <c r="G1917" i="7"/>
  <c r="F1917" i="7"/>
  <c r="I1917" i="7" s="1"/>
  <c r="E1917" i="7"/>
  <c r="D1917" i="7"/>
  <c r="C1917" i="7"/>
  <c r="B1917" i="7"/>
  <c r="G1916" i="7"/>
  <c r="F1916" i="7"/>
  <c r="I1916" i="7" s="1"/>
  <c r="E1916" i="7"/>
  <c r="D1916" i="7"/>
  <c r="C1916" i="7"/>
  <c r="B1916" i="7"/>
  <c r="G1915" i="7"/>
  <c r="F1915" i="7"/>
  <c r="H1915" i="7" s="1"/>
  <c r="E1915" i="7"/>
  <c r="D1915" i="7"/>
  <c r="C1915" i="7"/>
  <c r="B1915" i="7"/>
  <c r="G1914" i="7"/>
  <c r="F1914" i="7"/>
  <c r="I1914" i="7" s="1"/>
  <c r="E1914" i="7"/>
  <c r="D1914" i="7"/>
  <c r="C1914" i="7"/>
  <c r="B1914" i="7"/>
  <c r="G1913" i="7"/>
  <c r="F1913" i="7"/>
  <c r="I1913" i="7" s="1"/>
  <c r="E1913" i="7"/>
  <c r="D1913" i="7"/>
  <c r="C1913" i="7"/>
  <c r="B1913" i="7"/>
  <c r="G1912" i="7"/>
  <c r="F1912" i="7"/>
  <c r="H1912" i="7" s="1"/>
  <c r="E1912" i="7"/>
  <c r="D1912" i="7"/>
  <c r="C1912" i="7"/>
  <c r="B1912" i="7"/>
  <c r="G1911" i="7"/>
  <c r="F1911" i="7"/>
  <c r="H1911" i="7" s="1"/>
  <c r="E1911" i="7"/>
  <c r="D1911" i="7"/>
  <c r="C1911" i="7"/>
  <c r="B1911" i="7"/>
  <c r="G1910" i="7"/>
  <c r="F1910" i="7"/>
  <c r="I1910" i="7" s="1"/>
  <c r="E1910" i="7"/>
  <c r="D1910" i="7"/>
  <c r="C1910" i="7"/>
  <c r="B1910" i="7"/>
  <c r="G1909" i="7"/>
  <c r="F1909" i="7"/>
  <c r="I1909" i="7" s="1"/>
  <c r="E1909" i="7"/>
  <c r="D1909" i="7"/>
  <c r="C1909" i="7"/>
  <c r="B1909" i="7"/>
  <c r="G1908" i="7"/>
  <c r="F1908" i="7"/>
  <c r="I1908" i="7" s="1"/>
  <c r="E1908" i="7"/>
  <c r="D1908" i="7"/>
  <c r="C1908" i="7"/>
  <c r="B1908" i="7"/>
  <c r="G1907" i="7"/>
  <c r="F1907" i="7"/>
  <c r="H1907" i="7" s="1"/>
  <c r="E1907" i="7"/>
  <c r="D1907" i="7"/>
  <c r="C1907" i="7"/>
  <c r="B1907" i="7"/>
  <c r="G1906" i="7"/>
  <c r="F1906" i="7"/>
  <c r="I1906" i="7" s="1"/>
  <c r="E1906" i="7"/>
  <c r="D1906" i="7"/>
  <c r="C1906" i="7"/>
  <c r="B1906" i="7"/>
  <c r="G1905" i="7"/>
  <c r="F1905" i="7"/>
  <c r="I1905" i="7" s="1"/>
  <c r="E1905" i="7"/>
  <c r="D1905" i="7"/>
  <c r="C1905" i="7"/>
  <c r="B1905" i="7"/>
  <c r="G1904" i="7"/>
  <c r="F1904" i="7"/>
  <c r="H1904" i="7" s="1"/>
  <c r="E1904" i="7"/>
  <c r="D1904" i="7"/>
  <c r="C1904" i="7"/>
  <c r="B1904" i="7"/>
  <c r="G1903" i="7"/>
  <c r="F1903" i="7"/>
  <c r="H1903" i="7" s="1"/>
  <c r="E1903" i="7"/>
  <c r="D1903" i="7"/>
  <c r="C1903" i="7"/>
  <c r="B1903" i="7"/>
  <c r="G1902" i="7"/>
  <c r="F1902" i="7"/>
  <c r="I1902" i="7" s="1"/>
  <c r="E1902" i="7"/>
  <c r="D1902" i="7"/>
  <c r="C1902" i="7"/>
  <c r="B1902" i="7"/>
  <c r="G1901" i="7"/>
  <c r="F1901" i="7"/>
  <c r="I1901" i="7" s="1"/>
  <c r="E1901" i="7"/>
  <c r="D1901" i="7"/>
  <c r="C1901" i="7"/>
  <c r="B1901" i="7"/>
  <c r="G1900" i="7"/>
  <c r="F1900" i="7"/>
  <c r="I1900" i="7" s="1"/>
  <c r="E1900" i="7"/>
  <c r="D1900" i="7"/>
  <c r="C1900" i="7"/>
  <c r="B1900" i="7"/>
  <c r="G1899" i="7"/>
  <c r="F1899" i="7"/>
  <c r="H1899" i="7" s="1"/>
  <c r="E1899" i="7"/>
  <c r="D1899" i="7"/>
  <c r="C1899" i="7"/>
  <c r="B1899" i="7"/>
  <c r="G1898" i="7"/>
  <c r="F1898" i="7"/>
  <c r="I1898" i="7" s="1"/>
  <c r="E1898" i="7"/>
  <c r="D1898" i="7"/>
  <c r="C1898" i="7"/>
  <c r="B1898" i="7"/>
  <c r="G1897" i="7"/>
  <c r="F1897" i="7"/>
  <c r="E1897" i="7"/>
  <c r="D1897" i="7"/>
  <c r="C1897" i="7"/>
  <c r="B1897" i="7"/>
  <c r="G1896" i="7"/>
  <c r="F1896" i="7"/>
  <c r="I1896" i="7" s="1"/>
  <c r="E1896" i="7"/>
  <c r="D1896" i="7"/>
  <c r="C1896" i="7"/>
  <c r="B1896" i="7"/>
  <c r="G1895" i="7"/>
  <c r="F1895" i="7"/>
  <c r="H1895" i="7" s="1"/>
  <c r="E1895" i="7"/>
  <c r="D1895" i="7"/>
  <c r="C1895" i="7"/>
  <c r="B1895" i="7"/>
  <c r="G1894" i="7"/>
  <c r="F1894" i="7"/>
  <c r="I1894" i="7" s="1"/>
  <c r="E1894" i="7"/>
  <c r="D1894" i="7"/>
  <c r="C1894" i="7"/>
  <c r="B1894" i="7"/>
  <c r="G1893" i="7"/>
  <c r="F1893" i="7"/>
  <c r="I1893" i="7" s="1"/>
  <c r="E1893" i="7"/>
  <c r="D1893" i="7"/>
  <c r="C1893" i="7"/>
  <c r="B1893" i="7"/>
  <c r="G1892" i="7"/>
  <c r="F1892" i="7"/>
  <c r="E1892" i="7"/>
  <c r="D1892" i="7"/>
  <c r="C1892" i="7"/>
  <c r="B1892" i="7"/>
  <c r="G1891" i="7"/>
  <c r="F1891" i="7"/>
  <c r="H1891" i="7" s="1"/>
  <c r="E1891" i="7"/>
  <c r="D1891" i="7"/>
  <c r="C1891" i="7"/>
  <c r="B1891" i="7"/>
  <c r="G1890" i="7"/>
  <c r="F1890" i="7"/>
  <c r="I1890" i="7" s="1"/>
  <c r="E1890" i="7"/>
  <c r="D1890" i="7"/>
  <c r="C1890" i="7"/>
  <c r="B1890" i="7"/>
  <c r="G1889" i="7"/>
  <c r="F1889" i="7"/>
  <c r="I1889" i="7" s="1"/>
  <c r="E1889" i="7"/>
  <c r="D1889" i="7"/>
  <c r="C1889" i="7"/>
  <c r="B1889" i="7"/>
  <c r="G1888" i="7"/>
  <c r="F1888" i="7"/>
  <c r="H1888" i="7" s="1"/>
  <c r="E1888" i="7"/>
  <c r="D1888" i="7"/>
  <c r="C1888" i="7"/>
  <c r="B1888" i="7"/>
  <c r="G1887" i="7"/>
  <c r="F1887" i="7"/>
  <c r="H1887" i="7" s="1"/>
  <c r="E1887" i="7"/>
  <c r="D1887" i="7"/>
  <c r="C1887" i="7"/>
  <c r="B1887" i="7"/>
  <c r="G1886" i="7"/>
  <c r="F1886" i="7"/>
  <c r="I1886" i="7" s="1"/>
  <c r="E1886" i="7"/>
  <c r="D1886" i="7"/>
  <c r="C1886" i="7"/>
  <c r="B1886" i="7"/>
  <c r="G1885" i="7"/>
  <c r="F1885" i="7"/>
  <c r="I1885" i="7" s="1"/>
  <c r="E1885" i="7"/>
  <c r="D1885" i="7"/>
  <c r="C1885" i="7"/>
  <c r="B1885" i="7"/>
  <c r="G1884" i="7"/>
  <c r="F1884" i="7"/>
  <c r="E1884" i="7"/>
  <c r="D1884" i="7"/>
  <c r="C1884" i="7"/>
  <c r="B1884" i="7"/>
  <c r="G1883" i="7"/>
  <c r="F1883" i="7"/>
  <c r="H1883" i="7" s="1"/>
  <c r="E1883" i="7"/>
  <c r="D1883" i="7"/>
  <c r="C1883" i="7"/>
  <c r="B1883" i="7"/>
  <c r="G1882" i="7"/>
  <c r="F1882" i="7"/>
  <c r="I1882" i="7" s="1"/>
  <c r="E1882" i="7"/>
  <c r="D1882" i="7"/>
  <c r="C1882" i="7"/>
  <c r="B1882" i="7"/>
  <c r="G1881" i="7"/>
  <c r="F1881" i="7"/>
  <c r="I1881" i="7" s="1"/>
  <c r="E1881" i="7"/>
  <c r="D1881" i="7"/>
  <c r="C1881" i="7"/>
  <c r="B1881" i="7"/>
  <c r="G1880" i="7"/>
  <c r="F1880" i="7"/>
  <c r="H1880" i="7" s="1"/>
  <c r="E1880" i="7"/>
  <c r="D1880" i="7"/>
  <c r="C1880" i="7"/>
  <c r="B1880" i="7"/>
  <c r="G1879" i="7"/>
  <c r="F1879" i="7"/>
  <c r="H1879" i="7" s="1"/>
  <c r="E1879" i="7"/>
  <c r="D1879" i="7"/>
  <c r="C1879" i="7"/>
  <c r="B1879" i="7"/>
  <c r="G1878" i="7"/>
  <c r="F1878" i="7"/>
  <c r="E1878" i="7"/>
  <c r="D1878" i="7"/>
  <c r="C1878" i="7"/>
  <c r="B1878" i="7"/>
  <c r="G1877" i="7"/>
  <c r="F1877" i="7"/>
  <c r="I1877" i="7" s="1"/>
  <c r="E1877" i="7"/>
  <c r="D1877" i="7"/>
  <c r="C1877" i="7"/>
  <c r="B1877" i="7"/>
  <c r="G1876" i="7"/>
  <c r="F1876" i="7"/>
  <c r="E1876" i="7"/>
  <c r="D1876" i="7"/>
  <c r="C1876" i="7"/>
  <c r="B1876" i="7"/>
  <c r="G1875" i="7"/>
  <c r="F1875" i="7"/>
  <c r="H1875" i="7" s="1"/>
  <c r="E1875" i="7"/>
  <c r="D1875" i="7"/>
  <c r="C1875" i="7"/>
  <c r="B1875" i="7"/>
  <c r="G1874" i="7"/>
  <c r="F1874" i="7"/>
  <c r="E1874" i="7"/>
  <c r="D1874" i="7"/>
  <c r="C1874" i="7"/>
  <c r="B1874" i="7"/>
  <c r="G1873" i="7"/>
  <c r="F1873" i="7"/>
  <c r="I1873" i="7" s="1"/>
  <c r="E1873" i="7"/>
  <c r="D1873" i="7"/>
  <c r="C1873" i="7"/>
  <c r="B1873" i="7"/>
  <c r="G1872" i="7"/>
  <c r="F1872" i="7"/>
  <c r="I1872" i="7" s="1"/>
  <c r="E1872" i="7"/>
  <c r="D1872" i="7"/>
  <c r="C1872" i="7"/>
  <c r="B1872" i="7"/>
  <c r="G1871" i="7"/>
  <c r="F1871" i="7"/>
  <c r="I1871" i="7" s="1"/>
  <c r="E1871" i="7"/>
  <c r="D1871" i="7"/>
  <c r="C1871" i="7"/>
  <c r="B1871" i="7"/>
  <c r="G1870" i="7"/>
  <c r="F1870" i="7"/>
  <c r="H1870" i="7" s="1"/>
  <c r="E1870" i="7"/>
  <c r="D1870" i="7"/>
  <c r="C1870" i="7"/>
  <c r="B1870" i="7"/>
  <c r="G1869" i="7"/>
  <c r="F1869" i="7"/>
  <c r="I1869" i="7" s="1"/>
  <c r="E1869" i="7"/>
  <c r="D1869" i="7"/>
  <c r="C1869" i="7"/>
  <c r="B1869" i="7"/>
  <c r="G1868" i="7"/>
  <c r="F1868" i="7"/>
  <c r="I1868" i="7" s="1"/>
  <c r="E1868" i="7"/>
  <c r="D1868" i="7"/>
  <c r="C1868" i="7"/>
  <c r="B1868" i="7"/>
  <c r="G1867" i="7"/>
  <c r="F1867" i="7"/>
  <c r="I1867" i="7" s="1"/>
  <c r="E1867" i="7"/>
  <c r="D1867" i="7"/>
  <c r="C1867" i="7"/>
  <c r="B1867" i="7"/>
  <c r="G1866" i="7"/>
  <c r="F1866" i="7"/>
  <c r="H1866" i="7" s="1"/>
  <c r="E1866" i="7"/>
  <c r="D1866" i="7"/>
  <c r="C1866" i="7"/>
  <c r="B1866" i="7"/>
  <c r="G1865" i="7"/>
  <c r="F1865" i="7"/>
  <c r="I1865" i="7" s="1"/>
  <c r="E1865" i="7"/>
  <c r="D1865" i="7"/>
  <c r="C1865" i="7"/>
  <c r="B1865" i="7"/>
  <c r="G1864" i="7"/>
  <c r="F1864" i="7"/>
  <c r="E1864" i="7"/>
  <c r="D1864" i="7"/>
  <c r="C1864" i="7"/>
  <c r="B1864" i="7"/>
  <c r="G1863" i="7"/>
  <c r="F1863" i="7"/>
  <c r="E1863" i="7"/>
  <c r="D1863" i="7"/>
  <c r="C1863" i="7"/>
  <c r="B1863" i="7"/>
  <c r="G1862" i="7"/>
  <c r="F1862" i="7"/>
  <c r="H1862" i="7" s="1"/>
  <c r="E1862" i="7"/>
  <c r="D1862" i="7"/>
  <c r="C1862" i="7"/>
  <c r="B1862" i="7"/>
  <c r="G1861" i="7"/>
  <c r="F1861" i="7"/>
  <c r="I1861" i="7" s="1"/>
  <c r="E1861" i="7"/>
  <c r="D1861" i="7"/>
  <c r="C1861" i="7"/>
  <c r="B1861" i="7"/>
  <c r="G1860" i="7"/>
  <c r="F1860" i="7"/>
  <c r="I1860" i="7" s="1"/>
  <c r="E1860" i="7"/>
  <c r="D1860" i="7"/>
  <c r="C1860" i="7"/>
  <c r="B1860" i="7"/>
  <c r="G1859" i="7"/>
  <c r="F1859" i="7"/>
  <c r="I1859" i="7" s="1"/>
  <c r="E1859" i="7"/>
  <c r="D1859" i="7"/>
  <c r="C1859" i="7"/>
  <c r="B1859" i="7"/>
  <c r="G1858" i="7"/>
  <c r="F1858" i="7"/>
  <c r="H1858" i="7" s="1"/>
  <c r="E1858" i="7"/>
  <c r="D1858" i="7"/>
  <c r="C1858" i="7"/>
  <c r="B1858" i="7"/>
  <c r="G1857" i="7"/>
  <c r="F1857" i="7"/>
  <c r="E1857" i="7"/>
  <c r="D1857" i="7"/>
  <c r="C1857" i="7"/>
  <c r="B1857" i="7"/>
  <c r="G1856" i="7"/>
  <c r="F1856" i="7"/>
  <c r="E1856" i="7"/>
  <c r="D1856" i="7"/>
  <c r="C1856" i="7"/>
  <c r="B1856" i="7"/>
  <c r="G1855" i="7"/>
  <c r="F1855" i="7"/>
  <c r="H1855" i="7" s="1"/>
  <c r="E1855" i="7"/>
  <c r="D1855" i="7"/>
  <c r="C1855" i="7"/>
  <c r="B1855" i="7"/>
  <c r="G1854" i="7"/>
  <c r="F1854" i="7"/>
  <c r="H1854" i="7" s="1"/>
  <c r="E1854" i="7"/>
  <c r="D1854" i="7"/>
  <c r="C1854" i="7"/>
  <c r="B1854" i="7"/>
  <c r="G1853" i="7"/>
  <c r="F1853" i="7"/>
  <c r="I1853" i="7" s="1"/>
  <c r="E1853" i="7"/>
  <c r="D1853" i="7"/>
  <c r="C1853" i="7"/>
  <c r="B1853" i="7"/>
  <c r="G1852" i="7"/>
  <c r="F1852" i="7"/>
  <c r="I1852" i="7" s="1"/>
  <c r="E1852" i="7"/>
  <c r="D1852" i="7"/>
  <c r="C1852" i="7"/>
  <c r="B1852" i="7"/>
  <c r="G1851" i="7"/>
  <c r="F1851" i="7"/>
  <c r="I1851" i="7" s="1"/>
  <c r="E1851" i="7"/>
  <c r="D1851" i="7"/>
  <c r="C1851" i="7"/>
  <c r="B1851" i="7"/>
  <c r="G1850" i="7"/>
  <c r="F1850" i="7"/>
  <c r="H1850" i="7" s="1"/>
  <c r="E1850" i="7"/>
  <c r="D1850" i="7"/>
  <c r="C1850" i="7"/>
  <c r="B1850" i="7"/>
  <c r="G1849" i="7"/>
  <c r="F1849" i="7"/>
  <c r="I1849" i="7" s="1"/>
  <c r="E1849" i="7"/>
  <c r="D1849" i="7"/>
  <c r="C1849" i="7"/>
  <c r="B1849" i="7"/>
  <c r="G1848" i="7"/>
  <c r="F1848" i="7"/>
  <c r="I1848" i="7" s="1"/>
  <c r="E1848" i="7"/>
  <c r="D1848" i="7"/>
  <c r="C1848" i="7"/>
  <c r="B1848" i="7"/>
  <c r="G1847" i="7"/>
  <c r="F1847" i="7"/>
  <c r="I1847" i="7" s="1"/>
  <c r="E1847" i="7"/>
  <c r="D1847" i="7"/>
  <c r="C1847" i="7"/>
  <c r="B1847" i="7"/>
  <c r="G1846" i="7"/>
  <c r="F1846" i="7"/>
  <c r="E1846" i="7"/>
  <c r="D1846" i="7"/>
  <c r="C1846" i="7"/>
  <c r="B1846" i="7"/>
  <c r="G1845" i="7"/>
  <c r="F1845" i="7"/>
  <c r="I1845" i="7" s="1"/>
  <c r="E1845" i="7"/>
  <c r="D1845" i="7"/>
  <c r="C1845" i="7"/>
  <c r="B1845" i="7"/>
  <c r="G1844" i="7"/>
  <c r="F1844" i="7"/>
  <c r="I1844" i="7" s="1"/>
  <c r="E1844" i="7"/>
  <c r="D1844" i="7"/>
  <c r="C1844" i="7"/>
  <c r="B1844" i="7"/>
  <c r="G1843" i="7"/>
  <c r="F1843" i="7"/>
  <c r="I1843" i="7" s="1"/>
  <c r="E1843" i="7"/>
  <c r="D1843" i="7"/>
  <c r="C1843" i="7"/>
  <c r="B1843" i="7"/>
  <c r="G1842" i="7"/>
  <c r="F1842" i="7"/>
  <c r="E1842" i="7"/>
  <c r="D1842" i="7"/>
  <c r="C1842" i="7"/>
  <c r="B1842" i="7"/>
  <c r="G1841" i="7"/>
  <c r="F1841" i="7"/>
  <c r="I1841" i="7" s="1"/>
  <c r="E1841" i="7"/>
  <c r="D1841" i="7"/>
  <c r="C1841" i="7"/>
  <c r="B1841" i="7"/>
  <c r="G1840" i="7"/>
  <c r="F1840" i="7"/>
  <c r="E1840" i="7"/>
  <c r="D1840" i="7"/>
  <c r="C1840" i="7"/>
  <c r="B1840" i="7"/>
  <c r="G1839" i="7"/>
  <c r="F1839" i="7"/>
  <c r="I1839" i="7" s="1"/>
  <c r="E1839" i="7"/>
  <c r="D1839" i="7"/>
  <c r="C1839" i="7"/>
  <c r="B1839" i="7"/>
  <c r="G1838" i="7"/>
  <c r="F1838" i="7"/>
  <c r="I1838" i="7" s="1"/>
  <c r="E1838" i="7"/>
  <c r="D1838" i="7"/>
  <c r="C1838" i="7"/>
  <c r="B1838" i="7"/>
  <c r="G1837" i="7"/>
  <c r="F1837" i="7"/>
  <c r="I1837" i="7" s="1"/>
  <c r="E1837" i="7"/>
  <c r="D1837" i="7"/>
  <c r="C1837" i="7"/>
  <c r="B1837" i="7"/>
  <c r="G1836" i="7"/>
  <c r="F1836" i="7"/>
  <c r="E1836" i="7"/>
  <c r="D1836" i="7"/>
  <c r="C1836" i="7"/>
  <c r="B1836" i="7"/>
  <c r="G1835" i="7"/>
  <c r="F1835" i="7"/>
  <c r="I1835" i="7" s="1"/>
  <c r="E1835" i="7"/>
  <c r="D1835" i="7"/>
  <c r="C1835" i="7"/>
  <c r="B1835" i="7"/>
  <c r="G1834" i="7"/>
  <c r="F1834" i="7"/>
  <c r="I1834" i="7" s="1"/>
  <c r="E1834" i="7"/>
  <c r="D1834" i="7"/>
  <c r="C1834" i="7"/>
  <c r="B1834" i="7"/>
  <c r="G1833" i="7"/>
  <c r="F1833" i="7"/>
  <c r="I1833" i="7" s="1"/>
  <c r="E1833" i="7"/>
  <c r="D1833" i="7"/>
  <c r="C1833" i="7"/>
  <c r="B1833" i="7"/>
  <c r="G1832" i="7"/>
  <c r="F1832" i="7"/>
  <c r="I1832" i="7" s="1"/>
  <c r="E1832" i="7"/>
  <c r="D1832" i="7"/>
  <c r="C1832" i="7"/>
  <c r="B1832" i="7"/>
  <c r="G1831" i="7"/>
  <c r="F1831" i="7"/>
  <c r="I1831" i="7" s="1"/>
  <c r="E1831" i="7"/>
  <c r="D1831" i="7"/>
  <c r="C1831" i="7"/>
  <c r="B1831" i="7"/>
  <c r="G1830" i="7"/>
  <c r="F1830" i="7"/>
  <c r="I1830" i="7" s="1"/>
  <c r="E1830" i="7"/>
  <c r="D1830" i="7"/>
  <c r="C1830" i="7"/>
  <c r="B1830" i="7"/>
  <c r="G1829" i="7"/>
  <c r="F1829" i="7"/>
  <c r="I1829" i="7" s="1"/>
  <c r="E1829" i="7"/>
  <c r="D1829" i="7"/>
  <c r="C1829" i="7"/>
  <c r="B1829" i="7"/>
  <c r="G1828" i="7"/>
  <c r="F1828" i="7"/>
  <c r="I1828" i="7" s="1"/>
  <c r="E1828" i="7"/>
  <c r="D1828" i="7"/>
  <c r="C1828" i="7"/>
  <c r="B1828" i="7"/>
  <c r="G1827" i="7"/>
  <c r="F1827" i="7"/>
  <c r="I1827" i="7" s="1"/>
  <c r="E1827" i="7"/>
  <c r="D1827" i="7"/>
  <c r="C1827" i="7"/>
  <c r="B1827" i="7"/>
  <c r="G1826" i="7"/>
  <c r="F1826" i="7"/>
  <c r="I1826" i="7" s="1"/>
  <c r="E1826" i="7"/>
  <c r="D1826" i="7"/>
  <c r="C1826" i="7"/>
  <c r="B1826" i="7"/>
  <c r="G1825" i="7"/>
  <c r="F1825" i="7"/>
  <c r="I1825" i="7" s="1"/>
  <c r="E1825" i="7"/>
  <c r="D1825" i="7"/>
  <c r="C1825" i="7"/>
  <c r="B1825" i="7"/>
  <c r="G1824" i="7"/>
  <c r="F1824" i="7"/>
  <c r="E1824" i="7"/>
  <c r="D1824" i="7"/>
  <c r="C1824" i="7"/>
  <c r="B1824" i="7"/>
  <c r="G1823" i="7"/>
  <c r="F1823" i="7"/>
  <c r="I1823" i="7" s="1"/>
  <c r="E1823" i="7"/>
  <c r="D1823" i="7"/>
  <c r="C1823" i="7"/>
  <c r="B1823" i="7"/>
  <c r="G1822" i="7"/>
  <c r="F1822" i="7"/>
  <c r="I1822" i="7" s="1"/>
  <c r="E1822" i="7"/>
  <c r="D1822" i="7"/>
  <c r="C1822" i="7"/>
  <c r="B1822" i="7"/>
  <c r="G1821" i="7"/>
  <c r="F1821" i="7"/>
  <c r="I1821" i="7" s="1"/>
  <c r="E1821" i="7"/>
  <c r="D1821" i="7"/>
  <c r="C1821" i="7"/>
  <c r="B1821" i="7"/>
  <c r="G1820" i="7"/>
  <c r="F1820" i="7"/>
  <c r="I1820" i="7" s="1"/>
  <c r="E1820" i="7"/>
  <c r="D1820" i="7"/>
  <c r="C1820" i="7"/>
  <c r="B1820" i="7"/>
  <c r="G1819" i="7"/>
  <c r="F1819" i="7"/>
  <c r="I1819" i="7" s="1"/>
  <c r="E1819" i="7"/>
  <c r="D1819" i="7"/>
  <c r="C1819" i="7"/>
  <c r="B1819" i="7"/>
  <c r="G1818" i="7"/>
  <c r="F1818" i="7"/>
  <c r="I1818" i="7" s="1"/>
  <c r="E1818" i="7"/>
  <c r="D1818" i="7"/>
  <c r="C1818" i="7"/>
  <c r="B1818" i="7"/>
  <c r="G1817" i="7"/>
  <c r="F1817" i="7"/>
  <c r="I1817" i="7" s="1"/>
  <c r="E1817" i="7"/>
  <c r="D1817" i="7"/>
  <c r="C1817" i="7"/>
  <c r="B1817" i="7"/>
  <c r="G1816" i="7"/>
  <c r="F1816" i="7"/>
  <c r="I1816" i="7" s="1"/>
  <c r="E1816" i="7"/>
  <c r="D1816" i="7"/>
  <c r="C1816" i="7"/>
  <c r="B1816" i="7"/>
  <c r="G1815" i="7"/>
  <c r="F1815" i="7"/>
  <c r="I1815" i="7" s="1"/>
  <c r="E1815" i="7"/>
  <c r="D1815" i="7"/>
  <c r="C1815" i="7"/>
  <c r="B1815" i="7"/>
  <c r="G1814" i="7"/>
  <c r="F1814" i="7"/>
  <c r="I1814" i="7" s="1"/>
  <c r="E1814" i="7"/>
  <c r="D1814" i="7"/>
  <c r="C1814" i="7"/>
  <c r="B1814" i="7"/>
  <c r="G1813" i="7"/>
  <c r="F1813" i="7"/>
  <c r="I1813" i="7" s="1"/>
  <c r="E1813" i="7"/>
  <c r="D1813" i="7"/>
  <c r="C1813" i="7"/>
  <c r="B1813" i="7"/>
  <c r="G1812" i="7"/>
  <c r="F1812" i="7"/>
  <c r="E1812" i="7"/>
  <c r="D1812" i="7"/>
  <c r="C1812" i="7"/>
  <c r="B1812" i="7"/>
  <c r="G1811" i="7"/>
  <c r="F1811" i="7"/>
  <c r="I1811" i="7" s="1"/>
  <c r="E1811" i="7"/>
  <c r="D1811" i="7"/>
  <c r="C1811" i="7"/>
  <c r="B1811" i="7"/>
  <c r="G1810" i="7"/>
  <c r="F1810" i="7"/>
  <c r="I1810" i="7" s="1"/>
  <c r="E1810" i="7"/>
  <c r="D1810" i="7"/>
  <c r="C1810" i="7"/>
  <c r="B1810" i="7"/>
  <c r="G1809" i="7"/>
  <c r="F1809" i="7"/>
  <c r="I1809" i="7" s="1"/>
  <c r="E1809" i="7"/>
  <c r="D1809" i="7"/>
  <c r="C1809" i="7"/>
  <c r="B1809" i="7"/>
  <c r="G1808" i="7"/>
  <c r="F1808" i="7"/>
  <c r="I1808" i="7" s="1"/>
  <c r="E1808" i="7"/>
  <c r="D1808" i="7"/>
  <c r="C1808" i="7"/>
  <c r="B1808" i="7"/>
  <c r="G1807" i="7"/>
  <c r="F1807" i="7"/>
  <c r="I1807" i="7" s="1"/>
  <c r="E1807" i="7"/>
  <c r="D1807" i="7"/>
  <c r="C1807" i="7"/>
  <c r="B1807" i="7"/>
  <c r="G1806" i="7"/>
  <c r="F1806" i="7"/>
  <c r="I1806" i="7" s="1"/>
  <c r="E1806" i="7"/>
  <c r="D1806" i="7"/>
  <c r="C1806" i="7"/>
  <c r="B1806" i="7"/>
  <c r="G1805" i="7"/>
  <c r="F1805" i="7"/>
  <c r="I1805" i="7" s="1"/>
  <c r="E1805" i="7"/>
  <c r="D1805" i="7"/>
  <c r="C1805" i="7"/>
  <c r="B1805" i="7"/>
  <c r="G1804" i="7"/>
  <c r="F1804" i="7"/>
  <c r="I1804" i="7" s="1"/>
  <c r="E1804" i="7"/>
  <c r="D1804" i="7"/>
  <c r="C1804" i="7"/>
  <c r="B1804" i="7"/>
  <c r="G1803" i="7"/>
  <c r="F1803" i="7"/>
  <c r="I1803" i="7" s="1"/>
  <c r="E1803" i="7"/>
  <c r="D1803" i="7"/>
  <c r="C1803" i="7"/>
  <c r="B1803" i="7"/>
  <c r="G1802" i="7"/>
  <c r="F1802" i="7"/>
  <c r="I1802" i="7" s="1"/>
  <c r="E1802" i="7"/>
  <c r="D1802" i="7"/>
  <c r="C1802" i="7"/>
  <c r="B1802" i="7"/>
  <c r="G1801" i="7"/>
  <c r="F1801" i="7"/>
  <c r="I1801" i="7" s="1"/>
  <c r="E1801" i="7"/>
  <c r="D1801" i="7"/>
  <c r="C1801" i="7"/>
  <c r="B1801" i="7"/>
  <c r="G1800" i="7"/>
  <c r="F1800" i="7"/>
  <c r="I1800" i="7" s="1"/>
  <c r="E1800" i="7"/>
  <c r="D1800" i="7"/>
  <c r="C1800" i="7"/>
  <c r="B1800" i="7"/>
  <c r="G1799" i="7"/>
  <c r="F1799" i="7"/>
  <c r="I1799" i="7" s="1"/>
  <c r="E1799" i="7"/>
  <c r="D1799" i="7"/>
  <c r="C1799" i="7"/>
  <c r="B1799" i="7"/>
  <c r="G1798" i="7"/>
  <c r="F1798" i="7"/>
  <c r="I1798" i="7" s="1"/>
  <c r="E1798" i="7"/>
  <c r="D1798" i="7"/>
  <c r="C1798" i="7"/>
  <c r="B1798" i="7"/>
  <c r="G1797" i="7"/>
  <c r="F1797" i="7"/>
  <c r="I1797" i="7" s="1"/>
  <c r="E1797" i="7"/>
  <c r="D1797" i="7"/>
  <c r="C1797" i="7"/>
  <c r="B1797" i="7"/>
  <c r="G1796" i="7"/>
  <c r="F1796" i="7"/>
  <c r="E1796" i="7"/>
  <c r="D1796" i="7"/>
  <c r="C1796" i="7"/>
  <c r="B1796" i="7"/>
  <c r="G1795" i="7"/>
  <c r="F1795" i="7"/>
  <c r="I1795" i="7" s="1"/>
  <c r="E1795" i="7"/>
  <c r="D1795" i="7"/>
  <c r="C1795" i="7"/>
  <c r="B1795" i="7"/>
  <c r="G1794" i="7"/>
  <c r="F1794" i="7"/>
  <c r="I1794" i="7" s="1"/>
  <c r="E1794" i="7"/>
  <c r="D1794" i="7"/>
  <c r="C1794" i="7"/>
  <c r="B1794" i="7"/>
  <c r="G1793" i="7"/>
  <c r="F1793" i="7"/>
  <c r="I1793" i="7" s="1"/>
  <c r="E1793" i="7"/>
  <c r="D1793" i="7"/>
  <c r="C1793" i="7"/>
  <c r="B1793" i="7"/>
  <c r="G1792" i="7"/>
  <c r="F1792" i="7"/>
  <c r="I1792" i="7" s="1"/>
  <c r="E1792" i="7"/>
  <c r="D1792" i="7"/>
  <c r="C1792" i="7"/>
  <c r="B1792" i="7"/>
  <c r="G1791" i="7"/>
  <c r="F1791" i="7"/>
  <c r="I1791" i="7" s="1"/>
  <c r="E1791" i="7"/>
  <c r="D1791" i="7"/>
  <c r="C1791" i="7"/>
  <c r="B1791" i="7"/>
  <c r="G1790" i="7"/>
  <c r="F1790" i="7"/>
  <c r="I1790" i="7" s="1"/>
  <c r="E1790" i="7"/>
  <c r="D1790" i="7"/>
  <c r="C1790" i="7"/>
  <c r="B1790" i="7"/>
  <c r="G1789" i="7"/>
  <c r="F1789" i="7"/>
  <c r="I1789" i="7" s="1"/>
  <c r="E1789" i="7"/>
  <c r="D1789" i="7"/>
  <c r="C1789" i="7"/>
  <c r="B1789" i="7"/>
  <c r="G1788" i="7"/>
  <c r="F1788" i="7"/>
  <c r="I1788" i="7" s="1"/>
  <c r="E1788" i="7"/>
  <c r="D1788" i="7"/>
  <c r="C1788" i="7"/>
  <c r="B1788" i="7"/>
  <c r="G1787" i="7"/>
  <c r="F1787" i="7"/>
  <c r="I1787" i="7" s="1"/>
  <c r="E1787" i="7"/>
  <c r="D1787" i="7"/>
  <c r="C1787" i="7"/>
  <c r="B1787" i="7"/>
  <c r="G1786" i="7"/>
  <c r="F1786" i="7"/>
  <c r="I1786" i="7" s="1"/>
  <c r="E1786" i="7"/>
  <c r="D1786" i="7"/>
  <c r="C1786" i="7"/>
  <c r="B1786" i="7"/>
  <c r="G1785" i="7"/>
  <c r="F1785" i="7"/>
  <c r="I1785" i="7" s="1"/>
  <c r="E1785" i="7"/>
  <c r="D1785" i="7"/>
  <c r="C1785" i="7"/>
  <c r="B1785" i="7"/>
  <c r="G1784" i="7"/>
  <c r="F1784" i="7"/>
  <c r="O1784" i="7" s="1"/>
  <c r="E1784" i="7"/>
  <c r="D1784" i="7"/>
  <c r="C1784" i="7"/>
  <c r="B1784" i="7"/>
  <c r="G1783" i="7"/>
  <c r="F1783" i="7"/>
  <c r="E1783" i="7"/>
  <c r="D1783" i="7"/>
  <c r="C1783" i="7"/>
  <c r="B1783" i="7"/>
  <c r="G1782" i="7"/>
  <c r="F1782" i="7"/>
  <c r="O1782" i="7" s="1"/>
  <c r="E1782" i="7"/>
  <c r="D1782" i="7"/>
  <c r="C1782" i="7"/>
  <c r="B1782" i="7"/>
  <c r="G1781" i="7"/>
  <c r="F1781" i="7"/>
  <c r="E1781" i="7"/>
  <c r="D1781" i="7"/>
  <c r="C1781" i="7"/>
  <c r="B1781" i="7"/>
  <c r="G1780" i="7"/>
  <c r="F1780" i="7"/>
  <c r="O1780" i="7" s="1"/>
  <c r="E1780" i="7"/>
  <c r="D1780" i="7"/>
  <c r="C1780" i="7"/>
  <c r="B1780" i="7"/>
  <c r="G1779" i="7"/>
  <c r="F1779" i="7"/>
  <c r="I1779" i="7" s="1"/>
  <c r="E1779" i="7"/>
  <c r="D1779" i="7"/>
  <c r="C1779" i="7"/>
  <c r="B1779" i="7"/>
  <c r="G1778" i="7"/>
  <c r="F1778" i="7"/>
  <c r="O1778" i="7" s="1"/>
  <c r="E1778" i="7"/>
  <c r="D1778" i="7"/>
  <c r="C1778" i="7"/>
  <c r="B1778" i="7"/>
  <c r="G1777" i="7"/>
  <c r="F1777" i="7"/>
  <c r="O1777" i="7" s="1"/>
  <c r="E1777" i="7"/>
  <c r="D1777" i="7"/>
  <c r="C1777" i="7"/>
  <c r="B1777" i="7"/>
  <c r="G1776" i="7"/>
  <c r="F1776" i="7"/>
  <c r="O1776" i="7" s="1"/>
  <c r="E1776" i="7"/>
  <c r="D1776" i="7"/>
  <c r="C1776" i="7"/>
  <c r="B1776" i="7"/>
  <c r="G1775" i="7"/>
  <c r="F1775" i="7"/>
  <c r="L1775" i="7" s="1"/>
  <c r="E1775" i="7"/>
  <c r="D1775" i="7"/>
  <c r="C1775" i="7"/>
  <c r="B1775" i="7"/>
  <c r="G1774" i="7"/>
  <c r="F1774" i="7"/>
  <c r="O1774" i="7" s="1"/>
  <c r="E1774" i="7"/>
  <c r="D1774" i="7"/>
  <c r="C1774" i="7"/>
  <c r="B1774" i="7"/>
  <c r="G1773" i="7"/>
  <c r="F1773" i="7"/>
  <c r="E1773" i="7"/>
  <c r="D1773" i="7"/>
  <c r="C1773" i="7"/>
  <c r="B1773" i="7"/>
  <c r="G1772" i="7"/>
  <c r="F1772" i="7"/>
  <c r="O1772" i="7" s="1"/>
  <c r="E1772" i="7"/>
  <c r="D1772" i="7"/>
  <c r="C1772" i="7"/>
  <c r="B1772" i="7"/>
  <c r="G1771" i="7"/>
  <c r="F1771" i="7"/>
  <c r="L1771" i="7" s="1"/>
  <c r="E1771" i="7"/>
  <c r="D1771" i="7"/>
  <c r="C1771" i="7"/>
  <c r="B1771" i="7"/>
  <c r="G1770" i="7"/>
  <c r="F1770" i="7"/>
  <c r="P1770" i="7" s="1"/>
  <c r="E1770" i="7"/>
  <c r="D1770" i="7"/>
  <c r="C1770" i="7"/>
  <c r="B1770" i="7"/>
  <c r="G1769" i="7"/>
  <c r="F1769" i="7"/>
  <c r="N1769" i="7" s="1"/>
  <c r="E1769" i="7"/>
  <c r="D1769" i="7"/>
  <c r="C1769" i="7"/>
  <c r="B1769" i="7"/>
  <c r="G1768" i="7"/>
  <c r="F1768" i="7"/>
  <c r="P1768" i="7" s="1"/>
  <c r="E1768" i="7"/>
  <c r="D1768" i="7"/>
  <c r="C1768" i="7"/>
  <c r="B1768" i="7"/>
  <c r="G1767" i="7"/>
  <c r="F1767" i="7"/>
  <c r="O1767" i="7" s="1"/>
  <c r="E1767" i="7"/>
  <c r="D1767" i="7"/>
  <c r="C1767" i="7"/>
  <c r="B1767" i="7"/>
  <c r="A1766" i="7"/>
  <c r="G1764" i="7"/>
  <c r="F1764" i="7"/>
  <c r="I1764" i="7" s="1"/>
  <c r="E1764" i="7"/>
  <c r="D1764" i="7"/>
  <c r="C1764" i="7"/>
  <c r="B1764" i="7"/>
  <c r="G1763" i="7"/>
  <c r="F1763" i="7"/>
  <c r="P1763" i="7" s="1"/>
  <c r="E1763" i="7"/>
  <c r="D1763" i="7"/>
  <c r="C1763" i="7"/>
  <c r="B1763" i="7"/>
  <c r="G1762" i="7"/>
  <c r="F1762" i="7"/>
  <c r="H1762" i="7" s="1"/>
  <c r="E1762" i="7"/>
  <c r="D1762" i="7"/>
  <c r="C1762" i="7"/>
  <c r="B1762" i="7"/>
  <c r="G1761" i="7"/>
  <c r="F1761" i="7"/>
  <c r="O1761" i="7" s="1"/>
  <c r="E1761" i="7"/>
  <c r="D1761" i="7"/>
  <c r="C1761" i="7"/>
  <c r="B1761" i="7"/>
  <c r="G1760" i="7"/>
  <c r="F1760" i="7"/>
  <c r="O1760" i="7" s="1"/>
  <c r="E1760" i="7"/>
  <c r="D1760" i="7"/>
  <c r="C1760" i="7"/>
  <c r="B1760" i="7"/>
  <c r="G1759" i="7"/>
  <c r="F1759" i="7"/>
  <c r="H1759" i="7" s="1"/>
  <c r="E1759" i="7"/>
  <c r="D1759" i="7"/>
  <c r="C1759" i="7"/>
  <c r="B1759" i="7"/>
  <c r="G1758" i="7"/>
  <c r="F1758" i="7"/>
  <c r="N1758" i="7" s="1"/>
  <c r="E1758" i="7"/>
  <c r="D1758" i="7"/>
  <c r="C1758" i="7"/>
  <c r="B1758" i="7"/>
  <c r="A1757" i="7"/>
  <c r="G1755" i="7"/>
  <c r="F1755" i="7"/>
  <c r="P1755" i="7" s="1"/>
  <c r="E1755" i="7"/>
  <c r="D1755" i="7"/>
  <c r="C1755" i="7"/>
  <c r="B1755" i="7"/>
  <c r="G1754" i="7"/>
  <c r="F1754" i="7"/>
  <c r="O1754" i="7" s="1"/>
  <c r="E1754" i="7"/>
  <c r="D1754" i="7"/>
  <c r="C1754" i="7"/>
  <c r="B1754" i="7"/>
  <c r="G1753" i="7"/>
  <c r="F1753" i="7"/>
  <c r="E1753" i="7"/>
  <c r="D1753" i="7"/>
  <c r="C1753" i="7"/>
  <c r="B1753" i="7"/>
  <c r="G1752" i="7"/>
  <c r="F1752" i="7"/>
  <c r="E1752" i="7"/>
  <c r="D1752" i="7"/>
  <c r="C1752" i="7"/>
  <c r="B1752" i="7"/>
  <c r="G1751" i="7"/>
  <c r="F1751" i="7"/>
  <c r="E1751" i="7"/>
  <c r="D1751" i="7"/>
  <c r="C1751" i="7"/>
  <c r="B1751" i="7"/>
  <c r="G1750" i="7"/>
  <c r="F1750" i="7"/>
  <c r="E1750" i="7"/>
  <c r="D1750" i="7"/>
  <c r="C1750" i="7"/>
  <c r="B1750" i="7"/>
  <c r="G1749" i="7"/>
  <c r="F1749" i="7"/>
  <c r="P1749" i="7" s="1"/>
  <c r="E1749" i="7"/>
  <c r="D1749" i="7"/>
  <c r="C1749" i="7"/>
  <c r="B1749" i="7"/>
  <c r="G1748" i="7"/>
  <c r="F1748" i="7"/>
  <c r="P1748" i="7" s="1"/>
  <c r="E1748" i="7"/>
  <c r="D1748" i="7"/>
  <c r="C1748" i="7"/>
  <c r="B1748" i="7"/>
  <c r="G1747" i="7"/>
  <c r="F1747" i="7"/>
  <c r="P1747" i="7" s="1"/>
  <c r="E1747" i="7"/>
  <c r="D1747" i="7"/>
  <c r="C1747" i="7"/>
  <c r="B1747" i="7"/>
  <c r="G1746" i="7"/>
  <c r="F1746" i="7"/>
  <c r="O1746" i="7" s="1"/>
  <c r="E1746" i="7"/>
  <c r="D1746" i="7"/>
  <c r="C1746" i="7"/>
  <c r="B1746" i="7"/>
  <c r="G1745" i="7"/>
  <c r="F1745" i="7"/>
  <c r="P1745" i="7" s="1"/>
  <c r="E1745" i="7"/>
  <c r="D1745" i="7"/>
  <c r="C1745" i="7"/>
  <c r="B1745" i="7"/>
  <c r="G1744" i="7"/>
  <c r="F1744" i="7"/>
  <c r="H1744" i="7" s="1"/>
  <c r="E1744" i="7"/>
  <c r="D1744" i="7"/>
  <c r="C1744" i="7"/>
  <c r="B1744" i="7"/>
  <c r="G1743" i="7"/>
  <c r="F1743" i="7"/>
  <c r="P1743" i="7" s="1"/>
  <c r="E1743" i="7"/>
  <c r="D1743" i="7"/>
  <c r="C1743" i="7"/>
  <c r="B1743" i="7"/>
  <c r="G1742" i="7"/>
  <c r="F1742" i="7"/>
  <c r="O1742" i="7" s="1"/>
  <c r="E1742" i="7"/>
  <c r="D1742" i="7"/>
  <c r="C1742" i="7"/>
  <c r="B1742" i="7"/>
  <c r="G1741" i="7"/>
  <c r="F1741" i="7"/>
  <c r="P1741" i="7" s="1"/>
  <c r="E1741" i="7"/>
  <c r="D1741" i="7"/>
  <c r="C1741" i="7"/>
  <c r="B1741" i="7"/>
  <c r="G1740" i="7"/>
  <c r="F1740" i="7"/>
  <c r="O1740" i="7" s="1"/>
  <c r="E1740" i="7"/>
  <c r="D1740" i="7"/>
  <c r="C1740" i="7"/>
  <c r="B1740" i="7"/>
  <c r="G1739" i="7"/>
  <c r="F1739" i="7"/>
  <c r="P1739" i="7" s="1"/>
  <c r="E1739" i="7"/>
  <c r="D1739" i="7"/>
  <c r="C1739" i="7"/>
  <c r="B1739" i="7"/>
  <c r="A1738" i="7"/>
  <c r="G1736" i="7"/>
  <c r="F1736" i="7"/>
  <c r="O1736" i="7" s="1"/>
  <c r="E1736" i="7"/>
  <c r="D1736" i="7"/>
  <c r="C1736" i="7"/>
  <c r="B1736" i="7"/>
  <c r="G1735" i="7"/>
  <c r="F1735" i="7"/>
  <c r="O1735" i="7" s="1"/>
  <c r="E1735" i="7"/>
  <c r="D1735" i="7"/>
  <c r="C1735" i="7"/>
  <c r="B1735" i="7"/>
  <c r="G1734" i="7"/>
  <c r="F1734" i="7"/>
  <c r="O1734" i="7" s="1"/>
  <c r="E1734" i="7"/>
  <c r="D1734" i="7"/>
  <c r="C1734" i="7"/>
  <c r="B1734" i="7"/>
  <c r="G1733" i="7"/>
  <c r="F1733" i="7"/>
  <c r="E1733" i="7"/>
  <c r="D1733" i="7"/>
  <c r="C1733" i="7"/>
  <c r="B1733" i="7"/>
  <c r="G1732" i="7"/>
  <c r="F1732" i="7"/>
  <c r="O1732" i="7" s="1"/>
  <c r="E1732" i="7"/>
  <c r="D1732" i="7"/>
  <c r="C1732" i="7"/>
  <c r="B1732" i="7"/>
  <c r="G1731" i="7"/>
  <c r="F1731" i="7"/>
  <c r="O1731" i="7" s="1"/>
  <c r="E1731" i="7"/>
  <c r="D1731" i="7"/>
  <c r="C1731" i="7"/>
  <c r="B1731" i="7"/>
  <c r="G1730" i="7"/>
  <c r="F1730" i="7"/>
  <c r="O1730" i="7" s="1"/>
  <c r="E1730" i="7"/>
  <c r="D1730" i="7"/>
  <c r="C1730" i="7"/>
  <c r="B1730" i="7"/>
  <c r="G1729" i="7"/>
  <c r="F1729" i="7"/>
  <c r="P1729" i="7" s="1"/>
  <c r="E1729" i="7"/>
  <c r="D1729" i="7"/>
  <c r="C1729" i="7"/>
  <c r="B1729" i="7"/>
  <c r="G1728" i="7"/>
  <c r="F1728" i="7"/>
  <c r="O1728" i="7" s="1"/>
  <c r="E1728" i="7"/>
  <c r="D1728" i="7"/>
  <c r="C1728" i="7"/>
  <c r="B1728" i="7"/>
  <c r="G1727" i="7"/>
  <c r="F1727" i="7"/>
  <c r="O1727" i="7" s="1"/>
  <c r="E1727" i="7"/>
  <c r="D1727" i="7"/>
  <c r="C1727" i="7"/>
  <c r="B1727" i="7"/>
  <c r="G1726" i="7"/>
  <c r="F1726" i="7"/>
  <c r="O1726" i="7" s="1"/>
  <c r="E1726" i="7"/>
  <c r="D1726" i="7"/>
  <c r="C1726" i="7"/>
  <c r="B1726" i="7"/>
  <c r="G1725" i="7"/>
  <c r="F1725" i="7"/>
  <c r="E1725" i="7"/>
  <c r="D1725" i="7"/>
  <c r="C1725" i="7"/>
  <c r="B1725" i="7"/>
  <c r="A1724" i="7"/>
  <c r="G1722" i="7"/>
  <c r="F1722" i="7"/>
  <c r="P1722" i="7" s="1"/>
  <c r="E1722" i="7"/>
  <c r="D1722" i="7"/>
  <c r="C1722" i="7"/>
  <c r="B1722" i="7"/>
  <c r="G1721" i="7"/>
  <c r="F1721" i="7"/>
  <c r="O1721" i="7" s="1"/>
  <c r="E1721" i="7"/>
  <c r="D1721" i="7"/>
  <c r="C1721" i="7"/>
  <c r="B1721" i="7"/>
  <c r="G1720" i="7"/>
  <c r="F1720" i="7"/>
  <c r="P1720" i="7" s="1"/>
  <c r="E1720" i="7"/>
  <c r="D1720" i="7"/>
  <c r="C1720" i="7"/>
  <c r="B1720" i="7"/>
  <c r="G1719" i="7"/>
  <c r="F1719" i="7"/>
  <c r="E1719" i="7"/>
  <c r="D1719" i="7"/>
  <c r="C1719" i="7"/>
  <c r="B1719" i="7"/>
  <c r="G1718" i="7"/>
  <c r="F1718" i="7"/>
  <c r="E1718" i="7"/>
  <c r="D1718" i="7"/>
  <c r="C1718" i="7"/>
  <c r="B1718" i="7"/>
  <c r="G1717" i="7"/>
  <c r="F1717" i="7"/>
  <c r="O1717" i="7" s="1"/>
  <c r="E1717" i="7"/>
  <c r="D1717" i="7"/>
  <c r="C1717" i="7"/>
  <c r="B1717" i="7"/>
  <c r="G1716" i="7"/>
  <c r="F1716" i="7"/>
  <c r="O1716" i="7" s="1"/>
  <c r="E1716" i="7"/>
  <c r="D1716" i="7"/>
  <c r="C1716" i="7"/>
  <c r="B1716" i="7"/>
  <c r="G1715" i="7"/>
  <c r="F1715" i="7"/>
  <c r="O1715" i="7" s="1"/>
  <c r="E1715" i="7"/>
  <c r="D1715" i="7"/>
  <c r="C1715" i="7"/>
  <c r="B1715" i="7"/>
  <c r="G1714" i="7"/>
  <c r="F1714" i="7"/>
  <c r="O1714" i="7" s="1"/>
  <c r="E1714" i="7"/>
  <c r="D1714" i="7"/>
  <c r="C1714" i="7"/>
  <c r="B1714" i="7"/>
  <c r="A1713" i="7"/>
  <c r="G1711" i="7"/>
  <c r="F1711" i="7"/>
  <c r="O1711" i="7" s="1"/>
  <c r="E1711" i="7"/>
  <c r="D1711" i="7"/>
  <c r="C1711" i="7"/>
  <c r="B1711" i="7"/>
  <c r="G1710" i="7"/>
  <c r="F1710" i="7"/>
  <c r="E1710" i="7"/>
  <c r="D1710" i="7"/>
  <c r="C1710" i="7"/>
  <c r="B1710" i="7"/>
  <c r="G1709" i="7"/>
  <c r="F1709" i="7"/>
  <c r="O1709" i="7" s="1"/>
  <c r="E1709" i="7"/>
  <c r="D1709" i="7"/>
  <c r="C1709" i="7"/>
  <c r="B1709" i="7"/>
  <c r="G1708" i="7"/>
  <c r="F1708" i="7"/>
  <c r="P1708" i="7" s="1"/>
  <c r="E1708" i="7"/>
  <c r="D1708" i="7"/>
  <c r="C1708" i="7"/>
  <c r="B1708" i="7"/>
  <c r="G1707" i="7"/>
  <c r="F1707" i="7"/>
  <c r="O1707" i="7" s="1"/>
  <c r="E1707" i="7"/>
  <c r="D1707" i="7"/>
  <c r="C1707" i="7"/>
  <c r="B1707" i="7"/>
  <c r="G1706" i="7"/>
  <c r="F1706" i="7"/>
  <c r="P1706" i="7" s="1"/>
  <c r="E1706" i="7"/>
  <c r="D1706" i="7"/>
  <c r="C1706" i="7"/>
  <c r="B1706" i="7"/>
  <c r="G1705" i="7"/>
  <c r="F1705" i="7"/>
  <c r="O1705" i="7" s="1"/>
  <c r="E1705" i="7"/>
  <c r="D1705" i="7"/>
  <c r="C1705" i="7"/>
  <c r="B1705" i="7"/>
  <c r="G1704" i="7"/>
  <c r="F1704" i="7"/>
  <c r="P1704" i="7" s="1"/>
  <c r="E1704" i="7"/>
  <c r="D1704" i="7"/>
  <c r="C1704" i="7"/>
  <c r="B1704" i="7"/>
  <c r="G1703" i="7"/>
  <c r="F1703" i="7"/>
  <c r="O1703" i="7" s="1"/>
  <c r="E1703" i="7"/>
  <c r="D1703" i="7"/>
  <c r="C1703" i="7"/>
  <c r="B1703" i="7"/>
  <c r="G1702" i="7"/>
  <c r="F1702" i="7"/>
  <c r="P1702" i="7" s="1"/>
  <c r="E1702" i="7"/>
  <c r="D1702" i="7"/>
  <c r="C1702" i="7"/>
  <c r="B1702" i="7"/>
  <c r="G1701" i="7"/>
  <c r="F1701" i="7"/>
  <c r="O1701" i="7" s="1"/>
  <c r="E1701" i="7"/>
  <c r="D1701" i="7"/>
  <c r="C1701" i="7"/>
  <c r="B1701" i="7"/>
  <c r="G1700" i="7"/>
  <c r="F1700" i="7"/>
  <c r="P1700" i="7" s="1"/>
  <c r="E1700" i="7"/>
  <c r="D1700" i="7"/>
  <c r="C1700" i="7"/>
  <c r="B1700" i="7"/>
  <c r="G1699" i="7"/>
  <c r="F1699" i="7"/>
  <c r="H1699" i="7" s="1"/>
  <c r="E1699" i="7"/>
  <c r="D1699" i="7"/>
  <c r="C1699" i="7"/>
  <c r="B1699" i="7"/>
  <c r="G1698" i="7"/>
  <c r="F1698" i="7"/>
  <c r="O1698" i="7" s="1"/>
  <c r="E1698" i="7"/>
  <c r="D1698" i="7"/>
  <c r="C1698" i="7"/>
  <c r="B1698" i="7"/>
  <c r="G1697" i="7"/>
  <c r="F1697" i="7"/>
  <c r="O1697" i="7" s="1"/>
  <c r="E1697" i="7"/>
  <c r="D1697" i="7"/>
  <c r="C1697" i="7"/>
  <c r="B1697" i="7"/>
  <c r="G1696" i="7"/>
  <c r="F1696" i="7"/>
  <c r="P1696" i="7" s="1"/>
  <c r="E1696" i="7"/>
  <c r="D1696" i="7"/>
  <c r="C1696" i="7"/>
  <c r="B1696" i="7"/>
  <c r="G1695" i="7"/>
  <c r="F1695" i="7"/>
  <c r="O1695" i="7" s="1"/>
  <c r="E1695" i="7"/>
  <c r="D1695" i="7"/>
  <c r="C1695" i="7"/>
  <c r="B1695" i="7"/>
  <c r="G1694" i="7"/>
  <c r="F1694" i="7"/>
  <c r="P1694" i="7" s="1"/>
  <c r="E1694" i="7"/>
  <c r="D1694" i="7"/>
  <c r="C1694" i="7"/>
  <c r="B1694" i="7"/>
  <c r="G1693" i="7"/>
  <c r="F1693" i="7"/>
  <c r="O1693" i="7" s="1"/>
  <c r="E1693" i="7"/>
  <c r="D1693" i="7"/>
  <c r="C1693" i="7"/>
  <c r="B1693" i="7"/>
  <c r="G1692" i="7"/>
  <c r="F1692" i="7"/>
  <c r="P1692" i="7" s="1"/>
  <c r="E1692" i="7"/>
  <c r="D1692" i="7"/>
  <c r="C1692" i="7"/>
  <c r="B1692" i="7"/>
  <c r="G1691" i="7"/>
  <c r="F1691" i="7"/>
  <c r="O1691" i="7" s="1"/>
  <c r="E1691" i="7"/>
  <c r="D1691" i="7"/>
  <c r="C1691" i="7"/>
  <c r="B1691" i="7"/>
  <c r="G1690" i="7"/>
  <c r="F1690" i="7"/>
  <c r="P1690" i="7" s="1"/>
  <c r="E1690" i="7"/>
  <c r="D1690" i="7"/>
  <c r="C1690" i="7"/>
  <c r="B1690" i="7"/>
  <c r="G1689" i="7"/>
  <c r="F1689" i="7"/>
  <c r="O1689" i="7" s="1"/>
  <c r="E1689" i="7"/>
  <c r="D1689" i="7"/>
  <c r="C1689" i="7"/>
  <c r="B1689" i="7"/>
  <c r="G1688" i="7"/>
  <c r="F1688" i="7"/>
  <c r="P1688" i="7" s="1"/>
  <c r="E1688" i="7"/>
  <c r="D1688" i="7"/>
  <c r="C1688" i="7"/>
  <c r="B1688" i="7"/>
  <c r="G1687" i="7"/>
  <c r="F1687" i="7"/>
  <c r="O1687" i="7" s="1"/>
  <c r="E1687" i="7"/>
  <c r="D1687" i="7"/>
  <c r="C1687" i="7"/>
  <c r="B1687" i="7"/>
  <c r="G1686" i="7"/>
  <c r="F1686" i="7"/>
  <c r="P1686" i="7" s="1"/>
  <c r="E1686" i="7"/>
  <c r="D1686" i="7"/>
  <c r="C1686" i="7"/>
  <c r="B1686" i="7"/>
  <c r="G1685" i="7"/>
  <c r="F1685" i="7"/>
  <c r="O1685" i="7" s="1"/>
  <c r="E1685" i="7"/>
  <c r="D1685" i="7"/>
  <c r="C1685" i="7"/>
  <c r="B1685" i="7"/>
  <c r="G1684" i="7"/>
  <c r="F1684" i="7"/>
  <c r="P1684" i="7" s="1"/>
  <c r="E1684" i="7"/>
  <c r="D1684" i="7"/>
  <c r="C1684" i="7"/>
  <c r="B1684" i="7"/>
  <c r="G1683" i="7"/>
  <c r="F1683" i="7"/>
  <c r="O1683" i="7" s="1"/>
  <c r="E1683" i="7"/>
  <c r="D1683" i="7"/>
  <c r="C1683" i="7"/>
  <c r="B1683" i="7"/>
  <c r="G1682" i="7"/>
  <c r="F1682" i="7"/>
  <c r="P1682" i="7" s="1"/>
  <c r="E1682" i="7"/>
  <c r="D1682" i="7"/>
  <c r="C1682" i="7"/>
  <c r="B1682" i="7"/>
  <c r="G1681" i="7"/>
  <c r="F1681" i="7"/>
  <c r="O1681" i="7" s="1"/>
  <c r="E1681" i="7"/>
  <c r="D1681" i="7"/>
  <c r="C1681" i="7"/>
  <c r="B1681" i="7"/>
  <c r="G1680" i="7"/>
  <c r="F1680" i="7"/>
  <c r="P1680" i="7" s="1"/>
  <c r="E1680" i="7"/>
  <c r="D1680" i="7"/>
  <c r="C1680" i="7"/>
  <c r="B1680" i="7"/>
  <c r="G1679" i="7"/>
  <c r="F1679" i="7"/>
  <c r="O1679" i="7" s="1"/>
  <c r="E1679" i="7"/>
  <c r="D1679" i="7"/>
  <c r="C1679" i="7"/>
  <c r="B1679" i="7"/>
  <c r="G1678" i="7"/>
  <c r="F1678" i="7"/>
  <c r="P1678" i="7" s="1"/>
  <c r="E1678" i="7"/>
  <c r="D1678" i="7"/>
  <c r="C1678" i="7"/>
  <c r="B1678" i="7"/>
  <c r="G1677" i="7"/>
  <c r="F1677" i="7"/>
  <c r="O1677" i="7" s="1"/>
  <c r="E1677" i="7"/>
  <c r="D1677" i="7"/>
  <c r="C1677" i="7"/>
  <c r="B1677" i="7"/>
  <c r="G1676" i="7"/>
  <c r="F1676" i="7"/>
  <c r="P1676" i="7" s="1"/>
  <c r="E1676" i="7"/>
  <c r="D1676" i="7"/>
  <c r="C1676" i="7"/>
  <c r="B1676" i="7"/>
  <c r="G1675" i="7"/>
  <c r="F1675" i="7"/>
  <c r="O1675" i="7" s="1"/>
  <c r="E1675" i="7"/>
  <c r="D1675" i="7"/>
  <c r="C1675" i="7"/>
  <c r="B1675" i="7"/>
  <c r="G1674" i="7"/>
  <c r="F1674" i="7"/>
  <c r="P1674" i="7" s="1"/>
  <c r="E1674" i="7"/>
  <c r="D1674" i="7"/>
  <c r="C1674" i="7"/>
  <c r="B1674" i="7"/>
  <c r="G1673" i="7"/>
  <c r="F1673" i="7"/>
  <c r="O1673" i="7" s="1"/>
  <c r="E1673" i="7"/>
  <c r="D1673" i="7"/>
  <c r="C1673" i="7"/>
  <c r="B1673" i="7"/>
  <c r="G1672" i="7"/>
  <c r="F1672" i="7"/>
  <c r="P1672" i="7" s="1"/>
  <c r="E1672" i="7"/>
  <c r="D1672" i="7"/>
  <c r="C1672" i="7"/>
  <c r="B1672" i="7"/>
  <c r="G1671" i="7"/>
  <c r="F1671" i="7"/>
  <c r="O1671" i="7" s="1"/>
  <c r="E1671" i="7"/>
  <c r="D1671" i="7"/>
  <c r="C1671" i="7"/>
  <c r="B1671" i="7"/>
  <c r="G1670" i="7"/>
  <c r="F1670" i="7"/>
  <c r="P1670" i="7" s="1"/>
  <c r="E1670" i="7"/>
  <c r="D1670" i="7"/>
  <c r="C1670" i="7"/>
  <c r="B1670" i="7"/>
  <c r="G1669" i="7"/>
  <c r="F1669" i="7"/>
  <c r="O1669" i="7" s="1"/>
  <c r="E1669" i="7"/>
  <c r="D1669" i="7"/>
  <c r="C1669" i="7"/>
  <c r="B1669" i="7"/>
  <c r="G1668" i="7"/>
  <c r="F1668" i="7"/>
  <c r="P1668" i="7" s="1"/>
  <c r="E1668" i="7"/>
  <c r="D1668" i="7"/>
  <c r="C1668" i="7"/>
  <c r="B1668" i="7"/>
  <c r="G1667" i="7"/>
  <c r="F1667" i="7"/>
  <c r="O1667" i="7" s="1"/>
  <c r="E1667" i="7"/>
  <c r="D1667" i="7"/>
  <c r="C1667" i="7"/>
  <c r="B1667" i="7"/>
  <c r="G1666" i="7"/>
  <c r="F1666" i="7"/>
  <c r="P1666" i="7" s="1"/>
  <c r="E1666" i="7"/>
  <c r="D1666" i="7"/>
  <c r="C1666" i="7"/>
  <c r="B1666" i="7"/>
  <c r="G1665" i="7"/>
  <c r="F1665" i="7"/>
  <c r="O1665" i="7" s="1"/>
  <c r="E1665" i="7"/>
  <c r="D1665" i="7"/>
  <c r="C1665" i="7"/>
  <c r="B1665" i="7"/>
  <c r="G1664" i="7"/>
  <c r="F1664" i="7"/>
  <c r="P1664" i="7" s="1"/>
  <c r="E1664" i="7"/>
  <c r="D1664" i="7"/>
  <c r="C1664" i="7"/>
  <c r="B1664" i="7"/>
  <c r="G1663" i="7"/>
  <c r="F1663" i="7"/>
  <c r="O1663" i="7" s="1"/>
  <c r="E1663" i="7"/>
  <c r="D1663" i="7"/>
  <c r="C1663" i="7"/>
  <c r="B1663" i="7"/>
  <c r="G1662" i="7"/>
  <c r="F1662" i="7"/>
  <c r="P1662" i="7" s="1"/>
  <c r="E1662" i="7"/>
  <c r="D1662" i="7"/>
  <c r="C1662" i="7"/>
  <c r="B1662" i="7"/>
  <c r="G1661" i="7"/>
  <c r="F1661" i="7"/>
  <c r="O1661" i="7" s="1"/>
  <c r="E1661" i="7"/>
  <c r="D1661" i="7"/>
  <c r="C1661" i="7"/>
  <c r="B1661" i="7"/>
  <c r="G1660" i="7"/>
  <c r="F1660" i="7"/>
  <c r="P1660" i="7" s="1"/>
  <c r="E1660" i="7"/>
  <c r="D1660" i="7"/>
  <c r="C1660" i="7"/>
  <c r="B1660" i="7"/>
  <c r="G1659" i="7"/>
  <c r="F1659" i="7"/>
  <c r="O1659" i="7" s="1"/>
  <c r="E1659" i="7"/>
  <c r="D1659" i="7"/>
  <c r="C1659" i="7"/>
  <c r="B1659" i="7"/>
  <c r="G1658" i="7"/>
  <c r="F1658" i="7"/>
  <c r="P1658" i="7" s="1"/>
  <c r="E1658" i="7"/>
  <c r="D1658" i="7"/>
  <c r="C1658" i="7"/>
  <c r="B1658" i="7"/>
  <c r="A1657" i="7"/>
  <c r="G1655" i="7"/>
  <c r="F1655" i="7"/>
  <c r="N1655" i="7" s="1"/>
  <c r="E1655" i="7"/>
  <c r="D1655" i="7"/>
  <c r="C1655" i="7"/>
  <c r="B1655" i="7"/>
  <c r="G1654" i="7"/>
  <c r="F1654" i="7"/>
  <c r="E1654" i="7"/>
  <c r="D1654" i="7"/>
  <c r="C1654" i="7"/>
  <c r="B1654" i="7"/>
  <c r="G1653" i="7"/>
  <c r="F1653" i="7"/>
  <c r="N1653" i="7" s="1"/>
  <c r="E1653" i="7"/>
  <c r="D1653" i="7"/>
  <c r="C1653" i="7"/>
  <c r="B1653" i="7"/>
  <c r="G1652" i="7"/>
  <c r="F1652" i="7"/>
  <c r="N1652" i="7" s="1"/>
  <c r="E1652" i="7"/>
  <c r="D1652" i="7"/>
  <c r="C1652" i="7"/>
  <c r="B1652" i="7"/>
  <c r="G1651" i="7"/>
  <c r="F1651" i="7"/>
  <c r="N1651" i="7" s="1"/>
  <c r="E1651" i="7"/>
  <c r="D1651" i="7"/>
  <c r="C1651" i="7"/>
  <c r="B1651" i="7"/>
  <c r="G1650" i="7"/>
  <c r="F1650" i="7"/>
  <c r="O1650" i="7" s="1"/>
  <c r="E1650" i="7"/>
  <c r="D1650" i="7"/>
  <c r="C1650" i="7"/>
  <c r="B1650" i="7"/>
  <c r="G1649" i="7"/>
  <c r="F1649" i="7"/>
  <c r="N1649" i="7" s="1"/>
  <c r="E1649" i="7"/>
  <c r="D1649" i="7"/>
  <c r="C1649" i="7"/>
  <c r="B1649" i="7"/>
  <c r="G1648" i="7"/>
  <c r="F1648" i="7"/>
  <c r="M1648" i="7" s="1"/>
  <c r="E1648" i="7"/>
  <c r="D1648" i="7"/>
  <c r="C1648" i="7"/>
  <c r="B1648" i="7"/>
  <c r="G1647" i="7"/>
  <c r="F1647" i="7"/>
  <c r="N1647" i="7" s="1"/>
  <c r="E1647" i="7"/>
  <c r="D1647" i="7"/>
  <c r="C1647" i="7"/>
  <c r="B1647" i="7"/>
  <c r="G1646" i="7"/>
  <c r="F1646" i="7"/>
  <c r="O1646" i="7" s="1"/>
  <c r="E1646" i="7"/>
  <c r="D1646" i="7"/>
  <c r="C1646" i="7"/>
  <c r="B1646" i="7"/>
  <c r="G1645" i="7"/>
  <c r="F1645" i="7"/>
  <c r="N1645" i="7" s="1"/>
  <c r="E1645" i="7"/>
  <c r="D1645" i="7"/>
  <c r="C1645" i="7"/>
  <c r="B1645" i="7"/>
  <c r="G1644" i="7"/>
  <c r="F1644" i="7"/>
  <c r="I1644" i="7" s="1"/>
  <c r="E1644" i="7"/>
  <c r="D1644" i="7"/>
  <c r="C1644" i="7"/>
  <c r="B1644" i="7"/>
  <c r="G1643" i="7"/>
  <c r="F1643" i="7"/>
  <c r="N1643" i="7" s="1"/>
  <c r="E1643" i="7"/>
  <c r="D1643" i="7"/>
  <c r="C1643" i="7"/>
  <c r="B1643" i="7"/>
  <c r="G1642" i="7"/>
  <c r="F1642" i="7"/>
  <c r="I1642" i="7" s="1"/>
  <c r="E1642" i="7"/>
  <c r="D1642" i="7"/>
  <c r="C1642" i="7"/>
  <c r="B1642" i="7"/>
  <c r="G1641" i="7"/>
  <c r="F1641" i="7"/>
  <c r="N1641" i="7" s="1"/>
  <c r="E1641" i="7"/>
  <c r="D1641" i="7"/>
  <c r="C1641" i="7"/>
  <c r="B1641" i="7"/>
  <c r="G1640" i="7"/>
  <c r="F1640" i="7"/>
  <c r="H1640" i="7" s="1"/>
  <c r="E1640" i="7"/>
  <c r="D1640" i="7"/>
  <c r="C1640" i="7"/>
  <c r="B1640" i="7"/>
  <c r="G1639" i="7"/>
  <c r="F1639" i="7"/>
  <c r="N1639" i="7" s="1"/>
  <c r="E1639" i="7"/>
  <c r="D1639" i="7"/>
  <c r="C1639" i="7"/>
  <c r="B1639" i="7"/>
  <c r="G1638" i="7"/>
  <c r="F1638" i="7"/>
  <c r="E1638" i="7"/>
  <c r="D1638" i="7"/>
  <c r="C1638" i="7"/>
  <c r="B1638" i="7"/>
  <c r="G1637" i="7"/>
  <c r="F1637" i="7"/>
  <c r="N1637" i="7" s="1"/>
  <c r="E1637" i="7"/>
  <c r="D1637" i="7"/>
  <c r="C1637" i="7"/>
  <c r="B1637" i="7"/>
  <c r="G1636" i="7"/>
  <c r="F1636" i="7"/>
  <c r="N1636" i="7" s="1"/>
  <c r="E1636" i="7"/>
  <c r="D1636" i="7"/>
  <c r="C1636" i="7"/>
  <c r="B1636" i="7"/>
  <c r="G1635" i="7"/>
  <c r="F1635" i="7"/>
  <c r="N1635" i="7" s="1"/>
  <c r="E1635" i="7"/>
  <c r="D1635" i="7"/>
  <c r="C1635" i="7"/>
  <c r="B1635" i="7"/>
  <c r="G1634" i="7"/>
  <c r="F1634" i="7"/>
  <c r="L1634" i="7" s="1"/>
  <c r="E1634" i="7"/>
  <c r="D1634" i="7"/>
  <c r="C1634" i="7"/>
  <c r="B1634" i="7"/>
  <c r="G1633" i="7"/>
  <c r="F1633" i="7"/>
  <c r="N1633" i="7" s="1"/>
  <c r="E1633" i="7"/>
  <c r="D1633" i="7"/>
  <c r="C1633" i="7"/>
  <c r="B1633" i="7"/>
  <c r="G1632" i="7"/>
  <c r="F1632" i="7"/>
  <c r="M1632" i="7" s="1"/>
  <c r="E1632" i="7"/>
  <c r="D1632" i="7"/>
  <c r="C1632" i="7"/>
  <c r="B1632" i="7"/>
  <c r="G1631" i="7"/>
  <c r="F1631" i="7"/>
  <c r="N1631" i="7" s="1"/>
  <c r="E1631" i="7"/>
  <c r="D1631" i="7"/>
  <c r="C1631" i="7"/>
  <c r="B1631" i="7"/>
  <c r="G1630" i="7"/>
  <c r="F1630" i="7"/>
  <c r="L1630" i="7" s="1"/>
  <c r="E1630" i="7"/>
  <c r="D1630" i="7"/>
  <c r="C1630" i="7"/>
  <c r="B1630" i="7"/>
  <c r="G1629" i="7"/>
  <c r="F1629" i="7"/>
  <c r="N1629" i="7" s="1"/>
  <c r="E1629" i="7"/>
  <c r="D1629" i="7"/>
  <c r="C1629" i="7"/>
  <c r="B1629" i="7"/>
  <c r="G1628" i="7"/>
  <c r="F1628" i="7"/>
  <c r="O1628" i="7" s="1"/>
  <c r="E1628" i="7"/>
  <c r="D1628" i="7"/>
  <c r="C1628" i="7"/>
  <c r="B1628" i="7"/>
  <c r="G1627" i="7"/>
  <c r="F1627" i="7"/>
  <c r="N1627" i="7" s="1"/>
  <c r="E1627" i="7"/>
  <c r="D1627" i="7"/>
  <c r="C1627" i="7"/>
  <c r="B1627" i="7"/>
  <c r="G1626" i="7"/>
  <c r="F1626" i="7"/>
  <c r="L1626" i="7" s="1"/>
  <c r="E1626" i="7"/>
  <c r="D1626" i="7"/>
  <c r="C1626" i="7"/>
  <c r="B1626" i="7"/>
  <c r="G1625" i="7"/>
  <c r="F1625" i="7"/>
  <c r="N1625" i="7" s="1"/>
  <c r="E1625" i="7"/>
  <c r="D1625" i="7"/>
  <c r="C1625" i="7"/>
  <c r="B1625" i="7"/>
  <c r="A1624" i="7"/>
  <c r="G1622" i="7"/>
  <c r="F1622" i="7"/>
  <c r="L1622" i="7" s="1"/>
  <c r="E1622" i="7"/>
  <c r="D1622" i="7"/>
  <c r="C1622" i="7"/>
  <c r="B1622" i="7"/>
  <c r="G1621" i="7"/>
  <c r="F1621" i="7"/>
  <c r="N1621" i="7" s="1"/>
  <c r="E1621" i="7"/>
  <c r="D1621" i="7"/>
  <c r="C1621" i="7"/>
  <c r="B1621" i="7"/>
  <c r="G1620" i="7"/>
  <c r="F1620" i="7"/>
  <c r="E1620" i="7"/>
  <c r="D1620" i="7"/>
  <c r="C1620" i="7"/>
  <c r="B1620" i="7"/>
  <c r="G1619" i="7"/>
  <c r="F1619" i="7"/>
  <c r="H1619" i="7" s="1"/>
  <c r="E1619" i="7"/>
  <c r="D1619" i="7"/>
  <c r="C1619" i="7"/>
  <c r="B1619" i="7"/>
  <c r="G1618" i="7"/>
  <c r="F1618" i="7"/>
  <c r="L1618" i="7" s="1"/>
  <c r="E1618" i="7"/>
  <c r="D1618" i="7"/>
  <c r="C1618" i="7"/>
  <c r="B1618" i="7"/>
  <c r="G1617" i="7"/>
  <c r="F1617" i="7"/>
  <c r="E1617" i="7"/>
  <c r="D1617" i="7"/>
  <c r="C1617" i="7"/>
  <c r="B1617" i="7"/>
  <c r="G1616" i="7"/>
  <c r="F1616" i="7"/>
  <c r="E1616" i="7"/>
  <c r="D1616" i="7"/>
  <c r="C1616" i="7"/>
  <c r="B1616" i="7"/>
  <c r="G1615" i="7"/>
  <c r="F1615" i="7"/>
  <c r="H1615" i="7" s="1"/>
  <c r="E1615" i="7"/>
  <c r="D1615" i="7"/>
  <c r="C1615" i="7"/>
  <c r="B1615" i="7"/>
  <c r="G1614" i="7"/>
  <c r="F1614" i="7"/>
  <c r="L1614" i="7" s="1"/>
  <c r="E1614" i="7"/>
  <c r="D1614" i="7"/>
  <c r="C1614" i="7"/>
  <c r="B1614" i="7"/>
  <c r="G1613" i="7"/>
  <c r="F1613" i="7"/>
  <c r="N1613" i="7" s="1"/>
  <c r="E1613" i="7"/>
  <c r="D1613" i="7"/>
  <c r="C1613" i="7"/>
  <c r="B1613" i="7"/>
  <c r="G1612" i="7"/>
  <c r="F1612" i="7"/>
  <c r="E1612" i="7"/>
  <c r="D1612" i="7"/>
  <c r="C1612" i="7"/>
  <c r="B1612" i="7"/>
  <c r="G1611" i="7"/>
  <c r="F1611" i="7"/>
  <c r="H1611" i="7" s="1"/>
  <c r="E1611" i="7"/>
  <c r="D1611" i="7"/>
  <c r="C1611" i="7"/>
  <c r="B1611" i="7"/>
  <c r="G1610" i="7"/>
  <c r="F1610" i="7"/>
  <c r="L1610" i="7" s="1"/>
  <c r="E1610" i="7"/>
  <c r="D1610" i="7"/>
  <c r="C1610" i="7"/>
  <c r="B1610" i="7"/>
  <c r="G1609" i="7"/>
  <c r="F1609" i="7"/>
  <c r="E1609" i="7"/>
  <c r="D1609" i="7"/>
  <c r="C1609" i="7"/>
  <c r="B1609" i="7"/>
  <c r="G1608" i="7"/>
  <c r="F1608" i="7"/>
  <c r="E1608" i="7"/>
  <c r="D1608" i="7"/>
  <c r="C1608" i="7"/>
  <c r="B1608" i="7"/>
  <c r="G1607" i="7"/>
  <c r="F1607" i="7"/>
  <c r="I1607" i="7" s="1"/>
  <c r="E1607" i="7"/>
  <c r="D1607" i="7"/>
  <c r="C1607" i="7"/>
  <c r="B1607" i="7"/>
  <c r="G1606" i="7"/>
  <c r="F1606" i="7"/>
  <c r="L1606" i="7" s="1"/>
  <c r="E1606" i="7"/>
  <c r="D1606" i="7"/>
  <c r="C1606" i="7"/>
  <c r="B1606" i="7"/>
  <c r="G1605" i="7"/>
  <c r="F1605" i="7"/>
  <c r="M1605" i="7" s="1"/>
  <c r="E1605" i="7"/>
  <c r="D1605" i="7"/>
  <c r="C1605" i="7"/>
  <c r="B1605" i="7"/>
  <c r="G1604" i="7"/>
  <c r="F1604" i="7"/>
  <c r="L1604" i="7" s="1"/>
  <c r="E1604" i="7"/>
  <c r="D1604" i="7"/>
  <c r="C1604" i="7"/>
  <c r="B1604" i="7"/>
  <c r="G1603" i="7"/>
  <c r="F1603" i="7"/>
  <c r="I1603" i="7" s="1"/>
  <c r="E1603" i="7"/>
  <c r="D1603" i="7"/>
  <c r="C1603" i="7"/>
  <c r="B1603" i="7"/>
  <c r="A1602" i="7"/>
  <c r="G1600" i="7"/>
  <c r="F1600" i="7"/>
  <c r="N1600" i="7" s="1"/>
  <c r="E1600" i="7"/>
  <c r="D1600" i="7"/>
  <c r="C1600" i="7"/>
  <c r="B1600" i="7"/>
  <c r="G1599" i="7"/>
  <c r="F1599" i="7"/>
  <c r="H1599" i="7" s="1"/>
  <c r="E1599" i="7"/>
  <c r="D1599" i="7"/>
  <c r="C1599" i="7"/>
  <c r="B1599" i="7"/>
  <c r="G1598" i="7"/>
  <c r="F1598" i="7"/>
  <c r="N1598" i="7" s="1"/>
  <c r="E1598" i="7"/>
  <c r="D1598" i="7"/>
  <c r="C1598" i="7"/>
  <c r="B1598" i="7"/>
  <c r="G1597" i="7"/>
  <c r="F1597" i="7"/>
  <c r="O1597" i="7" s="1"/>
  <c r="E1597" i="7"/>
  <c r="D1597" i="7"/>
  <c r="C1597" i="7"/>
  <c r="B1597" i="7"/>
  <c r="G1596" i="7"/>
  <c r="F1596" i="7"/>
  <c r="N1596" i="7" s="1"/>
  <c r="E1596" i="7"/>
  <c r="D1596" i="7"/>
  <c r="C1596" i="7"/>
  <c r="B1596" i="7"/>
  <c r="G1595" i="7"/>
  <c r="F1595" i="7"/>
  <c r="I1595" i="7" s="1"/>
  <c r="E1595" i="7"/>
  <c r="D1595" i="7"/>
  <c r="C1595" i="7"/>
  <c r="B1595" i="7"/>
  <c r="G1594" i="7"/>
  <c r="F1594" i="7"/>
  <c r="N1594" i="7" s="1"/>
  <c r="E1594" i="7"/>
  <c r="D1594" i="7"/>
  <c r="C1594" i="7"/>
  <c r="B1594" i="7"/>
  <c r="G1593" i="7"/>
  <c r="F1593" i="7"/>
  <c r="O1593" i="7" s="1"/>
  <c r="E1593" i="7"/>
  <c r="D1593" i="7"/>
  <c r="C1593" i="7"/>
  <c r="B1593" i="7"/>
  <c r="G1592" i="7"/>
  <c r="F1592" i="7"/>
  <c r="N1592" i="7" s="1"/>
  <c r="E1592" i="7"/>
  <c r="D1592" i="7"/>
  <c r="C1592" i="7"/>
  <c r="B1592" i="7"/>
  <c r="G1591" i="7"/>
  <c r="F1591" i="7"/>
  <c r="N1591" i="7" s="1"/>
  <c r="E1591" i="7"/>
  <c r="D1591" i="7"/>
  <c r="C1591" i="7"/>
  <c r="B1591" i="7"/>
  <c r="G1590" i="7"/>
  <c r="F1590" i="7"/>
  <c r="N1590" i="7" s="1"/>
  <c r="E1590" i="7"/>
  <c r="D1590" i="7"/>
  <c r="C1590" i="7"/>
  <c r="B1590" i="7"/>
  <c r="G1589" i="7"/>
  <c r="F1589" i="7"/>
  <c r="O1589" i="7" s="1"/>
  <c r="E1589" i="7"/>
  <c r="D1589" i="7"/>
  <c r="C1589" i="7"/>
  <c r="B1589" i="7"/>
  <c r="G1588" i="7"/>
  <c r="F1588" i="7"/>
  <c r="N1588" i="7" s="1"/>
  <c r="E1588" i="7"/>
  <c r="D1588" i="7"/>
  <c r="C1588" i="7"/>
  <c r="B1588" i="7"/>
  <c r="G1587" i="7"/>
  <c r="F1587" i="7"/>
  <c r="O1587" i="7" s="1"/>
  <c r="E1587" i="7"/>
  <c r="D1587" i="7"/>
  <c r="C1587" i="7"/>
  <c r="B1587" i="7"/>
  <c r="G1586" i="7"/>
  <c r="F1586" i="7"/>
  <c r="N1586" i="7" s="1"/>
  <c r="E1586" i="7"/>
  <c r="D1586" i="7"/>
  <c r="C1586" i="7"/>
  <c r="B1586" i="7"/>
  <c r="G1585" i="7"/>
  <c r="F1585" i="7"/>
  <c r="O1585" i="7" s="1"/>
  <c r="E1585" i="7"/>
  <c r="D1585" i="7"/>
  <c r="C1585" i="7"/>
  <c r="B1585" i="7"/>
  <c r="G1584" i="7"/>
  <c r="F1584" i="7"/>
  <c r="N1584" i="7" s="1"/>
  <c r="E1584" i="7"/>
  <c r="D1584" i="7"/>
  <c r="C1584" i="7"/>
  <c r="B1584" i="7"/>
  <c r="G1583" i="7"/>
  <c r="F1583" i="7"/>
  <c r="H1583" i="7" s="1"/>
  <c r="E1583" i="7"/>
  <c r="D1583" i="7"/>
  <c r="C1583" i="7"/>
  <c r="B1583" i="7"/>
  <c r="G1582" i="7"/>
  <c r="F1582" i="7"/>
  <c r="N1582" i="7" s="1"/>
  <c r="E1582" i="7"/>
  <c r="D1582" i="7"/>
  <c r="C1582" i="7"/>
  <c r="B1582" i="7"/>
  <c r="G1581" i="7"/>
  <c r="F1581" i="7"/>
  <c r="O1581" i="7" s="1"/>
  <c r="E1581" i="7"/>
  <c r="D1581" i="7"/>
  <c r="C1581" i="7"/>
  <c r="B1581" i="7"/>
  <c r="G1580" i="7"/>
  <c r="F1580" i="7"/>
  <c r="N1580" i="7" s="1"/>
  <c r="E1580" i="7"/>
  <c r="D1580" i="7"/>
  <c r="C1580" i="7"/>
  <c r="B1580" i="7"/>
  <c r="G1579" i="7"/>
  <c r="F1579" i="7"/>
  <c r="O1579" i="7" s="1"/>
  <c r="E1579" i="7"/>
  <c r="D1579" i="7"/>
  <c r="C1579" i="7"/>
  <c r="B1579" i="7"/>
  <c r="G1578" i="7"/>
  <c r="F1578" i="7"/>
  <c r="N1578" i="7" s="1"/>
  <c r="E1578" i="7"/>
  <c r="D1578" i="7"/>
  <c r="C1578" i="7"/>
  <c r="B1578" i="7"/>
  <c r="G1577" i="7"/>
  <c r="F1577" i="7"/>
  <c r="O1577" i="7" s="1"/>
  <c r="E1577" i="7"/>
  <c r="D1577" i="7"/>
  <c r="C1577" i="7"/>
  <c r="B1577" i="7"/>
  <c r="G1576" i="7"/>
  <c r="F1576" i="7"/>
  <c r="N1576" i="7" s="1"/>
  <c r="E1576" i="7"/>
  <c r="D1576" i="7"/>
  <c r="C1576" i="7"/>
  <c r="B1576" i="7"/>
  <c r="G1575" i="7"/>
  <c r="F1575" i="7"/>
  <c r="N1575" i="7" s="1"/>
  <c r="E1575" i="7"/>
  <c r="D1575" i="7"/>
  <c r="C1575" i="7"/>
  <c r="B1575" i="7"/>
  <c r="G1574" i="7"/>
  <c r="F1574" i="7"/>
  <c r="N1574" i="7" s="1"/>
  <c r="E1574" i="7"/>
  <c r="D1574" i="7"/>
  <c r="C1574" i="7"/>
  <c r="B1574" i="7"/>
  <c r="G1573" i="7"/>
  <c r="F1573" i="7"/>
  <c r="O1573" i="7" s="1"/>
  <c r="E1573" i="7"/>
  <c r="D1573" i="7"/>
  <c r="C1573" i="7"/>
  <c r="B1573" i="7"/>
  <c r="G1572" i="7"/>
  <c r="F1572" i="7"/>
  <c r="N1572" i="7" s="1"/>
  <c r="E1572" i="7"/>
  <c r="D1572" i="7"/>
  <c r="C1572" i="7"/>
  <c r="B1572" i="7"/>
  <c r="G1571" i="7"/>
  <c r="F1571" i="7"/>
  <c r="P1571" i="7" s="1"/>
  <c r="E1571" i="7"/>
  <c r="D1571" i="7"/>
  <c r="C1571" i="7"/>
  <c r="B1571" i="7"/>
  <c r="A1570" i="7"/>
  <c r="G1568" i="7"/>
  <c r="F1568" i="7"/>
  <c r="P1568" i="7" s="1"/>
  <c r="E1568" i="7"/>
  <c r="D1568" i="7"/>
  <c r="C1568" i="7"/>
  <c r="B1568" i="7"/>
  <c r="G1567" i="7"/>
  <c r="F1567" i="7"/>
  <c r="O1567" i="7" s="1"/>
  <c r="E1567" i="7"/>
  <c r="D1567" i="7"/>
  <c r="C1567" i="7"/>
  <c r="B1567" i="7"/>
  <c r="G1566" i="7"/>
  <c r="F1566" i="7"/>
  <c r="P1566" i="7" s="1"/>
  <c r="E1566" i="7"/>
  <c r="D1566" i="7"/>
  <c r="C1566" i="7"/>
  <c r="B1566" i="7"/>
  <c r="G1565" i="7"/>
  <c r="F1565" i="7"/>
  <c r="O1565" i="7" s="1"/>
  <c r="E1565" i="7"/>
  <c r="D1565" i="7"/>
  <c r="C1565" i="7"/>
  <c r="B1565" i="7"/>
  <c r="G1564" i="7"/>
  <c r="F1564" i="7"/>
  <c r="H1564" i="7" s="1"/>
  <c r="E1564" i="7"/>
  <c r="D1564" i="7"/>
  <c r="C1564" i="7"/>
  <c r="B1564" i="7"/>
  <c r="G1563" i="7"/>
  <c r="F1563" i="7"/>
  <c r="L1563" i="7" s="1"/>
  <c r="E1563" i="7"/>
  <c r="D1563" i="7"/>
  <c r="C1563" i="7"/>
  <c r="B1563" i="7"/>
  <c r="G1562" i="7"/>
  <c r="F1562" i="7"/>
  <c r="P1562" i="7" s="1"/>
  <c r="E1562" i="7"/>
  <c r="D1562" i="7"/>
  <c r="C1562" i="7"/>
  <c r="B1562" i="7"/>
  <c r="G1561" i="7"/>
  <c r="F1561" i="7"/>
  <c r="O1561" i="7" s="1"/>
  <c r="E1561" i="7"/>
  <c r="D1561" i="7"/>
  <c r="C1561" i="7"/>
  <c r="B1561" i="7"/>
  <c r="G1560" i="7"/>
  <c r="F1560" i="7"/>
  <c r="H1560" i="7" s="1"/>
  <c r="E1560" i="7"/>
  <c r="D1560" i="7"/>
  <c r="C1560" i="7"/>
  <c r="B1560" i="7"/>
  <c r="G1559" i="7"/>
  <c r="F1559" i="7"/>
  <c r="L1559" i="7" s="1"/>
  <c r="E1559" i="7"/>
  <c r="D1559" i="7"/>
  <c r="C1559" i="7"/>
  <c r="B1559" i="7"/>
  <c r="G1558" i="7"/>
  <c r="F1558" i="7"/>
  <c r="P1558" i="7" s="1"/>
  <c r="E1558" i="7"/>
  <c r="D1558" i="7"/>
  <c r="C1558" i="7"/>
  <c r="B1558" i="7"/>
  <c r="G1557" i="7"/>
  <c r="F1557" i="7"/>
  <c r="O1557" i="7" s="1"/>
  <c r="E1557" i="7"/>
  <c r="D1557" i="7"/>
  <c r="C1557" i="7"/>
  <c r="B1557" i="7"/>
  <c r="G1556" i="7"/>
  <c r="F1556" i="7"/>
  <c r="H1556" i="7" s="1"/>
  <c r="E1556" i="7"/>
  <c r="D1556" i="7"/>
  <c r="C1556" i="7"/>
  <c r="B1556" i="7"/>
  <c r="G1555" i="7"/>
  <c r="F1555" i="7"/>
  <c r="L1555" i="7" s="1"/>
  <c r="E1555" i="7"/>
  <c r="D1555" i="7"/>
  <c r="C1555" i="7"/>
  <c r="B1555" i="7"/>
  <c r="G1554" i="7"/>
  <c r="F1554" i="7"/>
  <c r="P1554" i="7" s="1"/>
  <c r="E1554" i="7"/>
  <c r="D1554" i="7"/>
  <c r="C1554" i="7"/>
  <c r="B1554" i="7"/>
  <c r="G1553" i="7"/>
  <c r="F1553" i="7"/>
  <c r="O1553" i="7" s="1"/>
  <c r="E1553" i="7"/>
  <c r="D1553" i="7"/>
  <c r="C1553" i="7"/>
  <c r="B1553" i="7"/>
  <c r="G1552" i="7"/>
  <c r="F1552" i="7"/>
  <c r="N1552" i="7" s="1"/>
  <c r="E1552" i="7"/>
  <c r="D1552" i="7"/>
  <c r="C1552" i="7"/>
  <c r="B1552" i="7"/>
  <c r="G1551" i="7"/>
  <c r="F1551" i="7"/>
  <c r="P1551" i="7" s="1"/>
  <c r="E1551" i="7"/>
  <c r="D1551" i="7"/>
  <c r="C1551" i="7"/>
  <c r="B1551" i="7"/>
  <c r="G1550" i="7"/>
  <c r="F1550" i="7"/>
  <c r="P1550" i="7" s="1"/>
  <c r="E1550" i="7"/>
  <c r="D1550" i="7"/>
  <c r="C1550" i="7"/>
  <c r="B1550" i="7"/>
  <c r="G1549" i="7"/>
  <c r="F1549" i="7"/>
  <c r="O1549" i="7" s="1"/>
  <c r="E1549" i="7"/>
  <c r="D1549" i="7"/>
  <c r="C1549" i="7"/>
  <c r="B1549" i="7"/>
  <c r="G1548" i="7"/>
  <c r="F1548" i="7"/>
  <c r="N1548" i="7" s="1"/>
  <c r="E1548" i="7"/>
  <c r="D1548" i="7"/>
  <c r="C1548" i="7"/>
  <c r="B1548" i="7"/>
  <c r="G1547" i="7"/>
  <c r="F1547" i="7"/>
  <c r="O1547" i="7" s="1"/>
  <c r="E1547" i="7"/>
  <c r="D1547" i="7"/>
  <c r="C1547" i="7"/>
  <c r="B1547" i="7"/>
  <c r="G1546" i="7"/>
  <c r="F1546" i="7"/>
  <c r="P1546" i="7" s="1"/>
  <c r="E1546" i="7"/>
  <c r="D1546" i="7"/>
  <c r="C1546" i="7"/>
  <c r="B1546" i="7"/>
  <c r="G1545" i="7"/>
  <c r="F1545" i="7"/>
  <c r="O1545" i="7" s="1"/>
  <c r="E1545" i="7"/>
  <c r="D1545" i="7"/>
  <c r="C1545" i="7"/>
  <c r="B1545" i="7"/>
  <c r="G1544" i="7"/>
  <c r="F1544" i="7"/>
  <c r="E1544" i="7"/>
  <c r="D1544" i="7"/>
  <c r="C1544" i="7"/>
  <c r="B1544" i="7"/>
  <c r="G1543" i="7"/>
  <c r="F1543" i="7"/>
  <c r="P1543" i="7" s="1"/>
  <c r="E1543" i="7"/>
  <c r="D1543" i="7"/>
  <c r="C1543" i="7"/>
  <c r="B1543" i="7"/>
  <c r="G1542" i="7"/>
  <c r="F1542" i="7"/>
  <c r="I1542" i="7" s="1"/>
  <c r="E1542" i="7"/>
  <c r="D1542" i="7"/>
  <c r="C1542" i="7"/>
  <c r="B1542" i="7"/>
  <c r="G1541" i="7"/>
  <c r="F1541" i="7"/>
  <c r="M1541" i="7" s="1"/>
  <c r="E1541" i="7"/>
  <c r="D1541" i="7"/>
  <c r="C1541" i="7"/>
  <c r="B1541" i="7"/>
  <c r="G1540" i="7"/>
  <c r="F1540" i="7"/>
  <c r="O1540" i="7" s="1"/>
  <c r="E1540" i="7"/>
  <c r="D1540" i="7"/>
  <c r="C1540" i="7"/>
  <c r="B1540" i="7"/>
  <c r="G1539" i="7"/>
  <c r="F1539" i="7"/>
  <c r="P1539" i="7" s="1"/>
  <c r="E1539" i="7"/>
  <c r="D1539" i="7"/>
  <c r="C1539" i="7"/>
  <c r="B1539" i="7"/>
  <c r="G1538" i="7"/>
  <c r="F1538" i="7"/>
  <c r="O1538" i="7" s="1"/>
  <c r="E1538" i="7"/>
  <c r="D1538" i="7"/>
  <c r="C1538" i="7"/>
  <c r="B1538" i="7"/>
  <c r="G1537" i="7"/>
  <c r="F1537" i="7"/>
  <c r="P1537" i="7" s="1"/>
  <c r="E1537" i="7"/>
  <c r="D1537" i="7"/>
  <c r="C1537" i="7"/>
  <c r="B1537" i="7"/>
  <c r="G1536" i="7"/>
  <c r="F1536" i="7"/>
  <c r="O1536" i="7" s="1"/>
  <c r="E1536" i="7"/>
  <c r="D1536" i="7"/>
  <c r="C1536" i="7"/>
  <c r="B1536" i="7"/>
  <c r="G1535" i="7"/>
  <c r="F1535" i="7"/>
  <c r="P1535" i="7" s="1"/>
  <c r="E1535" i="7"/>
  <c r="D1535" i="7"/>
  <c r="C1535" i="7"/>
  <c r="B1535" i="7"/>
  <c r="G1534" i="7"/>
  <c r="F1534" i="7"/>
  <c r="O1534" i="7" s="1"/>
  <c r="E1534" i="7"/>
  <c r="D1534" i="7"/>
  <c r="C1534" i="7"/>
  <c r="B1534" i="7"/>
  <c r="G1533" i="7"/>
  <c r="F1533" i="7"/>
  <c r="P1533" i="7" s="1"/>
  <c r="E1533" i="7"/>
  <c r="D1533" i="7"/>
  <c r="C1533" i="7"/>
  <c r="B1533" i="7"/>
  <c r="G1532" i="7"/>
  <c r="F1532" i="7"/>
  <c r="O1532" i="7" s="1"/>
  <c r="E1532" i="7"/>
  <c r="D1532" i="7"/>
  <c r="C1532" i="7"/>
  <c r="B1532" i="7"/>
  <c r="A1531" i="7"/>
  <c r="G1529" i="7"/>
  <c r="F1529" i="7"/>
  <c r="I1529" i="7" s="1"/>
  <c r="E1529" i="7"/>
  <c r="D1529" i="7"/>
  <c r="C1529" i="7"/>
  <c r="B1529" i="7"/>
  <c r="G1528" i="7"/>
  <c r="F1528" i="7"/>
  <c r="O1528" i="7" s="1"/>
  <c r="E1528" i="7"/>
  <c r="D1528" i="7"/>
  <c r="C1528" i="7"/>
  <c r="B1528" i="7"/>
  <c r="G1527" i="7"/>
  <c r="F1527" i="7"/>
  <c r="O1527" i="7" s="1"/>
  <c r="E1527" i="7"/>
  <c r="D1527" i="7"/>
  <c r="C1527" i="7"/>
  <c r="B1527" i="7"/>
  <c r="G1526" i="7"/>
  <c r="F1526" i="7"/>
  <c r="O1526" i="7" s="1"/>
  <c r="E1526" i="7"/>
  <c r="D1526" i="7"/>
  <c r="C1526" i="7"/>
  <c r="B1526" i="7"/>
  <c r="G1525" i="7"/>
  <c r="F1525" i="7"/>
  <c r="O1525" i="7" s="1"/>
  <c r="E1525" i="7"/>
  <c r="D1525" i="7"/>
  <c r="C1525" i="7"/>
  <c r="B1525" i="7"/>
  <c r="G1524" i="7"/>
  <c r="F1524" i="7"/>
  <c r="O1524" i="7" s="1"/>
  <c r="E1524" i="7"/>
  <c r="D1524" i="7"/>
  <c r="C1524" i="7"/>
  <c r="B1524" i="7"/>
  <c r="G1523" i="7"/>
  <c r="F1523" i="7"/>
  <c r="N1523" i="7" s="1"/>
  <c r="E1523" i="7"/>
  <c r="D1523" i="7"/>
  <c r="C1523" i="7"/>
  <c r="B1523" i="7"/>
  <c r="G1522" i="7"/>
  <c r="F1522" i="7"/>
  <c r="O1522" i="7" s="1"/>
  <c r="E1522" i="7"/>
  <c r="D1522" i="7"/>
  <c r="C1522" i="7"/>
  <c r="B1522" i="7"/>
  <c r="G1521" i="7"/>
  <c r="F1521" i="7"/>
  <c r="O1521" i="7" s="1"/>
  <c r="E1521" i="7"/>
  <c r="D1521" i="7"/>
  <c r="C1521" i="7"/>
  <c r="B1521" i="7"/>
  <c r="G1520" i="7"/>
  <c r="F1520" i="7"/>
  <c r="O1520" i="7" s="1"/>
  <c r="E1520" i="7"/>
  <c r="D1520" i="7"/>
  <c r="C1520" i="7"/>
  <c r="B1520" i="7"/>
  <c r="G1519" i="7"/>
  <c r="F1519" i="7"/>
  <c r="H1519" i="7" s="1"/>
  <c r="E1519" i="7"/>
  <c r="D1519" i="7"/>
  <c r="C1519" i="7"/>
  <c r="B1519" i="7"/>
  <c r="G1518" i="7"/>
  <c r="F1518" i="7"/>
  <c r="O1518" i="7" s="1"/>
  <c r="E1518" i="7"/>
  <c r="D1518" i="7"/>
  <c r="C1518" i="7"/>
  <c r="B1518" i="7"/>
  <c r="G1517" i="7"/>
  <c r="F1517" i="7"/>
  <c r="O1517" i="7" s="1"/>
  <c r="E1517" i="7"/>
  <c r="D1517" i="7"/>
  <c r="C1517" i="7"/>
  <c r="B1517" i="7"/>
  <c r="G1516" i="7"/>
  <c r="F1516" i="7"/>
  <c r="O1516" i="7" s="1"/>
  <c r="E1516" i="7"/>
  <c r="D1516" i="7"/>
  <c r="C1516" i="7"/>
  <c r="B1516" i="7"/>
  <c r="G1515" i="7"/>
  <c r="F1515" i="7"/>
  <c r="I1515" i="7" s="1"/>
  <c r="E1515" i="7"/>
  <c r="D1515" i="7"/>
  <c r="C1515" i="7"/>
  <c r="B1515" i="7"/>
  <c r="G1514" i="7"/>
  <c r="F1514" i="7"/>
  <c r="O1514" i="7" s="1"/>
  <c r="E1514" i="7"/>
  <c r="D1514" i="7"/>
  <c r="C1514" i="7"/>
  <c r="B1514" i="7"/>
  <c r="G1513" i="7"/>
  <c r="F1513" i="7"/>
  <c r="O1513" i="7" s="1"/>
  <c r="E1513" i="7"/>
  <c r="D1513" i="7"/>
  <c r="C1513" i="7"/>
  <c r="B1513" i="7"/>
  <c r="G1512" i="7"/>
  <c r="F1512" i="7"/>
  <c r="O1512" i="7" s="1"/>
  <c r="E1512" i="7"/>
  <c r="D1512" i="7"/>
  <c r="C1512" i="7"/>
  <c r="B1512" i="7"/>
  <c r="A1511" i="7"/>
  <c r="G1509" i="7"/>
  <c r="F1509" i="7"/>
  <c r="O1509" i="7" s="1"/>
  <c r="E1509" i="7"/>
  <c r="D1509" i="7"/>
  <c r="C1509" i="7"/>
  <c r="B1509" i="7"/>
  <c r="G1508" i="7"/>
  <c r="F1508" i="7"/>
  <c r="M1508" i="7" s="1"/>
  <c r="E1508" i="7"/>
  <c r="D1508" i="7"/>
  <c r="C1508" i="7"/>
  <c r="B1508" i="7"/>
  <c r="G1507" i="7"/>
  <c r="F1507" i="7"/>
  <c r="O1507" i="7" s="1"/>
  <c r="E1507" i="7"/>
  <c r="D1507" i="7"/>
  <c r="C1507" i="7"/>
  <c r="B1507" i="7"/>
  <c r="G1506" i="7"/>
  <c r="F1506" i="7"/>
  <c r="M1506" i="7" s="1"/>
  <c r="E1506" i="7"/>
  <c r="D1506" i="7"/>
  <c r="C1506" i="7"/>
  <c r="B1506" i="7"/>
  <c r="G1505" i="7"/>
  <c r="F1505" i="7"/>
  <c r="O1505" i="7" s="1"/>
  <c r="E1505" i="7"/>
  <c r="D1505" i="7"/>
  <c r="C1505" i="7"/>
  <c r="B1505" i="7"/>
  <c r="G1504" i="7"/>
  <c r="F1504" i="7"/>
  <c r="M1504" i="7" s="1"/>
  <c r="E1504" i="7"/>
  <c r="D1504" i="7"/>
  <c r="C1504" i="7"/>
  <c r="B1504" i="7"/>
  <c r="G1503" i="7"/>
  <c r="F1503" i="7"/>
  <c r="O1503" i="7" s="1"/>
  <c r="E1503" i="7"/>
  <c r="D1503" i="7"/>
  <c r="C1503" i="7"/>
  <c r="B1503" i="7"/>
  <c r="G1502" i="7"/>
  <c r="F1502" i="7"/>
  <c r="M1502" i="7" s="1"/>
  <c r="E1502" i="7"/>
  <c r="D1502" i="7"/>
  <c r="C1502" i="7"/>
  <c r="B1502" i="7"/>
  <c r="G1501" i="7"/>
  <c r="F1501" i="7"/>
  <c r="O1501" i="7" s="1"/>
  <c r="E1501" i="7"/>
  <c r="D1501" i="7"/>
  <c r="C1501" i="7"/>
  <c r="B1501" i="7"/>
  <c r="G1500" i="7"/>
  <c r="F1500" i="7"/>
  <c r="M1500" i="7" s="1"/>
  <c r="E1500" i="7"/>
  <c r="D1500" i="7"/>
  <c r="C1500" i="7"/>
  <c r="B1500" i="7"/>
  <c r="G1499" i="7"/>
  <c r="F1499" i="7"/>
  <c r="O1499" i="7" s="1"/>
  <c r="E1499" i="7"/>
  <c r="D1499" i="7"/>
  <c r="C1499" i="7"/>
  <c r="B1499" i="7"/>
  <c r="G1498" i="7"/>
  <c r="F1498" i="7"/>
  <c r="M1498" i="7" s="1"/>
  <c r="E1498" i="7"/>
  <c r="D1498" i="7"/>
  <c r="C1498" i="7"/>
  <c r="B1498" i="7"/>
  <c r="G1497" i="7"/>
  <c r="F1497" i="7"/>
  <c r="O1497" i="7" s="1"/>
  <c r="E1497" i="7"/>
  <c r="D1497" i="7"/>
  <c r="C1497" i="7"/>
  <c r="B1497" i="7"/>
  <c r="G1496" i="7"/>
  <c r="F1496" i="7"/>
  <c r="M1496" i="7" s="1"/>
  <c r="E1496" i="7"/>
  <c r="D1496" i="7"/>
  <c r="C1496" i="7"/>
  <c r="B1496" i="7"/>
  <c r="G1495" i="7"/>
  <c r="F1495" i="7"/>
  <c r="O1495" i="7" s="1"/>
  <c r="E1495" i="7"/>
  <c r="D1495" i="7"/>
  <c r="C1495" i="7"/>
  <c r="B1495" i="7"/>
  <c r="G1494" i="7"/>
  <c r="F1494" i="7"/>
  <c r="M1494" i="7" s="1"/>
  <c r="E1494" i="7"/>
  <c r="D1494" i="7"/>
  <c r="C1494" i="7"/>
  <c r="B1494" i="7"/>
  <c r="G1493" i="7"/>
  <c r="F1493" i="7"/>
  <c r="O1493" i="7" s="1"/>
  <c r="E1493" i="7"/>
  <c r="D1493" i="7"/>
  <c r="C1493" i="7"/>
  <c r="B1493" i="7"/>
  <c r="G1492" i="7"/>
  <c r="F1492" i="7"/>
  <c r="M1492" i="7" s="1"/>
  <c r="E1492" i="7"/>
  <c r="D1492" i="7"/>
  <c r="C1492" i="7"/>
  <c r="B1492" i="7"/>
  <c r="G1491" i="7"/>
  <c r="F1491" i="7"/>
  <c r="O1491" i="7" s="1"/>
  <c r="E1491" i="7"/>
  <c r="D1491" i="7"/>
  <c r="C1491" i="7"/>
  <c r="B1491" i="7"/>
  <c r="G1490" i="7"/>
  <c r="F1490" i="7"/>
  <c r="M1490" i="7" s="1"/>
  <c r="E1490" i="7"/>
  <c r="D1490" i="7"/>
  <c r="C1490" i="7"/>
  <c r="B1490" i="7"/>
  <c r="G1489" i="7"/>
  <c r="F1489" i="7"/>
  <c r="O1489" i="7" s="1"/>
  <c r="E1489" i="7"/>
  <c r="D1489" i="7"/>
  <c r="C1489" i="7"/>
  <c r="B1489" i="7"/>
  <c r="G1488" i="7"/>
  <c r="F1488" i="7"/>
  <c r="M1488" i="7" s="1"/>
  <c r="E1488" i="7"/>
  <c r="D1488" i="7"/>
  <c r="C1488" i="7"/>
  <c r="B1488" i="7"/>
  <c r="G1487" i="7"/>
  <c r="F1487" i="7"/>
  <c r="O1487" i="7" s="1"/>
  <c r="E1487" i="7"/>
  <c r="D1487" i="7"/>
  <c r="C1487" i="7"/>
  <c r="B1487" i="7"/>
  <c r="G1486" i="7"/>
  <c r="F1486" i="7"/>
  <c r="M1486" i="7" s="1"/>
  <c r="E1486" i="7"/>
  <c r="D1486" i="7"/>
  <c r="C1486" i="7"/>
  <c r="B1486" i="7"/>
  <c r="G1485" i="7"/>
  <c r="F1485" i="7"/>
  <c r="O1485" i="7" s="1"/>
  <c r="E1485" i="7"/>
  <c r="D1485" i="7"/>
  <c r="C1485" i="7"/>
  <c r="B1485" i="7"/>
  <c r="G1484" i="7"/>
  <c r="F1484" i="7"/>
  <c r="M1484" i="7" s="1"/>
  <c r="E1484" i="7"/>
  <c r="D1484" i="7"/>
  <c r="C1484" i="7"/>
  <c r="B1484" i="7"/>
  <c r="A1483" i="7"/>
  <c r="G1480" i="7"/>
  <c r="F1480" i="7"/>
  <c r="O1480" i="7" s="1"/>
  <c r="E1480" i="7"/>
  <c r="D1480" i="7"/>
  <c r="C1480" i="7"/>
  <c r="B1480" i="7"/>
  <c r="G1479" i="7"/>
  <c r="F1479" i="7"/>
  <c r="O1479" i="7" s="1"/>
  <c r="E1479" i="7"/>
  <c r="D1479" i="7"/>
  <c r="C1479" i="7"/>
  <c r="B1479" i="7"/>
  <c r="G1478" i="7"/>
  <c r="F1478" i="7"/>
  <c r="O1478" i="7" s="1"/>
  <c r="E1478" i="7"/>
  <c r="D1478" i="7"/>
  <c r="C1478" i="7"/>
  <c r="B1478" i="7"/>
  <c r="G1477" i="7"/>
  <c r="F1477" i="7"/>
  <c r="O1477" i="7" s="1"/>
  <c r="E1477" i="7"/>
  <c r="D1477" i="7"/>
  <c r="C1477" i="7"/>
  <c r="B1477" i="7"/>
  <c r="G1476" i="7"/>
  <c r="F1476" i="7"/>
  <c r="O1476" i="7" s="1"/>
  <c r="E1476" i="7"/>
  <c r="D1476" i="7"/>
  <c r="C1476" i="7"/>
  <c r="B1476" i="7"/>
  <c r="A1475" i="7"/>
  <c r="G1473" i="7"/>
  <c r="F1473" i="7"/>
  <c r="O1473" i="7" s="1"/>
  <c r="E1473" i="7"/>
  <c r="D1473" i="7"/>
  <c r="C1473" i="7"/>
  <c r="B1473" i="7"/>
  <c r="G1472" i="7"/>
  <c r="F1472" i="7"/>
  <c r="M1472" i="7" s="1"/>
  <c r="E1472" i="7"/>
  <c r="D1472" i="7"/>
  <c r="C1472" i="7"/>
  <c r="B1472" i="7"/>
  <c r="G1471" i="7"/>
  <c r="F1471" i="7"/>
  <c r="O1471" i="7" s="1"/>
  <c r="E1471" i="7"/>
  <c r="D1471" i="7"/>
  <c r="C1471" i="7"/>
  <c r="B1471" i="7"/>
  <c r="G1470" i="7"/>
  <c r="F1470" i="7"/>
  <c r="N1470" i="7" s="1"/>
  <c r="E1470" i="7"/>
  <c r="D1470" i="7"/>
  <c r="C1470" i="7"/>
  <c r="B1470" i="7"/>
  <c r="G1469" i="7"/>
  <c r="F1469" i="7"/>
  <c r="O1469" i="7" s="1"/>
  <c r="E1469" i="7"/>
  <c r="D1469" i="7"/>
  <c r="C1469" i="7"/>
  <c r="B1469" i="7"/>
  <c r="G1468" i="7"/>
  <c r="F1468" i="7"/>
  <c r="O1468" i="7" s="1"/>
  <c r="E1468" i="7"/>
  <c r="D1468" i="7"/>
  <c r="C1468" i="7"/>
  <c r="B1468" i="7"/>
  <c r="G1467" i="7"/>
  <c r="F1467" i="7"/>
  <c r="O1467" i="7" s="1"/>
  <c r="E1467" i="7"/>
  <c r="D1467" i="7"/>
  <c r="C1467" i="7"/>
  <c r="B1467" i="7"/>
  <c r="G1466" i="7"/>
  <c r="F1466" i="7"/>
  <c r="O1466" i="7" s="1"/>
  <c r="E1466" i="7"/>
  <c r="D1466" i="7"/>
  <c r="C1466" i="7"/>
  <c r="B1466" i="7"/>
  <c r="G1465" i="7"/>
  <c r="F1465" i="7"/>
  <c r="O1465" i="7" s="1"/>
  <c r="E1465" i="7"/>
  <c r="D1465" i="7"/>
  <c r="C1465" i="7"/>
  <c r="B1465" i="7"/>
  <c r="G1464" i="7"/>
  <c r="F1464" i="7"/>
  <c r="O1464" i="7" s="1"/>
  <c r="E1464" i="7"/>
  <c r="D1464" i="7"/>
  <c r="C1464" i="7"/>
  <c r="B1464" i="7"/>
  <c r="G1463" i="7"/>
  <c r="F1463" i="7"/>
  <c r="M1463" i="7" s="1"/>
  <c r="E1463" i="7"/>
  <c r="D1463" i="7"/>
  <c r="C1463" i="7"/>
  <c r="B1463" i="7"/>
  <c r="G1462" i="7"/>
  <c r="F1462" i="7"/>
  <c r="N1462" i="7" s="1"/>
  <c r="E1462" i="7"/>
  <c r="D1462" i="7"/>
  <c r="C1462" i="7"/>
  <c r="B1462" i="7"/>
  <c r="G1461" i="7"/>
  <c r="F1461" i="7"/>
  <c r="P1461" i="7" s="1"/>
  <c r="E1461" i="7"/>
  <c r="D1461" i="7"/>
  <c r="C1461" i="7"/>
  <c r="B1461" i="7"/>
  <c r="G1460" i="7"/>
  <c r="F1460" i="7"/>
  <c r="N1460" i="7" s="1"/>
  <c r="E1460" i="7"/>
  <c r="D1460" i="7"/>
  <c r="C1460" i="7"/>
  <c r="B1460" i="7"/>
  <c r="G1459" i="7"/>
  <c r="F1459" i="7"/>
  <c r="P1459" i="7" s="1"/>
  <c r="E1459" i="7"/>
  <c r="D1459" i="7"/>
  <c r="C1459" i="7"/>
  <c r="B1459" i="7"/>
  <c r="G1458" i="7"/>
  <c r="F1458" i="7"/>
  <c r="N1458" i="7" s="1"/>
  <c r="E1458" i="7"/>
  <c r="D1458" i="7"/>
  <c r="C1458" i="7"/>
  <c r="B1458" i="7"/>
  <c r="G1457" i="7"/>
  <c r="F1457" i="7"/>
  <c r="P1457" i="7" s="1"/>
  <c r="E1457" i="7"/>
  <c r="D1457" i="7"/>
  <c r="C1457" i="7"/>
  <c r="B1457" i="7"/>
  <c r="G1456" i="7"/>
  <c r="F1456" i="7"/>
  <c r="N1456" i="7" s="1"/>
  <c r="E1456" i="7"/>
  <c r="D1456" i="7"/>
  <c r="C1456" i="7"/>
  <c r="B1456" i="7"/>
  <c r="G1455" i="7"/>
  <c r="F1455" i="7"/>
  <c r="P1455" i="7" s="1"/>
  <c r="E1455" i="7"/>
  <c r="D1455" i="7"/>
  <c r="C1455" i="7"/>
  <c r="B1455" i="7"/>
  <c r="G1454" i="7"/>
  <c r="F1454" i="7"/>
  <c r="N1454" i="7" s="1"/>
  <c r="E1454" i="7"/>
  <c r="D1454" i="7"/>
  <c r="C1454" i="7"/>
  <c r="B1454" i="7"/>
  <c r="A1453" i="7"/>
  <c r="G1451" i="7"/>
  <c r="F1451" i="7"/>
  <c r="O1451" i="7" s="1"/>
  <c r="E1451" i="7"/>
  <c r="D1451" i="7"/>
  <c r="C1451" i="7"/>
  <c r="B1451" i="7"/>
  <c r="G1450" i="7"/>
  <c r="F1450" i="7"/>
  <c r="O1450" i="7" s="1"/>
  <c r="E1450" i="7"/>
  <c r="D1450" i="7"/>
  <c r="C1450" i="7"/>
  <c r="B1450" i="7"/>
  <c r="G1449" i="7"/>
  <c r="F1449" i="7"/>
  <c r="O1449" i="7" s="1"/>
  <c r="E1449" i="7"/>
  <c r="D1449" i="7"/>
  <c r="C1449" i="7"/>
  <c r="B1449" i="7"/>
  <c r="G1448" i="7"/>
  <c r="F1448" i="7"/>
  <c r="O1448" i="7" s="1"/>
  <c r="E1448" i="7"/>
  <c r="D1448" i="7"/>
  <c r="C1448" i="7"/>
  <c r="B1448" i="7"/>
  <c r="G1447" i="7"/>
  <c r="F1447" i="7"/>
  <c r="O1447" i="7" s="1"/>
  <c r="E1447" i="7"/>
  <c r="D1447" i="7"/>
  <c r="C1447" i="7"/>
  <c r="B1447" i="7"/>
  <c r="G1446" i="7"/>
  <c r="F1446" i="7"/>
  <c r="I1446" i="7" s="1"/>
  <c r="E1446" i="7"/>
  <c r="D1446" i="7"/>
  <c r="C1446" i="7"/>
  <c r="B1446" i="7"/>
  <c r="G1445" i="7"/>
  <c r="F1445" i="7"/>
  <c r="O1445" i="7" s="1"/>
  <c r="E1445" i="7"/>
  <c r="D1445" i="7"/>
  <c r="C1445" i="7"/>
  <c r="B1445" i="7"/>
  <c r="G1444" i="7"/>
  <c r="F1444" i="7"/>
  <c r="O1444" i="7" s="1"/>
  <c r="E1444" i="7"/>
  <c r="D1444" i="7"/>
  <c r="C1444" i="7"/>
  <c r="B1444" i="7"/>
  <c r="G1443" i="7"/>
  <c r="F1443" i="7"/>
  <c r="O1443" i="7" s="1"/>
  <c r="E1443" i="7"/>
  <c r="D1443" i="7"/>
  <c r="C1443" i="7"/>
  <c r="B1443" i="7"/>
  <c r="G1442" i="7"/>
  <c r="F1442" i="7"/>
  <c r="O1442" i="7" s="1"/>
  <c r="E1442" i="7"/>
  <c r="D1442" i="7"/>
  <c r="C1442" i="7"/>
  <c r="B1442" i="7"/>
  <c r="G1441" i="7"/>
  <c r="F1441" i="7"/>
  <c r="O1441" i="7" s="1"/>
  <c r="E1441" i="7"/>
  <c r="D1441" i="7"/>
  <c r="C1441" i="7"/>
  <c r="B1441" i="7"/>
  <c r="A1440" i="7"/>
  <c r="C61" i="7" s="1"/>
  <c r="G1438" i="7"/>
  <c r="F1438" i="7"/>
  <c r="O1438" i="7" s="1"/>
  <c r="E1438" i="7"/>
  <c r="D1438" i="7"/>
  <c r="C1438" i="7"/>
  <c r="B1438" i="7"/>
  <c r="G1437" i="7"/>
  <c r="F1437" i="7"/>
  <c r="N1437" i="7" s="1"/>
  <c r="E1437" i="7"/>
  <c r="D1437" i="7"/>
  <c r="C1437" i="7"/>
  <c r="B1437" i="7"/>
  <c r="G1436" i="7"/>
  <c r="F1436" i="7"/>
  <c r="P1436" i="7" s="1"/>
  <c r="E1436" i="7"/>
  <c r="D1436" i="7"/>
  <c r="C1436" i="7"/>
  <c r="B1436" i="7"/>
  <c r="G1435" i="7"/>
  <c r="F1435" i="7"/>
  <c r="N1435" i="7" s="1"/>
  <c r="E1435" i="7"/>
  <c r="D1435" i="7"/>
  <c r="C1435" i="7"/>
  <c r="B1435" i="7"/>
  <c r="G1434" i="7"/>
  <c r="F1434" i="7"/>
  <c r="E1434" i="7"/>
  <c r="D1434" i="7"/>
  <c r="C1434" i="7"/>
  <c r="B1434" i="7"/>
  <c r="G1433" i="7"/>
  <c r="F1433" i="7"/>
  <c r="N1433" i="7" s="1"/>
  <c r="E1433" i="7"/>
  <c r="D1433" i="7"/>
  <c r="C1433" i="7"/>
  <c r="B1433" i="7"/>
  <c r="G1432" i="7"/>
  <c r="F1432" i="7"/>
  <c r="P1432" i="7" s="1"/>
  <c r="E1432" i="7"/>
  <c r="D1432" i="7"/>
  <c r="C1432" i="7"/>
  <c r="B1432" i="7"/>
  <c r="G1431" i="7"/>
  <c r="F1431" i="7"/>
  <c r="N1431" i="7" s="1"/>
  <c r="E1431" i="7"/>
  <c r="D1431" i="7"/>
  <c r="C1431" i="7"/>
  <c r="B1431" i="7"/>
  <c r="G1430" i="7"/>
  <c r="F1430" i="7"/>
  <c r="P1430" i="7" s="1"/>
  <c r="E1430" i="7"/>
  <c r="D1430" i="7"/>
  <c r="C1430" i="7"/>
  <c r="B1430" i="7"/>
  <c r="G1429" i="7"/>
  <c r="F1429" i="7"/>
  <c r="N1429" i="7" s="1"/>
  <c r="E1429" i="7"/>
  <c r="D1429" i="7"/>
  <c r="C1429" i="7"/>
  <c r="B1429" i="7"/>
  <c r="G1428" i="7"/>
  <c r="F1428" i="7"/>
  <c r="P1428" i="7" s="1"/>
  <c r="E1428" i="7"/>
  <c r="D1428" i="7"/>
  <c r="C1428" i="7"/>
  <c r="B1428" i="7"/>
  <c r="G1427" i="7"/>
  <c r="F1427" i="7"/>
  <c r="N1427" i="7" s="1"/>
  <c r="E1427" i="7"/>
  <c r="D1427" i="7"/>
  <c r="C1427" i="7"/>
  <c r="B1427" i="7"/>
  <c r="G1426" i="7"/>
  <c r="F1426" i="7"/>
  <c r="P1426" i="7" s="1"/>
  <c r="E1426" i="7"/>
  <c r="D1426" i="7"/>
  <c r="C1426" i="7"/>
  <c r="B1426" i="7"/>
  <c r="G1425" i="7"/>
  <c r="F1425" i="7"/>
  <c r="N1425" i="7" s="1"/>
  <c r="E1425" i="7"/>
  <c r="D1425" i="7"/>
  <c r="C1425" i="7"/>
  <c r="B1425" i="7"/>
  <c r="G1424" i="7"/>
  <c r="F1424" i="7"/>
  <c r="P1424" i="7" s="1"/>
  <c r="E1424" i="7"/>
  <c r="D1424" i="7"/>
  <c r="C1424" i="7"/>
  <c r="B1424" i="7"/>
  <c r="G1423" i="7"/>
  <c r="F1423" i="7"/>
  <c r="N1423" i="7" s="1"/>
  <c r="E1423" i="7"/>
  <c r="D1423" i="7"/>
  <c r="C1423" i="7"/>
  <c r="B1423" i="7"/>
  <c r="G1422" i="7"/>
  <c r="F1422" i="7"/>
  <c r="P1422" i="7" s="1"/>
  <c r="E1422" i="7"/>
  <c r="D1422" i="7"/>
  <c r="C1422" i="7"/>
  <c r="B1422" i="7"/>
  <c r="A1421" i="7"/>
  <c r="G1418" i="7"/>
  <c r="F1418" i="7"/>
  <c r="O1418" i="7" s="1"/>
  <c r="E1418" i="7"/>
  <c r="D1418" i="7"/>
  <c r="C1418" i="7"/>
  <c r="B1418" i="7"/>
  <c r="G1417" i="7"/>
  <c r="F1417" i="7"/>
  <c r="O1417" i="7" s="1"/>
  <c r="E1417" i="7"/>
  <c r="D1417" i="7"/>
  <c r="C1417" i="7"/>
  <c r="B1417" i="7"/>
  <c r="G1416" i="7"/>
  <c r="F1416" i="7"/>
  <c r="O1416" i="7" s="1"/>
  <c r="E1416" i="7"/>
  <c r="D1416" i="7"/>
  <c r="C1416" i="7"/>
  <c r="B1416" i="7"/>
  <c r="G1415" i="7"/>
  <c r="F1415" i="7"/>
  <c r="O1415" i="7" s="1"/>
  <c r="E1415" i="7"/>
  <c r="D1415" i="7"/>
  <c r="C1415" i="7"/>
  <c r="B1415" i="7"/>
  <c r="G1414" i="7"/>
  <c r="F1414" i="7"/>
  <c r="I1414" i="7" s="1"/>
  <c r="E1414" i="7"/>
  <c r="D1414" i="7"/>
  <c r="C1414" i="7"/>
  <c r="B1414" i="7"/>
  <c r="G1413" i="7"/>
  <c r="F1413" i="7"/>
  <c r="O1413" i="7" s="1"/>
  <c r="E1413" i="7"/>
  <c r="D1413" i="7"/>
  <c r="C1413" i="7"/>
  <c r="B1413" i="7"/>
  <c r="G1412" i="7"/>
  <c r="F1412" i="7"/>
  <c r="I1412" i="7" s="1"/>
  <c r="E1412" i="7"/>
  <c r="D1412" i="7"/>
  <c r="C1412" i="7"/>
  <c r="B1412" i="7"/>
  <c r="G1411" i="7"/>
  <c r="F1411" i="7"/>
  <c r="O1411" i="7" s="1"/>
  <c r="E1411" i="7"/>
  <c r="D1411" i="7"/>
  <c r="C1411" i="7"/>
  <c r="B1411" i="7"/>
  <c r="G1410" i="7"/>
  <c r="F1410" i="7"/>
  <c r="I1410" i="7" s="1"/>
  <c r="E1410" i="7"/>
  <c r="D1410" i="7"/>
  <c r="C1410" i="7"/>
  <c r="B1410" i="7"/>
  <c r="G1409" i="7"/>
  <c r="F1409" i="7"/>
  <c r="O1409" i="7" s="1"/>
  <c r="E1409" i="7"/>
  <c r="D1409" i="7"/>
  <c r="C1409" i="7"/>
  <c r="B1409" i="7"/>
  <c r="G1408" i="7"/>
  <c r="F1408" i="7"/>
  <c r="I1408" i="7" s="1"/>
  <c r="E1408" i="7"/>
  <c r="D1408" i="7"/>
  <c r="C1408" i="7"/>
  <c r="B1408" i="7"/>
  <c r="G1407" i="7"/>
  <c r="F1407" i="7"/>
  <c r="O1407" i="7" s="1"/>
  <c r="E1407" i="7"/>
  <c r="D1407" i="7"/>
  <c r="C1407" i="7"/>
  <c r="B1407" i="7"/>
  <c r="A1406" i="7"/>
  <c r="G1405" i="7"/>
  <c r="F1405" i="7"/>
  <c r="I1405" i="7" s="1"/>
  <c r="E1405" i="7"/>
  <c r="D1405" i="7"/>
  <c r="C1405" i="7"/>
  <c r="B1405" i="7"/>
  <c r="G1404" i="7"/>
  <c r="F1404" i="7"/>
  <c r="I1404" i="7" s="1"/>
  <c r="E1404" i="7"/>
  <c r="D1404" i="7"/>
  <c r="C1404" i="7"/>
  <c r="B1404" i="7"/>
  <c r="G1403" i="7"/>
  <c r="F1403" i="7"/>
  <c r="N1403" i="7" s="1"/>
  <c r="E1403" i="7"/>
  <c r="D1403" i="7"/>
  <c r="C1403" i="7"/>
  <c r="B1403" i="7"/>
  <c r="G1402" i="7"/>
  <c r="F1402" i="7"/>
  <c r="H1402" i="7" s="1"/>
  <c r="E1402" i="7"/>
  <c r="D1402" i="7"/>
  <c r="C1402" i="7"/>
  <c r="B1402" i="7"/>
  <c r="G1401" i="7"/>
  <c r="F1401" i="7"/>
  <c r="N1401" i="7" s="1"/>
  <c r="E1401" i="7"/>
  <c r="D1401" i="7"/>
  <c r="C1401" i="7"/>
  <c r="B1401" i="7"/>
  <c r="G1400" i="7"/>
  <c r="F1400" i="7"/>
  <c r="O1400" i="7" s="1"/>
  <c r="E1400" i="7"/>
  <c r="D1400" i="7"/>
  <c r="C1400" i="7"/>
  <c r="B1400" i="7"/>
  <c r="G1399" i="7"/>
  <c r="F1399" i="7"/>
  <c r="N1399" i="7" s="1"/>
  <c r="E1399" i="7"/>
  <c r="D1399" i="7"/>
  <c r="C1399" i="7"/>
  <c r="B1399" i="7"/>
  <c r="G1398" i="7"/>
  <c r="F1398" i="7"/>
  <c r="O1398" i="7" s="1"/>
  <c r="E1398" i="7"/>
  <c r="D1398" i="7"/>
  <c r="C1398" i="7"/>
  <c r="B1398" i="7"/>
  <c r="G1397" i="7"/>
  <c r="F1397" i="7"/>
  <c r="N1397" i="7" s="1"/>
  <c r="E1397" i="7"/>
  <c r="D1397" i="7"/>
  <c r="C1397" i="7"/>
  <c r="B1397" i="7"/>
  <c r="G1396" i="7"/>
  <c r="F1396" i="7"/>
  <c r="H1396" i="7" s="1"/>
  <c r="E1396" i="7"/>
  <c r="D1396" i="7"/>
  <c r="C1396" i="7"/>
  <c r="B1396" i="7"/>
  <c r="G1395" i="7"/>
  <c r="F1395" i="7"/>
  <c r="N1395" i="7" s="1"/>
  <c r="E1395" i="7"/>
  <c r="D1395" i="7"/>
  <c r="C1395" i="7"/>
  <c r="B1395" i="7"/>
  <c r="G1394" i="7"/>
  <c r="F1394" i="7"/>
  <c r="H1394" i="7" s="1"/>
  <c r="E1394" i="7"/>
  <c r="D1394" i="7"/>
  <c r="C1394" i="7"/>
  <c r="B1394" i="7"/>
  <c r="G1393" i="7"/>
  <c r="F1393" i="7"/>
  <c r="I1393" i="7" s="1"/>
  <c r="E1393" i="7"/>
  <c r="D1393" i="7"/>
  <c r="C1393" i="7"/>
  <c r="B1393" i="7"/>
  <c r="G1392" i="7"/>
  <c r="F1392" i="7"/>
  <c r="L1392" i="7" s="1"/>
  <c r="E1392" i="7"/>
  <c r="D1392" i="7"/>
  <c r="C1392" i="7"/>
  <c r="B1392" i="7"/>
  <c r="G1391" i="7"/>
  <c r="F1391" i="7"/>
  <c r="M1391" i="7" s="1"/>
  <c r="E1391" i="7"/>
  <c r="D1391" i="7"/>
  <c r="C1391" i="7"/>
  <c r="B1391" i="7"/>
  <c r="G1390" i="7"/>
  <c r="F1390" i="7"/>
  <c r="E1390" i="7"/>
  <c r="D1390" i="7"/>
  <c r="C1390" i="7"/>
  <c r="B1390" i="7"/>
  <c r="G1389" i="7"/>
  <c r="F1389" i="7"/>
  <c r="I1389" i="7" s="1"/>
  <c r="E1389" i="7"/>
  <c r="D1389" i="7"/>
  <c r="C1389" i="7"/>
  <c r="B1389" i="7"/>
  <c r="G1388" i="7"/>
  <c r="F1388" i="7"/>
  <c r="L1388" i="7" s="1"/>
  <c r="E1388" i="7"/>
  <c r="D1388" i="7"/>
  <c r="C1388" i="7"/>
  <c r="B1388" i="7"/>
  <c r="G1387" i="7"/>
  <c r="F1387" i="7"/>
  <c r="M1387" i="7" s="1"/>
  <c r="E1387" i="7"/>
  <c r="D1387" i="7"/>
  <c r="C1387" i="7"/>
  <c r="B1387" i="7"/>
  <c r="G1386" i="7"/>
  <c r="F1386" i="7"/>
  <c r="H1386" i="7" s="1"/>
  <c r="E1386" i="7"/>
  <c r="D1386" i="7"/>
  <c r="C1386" i="7"/>
  <c r="B1386" i="7"/>
  <c r="G1385" i="7"/>
  <c r="F1385" i="7"/>
  <c r="I1385" i="7" s="1"/>
  <c r="E1385" i="7"/>
  <c r="D1385" i="7"/>
  <c r="C1385" i="7"/>
  <c r="B1385" i="7"/>
  <c r="G1384" i="7"/>
  <c r="F1384" i="7"/>
  <c r="L1384" i="7" s="1"/>
  <c r="E1384" i="7"/>
  <c r="D1384" i="7"/>
  <c r="C1384" i="7"/>
  <c r="B1384" i="7"/>
  <c r="G1383" i="7"/>
  <c r="F1383" i="7"/>
  <c r="M1383" i="7" s="1"/>
  <c r="E1383" i="7"/>
  <c r="D1383" i="7"/>
  <c r="C1383" i="7"/>
  <c r="B1383" i="7"/>
  <c r="G1382" i="7"/>
  <c r="F1382" i="7"/>
  <c r="E1382" i="7"/>
  <c r="D1382" i="7"/>
  <c r="C1382" i="7"/>
  <c r="B1382" i="7"/>
  <c r="G1381" i="7"/>
  <c r="F1381" i="7"/>
  <c r="I1381" i="7" s="1"/>
  <c r="E1381" i="7"/>
  <c r="D1381" i="7"/>
  <c r="C1381" i="7"/>
  <c r="B1381" i="7"/>
  <c r="G1380" i="7"/>
  <c r="F1380" i="7"/>
  <c r="L1380" i="7" s="1"/>
  <c r="E1380" i="7"/>
  <c r="D1380" i="7"/>
  <c r="C1380" i="7"/>
  <c r="B1380" i="7"/>
  <c r="G1379" i="7"/>
  <c r="F1379" i="7"/>
  <c r="M1379" i="7" s="1"/>
  <c r="E1379" i="7"/>
  <c r="D1379" i="7"/>
  <c r="C1379" i="7"/>
  <c r="B1379" i="7"/>
  <c r="G1378" i="7"/>
  <c r="F1378" i="7"/>
  <c r="H1378" i="7" s="1"/>
  <c r="E1378" i="7"/>
  <c r="D1378" i="7"/>
  <c r="C1378" i="7"/>
  <c r="B1378" i="7"/>
  <c r="G1377" i="7"/>
  <c r="F1377" i="7"/>
  <c r="I1377" i="7" s="1"/>
  <c r="E1377" i="7"/>
  <c r="D1377" i="7"/>
  <c r="C1377" i="7"/>
  <c r="B1377" i="7"/>
  <c r="G1376" i="7"/>
  <c r="F1376" i="7"/>
  <c r="L1376" i="7" s="1"/>
  <c r="E1376" i="7"/>
  <c r="D1376" i="7"/>
  <c r="C1376" i="7"/>
  <c r="B1376" i="7"/>
  <c r="G1375" i="7"/>
  <c r="F1375" i="7"/>
  <c r="M1375" i="7" s="1"/>
  <c r="E1375" i="7"/>
  <c r="D1375" i="7"/>
  <c r="C1375" i="7"/>
  <c r="B1375" i="7"/>
  <c r="G1374" i="7"/>
  <c r="F1374" i="7"/>
  <c r="E1374" i="7"/>
  <c r="D1374" i="7"/>
  <c r="C1374" i="7"/>
  <c r="B1374" i="7"/>
  <c r="G1373" i="7"/>
  <c r="F1373" i="7"/>
  <c r="I1373" i="7" s="1"/>
  <c r="E1373" i="7"/>
  <c r="D1373" i="7"/>
  <c r="C1373" i="7"/>
  <c r="B1373" i="7"/>
  <c r="G1372" i="7"/>
  <c r="F1372" i="7"/>
  <c r="L1372" i="7" s="1"/>
  <c r="E1372" i="7"/>
  <c r="D1372" i="7"/>
  <c r="C1372" i="7"/>
  <c r="B1372" i="7"/>
  <c r="G1371" i="7"/>
  <c r="F1371" i="7"/>
  <c r="M1371" i="7" s="1"/>
  <c r="E1371" i="7"/>
  <c r="D1371" i="7"/>
  <c r="C1371" i="7"/>
  <c r="B1371" i="7"/>
  <c r="G1370" i="7"/>
  <c r="F1370" i="7"/>
  <c r="H1370" i="7" s="1"/>
  <c r="E1370" i="7"/>
  <c r="D1370" i="7"/>
  <c r="C1370" i="7"/>
  <c r="B1370" i="7"/>
  <c r="A1369" i="7"/>
  <c r="G1368" i="7"/>
  <c r="F1368" i="7"/>
  <c r="I1368" i="7" s="1"/>
  <c r="E1368" i="7"/>
  <c r="D1368" i="7"/>
  <c r="C1368" i="7"/>
  <c r="B1368" i="7"/>
  <c r="G1367" i="7"/>
  <c r="F1367" i="7"/>
  <c r="I1367" i="7" s="1"/>
  <c r="E1367" i="7"/>
  <c r="D1367" i="7"/>
  <c r="C1367" i="7"/>
  <c r="B1367" i="7"/>
  <c r="G1366" i="7"/>
  <c r="F1366" i="7"/>
  <c r="I1366" i="7" s="1"/>
  <c r="E1366" i="7"/>
  <c r="D1366" i="7"/>
  <c r="C1366" i="7"/>
  <c r="B1366" i="7"/>
  <c r="G1365" i="7"/>
  <c r="F1365" i="7"/>
  <c r="O1365" i="7" s="1"/>
  <c r="E1365" i="7"/>
  <c r="D1365" i="7"/>
  <c r="C1365" i="7"/>
  <c r="B1365" i="7"/>
  <c r="G1364" i="7"/>
  <c r="F1364" i="7"/>
  <c r="O1364" i="7" s="1"/>
  <c r="E1364" i="7"/>
  <c r="D1364" i="7"/>
  <c r="C1364" i="7"/>
  <c r="B1364" i="7"/>
  <c r="G1363" i="7"/>
  <c r="F1363" i="7"/>
  <c r="O1363" i="7" s="1"/>
  <c r="E1363" i="7"/>
  <c r="D1363" i="7"/>
  <c r="C1363" i="7"/>
  <c r="B1363" i="7"/>
  <c r="G1362" i="7"/>
  <c r="F1362" i="7"/>
  <c r="O1362" i="7" s="1"/>
  <c r="E1362" i="7"/>
  <c r="D1362" i="7"/>
  <c r="C1362" i="7"/>
  <c r="B1362" i="7"/>
  <c r="G1361" i="7"/>
  <c r="F1361" i="7"/>
  <c r="P1361" i="7" s="1"/>
  <c r="E1361" i="7"/>
  <c r="D1361" i="7"/>
  <c r="C1361" i="7"/>
  <c r="B1361" i="7"/>
  <c r="G1360" i="7"/>
  <c r="F1360" i="7"/>
  <c r="O1360" i="7" s="1"/>
  <c r="E1360" i="7"/>
  <c r="D1360" i="7"/>
  <c r="C1360" i="7"/>
  <c r="B1360" i="7"/>
  <c r="G1359" i="7"/>
  <c r="F1359" i="7"/>
  <c r="I1359" i="7" s="1"/>
  <c r="E1359" i="7"/>
  <c r="D1359" i="7"/>
  <c r="C1359" i="7"/>
  <c r="B1359" i="7"/>
  <c r="G1358" i="7"/>
  <c r="F1358" i="7"/>
  <c r="O1358" i="7" s="1"/>
  <c r="E1358" i="7"/>
  <c r="D1358" i="7"/>
  <c r="C1358" i="7"/>
  <c r="B1358" i="7"/>
  <c r="G1357" i="7"/>
  <c r="F1357" i="7"/>
  <c r="O1357" i="7" s="1"/>
  <c r="E1357" i="7"/>
  <c r="D1357" i="7"/>
  <c r="C1357" i="7"/>
  <c r="B1357" i="7"/>
  <c r="G1356" i="7"/>
  <c r="F1356" i="7"/>
  <c r="O1356" i="7" s="1"/>
  <c r="E1356" i="7"/>
  <c r="D1356" i="7"/>
  <c r="C1356" i="7"/>
  <c r="B1356" i="7"/>
  <c r="G1355" i="7"/>
  <c r="F1355" i="7"/>
  <c r="E1355" i="7"/>
  <c r="D1355" i="7"/>
  <c r="C1355" i="7"/>
  <c r="B1355" i="7"/>
  <c r="G1354" i="7"/>
  <c r="F1354" i="7"/>
  <c r="I1354" i="7" s="1"/>
  <c r="E1354" i="7"/>
  <c r="D1354" i="7"/>
  <c r="C1354" i="7"/>
  <c r="B1354" i="7"/>
  <c r="G1353" i="7"/>
  <c r="F1353" i="7"/>
  <c r="O1353" i="7" s="1"/>
  <c r="E1353" i="7"/>
  <c r="D1353" i="7"/>
  <c r="C1353" i="7"/>
  <c r="B1353" i="7"/>
  <c r="G1352" i="7"/>
  <c r="F1352" i="7"/>
  <c r="O1352" i="7" s="1"/>
  <c r="E1352" i="7"/>
  <c r="D1352" i="7"/>
  <c r="C1352" i="7"/>
  <c r="B1352" i="7"/>
  <c r="G1351" i="7"/>
  <c r="F1351" i="7"/>
  <c r="O1351" i="7" s="1"/>
  <c r="E1351" i="7"/>
  <c r="D1351" i="7"/>
  <c r="C1351" i="7"/>
  <c r="B1351" i="7"/>
  <c r="G1350" i="7"/>
  <c r="F1350" i="7"/>
  <c r="O1350" i="7" s="1"/>
  <c r="E1350" i="7"/>
  <c r="D1350" i="7"/>
  <c r="C1350" i="7"/>
  <c r="B1350" i="7"/>
  <c r="G1349" i="7"/>
  <c r="F1349" i="7"/>
  <c r="O1349" i="7" s="1"/>
  <c r="E1349" i="7"/>
  <c r="D1349" i="7"/>
  <c r="C1349" i="7"/>
  <c r="B1349" i="7"/>
  <c r="G1348" i="7"/>
  <c r="F1348" i="7"/>
  <c r="O1348" i="7" s="1"/>
  <c r="E1348" i="7"/>
  <c r="D1348" i="7"/>
  <c r="C1348" i="7"/>
  <c r="B1348" i="7"/>
  <c r="G1347" i="7"/>
  <c r="F1347" i="7"/>
  <c r="O1347" i="7" s="1"/>
  <c r="E1347" i="7"/>
  <c r="D1347" i="7"/>
  <c r="C1347" i="7"/>
  <c r="B1347" i="7"/>
  <c r="G1346" i="7"/>
  <c r="F1346" i="7"/>
  <c r="O1346" i="7" s="1"/>
  <c r="E1346" i="7"/>
  <c r="D1346" i="7"/>
  <c r="C1346" i="7"/>
  <c r="B1346" i="7"/>
  <c r="G1345" i="7"/>
  <c r="F1345" i="7"/>
  <c r="O1345" i="7" s="1"/>
  <c r="E1345" i="7"/>
  <c r="D1345" i="7"/>
  <c r="C1345" i="7"/>
  <c r="B1345" i="7"/>
  <c r="G1344" i="7"/>
  <c r="F1344" i="7"/>
  <c r="O1344" i="7" s="1"/>
  <c r="E1344" i="7"/>
  <c r="D1344" i="7"/>
  <c r="C1344" i="7"/>
  <c r="B1344" i="7"/>
  <c r="G1343" i="7"/>
  <c r="F1343" i="7"/>
  <c r="O1343" i="7" s="1"/>
  <c r="E1343" i="7"/>
  <c r="D1343" i="7"/>
  <c r="C1343" i="7"/>
  <c r="B1343" i="7"/>
  <c r="G1342" i="7"/>
  <c r="F1342" i="7"/>
  <c r="O1342" i="7" s="1"/>
  <c r="E1342" i="7"/>
  <c r="D1342" i="7"/>
  <c r="C1342" i="7"/>
  <c r="B1342" i="7"/>
  <c r="G1341" i="7"/>
  <c r="F1341" i="7"/>
  <c r="O1341" i="7" s="1"/>
  <c r="E1341" i="7"/>
  <c r="D1341" i="7"/>
  <c r="C1341" i="7"/>
  <c r="B1341" i="7"/>
  <c r="G1340" i="7"/>
  <c r="F1340" i="7"/>
  <c r="O1340" i="7" s="1"/>
  <c r="E1340" i="7"/>
  <c r="D1340" i="7"/>
  <c r="C1340" i="7"/>
  <c r="B1340" i="7"/>
  <c r="G1339" i="7"/>
  <c r="F1339" i="7"/>
  <c r="O1339" i="7" s="1"/>
  <c r="E1339" i="7"/>
  <c r="D1339" i="7"/>
  <c r="C1339" i="7"/>
  <c r="B1339" i="7"/>
  <c r="G1338" i="7"/>
  <c r="F1338" i="7"/>
  <c r="O1338" i="7" s="1"/>
  <c r="E1338" i="7"/>
  <c r="D1338" i="7"/>
  <c r="C1338" i="7"/>
  <c r="B1338" i="7"/>
  <c r="G1337" i="7"/>
  <c r="F1337" i="7"/>
  <c r="O1337" i="7" s="1"/>
  <c r="E1337" i="7"/>
  <c r="D1337" i="7"/>
  <c r="C1337" i="7"/>
  <c r="B1337" i="7"/>
  <c r="G1336" i="7"/>
  <c r="F1336" i="7"/>
  <c r="O1336" i="7" s="1"/>
  <c r="E1336" i="7"/>
  <c r="D1336" i="7"/>
  <c r="C1336" i="7"/>
  <c r="B1336" i="7"/>
  <c r="G1335" i="7"/>
  <c r="F1335" i="7"/>
  <c r="O1335" i="7" s="1"/>
  <c r="E1335" i="7"/>
  <c r="D1335" i="7"/>
  <c r="C1335" i="7"/>
  <c r="B1335" i="7"/>
  <c r="G1334" i="7"/>
  <c r="F1334" i="7"/>
  <c r="O1334" i="7" s="1"/>
  <c r="E1334" i="7"/>
  <c r="D1334" i="7"/>
  <c r="C1334" i="7"/>
  <c r="B1334" i="7"/>
  <c r="G1333" i="7"/>
  <c r="F1333" i="7"/>
  <c r="H1333" i="7" s="1"/>
  <c r="E1333" i="7"/>
  <c r="D1333" i="7"/>
  <c r="C1333" i="7"/>
  <c r="B1333" i="7"/>
  <c r="G1332" i="7"/>
  <c r="F1332" i="7"/>
  <c r="O1332" i="7" s="1"/>
  <c r="E1332" i="7"/>
  <c r="D1332" i="7"/>
  <c r="C1332" i="7"/>
  <c r="B1332" i="7"/>
  <c r="G1331" i="7"/>
  <c r="F1331" i="7"/>
  <c r="O1331" i="7" s="1"/>
  <c r="E1331" i="7"/>
  <c r="D1331" i="7"/>
  <c r="C1331" i="7"/>
  <c r="B1331" i="7"/>
  <c r="G1330" i="7"/>
  <c r="F1330" i="7"/>
  <c r="O1330" i="7" s="1"/>
  <c r="E1330" i="7"/>
  <c r="D1330" i="7"/>
  <c r="C1330" i="7"/>
  <c r="B1330" i="7"/>
  <c r="G1329" i="7"/>
  <c r="F1329" i="7"/>
  <c r="O1329" i="7" s="1"/>
  <c r="E1329" i="7"/>
  <c r="D1329" i="7"/>
  <c r="C1329" i="7"/>
  <c r="B1329" i="7"/>
  <c r="G1328" i="7"/>
  <c r="F1328" i="7"/>
  <c r="O1328" i="7" s="1"/>
  <c r="E1328" i="7"/>
  <c r="D1328" i="7"/>
  <c r="C1328" i="7"/>
  <c r="B1328" i="7"/>
  <c r="G1327" i="7"/>
  <c r="F1327" i="7"/>
  <c r="O1327" i="7" s="1"/>
  <c r="E1327" i="7"/>
  <c r="D1327" i="7"/>
  <c r="C1327" i="7"/>
  <c r="B1327" i="7"/>
  <c r="A1326" i="7"/>
  <c r="G1325" i="7"/>
  <c r="F1325" i="7"/>
  <c r="I1325" i="7" s="1"/>
  <c r="E1325" i="7"/>
  <c r="D1325" i="7"/>
  <c r="C1325" i="7"/>
  <c r="B1325" i="7"/>
  <c r="G1324" i="7"/>
  <c r="F1324" i="7"/>
  <c r="I1324" i="7" s="1"/>
  <c r="E1324" i="7"/>
  <c r="D1324" i="7"/>
  <c r="C1324" i="7"/>
  <c r="B1324" i="7"/>
  <c r="G1323" i="7"/>
  <c r="F1323" i="7"/>
  <c r="O1323" i="7" s="1"/>
  <c r="E1323" i="7"/>
  <c r="D1323" i="7"/>
  <c r="C1323" i="7"/>
  <c r="B1323" i="7"/>
  <c r="G1322" i="7"/>
  <c r="F1322" i="7"/>
  <c r="O1322" i="7" s="1"/>
  <c r="E1322" i="7"/>
  <c r="D1322" i="7"/>
  <c r="C1322" i="7"/>
  <c r="B1322" i="7"/>
  <c r="G1321" i="7"/>
  <c r="F1321" i="7"/>
  <c r="O1321" i="7" s="1"/>
  <c r="E1321" i="7"/>
  <c r="D1321" i="7"/>
  <c r="C1321" i="7"/>
  <c r="B1321" i="7"/>
  <c r="G1320" i="7"/>
  <c r="F1320" i="7"/>
  <c r="O1320" i="7" s="1"/>
  <c r="E1320" i="7"/>
  <c r="D1320" i="7"/>
  <c r="C1320" i="7"/>
  <c r="B1320" i="7"/>
  <c r="G1319" i="7"/>
  <c r="F1319" i="7"/>
  <c r="O1319" i="7" s="1"/>
  <c r="E1319" i="7"/>
  <c r="D1319" i="7"/>
  <c r="C1319" i="7"/>
  <c r="B1319" i="7"/>
  <c r="G1318" i="7"/>
  <c r="F1318" i="7"/>
  <c r="O1318" i="7" s="1"/>
  <c r="E1318" i="7"/>
  <c r="D1318" i="7"/>
  <c r="C1318" i="7"/>
  <c r="B1318" i="7"/>
  <c r="G1317" i="7"/>
  <c r="F1317" i="7"/>
  <c r="H1317" i="7" s="1"/>
  <c r="E1317" i="7"/>
  <c r="D1317" i="7"/>
  <c r="C1317" i="7"/>
  <c r="B1317" i="7"/>
  <c r="G1316" i="7"/>
  <c r="F1316" i="7"/>
  <c r="E1316" i="7"/>
  <c r="D1316" i="7"/>
  <c r="C1316" i="7"/>
  <c r="B1316" i="7"/>
  <c r="G1315" i="7"/>
  <c r="F1315" i="7"/>
  <c r="O1315" i="7" s="1"/>
  <c r="E1315" i="7"/>
  <c r="D1315" i="7"/>
  <c r="C1315" i="7"/>
  <c r="B1315" i="7"/>
  <c r="G1314" i="7"/>
  <c r="F1314" i="7"/>
  <c r="E1314" i="7"/>
  <c r="D1314" i="7"/>
  <c r="C1314" i="7"/>
  <c r="B1314" i="7"/>
  <c r="G1313" i="7"/>
  <c r="F1313" i="7"/>
  <c r="O1313" i="7" s="1"/>
  <c r="E1313" i="7"/>
  <c r="D1313" i="7"/>
  <c r="C1313" i="7"/>
  <c r="B1313" i="7"/>
  <c r="G1312" i="7"/>
  <c r="F1312" i="7"/>
  <c r="E1312" i="7"/>
  <c r="D1312" i="7"/>
  <c r="C1312" i="7"/>
  <c r="B1312" i="7"/>
  <c r="G1311" i="7"/>
  <c r="F1311" i="7"/>
  <c r="O1311" i="7" s="1"/>
  <c r="E1311" i="7"/>
  <c r="D1311" i="7"/>
  <c r="C1311" i="7"/>
  <c r="B1311" i="7"/>
  <c r="G1310" i="7"/>
  <c r="F1310" i="7"/>
  <c r="E1310" i="7"/>
  <c r="D1310" i="7"/>
  <c r="C1310" i="7"/>
  <c r="B1310" i="7"/>
  <c r="G1309" i="7"/>
  <c r="F1309" i="7"/>
  <c r="O1309" i="7" s="1"/>
  <c r="E1309" i="7"/>
  <c r="D1309" i="7"/>
  <c r="C1309" i="7"/>
  <c r="B1309" i="7"/>
  <c r="G1308" i="7"/>
  <c r="F1308" i="7"/>
  <c r="O1308" i="7" s="1"/>
  <c r="E1308" i="7"/>
  <c r="D1308" i="7"/>
  <c r="C1308" i="7"/>
  <c r="B1308" i="7"/>
  <c r="G1307" i="7"/>
  <c r="F1307" i="7"/>
  <c r="P1307" i="7" s="1"/>
  <c r="E1307" i="7"/>
  <c r="D1307" i="7"/>
  <c r="C1307" i="7"/>
  <c r="B1307" i="7"/>
  <c r="G1306" i="7"/>
  <c r="F1306" i="7"/>
  <c r="O1306" i="7" s="1"/>
  <c r="E1306" i="7"/>
  <c r="D1306" i="7"/>
  <c r="C1306" i="7"/>
  <c r="B1306" i="7"/>
  <c r="G1305" i="7"/>
  <c r="F1305" i="7"/>
  <c r="P1305" i="7" s="1"/>
  <c r="E1305" i="7"/>
  <c r="D1305" i="7"/>
  <c r="C1305" i="7"/>
  <c r="B1305" i="7"/>
  <c r="G1304" i="7"/>
  <c r="F1304" i="7"/>
  <c r="O1304" i="7" s="1"/>
  <c r="E1304" i="7"/>
  <c r="D1304" i="7"/>
  <c r="C1304" i="7"/>
  <c r="B1304" i="7"/>
  <c r="G1303" i="7"/>
  <c r="F1303" i="7"/>
  <c r="P1303" i="7" s="1"/>
  <c r="E1303" i="7"/>
  <c r="D1303" i="7"/>
  <c r="C1303" i="7"/>
  <c r="B1303" i="7"/>
  <c r="G1302" i="7"/>
  <c r="F1302" i="7"/>
  <c r="O1302" i="7" s="1"/>
  <c r="E1302" i="7"/>
  <c r="D1302" i="7"/>
  <c r="C1302" i="7"/>
  <c r="B1302" i="7"/>
  <c r="G1301" i="7"/>
  <c r="F1301" i="7"/>
  <c r="P1301" i="7" s="1"/>
  <c r="E1301" i="7"/>
  <c r="D1301" i="7"/>
  <c r="C1301" i="7"/>
  <c r="B1301" i="7"/>
  <c r="G1300" i="7"/>
  <c r="F1300" i="7"/>
  <c r="O1300" i="7" s="1"/>
  <c r="E1300" i="7"/>
  <c r="D1300" i="7"/>
  <c r="C1300" i="7"/>
  <c r="B1300" i="7"/>
  <c r="G1299" i="7"/>
  <c r="F1299" i="7"/>
  <c r="P1299" i="7" s="1"/>
  <c r="E1299" i="7"/>
  <c r="D1299" i="7"/>
  <c r="C1299" i="7"/>
  <c r="B1299" i="7"/>
  <c r="G1298" i="7"/>
  <c r="F1298" i="7"/>
  <c r="O1298" i="7" s="1"/>
  <c r="E1298" i="7"/>
  <c r="D1298" i="7"/>
  <c r="C1298" i="7"/>
  <c r="B1298" i="7"/>
  <c r="G1297" i="7"/>
  <c r="F1297" i="7"/>
  <c r="P1297" i="7" s="1"/>
  <c r="E1297" i="7"/>
  <c r="D1297" i="7"/>
  <c r="C1297" i="7"/>
  <c r="B1297" i="7"/>
  <c r="G1296" i="7"/>
  <c r="F1296" i="7"/>
  <c r="O1296" i="7" s="1"/>
  <c r="E1296" i="7"/>
  <c r="D1296" i="7"/>
  <c r="C1296" i="7"/>
  <c r="B1296" i="7"/>
  <c r="G1295" i="7"/>
  <c r="F1295" i="7"/>
  <c r="P1295" i="7" s="1"/>
  <c r="E1295" i="7"/>
  <c r="D1295" i="7"/>
  <c r="C1295" i="7"/>
  <c r="B1295" i="7"/>
  <c r="G1294" i="7"/>
  <c r="F1294" i="7"/>
  <c r="O1294" i="7" s="1"/>
  <c r="E1294" i="7"/>
  <c r="D1294" i="7"/>
  <c r="C1294" i="7"/>
  <c r="B1294" i="7"/>
  <c r="G1293" i="7"/>
  <c r="F1293" i="7"/>
  <c r="P1293" i="7" s="1"/>
  <c r="E1293" i="7"/>
  <c r="D1293" i="7"/>
  <c r="C1293" i="7"/>
  <c r="B1293" i="7"/>
  <c r="G1292" i="7"/>
  <c r="F1292" i="7"/>
  <c r="O1292" i="7" s="1"/>
  <c r="E1292" i="7"/>
  <c r="D1292" i="7"/>
  <c r="C1292" i="7"/>
  <c r="B1292" i="7"/>
  <c r="G1291" i="7"/>
  <c r="F1291" i="7"/>
  <c r="P1291" i="7" s="1"/>
  <c r="E1291" i="7"/>
  <c r="D1291" i="7"/>
  <c r="C1291" i="7"/>
  <c r="B1291" i="7"/>
  <c r="G1290" i="7"/>
  <c r="F1290" i="7"/>
  <c r="O1290" i="7" s="1"/>
  <c r="E1290" i="7"/>
  <c r="D1290" i="7"/>
  <c r="C1290" i="7"/>
  <c r="B1290" i="7"/>
  <c r="G1289" i="7"/>
  <c r="F1289" i="7"/>
  <c r="P1289" i="7" s="1"/>
  <c r="E1289" i="7"/>
  <c r="D1289" i="7"/>
  <c r="C1289" i="7"/>
  <c r="B1289" i="7"/>
  <c r="G1288" i="7"/>
  <c r="F1288" i="7"/>
  <c r="P1288" i="7" s="1"/>
  <c r="E1288" i="7"/>
  <c r="D1288" i="7"/>
  <c r="C1288" i="7"/>
  <c r="B1288" i="7"/>
  <c r="G1287" i="7"/>
  <c r="F1287" i="7"/>
  <c r="M1287" i="7" s="1"/>
  <c r="E1287" i="7"/>
  <c r="D1287" i="7"/>
  <c r="C1287" i="7"/>
  <c r="B1287" i="7"/>
  <c r="G1286" i="7"/>
  <c r="F1286" i="7"/>
  <c r="H1286" i="7" s="1"/>
  <c r="E1286" i="7"/>
  <c r="D1286" i="7"/>
  <c r="C1286" i="7"/>
  <c r="B1286" i="7"/>
  <c r="G1285" i="7"/>
  <c r="F1285" i="7"/>
  <c r="M1285" i="7" s="1"/>
  <c r="E1285" i="7"/>
  <c r="D1285" i="7"/>
  <c r="C1285" i="7"/>
  <c r="B1285" i="7"/>
  <c r="G1284" i="7"/>
  <c r="F1284" i="7"/>
  <c r="O1284" i="7" s="1"/>
  <c r="E1284" i="7"/>
  <c r="D1284" i="7"/>
  <c r="C1284" i="7"/>
  <c r="B1284" i="7"/>
  <c r="G1283" i="7"/>
  <c r="F1283" i="7"/>
  <c r="M1283" i="7" s="1"/>
  <c r="E1283" i="7"/>
  <c r="D1283" i="7"/>
  <c r="C1283" i="7"/>
  <c r="B1283" i="7"/>
  <c r="G1282" i="7"/>
  <c r="F1282" i="7"/>
  <c r="O1282" i="7" s="1"/>
  <c r="E1282" i="7"/>
  <c r="D1282" i="7"/>
  <c r="C1282" i="7"/>
  <c r="B1282" i="7"/>
  <c r="G1281" i="7"/>
  <c r="F1281" i="7"/>
  <c r="M1281" i="7" s="1"/>
  <c r="E1281" i="7"/>
  <c r="D1281" i="7"/>
  <c r="C1281" i="7"/>
  <c r="B1281" i="7"/>
  <c r="G1280" i="7"/>
  <c r="F1280" i="7"/>
  <c r="O1280" i="7" s="1"/>
  <c r="E1280" i="7"/>
  <c r="D1280" i="7"/>
  <c r="C1280" i="7"/>
  <c r="B1280" i="7"/>
  <c r="G1279" i="7"/>
  <c r="F1279" i="7"/>
  <c r="M1279" i="7" s="1"/>
  <c r="E1279" i="7"/>
  <c r="D1279" i="7"/>
  <c r="C1279" i="7"/>
  <c r="B1279" i="7"/>
  <c r="G1278" i="7"/>
  <c r="F1278" i="7"/>
  <c r="O1278" i="7" s="1"/>
  <c r="E1278" i="7"/>
  <c r="D1278" i="7"/>
  <c r="C1278" i="7"/>
  <c r="B1278" i="7"/>
  <c r="G1277" i="7"/>
  <c r="F1277" i="7"/>
  <c r="M1277" i="7" s="1"/>
  <c r="E1277" i="7"/>
  <c r="D1277" i="7"/>
  <c r="C1277" i="7"/>
  <c r="B1277" i="7"/>
  <c r="G1276" i="7"/>
  <c r="F1276" i="7"/>
  <c r="O1276" i="7" s="1"/>
  <c r="E1276" i="7"/>
  <c r="D1276" i="7"/>
  <c r="C1276" i="7"/>
  <c r="B1276" i="7"/>
  <c r="G1275" i="7"/>
  <c r="F1275" i="7"/>
  <c r="M1275" i="7" s="1"/>
  <c r="E1275" i="7"/>
  <c r="D1275" i="7"/>
  <c r="C1275" i="7"/>
  <c r="B1275" i="7"/>
  <c r="G1274" i="7"/>
  <c r="F1274" i="7"/>
  <c r="O1274" i="7" s="1"/>
  <c r="E1274" i="7"/>
  <c r="D1274" i="7"/>
  <c r="C1274" i="7"/>
  <c r="B1274" i="7"/>
  <c r="G1273" i="7"/>
  <c r="F1273" i="7"/>
  <c r="M1273" i="7" s="1"/>
  <c r="E1273" i="7"/>
  <c r="D1273" i="7"/>
  <c r="C1273" i="7"/>
  <c r="B1273" i="7"/>
  <c r="G1272" i="7"/>
  <c r="F1272" i="7"/>
  <c r="O1272" i="7" s="1"/>
  <c r="E1272" i="7"/>
  <c r="D1272" i="7"/>
  <c r="C1272" i="7"/>
  <c r="B1272" i="7"/>
  <c r="G1271" i="7"/>
  <c r="F1271" i="7"/>
  <c r="M1271" i="7" s="1"/>
  <c r="E1271" i="7"/>
  <c r="D1271" i="7"/>
  <c r="C1271" i="7"/>
  <c r="B1271" i="7"/>
  <c r="G1270" i="7"/>
  <c r="F1270" i="7"/>
  <c r="H1270" i="7" s="1"/>
  <c r="E1270" i="7"/>
  <c r="D1270" i="7"/>
  <c r="C1270" i="7"/>
  <c r="B1270" i="7"/>
  <c r="G1269" i="7"/>
  <c r="F1269" i="7"/>
  <c r="M1269" i="7" s="1"/>
  <c r="E1269" i="7"/>
  <c r="D1269" i="7"/>
  <c r="C1269" i="7"/>
  <c r="B1269" i="7"/>
  <c r="G1268" i="7"/>
  <c r="F1268" i="7"/>
  <c r="O1268" i="7" s="1"/>
  <c r="E1268" i="7"/>
  <c r="D1268" i="7"/>
  <c r="C1268" i="7"/>
  <c r="B1268" i="7"/>
  <c r="G1267" i="7"/>
  <c r="F1267" i="7"/>
  <c r="M1267" i="7" s="1"/>
  <c r="E1267" i="7"/>
  <c r="D1267" i="7"/>
  <c r="C1267" i="7"/>
  <c r="B1267" i="7"/>
  <c r="G1266" i="7"/>
  <c r="F1266" i="7"/>
  <c r="O1266" i="7" s="1"/>
  <c r="E1266" i="7"/>
  <c r="D1266" i="7"/>
  <c r="C1266" i="7"/>
  <c r="B1266" i="7"/>
  <c r="G1265" i="7"/>
  <c r="F1265" i="7"/>
  <c r="M1265" i="7" s="1"/>
  <c r="E1265" i="7"/>
  <c r="D1265" i="7"/>
  <c r="C1265" i="7"/>
  <c r="B1265" i="7"/>
  <c r="G1264" i="7"/>
  <c r="F1264" i="7"/>
  <c r="O1264" i="7" s="1"/>
  <c r="E1264" i="7"/>
  <c r="D1264" i="7"/>
  <c r="C1264" i="7"/>
  <c r="B1264" i="7"/>
  <c r="G1263" i="7"/>
  <c r="F1263" i="7"/>
  <c r="M1263" i="7" s="1"/>
  <c r="E1263" i="7"/>
  <c r="D1263" i="7"/>
  <c r="C1263" i="7"/>
  <c r="B1263" i="7"/>
  <c r="G1262" i="7"/>
  <c r="F1262" i="7"/>
  <c r="O1262" i="7" s="1"/>
  <c r="E1262" i="7"/>
  <c r="D1262" i="7"/>
  <c r="C1262" i="7"/>
  <c r="B1262" i="7"/>
  <c r="G1261" i="7"/>
  <c r="F1261" i="7"/>
  <c r="M1261" i="7" s="1"/>
  <c r="E1261" i="7"/>
  <c r="D1261" i="7"/>
  <c r="C1261" i="7"/>
  <c r="B1261" i="7"/>
  <c r="G1260" i="7"/>
  <c r="F1260" i="7"/>
  <c r="O1260" i="7" s="1"/>
  <c r="E1260" i="7"/>
  <c r="D1260" i="7"/>
  <c r="C1260" i="7"/>
  <c r="B1260" i="7"/>
  <c r="G1259" i="7"/>
  <c r="F1259" i="7"/>
  <c r="M1259" i="7" s="1"/>
  <c r="E1259" i="7"/>
  <c r="D1259" i="7"/>
  <c r="C1259" i="7"/>
  <c r="B1259" i="7"/>
  <c r="G1258" i="7"/>
  <c r="F1258" i="7"/>
  <c r="O1258" i="7" s="1"/>
  <c r="E1258" i="7"/>
  <c r="D1258" i="7"/>
  <c r="C1258" i="7"/>
  <c r="B1258" i="7"/>
  <c r="G1257" i="7"/>
  <c r="F1257" i="7"/>
  <c r="M1257" i="7" s="1"/>
  <c r="E1257" i="7"/>
  <c r="D1257" i="7"/>
  <c r="C1257" i="7"/>
  <c r="B1257" i="7"/>
  <c r="G1256" i="7"/>
  <c r="F1256" i="7"/>
  <c r="O1256" i="7" s="1"/>
  <c r="E1256" i="7"/>
  <c r="D1256" i="7"/>
  <c r="C1256" i="7"/>
  <c r="B1256" i="7"/>
  <c r="G1255" i="7"/>
  <c r="F1255" i="7"/>
  <c r="M1255" i="7" s="1"/>
  <c r="E1255" i="7"/>
  <c r="D1255" i="7"/>
  <c r="C1255" i="7"/>
  <c r="B1255" i="7"/>
  <c r="G1254" i="7"/>
  <c r="F1254" i="7"/>
  <c r="H1254" i="7" s="1"/>
  <c r="E1254" i="7"/>
  <c r="D1254" i="7"/>
  <c r="C1254" i="7"/>
  <c r="B1254" i="7"/>
  <c r="G1253" i="7"/>
  <c r="F1253" i="7"/>
  <c r="M1253" i="7" s="1"/>
  <c r="E1253" i="7"/>
  <c r="D1253" i="7"/>
  <c r="C1253" i="7"/>
  <c r="B1253" i="7"/>
  <c r="G1252" i="7"/>
  <c r="F1252" i="7"/>
  <c r="O1252" i="7" s="1"/>
  <c r="E1252" i="7"/>
  <c r="D1252" i="7"/>
  <c r="C1252" i="7"/>
  <c r="B1252" i="7"/>
  <c r="G1251" i="7"/>
  <c r="F1251" i="7"/>
  <c r="M1251" i="7" s="1"/>
  <c r="E1251" i="7"/>
  <c r="D1251" i="7"/>
  <c r="C1251" i="7"/>
  <c r="B1251" i="7"/>
  <c r="A1250" i="7"/>
  <c r="G1249" i="7"/>
  <c r="F1249" i="7"/>
  <c r="H1249" i="7" s="1"/>
  <c r="E1249" i="7"/>
  <c r="D1249" i="7"/>
  <c r="C1249" i="7"/>
  <c r="B1249" i="7"/>
  <c r="G1248" i="7"/>
  <c r="F1248" i="7"/>
  <c r="I1248" i="7" s="1"/>
  <c r="E1248" i="7"/>
  <c r="D1248" i="7"/>
  <c r="C1248" i="7"/>
  <c r="B1248" i="7"/>
  <c r="G1247" i="7"/>
  <c r="F1247" i="7"/>
  <c r="P1247" i="7" s="1"/>
  <c r="E1247" i="7"/>
  <c r="D1247" i="7"/>
  <c r="C1247" i="7"/>
  <c r="B1247" i="7"/>
  <c r="G1246" i="7"/>
  <c r="F1246" i="7"/>
  <c r="O1246" i="7" s="1"/>
  <c r="E1246" i="7"/>
  <c r="D1246" i="7"/>
  <c r="C1246" i="7"/>
  <c r="B1246" i="7"/>
  <c r="G1245" i="7"/>
  <c r="F1245" i="7"/>
  <c r="P1245" i="7" s="1"/>
  <c r="E1245" i="7"/>
  <c r="D1245" i="7"/>
  <c r="C1245" i="7"/>
  <c r="B1245" i="7"/>
  <c r="G1244" i="7"/>
  <c r="F1244" i="7"/>
  <c r="O1244" i="7" s="1"/>
  <c r="E1244" i="7"/>
  <c r="D1244" i="7"/>
  <c r="C1244" i="7"/>
  <c r="B1244" i="7"/>
  <c r="G1243" i="7"/>
  <c r="F1243" i="7"/>
  <c r="P1243" i="7" s="1"/>
  <c r="E1243" i="7"/>
  <c r="D1243" i="7"/>
  <c r="C1243" i="7"/>
  <c r="B1243" i="7"/>
  <c r="G1242" i="7"/>
  <c r="F1242" i="7"/>
  <c r="O1242" i="7" s="1"/>
  <c r="E1242" i="7"/>
  <c r="D1242" i="7"/>
  <c r="C1242" i="7"/>
  <c r="B1242" i="7"/>
  <c r="G1241" i="7"/>
  <c r="F1241" i="7"/>
  <c r="P1241" i="7" s="1"/>
  <c r="E1241" i="7"/>
  <c r="D1241" i="7"/>
  <c r="C1241" i="7"/>
  <c r="B1241" i="7"/>
  <c r="G1240" i="7"/>
  <c r="F1240" i="7"/>
  <c r="O1240" i="7" s="1"/>
  <c r="E1240" i="7"/>
  <c r="D1240" i="7"/>
  <c r="C1240" i="7"/>
  <c r="B1240" i="7"/>
  <c r="G1239" i="7"/>
  <c r="F1239" i="7"/>
  <c r="P1239" i="7" s="1"/>
  <c r="E1239" i="7"/>
  <c r="D1239" i="7"/>
  <c r="C1239" i="7"/>
  <c r="B1239" i="7"/>
  <c r="G1238" i="7"/>
  <c r="F1238" i="7"/>
  <c r="O1238" i="7" s="1"/>
  <c r="E1238" i="7"/>
  <c r="D1238" i="7"/>
  <c r="C1238" i="7"/>
  <c r="B1238" i="7"/>
  <c r="G1237" i="7"/>
  <c r="F1237" i="7"/>
  <c r="P1237" i="7" s="1"/>
  <c r="E1237" i="7"/>
  <c r="D1237" i="7"/>
  <c r="C1237" i="7"/>
  <c r="B1237" i="7"/>
  <c r="G1236" i="7"/>
  <c r="F1236" i="7"/>
  <c r="O1236" i="7" s="1"/>
  <c r="E1236" i="7"/>
  <c r="D1236" i="7"/>
  <c r="C1236" i="7"/>
  <c r="B1236" i="7"/>
  <c r="A1235" i="7"/>
  <c r="G1234" i="7"/>
  <c r="F1234" i="7"/>
  <c r="I1234" i="7" s="1"/>
  <c r="E1234" i="7"/>
  <c r="D1234" i="7"/>
  <c r="C1234" i="7"/>
  <c r="B1234" i="7"/>
  <c r="G1233" i="7"/>
  <c r="F1233" i="7"/>
  <c r="P1233" i="7" s="1"/>
  <c r="E1233" i="7"/>
  <c r="D1233" i="7"/>
  <c r="C1233" i="7"/>
  <c r="B1233" i="7"/>
  <c r="G1232" i="7"/>
  <c r="F1232" i="7"/>
  <c r="O1232" i="7" s="1"/>
  <c r="E1232" i="7"/>
  <c r="D1232" i="7"/>
  <c r="C1232" i="7"/>
  <c r="B1232" i="7"/>
  <c r="G1231" i="7"/>
  <c r="F1231" i="7"/>
  <c r="P1231" i="7" s="1"/>
  <c r="E1231" i="7"/>
  <c r="D1231" i="7"/>
  <c r="C1231" i="7"/>
  <c r="B1231" i="7"/>
  <c r="G1230" i="7"/>
  <c r="F1230" i="7"/>
  <c r="O1230" i="7" s="1"/>
  <c r="E1230" i="7"/>
  <c r="D1230" i="7"/>
  <c r="C1230" i="7"/>
  <c r="B1230" i="7"/>
  <c r="G1229" i="7"/>
  <c r="F1229" i="7"/>
  <c r="P1229" i="7" s="1"/>
  <c r="E1229" i="7"/>
  <c r="D1229" i="7"/>
  <c r="C1229" i="7"/>
  <c r="B1229" i="7"/>
  <c r="G1228" i="7"/>
  <c r="F1228" i="7"/>
  <c r="O1228" i="7" s="1"/>
  <c r="E1228" i="7"/>
  <c r="D1228" i="7"/>
  <c r="C1228" i="7"/>
  <c r="B1228" i="7"/>
  <c r="G1227" i="7"/>
  <c r="F1227" i="7"/>
  <c r="P1227" i="7" s="1"/>
  <c r="E1227" i="7"/>
  <c r="D1227" i="7"/>
  <c r="C1227" i="7"/>
  <c r="B1227" i="7"/>
  <c r="G1226" i="7"/>
  <c r="F1226" i="7"/>
  <c r="O1226" i="7" s="1"/>
  <c r="E1226" i="7"/>
  <c r="D1226" i="7"/>
  <c r="C1226" i="7"/>
  <c r="B1226" i="7"/>
  <c r="A1225" i="7"/>
  <c r="G1222" i="7"/>
  <c r="F1222" i="7"/>
  <c r="O1222" i="7" s="1"/>
  <c r="E1222" i="7"/>
  <c r="D1222" i="7"/>
  <c r="C1222" i="7"/>
  <c r="B1222" i="7"/>
  <c r="G1221" i="7"/>
  <c r="F1221" i="7"/>
  <c r="N1221" i="7" s="1"/>
  <c r="E1221" i="7"/>
  <c r="D1221" i="7"/>
  <c r="C1221" i="7"/>
  <c r="B1221" i="7"/>
  <c r="G1220" i="7"/>
  <c r="F1220" i="7"/>
  <c r="O1220" i="7" s="1"/>
  <c r="E1220" i="7"/>
  <c r="D1220" i="7"/>
  <c r="C1220" i="7"/>
  <c r="B1220" i="7"/>
  <c r="G1219" i="7"/>
  <c r="F1219" i="7"/>
  <c r="N1219" i="7" s="1"/>
  <c r="E1219" i="7"/>
  <c r="D1219" i="7"/>
  <c r="C1219" i="7"/>
  <c r="B1219" i="7"/>
  <c r="G1218" i="7"/>
  <c r="F1218" i="7"/>
  <c r="O1218" i="7" s="1"/>
  <c r="E1218" i="7"/>
  <c r="D1218" i="7"/>
  <c r="C1218" i="7"/>
  <c r="B1218" i="7"/>
  <c r="G1217" i="7"/>
  <c r="F1217" i="7"/>
  <c r="N1217" i="7" s="1"/>
  <c r="E1217" i="7"/>
  <c r="D1217" i="7"/>
  <c r="C1217" i="7"/>
  <c r="B1217" i="7"/>
  <c r="G1216" i="7"/>
  <c r="F1216" i="7"/>
  <c r="O1216" i="7" s="1"/>
  <c r="E1216" i="7"/>
  <c r="D1216" i="7"/>
  <c r="C1216" i="7"/>
  <c r="B1216" i="7"/>
  <c r="G1215" i="7"/>
  <c r="F1215" i="7"/>
  <c r="N1215" i="7" s="1"/>
  <c r="E1215" i="7"/>
  <c r="D1215" i="7"/>
  <c r="C1215" i="7"/>
  <c r="B1215" i="7"/>
  <c r="G1214" i="7"/>
  <c r="F1214" i="7"/>
  <c r="O1214" i="7" s="1"/>
  <c r="E1214" i="7"/>
  <c r="D1214" i="7"/>
  <c r="C1214" i="7"/>
  <c r="B1214" i="7"/>
  <c r="G1213" i="7"/>
  <c r="F1213" i="7"/>
  <c r="N1213" i="7" s="1"/>
  <c r="E1213" i="7"/>
  <c r="D1213" i="7"/>
  <c r="C1213" i="7"/>
  <c r="B1213" i="7"/>
  <c r="G1212" i="7"/>
  <c r="F1212" i="7"/>
  <c r="H1212" i="7" s="1"/>
  <c r="E1212" i="7"/>
  <c r="D1212" i="7"/>
  <c r="C1212" i="7"/>
  <c r="B1212" i="7"/>
  <c r="G1211" i="7"/>
  <c r="F1211" i="7"/>
  <c r="N1211" i="7" s="1"/>
  <c r="E1211" i="7"/>
  <c r="D1211" i="7"/>
  <c r="C1211" i="7"/>
  <c r="B1211" i="7"/>
  <c r="G1210" i="7"/>
  <c r="F1210" i="7"/>
  <c r="O1210" i="7" s="1"/>
  <c r="E1210" i="7"/>
  <c r="D1210" i="7"/>
  <c r="C1210" i="7"/>
  <c r="B1210" i="7"/>
  <c r="G1209" i="7"/>
  <c r="F1209" i="7"/>
  <c r="N1209" i="7" s="1"/>
  <c r="E1209" i="7"/>
  <c r="D1209" i="7"/>
  <c r="C1209" i="7"/>
  <c r="B1209" i="7"/>
  <c r="G1208" i="7"/>
  <c r="F1208" i="7"/>
  <c r="O1208" i="7" s="1"/>
  <c r="E1208" i="7"/>
  <c r="D1208" i="7"/>
  <c r="C1208" i="7"/>
  <c r="B1208" i="7"/>
  <c r="G1207" i="7"/>
  <c r="F1207" i="7"/>
  <c r="N1207" i="7" s="1"/>
  <c r="E1207" i="7"/>
  <c r="D1207" i="7"/>
  <c r="C1207" i="7"/>
  <c r="B1207" i="7"/>
  <c r="G1206" i="7"/>
  <c r="F1206" i="7"/>
  <c r="O1206" i="7" s="1"/>
  <c r="E1206" i="7"/>
  <c r="D1206" i="7"/>
  <c r="C1206" i="7"/>
  <c r="B1206" i="7"/>
  <c r="G1205" i="7"/>
  <c r="F1205" i="7"/>
  <c r="N1205" i="7" s="1"/>
  <c r="E1205" i="7"/>
  <c r="D1205" i="7"/>
  <c r="C1205" i="7"/>
  <c r="B1205" i="7"/>
  <c r="G1204" i="7"/>
  <c r="F1204" i="7"/>
  <c r="H1204" i="7" s="1"/>
  <c r="E1204" i="7"/>
  <c r="D1204" i="7"/>
  <c r="C1204" i="7"/>
  <c r="B1204" i="7"/>
  <c r="G1203" i="7"/>
  <c r="F1203" i="7"/>
  <c r="N1203" i="7" s="1"/>
  <c r="E1203" i="7"/>
  <c r="D1203" i="7"/>
  <c r="C1203" i="7"/>
  <c r="B1203" i="7"/>
  <c r="G1202" i="7"/>
  <c r="F1202" i="7"/>
  <c r="O1202" i="7" s="1"/>
  <c r="E1202" i="7"/>
  <c r="D1202" i="7"/>
  <c r="C1202" i="7"/>
  <c r="B1202" i="7"/>
  <c r="G1201" i="7"/>
  <c r="F1201" i="7"/>
  <c r="N1201" i="7" s="1"/>
  <c r="E1201" i="7"/>
  <c r="D1201" i="7"/>
  <c r="C1201" i="7"/>
  <c r="B1201" i="7"/>
  <c r="G1200" i="7"/>
  <c r="F1200" i="7"/>
  <c r="O1200" i="7" s="1"/>
  <c r="E1200" i="7"/>
  <c r="D1200" i="7"/>
  <c r="C1200" i="7"/>
  <c r="B1200" i="7"/>
  <c r="G1199" i="7"/>
  <c r="F1199" i="7"/>
  <c r="N1199" i="7" s="1"/>
  <c r="E1199" i="7"/>
  <c r="D1199" i="7"/>
  <c r="C1199" i="7"/>
  <c r="B1199" i="7"/>
  <c r="G1198" i="7"/>
  <c r="F1198" i="7"/>
  <c r="O1198" i="7" s="1"/>
  <c r="E1198" i="7"/>
  <c r="D1198" i="7"/>
  <c r="C1198" i="7"/>
  <c r="B1198" i="7"/>
  <c r="G1197" i="7"/>
  <c r="F1197" i="7"/>
  <c r="N1197" i="7" s="1"/>
  <c r="E1197" i="7"/>
  <c r="D1197" i="7"/>
  <c r="C1197" i="7"/>
  <c r="B1197" i="7"/>
  <c r="G1196" i="7"/>
  <c r="F1196" i="7"/>
  <c r="O1196" i="7" s="1"/>
  <c r="E1196" i="7"/>
  <c r="D1196" i="7"/>
  <c r="C1196" i="7"/>
  <c r="B1196" i="7"/>
  <c r="G1195" i="7"/>
  <c r="F1195" i="7"/>
  <c r="N1195" i="7" s="1"/>
  <c r="E1195" i="7"/>
  <c r="D1195" i="7"/>
  <c r="C1195" i="7"/>
  <c r="B1195" i="7"/>
  <c r="A1194" i="7"/>
  <c r="G1191" i="7"/>
  <c r="F1191" i="7"/>
  <c r="O1191" i="7" s="1"/>
  <c r="E1191" i="7"/>
  <c r="D1191" i="7"/>
  <c r="C1191" i="7"/>
  <c r="B1191" i="7"/>
  <c r="G1190" i="7"/>
  <c r="F1190" i="7"/>
  <c r="P1190" i="7" s="1"/>
  <c r="E1190" i="7"/>
  <c r="D1190" i="7"/>
  <c r="C1190" i="7"/>
  <c r="B1190" i="7"/>
  <c r="G1189" i="7"/>
  <c r="F1189" i="7"/>
  <c r="O1189" i="7" s="1"/>
  <c r="E1189" i="7"/>
  <c r="D1189" i="7"/>
  <c r="C1189" i="7"/>
  <c r="B1189" i="7"/>
  <c r="G1188" i="7"/>
  <c r="F1188" i="7"/>
  <c r="P1188" i="7" s="1"/>
  <c r="E1188" i="7"/>
  <c r="D1188" i="7"/>
  <c r="C1188" i="7"/>
  <c r="B1188" i="7"/>
  <c r="G1187" i="7"/>
  <c r="F1187" i="7"/>
  <c r="O1187" i="7" s="1"/>
  <c r="E1187" i="7"/>
  <c r="D1187" i="7"/>
  <c r="C1187" i="7"/>
  <c r="B1187" i="7"/>
  <c r="G1186" i="7"/>
  <c r="F1186" i="7"/>
  <c r="I1186" i="7" s="1"/>
  <c r="E1186" i="7"/>
  <c r="D1186" i="7"/>
  <c r="C1186" i="7"/>
  <c r="B1186" i="7"/>
  <c r="G1185" i="7"/>
  <c r="F1185" i="7"/>
  <c r="O1185" i="7" s="1"/>
  <c r="E1185" i="7"/>
  <c r="D1185" i="7"/>
  <c r="C1185" i="7"/>
  <c r="B1185" i="7"/>
  <c r="G1184" i="7"/>
  <c r="F1184" i="7"/>
  <c r="P1184" i="7" s="1"/>
  <c r="E1184" i="7"/>
  <c r="D1184" i="7"/>
  <c r="C1184" i="7"/>
  <c r="B1184" i="7"/>
  <c r="G1183" i="7"/>
  <c r="F1183" i="7"/>
  <c r="O1183" i="7" s="1"/>
  <c r="E1183" i="7"/>
  <c r="D1183" i="7"/>
  <c r="C1183" i="7"/>
  <c r="B1183" i="7"/>
  <c r="G1182" i="7"/>
  <c r="F1182" i="7"/>
  <c r="P1182" i="7" s="1"/>
  <c r="E1182" i="7"/>
  <c r="D1182" i="7"/>
  <c r="C1182" i="7"/>
  <c r="B1182" i="7"/>
  <c r="G1181" i="7"/>
  <c r="F1181" i="7"/>
  <c r="O1181" i="7" s="1"/>
  <c r="E1181" i="7"/>
  <c r="D1181" i="7"/>
  <c r="C1181" i="7"/>
  <c r="B1181" i="7"/>
  <c r="G1180" i="7"/>
  <c r="F1180" i="7"/>
  <c r="P1180" i="7" s="1"/>
  <c r="E1180" i="7"/>
  <c r="D1180" i="7"/>
  <c r="C1180" i="7"/>
  <c r="B1180" i="7"/>
  <c r="G1179" i="7"/>
  <c r="F1179" i="7"/>
  <c r="O1179" i="7" s="1"/>
  <c r="E1179" i="7"/>
  <c r="D1179" i="7"/>
  <c r="C1179" i="7"/>
  <c r="B1179" i="7"/>
  <c r="G1178" i="7"/>
  <c r="F1178" i="7"/>
  <c r="I1178" i="7" s="1"/>
  <c r="E1178" i="7"/>
  <c r="D1178" i="7"/>
  <c r="C1178" i="7"/>
  <c r="B1178" i="7"/>
  <c r="G1177" i="7"/>
  <c r="F1177" i="7"/>
  <c r="O1177" i="7" s="1"/>
  <c r="E1177" i="7"/>
  <c r="D1177" i="7"/>
  <c r="C1177" i="7"/>
  <c r="B1177" i="7"/>
  <c r="G1176" i="7"/>
  <c r="F1176" i="7"/>
  <c r="P1176" i="7" s="1"/>
  <c r="E1176" i="7"/>
  <c r="D1176" i="7"/>
  <c r="C1176" i="7"/>
  <c r="B1176" i="7"/>
  <c r="G1175" i="7"/>
  <c r="F1175" i="7"/>
  <c r="O1175" i="7" s="1"/>
  <c r="E1175" i="7"/>
  <c r="D1175" i="7"/>
  <c r="C1175" i="7"/>
  <c r="B1175" i="7"/>
  <c r="G1174" i="7"/>
  <c r="F1174" i="7"/>
  <c r="P1174" i="7" s="1"/>
  <c r="E1174" i="7"/>
  <c r="D1174" i="7"/>
  <c r="C1174" i="7"/>
  <c r="B1174" i="7"/>
  <c r="G1173" i="7"/>
  <c r="F1173" i="7"/>
  <c r="O1173" i="7" s="1"/>
  <c r="E1173" i="7"/>
  <c r="D1173" i="7"/>
  <c r="C1173" i="7"/>
  <c r="B1173" i="7"/>
  <c r="G1172" i="7"/>
  <c r="F1172" i="7"/>
  <c r="P1172" i="7" s="1"/>
  <c r="E1172" i="7"/>
  <c r="D1172" i="7"/>
  <c r="C1172" i="7"/>
  <c r="B1172" i="7"/>
  <c r="G1171" i="7"/>
  <c r="F1171" i="7"/>
  <c r="O1171" i="7" s="1"/>
  <c r="E1171" i="7"/>
  <c r="D1171" i="7"/>
  <c r="C1171" i="7"/>
  <c r="B1171" i="7"/>
  <c r="G1170" i="7"/>
  <c r="F1170" i="7"/>
  <c r="I1170" i="7" s="1"/>
  <c r="E1170" i="7"/>
  <c r="D1170" i="7"/>
  <c r="C1170" i="7"/>
  <c r="B1170" i="7"/>
  <c r="G1169" i="7"/>
  <c r="F1169" i="7"/>
  <c r="O1169" i="7" s="1"/>
  <c r="E1169" i="7"/>
  <c r="D1169" i="7"/>
  <c r="C1169" i="7"/>
  <c r="B1169" i="7"/>
  <c r="A1168" i="7"/>
  <c r="G1165" i="7"/>
  <c r="F1165" i="7"/>
  <c r="O1165" i="7" s="1"/>
  <c r="E1165" i="7"/>
  <c r="D1165" i="7"/>
  <c r="C1165" i="7"/>
  <c r="B1165" i="7"/>
  <c r="G1164" i="7"/>
  <c r="F1164" i="7"/>
  <c r="N1164" i="7" s="1"/>
  <c r="E1164" i="7"/>
  <c r="D1164" i="7"/>
  <c r="C1164" i="7"/>
  <c r="B1164" i="7"/>
  <c r="G1163" i="7"/>
  <c r="F1163" i="7"/>
  <c r="E1163" i="7"/>
  <c r="D1163" i="7"/>
  <c r="C1163" i="7"/>
  <c r="B1163" i="7"/>
  <c r="G1162" i="7"/>
  <c r="F1162" i="7"/>
  <c r="O1162" i="7" s="1"/>
  <c r="E1162" i="7"/>
  <c r="D1162" i="7"/>
  <c r="C1162" i="7"/>
  <c r="B1162" i="7"/>
  <c r="G1161" i="7"/>
  <c r="F1161" i="7"/>
  <c r="O1161" i="7" s="1"/>
  <c r="E1161" i="7"/>
  <c r="D1161" i="7"/>
  <c r="C1161" i="7"/>
  <c r="B1161" i="7"/>
  <c r="G1160" i="7"/>
  <c r="F1160" i="7"/>
  <c r="O1160" i="7" s="1"/>
  <c r="E1160" i="7"/>
  <c r="D1160" i="7"/>
  <c r="C1160" i="7"/>
  <c r="B1160" i="7"/>
  <c r="G1159" i="7"/>
  <c r="F1159" i="7"/>
  <c r="O1159" i="7" s="1"/>
  <c r="E1159" i="7"/>
  <c r="D1159" i="7"/>
  <c r="C1159" i="7"/>
  <c r="B1159" i="7"/>
  <c r="G1158" i="7"/>
  <c r="F1158" i="7"/>
  <c r="O1158" i="7" s="1"/>
  <c r="E1158" i="7"/>
  <c r="D1158" i="7"/>
  <c r="C1158" i="7"/>
  <c r="B1158" i="7"/>
  <c r="G1157" i="7"/>
  <c r="F1157" i="7"/>
  <c r="O1157" i="7" s="1"/>
  <c r="E1157" i="7"/>
  <c r="D1157" i="7"/>
  <c r="C1157" i="7"/>
  <c r="B1157" i="7"/>
  <c r="G1156" i="7"/>
  <c r="F1156" i="7"/>
  <c r="O1156" i="7" s="1"/>
  <c r="E1156" i="7"/>
  <c r="D1156" i="7"/>
  <c r="C1156" i="7"/>
  <c r="B1156" i="7"/>
  <c r="G1155" i="7"/>
  <c r="F1155" i="7"/>
  <c r="H1155" i="7" s="1"/>
  <c r="E1155" i="7"/>
  <c r="D1155" i="7"/>
  <c r="C1155" i="7"/>
  <c r="B1155" i="7"/>
  <c r="G1154" i="7"/>
  <c r="F1154" i="7"/>
  <c r="O1154" i="7" s="1"/>
  <c r="E1154" i="7"/>
  <c r="D1154" i="7"/>
  <c r="C1154" i="7"/>
  <c r="B1154" i="7"/>
  <c r="G1153" i="7"/>
  <c r="F1153" i="7"/>
  <c r="O1153" i="7" s="1"/>
  <c r="E1153" i="7"/>
  <c r="D1153" i="7"/>
  <c r="C1153" i="7"/>
  <c r="B1153" i="7"/>
  <c r="A1152" i="7"/>
  <c r="G1149" i="7"/>
  <c r="F1149" i="7"/>
  <c r="E1149" i="7"/>
  <c r="D1149" i="7"/>
  <c r="C1149" i="7"/>
  <c r="B1149" i="7"/>
  <c r="G1148" i="7"/>
  <c r="F1148" i="7"/>
  <c r="O1148" i="7" s="1"/>
  <c r="E1148" i="7"/>
  <c r="D1148" i="7"/>
  <c r="C1148" i="7"/>
  <c r="B1148" i="7"/>
  <c r="G1147" i="7"/>
  <c r="F1147" i="7"/>
  <c r="E1147" i="7"/>
  <c r="D1147" i="7"/>
  <c r="C1147" i="7"/>
  <c r="B1147" i="7"/>
  <c r="G1146" i="7"/>
  <c r="F1146" i="7"/>
  <c r="E1146" i="7"/>
  <c r="D1146" i="7"/>
  <c r="C1146" i="7"/>
  <c r="B1146" i="7"/>
  <c r="G1145" i="7"/>
  <c r="F1145" i="7"/>
  <c r="E1145" i="7"/>
  <c r="D1145" i="7"/>
  <c r="C1145" i="7"/>
  <c r="B1145" i="7"/>
  <c r="G1144" i="7"/>
  <c r="F1144" i="7"/>
  <c r="O1144" i="7" s="1"/>
  <c r="E1144" i="7"/>
  <c r="D1144" i="7"/>
  <c r="C1144" i="7"/>
  <c r="B1144" i="7"/>
  <c r="G1143" i="7"/>
  <c r="F1143" i="7"/>
  <c r="N1143" i="7" s="1"/>
  <c r="E1143" i="7"/>
  <c r="D1143" i="7"/>
  <c r="C1143" i="7"/>
  <c r="B1143" i="7"/>
  <c r="G1142" i="7"/>
  <c r="F1142" i="7"/>
  <c r="P1142" i="7" s="1"/>
  <c r="E1142" i="7"/>
  <c r="D1142" i="7"/>
  <c r="C1142" i="7"/>
  <c r="B1142" i="7"/>
  <c r="G1141" i="7"/>
  <c r="F1141" i="7"/>
  <c r="P1141" i="7" s="1"/>
  <c r="E1141" i="7"/>
  <c r="D1141" i="7"/>
  <c r="C1141" i="7"/>
  <c r="B1141" i="7"/>
  <c r="G1140" i="7"/>
  <c r="F1140" i="7"/>
  <c r="E1140" i="7"/>
  <c r="D1140" i="7"/>
  <c r="C1140" i="7"/>
  <c r="B1140" i="7"/>
  <c r="G1139" i="7"/>
  <c r="F1139" i="7"/>
  <c r="P1139" i="7" s="1"/>
  <c r="E1139" i="7"/>
  <c r="D1139" i="7"/>
  <c r="C1139" i="7"/>
  <c r="B1139" i="7"/>
  <c r="G1138" i="7"/>
  <c r="F1138" i="7"/>
  <c r="P1138" i="7" s="1"/>
  <c r="E1138" i="7"/>
  <c r="D1138" i="7"/>
  <c r="C1138" i="7"/>
  <c r="B1138" i="7"/>
  <c r="G1137" i="7"/>
  <c r="F1137" i="7"/>
  <c r="E1137" i="7"/>
  <c r="D1137" i="7"/>
  <c r="C1137" i="7"/>
  <c r="B1137" i="7"/>
  <c r="G1136" i="7"/>
  <c r="F1136" i="7"/>
  <c r="P1136" i="7" s="1"/>
  <c r="E1136" i="7"/>
  <c r="D1136" i="7"/>
  <c r="C1136" i="7"/>
  <c r="B1136" i="7"/>
  <c r="G1135" i="7"/>
  <c r="F1135" i="7"/>
  <c r="P1135" i="7" s="1"/>
  <c r="E1135" i="7"/>
  <c r="D1135" i="7"/>
  <c r="C1135" i="7"/>
  <c r="B1135" i="7"/>
  <c r="G1134" i="7"/>
  <c r="F1134" i="7"/>
  <c r="P1134" i="7" s="1"/>
  <c r="E1134" i="7"/>
  <c r="D1134" i="7"/>
  <c r="C1134" i="7"/>
  <c r="B1134" i="7"/>
  <c r="G1133" i="7"/>
  <c r="F1133" i="7"/>
  <c r="P1133" i="7" s="1"/>
  <c r="E1133" i="7"/>
  <c r="D1133" i="7"/>
  <c r="C1133" i="7"/>
  <c r="B1133" i="7"/>
  <c r="G1132" i="7"/>
  <c r="F1132" i="7"/>
  <c r="P1132" i="7" s="1"/>
  <c r="E1132" i="7"/>
  <c r="D1132" i="7"/>
  <c r="C1132" i="7"/>
  <c r="B1132" i="7"/>
  <c r="G1131" i="7"/>
  <c r="F1131" i="7"/>
  <c r="E1131" i="7"/>
  <c r="D1131" i="7"/>
  <c r="C1131" i="7"/>
  <c r="B1131" i="7"/>
  <c r="G1130" i="7"/>
  <c r="F1130" i="7"/>
  <c r="P1130" i="7" s="1"/>
  <c r="E1130" i="7"/>
  <c r="D1130" i="7"/>
  <c r="C1130" i="7"/>
  <c r="B1130" i="7"/>
  <c r="G1129" i="7"/>
  <c r="F1129" i="7"/>
  <c r="P1129" i="7" s="1"/>
  <c r="E1129" i="7"/>
  <c r="D1129" i="7"/>
  <c r="C1129" i="7"/>
  <c r="B1129" i="7"/>
  <c r="G1128" i="7"/>
  <c r="F1128" i="7"/>
  <c r="E1128" i="7"/>
  <c r="D1128" i="7"/>
  <c r="C1128" i="7"/>
  <c r="B1128" i="7"/>
  <c r="G1127" i="7"/>
  <c r="F1127" i="7"/>
  <c r="O1127" i="7" s="1"/>
  <c r="E1127" i="7"/>
  <c r="D1127" i="7"/>
  <c r="C1127" i="7"/>
  <c r="B1127" i="7"/>
  <c r="G1126" i="7"/>
  <c r="F1126" i="7"/>
  <c r="M1126" i="7" s="1"/>
  <c r="E1126" i="7"/>
  <c r="D1126" i="7"/>
  <c r="C1126" i="7"/>
  <c r="B1126" i="7"/>
  <c r="G1125" i="7"/>
  <c r="F1125" i="7"/>
  <c r="M1125" i="7" s="1"/>
  <c r="E1125" i="7"/>
  <c r="D1125" i="7"/>
  <c r="C1125" i="7"/>
  <c r="B1125" i="7"/>
  <c r="G1124" i="7"/>
  <c r="F1124" i="7"/>
  <c r="M1124" i="7" s="1"/>
  <c r="E1124" i="7"/>
  <c r="D1124" i="7"/>
  <c r="C1124" i="7"/>
  <c r="B1124" i="7"/>
  <c r="G1123" i="7"/>
  <c r="F1123" i="7"/>
  <c r="O1123" i="7" s="1"/>
  <c r="E1123" i="7"/>
  <c r="D1123" i="7"/>
  <c r="C1123" i="7"/>
  <c r="B1123" i="7"/>
  <c r="G1122" i="7"/>
  <c r="F1122" i="7"/>
  <c r="E1122" i="7"/>
  <c r="D1122" i="7"/>
  <c r="C1122" i="7"/>
  <c r="B1122" i="7"/>
  <c r="G1121" i="7"/>
  <c r="F1121" i="7"/>
  <c r="E1121" i="7"/>
  <c r="D1121" i="7"/>
  <c r="C1121" i="7"/>
  <c r="B1121" i="7"/>
  <c r="G1120" i="7"/>
  <c r="F1120" i="7"/>
  <c r="O1120" i="7" s="1"/>
  <c r="E1120" i="7"/>
  <c r="D1120" i="7"/>
  <c r="C1120" i="7"/>
  <c r="B1120" i="7"/>
  <c r="G1119" i="7"/>
  <c r="F1119" i="7"/>
  <c r="E1119" i="7"/>
  <c r="D1119" i="7"/>
  <c r="C1119" i="7"/>
  <c r="B1119" i="7"/>
  <c r="G1118" i="7"/>
  <c r="F1118" i="7"/>
  <c r="H1118" i="7" s="1"/>
  <c r="E1118" i="7"/>
  <c r="D1118" i="7"/>
  <c r="C1118" i="7"/>
  <c r="B1118" i="7"/>
  <c r="G1117" i="7"/>
  <c r="F1117" i="7"/>
  <c r="M1117" i="7" s="1"/>
  <c r="E1117" i="7"/>
  <c r="D1117" i="7"/>
  <c r="C1117" i="7"/>
  <c r="B1117" i="7"/>
  <c r="G1116" i="7"/>
  <c r="F1116" i="7"/>
  <c r="M1116" i="7" s="1"/>
  <c r="E1116" i="7"/>
  <c r="D1116" i="7"/>
  <c r="C1116" i="7"/>
  <c r="B1116" i="7"/>
  <c r="G1115" i="7"/>
  <c r="F1115" i="7"/>
  <c r="O1115" i="7" s="1"/>
  <c r="E1115" i="7"/>
  <c r="D1115" i="7"/>
  <c r="C1115" i="7"/>
  <c r="B1115" i="7"/>
  <c r="G1114" i="7"/>
  <c r="F1114" i="7"/>
  <c r="H1114" i="7" s="1"/>
  <c r="E1114" i="7"/>
  <c r="D1114" i="7"/>
  <c r="C1114" i="7"/>
  <c r="B1114" i="7"/>
  <c r="G1113" i="7"/>
  <c r="F1113" i="7"/>
  <c r="H1113" i="7" s="1"/>
  <c r="E1113" i="7"/>
  <c r="D1113" i="7"/>
  <c r="C1113" i="7"/>
  <c r="B1113" i="7"/>
  <c r="G1112" i="7"/>
  <c r="F1112" i="7"/>
  <c r="P1112" i="7" s="1"/>
  <c r="E1112" i="7"/>
  <c r="D1112" i="7"/>
  <c r="C1112" i="7"/>
  <c r="B1112" i="7"/>
  <c r="G1111" i="7"/>
  <c r="F1111" i="7"/>
  <c r="I1111" i="7" s="1"/>
  <c r="E1111" i="7"/>
  <c r="D1111" i="7"/>
  <c r="C1111" i="7"/>
  <c r="B1111" i="7"/>
  <c r="G1110" i="7"/>
  <c r="F1110" i="7"/>
  <c r="E1110" i="7"/>
  <c r="D1110" i="7"/>
  <c r="C1110" i="7"/>
  <c r="B1110" i="7"/>
  <c r="G1109" i="7"/>
  <c r="F1109" i="7"/>
  <c r="O1109" i="7" s="1"/>
  <c r="E1109" i="7"/>
  <c r="D1109" i="7"/>
  <c r="C1109" i="7"/>
  <c r="B1109" i="7"/>
  <c r="G1108" i="7"/>
  <c r="F1108" i="7"/>
  <c r="E1108" i="7"/>
  <c r="D1108" i="7"/>
  <c r="C1108" i="7"/>
  <c r="B1108" i="7"/>
  <c r="G1107" i="7"/>
  <c r="F1107" i="7"/>
  <c r="O1107" i="7" s="1"/>
  <c r="E1107" i="7"/>
  <c r="D1107" i="7"/>
  <c r="C1107" i="7"/>
  <c r="B1107" i="7"/>
  <c r="G1106" i="7"/>
  <c r="F1106" i="7"/>
  <c r="P1106" i="7" s="1"/>
  <c r="E1106" i="7"/>
  <c r="D1106" i="7"/>
  <c r="C1106" i="7"/>
  <c r="B1106" i="7"/>
  <c r="G1105" i="7"/>
  <c r="F1105" i="7"/>
  <c r="O1105" i="7" s="1"/>
  <c r="E1105" i="7"/>
  <c r="D1105" i="7"/>
  <c r="C1105" i="7"/>
  <c r="B1105" i="7"/>
  <c r="G1104" i="7"/>
  <c r="F1104" i="7"/>
  <c r="N1104" i="7" s="1"/>
  <c r="E1104" i="7"/>
  <c r="D1104" i="7"/>
  <c r="C1104" i="7"/>
  <c r="B1104" i="7"/>
  <c r="G1103" i="7"/>
  <c r="F1103" i="7"/>
  <c r="P1103" i="7" s="1"/>
  <c r="E1103" i="7"/>
  <c r="D1103" i="7"/>
  <c r="C1103" i="7"/>
  <c r="B1103" i="7"/>
  <c r="G1102" i="7"/>
  <c r="F1102" i="7"/>
  <c r="E1102" i="7"/>
  <c r="D1102" i="7"/>
  <c r="C1102" i="7"/>
  <c r="B1102" i="7"/>
  <c r="G1101" i="7"/>
  <c r="F1101" i="7"/>
  <c r="P1101" i="7" s="1"/>
  <c r="E1101" i="7"/>
  <c r="D1101" i="7"/>
  <c r="C1101" i="7"/>
  <c r="B1101" i="7"/>
  <c r="G1100" i="7"/>
  <c r="F1100" i="7"/>
  <c r="H1100" i="7" s="1"/>
  <c r="E1100" i="7"/>
  <c r="D1100" i="7"/>
  <c r="C1100" i="7"/>
  <c r="B1100" i="7"/>
  <c r="G1099" i="7"/>
  <c r="F1099" i="7"/>
  <c r="P1099" i="7" s="1"/>
  <c r="E1099" i="7"/>
  <c r="D1099" i="7"/>
  <c r="C1099" i="7"/>
  <c r="B1099" i="7"/>
  <c r="G1098" i="7"/>
  <c r="F1098" i="7"/>
  <c r="E1098" i="7"/>
  <c r="D1098" i="7"/>
  <c r="C1098" i="7"/>
  <c r="B1098" i="7"/>
  <c r="G1097" i="7"/>
  <c r="F1097" i="7"/>
  <c r="P1097" i="7" s="1"/>
  <c r="E1097" i="7"/>
  <c r="D1097" i="7"/>
  <c r="C1097" i="7"/>
  <c r="B1097" i="7"/>
  <c r="G1096" i="7"/>
  <c r="F1096" i="7"/>
  <c r="E1096" i="7"/>
  <c r="D1096" i="7"/>
  <c r="C1096" i="7"/>
  <c r="B1096" i="7"/>
  <c r="A1095" i="7"/>
  <c r="G1092" i="7"/>
  <c r="F1092" i="7"/>
  <c r="P1092" i="7" s="1"/>
  <c r="E1092" i="7"/>
  <c r="D1092" i="7"/>
  <c r="C1092" i="7"/>
  <c r="B1092" i="7"/>
  <c r="G1091" i="7"/>
  <c r="F1091" i="7"/>
  <c r="M1091" i="7" s="1"/>
  <c r="E1091" i="7"/>
  <c r="D1091" i="7"/>
  <c r="C1091" i="7"/>
  <c r="B1091" i="7"/>
  <c r="G1090" i="7"/>
  <c r="F1090" i="7"/>
  <c r="P1090" i="7" s="1"/>
  <c r="E1090" i="7"/>
  <c r="D1090" i="7"/>
  <c r="C1090" i="7"/>
  <c r="B1090" i="7"/>
  <c r="G1089" i="7"/>
  <c r="F1089" i="7"/>
  <c r="P1089" i="7" s="1"/>
  <c r="E1089" i="7"/>
  <c r="D1089" i="7"/>
  <c r="C1089" i="7"/>
  <c r="B1089" i="7"/>
  <c r="G1088" i="7"/>
  <c r="F1088" i="7"/>
  <c r="E1088" i="7"/>
  <c r="D1088" i="7"/>
  <c r="C1088" i="7"/>
  <c r="B1088" i="7"/>
  <c r="G1087" i="7"/>
  <c r="F1087" i="7"/>
  <c r="P1087" i="7" s="1"/>
  <c r="E1087" i="7"/>
  <c r="D1087" i="7"/>
  <c r="C1087" i="7"/>
  <c r="B1087" i="7"/>
  <c r="G1086" i="7"/>
  <c r="F1086" i="7"/>
  <c r="E1086" i="7"/>
  <c r="D1086" i="7"/>
  <c r="C1086" i="7"/>
  <c r="B1086" i="7"/>
  <c r="G1085" i="7"/>
  <c r="F1085" i="7"/>
  <c r="M1085" i="7" s="1"/>
  <c r="E1085" i="7"/>
  <c r="D1085" i="7"/>
  <c r="C1085" i="7"/>
  <c r="B1085" i="7"/>
  <c r="G1084" i="7"/>
  <c r="F1084" i="7"/>
  <c r="E1084" i="7"/>
  <c r="D1084" i="7"/>
  <c r="C1084" i="7"/>
  <c r="B1084" i="7"/>
  <c r="G1083" i="7"/>
  <c r="F1083" i="7"/>
  <c r="E1083" i="7"/>
  <c r="D1083" i="7"/>
  <c r="C1083" i="7"/>
  <c r="B1083" i="7"/>
  <c r="G1082" i="7"/>
  <c r="F1082" i="7"/>
  <c r="M1082" i="7" s="1"/>
  <c r="E1082" i="7"/>
  <c r="D1082" i="7"/>
  <c r="C1082" i="7"/>
  <c r="B1082" i="7"/>
  <c r="G1081" i="7"/>
  <c r="F1081" i="7"/>
  <c r="E1081" i="7"/>
  <c r="D1081" i="7"/>
  <c r="C1081" i="7"/>
  <c r="B1081" i="7"/>
  <c r="G1080" i="7"/>
  <c r="F1080" i="7"/>
  <c r="I1080" i="7" s="1"/>
  <c r="E1080" i="7"/>
  <c r="D1080" i="7"/>
  <c r="C1080" i="7"/>
  <c r="B1080" i="7"/>
  <c r="G1079" i="7"/>
  <c r="F1079" i="7"/>
  <c r="M1079" i="7" s="1"/>
  <c r="E1079" i="7"/>
  <c r="D1079" i="7"/>
  <c r="C1079" i="7"/>
  <c r="B1079" i="7"/>
  <c r="G1078" i="7"/>
  <c r="F1078" i="7"/>
  <c r="M1078" i="7" s="1"/>
  <c r="E1078" i="7"/>
  <c r="D1078" i="7"/>
  <c r="C1078" i="7"/>
  <c r="B1078" i="7"/>
  <c r="G1077" i="7"/>
  <c r="F1077" i="7"/>
  <c r="M1077" i="7" s="1"/>
  <c r="E1077" i="7"/>
  <c r="D1077" i="7"/>
  <c r="C1077" i="7"/>
  <c r="B1077" i="7"/>
  <c r="G1076" i="7"/>
  <c r="F1076" i="7"/>
  <c r="O1076" i="7" s="1"/>
  <c r="E1076" i="7"/>
  <c r="D1076" i="7"/>
  <c r="C1076" i="7"/>
  <c r="B1076" i="7"/>
  <c r="G1075" i="7"/>
  <c r="F1075" i="7"/>
  <c r="E1075" i="7"/>
  <c r="D1075" i="7"/>
  <c r="C1075" i="7"/>
  <c r="B1075" i="7"/>
  <c r="G1074" i="7"/>
  <c r="F1074" i="7"/>
  <c r="N1074" i="7" s="1"/>
  <c r="E1074" i="7"/>
  <c r="D1074" i="7"/>
  <c r="C1074" i="7"/>
  <c r="B1074" i="7"/>
  <c r="G1073" i="7"/>
  <c r="F1073" i="7"/>
  <c r="M1073" i="7" s="1"/>
  <c r="E1073" i="7"/>
  <c r="D1073" i="7"/>
  <c r="C1073" i="7"/>
  <c r="B1073" i="7"/>
  <c r="G1072" i="7"/>
  <c r="F1072" i="7"/>
  <c r="O1072" i="7" s="1"/>
  <c r="E1072" i="7"/>
  <c r="D1072" i="7"/>
  <c r="C1072" i="7"/>
  <c r="B1072" i="7"/>
  <c r="G1071" i="7"/>
  <c r="F1071" i="7"/>
  <c r="E1071" i="7"/>
  <c r="D1071" i="7"/>
  <c r="C1071" i="7"/>
  <c r="B1071" i="7"/>
  <c r="G1070" i="7"/>
  <c r="F1070" i="7"/>
  <c r="E1070" i="7"/>
  <c r="D1070" i="7"/>
  <c r="C1070" i="7"/>
  <c r="B1070" i="7"/>
  <c r="G1069" i="7"/>
  <c r="F1069" i="7"/>
  <c r="M1069" i="7" s="1"/>
  <c r="E1069" i="7"/>
  <c r="D1069" i="7"/>
  <c r="C1069" i="7"/>
  <c r="B1069" i="7"/>
  <c r="G1068" i="7"/>
  <c r="F1068" i="7"/>
  <c r="O1068" i="7" s="1"/>
  <c r="E1068" i="7"/>
  <c r="D1068" i="7"/>
  <c r="C1068" i="7"/>
  <c r="B1068" i="7"/>
  <c r="G1067" i="7"/>
  <c r="F1067" i="7"/>
  <c r="M1067" i="7" s="1"/>
  <c r="E1067" i="7"/>
  <c r="D1067" i="7"/>
  <c r="C1067" i="7"/>
  <c r="B1067" i="7"/>
  <c r="G1066" i="7"/>
  <c r="F1066" i="7"/>
  <c r="O1066" i="7" s="1"/>
  <c r="E1066" i="7"/>
  <c r="D1066" i="7"/>
  <c r="C1066" i="7"/>
  <c r="B1066" i="7"/>
  <c r="G1065" i="7"/>
  <c r="F1065" i="7"/>
  <c r="M1065" i="7" s="1"/>
  <c r="E1065" i="7"/>
  <c r="D1065" i="7"/>
  <c r="C1065" i="7"/>
  <c r="B1065" i="7"/>
  <c r="G1064" i="7"/>
  <c r="F1064" i="7"/>
  <c r="O1064" i="7" s="1"/>
  <c r="E1064" i="7"/>
  <c r="D1064" i="7"/>
  <c r="C1064" i="7"/>
  <c r="B1064" i="7"/>
  <c r="G1063" i="7"/>
  <c r="F1063" i="7"/>
  <c r="M1063" i="7" s="1"/>
  <c r="E1063" i="7"/>
  <c r="D1063" i="7"/>
  <c r="C1063" i="7"/>
  <c r="B1063" i="7"/>
  <c r="G1062" i="7"/>
  <c r="F1062" i="7"/>
  <c r="E1062" i="7"/>
  <c r="D1062" i="7"/>
  <c r="C1062" i="7"/>
  <c r="B1062" i="7"/>
  <c r="G1061" i="7"/>
  <c r="F1061" i="7"/>
  <c r="M1061" i="7" s="1"/>
  <c r="E1061" i="7"/>
  <c r="D1061" i="7"/>
  <c r="C1061" i="7"/>
  <c r="B1061" i="7"/>
  <c r="G1060" i="7"/>
  <c r="F1060" i="7"/>
  <c r="O1060" i="7" s="1"/>
  <c r="E1060" i="7"/>
  <c r="D1060" i="7"/>
  <c r="C1060" i="7"/>
  <c r="B1060" i="7"/>
  <c r="G1059" i="7"/>
  <c r="F1059" i="7"/>
  <c r="M1059" i="7" s="1"/>
  <c r="E1059" i="7"/>
  <c r="D1059" i="7"/>
  <c r="C1059" i="7"/>
  <c r="B1059" i="7"/>
  <c r="G1058" i="7"/>
  <c r="F1058" i="7"/>
  <c r="O1058" i="7" s="1"/>
  <c r="E1058" i="7"/>
  <c r="D1058" i="7"/>
  <c r="C1058" i="7"/>
  <c r="B1058" i="7"/>
  <c r="G1057" i="7"/>
  <c r="F1057" i="7"/>
  <c r="M1057" i="7" s="1"/>
  <c r="E1057" i="7"/>
  <c r="D1057" i="7"/>
  <c r="C1057" i="7"/>
  <c r="B1057" i="7"/>
  <c r="G1056" i="7"/>
  <c r="F1056" i="7"/>
  <c r="O1056" i="7" s="1"/>
  <c r="E1056" i="7"/>
  <c r="D1056" i="7"/>
  <c r="C1056" i="7"/>
  <c r="B1056" i="7"/>
  <c r="G1055" i="7"/>
  <c r="F1055" i="7"/>
  <c r="M1055" i="7" s="1"/>
  <c r="E1055" i="7"/>
  <c r="D1055" i="7"/>
  <c r="C1055" i="7"/>
  <c r="B1055" i="7"/>
  <c r="G1054" i="7"/>
  <c r="F1054" i="7"/>
  <c r="O1054" i="7" s="1"/>
  <c r="E1054" i="7"/>
  <c r="D1054" i="7"/>
  <c r="C1054" i="7"/>
  <c r="B1054" i="7"/>
  <c r="G1053" i="7"/>
  <c r="F1053" i="7"/>
  <c r="M1053" i="7" s="1"/>
  <c r="E1053" i="7"/>
  <c r="D1053" i="7"/>
  <c r="C1053" i="7"/>
  <c r="B1053" i="7"/>
  <c r="G1052" i="7"/>
  <c r="F1052" i="7"/>
  <c r="O1052" i="7" s="1"/>
  <c r="E1052" i="7"/>
  <c r="D1052" i="7"/>
  <c r="C1052" i="7"/>
  <c r="B1052" i="7"/>
  <c r="G1051" i="7"/>
  <c r="F1051" i="7"/>
  <c r="M1051" i="7" s="1"/>
  <c r="E1051" i="7"/>
  <c r="D1051" i="7"/>
  <c r="C1051" i="7"/>
  <c r="B1051" i="7"/>
  <c r="G1050" i="7"/>
  <c r="F1050" i="7"/>
  <c r="M1050" i="7" s="1"/>
  <c r="E1050" i="7"/>
  <c r="D1050" i="7"/>
  <c r="C1050" i="7"/>
  <c r="B1050" i="7"/>
  <c r="G1049" i="7"/>
  <c r="F1049" i="7"/>
  <c r="M1049" i="7" s="1"/>
  <c r="E1049" i="7"/>
  <c r="D1049" i="7"/>
  <c r="C1049" i="7"/>
  <c r="B1049" i="7"/>
  <c r="G1048" i="7"/>
  <c r="F1048" i="7"/>
  <c r="O1048" i="7" s="1"/>
  <c r="E1048" i="7"/>
  <c r="D1048" i="7"/>
  <c r="C1048" i="7"/>
  <c r="B1048" i="7"/>
  <c r="G1047" i="7"/>
  <c r="F1047" i="7"/>
  <c r="M1047" i="7" s="1"/>
  <c r="E1047" i="7"/>
  <c r="D1047" i="7"/>
  <c r="C1047" i="7"/>
  <c r="B1047" i="7"/>
  <c r="G1046" i="7"/>
  <c r="F1046" i="7"/>
  <c r="O1046" i="7" s="1"/>
  <c r="E1046" i="7"/>
  <c r="D1046" i="7"/>
  <c r="C1046" i="7"/>
  <c r="B1046" i="7"/>
  <c r="G1045" i="7"/>
  <c r="F1045" i="7"/>
  <c r="M1045" i="7" s="1"/>
  <c r="E1045" i="7"/>
  <c r="D1045" i="7"/>
  <c r="C1045" i="7"/>
  <c r="B1045" i="7"/>
  <c r="G1044" i="7"/>
  <c r="F1044" i="7"/>
  <c r="O1044" i="7" s="1"/>
  <c r="E1044" i="7"/>
  <c r="D1044" i="7"/>
  <c r="C1044" i="7"/>
  <c r="B1044" i="7"/>
  <c r="G1043" i="7"/>
  <c r="F1043" i="7"/>
  <c r="M1043" i="7" s="1"/>
  <c r="E1043" i="7"/>
  <c r="D1043" i="7"/>
  <c r="C1043" i="7"/>
  <c r="B1043" i="7"/>
  <c r="G1042" i="7"/>
  <c r="F1042" i="7"/>
  <c r="O1042" i="7" s="1"/>
  <c r="E1042" i="7"/>
  <c r="D1042" i="7"/>
  <c r="C1042" i="7"/>
  <c r="B1042" i="7"/>
  <c r="G1041" i="7"/>
  <c r="F1041" i="7"/>
  <c r="M1041" i="7" s="1"/>
  <c r="E1041" i="7"/>
  <c r="D1041" i="7"/>
  <c r="C1041" i="7"/>
  <c r="B1041" i="7"/>
  <c r="G1040" i="7"/>
  <c r="F1040" i="7"/>
  <c r="O1040" i="7" s="1"/>
  <c r="E1040" i="7"/>
  <c r="D1040" i="7"/>
  <c r="C1040" i="7"/>
  <c r="B1040" i="7"/>
  <c r="G1039" i="7"/>
  <c r="F1039" i="7"/>
  <c r="M1039" i="7" s="1"/>
  <c r="E1039" i="7"/>
  <c r="D1039" i="7"/>
  <c r="C1039" i="7"/>
  <c r="B1039" i="7"/>
  <c r="G1038" i="7"/>
  <c r="F1038" i="7"/>
  <c r="E1038" i="7"/>
  <c r="D1038" i="7"/>
  <c r="C1038" i="7"/>
  <c r="B1038" i="7"/>
  <c r="G1037" i="7"/>
  <c r="F1037" i="7"/>
  <c r="M1037" i="7" s="1"/>
  <c r="E1037" i="7"/>
  <c r="D1037" i="7"/>
  <c r="C1037" i="7"/>
  <c r="B1037" i="7"/>
  <c r="G1036" i="7"/>
  <c r="F1036" i="7"/>
  <c r="O1036" i="7" s="1"/>
  <c r="E1036" i="7"/>
  <c r="D1036" i="7"/>
  <c r="C1036" i="7"/>
  <c r="B1036" i="7"/>
  <c r="A1035" i="7"/>
  <c r="G1033" i="7"/>
  <c r="F1033" i="7"/>
  <c r="P1033" i="7" s="1"/>
  <c r="E1033" i="7"/>
  <c r="D1033" i="7"/>
  <c r="C1033" i="7"/>
  <c r="B1033" i="7"/>
  <c r="G1032" i="7"/>
  <c r="F1032" i="7"/>
  <c r="N1032" i="7" s="1"/>
  <c r="E1032" i="7"/>
  <c r="D1032" i="7"/>
  <c r="C1032" i="7"/>
  <c r="B1032" i="7"/>
  <c r="G1031" i="7"/>
  <c r="F1031" i="7"/>
  <c r="P1031" i="7" s="1"/>
  <c r="E1031" i="7"/>
  <c r="D1031" i="7"/>
  <c r="C1031" i="7"/>
  <c r="B1031" i="7"/>
  <c r="G1030" i="7"/>
  <c r="F1030" i="7"/>
  <c r="N1030" i="7" s="1"/>
  <c r="E1030" i="7"/>
  <c r="D1030" i="7"/>
  <c r="C1030" i="7"/>
  <c r="B1030" i="7"/>
  <c r="G1029" i="7"/>
  <c r="F1029" i="7"/>
  <c r="P1029" i="7" s="1"/>
  <c r="E1029" i="7"/>
  <c r="D1029" i="7"/>
  <c r="C1029" i="7"/>
  <c r="B1029" i="7"/>
  <c r="G1028" i="7"/>
  <c r="F1028" i="7"/>
  <c r="N1028" i="7" s="1"/>
  <c r="E1028" i="7"/>
  <c r="D1028" i="7"/>
  <c r="C1028" i="7"/>
  <c r="B1028" i="7"/>
  <c r="G1027" i="7"/>
  <c r="F1027" i="7"/>
  <c r="P1027" i="7" s="1"/>
  <c r="E1027" i="7"/>
  <c r="D1027" i="7"/>
  <c r="C1027" i="7"/>
  <c r="B1027" i="7"/>
  <c r="G1026" i="7"/>
  <c r="F1026" i="7"/>
  <c r="N1026" i="7" s="1"/>
  <c r="E1026" i="7"/>
  <c r="D1026" i="7"/>
  <c r="C1026" i="7"/>
  <c r="B1026" i="7"/>
  <c r="G1025" i="7"/>
  <c r="F1025" i="7"/>
  <c r="P1025" i="7" s="1"/>
  <c r="E1025" i="7"/>
  <c r="D1025" i="7"/>
  <c r="C1025" i="7"/>
  <c r="B1025" i="7"/>
  <c r="G1024" i="7"/>
  <c r="F1024" i="7"/>
  <c r="N1024" i="7" s="1"/>
  <c r="E1024" i="7"/>
  <c r="D1024" i="7"/>
  <c r="C1024" i="7"/>
  <c r="B1024" i="7"/>
  <c r="G1023" i="7"/>
  <c r="F1023" i="7"/>
  <c r="P1023" i="7" s="1"/>
  <c r="E1023" i="7"/>
  <c r="D1023" i="7"/>
  <c r="C1023" i="7"/>
  <c r="B1023" i="7"/>
  <c r="G1022" i="7"/>
  <c r="F1022" i="7"/>
  <c r="N1022" i="7" s="1"/>
  <c r="E1022" i="7"/>
  <c r="D1022" i="7"/>
  <c r="C1022" i="7"/>
  <c r="B1022" i="7"/>
  <c r="G1021" i="7"/>
  <c r="F1021" i="7"/>
  <c r="P1021" i="7" s="1"/>
  <c r="E1021" i="7"/>
  <c r="D1021" i="7"/>
  <c r="C1021" i="7"/>
  <c r="B1021" i="7"/>
  <c r="G1020" i="7"/>
  <c r="F1020" i="7"/>
  <c r="N1020" i="7" s="1"/>
  <c r="E1020" i="7"/>
  <c r="D1020" i="7"/>
  <c r="C1020" i="7"/>
  <c r="B1020" i="7"/>
  <c r="G1019" i="7"/>
  <c r="F1019" i="7"/>
  <c r="P1019" i="7" s="1"/>
  <c r="E1019" i="7"/>
  <c r="D1019" i="7"/>
  <c r="C1019" i="7"/>
  <c r="B1019" i="7"/>
  <c r="G1018" i="7"/>
  <c r="F1018" i="7"/>
  <c r="N1018" i="7" s="1"/>
  <c r="E1018" i="7"/>
  <c r="D1018" i="7"/>
  <c r="C1018" i="7"/>
  <c r="B1018" i="7"/>
  <c r="G1017" i="7"/>
  <c r="F1017" i="7"/>
  <c r="P1017" i="7" s="1"/>
  <c r="E1017" i="7"/>
  <c r="D1017" i="7"/>
  <c r="C1017" i="7"/>
  <c r="B1017" i="7"/>
  <c r="G1016" i="7"/>
  <c r="F1016" i="7"/>
  <c r="N1016" i="7" s="1"/>
  <c r="E1016" i="7"/>
  <c r="D1016" i="7"/>
  <c r="C1016" i="7"/>
  <c r="B1016" i="7"/>
  <c r="G1015" i="7"/>
  <c r="F1015" i="7"/>
  <c r="P1015" i="7" s="1"/>
  <c r="E1015" i="7"/>
  <c r="D1015" i="7"/>
  <c r="C1015" i="7"/>
  <c r="B1015" i="7"/>
  <c r="G1014" i="7"/>
  <c r="F1014" i="7"/>
  <c r="N1014" i="7" s="1"/>
  <c r="E1014" i="7"/>
  <c r="D1014" i="7"/>
  <c r="C1014" i="7"/>
  <c r="B1014" i="7"/>
  <c r="G1013" i="7"/>
  <c r="F1013" i="7"/>
  <c r="P1013" i="7" s="1"/>
  <c r="E1013" i="7"/>
  <c r="D1013" i="7"/>
  <c r="C1013" i="7"/>
  <c r="B1013" i="7"/>
  <c r="G1012" i="7"/>
  <c r="F1012" i="7"/>
  <c r="N1012" i="7" s="1"/>
  <c r="E1012" i="7"/>
  <c r="D1012" i="7"/>
  <c r="C1012" i="7"/>
  <c r="B1012" i="7"/>
  <c r="G1011" i="7"/>
  <c r="F1011" i="7"/>
  <c r="P1011" i="7" s="1"/>
  <c r="E1011" i="7"/>
  <c r="D1011" i="7"/>
  <c r="C1011" i="7"/>
  <c r="B1011" i="7"/>
  <c r="G1010" i="7"/>
  <c r="F1010" i="7"/>
  <c r="N1010" i="7" s="1"/>
  <c r="E1010" i="7"/>
  <c r="D1010" i="7"/>
  <c r="C1010" i="7"/>
  <c r="B1010" i="7"/>
  <c r="G1009" i="7"/>
  <c r="F1009" i="7"/>
  <c r="P1009" i="7" s="1"/>
  <c r="E1009" i="7"/>
  <c r="D1009" i="7"/>
  <c r="C1009" i="7"/>
  <c r="B1009" i="7"/>
  <c r="G1008" i="7"/>
  <c r="F1008" i="7"/>
  <c r="N1008" i="7" s="1"/>
  <c r="E1008" i="7"/>
  <c r="D1008" i="7"/>
  <c r="C1008" i="7"/>
  <c r="B1008" i="7"/>
  <c r="G1007" i="7"/>
  <c r="F1007" i="7"/>
  <c r="P1007" i="7" s="1"/>
  <c r="E1007" i="7"/>
  <c r="D1007" i="7"/>
  <c r="C1007" i="7"/>
  <c r="B1007" i="7"/>
  <c r="G1006" i="7"/>
  <c r="F1006" i="7"/>
  <c r="N1006" i="7" s="1"/>
  <c r="E1006" i="7"/>
  <c r="D1006" i="7"/>
  <c r="C1006" i="7"/>
  <c r="B1006" i="7"/>
  <c r="G1005" i="7"/>
  <c r="F1005" i="7"/>
  <c r="P1005" i="7" s="1"/>
  <c r="E1005" i="7"/>
  <c r="D1005" i="7"/>
  <c r="C1005" i="7"/>
  <c r="B1005" i="7"/>
  <c r="G1004" i="7"/>
  <c r="F1004" i="7"/>
  <c r="N1004" i="7" s="1"/>
  <c r="E1004" i="7"/>
  <c r="D1004" i="7"/>
  <c r="C1004" i="7"/>
  <c r="B1004" i="7"/>
  <c r="G1003" i="7"/>
  <c r="F1003" i="7"/>
  <c r="P1003" i="7" s="1"/>
  <c r="E1003" i="7"/>
  <c r="D1003" i="7"/>
  <c r="C1003" i="7"/>
  <c r="B1003" i="7"/>
  <c r="G1002" i="7"/>
  <c r="F1002" i="7"/>
  <c r="N1002" i="7" s="1"/>
  <c r="E1002" i="7"/>
  <c r="D1002" i="7"/>
  <c r="C1002" i="7"/>
  <c r="B1002" i="7"/>
  <c r="G1001" i="7"/>
  <c r="F1001" i="7"/>
  <c r="P1001" i="7" s="1"/>
  <c r="E1001" i="7"/>
  <c r="D1001" i="7"/>
  <c r="C1001" i="7"/>
  <c r="B1001" i="7"/>
  <c r="G1000" i="7"/>
  <c r="F1000" i="7"/>
  <c r="E1000" i="7"/>
  <c r="D1000" i="7"/>
  <c r="C1000" i="7"/>
  <c r="B1000" i="7"/>
  <c r="G999" i="7"/>
  <c r="F999" i="7"/>
  <c r="P999" i="7" s="1"/>
  <c r="E999" i="7"/>
  <c r="D999" i="7"/>
  <c r="C999" i="7"/>
  <c r="B999" i="7"/>
  <c r="G998" i="7"/>
  <c r="F998" i="7"/>
  <c r="N998" i="7" s="1"/>
  <c r="E998" i="7"/>
  <c r="D998" i="7"/>
  <c r="C998" i="7"/>
  <c r="B998" i="7"/>
  <c r="G997" i="7"/>
  <c r="F997" i="7"/>
  <c r="P997" i="7" s="1"/>
  <c r="E997" i="7"/>
  <c r="D997" i="7"/>
  <c r="C997" i="7"/>
  <c r="B997" i="7"/>
  <c r="G996" i="7"/>
  <c r="F996" i="7"/>
  <c r="N996" i="7" s="1"/>
  <c r="E996" i="7"/>
  <c r="D996" i="7"/>
  <c r="C996" i="7"/>
  <c r="B996" i="7"/>
  <c r="G995" i="7"/>
  <c r="F995" i="7"/>
  <c r="P995" i="7" s="1"/>
  <c r="E995" i="7"/>
  <c r="D995" i="7"/>
  <c r="C995" i="7"/>
  <c r="B995" i="7"/>
  <c r="G994" i="7"/>
  <c r="F994" i="7"/>
  <c r="N994" i="7" s="1"/>
  <c r="E994" i="7"/>
  <c r="D994" i="7"/>
  <c r="C994" i="7"/>
  <c r="B994" i="7"/>
  <c r="G993" i="7"/>
  <c r="F993" i="7"/>
  <c r="P993" i="7" s="1"/>
  <c r="E993" i="7"/>
  <c r="D993" i="7"/>
  <c r="C993" i="7"/>
  <c r="B993" i="7"/>
  <c r="G992" i="7"/>
  <c r="F992" i="7"/>
  <c r="N992" i="7" s="1"/>
  <c r="E992" i="7"/>
  <c r="D992" i="7"/>
  <c r="C992" i="7"/>
  <c r="B992" i="7"/>
  <c r="G991" i="7"/>
  <c r="F991" i="7"/>
  <c r="P991" i="7" s="1"/>
  <c r="E991" i="7"/>
  <c r="D991" i="7"/>
  <c r="C991" i="7"/>
  <c r="B991" i="7"/>
  <c r="G990" i="7"/>
  <c r="F990" i="7"/>
  <c r="N990" i="7" s="1"/>
  <c r="E990" i="7"/>
  <c r="D990" i="7"/>
  <c r="C990" i="7"/>
  <c r="B990" i="7"/>
  <c r="G989" i="7"/>
  <c r="F989" i="7"/>
  <c r="P989" i="7" s="1"/>
  <c r="E989" i="7"/>
  <c r="D989" i="7"/>
  <c r="C989" i="7"/>
  <c r="B989" i="7"/>
  <c r="G988" i="7"/>
  <c r="F988" i="7"/>
  <c r="N988" i="7" s="1"/>
  <c r="E988" i="7"/>
  <c r="D988" i="7"/>
  <c r="C988" i="7"/>
  <c r="B988" i="7"/>
  <c r="G987" i="7"/>
  <c r="F987" i="7"/>
  <c r="P987" i="7" s="1"/>
  <c r="E987" i="7"/>
  <c r="D987" i="7"/>
  <c r="C987" i="7"/>
  <c r="B987" i="7"/>
  <c r="G986" i="7"/>
  <c r="F986" i="7"/>
  <c r="N986" i="7" s="1"/>
  <c r="E986" i="7"/>
  <c r="D986" i="7"/>
  <c r="C986" i="7"/>
  <c r="B986" i="7"/>
  <c r="G985" i="7"/>
  <c r="F985" i="7"/>
  <c r="P985" i="7" s="1"/>
  <c r="E985" i="7"/>
  <c r="D985" i="7"/>
  <c r="C985" i="7"/>
  <c r="B985" i="7"/>
  <c r="G984" i="7"/>
  <c r="F984" i="7"/>
  <c r="N984" i="7" s="1"/>
  <c r="E984" i="7"/>
  <c r="D984" i="7"/>
  <c r="C984" i="7"/>
  <c r="B984" i="7"/>
  <c r="G983" i="7"/>
  <c r="F983" i="7"/>
  <c r="P983" i="7" s="1"/>
  <c r="E983" i="7"/>
  <c r="D983" i="7"/>
  <c r="C983" i="7"/>
  <c r="B983" i="7"/>
  <c r="A982" i="7"/>
  <c r="J981" i="7"/>
  <c r="I981" i="7"/>
  <c r="H981" i="7"/>
  <c r="G981" i="7"/>
  <c r="E981" i="7"/>
  <c r="D981" i="7"/>
  <c r="C981" i="7"/>
  <c r="B981" i="7"/>
  <c r="G980" i="7"/>
  <c r="F980" i="7"/>
  <c r="O980" i="7" s="1"/>
  <c r="E980" i="7"/>
  <c r="D980" i="7"/>
  <c r="C980" i="7"/>
  <c r="B980" i="7"/>
  <c r="G979" i="7"/>
  <c r="F979" i="7"/>
  <c r="E979" i="7"/>
  <c r="D979" i="7"/>
  <c r="C979" i="7"/>
  <c r="B979" i="7"/>
  <c r="G978" i="7"/>
  <c r="F978" i="7"/>
  <c r="O978" i="7" s="1"/>
  <c r="E978" i="7"/>
  <c r="D978" i="7"/>
  <c r="C978" i="7"/>
  <c r="B978" i="7"/>
  <c r="G977" i="7"/>
  <c r="F977" i="7"/>
  <c r="O977" i="7" s="1"/>
  <c r="E977" i="7"/>
  <c r="D977" i="7"/>
  <c r="C977" i="7"/>
  <c r="B977" i="7"/>
  <c r="G976" i="7"/>
  <c r="F976" i="7"/>
  <c r="O976" i="7" s="1"/>
  <c r="E976" i="7"/>
  <c r="D976" i="7"/>
  <c r="C976" i="7"/>
  <c r="B976" i="7"/>
  <c r="G975" i="7"/>
  <c r="F975" i="7"/>
  <c r="O975" i="7" s="1"/>
  <c r="E975" i="7"/>
  <c r="D975" i="7"/>
  <c r="C975" i="7"/>
  <c r="B975" i="7"/>
  <c r="G974" i="7"/>
  <c r="F974" i="7"/>
  <c r="O974" i="7" s="1"/>
  <c r="E974" i="7"/>
  <c r="D974" i="7"/>
  <c r="C974" i="7"/>
  <c r="B974" i="7"/>
  <c r="G973" i="7"/>
  <c r="F973" i="7"/>
  <c r="O973" i="7" s="1"/>
  <c r="E973" i="7"/>
  <c r="D973" i="7"/>
  <c r="C973" i="7"/>
  <c r="B973" i="7"/>
  <c r="G972" i="7"/>
  <c r="F972" i="7"/>
  <c r="O972" i="7" s="1"/>
  <c r="E972" i="7"/>
  <c r="D972" i="7"/>
  <c r="C972" i="7"/>
  <c r="B972" i="7"/>
  <c r="G971" i="7"/>
  <c r="F971" i="7"/>
  <c r="O971" i="7" s="1"/>
  <c r="E971" i="7"/>
  <c r="D971" i="7"/>
  <c r="C971" i="7"/>
  <c r="B971" i="7"/>
  <c r="G970" i="7"/>
  <c r="F970" i="7"/>
  <c r="O970" i="7" s="1"/>
  <c r="E970" i="7"/>
  <c r="D970" i="7"/>
  <c r="C970" i="7"/>
  <c r="B970" i="7"/>
  <c r="G969" i="7"/>
  <c r="F969" i="7"/>
  <c r="O969" i="7" s="1"/>
  <c r="E969" i="7"/>
  <c r="D969" i="7"/>
  <c r="C969" i="7"/>
  <c r="B969" i="7"/>
  <c r="G968" i="7"/>
  <c r="F968" i="7"/>
  <c r="O968" i="7" s="1"/>
  <c r="E968" i="7"/>
  <c r="D968" i="7"/>
  <c r="C968" i="7"/>
  <c r="B968" i="7"/>
  <c r="G967" i="7"/>
  <c r="F967" i="7"/>
  <c r="E967" i="7"/>
  <c r="D967" i="7"/>
  <c r="C967" i="7"/>
  <c r="B967" i="7"/>
  <c r="G966" i="7"/>
  <c r="F966" i="7"/>
  <c r="O966" i="7" s="1"/>
  <c r="E966" i="7"/>
  <c r="D966" i="7"/>
  <c r="C966" i="7"/>
  <c r="B966" i="7"/>
  <c r="G965" i="7"/>
  <c r="F965" i="7"/>
  <c r="O965" i="7" s="1"/>
  <c r="E965" i="7"/>
  <c r="D965" i="7"/>
  <c r="C965" i="7"/>
  <c r="B965" i="7"/>
  <c r="A964" i="7"/>
  <c r="G962" i="7"/>
  <c r="F962" i="7"/>
  <c r="P962" i="7" s="1"/>
  <c r="E962" i="7"/>
  <c r="D962" i="7"/>
  <c r="C962" i="7"/>
  <c r="B962" i="7"/>
  <c r="G961" i="7"/>
  <c r="F961" i="7"/>
  <c r="N961" i="7" s="1"/>
  <c r="E961" i="7"/>
  <c r="D961" i="7"/>
  <c r="C961" i="7"/>
  <c r="B961" i="7"/>
  <c r="G960" i="7"/>
  <c r="F960" i="7"/>
  <c r="P960" i="7" s="1"/>
  <c r="E960" i="7"/>
  <c r="D960" i="7"/>
  <c r="C960" i="7"/>
  <c r="B960" i="7"/>
  <c r="G959" i="7"/>
  <c r="F959" i="7"/>
  <c r="N959" i="7" s="1"/>
  <c r="E959" i="7"/>
  <c r="D959" i="7"/>
  <c r="C959" i="7"/>
  <c r="B959" i="7"/>
  <c r="G958" i="7"/>
  <c r="F958" i="7"/>
  <c r="P958" i="7" s="1"/>
  <c r="E958" i="7"/>
  <c r="D958" i="7"/>
  <c r="C958" i="7"/>
  <c r="B958" i="7"/>
  <c r="G957" i="7"/>
  <c r="F957" i="7"/>
  <c r="N957" i="7" s="1"/>
  <c r="E957" i="7"/>
  <c r="D957" i="7"/>
  <c r="C957" i="7"/>
  <c r="B957" i="7"/>
  <c r="G956" i="7"/>
  <c r="F956" i="7"/>
  <c r="P956" i="7" s="1"/>
  <c r="E956" i="7"/>
  <c r="D956" i="7"/>
  <c r="C956" i="7"/>
  <c r="B956" i="7"/>
  <c r="G955" i="7"/>
  <c r="F955" i="7"/>
  <c r="N955" i="7" s="1"/>
  <c r="E955" i="7"/>
  <c r="D955" i="7"/>
  <c r="C955" i="7"/>
  <c r="B955" i="7"/>
  <c r="G954" i="7"/>
  <c r="F954" i="7"/>
  <c r="P954" i="7" s="1"/>
  <c r="E954" i="7"/>
  <c r="D954" i="7"/>
  <c r="C954" i="7"/>
  <c r="B954" i="7"/>
  <c r="G953" i="7"/>
  <c r="F953" i="7"/>
  <c r="N953" i="7" s="1"/>
  <c r="E953" i="7"/>
  <c r="D953" i="7"/>
  <c r="C953" i="7"/>
  <c r="B953" i="7"/>
  <c r="G952" i="7"/>
  <c r="F952" i="7"/>
  <c r="P952" i="7" s="1"/>
  <c r="E952" i="7"/>
  <c r="D952" i="7"/>
  <c r="C952" i="7"/>
  <c r="B952" i="7"/>
  <c r="G951" i="7"/>
  <c r="F951" i="7"/>
  <c r="N951" i="7" s="1"/>
  <c r="E951" i="7"/>
  <c r="D951" i="7"/>
  <c r="C951" i="7"/>
  <c r="B951" i="7"/>
  <c r="G950" i="7"/>
  <c r="F950" i="7"/>
  <c r="E950" i="7"/>
  <c r="D950" i="7"/>
  <c r="C950" i="7"/>
  <c r="B950" i="7"/>
  <c r="A949" i="7"/>
  <c r="G947" i="7"/>
  <c r="F947" i="7"/>
  <c r="O947" i="7" s="1"/>
  <c r="E947" i="7"/>
  <c r="D947" i="7"/>
  <c r="C947" i="7"/>
  <c r="B947" i="7"/>
  <c r="G946" i="7"/>
  <c r="F946" i="7"/>
  <c r="O946" i="7" s="1"/>
  <c r="E946" i="7"/>
  <c r="D946" i="7"/>
  <c r="C946" i="7"/>
  <c r="B946" i="7"/>
  <c r="G945" i="7"/>
  <c r="F945" i="7"/>
  <c r="O945" i="7" s="1"/>
  <c r="E945" i="7"/>
  <c r="D945" i="7"/>
  <c r="C945" i="7"/>
  <c r="B945" i="7"/>
  <c r="G944" i="7"/>
  <c r="F944" i="7"/>
  <c r="E944" i="7"/>
  <c r="D944" i="7"/>
  <c r="C944" i="7"/>
  <c r="B944" i="7"/>
  <c r="G943" i="7"/>
  <c r="F943" i="7"/>
  <c r="O943" i="7" s="1"/>
  <c r="E943" i="7"/>
  <c r="D943" i="7"/>
  <c r="C943" i="7"/>
  <c r="B943" i="7"/>
  <c r="G942" i="7"/>
  <c r="F942" i="7"/>
  <c r="H942" i="7" s="1"/>
  <c r="E942" i="7"/>
  <c r="D942" i="7"/>
  <c r="C942" i="7"/>
  <c r="B942" i="7"/>
  <c r="G941" i="7"/>
  <c r="F941" i="7"/>
  <c r="N941" i="7" s="1"/>
  <c r="E941" i="7"/>
  <c r="D941" i="7"/>
  <c r="C941" i="7"/>
  <c r="B941" i="7"/>
  <c r="G940" i="7"/>
  <c r="F940" i="7"/>
  <c r="O940" i="7" s="1"/>
  <c r="E940" i="7"/>
  <c r="D940" i="7"/>
  <c r="C940" i="7"/>
  <c r="B940" i="7"/>
  <c r="G939" i="7"/>
  <c r="F939" i="7"/>
  <c r="N939" i="7" s="1"/>
  <c r="E939" i="7"/>
  <c r="D939" i="7"/>
  <c r="C939" i="7"/>
  <c r="B939" i="7"/>
  <c r="G938" i="7"/>
  <c r="F938" i="7"/>
  <c r="O938" i="7" s="1"/>
  <c r="E938" i="7"/>
  <c r="D938" i="7"/>
  <c r="C938" i="7"/>
  <c r="B938" i="7"/>
  <c r="G937" i="7"/>
  <c r="F937" i="7"/>
  <c r="N937" i="7" s="1"/>
  <c r="E937" i="7"/>
  <c r="D937" i="7"/>
  <c r="C937" i="7"/>
  <c r="B937" i="7"/>
  <c r="G936" i="7"/>
  <c r="F936" i="7"/>
  <c r="O936" i="7" s="1"/>
  <c r="E936" i="7"/>
  <c r="D936" i="7"/>
  <c r="C936" i="7"/>
  <c r="B936" i="7"/>
  <c r="G935" i="7"/>
  <c r="F935" i="7"/>
  <c r="N935" i="7" s="1"/>
  <c r="E935" i="7"/>
  <c r="D935" i="7"/>
  <c r="C935" i="7"/>
  <c r="B935" i="7"/>
  <c r="G934" i="7"/>
  <c r="F934" i="7"/>
  <c r="O934" i="7" s="1"/>
  <c r="E934" i="7"/>
  <c r="D934" i="7"/>
  <c r="C934" i="7"/>
  <c r="B934" i="7"/>
  <c r="A933" i="7"/>
  <c r="G931" i="7"/>
  <c r="F931" i="7"/>
  <c r="P931" i="7" s="1"/>
  <c r="E931" i="7"/>
  <c r="D931" i="7"/>
  <c r="C931" i="7"/>
  <c r="B931" i="7"/>
  <c r="G930" i="7"/>
  <c r="F930" i="7"/>
  <c r="O930" i="7" s="1"/>
  <c r="E930" i="7"/>
  <c r="D930" i="7"/>
  <c r="C930" i="7"/>
  <c r="B930" i="7"/>
  <c r="G929" i="7"/>
  <c r="F929" i="7"/>
  <c r="P929" i="7" s="1"/>
  <c r="E929" i="7"/>
  <c r="D929" i="7"/>
  <c r="C929" i="7"/>
  <c r="B929" i="7"/>
  <c r="G928" i="7"/>
  <c r="F928" i="7"/>
  <c r="O928" i="7" s="1"/>
  <c r="E928" i="7"/>
  <c r="D928" i="7"/>
  <c r="C928" i="7"/>
  <c r="B928" i="7"/>
  <c r="G927" i="7"/>
  <c r="F927" i="7"/>
  <c r="P927" i="7" s="1"/>
  <c r="E927" i="7"/>
  <c r="D927" i="7"/>
  <c r="C927" i="7"/>
  <c r="B927" i="7"/>
  <c r="G926" i="7"/>
  <c r="F926" i="7"/>
  <c r="O926" i="7" s="1"/>
  <c r="E926" i="7"/>
  <c r="D926" i="7"/>
  <c r="C926" i="7"/>
  <c r="B926" i="7"/>
  <c r="G925" i="7"/>
  <c r="F925" i="7"/>
  <c r="P925" i="7" s="1"/>
  <c r="E925" i="7"/>
  <c r="D925" i="7"/>
  <c r="C925" i="7"/>
  <c r="B925" i="7"/>
  <c r="G924" i="7"/>
  <c r="F924" i="7"/>
  <c r="O924" i="7" s="1"/>
  <c r="E924" i="7"/>
  <c r="D924" i="7"/>
  <c r="C924" i="7"/>
  <c r="B924" i="7"/>
  <c r="G923" i="7"/>
  <c r="F923" i="7"/>
  <c r="P923" i="7" s="1"/>
  <c r="E923" i="7"/>
  <c r="D923" i="7"/>
  <c r="C923" i="7"/>
  <c r="B923" i="7"/>
  <c r="G922" i="7"/>
  <c r="F922" i="7"/>
  <c r="O922" i="7" s="1"/>
  <c r="E922" i="7"/>
  <c r="D922" i="7"/>
  <c r="C922" i="7"/>
  <c r="B922" i="7"/>
  <c r="G921" i="7"/>
  <c r="F921" i="7"/>
  <c r="P921" i="7" s="1"/>
  <c r="E921" i="7"/>
  <c r="D921" i="7"/>
  <c r="C921" i="7"/>
  <c r="B921" i="7"/>
  <c r="G920" i="7"/>
  <c r="F920" i="7"/>
  <c r="O920" i="7" s="1"/>
  <c r="E920" i="7"/>
  <c r="D920" i="7"/>
  <c r="C920" i="7"/>
  <c r="B920" i="7"/>
  <c r="G919" i="7"/>
  <c r="F919" i="7"/>
  <c r="P919" i="7" s="1"/>
  <c r="E919" i="7"/>
  <c r="D919" i="7"/>
  <c r="C919" i="7"/>
  <c r="B919" i="7"/>
  <c r="G918" i="7"/>
  <c r="F918" i="7"/>
  <c r="O918" i="7" s="1"/>
  <c r="E918" i="7"/>
  <c r="D918" i="7"/>
  <c r="C918" i="7"/>
  <c r="B918" i="7"/>
  <c r="A917" i="7"/>
  <c r="G915" i="7"/>
  <c r="F915" i="7"/>
  <c r="O915" i="7" s="1"/>
  <c r="E915" i="7"/>
  <c r="D915" i="7"/>
  <c r="C915" i="7"/>
  <c r="B915" i="7"/>
  <c r="G914" i="7"/>
  <c r="F914" i="7"/>
  <c r="N914" i="7" s="1"/>
  <c r="E914" i="7"/>
  <c r="D914" i="7"/>
  <c r="C914" i="7"/>
  <c r="B914" i="7"/>
  <c r="G913" i="7"/>
  <c r="F913" i="7"/>
  <c r="O913" i="7" s="1"/>
  <c r="E913" i="7"/>
  <c r="D913" i="7"/>
  <c r="C913" i="7"/>
  <c r="B913" i="7"/>
  <c r="G912" i="7"/>
  <c r="F912" i="7"/>
  <c r="N912" i="7" s="1"/>
  <c r="E912" i="7"/>
  <c r="D912" i="7"/>
  <c r="C912" i="7"/>
  <c r="B912" i="7"/>
  <c r="G911" i="7"/>
  <c r="F911" i="7"/>
  <c r="E911" i="7"/>
  <c r="D911" i="7"/>
  <c r="C911" i="7"/>
  <c r="B911" i="7"/>
  <c r="G910" i="7"/>
  <c r="F910" i="7"/>
  <c r="N910" i="7" s="1"/>
  <c r="E910" i="7"/>
  <c r="D910" i="7"/>
  <c r="C910" i="7"/>
  <c r="B910" i="7"/>
  <c r="G909" i="7"/>
  <c r="F909" i="7"/>
  <c r="O909" i="7" s="1"/>
  <c r="E909" i="7"/>
  <c r="D909" i="7"/>
  <c r="C909" i="7"/>
  <c r="B909" i="7"/>
  <c r="G908" i="7"/>
  <c r="F908" i="7"/>
  <c r="N908" i="7" s="1"/>
  <c r="E908" i="7"/>
  <c r="D908" i="7"/>
  <c r="C908" i="7"/>
  <c r="B908" i="7"/>
  <c r="G907" i="7"/>
  <c r="F907" i="7"/>
  <c r="O907" i="7" s="1"/>
  <c r="E907" i="7"/>
  <c r="D907" i="7"/>
  <c r="C907" i="7"/>
  <c r="B907" i="7"/>
  <c r="G906" i="7"/>
  <c r="F906" i="7"/>
  <c r="O906" i="7" s="1"/>
  <c r="E906" i="7"/>
  <c r="D906" i="7"/>
  <c r="C906" i="7"/>
  <c r="B906" i="7"/>
  <c r="G905" i="7"/>
  <c r="F905" i="7"/>
  <c r="O905" i="7" s="1"/>
  <c r="E905" i="7"/>
  <c r="D905" i="7"/>
  <c r="C905" i="7"/>
  <c r="B905" i="7"/>
  <c r="G904" i="7"/>
  <c r="F904" i="7"/>
  <c r="O904" i="7" s="1"/>
  <c r="E904" i="7"/>
  <c r="D904" i="7"/>
  <c r="C904" i="7"/>
  <c r="B904" i="7"/>
  <c r="G903" i="7"/>
  <c r="F903" i="7"/>
  <c r="O903" i="7" s="1"/>
  <c r="E903" i="7"/>
  <c r="D903" i="7"/>
  <c r="C903" i="7"/>
  <c r="B903" i="7"/>
  <c r="G902" i="7"/>
  <c r="F902" i="7"/>
  <c r="O902" i="7" s="1"/>
  <c r="E902" i="7"/>
  <c r="D902" i="7"/>
  <c r="C902" i="7"/>
  <c r="B902" i="7"/>
  <c r="G901" i="7"/>
  <c r="F901" i="7"/>
  <c r="O901" i="7" s="1"/>
  <c r="E901" i="7"/>
  <c r="D901" i="7"/>
  <c r="C901" i="7"/>
  <c r="B901" i="7"/>
  <c r="G900" i="7"/>
  <c r="F900" i="7"/>
  <c r="O900" i="7" s="1"/>
  <c r="E900" i="7"/>
  <c r="D900" i="7"/>
  <c r="C900" i="7"/>
  <c r="B900" i="7"/>
  <c r="G899" i="7"/>
  <c r="F899" i="7"/>
  <c r="O899" i="7" s="1"/>
  <c r="E899" i="7"/>
  <c r="D899" i="7"/>
  <c r="C899" i="7"/>
  <c r="B899" i="7"/>
  <c r="G898" i="7"/>
  <c r="F898" i="7"/>
  <c r="O898" i="7" s="1"/>
  <c r="E898" i="7"/>
  <c r="D898" i="7"/>
  <c r="C898" i="7"/>
  <c r="B898" i="7"/>
  <c r="G897" i="7"/>
  <c r="F897" i="7"/>
  <c r="O897" i="7" s="1"/>
  <c r="E897" i="7"/>
  <c r="D897" i="7"/>
  <c r="C897" i="7"/>
  <c r="B897" i="7"/>
  <c r="G896" i="7"/>
  <c r="F896" i="7"/>
  <c r="O896" i="7" s="1"/>
  <c r="E896" i="7"/>
  <c r="D896" i="7"/>
  <c r="C896" i="7"/>
  <c r="B896" i="7"/>
  <c r="A895" i="7"/>
  <c r="G893" i="7"/>
  <c r="F893" i="7"/>
  <c r="O893" i="7" s="1"/>
  <c r="E893" i="7"/>
  <c r="D893" i="7"/>
  <c r="C893" i="7"/>
  <c r="B893" i="7"/>
  <c r="G892" i="7"/>
  <c r="F892" i="7"/>
  <c r="P892" i="7" s="1"/>
  <c r="E892" i="7"/>
  <c r="D892" i="7"/>
  <c r="C892" i="7"/>
  <c r="B892" i="7"/>
  <c r="G891" i="7"/>
  <c r="F891" i="7"/>
  <c r="O891" i="7" s="1"/>
  <c r="E891" i="7"/>
  <c r="D891" i="7"/>
  <c r="C891" i="7"/>
  <c r="B891" i="7"/>
  <c r="G890" i="7"/>
  <c r="F890" i="7"/>
  <c r="P890" i="7" s="1"/>
  <c r="E890" i="7"/>
  <c r="D890" i="7"/>
  <c r="C890" i="7"/>
  <c r="B890" i="7"/>
  <c r="G889" i="7"/>
  <c r="F889" i="7"/>
  <c r="O889" i="7" s="1"/>
  <c r="E889" i="7"/>
  <c r="D889" i="7"/>
  <c r="C889" i="7"/>
  <c r="B889" i="7"/>
  <c r="G888" i="7"/>
  <c r="F888" i="7"/>
  <c r="P888" i="7" s="1"/>
  <c r="E888" i="7"/>
  <c r="D888" i="7"/>
  <c r="C888" i="7"/>
  <c r="B888" i="7"/>
  <c r="G887" i="7"/>
  <c r="F887" i="7"/>
  <c r="O887" i="7" s="1"/>
  <c r="E887" i="7"/>
  <c r="D887" i="7"/>
  <c r="C887" i="7"/>
  <c r="B887" i="7"/>
  <c r="G886" i="7"/>
  <c r="F886" i="7"/>
  <c r="N886" i="7" s="1"/>
  <c r="E886" i="7"/>
  <c r="D886" i="7"/>
  <c r="C886" i="7"/>
  <c r="B886" i="7"/>
  <c r="G885" i="7"/>
  <c r="F885" i="7"/>
  <c r="E885" i="7"/>
  <c r="D885" i="7"/>
  <c r="C885" i="7"/>
  <c r="B885" i="7"/>
  <c r="G884" i="7"/>
  <c r="F884" i="7"/>
  <c r="P884" i="7" s="1"/>
  <c r="E884" i="7"/>
  <c r="D884" i="7"/>
  <c r="C884" i="7"/>
  <c r="B884" i="7"/>
  <c r="G883" i="7"/>
  <c r="F883" i="7"/>
  <c r="O883" i="7" s="1"/>
  <c r="E883" i="7"/>
  <c r="D883" i="7"/>
  <c r="C883" i="7"/>
  <c r="B883" i="7"/>
  <c r="G882" i="7"/>
  <c r="F882" i="7"/>
  <c r="P882" i="7" s="1"/>
  <c r="E882" i="7"/>
  <c r="D882" i="7"/>
  <c r="C882" i="7"/>
  <c r="B882" i="7"/>
  <c r="G881" i="7"/>
  <c r="F881" i="7"/>
  <c r="O881" i="7" s="1"/>
  <c r="E881" i="7"/>
  <c r="D881" i="7"/>
  <c r="C881" i="7"/>
  <c r="B881" i="7"/>
  <c r="G880" i="7"/>
  <c r="F880" i="7"/>
  <c r="O880" i="7" s="1"/>
  <c r="E880" i="7"/>
  <c r="D880" i="7"/>
  <c r="C880" i="7"/>
  <c r="B880" i="7"/>
  <c r="G879" i="7"/>
  <c r="F879" i="7"/>
  <c r="O879" i="7" s="1"/>
  <c r="E879" i="7"/>
  <c r="D879" i="7"/>
  <c r="C879" i="7"/>
  <c r="B879" i="7"/>
  <c r="G878" i="7"/>
  <c r="F878" i="7"/>
  <c r="O878" i="7" s="1"/>
  <c r="E878" i="7"/>
  <c r="D878" i="7"/>
  <c r="C878" i="7"/>
  <c r="B878" i="7"/>
  <c r="G877" i="7"/>
  <c r="F877" i="7"/>
  <c r="O877" i="7" s="1"/>
  <c r="E877" i="7"/>
  <c r="D877" i="7"/>
  <c r="C877" i="7"/>
  <c r="B877" i="7"/>
  <c r="G876" i="7"/>
  <c r="F876" i="7"/>
  <c r="O876" i="7" s="1"/>
  <c r="E876" i="7"/>
  <c r="D876" i="7"/>
  <c r="C876" i="7"/>
  <c r="B876" i="7"/>
  <c r="G875" i="7"/>
  <c r="F875" i="7"/>
  <c r="O875" i="7" s="1"/>
  <c r="E875" i="7"/>
  <c r="D875" i="7"/>
  <c r="C875" i="7"/>
  <c r="B875" i="7"/>
  <c r="A874" i="7"/>
  <c r="C67" i="7" s="1"/>
  <c r="G872" i="7"/>
  <c r="F872" i="7"/>
  <c r="P872" i="7" s="1"/>
  <c r="E872" i="7"/>
  <c r="D872" i="7"/>
  <c r="C872" i="7"/>
  <c r="B872" i="7"/>
  <c r="G871" i="7"/>
  <c r="F871" i="7"/>
  <c r="O871" i="7" s="1"/>
  <c r="E871" i="7"/>
  <c r="D871" i="7"/>
  <c r="C871" i="7"/>
  <c r="B871" i="7"/>
  <c r="G870" i="7"/>
  <c r="F870" i="7"/>
  <c r="P870" i="7" s="1"/>
  <c r="E870" i="7"/>
  <c r="D870" i="7"/>
  <c r="C870" i="7"/>
  <c r="B870" i="7"/>
  <c r="G869" i="7"/>
  <c r="F869" i="7"/>
  <c r="O869" i="7" s="1"/>
  <c r="E869" i="7"/>
  <c r="D869" i="7"/>
  <c r="C869" i="7"/>
  <c r="B869" i="7"/>
  <c r="G868" i="7"/>
  <c r="F868" i="7"/>
  <c r="P868" i="7" s="1"/>
  <c r="E868" i="7"/>
  <c r="D868" i="7"/>
  <c r="C868" i="7"/>
  <c r="B868" i="7"/>
  <c r="G867" i="7"/>
  <c r="F867" i="7"/>
  <c r="O867" i="7" s="1"/>
  <c r="E867" i="7"/>
  <c r="D867" i="7"/>
  <c r="C867" i="7"/>
  <c r="B867" i="7"/>
  <c r="G866" i="7"/>
  <c r="F866" i="7"/>
  <c r="P866" i="7" s="1"/>
  <c r="E866" i="7"/>
  <c r="D866" i="7"/>
  <c r="C866" i="7"/>
  <c r="B866" i="7"/>
  <c r="G865" i="7"/>
  <c r="F865" i="7"/>
  <c r="O865" i="7" s="1"/>
  <c r="E865" i="7"/>
  <c r="D865" i="7"/>
  <c r="C865" i="7"/>
  <c r="B865" i="7"/>
  <c r="G864" i="7"/>
  <c r="F864" i="7"/>
  <c r="P864" i="7" s="1"/>
  <c r="E864" i="7"/>
  <c r="D864" i="7"/>
  <c r="C864" i="7"/>
  <c r="B864" i="7"/>
  <c r="G863" i="7"/>
  <c r="F863" i="7"/>
  <c r="O863" i="7" s="1"/>
  <c r="E863" i="7"/>
  <c r="D863" i="7"/>
  <c r="C863" i="7"/>
  <c r="B863" i="7"/>
  <c r="G862" i="7"/>
  <c r="F862" i="7"/>
  <c r="P862" i="7" s="1"/>
  <c r="E862" i="7"/>
  <c r="D862" i="7"/>
  <c r="C862" i="7"/>
  <c r="B862" i="7"/>
  <c r="G861" i="7"/>
  <c r="F861" i="7"/>
  <c r="O861" i="7" s="1"/>
  <c r="E861" i="7"/>
  <c r="D861" i="7"/>
  <c r="C861" i="7"/>
  <c r="B861" i="7"/>
  <c r="G860" i="7"/>
  <c r="F860" i="7"/>
  <c r="P860" i="7" s="1"/>
  <c r="E860" i="7"/>
  <c r="D860" i="7"/>
  <c r="C860" i="7"/>
  <c r="B860" i="7"/>
  <c r="G859" i="7"/>
  <c r="F859" i="7"/>
  <c r="O859" i="7" s="1"/>
  <c r="E859" i="7"/>
  <c r="D859" i="7"/>
  <c r="C859" i="7"/>
  <c r="B859" i="7"/>
  <c r="G858" i="7"/>
  <c r="F858" i="7"/>
  <c r="P858" i="7" s="1"/>
  <c r="E858" i="7"/>
  <c r="D858" i="7"/>
  <c r="C858" i="7"/>
  <c r="B858" i="7"/>
  <c r="G857" i="7"/>
  <c r="F857" i="7"/>
  <c r="O857" i="7" s="1"/>
  <c r="E857" i="7"/>
  <c r="D857" i="7"/>
  <c r="C857" i="7"/>
  <c r="B857" i="7"/>
  <c r="G856" i="7"/>
  <c r="F856" i="7"/>
  <c r="P856" i="7" s="1"/>
  <c r="E856" i="7"/>
  <c r="D856" i="7"/>
  <c r="C856" i="7"/>
  <c r="B856" i="7"/>
  <c r="G855" i="7"/>
  <c r="F855" i="7"/>
  <c r="O855" i="7" s="1"/>
  <c r="E855" i="7"/>
  <c r="D855" i="7"/>
  <c r="C855" i="7"/>
  <c r="B855" i="7"/>
  <c r="G854" i="7"/>
  <c r="F854" i="7"/>
  <c r="P854" i="7" s="1"/>
  <c r="E854" i="7"/>
  <c r="D854" i="7"/>
  <c r="C854" i="7"/>
  <c r="B854" i="7"/>
  <c r="G853" i="7"/>
  <c r="F853" i="7"/>
  <c r="O853" i="7" s="1"/>
  <c r="E853" i="7"/>
  <c r="D853" i="7"/>
  <c r="C853" i="7"/>
  <c r="B853" i="7"/>
  <c r="G852" i="7"/>
  <c r="F852" i="7"/>
  <c r="P852" i="7" s="1"/>
  <c r="E852" i="7"/>
  <c r="D852" i="7"/>
  <c r="C852" i="7"/>
  <c r="B852" i="7"/>
  <c r="G851" i="7"/>
  <c r="F851" i="7"/>
  <c r="O851" i="7" s="1"/>
  <c r="E851" i="7"/>
  <c r="D851" i="7"/>
  <c r="C851" i="7"/>
  <c r="B851" i="7"/>
  <c r="G850" i="7"/>
  <c r="F850" i="7"/>
  <c r="P850" i="7" s="1"/>
  <c r="E850" i="7"/>
  <c r="D850" i="7"/>
  <c r="C850" i="7"/>
  <c r="B850" i="7"/>
  <c r="G849" i="7"/>
  <c r="F849" i="7"/>
  <c r="O849" i="7" s="1"/>
  <c r="E849" i="7"/>
  <c r="D849" i="7"/>
  <c r="C849" i="7"/>
  <c r="B849" i="7"/>
  <c r="G848" i="7"/>
  <c r="F848" i="7"/>
  <c r="P848" i="7" s="1"/>
  <c r="E848" i="7"/>
  <c r="D848" i="7"/>
  <c r="C848" i="7"/>
  <c r="B848" i="7"/>
  <c r="G847" i="7"/>
  <c r="F847" i="7"/>
  <c r="O847" i="7" s="1"/>
  <c r="E847" i="7"/>
  <c r="D847" i="7"/>
  <c r="C847" i="7"/>
  <c r="B847" i="7"/>
  <c r="G846" i="7"/>
  <c r="F846" i="7"/>
  <c r="P846" i="7" s="1"/>
  <c r="E846" i="7"/>
  <c r="D846" i="7"/>
  <c r="C846" i="7"/>
  <c r="B846" i="7"/>
  <c r="G845" i="7"/>
  <c r="F845" i="7"/>
  <c r="O845" i="7" s="1"/>
  <c r="E845" i="7"/>
  <c r="D845" i="7"/>
  <c r="C845" i="7"/>
  <c r="B845" i="7"/>
  <c r="G844" i="7"/>
  <c r="F844" i="7"/>
  <c r="P844" i="7" s="1"/>
  <c r="E844" i="7"/>
  <c r="D844" i="7"/>
  <c r="C844" i="7"/>
  <c r="B844" i="7"/>
  <c r="G843" i="7"/>
  <c r="F843" i="7"/>
  <c r="O843" i="7" s="1"/>
  <c r="E843" i="7"/>
  <c r="D843" i="7"/>
  <c r="C843" i="7"/>
  <c r="B843" i="7"/>
  <c r="G842" i="7"/>
  <c r="F842" i="7"/>
  <c r="P842" i="7" s="1"/>
  <c r="E842" i="7"/>
  <c r="D842" i="7"/>
  <c r="C842" i="7"/>
  <c r="B842" i="7"/>
  <c r="G841" i="7"/>
  <c r="F841" i="7"/>
  <c r="O841" i="7" s="1"/>
  <c r="E841" i="7"/>
  <c r="D841" i="7"/>
  <c r="C841" i="7"/>
  <c r="B841" i="7"/>
  <c r="G840" i="7"/>
  <c r="F840" i="7"/>
  <c r="P840" i="7" s="1"/>
  <c r="E840" i="7"/>
  <c r="D840" i="7"/>
  <c r="C840" i="7"/>
  <c r="B840" i="7"/>
  <c r="G839" i="7"/>
  <c r="F839" i="7"/>
  <c r="O839" i="7" s="1"/>
  <c r="E839" i="7"/>
  <c r="D839" i="7"/>
  <c r="C839" i="7"/>
  <c r="B839" i="7"/>
  <c r="G838" i="7"/>
  <c r="F838" i="7"/>
  <c r="P838" i="7" s="1"/>
  <c r="E838" i="7"/>
  <c r="D838" i="7"/>
  <c r="C838" i="7"/>
  <c r="B838" i="7"/>
  <c r="G837" i="7"/>
  <c r="F837" i="7"/>
  <c r="O837" i="7" s="1"/>
  <c r="E837" i="7"/>
  <c r="D837" i="7"/>
  <c r="C837" i="7"/>
  <c r="B837" i="7"/>
  <c r="G836" i="7"/>
  <c r="F836" i="7"/>
  <c r="P836" i="7" s="1"/>
  <c r="E836" i="7"/>
  <c r="D836" i="7"/>
  <c r="C836" i="7"/>
  <c r="B836" i="7"/>
  <c r="A835" i="7"/>
  <c r="G833" i="7"/>
  <c r="F833" i="7"/>
  <c r="M833" i="7" s="1"/>
  <c r="E833" i="7"/>
  <c r="D833" i="7"/>
  <c r="C833" i="7"/>
  <c r="B833" i="7"/>
  <c r="G832" i="7"/>
  <c r="F832" i="7"/>
  <c r="O832" i="7" s="1"/>
  <c r="E832" i="7"/>
  <c r="D832" i="7"/>
  <c r="C832" i="7"/>
  <c r="B832" i="7"/>
  <c r="G831" i="7"/>
  <c r="F831" i="7"/>
  <c r="M831" i="7" s="1"/>
  <c r="E831" i="7"/>
  <c r="D831" i="7"/>
  <c r="C831" i="7"/>
  <c r="B831" i="7"/>
  <c r="G830" i="7"/>
  <c r="F830" i="7"/>
  <c r="O830" i="7" s="1"/>
  <c r="E830" i="7"/>
  <c r="D830" i="7"/>
  <c r="C830" i="7"/>
  <c r="B830" i="7"/>
  <c r="G829" i="7"/>
  <c r="F829" i="7"/>
  <c r="M829" i="7" s="1"/>
  <c r="E829" i="7"/>
  <c r="D829" i="7"/>
  <c r="C829" i="7"/>
  <c r="B829" i="7"/>
  <c r="G828" i="7"/>
  <c r="F828" i="7"/>
  <c r="O828" i="7" s="1"/>
  <c r="E828" i="7"/>
  <c r="D828" i="7"/>
  <c r="C828" i="7"/>
  <c r="B828" i="7"/>
  <c r="G827" i="7"/>
  <c r="F827" i="7"/>
  <c r="M827" i="7" s="1"/>
  <c r="E827" i="7"/>
  <c r="D827" i="7"/>
  <c r="C827" i="7"/>
  <c r="B827" i="7"/>
  <c r="G826" i="7"/>
  <c r="F826" i="7"/>
  <c r="O826" i="7" s="1"/>
  <c r="E826" i="7"/>
  <c r="D826" i="7"/>
  <c r="C826" i="7"/>
  <c r="B826" i="7"/>
  <c r="G825" i="7"/>
  <c r="F825" i="7"/>
  <c r="M825" i="7" s="1"/>
  <c r="E825" i="7"/>
  <c r="D825" i="7"/>
  <c r="C825" i="7"/>
  <c r="B825" i="7"/>
  <c r="G824" i="7"/>
  <c r="F824" i="7"/>
  <c r="O824" i="7" s="1"/>
  <c r="E824" i="7"/>
  <c r="D824" i="7"/>
  <c r="C824" i="7"/>
  <c r="B824" i="7"/>
  <c r="G823" i="7"/>
  <c r="F823" i="7"/>
  <c r="M823" i="7" s="1"/>
  <c r="E823" i="7"/>
  <c r="D823" i="7"/>
  <c r="C823" i="7"/>
  <c r="B823" i="7"/>
  <c r="G822" i="7"/>
  <c r="F822" i="7"/>
  <c r="O822" i="7" s="1"/>
  <c r="E822" i="7"/>
  <c r="D822" i="7"/>
  <c r="C822" i="7"/>
  <c r="B822" i="7"/>
  <c r="G821" i="7"/>
  <c r="F821" i="7"/>
  <c r="M821" i="7" s="1"/>
  <c r="E821" i="7"/>
  <c r="D821" i="7"/>
  <c r="C821" i="7"/>
  <c r="B821" i="7"/>
  <c r="G820" i="7"/>
  <c r="F820" i="7"/>
  <c r="O820" i="7" s="1"/>
  <c r="E820" i="7"/>
  <c r="D820" i="7"/>
  <c r="C820" i="7"/>
  <c r="B820" i="7"/>
  <c r="G819" i="7"/>
  <c r="F819" i="7"/>
  <c r="M819" i="7" s="1"/>
  <c r="E819" i="7"/>
  <c r="D819" i="7"/>
  <c r="C819" i="7"/>
  <c r="B819" i="7"/>
  <c r="G818" i="7"/>
  <c r="F818" i="7"/>
  <c r="O818" i="7" s="1"/>
  <c r="E818" i="7"/>
  <c r="D818" i="7"/>
  <c r="C818" i="7"/>
  <c r="B818" i="7"/>
  <c r="G817" i="7"/>
  <c r="F817" i="7"/>
  <c r="M817" i="7" s="1"/>
  <c r="E817" i="7"/>
  <c r="D817" i="7"/>
  <c r="C817" i="7"/>
  <c r="B817" i="7"/>
  <c r="G816" i="7"/>
  <c r="F816" i="7"/>
  <c r="O816" i="7" s="1"/>
  <c r="E816" i="7"/>
  <c r="D816" i="7"/>
  <c r="C816" i="7"/>
  <c r="B816" i="7"/>
  <c r="G815" i="7"/>
  <c r="F815" i="7"/>
  <c r="M815" i="7" s="1"/>
  <c r="E815" i="7"/>
  <c r="D815" i="7"/>
  <c r="C815" i="7"/>
  <c r="B815" i="7"/>
  <c r="G814" i="7"/>
  <c r="F814" i="7"/>
  <c r="O814" i="7" s="1"/>
  <c r="E814" i="7"/>
  <c r="D814" i="7"/>
  <c r="C814" i="7"/>
  <c r="B814" i="7"/>
  <c r="G813" i="7"/>
  <c r="F813" i="7"/>
  <c r="M813" i="7" s="1"/>
  <c r="E813" i="7"/>
  <c r="D813" i="7"/>
  <c r="C813" i="7"/>
  <c r="B813" i="7"/>
  <c r="G812" i="7"/>
  <c r="F812" i="7"/>
  <c r="O812" i="7" s="1"/>
  <c r="E812" i="7"/>
  <c r="D812" i="7"/>
  <c r="C812" i="7"/>
  <c r="B812" i="7"/>
  <c r="G811" i="7"/>
  <c r="F811" i="7"/>
  <c r="M811" i="7" s="1"/>
  <c r="E811" i="7"/>
  <c r="D811" i="7"/>
  <c r="C811" i="7"/>
  <c r="B811" i="7"/>
  <c r="G810" i="7"/>
  <c r="F810" i="7"/>
  <c r="O810" i="7" s="1"/>
  <c r="E810" i="7"/>
  <c r="D810" i="7"/>
  <c r="C810" i="7"/>
  <c r="B810" i="7"/>
  <c r="G809" i="7"/>
  <c r="F809" i="7"/>
  <c r="M809" i="7" s="1"/>
  <c r="E809" i="7"/>
  <c r="D809" i="7"/>
  <c r="C809" i="7"/>
  <c r="B809" i="7"/>
  <c r="G808" i="7"/>
  <c r="F808" i="7"/>
  <c r="O808" i="7" s="1"/>
  <c r="E808" i="7"/>
  <c r="D808" i="7"/>
  <c r="C808" i="7"/>
  <c r="B808" i="7"/>
  <c r="G807" i="7"/>
  <c r="F807" i="7"/>
  <c r="M807" i="7" s="1"/>
  <c r="E807" i="7"/>
  <c r="D807" i="7"/>
  <c r="C807" i="7"/>
  <c r="B807" i="7"/>
  <c r="G806" i="7"/>
  <c r="F806" i="7"/>
  <c r="O806" i="7" s="1"/>
  <c r="E806" i="7"/>
  <c r="D806" i="7"/>
  <c r="C806" i="7"/>
  <c r="B806" i="7"/>
  <c r="G805" i="7"/>
  <c r="F805" i="7"/>
  <c r="M805" i="7" s="1"/>
  <c r="E805" i="7"/>
  <c r="D805" i="7"/>
  <c r="C805" i="7"/>
  <c r="B805" i="7"/>
  <c r="G804" i="7"/>
  <c r="F804" i="7"/>
  <c r="O804" i="7" s="1"/>
  <c r="E804" i="7"/>
  <c r="D804" i="7"/>
  <c r="C804" i="7"/>
  <c r="B804" i="7"/>
  <c r="G803" i="7"/>
  <c r="F803" i="7"/>
  <c r="M803" i="7" s="1"/>
  <c r="E803" i="7"/>
  <c r="D803" i="7"/>
  <c r="C803" i="7"/>
  <c r="B803" i="7"/>
  <c r="G802" i="7"/>
  <c r="F802" i="7"/>
  <c r="O802" i="7" s="1"/>
  <c r="E802" i="7"/>
  <c r="D802" i="7"/>
  <c r="C802" i="7"/>
  <c r="B802" i="7"/>
  <c r="G801" i="7"/>
  <c r="F801" i="7"/>
  <c r="M801" i="7" s="1"/>
  <c r="E801" i="7"/>
  <c r="D801" i="7"/>
  <c r="C801" i="7"/>
  <c r="B801" i="7"/>
  <c r="G800" i="7"/>
  <c r="F800" i="7"/>
  <c r="O800" i="7" s="1"/>
  <c r="E800" i="7"/>
  <c r="D800" i="7"/>
  <c r="C800" i="7"/>
  <c r="B800" i="7"/>
  <c r="G799" i="7"/>
  <c r="F799" i="7"/>
  <c r="M799" i="7" s="1"/>
  <c r="E799" i="7"/>
  <c r="D799" i="7"/>
  <c r="C799" i="7"/>
  <c r="B799" i="7"/>
  <c r="G798" i="7"/>
  <c r="F798" i="7"/>
  <c r="O798" i="7" s="1"/>
  <c r="E798" i="7"/>
  <c r="D798" i="7"/>
  <c r="C798" i="7"/>
  <c r="B798" i="7"/>
  <c r="G797" i="7"/>
  <c r="F797" i="7"/>
  <c r="M797" i="7" s="1"/>
  <c r="E797" i="7"/>
  <c r="D797" i="7"/>
  <c r="C797" i="7"/>
  <c r="B797" i="7"/>
  <c r="G796" i="7"/>
  <c r="F796" i="7"/>
  <c r="O796" i="7" s="1"/>
  <c r="E796" i="7"/>
  <c r="D796" i="7"/>
  <c r="C796" i="7"/>
  <c r="B796" i="7"/>
  <c r="G795" i="7"/>
  <c r="F795" i="7"/>
  <c r="M795" i="7" s="1"/>
  <c r="E795" i="7"/>
  <c r="D795" i="7"/>
  <c r="C795" i="7"/>
  <c r="B795" i="7"/>
  <c r="G794" i="7"/>
  <c r="F794" i="7"/>
  <c r="O794" i="7" s="1"/>
  <c r="E794" i="7"/>
  <c r="D794" i="7"/>
  <c r="C794" i="7"/>
  <c r="B794" i="7"/>
  <c r="G793" i="7"/>
  <c r="F793" i="7"/>
  <c r="M793" i="7" s="1"/>
  <c r="E793" i="7"/>
  <c r="D793" i="7"/>
  <c r="C793" i="7"/>
  <c r="B793" i="7"/>
  <c r="G792" i="7"/>
  <c r="F792" i="7"/>
  <c r="O792" i="7" s="1"/>
  <c r="E792" i="7"/>
  <c r="D792" i="7"/>
  <c r="C792" i="7"/>
  <c r="B792" i="7"/>
  <c r="G791" i="7"/>
  <c r="F791" i="7"/>
  <c r="M791" i="7" s="1"/>
  <c r="E791" i="7"/>
  <c r="D791" i="7"/>
  <c r="C791" i="7"/>
  <c r="B791" i="7"/>
  <c r="G790" i="7"/>
  <c r="F790" i="7"/>
  <c r="O790" i="7" s="1"/>
  <c r="E790" i="7"/>
  <c r="D790" i="7"/>
  <c r="C790" i="7"/>
  <c r="B790" i="7"/>
  <c r="G789" i="7"/>
  <c r="F789" i="7"/>
  <c r="M789" i="7" s="1"/>
  <c r="E789" i="7"/>
  <c r="D789" i="7"/>
  <c r="C789" i="7"/>
  <c r="B789" i="7"/>
  <c r="G788" i="7"/>
  <c r="F788" i="7"/>
  <c r="O788" i="7" s="1"/>
  <c r="E788" i="7"/>
  <c r="D788" i="7"/>
  <c r="C788" i="7"/>
  <c r="B788" i="7"/>
  <c r="A787" i="7"/>
  <c r="G785" i="7"/>
  <c r="F785" i="7"/>
  <c r="O785" i="7" s="1"/>
  <c r="E785" i="7"/>
  <c r="D785" i="7"/>
  <c r="C785" i="7"/>
  <c r="B785" i="7"/>
  <c r="G784" i="7"/>
  <c r="F784" i="7"/>
  <c r="O784" i="7" s="1"/>
  <c r="E784" i="7"/>
  <c r="D784" i="7"/>
  <c r="C784" i="7"/>
  <c r="B784" i="7"/>
  <c r="G783" i="7"/>
  <c r="F783" i="7"/>
  <c r="O783" i="7" s="1"/>
  <c r="E783" i="7"/>
  <c r="D783" i="7"/>
  <c r="C783" i="7"/>
  <c r="B783" i="7"/>
  <c r="G782" i="7"/>
  <c r="F782" i="7"/>
  <c r="O782" i="7" s="1"/>
  <c r="E782" i="7"/>
  <c r="D782" i="7"/>
  <c r="C782" i="7"/>
  <c r="B782" i="7"/>
  <c r="G781" i="7"/>
  <c r="F781" i="7"/>
  <c r="O781" i="7" s="1"/>
  <c r="E781" i="7"/>
  <c r="D781" i="7"/>
  <c r="C781" i="7"/>
  <c r="B781" i="7"/>
  <c r="G780" i="7"/>
  <c r="F780" i="7"/>
  <c r="O780" i="7" s="1"/>
  <c r="E780" i="7"/>
  <c r="D780" i="7"/>
  <c r="C780" i="7"/>
  <c r="B780" i="7"/>
  <c r="G779" i="7"/>
  <c r="F779" i="7"/>
  <c r="H779" i="7" s="1"/>
  <c r="E779" i="7"/>
  <c r="D779" i="7"/>
  <c r="C779" i="7"/>
  <c r="B779" i="7"/>
  <c r="G778" i="7"/>
  <c r="F778" i="7"/>
  <c r="E778" i="7"/>
  <c r="D778" i="7"/>
  <c r="C778" i="7"/>
  <c r="B778" i="7"/>
  <c r="G777" i="7"/>
  <c r="F777" i="7"/>
  <c r="O777" i="7" s="1"/>
  <c r="E777" i="7"/>
  <c r="D777" i="7"/>
  <c r="C777" i="7"/>
  <c r="B777" i="7"/>
  <c r="G776" i="7"/>
  <c r="F776" i="7"/>
  <c r="E776" i="7"/>
  <c r="D776" i="7"/>
  <c r="C776" i="7"/>
  <c r="B776" i="7"/>
  <c r="G775" i="7"/>
  <c r="F775" i="7"/>
  <c r="H775" i="7" s="1"/>
  <c r="E775" i="7"/>
  <c r="D775" i="7"/>
  <c r="C775" i="7"/>
  <c r="B775" i="7"/>
  <c r="G774" i="7"/>
  <c r="F774" i="7"/>
  <c r="E774" i="7"/>
  <c r="D774" i="7"/>
  <c r="C774" i="7"/>
  <c r="B774" i="7"/>
  <c r="G773" i="7"/>
  <c r="F773" i="7"/>
  <c r="H773" i="7" s="1"/>
  <c r="E773" i="7"/>
  <c r="D773" i="7"/>
  <c r="C773" i="7"/>
  <c r="B773" i="7"/>
  <c r="G772" i="7"/>
  <c r="F772" i="7"/>
  <c r="E772" i="7"/>
  <c r="D772" i="7"/>
  <c r="C772" i="7"/>
  <c r="B772" i="7"/>
  <c r="G771" i="7"/>
  <c r="F771" i="7"/>
  <c r="H771" i="7" s="1"/>
  <c r="E771" i="7"/>
  <c r="D771" i="7"/>
  <c r="C771" i="7"/>
  <c r="B771" i="7"/>
  <c r="G770" i="7"/>
  <c r="F770" i="7"/>
  <c r="E770" i="7"/>
  <c r="D770" i="7"/>
  <c r="C770" i="7"/>
  <c r="B770" i="7"/>
  <c r="G769" i="7"/>
  <c r="F769" i="7"/>
  <c r="O769" i="7" s="1"/>
  <c r="E769" i="7"/>
  <c r="D769" i="7"/>
  <c r="C769" i="7"/>
  <c r="B769" i="7"/>
  <c r="G768" i="7"/>
  <c r="F768" i="7"/>
  <c r="E768" i="7"/>
  <c r="D768" i="7"/>
  <c r="C768" i="7"/>
  <c r="B768" i="7"/>
  <c r="G767" i="7"/>
  <c r="F767" i="7"/>
  <c r="H767" i="7" s="1"/>
  <c r="E767" i="7"/>
  <c r="D767" i="7"/>
  <c r="C767" i="7"/>
  <c r="B767" i="7"/>
  <c r="G766" i="7"/>
  <c r="F766" i="7"/>
  <c r="E766" i="7"/>
  <c r="D766" i="7"/>
  <c r="C766" i="7"/>
  <c r="B766" i="7"/>
  <c r="G765" i="7"/>
  <c r="F765" i="7"/>
  <c r="O765" i="7" s="1"/>
  <c r="E765" i="7"/>
  <c r="D765" i="7"/>
  <c r="C765" i="7"/>
  <c r="B765" i="7"/>
  <c r="G764" i="7"/>
  <c r="F764" i="7"/>
  <c r="E764" i="7"/>
  <c r="D764" i="7"/>
  <c r="C764" i="7"/>
  <c r="B764" i="7"/>
  <c r="G763" i="7"/>
  <c r="F763" i="7"/>
  <c r="H763" i="7" s="1"/>
  <c r="E763" i="7"/>
  <c r="D763" i="7"/>
  <c r="C763" i="7"/>
  <c r="B763" i="7"/>
  <c r="G762" i="7"/>
  <c r="F762" i="7"/>
  <c r="E762" i="7"/>
  <c r="D762" i="7"/>
  <c r="C762" i="7"/>
  <c r="B762" i="7"/>
  <c r="G761" i="7"/>
  <c r="F761" i="7"/>
  <c r="O761" i="7" s="1"/>
  <c r="E761" i="7"/>
  <c r="D761" i="7"/>
  <c r="C761" i="7"/>
  <c r="B761" i="7"/>
  <c r="G760" i="7"/>
  <c r="F760" i="7"/>
  <c r="E760" i="7"/>
  <c r="D760" i="7"/>
  <c r="C760" i="7"/>
  <c r="B760" i="7"/>
  <c r="G759" i="7"/>
  <c r="F759" i="7"/>
  <c r="H759" i="7" s="1"/>
  <c r="E759" i="7"/>
  <c r="D759" i="7"/>
  <c r="C759" i="7"/>
  <c r="B759" i="7"/>
  <c r="G758" i="7"/>
  <c r="F758" i="7"/>
  <c r="E758" i="7"/>
  <c r="D758" i="7"/>
  <c r="C758" i="7"/>
  <c r="B758" i="7"/>
  <c r="G757" i="7"/>
  <c r="F757" i="7"/>
  <c r="O757" i="7" s="1"/>
  <c r="E757" i="7"/>
  <c r="D757" i="7"/>
  <c r="C757" i="7"/>
  <c r="B757" i="7"/>
  <c r="G756" i="7"/>
  <c r="F756" i="7"/>
  <c r="E756" i="7"/>
  <c r="D756" i="7"/>
  <c r="C756" i="7"/>
  <c r="B756" i="7"/>
  <c r="G755" i="7"/>
  <c r="F755" i="7"/>
  <c r="H755" i="7" s="1"/>
  <c r="E755" i="7"/>
  <c r="D755" i="7"/>
  <c r="C755" i="7"/>
  <c r="B755" i="7"/>
  <c r="G754" i="7"/>
  <c r="F754" i="7"/>
  <c r="E754" i="7"/>
  <c r="D754" i="7"/>
  <c r="C754" i="7"/>
  <c r="B754" i="7"/>
  <c r="G753" i="7"/>
  <c r="F753" i="7"/>
  <c r="H753" i="7" s="1"/>
  <c r="E753" i="7"/>
  <c r="D753" i="7"/>
  <c r="C753" i="7"/>
  <c r="B753" i="7"/>
  <c r="G752" i="7"/>
  <c r="F752" i="7"/>
  <c r="E752" i="7"/>
  <c r="D752" i="7"/>
  <c r="C752" i="7"/>
  <c r="B752" i="7"/>
  <c r="G751" i="7"/>
  <c r="F751" i="7"/>
  <c r="H751" i="7" s="1"/>
  <c r="E751" i="7"/>
  <c r="D751" i="7"/>
  <c r="C751" i="7"/>
  <c r="B751" i="7"/>
  <c r="G750" i="7"/>
  <c r="F750" i="7"/>
  <c r="E750" i="7"/>
  <c r="D750" i="7"/>
  <c r="C750" i="7"/>
  <c r="B750" i="7"/>
  <c r="G749" i="7"/>
  <c r="F749" i="7"/>
  <c r="H749" i="7" s="1"/>
  <c r="E749" i="7"/>
  <c r="D749" i="7"/>
  <c r="C749" i="7"/>
  <c r="B749" i="7"/>
  <c r="G748" i="7"/>
  <c r="F748" i="7"/>
  <c r="E748" i="7"/>
  <c r="D748" i="7"/>
  <c r="C748" i="7"/>
  <c r="B748" i="7"/>
  <c r="G747" i="7"/>
  <c r="F747" i="7"/>
  <c r="E747" i="7"/>
  <c r="D747" i="7"/>
  <c r="C747" i="7"/>
  <c r="B747" i="7"/>
  <c r="G746" i="7"/>
  <c r="F746" i="7"/>
  <c r="E746" i="7"/>
  <c r="D746" i="7"/>
  <c r="C746" i="7"/>
  <c r="B746" i="7"/>
  <c r="G745" i="7"/>
  <c r="F745" i="7"/>
  <c r="E745" i="7"/>
  <c r="D745" i="7"/>
  <c r="C745" i="7"/>
  <c r="B745" i="7"/>
  <c r="G744" i="7"/>
  <c r="F744" i="7"/>
  <c r="E744" i="7"/>
  <c r="D744" i="7"/>
  <c r="C744" i="7"/>
  <c r="B744" i="7"/>
  <c r="G743" i="7"/>
  <c r="F743" i="7"/>
  <c r="E743" i="7"/>
  <c r="D743" i="7"/>
  <c r="C743" i="7"/>
  <c r="B743" i="7"/>
  <c r="G742" i="7"/>
  <c r="F742" i="7"/>
  <c r="E742" i="7"/>
  <c r="D742" i="7"/>
  <c r="C742" i="7"/>
  <c r="B742" i="7"/>
  <c r="G741" i="7"/>
  <c r="F741" i="7"/>
  <c r="E741" i="7"/>
  <c r="D741" i="7"/>
  <c r="C741" i="7"/>
  <c r="B741" i="7"/>
  <c r="G740" i="7"/>
  <c r="F740" i="7"/>
  <c r="E740" i="7"/>
  <c r="D740" i="7"/>
  <c r="C740" i="7"/>
  <c r="B740" i="7"/>
  <c r="G739" i="7"/>
  <c r="F739" i="7"/>
  <c r="E739" i="7"/>
  <c r="D739" i="7"/>
  <c r="C739" i="7"/>
  <c r="B739" i="7"/>
  <c r="G738" i="7"/>
  <c r="F738" i="7"/>
  <c r="E738" i="7"/>
  <c r="D738" i="7"/>
  <c r="C738" i="7"/>
  <c r="B738" i="7"/>
  <c r="G737" i="7"/>
  <c r="F737" i="7"/>
  <c r="P737" i="7" s="1"/>
  <c r="E737" i="7"/>
  <c r="D737" i="7"/>
  <c r="C737" i="7"/>
  <c r="B737" i="7"/>
  <c r="G736" i="7"/>
  <c r="F736" i="7"/>
  <c r="M736" i="7" s="1"/>
  <c r="E736" i="7"/>
  <c r="D736" i="7"/>
  <c r="C736" i="7"/>
  <c r="B736" i="7"/>
  <c r="G735" i="7"/>
  <c r="F735" i="7"/>
  <c r="O735" i="7" s="1"/>
  <c r="E735" i="7"/>
  <c r="D735" i="7"/>
  <c r="C735" i="7"/>
  <c r="B735" i="7"/>
  <c r="G734" i="7"/>
  <c r="F734" i="7"/>
  <c r="M734" i="7" s="1"/>
  <c r="E734" i="7"/>
  <c r="D734" i="7"/>
  <c r="C734" i="7"/>
  <c r="B734" i="7"/>
  <c r="G733" i="7"/>
  <c r="F733" i="7"/>
  <c r="O733" i="7" s="1"/>
  <c r="E733" i="7"/>
  <c r="D733" i="7"/>
  <c r="C733" i="7"/>
  <c r="B733" i="7"/>
  <c r="A732" i="7"/>
  <c r="G730" i="7"/>
  <c r="F730" i="7"/>
  <c r="P730" i="7" s="1"/>
  <c r="E730" i="7"/>
  <c r="D730" i="7"/>
  <c r="C730" i="7"/>
  <c r="B730" i="7"/>
  <c r="G729" i="7"/>
  <c r="F729" i="7"/>
  <c r="N729" i="7" s="1"/>
  <c r="E729" i="7"/>
  <c r="D729" i="7"/>
  <c r="C729" i="7"/>
  <c r="B729" i="7"/>
  <c r="G728" i="7"/>
  <c r="F728" i="7"/>
  <c r="P728" i="7" s="1"/>
  <c r="E728" i="7"/>
  <c r="D728" i="7"/>
  <c r="C728" i="7"/>
  <c r="B728" i="7"/>
  <c r="G727" i="7"/>
  <c r="F727" i="7"/>
  <c r="N727" i="7" s="1"/>
  <c r="E727" i="7"/>
  <c r="D727" i="7"/>
  <c r="C727" i="7"/>
  <c r="B727" i="7"/>
  <c r="G726" i="7"/>
  <c r="F726" i="7"/>
  <c r="P726" i="7" s="1"/>
  <c r="E726" i="7"/>
  <c r="D726" i="7"/>
  <c r="C726" i="7"/>
  <c r="B726" i="7"/>
  <c r="G725" i="7"/>
  <c r="F725" i="7"/>
  <c r="N725" i="7" s="1"/>
  <c r="E725" i="7"/>
  <c r="D725" i="7"/>
  <c r="C725" i="7"/>
  <c r="B725" i="7"/>
  <c r="G724" i="7"/>
  <c r="F724" i="7"/>
  <c r="P724" i="7" s="1"/>
  <c r="E724" i="7"/>
  <c r="D724" i="7"/>
  <c r="C724" i="7"/>
  <c r="B724" i="7"/>
  <c r="A723" i="7"/>
  <c r="G721" i="7"/>
  <c r="F721" i="7"/>
  <c r="M721" i="7" s="1"/>
  <c r="E721" i="7"/>
  <c r="D721" i="7"/>
  <c r="C721" i="7"/>
  <c r="B721" i="7"/>
  <c r="G720" i="7"/>
  <c r="F720" i="7"/>
  <c r="O720" i="7" s="1"/>
  <c r="E720" i="7"/>
  <c r="D720" i="7"/>
  <c r="C720" i="7"/>
  <c r="B720" i="7"/>
  <c r="G719" i="7"/>
  <c r="F719" i="7"/>
  <c r="M719" i="7" s="1"/>
  <c r="E719" i="7"/>
  <c r="D719" i="7"/>
  <c r="C719" i="7"/>
  <c r="B719" i="7"/>
  <c r="G718" i="7"/>
  <c r="F718" i="7"/>
  <c r="O718" i="7" s="1"/>
  <c r="E718" i="7"/>
  <c r="D718" i="7"/>
  <c r="C718" i="7"/>
  <c r="B718" i="7"/>
  <c r="G717" i="7"/>
  <c r="F717" i="7"/>
  <c r="M717" i="7" s="1"/>
  <c r="E717" i="7"/>
  <c r="D717" i="7"/>
  <c r="C717" i="7"/>
  <c r="B717" i="7"/>
  <c r="G716" i="7"/>
  <c r="F716" i="7"/>
  <c r="O716" i="7" s="1"/>
  <c r="E716" i="7"/>
  <c r="D716" i="7"/>
  <c r="C716" i="7"/>
  <c r="B716" i="7"/>
  <c r="G715" i="7"/>
  <c r="F715" i="7"/>
  <c r="M715" i="7" s="1"/>
  <c r="E715" i="7"/>
  <c r="D715" i="7"/>
  <c r="C715" i="7"/>
  <c r="B715" i="7"/>
  <c r="G714" i="7"/>
  <c r="F714" i="7"/>
  <c r="O714" i="7" s="1"/>
  <c r="E714" i="7"/>
  <c r="D714" i="7"/>
  <c r="C714" i="7"/>
  <c r="B714" i="7"/>
  <c r="G713" i="7"/>
  <c r="F713" i="7"/>
  <c r="M713" i="7" s="1"/>
  <c r="E713" i="7"/>
  <c r="D713" i="7"/>
  <c r="C713" i="7"/>
  <c r="B713" i="7"/>
  <c r="G712" i="7"/>
  <c r="F712" i="7"/>
  <c r="O712" i="7" s="1"/>
  <c r="E712" i="7"/>
  <c r="D712" i="7"/>
  <c r="C712" i="7"/>
  <c r="B712" i="7"/>
  <c r="G711" i="7"/>
  <c r="F711" i="7"/>
  <c r="M711" i="7" s="1"/>
  <c r="E711" i="7"/>
  <c r="D711" i="7"/>
  <c r="C711" i="7"/>
  <c r="B711" i="7"/>
  <c r="G710" i="7"/>
  <c r="F710" i="7"/>
  <c r="O710" i="7" s="1"/>
  <c r="E710" i="7"/>
  <c r="D710" i="7"/>
  <c r="C710" i="7"/>
  <c r="B710" i="7"/>
  <c r="G709" i="7"/>
  <c r="F709" i="7"/>
  <c r="M709" i="7" s="1"/>
  <c r="E709" i="7"/>
  <c r="D709" i="7"/>
  <c r="C709" i="7"/>
  <c r="B709" i="7"/>
  <c r="G708" i="7"/>
  <c r="F708" i="7"/>
  <c r="O708" i="7" s="1"/>
  <c r="E708" i="7"/>
  <c r="D708" i="7"/>
  <c r="C708" i="7"/>
  <c r="B708" i="7"/>
  <c r="G707" i="7"/>
  <c r="F707" i="7"/>
  <c r="M707" i="7" s="1"/>
  <c r="E707" i="7"/>
  <c r="D707" i="7"/>
  <c r="C707" i="7"/>
  <c r="B707" i="7"/>
  <c r="A706" i="7"/>
  <c r="G704" i="7"/>
  <c r="F704" i="7"/>
  <c r="N704" i="7" s="1"/>
  <c r="E704" i="7"/>
  <c r="D704" i="7"/>
  <c r="C704" i="7"/>
  <c r="B704" i="7"/>
  <c r="G703" i="7"/>
  <c r="F703" i="7"/>
  <c r="P703" i="7" s="1"/>
  <c r="E703" i="7"/>
  <c r="D703" i="7"/>
  <c r="C703" i="7"/>
  <c r="B703" i="7"/>
  <c r="G702" i="7"/>
  <c r="F702" i="7"/>
  <c r="N702" i="7" s="1"/>
  <c r="E702" i="7"/>
  <c r="D702" i="7"/>
  <c r="C702" i="7"/>
  <c r="B702" i="7"/>
  <c r="G701" i="7"/>
  <c r="F701" i="7"/>
  <c r="P701" i="7" s="1"/>
  <c r="E701" i="7"/>
  <c r="D701" i="7"/>
  <c r="C701" i="7"/>
  <c r="B701" i="7"/>
  <c r="G700" i="7"/>
  <c r="F700" i="7"/>
  <c r="N700" i="7" s="1"/>
  <c r="E700" i="7"/>
  <c r="D700" i="7"/>
  <c r="C700" i="7"/>
  <c r="B700" i="7"/>
  <c r="G699" i="7"/>
  <c r="F699" i="7"/>
  <c r="P699" i="7" s="1"/>
  <c r="E699" i="7"/>
  <c r="D699" i="7"/>
  <c r="C699" i="7"/>
  <c r="B699" i="7"/>
  <c r="G698" i="7"/>
  <c r="F698" i="7"/>
  <c r="N698" i="7" s="1"/>
  <c r="E698" i="7"/>
  <c r="D698" i="7"/>
  <c r="C698" i="7"/>
  <c r="B698" i="7"/>
  <c r="G697" i="7"/>
  <c r="F697" i="7"/>
  <c r="P697" i="7" s="1"/>
  <c r="E697" i="7"/>
  <c r="D697" i="7"/>
  <c r="C697" i="7"/>
  <c r="B697" i="7"/>
  <c r="G696" i="7"/>
  <c r="F696" i="7"/>
  <c r="N696" i="7" s="1"/>
  <c r="E696" i="7"/>
  <c r="D696" i="7"/>
  <c r="C696" i="7"/>
  <c r="B696" i="7"/>
  <c r="G695" i="7"/>
  <c r="F695" i="7"/>
  <c r="P695" i="7" s="1"/>
  <c r="E695" i="7"/>
  <c r="D695" i="7"/>
  <c r="C695" i="7"/>
  <c r="B695" i="7"/>
  <c r="G694" i="7"/>
  <c r="F694" i="7"/>
  <c r="N694" i="7" s="1"/>
  <c r="E694" i="7"/>
  <c r="D694" i="7"/>
  <c r="C694" i="7"/>
  <c r="B694" i="7"/>
  <c r="G693" i="7"/>
  <c r="F693" i="7"/>
  <c r="P693" i="7" s="1"/>
  <c r="E693" i="7"/>
  <c r="D693" i="7"/>
  <c r="C693" i="7"/>
  <c r="B693" i="7"/>
  <c r="G692" i="7"/>
  <c r="F692" i="7"/>
  <c r="N692" i="7" s="1"/>
  <c r="E692" i="7"/>
  <c r="D692" i="7"/>
  <c r="C692" i="7"/>
  <c r="B692" i="7"/>
  <c r="G691" i="7"/>
  <c r="F691" i="7"/>
  <c r="P691" i="7" s="1"/>
  <c r="E691" i="7"/>
  <c r="D691" i="7"/>
  <c r="C691" i="7"/>
  <c r="B691" i="7"/>
  <c r="G690" i="7"/>
  <c r="F690" i="7"/>
  <c r="N690" i="7" s="1"/>
  <c r="E690" i="7"/>
  <c r="D690" i="7"/>
  <c r="C690" i="7"/>
  <c r="B690" i="7"/>
  <c r="G689" i="7"/>
  <c r="F689" i="7"/>
  <c r="P689" i="7" s="1"/>
  <c r="E689" i="7"/>
  <c r="D689" i="7"/>
  <c r="C689" i="7"/>
  <c r="B689" i="7"/>
  <c r="G688" i="7"/>
  <c r="F688" i="7"/>
  <c r="N688" i="7" s="1"/>
  <c r="E688" i="7"/>
  <c r="D688" i="7"/>
  <c r="C688" i="7"/>
  <c r="B688" i="7"/>
  <c r="G687" i="7"/>
  <c r="F687" i="7"/>
  <c r="P687" i="7" s="1"/>
  <c r="E687" i="7"/>
  <c r="D687" i="7"/>
  <c r="C687" i="7"/>
  <c r="B687" i="7"/>
  <c r="G686" i="7"/>
  <c r="F686" i="7"/>
  <c r="N686" i="7" s="1"/>
  <c r="E686" i="7"/>
  <c r="D686" i="7"/>
  <c r="C686" i="7"/>
  <c r="B686" i="7"/>
  <c r="G685" i="7"/>
  <c r="F685" i="7"/>
  <c r="P685" i="7" s="1"/>
  <c r="E685" i="7"/>
  <c r="D685" i="7"/>
  <c r="C685" i="7"/>
  <c r="B685" i="7"/>
  <c r="G684" i="7"/>
  <c r="F684" i="7"/>
  <c r="N684" i="7" s="1"/>
  <c r="E684" i="7"/>
  <c r="D684" i="7"/>
  <c r="C684" i="7"/>
  <c r="B684" i="7"/>
  <c r="G683" i="7"/>
  <c r="F683" i="7"/>
  <c r="P683" i="7" s="1"/>
  <c r="E683" i="7"/>
  <c r="D683" i="7"/>
  <c r="C683" i="7"/>
  <c r="B683" i="7"/>
  <c r="G682" i="7"/>
  <c r="F682" i="7"/>
  <c r="N682" i="7" s="1"/>
  <c r="E682" i="7"/>
  <c r="D682" i="7"/>
  <c r="C682" i="7"/>
  <c r="B682" i="7"/>
  <c r="G681" i="7"/>
  <c r="F681" i="7"/>
  <c r="P681" i="7" s="1"/>
  <c r="E681" i="7"/>
  <c r="D681" i="7"/>
  <c r="C681" i="7"/>
  <c r="B681" i="7"/>
  <c r="G680" i="7"/>
  <c r="F680" i="7"/>
  <c r="N680" i="7" s="1"/>
  <c r="E680" i="7"/>
  <c r="D680" i="7"/>
  <c r="C680" i="7"/>
  <c r="B680" i="7"/>
  <c r="G679" i="7"/>
  <c r="F679" i="7"/>
  <c r="P679" i="7" s="1"/>
  <c r="E679" i="7"/>
  <c r="D679" i="7"/>
  <c r="C679" i="7"/>
  <c r="B679" i="7"/>
  <c r="G678" i="7"/>
  <c r="F678" i="7"/>
  <c r="N678" i="7" s="1"/>
  <c r="E678" i="7"/>
  <c r="D678" i="7"/>
  <c r="C678" i="7"/>
  <c r="B678" i="7"/>
  <c r="G677" i="7"/>
  <c r="F677" i="7"/>
  <c r="P677" i="7" s="1"/>
  <c r="E677" i="7"/>
  <c r="D677" i="7"/>
  <c r="C677" i="7"/>
  <c r="B677" i="7"/>
  <c r="G676" i="7"/>
  <c r="F676" i="7"/>
  <c r="N676" i="7" s="1"/>
  <c r="E676" i="7"/>
  <c r="D676" i="7"/>
  <c r="C676" i="7"/>
  <c r="B676" i="7"/>
  <c r="G675" i="7"/>
  <c r="F675" i="7"/>
  <c r="P675" i="7" s="1"/>
  <c r="E675" i="7"/>
  <c r="D675" i="7"/>
  <c r="C675" i="7"/>
  <c r="B675" i="7"/>
  <c r="G674" i="7"/>
  <c r="F674" i="7"/>
  <c r="N674" i="7" s="1"/>
  <c r="E674" i="7"/>
  <c r="D674" i="7"/>
  <c r="C674" i="7"/>
  <c r="B674" i="7"/>
  <c r="G673" i="7"/>
  <c r="F673" i="7"/>
  <c r="P673" i="7" s="1"/>
  <c r="E673" i="7"/>
  <c r="D673" i="7"/>
  <c r="C673" i="7"/>
  <c r="B673" i="7"/>
  <c r="G672" i="7"/>
  <c r="F672" i="7"/>
  <c r="N672" i="7" s="1"/>
  <c r="E672" i="7"/>
  <c r="D672" i="7"/>
  <c r="C672" i="7"/>
  <c r="B672" i="7"/>
  <c r="G671" i="7"/>
  <c r="F671" i="7"/>
  <c r="P671" i="7" s="1"/>
  <c r="E671" i="7"/>
  <c r="D671" i="7"/>
  <c r="C671" i="7"/>
  <c r="B671" i="7"/>
  <c r="G670" i="7"/>
  <c r="F670" i="7"/>
  <c r="N670" i="7" s="1"/>
  <c r="E670" i="7"/>
  <c r="D670" i="7"/>
  <c r="C670" i="7"/>
  <c r="B670" i="7"/>
  <c r="G669" i="7"/>
  <c r="F669" i="7"/>
  <c r="P669" i="7" s="1"/>
  <c r="E669" i="7"/>
  <c r="D669" i="7"/>
  <c r="C669" i="7"/>
  <c r="B669" i="7"/>
  <c r="A668" i="7"/>
  <c r="C10" i="7" s="1"/>
  <c r="G666" i="7"/>
  <c r="F666" i="7"/>
  <c r="M666" i="7" s="1"/>
  <c r="E666" i="7"/>
  <c r="D666" i="7"/>
  <c r="C666" i="7"/>
  <c r="B666" i="7"/>
  <c r="G665" i="7"/>
  <c r="F665" i="7"/>
  <c r="O665" i="7" s="1"/>
  <c r="E665" i="7"/>
  <c r="D665" i="7"/>
  <c r="C665" i="7"/>
  <c r="B665" i="7"/>
  <c r="G664" i="7"/>
  <c r="F664" i="7"/>
  <c r="M664" i="7" s="1"/>
  <c r="E664" i="7"/>
  <c r="D664" i="7"/>
  <c r="C664" i="7"/>
  <c r="B664" i="7"/>
  <c r="G663" i="7"/>
  <c r="F663" i="7"/>
  <c r="O663" i="7" s="1"/>
  <c r="E663" i="7"/>
  <c r="D663" i="7"/>
  <c r="C663" i="7"/>
  <c r="B663" i="7"/>
  <c r="G662" i="7"/>
  <c r="F662" i="7"/>
  <c r="M662" i="7" s="1"/>
  <c r="E662" i="7"/>
  <c r="D662" i="7"/>
  <c r="C662" i="7"/>
  <c r="B662" i="7"/>
  <c r="G661" i="7"/>
  <c r="F661" i="7"/>
  <c r="O661" i="7" s="1"/>
  <c r="E661" i="7"/>
  <c r="D661" i="7"/>
  <c r="C661" i="7"/>
  <c r="B661" i="7"/>
  <c r="G660" i="7"/>
  <c r="F660" i="7"/>
  <c r="M660" i="7" s="1"/>
  <c r="E660" i="7"/>
  <c r="D660" i="7"/>
  <c r="C660" i="7"/>
  <c r="B660" i="7"/>
  <c r="G659" i="7"/>
  <c r="F659" i="7"/>
  <c r="O659" i="7" s="1"/>
  <c r="E659" i="7"/>
  <c r="D659" i="7"/>
  <c r="C659" i="7"/>
  <c r="B659" i="7"/>
  <c r="G658" i="7"/>
  <c r="F658" i="7"/>
  <c r="M658" i="7" s="1"/>
  <c r="E658" i="7"/>
  <c r="D658" i="7"/>
  <c r="C658" i="7"/>
  <c r="B658" i="7"/>
  <c r="G657" i="7"/>
  <c r="F657" i="7"/>
  <c r="O657" i="7" s="1"/>
  <c r="E657" i="7"/>
  <c r="D657" i="7"/>
  <c r="C657" i="7"/>
  <c r="B657" i="7"/>
  <c r="G656" i="7"/>
  <c r="F656" i="7"/>
  <c r="M656" i="7" s="1"/>
  <c r="E656" i="7"/>
  <c r="D656" i="7"/>
  <c r="C656" i="7"/>
  <c r="B656" i="7"/>
  <c r="G655" i="7"/>
  <c r="F655" i="7"/>
  <c r="O655" i="7" s="1"/>
  <c r="E655" i="7"/>
  <c r="D655" i="7"/>
  <c r="C655" i="7"/>
  <c r="B655" i="7"/>
  <c r="G654" i="7"/>
  <c r="F654" i="7"/>
  <c r="M654" i="7" s="1"/>
  <c r="E654" i="7"/>
  <c r="D654" i="7"/>
  <c r="C654" i="7"/>
  <c r="B654" i="7"/>
  <c r="G653" i="7"/>
  <c r="F653" i="7"/>
  <c r="O653" i="7" s="1"/>
  <c r="E653" i="7"/>
  <c r="D653" i="7"/>
  <c r="C653" i="7"/>
  <c r="B653" i="7"/>
  <c r="G652" i="7"/>
  <c r="F652" i="7"/>
  <c r="M652" i="7" s="1"/>
  <c r="E652" i="7"/>
  <c r="D652" i="7"/>
  <c r="C652" i="7"/>
  <c r="B652" i="7"/>
  <c r="G651" i="7"/>
  <c r="F651" i="7"/>
  <c r="O651" i="7" s="1"/>
  <c r="E651" i="7"/>
  <c r="D651" i="7"/>
  <c r="C651" i="7"/>
  <c r="B651" i="7"/>
  <c r="A650" i="7"/>
  <c r="G648" i="7"/>
  <c r="F648" i="7"/>
  <c r="P648" i="7" s="1"/>
  <c r="E648" i="7"/>
  <c r="D648" i="7"/>
  <c r="C648" i="7"/>
  <c r="B648" i="7"/>
  <c r="G647" i="7"/>
  <c r="F647" i="7"/>
  <c r="N647" i="7" s="1"/>
  <c r="E647" i="7"/>
  <c r="D647" i="7"/>
  <c r="C647" i="7"/>
  <c r="B647" i="7"/>
  <c r="G646" i="7"/>
  <c r="F646" i="7"/>
  <c r="P646" i="7" s="1"/>
  <c r="E646" i="7"/>
  <c r="D646" i="7"/>
  <c r="C646" i="7"/>
  <c r="B646" i="7"/>
  <c r="G645" i="7"/>
  <c r="F645" i="7"/>
  <c r="N645" i="7" s="1"/>
  <c r="E645" i="7"/>
  <c r="D645" i="7"/>
  <c r="C645" i="7"/>
  <c r="B645" i="7"/>
  <c r="G644" i="7"/>
  <c r="F644" i="7"/>
  <c r="P644" i="7" s="1"/>
  <c r="E644" i="7"/>
  <c r="D644" i="7"/>
  <c r="C644" i="7"/>
  <c r="B644" i="7"/>
  <c r="G643" i="7"/>
  <c r="F643" i="7"/>
  <c r="N643" i="7" s="1"/>
  <c r="E643" i="7"/>
  <c r="D643" i="7"/>
  <c r="C643" i="7"/>
  <c r="B643" i="7"/>
  <c r="G642" i="7"/>
  <c r="F642" i="7"/>
  <c r="P642" i="7" s="1"/>
  <c r="E642" i="7"/>
  <c r="D642" i="7"/>
  <c r="C642" i="7"/>
  <c r="B642" i="7"/>
  <c r="G641" i="7"/>
  <c r="F641" i="7"/>
  <c r="N641" i="7" s="1"/>
  <c r="E641" i="7"/>
  <c r="D641" i="7"/>
  <c r="C641" i="7"/>
  <c r="B641" i="7"/>
  <c r="G640" i="7"/>
  <c r="F640" i="7"/>
  <c r="P640" i="7" s="1"/>
  <c r="E640" i="7"/>
  <c r="D640" i="7"/>
  <c r="C640" i="7"/>
  <c r="B640" i="7"/>
  <c r="G639" i="7"/>
  <c r="F639" i="7"/>
  <c r="N639" i="7" s="1"/>
  <c r="E639" i="7"/>
  <c r="D639" i="7"/>
  <c r="C639" i="7"/>
  <c r="B639" i="7"/>
  <c r="G638" i="7"/>
  <c r="F638" i="7"/>
  <c r="P638" i="7" s="1"/>
  <c r="E638" i="7"/>
  <c r="D638" i="7"/>
  <c r="C638" i="7"/>
  <c r="B638" i="7"/>
  <c r="G637" i="7"/>
  <c r="F637" i="7"/>
  <c r="N637" i="7" s="1"/>
  <c r="E637" i="7"/>
  <c r="D637" i="7"/>
  <c r="C637" i="7"/>
  <c r="B637" i="7"/>
  <c r="G636" i="7"/>
  <c r="F636" i="7"/>
  <c r="P636" i="7" s="1"/>
  <c r="E636" i="7"/>
  <c r="D636" i="7"/>
  <c r="C636" i="7"/>
  <c r="B636" i="7"/>
  <c r="G635" i="7"/>
  <c r="F635" i="7"/>
  <c r="N635" i="7" s="1"/>
  <c r="E635" i="7"/>
  <c r="D635" i="7"/>
  <c r="C635" i="7"/>
  <c r="B635" i="7"/>
  <c r="G634" i="7"/>
  <c r="F634" i="7"/>
  <c r="P634" i="7" s="1"/>
  <c r="E634" i="7"/>
  <c r="D634" i="7"/>
  <c r="C634" i="7"/>
  <c r="B634" i="7"/>
  <c r="G633" i="7"/>
  <c r="F633" i="7"/>
  <c r="N633" i="7" s="1"/>
  <c r="E633" i="7"/>
  <c r="D633" i="7"/>
  <c r="C633" i="7"/>
  <c r="B633" i="7"/>
  <c r="G632" i="7"/>
  <c r="F632" i="7"/>
  <c r="P632" i="7" s="1"/>
  <c r="E632" i="7"/>
  <c r="D632" i="7"/>
  <c r="C632" i="7"/>
  <c r="B632" i="7"/>
  <c r="G631" i="7"/>
  <c r="F631" i="7"/>
  <c r="N631" i="7" s="1"/>
  <c r="E631" i="7"/>
  <c r="D631" i="7"/>
  <c r="C631" i="7"/>
  <c r="B631" i="7"/>
  <c r="G630" i="7"/>
  <c r="F630" i="7"/>
  <c r="P630" i="7" s="1"/>
  <c r="E630" i="7"/>
  <c r="D630" i="7"/>
  <c r="C630" i="7"/>
  <c r="B630" i="7"/>
  <c r="G629" i="7"/>
  <c r="F629" i="7"/>
  <c r="N629" i="7" s="1"/>
  <c r="E629" i="7"/>
  <c r="D629" i="7"/>
  <c r="C629" i="7"/>
  <c r="B629" i="7"/>
  <c r="G628" i="7"/>
  <c r="F628" i="7"/>
  <c r="P628" i="7" s="1"/>
  <c r="E628" i="7"/>
  <c r="D628" i="7"/>
  <c r="C628" i="7"/>
  <c r="B628" i="7"/>
  <c r="G627" i="7"/>
  <c r="F627" i="7"/>
  <c r="N627" i="7" s="1"/>
  <c r="E627" i="7"/>
  <c r="D627" i="7"/>
  <c r="C627" i="7"/>
  <c r="B627" i="7"/>
  <c r="G626" i="7"/>
  <c r="F626" i="7"/>
  <c r="P626" i="7" s="1"/>
  <c r="E626" i="7"/>
  <c r="D626" i="7"/>
  <c r="C626" i="7"/>
  <c r="B626" i="7"/>
  <c r="G625" i="7"/>
  <c r="F625" i="7"/>
  <c r="N625" i="7" s="1"/>
  <c r="E625" i="7"/>
  <c r="D625" i="7"/>
  <c r="C625" i="7"/>
  <c r="B625" i="7"/>
  <c r="G624" i="7"/>
  <c r="F624" i="7"/>
  <c r="P624" i="7" s="1"/>
  <c r="E624" i="7"/>
  <c r="D624" i="7"/>
  <c r="C624" i="7"/>
  <c r="B624" i="7"/>
  <c r="G623" i="7"/>
  <c r="F623" i="7"/>
  <c r="N623" i="7" s="1"/>
  <c r="E623" i="7"/>
  <c r="D623" i="7"/>
  <c r="C623" i="7"/>
  <c r="B623" i="7"/>
  <c r="G622" i="7"/>
  <c r="F622" i="7"/>
  <c r="P622" i="7" s="1"/>
  <c r="E622" i="7"/>
  <c r="D622" i="7"/>
  <c r="C622" i="7"/>
  <c r="B622" i="7"/>
  <c r="G621" i="7"/>
  <c r="F621" i="7"/>
  <c r="N621" i="7" s="1"/>
  <c r="E621" i="7"/>
  <c r="D621" i="7"/>
  <c r="C621" i="7"/>
  <c r="B621" i="7"/>
  <c r="G620" i="7"/>
  <c r="F620" i="7"/>
  <c r="P620" i="7" s="1"/>
  <c r="E620" i="7"/>
  <c r="D620" i="7"/>
  <c r="C620" i="7"/>
  <c r="B620" i="7"/>
  <c r="G619" i="7"/>
  <c r="F619" i="7"/>
  <c r="N619" i="7" s="1"/>
  <c r="E619" i="7"/>
  <c r="D619" i="7"/>
  <c r="C619" i="7"/>
  <c r="B619" i="7"/>
  <c r="G618" i="7"/>
  <c r="F618" i="7"/>
  <c r="P618" i="7" s="1"/>
  <c r="E618" i="7"/>
  <c r="D618" i="7"/>
  <c r="C618" i="7"/>
  <c r="B618" i="7"/>
  <c r="G617" i="7"/>
  <c r="F617" i="7"/>
  <c r="N617" i="7" s="1"/>
  <c r="E617" i="7"/>
  <c r="D617" i="7"/>
  <c r="C617" i="7"/>
  <c r="B617" i="7"/>
  <c r="G616" i="7"/>
  <c r="F616" i="7"/>
  <c r="P616" i="7" s="1"/>
  <c r="E616" i="7"/>
  <c r="D616" i="7"/>
  <c r="C616" i="7"/>
  <c r="B616" i="7"/>
  <c r="G615" i="7"/>
  <c r="F615" i="7"/>
  <c r="N615" i="7" s="1"/>
  <c r="E615" i="7"/>
  <c r="D615" i="7"/>
  <c r="C615" i="7"/>
  <c r="B615" i="7"/>
  <c r="G614" i="7"/>
  <c r="F614" i="7"/>
  <c r="P614" i="7" s="1"/>
  <c r="E614" i="7"/>
  <c r="D614" i="7"/>
  <c r="C614" i="7"/>
  <c r="B614" i="7"/>
  <c r="G613" i="7"/>
  <c r="F613" i="7"/>
  <c r="N613" i="7" s="1"/>
  <c r="E613" i="7"/>
  <c r="D613" i="7"/>
  <c r="C613" i="7"/>
  <c r="B613" i="7"/>
  <c r="G612" i="7"/>
  <c r="F612" i="7"/>
  <c r="P612" i="7" s="1"/>
  <c r="E612" i="7"/>
  <c r="D612" i="7"/>
  <c r="C612" i="7"/>
  <c r="B612" i="7"/>
  <c r="G611" i="7"/>
  <c r="F611" i="7"/>
  <c r="N611" i="7" s="1"/>
  <c r="E611" i="7"/>
  <c r="D611" i="7"/>
  <c r="C611" i="7"/>
  <c r="B611" i="7"/>
  <c r="G610" i="7"/>
  <c r="F610" i="7"/>
  <c r="P610" i="7" s="1"/>
  <c r="E610" i="7"/>
  <c r="D610" i="7"/>
  <c r="C610" i="7"/>
  <c r="B610" i="7"/>
  <c r="G609" i="7"/>
  <c r="F609" i="7"/>
  <c r="N609" i="7" s="1"/>
  <c r="E609" i="7"/>
  <c r="D609" i="7"/>
  <c r="C609" i="7"/>
  <c r="B609" i="7"/>
  <c r="G608" i="7"/>
  <c r="F608" i="7"/>
  <c r="P608" i="7" s="1"/>
  <c r="E608" i="7"/>
  <c r="D608" i="7"/>
  <c r="C608" i="7"/>
  <c r="B608" i="7"/>
  <c r="G607" i="7"/>
  <c r="F607" i="7"/>
  <c r="N607" i="7" s="1"/>
  <c r="E607" i="7"/>
  <c r="D607" i="7"/>
  <c r="C607" i="7"/>
  <c r="B607" i="7"/>
  <c r="G606" i="7"/>
  <c r="F606" i="7"/>
  <c r="P606" i="7" s="1"/>
  <c r="E606" i="7"/>
  <c r="D606" i="7"/>
  <c r="C606" i="7"/>
  <c r="B606" i="7"/>
  <c r="G605" i="7"/>
  <c r="F605" i="7"/>
  <c r="N605" i="7" s="1"/>
  <c r="E605" i="7"/>
  <c r="D605" i="7"/>
  <c r="C605" i="7"/>
  <c r="B605" i="7"/>
  <c r="G604" i="7"/>
  <c r="F604" i="7"/>
  <c r="P604" i="7" s="1"/>
  <c r="E604" i="7"/>
  <c r="D604" i="7"/>
  <c r="C604" i="7"/>
  <c r="B604" i="7"/>
  <c r="G603" i="7"/>
  <c r="F603" i="7"/>
  <c r="N603" i="7" s="1"/>
  <c r="E603" i="7"/>
  <c r="D603" i="7"/>
  <c r="C603" i="7"/>
  <c r="B603" i="7"/>
  <c r="G602" i="7"/>
  <c r="F602" i="7"/>
  <c r="P602" i="7" s="1"/>
  <c r="E602" i="7"/>
  <c r="D602" i="7"/>
  <c r="C602" i="7"/>
  <c r="B602" i="7"/>
  <c r="G601" i="7"/>
  <c r="F601" i="7"/>
  <c r="N601" i="7" s="1"/>
  <c r="E601" i="7"/>
  <c r="D601" i="7"/>
  <c r="C601" i="7"/>
  <c r="B601" i="7"/>
  <c r="G600" i="7"/>
  <c r="F600" i="7"/>
  <c r="P600" i="7" s="1"/>
  <c r="E600" i="7"/>
  <c r="D600" i="7"/>
  <c r="C600" i="7"/>
  <c r="B600" i="7"/>
  <c r="G599" i="7"/>
  <c r="F599" i="7"/>
  <c r="N599" i="7" s="1"/>
  <c r="E599" i="7"/>
  <c r="D599" i="7"/>
  <c r="C599" i="7"/>
  <c r="B599" i="7"/>
  <c r="A598" i="7"/>
  <c r="G596" i="7"/>
  <c r="F596" i="7"/>
  <c r="O596" i="7" s="1"/>
  <c r="E596" i="7"/>
  <c r="D596" i="7"/>
  <c r="C596" i="7"/>
  <c r="B596" i="7"/>
  <c r="G595" i="7"/>
  <c r="F595" i="7"/>
  <c r="M595" i="7" s="1"/>
  <c r="E595" i="7"/>
  <c r="D595" i="7"/>
  <c r="C595" i="7"/>
  <c r="B595" i="7"/>
  <c r="G594" i="7"/>
  <c r="F594" i="7"/>
  <c r="O594" i="7" s="1"/>
  <c r="E594" i="7"/>
  <c r="D594" i="7"/>
  <c r="C594" i="7"/>
  <c r="B594" i="7"/>
  <c r="G593" i="7"/>
  <c r="F593" i="7"/>
  <c r="M593" i="7" s="1"/>
  <c r="E593" i="7"/>
  <c r="D593" i="7"/>
  <c r="C593" i="7"/>
  <c r="B593" i="7"/>
  <c r="G592" i="7"/>
  <c r="F592" i="7"/>
  <c r="O592" i="7" s="1"/>
  <c r="E592" i="7"/>
  <c r="D592" i="7"/>
  <c r="C592" i="7"/>
  <c r="B592" i="7"/>
  <c r="G591" i="7"/>
  <c r="F591" i="7"/>
  <c r="M591" i="7" s="1"/>
  <c r="E591" i="7"/>
  <c r="D591" i="7"/>
  <c r="C591" i="7"/>
  <c r="B591" i="7"/>
  <c r="G590" i="7"/>
  <c r="F590" i="7"/>
  <c r="O590" i="7" s="1"/>
  <c r="E590" i="7"/>
  <c r="D590" i="7"/>
  <c r="C590" i="7"/>
  <c r="B590" i="7"/>
  <c r="A589" i="7"/>
  <c r="G587" i="7"/>
  <c r="F587" i="7"/>
  <c r="P587" i="7" s="1"/>
  <c r="E587" i="7"/>
  <c r="D587" i="7"/>
  <c r="C587" i="7"/>
  <c r="B587" i="7"/>
  <c r="G586" i="7"/>
  <c r="F586" i="7"/>
  <c r="N586" i="7" s="1"/>
  <c r="E586" i="7"/>
  <c r="D586" i="7"/>
  <c r="C586" i="7"/>
  <c r="B586" i="7"/>
  <c r="G585" i="7"/>
  <c r="F585" i="7"/>
  <c r="P585" i="7" s="1"/>
  <c r="E585" i="7"/>
  <c r="D585" i="7"/>
  <c r="C585" i="7"/>
  <c r="B585" i="7"/>
  <c r="G584" i="7"/>
  <c r="F584" i="7"/>
  <c r="N584" i="7" s="1"/>
  <c r="E584" i="7"/>
  <c r="D584" i="7"/>
  <c r="C584" i="7"/>
  <c r="B584" i="7"/>
  <c r="G583" i="7"/>
  <c r="F583" i="7"/>
  <c r="P583" i="7" s="1"/>
  <c r="E583" i="7"/>
  <c r="D583" i="7"/>
  <c r="C583" i="7"/>
  <c r="B583" i="7"/>
  <c r="G582" i="7"/>
  <c r="F582" i="7"/>
  <c r="N582" i="7" s="1"/>
  <c r="E582" i="7"/>
  <c r="D582" i="7"/>
  <c r="C582" i="7"/>
  <c r="B582" i="7"/>
  <c r="G581" i="7"/>
  <c r="F581" i="7"/>
  <c r="P581" i="7" s="1"/>
  <c r="E581" i="7"/>
  <c r="D581" i="7"/>
  <c r="C581" i="7"/>
  <c r="B581" i="7"/>
  <c r="G580" i="7"/>
  <c r="F580" i="7"/>
  <c r="N580" i="7" s="1"/>
  <c r="E580" i="7"/>
  <c r="D580" i="7"/>
  <c r="C580" i="7"/>
  <c r="B580" i="7"/>
  <c r="G579" i="7"/>
  <c r="F579" i="7"/>
  <c r="P579" i="7" s="1"/>
  <c r="E579" i="7"/>
  <c r="D579" i="7"/>
  <c r="C579" i="7"/>
  <c r="B579" i="7"/>
  <c r="G578" i="7"/>
  <c r="F578" i="7"/>
  <c r="N578" i="7" s="1"/>
  <c r="E578" i="7"/>
  <c r="D578" i="7"/>
  <c r="C578" i="7"/>
  <c r="B578" i="7"/>
  <c r="G577" i="7"/>
  <c r="F577" i="7"/>
  <c r="P577" i="7" s="1"/>
  <c r="E577" i="7"/>
  <c r="D577" i="7"/>
  <c r="C577" i="7"/>
  <c r="B577" i="7"/>
  <c r="G576" i="7"/>
  <c r="F576" i="7"/>
  <c r="N576" i="7" s="1"/>
  <c r="E576" i="7"/>
  <c r="D576" i="7"/>
  <c r="C576" i="7"/>
  <c r="B576" i="7"/>
  <c r="G575" i="7"/>
  <c r="F575" i="7"/>
  <c r="E575" i="7"/>
  <c r="D575" i="7"/>
  <c r="C575" i="7"/>
  <c r="B575" i="7"/>
  <c r="G574" i="7"/>
  <c r="F574" i="7"/>
  <c r="N574" i="7" s="1"/>
  <c r="E574" i="7"/>
  <c r="D574" i="7"/>
  <c r="C574" i="7"/>
  <c r="B574" i="7"/>
  <c r="G573" i="7"/>
  <c r="F573" i="7"/>
  <c r="P573" i="7" s="1"/>
  <c r="E573" i="7"/>
  <c r="D573" i="7"/>
  <c r="C573" i="7"/>
  <c r="B573" i="7"/>
  <c r="G572" i="7"/>
  <c r="F572" i="7"/>
  <c r="N572" i="7" s="1"/>
  <c r="E572" i="7"/>
  <c r="D572" i="7"/>
  <c r="C572" i="7"/>
  <c r="B572" i="7"/>
  <c r="G571" i="7"/>
  <c r="F571" i="7"/>
  <c r="E571" i="7"/>
  <c r="D571" i="7"/>
  <c r="C571" i="7"/>
  <c r="B571" i="7"/>
  <c r="G570" i="7"/>
  <c r="F570" i="7"/>
  <c r="N570" i="7" s="1"/>
  <c r="E570" i="7"/>
  <c r="D570" i="7"/>
  <c r="C570" i="7"/>
  <c r="B570" i="7"/>
  <c r="G569" i="7"/>
  <c r="F569" i="7"/>
  <c r="P569" i="7" s="1"/>
  <c r="E569" i="7"/>
  <c r="D569" i="7"/>
  <c r="C569" i="7"/>
  <c r="B569" i="7"/>
  <c r="G568" i="7"/>
  <c r="F568" i="7"/>
  <c r="N568" i="7" s="1"/>
  <c r="E568" i="7"/>
  <c r="D568" i="7"/>
  <c r="C568" i="7"/>
  <c r="B568" i="7"/>
  <c r="G567" i="7"/>
  <c r="F567" i="7"/>
  <c r="E567" i="7"/>
  <c r="D567" i="7"/>
  <c r="C567" i="7"/>
  <c r="B567" i="7"/>
  <c r="G566" i="7"/>
  <c r="F566" i="7"/>
  <c r="N566" i="7" s="1"/>
  <c r="E566" i="7"/>
  <c r="D566" i="7"/>
  <c r="C566" i="7"/>
  <c r="B566" i="7"/>
  <c r="A565" i="7"/>
  <c r="G563" i="7"/>
  <c r="F563" i="7"/>
  <c r="O563" i="7" s="1"/>
  <c r="E563" i="7"/>
  <c r="D563" i="7"/>
  <c r="C563" i="7"/>
  <c r="B563" i="7"/>
  <c r="G562" i="7"/>
  <c r="F562" i="7"/>
  <c r="M562" i="7" s="1"/>
  <c r="E562" i="7"/>
  <c r="D562" i="7"/>
  <c r="C562" i="7"/>
  <c r="B562" i="7"/>
  <c r="G561" i="7"/>
  <c r="F561" i="7"/>
  <c r="O561" i="7" s="1"/>
  <c r="E561" i="7"/>
  <c r="D561" i="7"/>
  <c r="C561" i="7"/>
  <c r="B561" i="7"/>
  <c r="G560" i="7"/>
  <c r="F560" i="7"/>
  <c r="M560" i="7" s="1"/>
  <c r="E560" i="7"/>
  <c r="D560" i="7"/>
  <c r="C560" i="7"/>
  <c r="B560" i="7"/>
  <c r="G559" i="7"/>
  <c r="F559" i="7"/>
  <c r="O559" i="7" s="1"/>
  <c r="E559" i="7"/>
  <c r="D559" i="7"/>
  <c r="C559" i="7"/>
  <c r="B559" i="7"/>
  <c r="G558" i="7"/>
  <c r="F558" i="7"/>
  <c r="M558" i="7" s="1"/>
  <c r="E558" i="7"/>
  <c r="D558" i="7"/>
  <c r="C558" i="7"/>
  <c r="B558" i="7"/>
  <c r="G557" i="7"/>
  <c r="F557" i="7"/>
  <c r="O557" i="7" s="1"/>
  <c r="E557" i="7"/>
  <c r="D557" i="7"/>
  <c r="C557" i="7"/>
  <c r="B557" i="7"/>
  <c r="G556" i="7"/>
  <c r="F556" i="7"/>
  <c r="M556" i="7" s="1"/>
  <c r="E556" i="7"/>
  <c r="D556" i="7"/>
  <c r="C556" i="7"/>
  <c r="B556" i="7"/>
  <c r="G555" i="7"/>
  <c r="F555" i="7"/>
  <c r="O555" i="7" s="1"/>
  <c r="E555" i="7"/>
  <c r="D555" i="7"/>
  <c r="C555" i="7"/>
  <c r="B555" i="7"/>
  <c r="G554" i="7"/>
  <c r="F554" i="7"/>
  <c r="M554" i="7" s="1"/>
  <c r="E554" i="7"/>
  <c r="D554" i="7"/>
  <c r="C554" i="7"/>
  <c r="B554" i="7"/>
  <c r="G553" i="7"/>
  <c r="F553" i="7"/>
  <c r="O553" i="7" s="1"/>
  <c r="E553" i="7"/>
  <c r="D553" i="7"/>
  <c r="C553" i="7"/>
  <c r="B553" i="7"/>
  <c r="G552" i="7"/>
  <c r="F552" i="7"/>
  <c r="M552" i="7" s="1"/>
  <c r="E552" i="7"/>
  <c r="D552" i="7"/>
  <c r="C552" i="7"/>
  <c r="B552" i="7"/>
  <c r="G551" i="7"/>
  <c r="F551" i="7"/>
  <c r="O551" i="7" s="1"/>
  <c r="E551" i="7"/>
  <c r="D551" i="7"/>
  <c r="C551" i="7"/>
  <c r="B551" i="7"/>
  <c r="G550" i="7"/>
  <c r="F550" i="7"/>
  <c r="M550" i="7" s="1"/>
  <c r="E550" i="7"/>
  <c r="D550" i="7"/>
  <c r="C550" i="7"/>
  <c r="B550" i="7"/>
  <c r="G549" i="7"/>
  <c r="F549" i="7"/>
  <c r="O549" i="7" s="1"/>
  <c r="E549" i="7"/>
  <c r="D549" i="7"/>
  <c r="C549" i="7"/>
  <c r="B549" i="7"/>
  <c r="G548" i="7"/>
  <c r="F548" i="7"/>
  <c r="M548" i="7" s="1"/>
  <c r="E548" i="7"/>
  <c r="D548" i="7"/>
  <c r="C548" i="7"/>
  <c r="B548" i="7"/>
  <c r="G547" i="7"/>
  <c r="F547" i="7"/>
  <c r="O547" i="7" s="1"/>
  <c r="E547" i="7"/>
  <c r="D547" i="7"/>
  <c r="C547" i="7"/>
  <c r="B547" i="7"/>
  <c r="G546" i="7"/>
  <c r="F546" i="7"/>
  <c r="M546" i="7" s="1"/>
  <c r="E546" i="7"/>
  <c r="D546" i="7"/>
  <c r="C546" i="7"/>
  <c r="B546" i="7"/>
  <c r="G545" i="7"/>
  <c r="F545" i="7"/>
  <c r="O545" i="7" s="1"/>
  <c r="E545" i="7"/>
  <c r="D545" i="7"/>
  <c r="C545" i="7"/>
  <c r="B545" i="7"/>
  <c r="G544" i="7"/>
  <c r="F544" i="7"/>
  <c r="M544" i="7" s="1"/>
  <c r="E544" i="7"/>
  <c r="D544" i="7"/>
  <c r="C544" i="7"/>
  <c r="B544" i="7"/>
  <c r="G543" i="7"/>
  <c r="F543" i="7"/>
  <c r="O543" i="7" s="1"/>
  <c r="E543" i="7"/>
  <c r="D543" i="7"/>
  <c r="C543" i="7"/>
  <c r="B543" i="7"/>
  <c r="G542" i="7"/>
  <c r="F542" i="7"/>
  <c r="M542" i="7" s="1"/>
  <c r="E542" i="7"/>
  <c r="D542" i="7"/>
  <c r="C542" i="7"/>
  <c r="B542" i="7"/>
  <c r="G541" i="7"/>
  <c r="F541" i="7"/>
  <c r="O541" i="7" s="1"/>
  <c r="E541" i="7"/>
  <c r="D541" i="7"/>
  <c r="C541" i="7"/>
  <c r="B541" i="7"/>
  <c r="G540" i="7"/>
  <c r="F540" i="7"/>
  <c r="M540" i="7" s="1"/>
  <c r="E540" i="7"/>
  <c r="D540" i="7"/>
  <c r="C540" i="7"/>
  <c r="B540" i="7"/>
  <c r="G539" i="7"/>
  <c r="F539" i="7"/>
  <c r="O539" i="7" s="1"/>
  <c r="E539" i="7"/>
  <c r="D539" i="7"/>
  <c r="C539" i="7"/>
  <c r="B539" i="7"/>
  <c r="G538" i="7"/>
  <c r="F538" i="7"/>
  <c r="M538" i="7" s="1"/>
  <c r="E538" i="7"/>
  <c r="D538" i="7"/>
  <c r="C538" i="7"/>
  <c r="B538" i="7"/>
  <c r="G537" i="7"/>
  <c r="F537" i="7"/>
  <c r="O537" i="7" s="1"/>
  <c r="E537" i="7"/>
  <c r="D537" i="7"/>
  <c r="C537" i="7"/>
  <c r="B537" i="7"/>
  <c r="A536" i="7"/>
  <c r="G534" i="7"/>
  <c r="F534" i="7"/>
  <c r="P534" i="7" s="1"/>
  <c r="E534" i="7"/>
  <c r="D534" i="7"/>
  <c r="C534" i="7"/>
  <c r="B534" i="7"/>
  <c r="G533" i="7"/>
  <c r="F533" i="7"/>
  <c r="N533" i="7" s="1"/>
  <c r="E533" i="7"/>
  <c r="D533" i="7"/>
  <c r="C533" i="7"/>
  <c r="B533" i="7"/>
  <c r="G532" i="7"/>
  <c r="F532" i="7"/>
  <c r="P532" i="7" s="1"/>
  <c r="E532" i="7"/>
  <c r="D532" i="7"/>
  <c r="C532" i="7"/>
  <c r="B532" i="7"/>
  <c r="G531" i="7"/>
  <c r="F531" i="7"/>
  <c r="N531" i="7" s="1"/>
  <c r="E531" i="7"/>
  <c r="D531" i="7"/>
  <c r="C531" i="7"/>
  <c r="B531" i="7"/>
  <c r="G530" i="7"/>
  <c r="F530" i="7"/>
  <c r="P530" i="7" s="1"/>
  <c r="E530" i="7"/>
  <c r="D530" i="7"/>
  <c r="C530" i="7"/>
  <c r="B530" i="7"/>
  <c r="G529" i="7"/>
  <c r="F529" i="7"/>
  <c r="N529" i="7" s="1"/>
  <c r="E529" i="7"/>
  <c r="D529" i="7"/>
  <c r="C529" i="7"/>
  <c r="B529" i="7"/>
  <c r="G528" i="7"/>
  <c r="F528" i="7"/>
  <c r="P528" i="7" s="1"/>
  <c r="E528" i="7"/>
  <c r="D528" i="7"/>
  <c r="C528" i="7"/>
  <c r="B528" i="7"/>
  <c r="G527" i="7"/>
  <c r="F527" i="7"/>
  <c r="N527" i="7" s="1"/>
  <c r="E527" i="7"/>
  <c r="D527" i="7"/>
  <c r="C527" i="7"/>
  <c r="B527" i="7"/>
  <c r="G526" i="7"/>
  <c r="F526" i="7"/>
  <c r="P526" i="7" s="1"/>
  <c r="E526" i="7"/>
  <c r="D526" i="7"/>
  <c r="C526" i="7"/>
  <c r="B526" i="7"/>
  <c r="G525" i="7"/>
  <c r="F525" i="7"/>
  <c r="N525" i="7" s="1"/>
  <c r="E525" i="7"/>
  <c r="D525" i="7"/>
  <c r="C525" i="7"/>
  <c r="B525" i="7"/>
  <c r="G524" i="7"/>
  <c r="F524" i="7"/>
  <c r="P524" i="7" s="1"/>
  <c r="E524" i="7"/>
  <c r="D524" i="7"/>
  <c r="C524" i="7"/>
  <c r="B524" i="7"/>
  <c r="G523" i="7"/>
  <c r="F523" i="7"/>
  <c r="N523" i="7" s="1"/>
  <c r="E523" i="7"/>
  <c r="D523" i="7"/>
  <c r="C523" i="7"/>
  <c r="B523" i="7"/>
  <c r="G522" i="7"/>
  <c r="F522" i="7"/>
  <c r="P522" i="7" s="1"/>
  <c r="E522" i="7"/>
  <c r="D522" i="7"/>
  <c r="C522" i="7"/>
  <c r="B522" i="7"/>
  <c r="G521" i="7"/>
  <c r="F521" i="7"/>
  <c r="N521" i="7" s="1"/>
  <c r="E521" i="7"/>
  <c r="D521" i="7"/>
  <c r="C521" i="7"/>
  <c r="B521" i="7"/>
  <c r="G520" i="7"/>
  <c r="F520" i="7"/>
  <c r="P520" i="7" s="1"/>
  <c r="E520" i="7"/>
  <c r="D520" i="7"/>
  <c r="C520" i="7"/>
  <c r="B520" i="7"/>
  <c r="G519" i="7"/>
  <c r="F519" i="7"/>
  <c r="N519" i="7" s="1"/>
  <c r="E519" i="7"/>
  <c r="D519" i="7"/>
  <c r="C519" i="7"/>
  <c r="B519" i="7"/>
  <c r="G518" i="7"/>
  <c r="F518" i="7"/>
  <c r="P518" i="7" s="1"/>
  <c r="E518" i="7"/>
  <c r="D518" i="7"/>
  <c r="C518" i="7"/>
  <c r="B518" i="7"/>
  <c r="G517" i="7"/>
  <c r="F517" i="7"/>
  <c r="N517" i="7" s="1"/>
  <c r="E517" i="7"/>
  <c r="D517" i="7"/>
  <c r="C517" i="7"/>
  <c r="B517" i="7"/>
  <c r="G516" i="7"/>
  <c r="F516" i="7"/>
  <c r="P516" i="7" s="1"/>
  <c r="E516" i="7"/>
  <c r="D516" i="7"/>
  <c r="C516" i="7"/>
  <c r="B516" i="7"/>
  <c r="A515" i="7"/>
  <c r="G513" i="7"/>
  <c r="F513" i="7"/>
  <c r="N513" i="7" s="1"/>
  <c r="E513" i="7"/>
  <c r="D513" i="7"/>
  <c r="C513" i="7"/>
  <c r="B513" i="7"/>
  <c r="G512" i="7"/>
  <c r="F512" i="7"/>
  <c r="E512" i="7"/>
  <c r="D512" i="7"/>
  <c r="C512" i="7"/>
  <c r="B512" i="7"/>
  <c r="G511" i="7"/>
  <c r="F511" i="7"/>
  <c r="M511" i="7" s="1"/>
  <c r="E511" i="7"/>
  <c r="D511" i="7"/>
  <c r="C511" i="7"/>
  <c r="B511" i="7"/>
  <c r="G510" i="7"/>
  <c r="F510" i="7"/>
  <c r="O510" i="7" s="1"/>
  <c r="E510" i="7"/>
  <c r="D510" i="7"/>
  <c r="C510" i="7"/>
  <c r="B510" i="7"/>
  <c r="G509" i="7"/>
  <c r="F509" i="7"/>
  <c r="E509" i="7"/>
  <c r="D509" i="7"/>
  <c r="C509" i="7"/>
  <c r="B509" i="7"/>
  <c r="G508" i="7"/>
  <c r="F508" i="7"/>
  <c r="M508" i="7" s="1"/>
  <c r="E508" i="7"/>
  <c r="D508" i="7"/>
  <c r="C508" i="7"/>
  <c r="B508" i="7"/>
  <c r="G507" i="7"/>
  <c r="F507" i="7"/>
  <c r="M507" i="7" s="1"/>
  <c r="E507" i="7"/>
  <c r="D507" i="7"/>
  <c r="C507" i="7"/>
  <c r="B507" i="7"/>
  <c r="G506" i="7"/>
  <c r="F506" i="7"/>
  <c r="E506" i="7"/>
  <c r="D506" i="7"/>
  <c r="C506" i="7"/>
  <c r="B506" i="7"/>
  <c r="G505" i="7"/>
  <c r="F505" i="7"/>
  <c r="L505" i="7" s="1"/>
  <c r="E505" i="7"/>
  <c r="D505" i="7"/>
  <c r="C505" i="7"/>
  <c r="B505" i="7"/>
  <c r="G504" i="7"/>
  <c r="F504" i="7"/>
  <c r="L504" i="7" s="1"/>
  <c r="E504" i="7"/>
  <c r="D504" i="7"/>
  <c r="C504" i="7"/>
  <c r="B504" i="7"/>
  <c r="G503" i="7"/>
  <c r="F503" i="7"/>
  <c r="M503" i="7" s="1"/>
  <c r="E503" i="7"/>
  <c r="D503" i="7"/>
  <c r="C503" i="7"/>
  <c r="B503" i="7"/>
  <c r="G502" i="7"/>
  <c r="F502" i="7"/>
  <c r="O502" i="7" s="1"/>
  <c r="E502" i="7"/>
  <c r="D502" i="7"/>
  <c r="C502" i="7"/>
  <c r="B502" i="7"/>
  <c r="G501" i="7"/>
  <c r="F501" i="7"/>
  <c r="N501" i="7" s="1"/>
  <c r="E501" i="7"/>
  <c r="D501" i="7"/>
  <c r="C501" i="7"/>
  <c r="B501" i="7"/>
  <c r="A500" i="7"/>
  <c r="C79" i="7" s="1"/>
  <c r="G498" i="7"/>
  <c r="F498" i="7"/>
  <c r="N498" i="7" s="1"/>
  <c r="E498" i="7"/>
  <c r="D498" i="7"/>
  <c r="C498" i="7"/>
  <c r="B498" i="7"/>
  <c r="G497" i="7"/>
  <c r="F497" i="7"/>
  <c r="H497" i="7" s="1"/>
  <c r="E497" i="7"/>
  <c r="D497" i="7"/>
  <c r="C497" i="7"/>
  <c r="B497" i="7"/>
  <c r="G496" i="7"/>
  <c r="F496" i="7"/>
  <c r="N496" i="7" s="1"/>
  <c r="E496" i="7"/>
  <c r="D496" i="7"/>
  <c r="C496" i="7"/>
  <c r="B496" i="7"/>
  <c r="G495" i="7"/>
  <c r="F495" i="7"/>
  <c r="P495" i="7" s="1"/>
  <c r="E495" i="7"/>
  <c r="D495" i="7"/>
  <c r="C495" i="7"/>
  <c r="B495" i="7"/>
  <c r="G494" i="7"/>
  <c r="F494" i="7"/>
  <c r="N494" i="7" s="1"/>
  <c r="E494" i="7"/>
  <c r="D494" i="7"/>
  <c r="C494" i="7"/>
  <c r="B494" i="7"/>
  <c r="G493" i="7"/>
  <c r="F493" i="7"/>
  <c r="H493" i="7" s="1"/>
  <c r="E493" i="7"/>
  <c r="D493" i="7"/>
  <c r="C493" i="7"/>
  <c r="B493" i="7"/>
  <c r="G492" i="7"/>
  <c r="F492" i="7"/>
  <c r="N492" i="7" s="1"/>
  <c r="E492" i="7"/>
  <c r="D492" i="7"/>
  <c r="C492" i="7"/>
  <c r="B492" i="7"/>
  <c r="G491" i="7"/>
  <c r="F491" i="7"/>
  <c r="P491" i="7" s="1"/>
  <c r="E491" i="7"/>
  <c r="D491" i="7"/>
  <c r="C491" i="7"/>
  <c r="B491" i="7"/>
  <c r="G490" i="7"/>
  <c r="F490" i="7"/>
  <c r="N490" i="7" s="1"/>
  <c r="E490" i="7"/>
  <c r="D490" i="7"/>
  <c r="C490" i="7"/>
  <c r="B490" i="7"/>
  <c r="G489" i="7"/>
  <c r="F489" i="7"/>
  <c r="E489" i="7"/>
  <c r="D489" i="7"/>
  <c r="C489" i="7"/>
  <c r="B489" i="7"/>
  <c r="G488" i="7"/>
  <c r="F488" i="7"/>
  <c r="O488" i="7" s="1"/>
  <c r="E488" i="7"/>
  <c r="D488" i="7"/>
  <c r="C488" i="7"/>
  <c r="B488" i="7"/>
  <c r="G487" i="7"/>
  <c r="F487" i="7"/>
  <c r="P487" i="7" s="1"/>
  <c r="E487" i="7"/>
  <c r="D487" i="7"/>
  <c r="C487" i="7"/>
  <c r="B487" i="7"/>
  <c r="G486" i="7"/>
  <c r="F486" i="7"/>
  <c r="O486" i="7" s="1"/>
  <c r="E486" i="7"/>
  <c r="D486" i="7"/>
  <c r="C486" i="7"/>
  <c r="B486" i="7"/>
  <c r="G485" i="7"/>
  <c r="F485" i="7"/>
  <c r="P485" i="7" s="1"/>
  <c r="E485" i="7"/>
  <c r="D485" i="7"/>
  <c r="C485" i="7"/>
  <c r="B485" i="7"/>
  <c r="G484" i="7"/>
  <c r="F484" i="7"/>
  <c r="O484" i="7" s="1"/>
  <c r="E484" i="7"/>
  <c r="D484" i="7"/>
  <c r="C484" i="7"/>
  <c r="B484" i="7"/>
  <c r="G483" i="7"/>
  <c r="F483" i="7"/>
  <c r="P483" i="7" s="1"/>
  <c r="E483" i="7"/>
  <c r="D483" i="7"/>
  <c r="C483" i="7"/>
  <c r="B483" i="7"/>
  <c r="G482" i="7"/>
  <c r="F482" i="7"/>
  <c r="O482" i="7" s="1"/>
  <c r="E482" i="7"/>
  <c r="D482" i="7"/>
  <c r="C482" i="7"/>
  <c r="B482" i="7"/>
  <c r="G481" i="7"/>
  <c r="F481" i="7"/>
  <c r="P481" i="7" s="1"/>
  <c r="E481" i="7"/>
  <c r="D481" i="7"/>
  <c r="C481" i="7"/>
  <c r="B481" i="7"/>
  <c r="G480" i="7"/>
  <c r="F480" i="7"/>
  <c r="O480" i="7" s="1"/>
  <c r="E480" i="7"/>
  <c r="D480" i="7"/>
  <c r="C480" i="7"/>
  <c r="B480" i="7"/>
  <c r="G479" i="7"/>
  <c r="F479" i="7"/>
  <c r="P479" i="7" s="1"/>
  <c r="E479" i="7"/>
  <c r="D479" i="7"/>
  <c r="C479" i="7"/>
  <c r="B479" i="7"/>
  <c r="G478" i="7"/>
  <c r="F478" i="7"/>
  <c r="O478" i="7" s="1"/>
  <c r="E478" i="7"/>
  <c r="D478" i="7"/>
  <c r="C478" i="7"/>
  <c r="B478" i="7"/>
  <c r="G477" i="7"/>
  <c r="F477" i="7"/>
  <c r="P477" i="7" s="1"/>
  <c r="E477" i="7"/>
  <c r="D477" i="7"/>
  <c r="C477" i="7"/>
  <c r="B477" i="7"/>
  <c r="G476" i="7"/>
  <c r="F476" i="7"/>
  <c r="O476" i="7" s="1"/>
  <c r="E476" i="7"/>
  <c r="D476" i="7"/>
  <c r="C476" i="7"/>
  <c r="B476" i="7"/>
  <c r="G475" i="7"/>
  <c r="F475" i="7"/>
  <c r="P475" i="7" s="1"/>
  <c r="E475" i="7"/>
  <c r="D475" i="7"/>
  <c r="C475" i="7"/>
  <c r="B475" i="7"/>
  <c r="G474" i="7"/>
  <c r="F474" i="7"/>
  <c r="O474" i="7" s="1"/>
  <c r="E474" i="7"/>
  <c r="D474" i="7"/>
  <c r="C474" i="7"/>
  <c r="B474" i="7"/>
  <c r="G473" i="7"/>
  <c r="F473" i="7"/>
  <c r="P473" i="7" s="1"/>
  <c r="E473" i="7"/>
  <c r="D473" i="7"/>
  <c r="C473" i="7"/>
  <c r="B473" i="7"/>
  <c r="A472" i="7"/>
  <c r="G470" i="7"/>
  <c r="F470" i="7"/>
  <c r="M470" i="7" s="1"/>
  <c r="E470" i="7"/>
  <c r="D470" i="7"/>
  <c r="C470" i="7"/>
  <c r="B470" i="7"/>
  <c r="G469" i="7"/>
  <c r="F469" i="7"/>
  <c r="O469" i="7" s="1"/>
  <c r="E469" i="7"/>
  <c r="D469" i="7"/>
  <c r="C469" i="7"/>
  <c r="B469" i="7"/>
  <c r="G468" i="7"/>
  <c r="F468" i="7"/>
  <c r="M468" i="7" s="1"/>
  <c r="E468" i="7"/>
  <c r="D468" i="7"/>
  <c r="C468" i="7"/>
  <c r="B468" i="7"/>
  <c r="G467" i="7"/>
  <c r="F467" i="7"/>
  <c r="O467" i="7" s="1"/>
  <c r="E467" i="7"/>
  <c r="D467" i="7"/>
  <c r="C467" i="7"/>
  <c r="B467" i="7"/>
  <c r="G466" i="7"/>
  <c r="F466" i="7"/>
  <c r="M466" i="7" s="1"/>
  <c r="E466" i="7"/>
  <c r="D466" i="7"/>
  <c r="C466" i="7"/>
  <c r="B466" i="7"/>
  <c r="A465" i="7"/>
  <c r="C65" i="7" s="1"/>
  <c r="G463" i="7"/>
  <c r="F463" i="7"/>
  <c r="O463" i="7" s="1"/>
  <c r="E463" i="7"/>
  <c r="D463" i="7"/>
  <c r="C463" i="7"/>
  <c r="B463" i="7"/>
  <c r="G462" i="7"/>
  <c r="F462" i="7"/>
  <c r="P462" i="7" s="1"/>
  <c r="E462" i="7"/>
  <c r="D462" i="7"/>
  <c r="C462" i="7"/>
  <c r="B462" i="7"/>
  <c r="G461" i="7"/>
  <c r="F461" i="7"/>
  <c r="O461" i="7" s="1"/>
  <c r="E461" i="7"/>
  <c r="D461" i="7"/>
  <c r="C461" i="7"/>
  <c r="B461" i="7"/>
  <c r="G460" i="7"/>
  <c r="F460" i="7"/>
  <c r="P460" i="7" s="1"/>
  <c r="E460" i="7"/>
  <c r="D460" i="7"/>
  <c r="C460" i="7"/>
  <c r="B460" i="7"/>
  <c r="G459" i="7"/>
  <c r="F459" i="7"/>
  <c r="O459" i="7" s="1"/>
  <c r="E459" i="7"/>
  <c r="D459" i="7"/>
  <c r="C459" i="7"/>
  <c r="B459" i="7"/>
  <c r="G458" i="7"/>
  <c r="F458" i="7"/>
  <c r="E458" i="7"/>
  <c r="D458" i="7"/>
  <c r="C458" i="7"/>
  <c r="B458" i="7"/>
  <c r="G457" i="7"/>
  <c r="F457" i="7"/>
  <c r="H457" i="7" s="1"/>
  <c r="E457" i="7"/>
  <c r="D457" i="7"/>
  <c r="C457" i="7"/>
  <c r="B457" i="7"/>
  <c r="G456" i="7"/>
  <c r="F456" i="7"/>
  <c r="E456" i="7"/>
  <c r="D456" i="7"/>
  <c r="C456" i="7"/>
  <c r="B456" i="7"/>
  <c r="G455" i="7"/>
  <c r="F455" i="7"/>
  <c r="H455" i="7" s="1"/>
  <c r="E455" i="7"/>
  <c r="D455" i="7"/>
  <c r="C455" i="7"/>
  <c r="B455" i="7"/>
  <c r="G454" i="7"/>
  <c r="F454" i="7"/>
  <c r="E454" i="7"/>
  <c r="D454" i="7"/>
  <c r="C454" i="7"/>
  <c r="B454" i="7"/>
  <c r="G453" i="7"/>
  <c r="F453" i="7"/>
  <c r="H453" i="7" s="1"/>
  <c r="E453" i="7"/>
  <c r="D453" i="7"/>
  <c r="C453" i="7"/>
  <c r="B453" i="7"/>
  <c r="G452" i="7"/>
  <c r="F452" i="7"/>
  <c r="E452" i="7"/>
  <c r="D452" i="7"/>
  <c r="C452" i="7"/>
  <c r="B452" i="7"/>
  <c r="A451" i="7"/>
  <c r="G449" i="7"/>
  <c r="F449" i="7"/>
  <c r="M449" i="7" s="1"/>
  <c r="E449" i="7"/>
  <c r="D449" i="7"/>
  <c r="C449" i="7"/>
  <c r="B449" i="7"/>
  <c r="G448" i="7"/>
  <c r="F448" i="7"/>
  <c r="O448" i="7" s="1"/>
  <c r="E448" i="7"/>
  <c r="D448" i="7"/>
  <c r="C448" i="7"/>
  <c r="B448" i="7"/>
  <c r="G447" i="7"/>
  <c r="F447" i="7"/>
  <c r="M447" i="7" s="1"/>
  <c r="E447" i="7"/>
  <c r="D447" i="7"/>
  <c r="C447" i="7"/>
  <c r="B447" i="7"/>
  <c r="G446" i="7"/>
  <c r="F446" i="7"/>
  <c r="O446" i="7" s="1"/>
  <c r="E446" i="7"/>
  <c r="D446" i="7"/>
  <c r="C446" i="7"/>
  <c r="B446" i="7"/>
  <c r="G445" i="7"/>
  <c r="F445" i="7"/>
  <c r="E445" i="7"/>
  <c r="D445" i="7"/>
  <c r="C445" i="7"/>
  <c r="B445" i="7"/>
  <c r="G444" i="7"/>
  <c r="F444" i="7"/>
  <c r="O444" i="7" s="1"/>
  <c r="E444" i="7"/>
  <c r="D444" i="7"/>
  <c r="C444" i="7"/>
  <c r="B444" i="7"/>
  <c r="G443" i="7"/>
  <c r="F443" i="7"/>
  <c r="M443" i="7" s="1"/>
  <c r="E443" i="7"/>
  <c r="D443" i="7"/>
  <c r="C443" i="7"/>
  <c r="B443" i="7"/>
  <c r="G442" i="7"/>
  <c r="F442" i="7"/>
  <c r="O442" i="7" s="1"/>
  <c r="E442" i="7"/>
  <c r="D442" i="7"/>
  <c r="C442" i="7"/>
  <c r="B442" i="7"/>
  <c r="G441" i="7"/>
  <c r="F441" i="7"/>
  <c r="M441" i="7" s="1"/>
  <c r="E441" i="7"/>
  <c r="D441" i="7"/>
  <c r="C441" i="7"/>
  <c r="B441" i="7"/>
  <c r="G440" i="7"/>
  <c r="F440" i="7"/>
  <c r="O440" i="7" s="1"/>
  <c r="E440" i="7"/>
  <c r="D440" i="7"/>
  <c r="C440" i="7"/>
  <c r="B440" i="7"/>
  <c r="G439" i="7"/>
  <c r="F439" i="7"/>
  <c r="M439" i="7" s="1"/>
  <c r="E439" i="7"/>
  <c r="D439" i="7"/>
  <c r="C439" i="7"/>
  <c r="B439" i="7"/>
  <c r="G438" i="7"/>
  <c r="F438" i="7"/>
  <c r="O438" i="7" s="1"/>
  <c r="E438" i="7"/>
  <c r="D438" i="7"/>
  <c r="C438" i="7"/>
  <c r="B438" i="7"/>
  <c r="G437" i="7"/>
  <c r="F437" i="7"/>
  <c r="M437" i="7" s="1"/>
  <c r="E437" i="7"/>
  <c r="D437" i="7"/>
  <c r="C437" i="7"/>
  <c r="B437" i="7"/>
  <c r="G436" i="7"/>
  <c r="F436" i="7"/>
  <c r="O436" i="7" s="1"/>
  <c r="E436" i="7"/>
  <c r="D436" i="7"/>
  <c r="C436" i="7"/>
  <c r="B436" i="7"/>
  <c r="A435" i="7"/>
  <c r="C20" i="7" s="1"/>
  <c r="G433" i="7"/>
  <c r="F433" i="7"/>
  <c r="E433" i="7"/>
  <c r="D433" i="7"/>
  <c r="C433" i="7"/>
  <c r="B433" i="7"/>
  <c r="G432" i="7"/>
  <c r="F432" i="7"/>
  <c r="H432" i="7" s="1"/>
  <c r="E432" i="7"/>
  <c r="D432" i="7"/>
  <c r="C432" i="7"/>
  <c r="B432" i="7"/>
  <c r="G431" i="7"/>
  <c r="F431" i="7"/>
  <c r="H431" i="7" s="1"/>
  <c r="E431" i="7"/>
  <c r="D431" i="7"/>
  <c r="C431" i="7"/>
  <c r="B431" i="7"/>
  <c r="G430" i="7"/>
  <c r="F430" i="7"/>
  <c r="O430" i="7" s="1"/>
  <c r="E430" i="7"/>
  <c r="D430" i="7"/>
  <c r="C430" i="7"/>
  <c r="B430" i="7"/>
  <c r="G429" i="7"/>
  <c r="F429" i="7"/>
  <c r="O429" i="7" s="1"/>
  <c r="E429" i="7"/>
  <c r="D429" i="7"/>
  <c r="C429" i="7"/>
  <c r="B429" i="7"/>
  <c r="G428" i="7"/>
  <c r="F428" i="7"/>
  <c r="H428" i="7" s="1"/>
  <c r="E428" i="7"/>
  <c r="D428" i="7"/>
  <c r="C428" i="7"/>
  <c r="B428" i="7"/>
  <c r="G427" i="7"/>
  <c r="F427" i="7"/>
  <c r="N427" i="7" s="1"/>
  <c r="E427" i="7"/>
  <c r="D427" i="7"/>
  <c r="C427" i="7"/>
  <c r="B427" i="7"/>
  <c r="G426" i="7"/>
  <c r="F426" i="7"/>
  <c r="P426" i="7" s="1"/>
  <c r="E426" i="7"/>
  <c r="D426" i="7"/>
  <c r="C426" i="7"/>
  <c r="B426" i="7"/>
  <c r="G425" i="7"/>
  <c r="F425" i="7"/>
  <c r="I425" i="7" s="1"/>
  <c r="E425" i="7"/>
  <c r="D425" i="7"/>
  <c r="C425" i="7"/>
  <c r="B425" i="7"/>
  <c r="G424" i="7"/>
  <c r="F424" i="7"/>
  <c r="P424" i="7" s="1"/>
  <c r="E424" i="7"/>
  <c r="D424" i="7"/>
  <c r="C424" i="7"/>
  <c r="B424" i="7"/>
  <c r="G423" i="7"/>
  <c r="F423" i="7"/>
  <c r="H423" i="7" s="1"/>
  <c r="E423" i="7"/>
  <c r="D423" i="7"/>
  <c r="C423" i="7"/>
  <c r="B423" i="7"/>
  <c r="G422" i="7"/>
  <c r="F422" i="7"/>
  <c r="O422" i="7" s="1"/>
  <c r="E422" i="7"/>
  <c r="D422" i="7"/>
  <c r="C422" i="7"/>
  <c r="B422" i="7"/>
  <c r="G421" i="7"/>
  <c r="F421" i="7"/>
  <c r="O421" i="7" s="1"/>
  <c r="E421" i="7"/>
  <c r="D421" i="7"/>
  <c r="C421" i="7"/>
  <c r="B421" i="7"/>
  <c r="A420" i="7"/>
  <c r="G418" i="7"/>
  <c r="F418" i="7"/>
  <c r="E418" i="7"/>
  <c r="D418" i="7"/>
  <c r="C418" i="7"/>
  <c r="B418" i="7"/>
  <c r="G417" i="7"/>
  <c r="F417" i="7"/>
  <c r="O417" i="7" s="1"/>
  <c r="E417" i="7"/>
  <c r="D417" i="7"/>
  <c r="C417" i="7"/>
  <c r="B417" i="7"/>
  <c r="G416" i="7"/>
  <c r="F416" i="7"/>
  <c r="E416" i="7"/>
  <c r="D416" i="7"/>
  <c r="C416" i="7"/>
  <c r="B416" i="7"/>
  <c r="G415" i="7"/>
  <c r="F415" i="7"/>
  <c r="O415" i="7" s="1"/>
  <c r="E415" i="7"/>
  <c r="D415" i="7"/>
  <c r="C415" i="7"/>
  <c r="B415" i="7"/>
  <c r="G414" i="7"/>
  <c r="F414" i="7"/>
  <c r="E414" i="7"/>
  <c r="D414" i="7"/>
  <c r="C414" i="7"/>
  <c r="B414" i="7"/>
  <c r="G413" i="7"/>
  <c r="F413" i="7"/>
  <c r="O413" i="7" s="1"/>
  <c r="E413" i="7"/>
  <c r="D413" i="7"/>
  <c r="C413" i="7"/>
  <c r="B413" i="7"/>
  <c r="G412" i="7"/>
  <c r="F412" i="7"/>
  <c r="E412" i="7"/>
  <c r="D412" i="7"/>
  <c r="C412" i="7"/>
  <c r="B412" i="7"/>
  <c r="G411" i="7"/>
  <c r="F411" i="7"/>
  <c r="P411" i="7" s="1"/>
  <c r="E411" i="7"/>
  <c r="D411" i="7"/>
  <c r="C411" i="7"/>
  <c r="B411" i="7"/>
  <c r="G410" i="7"/>
  <c r="F410" i="7"/>
  <c r="N410" i="7" s="1"/>
  <c r="E410" i="7"/>
  <c r="D410" i="7"/>
  <c r="C410" i="7"/>
  <c r="B410" i="7"/>
  <c r="G409" i="7"/>
  <c r="F409" i="7"/>
  <c r="P409" i="7" s="1"/>
  <c r="E409" i="7"/>
  <c r="D409" i="7"/>
  <c r="C409" i="7"/>
  <c r="B409" i="7"/>
  <c r="G408" i="7"/>
  <c r="F408" i="7"/>
  <c r="N408" i="7" s="1"/>
  <c r="E408" i="7"/>
  <c r="D408" i="7"/>
  <c r="C408" i="7"/>
  <c r="B408" i="7"/>
  <c r="G407" i="7"/>
  <c r="F407" i="7"/>
  <c r="P407" i="7" s="1"/>
  <c r="E407" i="7"/>
  <c r="D407" i="7"/>
  <c r="C407" i="7"/>
  <c r="B407" i="7"/>
  <c r="G406" i="7"/>
  <c r="F406" i="7"/>
  <c r="N406" i="7" s="1"/>
  <c r="E406" i="7"/>
  <c r="D406" i="7"/>
  <c r="C406" i="7"/>
  <c r="B406" i="7"/>
  <c r="G405" i="7"/>
  <c r="F405" i="7"/>
  <c r="P405" i="7" s="1"/>
  <c r="E405" i="7"/>
  <c r="D405" i="7"/>
  <c r="C405" i="7"/>
  <c r="B405" i="7"/>
  <c r="G404" i="7"/>
  <c r="F404" i="7"/>
  <c r="N404" i="7" s="1"/>
  <c r="E404" i="7"/>
  <c r="D404" i="7"/>
  <c r="C404" i="7"/>
  <c r="B404" i="7"/>
  <c r="G403" i="7"/>
  <c r="F403" i="7"/>
  <c r="P403" i="7" s="1"/>
  <c r="E403" i="7"/>
  <c r="D403" i="7"/>
  <c r="C403" i="7"/>
  <c r="B403" i="7"/>
  <c r="G402" i="7"/>
  <c r="F402" i="7"/>
  <c r="N402" i="7" s="1"/>
  <c r="E402" i="7"/>
  <c r="D402" i="7"/>
  <c r="C402" i="7"/>
  <c r="B402" i="7"/>
  <c r="G401" i="7"/>
  <c r="F401" i="7"/>
  <c r="P401" i="7" s="1"/>
  <c r="E401" i="7"/>
  <c r="D401" i="7"/>
  <c r="C401" i="7"/>
  <c r="B401" i="7"/>
  <c r="G400" i="7"/>
  <c r="F400" i="7"/>
  <c r="N400" i="7" s="1"/>
  <c r="E400" i="7"/>
  <c r="D400" i="7"/>
  <c r="C400" i="7"/>
  <c r="B400" i="7"/>
  <c r="G399" i="7"/>
  <c r="F399" i="7"/>
  <c r="P399" i="7" s="1"/>
  <c r="E399" i="7"/>
  <c r="D399" i="7"/>
  <c r="C399" i="7"/>
  <c r="B399" i="7"/>
  <c r="G398" i="7"/>
  <c r="F398" i="7"/>
  <c r="N398" i="7" s="1"/>
  <c r="E398" i="7"/>
  <c r="D398" i="7"/>
  <c r="C398" i="7"/>
  <c r="B398" i="7"/>
  <c r="G397" i="7"/>
  <c r="F397" i="7"/>
  <c r="E397" i="7"/>
  <c r="D397" i="7"/>
  <c r="C397" i="7"/>
  <c r="B397" i="7"/>
  <c r="G396" i="7"/>
  <c r="F396" i="7"/>
  <c r="N396" i="7" s="1"/>
  <c r="E396" i="7"/>
  <c r="D396" i="7"/>
  <c r="C396" i="7"/>
  <c r="B396" i="7"/>
  <c r="A395" i="7"/>
  <c r="G393" i="7"/>
  <c r="F393" i="7"/>
  <c r="O393" i="7" s="1"/>
  <c r="E393" i="7"/>
  <c r="D393" i="7"/>
  <c r="C393" i="7"/>
  <c r="B393" i="7"/>
  <c r="G392" i="7"/>
  <c r="F392" i="7"/>
  <c r="M392" i="7" s="1"/>
  <c r="E392" i="7"/>
  <c r="D392" i="7"/>
  <c r="C392" i="7"/>
  <c r="B392" i="7"/>
  <c r="G391" i="7"/>
  <c r="F391" i="7"/>
  <c r="O391" i="7" s="1"/>
  <c r="E391" i="7"/>
  <c r="D391" i="7"/>
  <c r="C391" i="7"/>
  <c r="B391" i="7"/>
  <c r="G390" i="7"/>
  <c r="F390" i="7"/>
  <c r="M390" i="7" s="1"/>
  <c r="E390" i="7"/>
  <c r="D390" i="7"/>
  <c r="C390" i="7"/>
  <c r="B390" i="7"/>
  <c r="G389" i="7"/>
  <c r="F389" i="7"/>
  <c r="O389" i="7" s="1"/>
  <c r="E389" i="7"/>
  <c r="D389" i="7"/>
  <c r="C389" i="7"/>
  <c r="B389" i="7"/>
  <c r="G388" i="7"/>
  <c r="F388" i="7"/>
  <c r="M388" i="7" s="1"/>
  <c r="E388" i="7"/>
  <c r="D388" i="7"/>
  <c r="C388" i="7"/>
  <c r="B388" i="7"/>
  <c r="G387" i="7"/>
  <c r="F387" i="7"/>
  <c r="O387" i="7" s="1"/>
  <c r="E387" i="7"/>
  <c r="D387" i="7"/>
  <c r="C387" i="7"/>
  <c r="B387" i="7"/>
  <c r="G386" i="7"/>
  <c r="F386" i="7"/>
  <c r="M386" i="7" s="1"/>
  <c r="E386" i="7"/>
  <c r="D386" i="7"/>
  <c r="C386" i="7"/>
  <c r="B386" i="7"/>
  <c r="G385" i="7"/>
  <c r="F385" i="7"/>
  <c r="O385" i="7" s="1"/>
  <c r="E385" i="7"/>
  <c r="D385" i="7"/>
  <c r="C385" i="7"/>
  <c r="B385" i="7"/>
  <c r="G384" i="7"/>
  <c r="F384" i="7"/>
  <c r="M384" i="7" s="1"/>
  <c r="E384" i="7"/>
  <c r="D384" i="7"/>
  <c r="C384" i="7"/>
  <c r="B384" i="7"/>
  <c r="A383" i="7"/>
  <c r="G381" i="7"/>
  <c r="F381" i="7"/>
  <c r="N381" i="7" s="1"/>
  <c r="E381" i="7"/>
  <c r="D381" i="7"/>
  <c r="C381" i="7"/>
  <c r="B381" i="7"/>
  <c r="G380" i="7"/>
  <c r="F380" i="7"/>
  <c r="P380" i="7" s="1"/>
  <c r="E380" i="7"/>
  <c r="D380" i="7"/>
  <c r="C380" i="7"/>
  <c r="B380" i="7"/>
  <c r="G379" i="7"/>
  <c r="F379" i="7"/>
  <c r="N379" i="7" s="1"/>
  <c r="E379" i="7"/>
  <c r="D379" i="7"/>
  <c r="C379" i="7"/>
  <c r="B379" i="7"/>
  <c r="G378" i="7"/>
  <c r="F378" i="7"/>
  <c r="P378" i="7" s="1"/>
  <c r="E378" i="7"/>
  <c r="D378" i="7"/>
  <c r="C378" i="7"/>
  <c r="B378" i="7"/>
  <c r="G377" i="7"/>
  <c r="F377" i="7"/>
  <c r="N377" i="7" s="1"/>
  <c r="E377" i="7"/>
  <c r="D377" i="7"/>
  <c r="C377" i="7"/>
  <c r="B377" i="7"/>
  <c r="G376" i="7"/>
  <c r="F376" i="7"/>
  <c r="P376" i="7" s="1"/>
  <c r="E376" i="7"/>
  <c r="D376" i="7"/>
  <c r="C376" i="7"/>
  <c r="B376" i="7"/>
  <c r="G375" i="7"/>
  <c r="F375" i="7"/>
  <c r="N375" i="7" s="1"/>
  <c r="E375" i="7"/>
  <c r="D375" i="7"/>
  <c r="C375" i="7"/>
  <c r="B375" i="7"/>
  <c r="G374" i="7"/>
  <c r="F374" i="7"/>
  <c r="P374" i="7" s="1"/>
  <c r="E374" i="7"/>
  <c r="D374" i="7"/>
  <c r="C374" i="7"/>
  <c r="B374" i="7"/>
  <c r="G373" i="7"/>
  <c r="F373" i="7"/>
  <c r="N373" i="7" s="1"/>
  <c r="E373" i="7"/>
  <c r="D373" i="7"/>
  <c r="C373" i="7"/>
  <c r="B373" i="7"/>
  <c r="G372" i="7"/>
  <c r="F372" i="7"/>
  <c r="P372" i="7" s="1"/>
  <c r="E372" i="7"/>
  <c r="D372" i="7"/>
  <c r="C372" i="7"/>
  <c r="B372" i="7"/>
  <c r="G371" i="7"/>
  <c r="F371" i="7"/>
  <c r="N371" i="7" s="1"/>
  <c r="E371" i="7"/>
  <c r="D371" i="7"/>
  <c r="C371" i="7"/>
  <c r="B371" i="7"/>
  <c r="G370" i="7"/>
  <c r="F370" i="7"/>
  <c r="P370" i="7" s="1"/>
  <c r="E370" i="7"/>
  <c r="D370" i="7"/>
  <c r="C370" i="7"/>
  <c r="B370" i="7"/>
  <c r="G369" i="7"/>
  <c r="F369" i="7"/>
  <c r="N369" i="7" s="1"/>
  <c r="E369" i="7"/>
  <c r="D369" i="7"/>
  <c r="C369" i="7"/>
  <c r="B369" i="7"/>
  <c r="G368" i="7"/>
  <c r="F368" i="7"/>
  <c r="P368" i="7" s="1"/>
  <c r="E368" i="7"/>
  <c r="D368" i="7"/>
  <c r="C368" i="7"/>
  <c r="B368" i="7"/>
  <c r="G367" i="7"/>
  <c r="F367" i="7"/>
  <c r="N367" i="7" s="1"/>
  <c r="E367" i="7"/>
  <c r="D367" i="7"/>
  <c r="C367" i="7"/>
  <c r="B367" i="7"/>
  <c r="G366" i="7"/>
  <c r="F366" i="7"/>
  <c r="P366" i="7" s="1"/>
  <c r="E366" i="7"/>
  <c r="D366" i="7"/>
  <c r="C366" i="7"/>
  <c r="B366" i="7"/>
  <c r="G365" i="7"/>
  <c r="F365" i="7"/>
  <c r="N365" i="7" s="1"/>
  <c r="E365" i="7"/>
  <c r="D365" i="7"/>
  <c r="C365" i="7"/>
  <c r="B365" i="7"/>
  <c r="G364" i="7"/>
  <c r="F364" i="7"/>
  <c r="E364" i="7"/>
  <c r="D364" i="7"/>
  <c r="C364" i="7"/>
  <c r="B364" i="7"/>
  <c r="G363" i="7"/>
  <c r="F363" i="7"/>
  <c r="N363" i="7" s="1"/>
  <c r="E363" i="7"/>
  <c r="D363" i="7"/>
  <c r="C363" i="7"/>
  <c r="B363" i="7"/>
  <c r="G362" i="7"/>
  <c r="F362" i="7"/>
  <c r="P362" i="7" s="1"/>
  <c r="E362" i="7"/>
  <c r="D362" i="7"/>
  <c r="C362" i="7"/>
  <c r="B362" i="7"/>
  <c r="G361" i="7"/>
  <c r="F361" i="7"/>
  <c r="N361" i="7" s="1"/>
  <c r="E361" i="7"/>
  <c r="D361" i="7"/>
  <c r="C361" i="7"/>
  <c r="B361" i="7"/>
  <c r="G360" i="7"/>
  <c r="F360" i="7"/>
  <c r="P360" i="7" s="1"/>
  <c r="E360" i="7"/>
  <c r="D360" i="7"/>
  <c r="C360" i="7"/>
  <c r="B360" i="7"/>
  <c r="G359" i="7"/>
  <c r="F359" i="7"/>
  <c r="N359" i="7" s="1"/>
  <c r="E359" i="7"/>
  <c r="D359" i="7"/>
  <c r="C359" i="7"/>
  <c r="B359" i="7"/>
  <c r="G358" i="7"/>
  <c r="F358" i="7"/>
  <c r="P358" i="7" s="1"/>
  <c r="E358" i="7"/>
  <c r="D358" i="7"/>
  <c r="C358" i="7"/>
  <c r="B358" i="7"/>
  <c r="G357" i="7"/>
  <c r="F357" i="7"/>
  <c r="N357" i="7" s="1"/>
  <c r="E357" i="7"/>
  <c r="D357" i="7"/>
  <c r="C357" i="7"/>
  <c r="B357" i="7"/>
  <c r="G356" i="7"/>
  <c r="F356" i="7"/>
  <c r="P356" i="7" s="1"/>
  <c r="E356" i="7"/>
  <c r="D356" i="7"/>
  <c r="C356" i="7"/>
  <c r="B356" i="7"/>
  <c r="G355" i="7"/>
  <c r="F355" i="7"/>
  <c r="N355" i="7" s="1"/>
  <c r="E355" i="7"/>
  <c r="D355" i="7"/>
  <c r="C355" i="7"/>
  <c r="B355" i="7"/>
  <c r="G354" i="7"/>
  <c r="F354" i="7"/>
  <c r="P354" i="7" s="1"/>
  <c r="E354" i="7"/>
  <c r="D354" i="7"/>
  <c r="C354" i="7"/>
  <c r="B354" i="7"/>
  <c r="G353" i="7"/>
  <c r="F353" i="7"/>
  <c r="N353" i="7" s="1"/>
  <c r="E353" i="7"/>
  <c r="D353" i="7"/>
  <c r="C353" i="7"/>
  <c r="B353" i="7"/>
  <c r="G352" i="7"/>
  <c r="F352" i="7"/>
  <c r="P352" i="7" s="1"/>
  <c r="E352" i="7"/>
  <c r="D352" i="7"/>
  <c r="C352" i="7"/>
  <c r="B352" i="7"/>
  <c r="G351" i="7"/>
  <c r="F351" i="7"/>
  <c r="N351" i="7" s="1"/>
  <c r="E351" i="7"/>
  <c r="D351" i="7"/>
  <c r="C351" i="7"/>
  <c r="B351" i="7"/>
  <c r="G350" i="7"/>
  <c r="F350" i="7"/>
  <c r="P350" i="7" s="1"/>
  <c r="E350" i="7"/>
  <c r="D350" i="7"/>
  <c r="C350" i="7"/>
  <c r="B350" i="7"/>
  <c r="G349" i="7"/>
  <c r="F349" i="7"/>
  <c r="N349" i="7" s="1"/>
  <c r="E349" i="7"/>
  <c r="D349" i="7"/>
  <c r="C349" i="7"/>
  <c r="B349" i="7"/>
  <c r="G348" i="7"/>
  <c r="F348" i="7"/>
  <c r="P348" i="7" s="1"/>
  <c r="E348" i="7"/>
  <c r="D348" i="7"/>
  <c r="C348" i="7"/>
  <c r="B348" i="7"/>
  <c r="G347" i="7"/>
  <c r="F347" i="7"/>
  <c r="N347" i="7" s="1"/>
  <c r="E347" i="7"/>
  <c r="D347" i="7"/>
  <c r="C347" i="7"/>
  <c r="B347" i="7"/>
  <c r="G346" i="7"/>
  <c r="F346" i="7"/>
  <c r="P346" i="7" s="1"/>
  <c r="E346" i="7"/>
  <c r="D346" i="7"/>
  <c r="C346" i="7"/>
  <c r="B346" i="7"/>
  <c r="A345" i="7"/>
  <c r="G343" i="7"/>
  <c r="F343" i="7"/>
  <c r="M343" i="7" s="1"/>
  <c r="E343" i="7"/>
  <c r="D343" i="7"/>
  <c r="C343" i="7"/>
  <c r="B343" i="7"/>
  <c r="G342" i="7"/>
  <c r="F342" i="7"/>
  <c r="O342" i="7" s="1"/>
  <c r="E342" i="7"/>
  <c r="D342" i="7"/>
  <c r="C342" i="7"/>
  <c r="B342" i="7"/>
  <c r="G341" i="7"/>
  <c r="F341" i="7"/>
  <c r="M341" i="7" s="1"/>
  <c r="E341" i="7"/>
  <c r="D341" i="7"/>
  <c r="C341" i="7"/>
  <c r="B341" i="7"/>
  <c r="G340" i="7"/>
  <c r="F340" i="7"/>
  <c r="O340" i="7" s="1"/>
  <c r="E340" i="7"/>
  <c r="D340" i="7"/>
  <c r="C340" i="7"/>
  <c r="B340" i="7"/>
  <c r="G339" i="7"/>
  <c r="F339" i="7"/>
  <c r="M339" i="7" s="1"/>
  <c r="E339" i="7"/>
  <c r="D339" i="7"/>
  <c r="C339" i="7"/>
  <c r="B339" i="7"/>
  <c r="G338" i="7"/>
  <c r="F338" i="7"/>
  <c r="O338" i="7" s="1"/>
  <c r="E338" i="7"/>
  <c r="D338" i="7"/>
  <c r="C338" i="7"/>
  <c r="B338" i="7"/>
  <c r="G337" i="7"/>
  <c r="F337" i="7"/>
  <c r="M337" i="7" s="1"/>
  <c r="E337" i="7"/>
  <c r="D337" i="7"/>
  <c r="C337" i="7"/>
  <c r="B337" i="7"/>
  <c r="G336" i="7"/>
  <c r="F336" i="7"/>
  <c r="O336" i="7" s="1"/>
  <c r="E336" i="7"/>
  <c r="D336" i="7"/>
  <c r="C336" i="7"/>
  <c r="B336" i="7"/>
  <c r="G335" i="7"/>
  <c r="F335" i="7"/>
  <c r="E335" i="7"/>
  <c r="D335" i="7"/>
  <c r="C335" i="7"/>
  <c r="B335" i="7"/>
  <c r="G334" i="7"/>
  <c r="F334" i="7"/>
  <c r="O334" i="7" s="1"/>
  <c r="E334" i="7"/>
  <c r="D334" i="7"/>
  <c r="C334" i="7"/>
  <c r="B334" i="7"/>
  <c r="G333" i="7"/>
  <c r="F333" i="7"/>
  <c r="M333" i="7" s="1"/>
  <c r="E333" i="7"/>
  <c r="D333" i="7"/>
  <c r="C333" i="7"/>
  <c r="B333" i="7"/>
  <c r="G332" i="7"/>
  <c r="F332" i="7"/>
  <c r="O332" i="7" s="1"/>
  <c r="E332" i="7"/>
  <c r="D332" i="7"/>
  <c r="C332" i="7"/>
  <c r="B332" i="7"/>
  <c r="G331" i="7"/>
  <c r="F331" i="7"/>
  <c r="M331" i="7" s="1"/>
  <c r="E331" i="7"/>
  <c r="D331" i="7"/>
  <c r="C331" i="7"/>
  <c r="B331" i="7"/>
  <c r="G330" i="7"/>
  <c r="F330" i="7"/>
  <c r="O330" i="7" s="1"/>
  <c r="E330" i="7"/>
  <c r="D330" i="7"/>
  <c r="C330" i="7"/>
  <c r="B330" i="7"/>
  <c r="G329" i="7"/>
  <c r="F329" i="7"/>
  <c r="M329" i="7" s="1"/>
  <c r="E329" i="7"/>
  <c r="D329" i="7"/>
  <c r="C329" i="7"/>
  <c r="B329" i="7"/>
  <c r="A328" i="7"/>
  <c r="C40" i="7" s="1"/>
  <c r="G326" i="7"/>
  <c r="F326" i="7"/>
  <c r="O326" i="7" s="1"/>
  <c r="E326" i="7"/>
  <c r="D326" i="7"/>
  <c r="C326" i="7"/>
  <c r="B326" i="7"/>
  <c r="G325" i="7"/>
  <c r="F325" i="7"/>
  <c r="P325" i="7" s="1"/>
  <c r="E325" i="7"/>
  <c r="D325" i="7"/>
  <c r="C325" i="7"/>
  <c r="B325" i="7"/>
  <c r="G324" i="7"/>
  <c r="F324" i="7"/>
  <c r="O324" i="7" s="1"/>
  <c r="E324" i="7"/>
  <c r="D324" i="7"/>
  <c r="C324" i="7"/>
  <c r="B324" i="7"/>
  <c r="G323" i="7"/>
  <c r="F323" i="7"/>
  <c r="P323" i="7" s="1"/>
  <c r="E323" i="7"/>
  <c r="D323" i="7"/>
  <c r="C323" i="7"/>
  <c r="B323" i="7"/>
  <c r="G322" i="7"/>
  <c r="F322" i="7"/>
  <c r="O322" i="7" s="1"/>
  <c r="E322" i="7"/>
  <c r="D322" i="7"/>
  <c r="C322" i="7"/>
  <c r="B322" i="7"/>
  <c r="G321" i="7"/>
  <c r="F321" i="7"/>
  <c r="E321" i="7"/>
  <c r="D321" i="7"/>
  <c r="C321" i="7"/>
  <c r="B321" i="7"/>
  <c r="G320" i="7"/>
  <c r="F320" i="7"/>
  <c r="O320" i="7" s="1"/>
  <c r="E320" i="7"/>
  <c r="D320" i="7"/>
  <c r="C320" i="7"/>
  <c r="B320" i="7"/>
  <c r="G319" i="7"/>
  <c r="F319" i="7"/>
  <c r="P319" i="7" s="1"/>
  <c r="E319" i="7"/>
  <c r="D319" i="7"/>
  <c r="C319" i="7"/>
  <c r="B319" i="7"/>
  <c r="G318" i="7"/>
  <c r="F318" i="7"/>
  <c r="O318" i="7" s="1"/>
  <c r="E318" i="7"/>
  <c r="D318" i="7"/>
  <c r="C318" i="7"/>
  <c r="B318" i="7"/>
  <c r="G317" i="7"/>
  <c r="F317" i="7"/>
  <c r="P317" i="7" s="1"/>
  <c r="E317" i="7"/>
  <c r="D317" i="7"/>
  <c r="C317" i="7"/>
  <c r="B317" i="7"/>
  <c r="G316" i="7"/>
  <c r="F316" i="7"/>
  <c r="O316" i="7" s="1"/>
  <c r="E316" i="7"/>
  <c r="D316" i="7"/>
  <c r="C316" i="7"/>
  <c r="B316" i="7"/>
  <c r="G315" i="7"/>
  <c r="F315" i="7"/>
  <c r="P315" i="7" s="1"/>
  <c r="E315" i="7"/>
  <c r="D315" i="7"/>
  <c r="C315" i="7"/>
  <c r="B315" i="7"/>
  <c r="A314" i="7"/>
  <c r="C19" i="7" s="1"/>
  <c r="G312" i="7"/>
  <c r="F312" i="7"/>
  <c r="M312" i="7" s="1"/>
  <c r="E312" i="7"/>
  <c r="D312" i="7"/>
  <c r="C312" i="7"/>
  <c r="B312" i="7"/>
  <c r="G311" i="7"/>
  <c r="F311" i="7"/>
  <c r="E311" i="7"/>
  <c r="D311" i="7"/>
  <c r="C311" i="7"/>
  <c r="B311" i="7"/>
  <c r="G310" i="7"/>
  <c r="F310" i="7"/>
  <c r="M310" i="7" s="1"/>
  <c r="E310" i="7"/>
  <c r="D310" i="7"/>
  <c r="C310" i="7"/>
  <c r="B310" i="7"/>
  <c r="G309" i="7"/>
  <c r="F309" i="7"/>
  <c r="O309" i="7" s="1"/>
  <c r="E309" i="7"/>
  <c r="D309" i="7"/>
  <c r="C309" i="7"/>
  <c r="B309" i="7"/>
  <c r="G308" i="7"/>
  <c r="F308" i="7"/>
  <c r="M308" i="7" s="1"/>
  <c r="E308" i="7"/>
  <c r="D308" i="7"/>
  <c r="C308" i="7"/>
  <c r="B308" i="7"/>
  <c r="G307" i="7"/>
  <c r="F307" i="7"/>
  <c r="O307" i="7" s="1"/>
  <c r="E307" i="7"/>
  <c r="D307" i="7"/>
  <c r="C307" i="7"/>
  <c r="B307" i="7"/>
  <c r="G306" i="7"/>
  <c r="F306" i="7"/>
  <c r="M306" i="7" s="1"/>
  <c r="E306" i="7"/>
  <c r="D306" i="7"/>
  <c r="C306" i="7"/>
  <c r="B306" i="7"/>
  <c r="G305" i="7"/>
  <c r="F305" i="7"/>
  <c r="O305" i="7" s="1"/>
  <c r="E305" i="7"/>
  <c r="D305" i="7"/>
  <c r="C305" i="7"/>
  <c r="B305" i="7"/>
  <c r="G304" i="7"/>
  <c r="F304" i="7"/>
  <c r="M304" i="7" s="1"/>
  <c r="E304" i="7"/>
  <c r="D304" i="7"/>
  <c r="C304" i="7"/>
  <c r="B304" i="7"/>
  <c r="G303" i="7"/>
  <c r="F303" i="7"/>
  <c r="O303" i="7" s="1"/>
  <c r="E303" i="7"/>
  <c r="D303" i="7"/>
  <c r="C303" i="7"/>
  <c r="B303" i="7"/>
  <c r="G302" i="7"/>
  <c r="F302" i="7"/>
  <c r="M302" i="7" s="1"/>
  <c r="E302" i="7"/>
  <c r="D302" i="7"/>
  <c r="C302" i="7"/>
  <c r="B302" i="7"/>
  <c r="G301" i="7"/>
  <c r="F301" i="7"/>
  <c r="O301" i="7" s="1"/>
  <c r="E301" i="7"/>
  <c r="D301" i="7"/>
  <c r="C301" i="7"/>
  <c r="B301" i="7"/>
  <c r="G300" i="7"/>
  <c r="F300" i="7"/>
  <c r="M300" i="7" s="1"/>
  <c r="E300" i="7"/>
  <c r="D300" i="7"/>
  <c r="C300" i="7"/>
  <c r="B300" i="7"/>
  <c r="G299" i="7"/>
  <c r="F299" i="7"/>
  <c r="E299" i="7"/>
  <c r="D299" i="7"/>
  <c r="C299" i="7"/>
  <c r="B299" i="7"/>
  <c r="G298" i="7"/>
  <c r="F298" i="7"/>
  <c r="M298" i="7" s="1"/>
  <c r="E298" i="7"/>
  <c r="D298" i="7"/>
  <c r="C298" i="7"/>
  <c r="B298" i="7"/>
  <c r="G297" i="7"/>
  <c r="F297" i="7"/>
  <c r="O297" i="7" s="1"/>
  <c r="E297" i="7"/>
  <c r="D297" i="7"/>
  <c r="C297" i="7"/>
  <c r="B297" i="7"/>
  <c r="G296" i="7"/>
  <c r="F296" i="7"/>
  <c r="M296" i="7" s="1"/>
  <c r="E296" i="7"/>
  <c r="D296" i="7"/>
  <c r="C296" i="7"/>
  <c r="B296" i="7"/>
  <c r="G295" i="7"/>
  <c r="F295" i="7"/>
  <c r="O295" i="7" s="1"/>
  <c r="E295" i="7"/>
  <c r="D295" i="7"/>
  <c r="C295" i="7"/>
  <c r="B295" i="7"/>
  <c r="G294" i="7"/>
  <c r="F294" i="7"/>
  <c r="M294" i="7" s="1"/>
  <c r="E294" i="7"/>
  <c r="D294" i="7"/>
  <c r="C294" i="7"/>
  <c r="B294" i="7"/>
  <c r="G293" i="7"/>
  <c r="F293" i="7"/>
  <c r="E293" i="7"/>
  <c r="D293" i="7"/>
  <c r="C293" i="7"/>
  <c r="B293" i="7"/>
  <c r="G292" i="7"/>
  <c r="F292" i="7"/>
  <c r="M292" i="7" s="1"/>
  <c r="E292" i="7"/>
  <c r="D292" i="7"/>
  <c r="C292" i="7"/>
  <c r="B292" i="7"/>
  <c r="G291" i="7"/>
  <c r="F291" i="7"/>
  <c r="O291" i="7" s="1"/>
  <c r="E291" i="7"/>
  <c r="D291" i="7"/>
  <c r="C291" i="7"/>
  <c r="B291" i="7"/>
  <c r="A290" i="7"/>
  <c r="C8" i="7" s="1"/>
  <c r="J288" i="7"/>
  <c r="G288" i="7"/>
  <c r="F288" i="7"/>
  <c r="P288" i="7" s="1"/>
  <c r="E288" i="7"/>
  <c r="D288" i="7"/>
  <c r="C288" i="7"/>
  <c r="B288" i="7"/>
  <c r="G287" i="7"/>
  <c r="F287" i="7"/>
  <c r="O287" i="7" s="1"/>
  <c r="E287" i="7"/>
  <c r="D287" i="7"/>
  <c r="C287" i="7"/>
  <c r="B287" i="7"/>
  <c r="G286" i="7"/>
  <c r="F286" i="7"/>
  <c r="E286" i="7"/>
  <c r="D286" i="7"/>
  <c r="C286" i="7"/>
  <c r="B286" i="7"/>
  <c r="G285" i="7"/>
  <c r="F285" i="7"/>
  <c r="O285" i="7" s="1"/>
  <c r="E285" i="7"/>
  <c r="D285" i="7"/>
  <c r="C285" i="7"/>
  <c r="B285" i="7"/>
  <c r="G284" i="7"/>
  <c r="F284" i="7"/>
  <c r="P284" i="7" s="1"/>
  <c r="E284" i="7"/>
  <c r="D284" i="7"/>
  <c r="C284" i="7"/>
  <c r="B284" i="7"/>
  <c r="G283" i="7"/>
  <c r="F283" i="7"/>
  <c r="O283" i="7" s="1"/>
  <c r="E283" i="7"/>
  <c r="D283" i="7"/>
  <c r="C283" i="7"/>
  <c r="B283" i="7"/>
  <c r="G282" i="7"/>
  <c r="F282" i="7"/>
  <c r="P282" i="7" s="1"/>
  <c r="E282" i="7"/>
  <c r="D282" i="7"/>
  <c r="C282" i="7"/>
  <c r="B282" i="7"/>
  <c r="G281" i="7"/>
  <c r="F281" i="7"/>
  <c r="O281" i="7" s="1"/>
  <c r="E281" i="7"/>
  <c r="D281" i="7"/>
  <c r="C281" i="7"/>
  <c r="B281" i="7"/>
  <c r="G280" i="7"/>
  <c r="F280" i="7"/>
  <c r="P280" i="7" s="1"/>
  <c r="E280" i="7"/>
  <c r="D280" i="7"/>
  <c r="C280" i="7"/>
  <c r="B280" i="7"/>
  <c r="G279" i="7"/>
  <c r="F279" i="7"/>
  <c r="O279" i="7" s="1"/>
  <c r="E279" i="7"/>
  <c r="D279" i="7"/>
  <c r="C279" i="7"/>
  <c r="B279" i="7"/>
  <c r="G278" i="7"/>
  <c r="F278" i="7"/>
  <c r="P278" i="7" s="1"/>
  <c r="E278" i="7"/>
  <c r="D278" i="7"/>
  <c r="C278" i="7"/>
  <c r="B278" i="7"/>
  <c r="G277" i="7"/>
  <c r="F277" i="7"/>
  <c r="O277" i="7" s="1"/>
  <c r="E277" i="7"/>
  <c r="D277" i="7"/>
  <c r="C277" i="7"/>
  <c r="B277" i="7"/>
  <c r="G276" i="7"/>
  <c r="F276" i="7"/>
  <c r="P276" i="7" s="1"/>
  <c r="E276" i="7"/>
  <c r="D276" i="7"/>
  <c r="C276" i="7"/>
  <c r="B276" i="7"/>
  <c r="G275" i="7"/>
  <c r="F275" i="7"/>
  <c r="O275" i="7" s="1"/>
  <c r="E275" i="7"/>
  <c r="D275" i="7"/>
  <c r="C275" i="7"/>
  <c r="B275" i="7"/>
  <c r="G274" i="7"/>
  <c r="F274" i="7"/>
  <c r="P274" i="7" s="1"/>
  <c r="E274" i="7"/>
  <c r="D274" i="7"/>
  <c r="C274" i="7"/>
  <c r="B274" i="7"/>
  <c r="G273" i="7"/>
  <c r="F273" i="7"/>
  <c r="O273" i="7" s="1"/>
  <c r="E273" i="7"/>
  <c r="D273" i="7"/>
  <c r="C273" i="7"/>
  <c r="B273" i="7"/>
  <c r="A272" i="7"/>
  <c r="G270" i="7"/>
  <c r="F270" i="7"/>
  <c r="O270" i="7" s="1"/>
  <c r="E270" i="7"/>
  <c r="D270" i="7"/>
  <c r="C270" i="7"/>
  <c r="B270" i="7"/>
  <c r="G269" i="7"/>
  <c r="F269" i="7"/>
  <c r="M269" i="7" s="1"/>
  <c r="E269" i="7"/>
  <c r="D269" i="7"/>
  <c r="C269" i="7"/>
  <c r="B269" i="7"/>
  <c r="G268" i="7"/>
  <c r="F268" i="7"/>
  <c r="O268" i="7" s="1"/>
  <c r="E268" i="7"/>
  <c r="D268" i="7"/>
  <c r="C268" i="7"/>
  <c r="B268" i="7"/>
  <c r="G267" i="7"/>
  <c r="F267" i="7"/>
  <c r="M267" i="7" s="1"/>
  <c r="E267" i="7"/>
  <c r="D267" i="7"/>
  <c r="C267" i="7"/>
  <c r="B267" i="7"/>
  <c r="G266" i="7"/>
  <c r="F266" i="7"/>
  <c r="O266" i="7" s="1"/>
  <c r="E266" i="7"/>
  <c r="D266" i="7"/>
  <c r="C266" i="7"/>
  <c r="B266" i="7"/>
  <c r="G265" i="7"/>
  <c r="F265" i="7"/>
  <c r="M265" i="7" s="1"/>
  <c r="E265" i="7"/>
  <c r="D265" i="7"/>
  <c r="C265" i="7"/>
  <c r="B265" i="7"/>
  <c r="G264" i="7"/>
  <c r="F264" i="7"/>
  <c r="O264" i="7" s="1"/>
  <c r="E264" i="7"/>
  <c r="D264" i="7"/>
  <c r="C264" i="7"/>
  <c r="B264" i="7"/>
  <c r="G263" i="7"/>
  <c r="F263" i="7"/>
  <c r="M263" i="7" s="1"/>
  <c r="E263" i="7"/>
  <c r="D263" i="7"/>
  <c r="C263" i="7"/>
  <c r="B263" i="7"/>
  <c r="G262" i="7"/>
  <c r="F262" i="7"/>
  <c r="E262" i="7"/>
  <c r="D262" i="7"/>
  <c r="C262" i="7"/>
  <c r="B262" i="7"/>
  <c r="G261" i="7"/>
  <c r="F261" i="7"/>
  <c r="M261" i="7" s="1"/>
  <c r="E261" i="7"/>
  <c r="D261" i="7"/>
  <c r="C261" i="7"/>
  <c r="B261" i="7"/>
  <c r="G260" i="7"/>
  <c r="F260" i="7"/>
  <c r="O260" i="7" s="1"/>
  <c r="E260" i="7"/>
  <c r="D260" i="7"/>
  <c r="C260" i="7"/>
  <c r="B260" i="7"/>
  <c r="G259" i="7"/>
  <c r="F259" i="7"/>
  <c r="M259" i="7" s="1"/>
  <c r="E259" i="7"/>
  <c r="D259" i="7"/>
  <c r="C259" i="7"/>
  <c r="B259" i="7"/>
  <c r="G258" i="7"/>
  <c r="F258" i="7"/>
  <c r="O258" i="7" s="1"/>
  <c r="E258" i="7"/>
  <c r="D258" i="7"/>
  <c r="C258" i="7"/>
  <c r="B258" i="7"/>
  <c r="G257" i="7"/>
  <c r="F257" i="7"/>
  <c r="M257" i="7" s="1"/>
  <c r="E257" i="7"/>
  <c r="D257" i="7"/>
  <c r="C257" i="7"/>
  <c r="B257" i="7"/>
  <c r="G256" i="7"/>
  <c r="F256" i="7"/>
  <c r="O256" i="7" s="1"/>
  <c r="E256" i="7"/>
  <c r="D256" i="7"/>
  <c r="C256" i="7"/>
  <c r="B256" i="7"/>
  <c r="G255" i="7"/>
  <c r="F255" i="7"/>
  <c r="M255" i="7" s="1"/>
  <c r="E255" i="7"/>
  <c r="D255" i="7"/>
  <c r="C255" i="7"/>
  <c r="B255" i="7"/>
  <c r="G254" i="7"/>
  <c r="F254" i="7"/>
  <c r="O254" i="7" s="1"/>
  <c r="E254" i="7"/>
  <c r="D254" i="7"/>
  <c r="C254" i="7"/>
  <c r="B254" i="7"/>
  <c r="G253" i="7"/>
  <c r="F253" i="7"/>
  <c r="M253" i="7" s="1"/>
  <c r="E253" i="7"/>
  <c r="D253" i="7"/>
  <c r="C253" i="7"/>
  <c r="B253" i="7"/>
  <c r="G252" i="7"/>
  <c r="F252" i="7"/>
  <c r="O252" i="7" s="1"/>
  <c r="E252" i="7"/>
  <c r="D252" i="7"/>
  <c r="C252" i="7"/>
  <c r="B252" i="7"/>
  <c r="A251" i="7"/>
  <c r="G249" i="7"/>
  <c r="F249" i="7"/>
  <c r="E249" i="7"/>
  <c r="D249" i="7"/>
  <c r="C249" i="7"/>
  <c r="B249" i="7"/>
  <c r="G248" i="7"/>
  <c r="F248" i="7"/>
  <c r="E248" i="7"/>
  <c r="D248" i="7"/>
  <c r="C248" i="7"/>
  <c r="B248" i="7"/>
  <c r="G247" i="7"/>
  <c r="F247" i="7"/>
  <c r="P247" i="7" s="1"/>
  <c r="E247" i="7"/>
  <c r="D247" i="7"/>
  <c r="C247" i="7"/>
  <c r="B247" i="7"/>
  <c r="G246" i="7"/>
  <c r="F246" i="7"/>
  <c r="O246" i="7" s="1"/>
  <c r="E246" i="7"/>
  <c r="D246" i="7"/>
  <c r="C246" i="7"/>
  <c r="B246" i="7"/>
  <c r="G245" i="7"/>
  <c r="F245" i="7"/>
  <c r="P245" i="7" s="1"/>
  <c r="E245" i="7"/>
  <c r="D245" i="7"/>
  <c r="C245" i="7"/>
  <c r="B245" i="7"/>
  <c r="G244" i="7"/>
  <c r="F244" i="7"/>
  <c r="O244" i="7" s="1"/>
  <c r="E244" i="7"/>
  <c r="D244" i="7"/>
  <c r="C244" i="7"/>
  <c r="B244" i="7"/>
  <c r="G243" i="7"/>
  <c r="F243" i="7"/>
  <c r="P243" i="7" s="1"/>
  <c r="E243" i="7"/>
  <c r="D243" i="7"/>
  <c r="C243" i="7"/>
  <c r="B243" i="7"/>
  <c r="G242" i="7"/>
  <c r="F242" i="7"/>
  <c r="O242" i="7" s="1"/>
  <c r="E242" i="7"/>
  <c r="D242" i="7"/>
  <c r="C242" i="7"/>
  <c r="B242" i="7"/>
  <c r="G241" i="7"/>
  <c r="F241" i="7"/>
  <c r="P241" i="7" s="1"/>
  <c r="E241" i="7"/>
  <c r="D241" i="7"/>
  <c r="C241" i="7"/>
  <c r="B241" i="7"/>
  <c r="G240" i="7"/>
  <c r="F240" i="7"/>
  <c r="E240" i="7"/>
  <c r="D240" i="7"/>
  <c r="C240" i="7"/>
  <c r="B240" i="7"/>
  <c r="A239" i="7"/>
  <c r="C18" i="7" s="1"/>
  <c r="G237" i="7"/>
  <c r="F237" i="7"/>
  <c r="O237" i="7" s="1"/>
  <c r="E237" i="7"/>
  <c r="D237" i="7"/>
  <c r="C237" i="7"/>
  <c r="B237" i="7"/>
  <c r="G236" i="7"/>
  <c r="F236" i="7"/>
  <c r="M236" i="7" s="1"/>
  <c r="E236" i="7"/>
  <c r="D236" i="7"/>
  <c r="C236" i="7"/>
  <c r="B236" i="7"/>
  <c r="G235" i="7"/>
  <c r="F235" i="7"/>
  <c r="O235" i="7" s="1"/>
  <c r="E235" i="7"/>
  <c r="D235" i="7"/>
  <c r="C235" i="7"/>
  <c r="B235" i="7"/>
  <c r="G234" i="7"/>
  <c r="F234" i="7"/>
  <c r="M234" i="7" s="1"/>
  <c r="E234" i="7"/>
  <c r="D234" i="7"/>
  <c r="C234" i="7"/>
  <c r="B234" i="7"/>
  <c r="G233" i="7"/>
  <c r="F233" i="7"/>
  <c r="O233" i="7" s="1"/>
  <c r="E233" i="7"/>
  <c r="D233" i="7"/>
  <c r="C233" i="7"/>
  <c r="B233" i="7"/>
  <c r="G232" i="7"/>
  <c r="F232" i="7"/>
  <c r="M232" i="7" s="1"/>
  <c r="E232" i="7"/>
  <c r="D232" i="7"/>
  <c r="C232" i="7"/>
  <c r="B232" i="7"/>
  <c r="G231" i="7"/>
  <c r="F231" i="7"/>
  <c r="O231" i="7" s="1"/>
  <c r="E231" i="7"/>
  <c r="D231" i="7"/>
  <c r="C231" i="7"/>
  <c r="B231" i="7"/>
  <c r="G230" i="7"/>
  <c r="F230" i="7"/>
  <c r="M230" i="7" s="1"/>
  <c r="E230" i="7"/>
  <c r="D230" i="7"/>
  <c r="C230" i="7"/>
  <c r="B230" i="7"/>
  <c r="G229" i="7"/>
  <c r="F229" i="7"/>
  <c r="E229" i="7"/>
  <c r="D229" i="7"/>
  <c r="C229" i="7"/>
  <c r="B229" i="7"/>
  <c r="G228" i="7"/>
  <c r="F228" i="7"/>
  <c r="M228" i="7" s="1"/>
  <c r="E228" i="7"/>
  <c r="D228" i="7"/>
  <c r="C228" i="7"/>
  <c r="B228" i="7"/>
  <c r="G227" i="7"/>
  <c r="F227" i="7"/>
  <c r="O227" i="7" s="1"/>
  <c r="E227" i="7"/>
  <c r="D227" i="7"/>
  <c r="C227" i="7"/>
  <c r="B227" i="7"/>
  <c r="A226" i="7"/>
  <c r="C39" i="7" s="1"/>
  <c r="G224" i="7"/>
  <c r="F224" i="7"/>
  <c r="P224" i="7" s="1"/>
  <c r="E224" i="7"/>
  <c r="D224" i="7"/>
  <c r="C224" i="7"/>
  <c r="B224" i="7"/>
  <c r="G223" i="7"/>
  <c r="F223" i="7"/>
  <c r="O223" i="7" s="1"/>
  <c r="E223" i="7"/>
  <c r="D223" i="7"/>
  <c r="C223" i="7"/>
  <c r="B223" i="7"/>
  <c r="G222" i="7"/>
  <c r="F222" i="7"/>
  <c r="P222" i="7" s="1"/>
  <c r="E222" i="7"/>
  <c r="D222" i="7"/>
  <c r="C222" i="7"/>
  <c r="B222" i="7"/>
  <c r="G221" i="7"/>
  <c r="F221" i="7"/>
  <c r="E221" i="7"/>
  <c r="D221" i="7"/>
  <c r="C221" i="7"/>
  <c r="B221" i="7"/>
  <c r="G220" i="7"/>
  <c r="F220" i="7"/>
  <c r="P220" i="7" s="1"/>
  <c r="E220" i="7"/>
  <c r="D220" i="7"/>
  <c r="C220" i="7"/>
  <c r="B220" i="7"/>
  <c r="G219" i="7"/>
  <c r="F219" i="7"/>
  <c r="O219" i="7" s="1"/>
  <c r="E219" i="7"/>
  <c r="D219" i="7"/>
  <c r="C219" i="7"/>
  <c r="B219" i="7"/>
  <c r="G218" i="7"/>
  <c r="F218" i="7"/>
  <c r="P218" i="7" s="1"/>
  <c r="E218" i="7"/>
  <c r="D218" i="7"/>
  <c r="C218" i="7"/>
  <c r="B218" i="7"/>
  <c r="A217" i="7"/>
  <c r="C38" i="7" s="1"/>
  <c r="G215" i="7"/>
  <c r="F215" i="7"/>
  <c r="E215" i="7"/>
  <c r="D215" i="7"/>
  <c r="C215" i="7"/>
  <c r="B215" i="7"/>
  <c r="G214" i="7"/>
  <c r="F214" i="7"/>
  <c r="O214" i="7" s="1"/>
  <c r="E214" i="7"/>
  <c r="D214" i="7"/>
  <c r="C214" i="7"/>
  <c r="B214" i="7"/>
  <c r="G213" i="7"/>
  <c r="F213" i="7"/>
  <c r="M213" i="7" s="1"/>
  <c r="E213" i="7"/>
  <c r="D213" i="7"/>
  <c r="C213" i="7"/>
  <c r="B213" i="7"/>
  <c r="G212" i="7"/>
  <c r="F212" i="7"/>
  <c r="H212" i="7" s="1"/>
  <c r="E212" i="7"/>
  <c r="D212" i="7"/>
  <c r="C212" i="7"/>
  <c r="B212" i="7"/>
  <c r="G211" i="7"/>
  <c r="F211" i="7"/>
  <c r="M211" i="7" s="1"/>
  <c r="E211" i="7"/>
  <c r="D211" i="7"/>
  <c r="C211" i="7"/>
  <c r="B211" i="7"/>
  <c r="G210" i="7"/>
  <c r="F210" i="7"/>
  <c r="O210" i="7" s="1"/>
  <c r="E210" i="7"/>
  <c r="D210" i="7"/>
  <c r="C210" i="7"/>
  <c r="B210" i="7"/>
  <c r="G209" i="7"/>
  <c r="F209" i="7"/>
  <c r="M209" i="7" s="1"/>
  <c r="E209" i="7"/>
  <c r="D209" i="7"/>
  <c r="C209" i="7"/>
  <c r="B209" i="7"/>
  <c r="G208" i="7"/>
  <c r="F208" i="7"/>
  <c r="O208" i="7" s="1"/>
  <c r="E208" i="7"/>
  <c r="D208" i="7"/>
  <c r="C208" i="7"/>
  <c r="B208" i="7"/>
  <c r="G207" i="7"/>
  <c r="F207" i="7"/>
  <c r="M207" i="7" s="1"/>
  <c r="E207" i="7"/>
  <c r="D207" i="7"/>
  <c r="C207" i="7"/>
  <c r="B207" i="7"/>
  <c r="G206" i="7"/>
  <c r="F206" i="7"/>
  <c r="O206" i="7" s="1"/>
  <c r="E206" i="7"/>
  <c r="D206" i="7"/>
  <c r="C206" i="7"/>
  <c r="B206" i="7"/>
  <c r="G205" i="7"/>
  <c r="F205" i="7"/>
  <c r="M205" i="7" s="1"/>
  <c r="E205" i="7"/>
  <c r="D205" i="7"/>
  <c r="C205" i="7"/>
  <c r="B205" i="7"/>
  <c r="G204" i="7"/>
  <c r="F204" i="7"/>
  <c r="O204" i="7" s="1"/>
  <c r="E204" i="7"/>
  <c r="D204" i="7"/>
  <c r="C204" i="7"/>
  <c r="B204" i="7"/>
  <c r="G203" i="7"/>
  <c r="F203" i="7"/>
  <c r="E203" i="7"/>
  <c r="D203" i="7"/>
  <c r="C203" i="7"/>
  <c r="B203" i="7"/>
  <c r="G202" i="7"/>
  <c r="F202" i="7"/>
  <c r="O202" i="7" s="1"/>
  <c r="E202" i="7"/>
  <c r="D202" i="7"/>
  <c r="C202" i="7"/>
  <c r="B202" i="7"/>
  <c r="G201" i="7"/>
  <c r="F201" i="7"/>
  <c r="M201" i="7" s="1"/>
  <c r="E201" i="7"/>
  <c r="D201" i="7"/>
  <c r="C201" i="7"/>
  <c r="B201" i="7"/>
  <c r="G200" i="7"/>
  <c r="F200" i="7"/>
  <c r="E200" i="7"/>
  <c r="D200" i="7"/>
  <c r="C200" i="7"/>
  <c r="B200" i="7"/>
  <c r="G199" i="7"/>
  <c r="F199" i="7"/>
  <c r="M199" i="7" s="1"/>
  <c r="E199" i="7"/>
  <c r="D199" i="7"/>
  <c r="C199" i="7"/>
  <c r="B199" i="7"/>
  <c r="G198" i="7"/>
  <c r="F198" i="7"/>
  <c r="O198" i="7" s="1"/>
  <c r="E198" i="7"/>
  <c r="D198" i="7"/>
  <c r="C198" i="7"/>
  <c r="B198" i="7"/>
  <c r="A197" i="7"/>
  <c r="C6" i="7" s="1"/>
  <c r="G195" i="7"/>
  <c r="F195" i="7"/>
  <c r="P195" i="7" s="1"/>
  <c r="E195" i="7"/>
  <c r="D195" i="7"/>
  <c r="C195" i="7"/>
  <c r="B195" i="7"/>
  <c r="G194" i="7"/>
  <c r="F194" i="7"/>
  <c r="O194" i="7" s="1"/>
  <c r="E194" i="7"/>
  <c r="D194" i="7"/>
  <c r="C194" i="7"/>
  <c r="B194" i="7"/>
  <c r="G193" i="7"/>
  <c r="F193" i="7"/>
  <c r="P193" i="7" s="1"/>
  <c r="E193" i="7"/>
  <c r="D193" i="7"/>
  <c r="C193" i="7"/>
  <c r="B193" i="7"/>
  <c r="G192" i="7"/>
  <c r="F192" i="7"/>
  <c r="E192" i="7"/>
  <c r="D192" i="7"/>
  <c r="C192" i="7"/>
  <c r="B192" i="7"/>
  <c r="G191" i="7"/>
  <c r="F191" i="7"/>
  <c r="E191" i="7"/>
  <c r="D191" i="7"/>
  <c r="C191" i="7"/>
  <c r="B191" i="7"/>
  <c r="G190" i="7"/>
  <c r="F190" i="7"/>
  <c r="E190" i="7"/>
  <c r="D190" i="7"/>
  <c r="C190" i="7"/>
  <c r="B190" i="7"/>
  <c r="G189" i="7"/>
  <c r="F189" i="7"/>
  <c r="P189" i="7" s="1"/>
  <c r="E189" i="7"/>
  <c r="D189" i="7"/>
  <c r="C189" i="7"/>
  <c r="B189" i="7"/>
  <c r="G188" i="7"/>
  <c r="F188" i="7"/>
  <c r="E188" i="7"/>
  <c r="D188" i="7"/>
  <c r="C188" i="7"/>
  <c r="B188" i="7"/>
  <c r="G187" i="7"/>
  <c r="F187" i="7"/>
  <c r="P187" i="7" s="1"/>
  <c r="E187" i="7"/>
  <c r="D187" i="7"/>
  <c r="C187" i="7"/>
  <c r="B187" i="7"/>
  <c r="G186" i="7"/>
  <c r="F186" i="7"/>
  <c r="E186" i="7"/>
  <c r="D186" i="7"/>
  <c r="C186" i="7"/>
  <c r="B186" i="7"/>
  <c r="G185" i="7"/>
  <c r="F185" i="7"/>
  <c r="P185" i="7" s="1"/>
  <c r="E185" i="7"/>
  <c r="D185" i="7"/>
  <c r="C185" i="7"/>
  <c r="B185" i="7"/>
  <c r="G184" i="7"/>
  <c r="F184" i="7"/>
  <c r="E184" i="7"/>
  <c r="D184" i="7"/>
  <c r="C184" i="7"/>
  <c r="B184" i="7"/>
  <c r="G183" i="7"/>
  <c r="F183" i="7"/>
  <c r="E183" i="7"/>
  <c r="D183" i="7"/>
  <c r="C183" i="7"/>
  <c r="B183" i="7"/>
  <c r="G182" i="7"/>
  <c r="F182" i="7"/>
  <c r="E182" i="7"/>
  <c r="D182" i="7"/>
  <c r="C182" i="7"/>
  <c r="B182" i="7"/>
  <c r="G181" i="7"/>
  <c r="F181" i="7"/>
  <c r="P181" i="7" s="1"/>
  <c r="E181" i="7"/>
  <c r="D181" i="7"/>
  <c r="C181" i="7"/>
  <c r="B181" i="7"/>
  <c r="G180" i="7"/>
  <c r="F180" i="7"/>
  <c r="E180" i="7"/>
  <c r="D180" i="7"/>
  <c r="C180" i="7"/>
  <c r="B180" i="7"/>
  <c r="G179" i="7"/>
  <c r="F179" i="7"/>
  <c r="P179" i="7" s="1"/>
  <c r="E179" i="7"/>
  <c r="D179" i="7"/>
  <c r="C179" i="7"/>
  <c r="B179" i="7"/>
  <c r="G178" i="7"/>
  <c r="F178" i="7"/>
  <c r="E178" i="7"/>
  <c r="D178" i="7"/>
  <c r="C178" i="7"/>
  <c r="B178" i="7"/>
  <c r="G177" i="7"/>
  <c r="F177" i="7"/>
  <c r="P177" i="7" s="1"/>
  <c r="E177" i="7"/>
  <c r="D177" i="7"/>
  <c r="C177" i="7"/>
  <c r="B177" i="7"/>
  <c r="G176" i="7"/>
  <c r="F176" i="7"/>
  <c r="E176" i="7"/>
  <c r="D176" i="7"/>
  <c r="C176" i="7"/>
  <c r="B176" i="7"/>
  <c r="G175" i="7"/>
  <c r="F175" i="7"/>
  <c r="E175" i="7"/>
  <c r="D175" i="7"/>
  <c r="C175" i="7"/>
  <c r="B175" i="7"/>
  <c r="G174" i="7"/>
  <c r="F174" i="7"/>
  <c r="E174" i="7"/>
  <c r="D174" i="7"/>
  <c r="C174" i="7"/>
  <c r="B174" i="7"/>
  <c r="G173" i="7"/>
  <c r="F173" i="7"/>
  <c r="P173" i="7" s="1"/>
  <c r="E173" i="7"/>
  <c r="D173" i="7"/>
  <c r="C173" i="7"/>
  <c r="B173" i="7"/>
  <c r="G172" i="7"/>
  <c r="F172" i="7"/>
  <c r="E172" i="7"/>
  <c r="D172" i="7"/>
  <c r="C172" i="7"/>
  <c r="B172" i="7"/>
  <c r="G171" i="7"/>
  <c r="F171" i="7"/>
  <c r="P171" i="7" s="1"/>
  <c r="E171" i="7"/>
  <c r="D171" i="7"/>
  <c r="C171" i="7"/>
  <c r="B171" i="7"/>
  <c r="A170" i="7"/>
  <c r="G168" i="7"/>
  <c r="F168" i="7"/>
  <c r="O168" i="7" s="1"/>
  <c r="E168" i="7"/>
  <c r="D168" i="7"/>
  <c r="C168" i="7"/>
  <c r="B168" i="7"/>
  <c r="G167" i="7"/>
  <c r="F167" i="7"/>
  <c r="E167" i="7"/>
  <c r="D167" i="7"/>
  <c r="C167" i="7"/>
  <c r="B167" i="7"/>
  <c r="G166" i="7"/>
  <c r="F166" i="7"/>
  <c r="O166" i="7" s="1"/>
  <c r="E166" i="7"/>
  <c r="D166" i="7"/>
  <c r="C166" i="7"/>
  <c r="B166" i="7"/>
  <c r="G165" i="7"/>
  <c r="F165" i="7"/>
  <c r="O165" i="7" s="1"/>
  <c r="E165" i="7"/>
  <c r="D165" i="7"/>
  <c r="C165" i="7"/>
  <c r="B165" i="7"/>
  <c r="G164" i="7"/>
  <c r="F164" i="7"/>
  <c r="E164" i="7"/>
  <c r="D164" i="7"/>
  <c r="C164" i="7"/>
  <c r="B164" i="7"/>
  <c r="G163" i="7"/>
  <c r="F163" i="7"/>
  <c r="O163" i="7" s="1"/>
  <c r="E163" i="7"/>
  <c r="D163" i="7"/>
  <c r="C163" i="7"/>
  <c r="B163" i="7"/>
  <c r="G162" i="7"/>
  <c r="F162" i="7"/>
  <c r="E162" i="7"/>
  <c r="D162" i="7"/>
  <c r="C162" i="7"/>
  <c r="B162" i="7"/>
  <c r="G161" i="7"/>
  <c r="F161" i="7"/>
  <c r="O161" i="7" s="1"/>
  <c r="E161" i="7"/>
  <c r="D161" i="7"/>
  <c r="C161" i="7"/>
  <c r="B161" i="7"/>
  <c r="G160" i="7"/>
  <c r="F160" i="7"/>
  <c r="O160" i="7" s="1"/>
  <c r="E160" i="7"/>
  <c r="D160" i="7"/>
  <c r="C160" i="7"/>
  <c r="B160" i="7"/>
  <c r="G159" i="7"/>
  <c r="F159" i="7"/>
  <c r="O159" i="7" s="1"/>
  <c r="E159" i="7"/>
  <c r="D159" i="7"/>
  <c r="C159" i="7"/>
  <c r="B159" i="7"/>
  <c r="G158" i="7"/>
  <c r="F158" i="7"/>
  <c r="O158" i="7" s="1"/>
  <c r="E158" i="7"/>
  <c r="D158" i="7"/>
  <c r="C158" i="7"/>
  <c r="B158" i="7"/>
  <c r="G157" i="7"/>
  <c r="F157" i="7"/>
  <c r="E157" i="7"/>
  <c r="D157" i="7"/>
  <c r="C157" i="7"/>
  <c r="B157" i="7"/>
  <c r="G156" i="7"/>
  <c r="F156" i="7"/>
  <c r="E156" i="7"/>
  <c r="D156" i="7"/>
  <c r="C156" i="7"/>
  <c r="B156" i="7"/>
  <c r="G155" i="7"/>
  <c r="F155" i="7"/>
  <c r="O155" i="7" s="1"/>
  <c r="E155" i="7"/>
  <c r="D155" i="7"/>
  <c r="C155" i="7"/>
  <c r="B155" i="7"/>
  <c r="G154" i="7"/>
  <c r="F154" i="7"/>
  <c r="O154" i="7" s="1"/>
  <c r="E154" i="7"/>
  <c r="D154" i="7"/>
  <c r="C154" i="7"/>
  <c r="B154" i="7"/>
  <c r="G153" i="7"/>
  <c r="F153" i="7"/>
  <c r="O153" i="7" s="1"/>
  <c r="E153" i="7"/>
  <c r="D153" i="7"/>
  <c r="C153" i="7"/>
  <c r="B153" i="7"/>
  <c r="G152" i="7"/>
  <c r="F152" i="7"/>
  <c r="O152" i="7" s="1"/>
  <c r="E152" i="7"/>
  <c r="D152" i="7"/>
  <c r="C152" i="7"/>
  <c r="B152" i="7"/>
  <c r="G151" i="7"/>
  <c r="F151" i="7"/>
  <c r="O151" i="7" s="1"/>
  <c r="E151" i="7"/>
  <c r="D151" i="7"/>
  <c r="C151" i="7"/>
  <c r="B151" i="7"/>
  <c r="A150" i="7"/>
  <c r="C4" i="7" s="1"/>
  <c r="G148" i="7"/>
  <c r="F148" i="7"/>
  <c r="P148" i="7" s="1"/>
  <c r="E148" i="7"/>
  <c r="D148" i="7"/>
  <c r="C148" i="7"/>
  <c r="B148" i="7"/>
  <c r="G147" i="7"/>
  <c r="F147" i="7"/>
  <c r="P147" i="7" s="1"/>
  <c r="E147" i="7"/>
  <c r="D147" i="7"/>
  <c r="C147" i="7"/>
  <c r="B147" i="7"/>
  <c r="G146" i="7"/>
  <c r="F146" i="7"/>
  <c r="P146" i="7" s="1"/>
  <c r="E146" i="7"/>
  <c r="D146" i="7"/>
  <c r="C146" i="7"/>
  <c r="B146" i="7"/>
  <c r="G145" i="7"/>
  <c r="F145" i="7"/>
  <c r="P145" i="7" s="1"/>
  <c r="E145" i="7"/>
  <c r="D145" i="7"/>
  <c r="C145" i="7"/>
  <c r="B145" i="7"/>
  <c r="G144" i="7"/>
  <c r="F144" i="7"/>
  <c r="P144" i="7" s="1"/>
  <c r="E144" i="7"/>
  <c r="D144" i="7"/>
  <c r="C144" i="7"/>
  <c r="B144" i="7"/>
  <c r="G143" i="7"/>
  <c r="F143" i="7"/>
  <c r="P143" i="7" s="1"/>
  <c r="E143" i="7"/>
  <c r="D143" i="7"/>
  <c r="C143" i="7"/>
  <c r="B143" i="7"/>
  <c r="G142" i="7"/>
  <c r="F142" i="7"/>
  <c r="P142" i="7" s="1"/>
  <c r="E142" i="7"/>
  <c r="D142" i="7"/>
  <c r="C142" i="7"/>
  <c r="B142" i="7"/>
  <c r="G141" i="7"/>
  <c r="F141" i="7"/>
  <c r="P141" i="7" s="1"/>
  <c r="E141" i="7"/>
  <c r="D141" i="7"/>
  <c r="C141" i="7"/>
  <c r="B141" i="7"/>
  <c r="G140" i="7"/>
  <c r="F140" i="7"/>
  <c r="P140" i="7" s="1"/>
  <c r="E140" i="7"/>
  <c r="D140" i="7"/>
  <c r="C140" i="7"/>
  <c r="B140" i="7"/>
  <c r="G139" i="7"/>
  <c r="F139" i="7"/>
  <c r="P139" i="7" s="1"/>
  <c r="E139" i="7"/>
  <c r="D139" i="7"/>
  <c r="C139" i="7"/>
  <c r="B139" i="7"/>
  <c r="A138" i="7"/>
  <c r="C28" i="7" s="1"/>
  <c r="G136" i="7"/>
  <c r="F136" i="7"/>
  <c r="O136" i="7" s="1"/>
  <c r="E136" i="7"/>
  <c r="D136" i="7"/>
  <c r="C136" i="7"/>
  <c r="B136" i="7"/>
  <c r="G135" i="7"/>
  <c r="F135" i="7"/>
  <c r="O135" i="7" s="1"/>
  <c r="E135" i="7"/>
  <c r="D135" i="7"/>
  <c r="C135" i="7"/>
  <c r="B135" i="7"/>
  <c r="G134" i="7"/>
  <c r="F134" i="7"/>
  <c r="O134" i="7" s="1"/>
  <c r="E134" i="7"/>
  <c r="D134" i="7"/>
  <c r="C134" i="7"/>
  <c r="B134" i="7"/>
  <c r="G133" i="7"/>
  <c r="F133" i="7"/>
  <c r="O133" i="7" s="1"/>
  <c r="E133" i="7"/>
  <c r="D133" i="7"/>
  <c r="C133" i="7"/>
  <c r="B133" i="7"/>
  <c r="G132" i="7"/>
  <c r="F132" i="7"/>
  <c r="N132" i="7" s="1"/>
  <c r="E132" i="7"/>
  <c r="D132" i="7"/>
  <c r="C132" i="7"/>
  <c r="B132" i="7"/>
  <c r="G131" i="7"/>
  <c r="F131" i="7"/>
  <c r="O131" i="7" s="1"/>
  <c r="E131" i="7"/>
  <c r="D131" i="7"/>
  <c r="C131" i="7"/>
  <c r="B131" i="7"/>
  <c r="G130" i="7"/>
  <c r="F130" i="7"/>
  <c r="O130" i="7" s="1"/>
  <c r="E130" i="7"/>
  <c r="D130" i="7"/>
  <c r="C130" i="7"/>
  <c r="B130" i="7"/>
  <c r="G129" i="7"/>
  <c r="F129" i="7"/>
  <c r="E129" i="7"/>
  <c r="D129" i="7"/>
  <c r="C129" i="7"/>
  <c r="B129" i="7"/>
  <c r="G128" i="7"/>
  <c r="F128" i="7"/>
  <c r="O128" i="7" s="1"/>
  <c r="E128" i="7"/>
  <c r="D128" i="7"/>
  <c r="C128" i="7"/>
  <c r="B128" i="7"/>
  <c r="G127" i="7"/>
  <c r="F127" i="7"/>
  <c r="O127" i="7" s="1"/>
  <c r="E127" i="7"/>
  <c r="D127" i="7"/>
  <c r="C127" i="7"/>
  <c r="B127" i="7"/>
  <c r="A126" i="7"/>
  <c r="C17" i="7" s="1"/>
  <c r="G124" i="7"/>
  <c r="F124" i="7"/>
  <c r="P124" i="7" s="1"/>
  <c r="E124" i="7"/>
  <c r="D124" i="7"/>
  <c r="C124" i="7"/>
  <c r="B124" i="7"/>
  <c r="W123" i="7"/>
  <c r="G123" i="7"/>
  <c r="F123" i="7"/>
  <c r="O123" i="7" s="1"/>
  <c r="E123" i="7"/>
  <c r="D123" i="7"/>
  <c r="C123" i="7"/>
  <c r="B123" i="7"/>
  <c r="W122" i="7"/>
  <c r="G122" i="7"/>
  <c r="F122" i="7"/>
  <c r="P122" i="7" s="1"/>
  <c r="E122" i="7"/>
  <c r="D122" i="7"/>
  <c r="C122" i="7"/>
  <c r="B122" i="7"/>
  <c r="W121" i="7"/>
  <c r="G121" i="7"/>
  <c r="F121" i="7"/>
  <c r="O121" i="7" s="1"/>
  <c r="E121" i="7"/>
  <c r="D121" i="7"/>
  <c r="C121" i="7"/>
  <c r="B121" i="7"/>
  <c r="G120" i="7"/>
  <c r="F120" i="7"/>
  <c r="O120" i="7" s="1"/>
  <c r="E120" i="7"/>
  <c r="D120" i="7"/>
  <c r="C120" i="7"/>
  <c r="B120" i="7"/>
  <c r="W119" i="7"/>
  <c r="G119" i="7"/>
  <c r="F119" i="7"/>
  <c r="P119" i="7" s="1"/>
  <c r="E119" i="7"/>
  <c r="D119" i="7"/>
  <c r="C119" i="7"/>
  <c r="B119" i="7"/>
  <c r="W118" i="7"/>
  <c r="G118" i="7"/>
  <c r="F118" i="7"/>
  <c r="O118" i="7" s="1"/>
  <c r="E118" i="7"/>
  <c r="D118" i="7"/>
  <c r="C118" i="7"/>
  <c r="B118" i="7"/>
  <c r="W117" i="7"/>
  <c r="G117" i="7"/>
  <c r="F117" i="7"/>
  <c r="P117" i="7" s="1"/>
  <c r="E117" i="7"/>
  <c r="D117" i="7"/>
  <c r="C117" i="7"/>
  <c r="B117" i="7"/>
  <c r="W116" i="7"/>
  <c r="G116" i="7"/>
  <c r="F116" i="7"/>
  <c r="E116" i="7"/>
  <c r="D116" i="7"/>
  <c r="C116" i="7"/>
  <c r="B116" i="7"/>
  <c r="W115" i="7"/>
  <c r="G115" i="7"/>
  <c r="F115" i="7"/>
  <c r="P115" i="7" s="1"/>
  <c r="E115" i="7"/>
  <c r="D115" i="7"/>
  <c r="C115" i="7"/>
  <c r="B115" i="7"/>
  <c r="W114" i="7"/>
  <c r="G114" i="7"/>
  <c r="F114" i="7"/>
  <c r="O114" i="7" s="1"/>
  <c r="E114" i="7"/>
  <c r="D114" i="7"/>
  <c r="C114" i="7"/>
  <c r="B114" i="7"/>
  <c r="W113" i="7"/>
  <c r="G113" i="7"/>
  <c r="F113" i="7"/>
  <c r="L113" i="7" s="1"/>
  <c r="E113" i="7"/>
  <c r="D113" i="7"/>
  <c r="C113" i="7"/>
  <c r="B113" i="7"/>
  <c r="W112" i="7"/>
  <c r="G112" i="7"/>
  <c r="F112" i="7"/>
  <c r="O112" i="7" s="1"/>
  <c r="E112" i="7"/>
  <c r="D112" i="7"/>
  <c r="C112" i="7"/>
  <c r="B112" i="7"/>
  <c r="W111" i="7"/>
  <c r="G111" i="7"/>
  <c r="F111" i="7"/>
  <c r="P111" i="7" s="1"/>
  <c r="E111" i="7"/>
  <c r="D111" i="7"/>
  <c r="C111" i="7"/>
  <c r="B111" i="7"/>
  <c r="W110" i="7"/>
  <c r="G110" i="7"/>
  <c r="F110" i="7"/>
  <c r="O110" i="7" s="1"/>
  <c r="E110" i="7"/>
  <c r="D110" i="7"/>
  <c r="C110" i="7"/>
  <c r="B110" i="7"/>
  <c r="G109" i="7"/>
  <c r="F109" i="7"/>
  <c r="L109" i="7" s="1"/>
  <c r="E109" i="7"/>
  <c r="D109" i="7"/>
  <c r="C109" i="7"/>
  <c r="B109" i="7"/>
  <c r="G108" i="7"/>
  <c r="F108" i="7"/>
  <c r="E108" i="7"/>
  <c r="D108" i="7"/>
  <c r="C108" i="7"/>
  <c r="B108" i="7"/>
  <c r="G107" i="7"/>
  <c r="F107" i="7"/>
  <c r="P107" i="7" s="1"/>
  <c r="E107" i="7"/>
  <c r="D107" i="7"/>
  <c r="C107" i="7"/>
  <c r="B107" i="7"/>
  <c r="G106" i="7"/>
  <c r="F106" i="7"/>
  <c r="O106" i="7" s="1"/>
  <c r="E106" i="7"/>
  <c r="D106" i="7"/>
  <c r="C106" i="7"/>
  <c r="B106" i="7"/>
  <c r="G105" i="7"/>
  <c r="F105" i="7"/>
  <c r="E105" i="7"/>
  <c r="D105" i="7"/>
  <c r="C105" i="7"/>
  <c r="B105" i="7"/>
  <c r="G104" i="7"/>
  <c r="F104" i="7"/>
  <c r="O104" i="7" s="1"/>
  <c r="E104" i="7"/>
  <c r="D104" i="7"/>
  <c r="C104" i="7"/>
  <c r="B104" i="7"/>
  <c r="G103" i="7"/>
  <c r="F103" i="7"/>
  <c r="P103" i="7" s="1"/>
  <c r="E103" i="7"/>
  <c r="D103" i="7"/>
  <c r="C103" i="7"/>
  <c r="B103" i="7"/>
  <c r="A102" i="7"/>
  <c r="C3" i="7" s="1"/>
  <c r="E94" i="7"/>
  <c r="C93" i="7"/>
  <c r="C92" i="7"/>
  <c r="C88" i="7"/>
  <c r="C86" i="7"/>
  <c r="C84" i="7"/>
  <c r="C83" i="7"/>
  <c r="C82" i="7"/>
  <c r="C81" i="7"/>
  <c r="C80" i="7"/>
  <c r="C78" i="7"/>
  <c r="E75" i="7"/>
  <c r="C74" i="7"/>
  <c r="C73" i="7"/>
  <c r="C70" i="7"/>
  <c r="C69" i="7"/>
  <c r="C68" i="7"/>
  <c r="C66" i="7"/>
  <c r="C62" i="7"/>
  <c r="C60" i="7"/>
  <c r="C59" i="7"/>
  <c r="C58" i="7"/>
  <c r="C57" i="7"/>
  <c r="C54" i="7"/>
  <c r="C53" i="7"/>
  <c r="C52" i="7"/>
  <c r="C51" i="7"/>
  <c r="C50" i="7"/>
  <c r="C49" i="7"/>
  <c r="C46" i="7"/>
  <c r="C45" i="7"/>
  <c r="C44" i="7"/>
  <c r="C43" i="7"/>
  <c r="C42" i="7"/>
  <c r="C41" i="7"/>
  <c r="AF38" i="7"/>
  <c r="AH38" i="7" s="1"/>
  <c r="AF37" i="7"/>
  <c r="AH37" i="7" s="1"/>
  <c r="AF36" i="7"/>
  <c r="AH36" i="7" s="1"/>
  <c r="AH35" i="7"/>
  <c r="AF35" i="7"/>
  <c r="C35" i="7"/>
  <c r="C34" i="7"/>
  <c r="C33" i="7"/>
  <c r="C32" i="7"/>
  <c r="AF31" i="7"/>
  <c r="AH31" i="7" s="1"/>
  <c r="C31" i="7"/>
  <c r="AH30" i="7"/>
  <c r="C30" i="7"/>
  <c r="AH29" i="7"/>
  <c r="C29" i="7"/>
  <c r="AH28" i="7"/>
  <c r="AH27" i="7"/>
  <c r="AF26" i="7"/>
  <c r="AH26" i="7" s="1"/>
  <c r="W26" i="7"/>
  <c r="AF25" i="7"/>
  <c r="AH25" i="7" s="1"/>
  <c r="W25" i="7"/>
  <c r="C25" i="7"/>
  <c r="W24" i="7"/>
  <c r="C24" i="7"/>
  <c r="C23" i="7"/>
  <c r="AF22" i="7"/>
  <c r="AH22" i="7" s="1"/>
  <c r="W22" i="7"/>
  <c r="C22" i="7"/>
  <c r="AF21" i="7"/>
  <c r="AH21" i="7" s="1"/>
  <c r="W21" i="7"/>
  <c r="C21" i="7"/>
  <c r="AF20" i="7"/>
  <c r="AH20" i="7" s="1"/>
  <c r="W20" i="7"/>
  <c r="AH19" i="7"/>
  <c r="AF19" i="7"/>
  <c r="W19" i="7"/>
  <c r="AF18" i="7"/>
  <c r="AH18" i="7" s="1"/>
  <c r="W18" i="7"/>
  <c r="AF17" i="7"/>
  <c r="AH17" i="7" s="1"/>
  <c r="W17" i="7"/>
  <c r="AF16" i="7"/>
  <c r="AH16" i="7" s="1"/>
  <c r="W16" i="7"/>
  <c r="W15" i="7"/>
  <c r="AH14" i="7"/>
  <c r="W14" i="7"/>
  <c r="C14" i="7"/>
  <c r="W13" i="7"/>
  <c r="C13" i="7"/>
  <c r="W12" i="7"/>
  <c r="C12" i="7"/>
  <c r="W11" i="7"/>
  <c r="C11" i="7"/>
  <c r="AF10" i="7"/>
  <c r="AH10" i="7" s="1"/>
  <c r="AH11" i="7" s="1"/>
  <c r="W10" i="7"/>
  <c r="C9" i="7"/>
  <c r="C7" i="7"/>
  <c r="C5" i="7"/>
  <c r="F37" i="17"/>
  <c r="E37" i="17"/>
  <c r="F36" i="17"/>
  <c r="E36" i="17"/>
  <c r="F33" i="17"/>
  <c r="E33" i="17"/>
  <c r="F32" i="17"/>
  <c r="E32" i="17"/>
  <c r="F31" i="17"/>
  <c r="E31" i="17"/>
  <c r="F30" i="17"/>
  <c r="E30" i="17"/>
  <c r="F29" i="17"/>
  <c r="E29" i="17"/>
  <c r="F28" i="17"/>
  <c r="E28" i="17"/>
  <c r="F27" i="17"/>
  <c r="E27" i="17"/>
  <c r="F26" i="17"/>
  <c r="E26" i="17"/>
  <c r="C23" i="17"/>
  <c r="C22" i="17"/>
  <c r="C21" i="17"/>
  <c r="C20" i="17"/>
  <c r="A12" i="17"/>
  <c r="F499" i="14"/>
  <c r="F498" i="14"/>
  <c r="F497" i="14"/>
  <c r="F496" i="14"/>
  <c r="F495" i="14"/>
  <c r="F494" i="14"/>
  <c r="F493" i="14"/>
  <c r="F492" i="14"/>
  <c r="F491" i="14"/>
  <c r="F490" i="14"/>
  <c r="F489" i="14"/>
  <c r="F488" i="14"/>
  <c r="F487" i="14"/>
  <c r="F486" i="14"/>
  <c r="F485" i="14"/>
  <c r="F484" i="14"/>
  <c r="F483" i="14"/>
  <c r="F482" i="14"/>
  <c r="F481" i="14"/>
  <c r="F480" i="14"/>
  <c r="F479" i="14"/>
  <c r="F478" i="14"/>
  <c r="F477" i="14"/>
  <c r="F476" i="14"/>
  <c r="F475" i="14"/>
  <c r="F474" i="14"/>
  <c r="F473" i="14"/>
  <c r="F472" i="14"/>
  <c r="F471" i="14"/>
  <c r="F470" i="14"/>
  <c r="F469" i="14"/>
  <c r="F468" i="14"/>
  <c r="F467" i="14"/>
  <c r="F466" i="14"/>
  <c r="F465" i="14"/>
  <c r="F464" i="14"/>
  <c r="F463" i="14"/>
  <c r="F462" i="14"/>
  <c r="F461" i="14"/>
  <c r="F460" i="14"/>
  <c r="F459" i="14"/>
  <c r="F458" i="14"/>
  <c r="F457" i="14"/>
  <c r="F456" i="14"/>
  <c r="F455" i="14"/>
  <c r="F454" i="14"/>
  <c r="F453" i="14"/>
  <c r="F452" i="14"/>
  <c r="F451" i="14"/>
  <c r="F450" i="14"/>
  <c r="E447" i="14"/>
  <c r="E446" i="14"/>
  <c r="E445" i="14"/>
  <c r="E444" i="14"/>
  <c r="F443" i="14"/>
  <c r="E443" i="14"/>
  <c r="F442" i="14"/>
  <c r="E442" i="14"/>
  <c r="F441" i="14"/>
  <c r="E441" i="14"/>
  <c r="F440" i="14"/>
  <c r="E440" i="14"/>
  <c r="F439" i="14"/>
  <c r="E439" i="14"/>
  <c r="F438" i="14"/>
  <c r="E438" i="14"/>
  <c r="F437" i="14"/>
  <c r="E437" i="14"/>
  <c r="F436" i="14"/>
  <c r="E436" i="14"/>
  <c r="F435" i="14"/>
  <c r="E435" i="14"/>
  <c r="F434" i="14"/>
  <c r="E434" i="14"/>
  <c r="F433" i="14"/>
  <c r="E433" i="14"/>
  <c r="F432" i="14"/>
  <c r="E432" i="14"/>
  <c r="F431" i="14"/>
  <c r="E431" i="14"/>
  <c r="F430" i="14"/>
  <c r="E430" i="14"/>
  <c r="F429" i="14"/>
  <c r="E429" i="14"/>
  <c r="F428" i="14"/>
  <c r="E428" i="14"/>
  <c r="F427" i="14"/>
  <c r="E427" i="14"/>
  <c r="F426" i="14"/>
  <c r="E426" i="14"/>
  <c r="F425" i="14"/>
  <c r="E425" i="14"/>
  <c r="F424" i="14"/>
  <c r="E424" i="14"/>
  <c r="F423" i="14"/>
  <c r="E423" i="14"/>
  <c r="F422" i="14"/>
  <c r="E422" i="14"/>
  <c r="F421" i="14"/>
  <c r="E421" i="14"/>
  <c r="F420" i="14"/>
  <c r="E420" i="14"/>
  <c r="F419" i="14"/>
  <c r="E419" i="14"/>
  <c r="F418" i="14"/>
  <c r="E418" i="14"/>
  <c r="F417" i="14"/>
  <c r="E417" i="14"/>
  <c r="F416" i="14"/>
  <c r="E416" i="14"/>
  <c r="F415" i="14"/>
  <c r="E415" i="14"/>
  <c r="F414" i="14"/>
  <c r="E414" i="14"/>
  <c r="F413" i="14"/>
  <c r="E413" i="14"/>
  <c r="F412" i="14"/>
  <c r="E412" i="14"/>
  <c r="F411" i="14"/>
  <c r="E411" i="14"/>
  <c r="F410" i="14"/>
  <c r="E410" i="14"/>
  <c r="F409" i="14"/>
  <c r="E409" i="14"/>
  <c r="F408" i="14"/>
  <c r="E408" i="14"/>
  <c r="F407" i="14"/>
  <c r="E407" i="14"/>
  <c r="F406" i="14"/>
  <c r="E406" i="14"/>
  <c r="F405" i="14"/>
  <c r="E405" i="14"/>
  <c r="F404" i="14"/>
  <c r="E404" i="14"/>
  <c r="F403" i="14"/>
  <c r="E403" i="14"/>
  <c r="F402" i="14"/>
  <c r="E402" i="14"/>
  <c r="F401" i="14"/>
  <c r="E401" i="14"/>
  <c r="F400" i="14"/>
  <c r="E400" i="14"/>
  <c r="F399" i="14"/>
  <c r="E399" i="14"/>
  <c r="F398" i="14"/>
  <c r="E398" i="14"/>
  <c r="F397" i="14"/>
  <c r="E397" i="14"/>
  <c r="F396" i="14"/>
  <c r="E396" i="14"/>
  <c r="F395" i="14"/>
  <c r="E395" i="14"/>
  <c r="F394" i="14"/>
  <c r="E394" i="14"/>
  <c r="F393" i="14"/>
  <c r="E393" i="14"/>
  <c r="F392" i="14"/>
  <c r="E392" i="14"/>
  <c r="F391" i="14"/>
  <c r="E391" i="14"/>
  <c r="F390" i="14"/>
  <c r="E390" i="14"/>
  <c r="F389" i="14"/>
  <c r="E389" i="14"/>
  <c r="F388" i="14"/>
  <c r="E388" i="14"/>
  <c r="F387" i="14"/>
  <c r="E387" i="14"/>
  <c r="F386" i="14"/>
  <c r="E386" i="14"/>
  <c r="F385" i="14"/>
  <c r="E385" i="14"/>
  <c r="F384" i="14"/>
  <c r="E384" i="14"/>
  <c r="F383" i="14"/>
  <c r="E383" i="14"/>
  <c r="F382" i="14"/>
  <c r="E382" i="14"/>
  <c r="F381" i="14"/>
  <c r="E381" i="14"/>
  <c r="F380" i="14"/>
  <c r="E380" i="14"/>
  <c r="F379" i="14"/>
  <c r="E379" i="14"/>
  <c r="F378" i="14"/>
  <c r="E378" i="14"/>
  <c r="F377" i="14"/>
  <c r="E377" i="14"/>
  <c r="F376" i="14"/>
  <c r="E376" i="14"/>
  <c r="F375" i="14"/>
  <c r="E375" i="14"/>
  <c r="F374" i="14"/>
  <c r="E374" i="14"/>
  <c r="F373" i="14"/>
  <c r="E373" i="14"/>
  <c r="F372" i="14"/>
  <c r="E372" i="14"/>
  <c r="F371" i="14"/>
  <c r="E371" i="14"/>
  <c r="F370" i="14"/>
  <c r="E370" i="14"/>
  <c r="F369" i="14"/>
  <c r="E369" i="14"/>
  <c r="F368" i="14"/>
  <c r="E368" i="14"/>
  <c r="F367" i="14"/>
  <c r="E367" i="14"/>
  <c r="F366" i="14"/>
  <c r="E366" i="14"/>
  <c r="F365" i="14"/>
  <c r="E365" i="14"/>
  <c r="F364" i="14"/>
  <c r="E364" i="14"/>
  <c r="F363" i="14"/>
  <c r="E363" i="14"/>
  <c r="F362" i="14"/>
  <c r="E362" i="14"/>
  <c r="F361" i="14"/>
  <c r="E361" i="14"/>
  <c r="F360" i="14"/>
  <c r="E360" i="14"/>
  <c r="F359" i="14"/>
  <c r="E359" i="14"/>
  <c r="F358" i="14"/>
  <c r="E358" i="14"/>
  <c r="F357" i="14"/>
  <c r="E357" i="14"/>
  <c r="F356" i="14"/>
  <c r="E356" i="14"/>
  <c r="F355" i="14"/>
  <c r="E355" i="14"/>
  <c r="F354" i="14"/>
  <c r="E354" i="14"/>
  <c r="F353" i="14"/>
  <c r="E353" i="14"/>
  <c r="F352" i="14"/>
  <c r="E352" i="14"/>
  <c r="F351" i="14"/>
  <c r="E351" i="14"/>
  <c r="F350" i="14"/>
  <c r="E350" i="14"/>
  <c r="F349" i="14"/>
  <c r="E349" i="14"/>
  <c r="F348" i="14"/>
  <c r="E348" i="14"/>
  <c r="F347" i="14"/>
  <c r="E347" i="14"/>
  <c r="F346" i="14"/>
  <c r="E346" i="14"/>
  <c r="F345" i="14"/>
  <c r="E345" i="14"/>
  <c r="F344" i="14"/>
  <c r="E344" i="14"/>
  <c r="F343" i="14"/>
  <c r="E343" i="14"/>
  <c r="F342" i="14"/>
  <c r="E342" i="14"/>
  <c r="F341" i="14"/>
  <c r="E341" i="14"/>
  <c r="F340" i="14"/>
  <c r="E340" i="14"/>
  <c r="F339" i="14"/>
  <c r="E339" i="14"/>
  <c r="F338" i="14"/>
  <c r="E338" i="14"/>
  <c r="F337" i="14"/>
  <c r="E337" i="14"/>
  <c r="F336" i="14"/>
  <c r="E336" i="14"/>
  <c r="F335" i="14"/>
  <c r="E335" i="14"/>
  <c r="F334" i="14"/>
  <c r="E334" i="14"/>
  <c r="F333" i="14"/>
  <c r="E333" i="14"/>
  <c r="F332" i="14"/>
  <c r="E332" i="14"/>
  <c r="F331" i="14"/>
  <c r="E331" i="14"/>
  <c r="F330" i="14"/>
  <c r="E330" i="14"/>
  <c r="F329" i="14"/>
  <c r="E329" i="14"/>
  <c r="F328" i="14"/>
  <c r="E328" i="14"/>
  <c r="F327" i="14"/>
  <c r="E327" i="14"/>
  <c r="F326" i="14"/>
  <c r="E326" i="14"/>
  <c r="F325" i="14"/>
  <c r="E325" i="14"/>
  <c r="F324" i="14"/>
  <c r="E324" i="14"/>
  <c r="F323" i="14"/>
  <c r="E323" i="14"/>
  <c r="F322" i="14"/>
  <c r="E322" i="14"/>
  <c r="F321" i="14"/>
  <c r="E321" i="14"/>
  <c r="F320" i="14"/>
  <c r="E320" i="14"/>
  <c r="F319" i="14"/>
  <c r="E319" i="14"/>
  <c r="F318" i="14"/>
  <c r="E318" i="14"/>
  <c r="F317" i="14"/>
  <c r="E317" i="14"/>
  <c r="F316" i="14"/>
  <c r="E316" i="14"/>
  <c r="F315" i="14"/>
  <c r="E315" i="14"/>
  <c r="F314" i="14"/>
  <c r="E314" i="14"/>
  <c r="F313" i="14"/>
  <c r="E313" i="14"/>
  <c r="F312" i="14"/>
  <c r="E312" i="14"/>
  <c r="F311" i="14"/>
  <c r="E311" i="14"/>
  <c r="F310" i="14"/>
  <c r="E310" i="14"/>
  <c r="F309" i="14"/>
  <c r="E309" i="14"/>
  <c r="F308" i="14"/>
  <c r="E308" i="14"/>
  <c r="F307" i="14"/>
  <c r="E307" i="14"/>
  <c r="F306" i="14"/>
  <c r="E306" i="14"/>
  <c r="F305" i="14"/>
  <c r="E305" i="14"/>
  <c r="F304" i="14"/>
  <c r="E304" i="14"/>
  <c r="F303" i="14"/>
  <c r="E303" i="14"/>
  <c r="F302" i="14"/>
  <c r="E302" i="14"/>
  <c r="F301" i="14"/>
  <c r="E301" i="14"/>
  <c r="F300" i="14"/>
  <c r="E300" i="14"/>
  <c r="F299" i="14"/>
  <c r="E299" i="14"/>
  <c r="F298" i="14"/>
  <c r="E298" i="14"/>
  <c r="F297" i="14"/>
  <c r="E297" i="14"/>
  <c r="F296" i="14"/>
  <c r="E296" i="14"/>
  <c r="F295" i="14"/>
  <c r="E295" i="14"/>
  <c r="F294" i="14"/>
  <c r="E294" i="14"/>
  <c r="F293" i="14"/>
  <c r="E293" i="14"/>
  <c r="F292" i="14"/>
  <c r="E292" i="14"/>
  <c r="F291" i="14"/>
  <c r="E291" i="14"/>
  <c r="F290" i="14"/>
  <c r="E290" i="14"/>
  <c r="F289" i="14"/>
  <c r="E289" i="14"/>
  <c r="F288" i="14"/>
  <c r="E288" i="14"/>
  <c r="F287" i="14"/>
  <c r="E287" i="14"/>
  <c r="F286" i="14"/>
  <c r="E286" i="14"/>
  <c r="F285" i="14"/>
  <c r="E285" i="14"/>
  <c r="F284" i="14"/>
  <c r="E284" i="14"/>
  <c r="F283" i="14"/>
  <c r="E283" i="14"/>
  <c r="F282" i="14"/>
  <c r="E282" i="14"/>
  <c r="F281" i="14"/>
  <c r="E281" i="14"/>
  <c r="F280" i="14"/>
  <c r="E280" i="14"/>
  <c r="F279" i="14"/>
  <c r="E279" i="14"/>
  <c r="F278" i="14"/>
  <c r="E278" i="14"/>
  <c r="F277" i="14"/>
  <c r="E277" i="14"/>
  <c r="F276" i="14"/>
  <c r="E276" i="14"/>
  <c r="F275" i="14"/>
  <c r="E275" i="14"/>
  <c r="F274" i="14"/>
  <c r="E274" i="14"/>
  <c r="F273" i="14"/>
  <c r="E273" i="14"/>
  <c r="F272" i="14"/>
  <c r="E272" i="14"/>
  <c r="F271" i="14"/>
  <c r="E271" i="14"/>
  <c r="F270" i="14"/>
  <c r="E270" i="14"/>
  <c r="F269" i="14"/>
  <c r="E269" i="14"/>
  <c r="F268" i="14"/>
  <c r="E268" i="14"/>
  <c r="F267" i="14"/>
  <c r="E267" i="14"/>
  <c r="F266" i="14"/>
  <c r="E266" i="14"/>
  <c r="F265" i="14"/>
  <c r="E265" i="14"/>
  <c r="F264" i="14"/>
  <c r="E264" i="14"/>
  <c r="F263" i="14"/>
  <c r="E263" i="14"/>
  <c r="F262" i="14"/>
  <c r="E262" i="14"/>
  <c r="F261" i="14"/>
  <c r="E261" i="14"/>
  <c r="F260" i="14"/>
  <c r="E260" i="14"/>
  <c r="F259" i="14"/>
  <c r="E259" i="14"/>
  <c r="F258" i="14"/>
  <c r="E258" i="14"/>
  <c r="F257" i="14"/>
  <c r="E257" i="14"/>
  <c r="F256" i="14"/>
  <c r="E256" i="14"/>
  <c r="F255" i="14"/>
  <c r="E255" i="14"/>
  <c r="F254" i="14"/>
  <c r="E254" i="14"/>
  <c r="F253" i="14"/>
  <c r="E253" i="14"/>
  <c r="F252" i="14"/>
  <c r="E252" i="14"/>
  <c r="F251" i="14"/>
  <c r="E251" i="14"/>
  <c r="F250" i="14"/>
  <c r="E250" i="14"/>
  <c r="F249" i="14"/>
  <c r="E249" i="14"/>
  <c r="F248" i="14"/>
  <c r="E248" i="14"/>
  <c r="F247" i="14"/>
  <c r="E247" i="14"/>
  <c r="F246" i="14"/>
  <c r="E246" i="14"/>
  <c r="F245" i="14"/>
  <c r="E245" i="14"/>
  <c r="F244" i="14"/>
  <c r="E244" i="14"/>
  <c r="F243" i="14"/>
  <c r="E243" i="14"/>
  <c r="F242" i="14"/>
  <c r="E242" i="14"/>
  <c r="F241" i="14"/>
  <c r="E241" i="14"/>
  <c r="F240" i="14"/>
  <c r="E240" i="14"/>
  <c r="F239" i="14"/>
  <c r="E239" i="14"/>
  <c r="F238" i="14"/>
  <c r="E238" i="14"/>
  <c r="F237" i="14"/>
  <c r="E237" i="14"/>
  <c r="F236" i="14"/>
  <c r="E236" i="14"/>
  <c r="F235" i="14"/>
  <c r="E235" i="14"/>
  <c r="F234" i="14"/>
  <c r="E234" i="14"/>
  <c r="F233" i="14"/>
  <c r="E233" i="14"/>
  <c r="F232" i="14"/>
  <c r="E232" i="14"/>
  <c r="F231" i="14"/>
  <c r="E231" i="14"/>
  <c r="F230" i="14"/>
  <c r="E230" i="14"/>
  <c r="F229" i="14"/>
  <c r="E229" i="14"/>
  <c r="F228" i="14"/>
  <c r="E228" i="14"/>
  <c r="F227" i="14"/>
  <c r="E227" i="14"/>
  <c r="F226" i="14"/>
  <c r="E226" i="14"/>
  <c r="F225" i="14"/>
  <c r="E225" i="14"/>
  <c r="F224" i="14"/>
  <c r="E224" i="14"/>
  <c r="F223" i="14"/>
  <c r="E223" i="14"/>
  <c r="F222" i="14"/>
  <c r="E222" i="14"/>
  <c r="F221" i="14"/>
  <c r="E221" i="14"/>
  <c r="F220" i="14"/>
  <c r="E220" i="14"/>
  <c r="F219" i="14"/>
  <c r="E219" i="14"/>
  <c r="F218" i="14"/>
  <c r="E218" i="14"/>
  <c r="F217" i="14"/>
  <c r="E217" i="14"/>
  <c r="F216" i="14"/>
  <c r="E216" i="14"/>
  <c r="F215" i="14"/>
  <c r="E215" i="14"/>
  <c r="F214" i="14"/>
  <c r="E214" i="14"/>
  <c r="F213" i="14"/>
  <c r="E213" i="14"/>
  <c r="F212" i="14"/>
  <c r="E212" i="14"/>
  <c r="F211" i="14"/>
  <c r="E211" i="14"/>
  <c r="F210" i="14"/>
  <c r="E210" i="14"/>
  <c r="F209" i="14"/>
  <c r="E209" i="14"/>
  <c r="F208" i="14"/>
  <c r="E208" i="14"/>
  <c r="F207" i="14"/>
  <c r="E207" i="14"/>
  <c r="F206" i="14"/>
  <c r="E206" i="14"/>
  <c r="F205" i="14"/>
  <c r="E205" i="14"/>
  <c r="F204" i="14"/>
  <c r="E204" i="14"/>
  <c r="F203" i="14"/>
  <c r="E203" i="14"/>
  <c r="F202" i="14"/>
  <c r="E202" i="14"/>
  <c r="F201" i="14"/>
  <c r="E201" i="14"/>
  <c r="F200" i="14"/>
  <c r="E200" i="14"/>
  <c r="F199" i="14"/>
  <c r="E199" i="14"/>
  <c r="F198" i="14"/>
  <c r="E198" i="14"/>
  <c r="F197" i="14"/>
  <c r="E197" i="14"/>
  <c r="F196" i="14"/>
  <c r="E196" i="14"/>
  <c r="F195" i="14"/>
  <c r="E195" i="14"/>
  <c r="F194" i="14"/>
  <c r="E194" i="14"/>
  <c r="F193" i="14"/>
  <c r="E193" i="14"/>
  <c r="F192" i="14"/>
  <c r="E192" i="14"/>
  <c r="F191" i="14"/>
  <c r="E191" i="14"/>
  <c r="F190" i="14"/>
  <c r="E190" i="14"/>
  <c r="F189" i="14"/>
  <c r="E189" i="14"/>
  <c r="F188" i="14"/>
  <c r="E188" i="14"/>
  <c r="F187" i="14"/>
  <c r="E187" i="14"/>
  <c r="F186" i="14"/>
  <c r="E186" i="14"/>
  <c r="F185" i="14"/>
  <c r="E185" i="14"/>
  <c r="F184" i="14"/>
  <c r="E184" i="14"/>
  <c r="F183" i="14"/>
  <c r="E183" i="14"/>
  <c r="F182" i="14"/>
  <c r="E182" i="14"/>
  <c r="F181" i="14"/>
  <c r="E181" i="14"/>
  <c r="F180" i="14"/>
  <c r="E180" i="14"/>
  <c r="F179" i="14"/>
  <c r="E179" i="14"/>
  <c r="F178" i="14"/>
  <c r="E178" i="14"/>
  <c r="F177" i="14"/>
  <c r="E177" i="14"/>
  <c r="F176" i="14"/>
  <c r="E176" i="14"/>
  <c r="F175" i="14"/>
  <c r="E175" i="14"/>
  <c r="F174" i="14"/>
  <c r="E174" i="14"/>
  <c r="F173" i="14"/>
  <c r="E173" i="14"/>
  <c r="F172" i="14"/>
  <c r="E172" i="14"/>
  <c r="F171" i="14"/>
  <c r="E171" i="14"/>
  <c r="F170" i="14"/>
  <c r="E170" i="14"/>
  <c r="F169" i="14"/>
  <c r="E169" i="14"/>
  <c r="F168" i="14"/>
  <c r="E168" i="14"/>
  <c r="F167" i="14"/>
  <c r="E167" i="14"/>
  <c r="F166" i="14"/>
  <c r="E166" i="14"/>
  <c r="F165" i="14"/>
  <c r="E165" i="14"/>
  <c r="F164" i="14"/>
  <c r="E164" i="14"/>
  <c r="F163" i="14"/>
  <c r="E163" i="14"/>
  <c r="F162" i="14"/>
  <c r="E162" i="14"/>
  <c r="F161" i="14"/>
  <c r="E161" i="14"/>
  <c r="F160" i="14"/>
  <c r="E160" i="14"/>
  <c r="F159" i="14"/>
  <c r="E159" i="14"/>
  <c r="F158" i="14"/>
  <c r="E158" i="14"/>
  <c r="F157" i="14"/>
  <c r="E157" i="14"/>
  <c r="F156" i="14"/>
  <c r="E156" i="14"/>
  <c r="F155" i="14"/>
  <c r="E155" i="14"/>
  <c r="F154" i="14"/>
  <c r="E154" i="14"/>
  <c r="F153" i="14"/>
  <c r="E153" i="14"/>
  <c r="F152" i="14"/>
  <c r="E152" i="14"/>
  <c r="F151" i="14"/>
  <c r="E151" i="14"/>
  <c r="F150" i="14"/>
  <c r="E150" i="14"/>
  <c r="F149" i="14"/>
  <c r="E149" i="14"/>
  <c r="F148" i="14"/>
  <c r="E148" i="14"/>
  <c r="F147" i="14"/>
  <c r="E147" i="14"/>
  <c r="F146" i="14"/>
  <c r="E146" i="14"/>
  <c r="F145" i="14"/>
  <c r="E145" i="14"/>
  <c r="F144" i="14"/>
  <c r="E144" i="14"/>
  <c r="F143" i="14"/>
  <c r="E143" i="14"/>
  <c r="F142" i="14"/>
  <c r="E142" i="14"/>
  <c r="F141" i="14"/>
  <c r="E141" i="14"/>
  <c r="F140" i="14"/>
  <c r="E140" i="14"/>
  <c r="F139" i="14"/>
  <c r="E139" i="14"/>
  <c r="F138" i="14"/>
  <c r="E138" i="14"/>
  <c r="F137" i="14"/>
  <c r="E137" i="14"/>
  <c r="F136" i="14"/>
  <c r="E136" i="14"/>
  <c r="F135" i="14"/>
  <c r="E135" i="14"/>
  <c r="F134" i="14"/>
  <c r="E134" i="14"/>
  <c r="F133" i="14"/>
  <c r="E133" i="14"/>
  <c r="F132" i="14"/>
  <c r="E132" i="14"/>
  <c r="F131" i="14"/>
  <c r="E131" i="14"/>
  <c r="F130" i="14"/>
  <c r="E130" i="14"/>
  <c r="F129" i="14"/>
  <c r="E129" i="14"/>
  <c r="F128" i="14"/>
  <c r="E128" i="14"/>
  <c r="F127" i="14"/>
  <c r="E127" i="14"/>
  <c r="F126" i="14"/>
  <c r="E126" i="14"/>
  <c r="F125" i="14"/>
  <c r="E125" i="14"/>
  <c r="F124" i="14"/>
  <c r="E124" i="14"/>
  <c r="F123" i="14"/>
  <c r="E123" i="14"/>
  <c r="F122" i="14"/>
  <c r="E122" i="14"/>
  <c r="F121" i="14"/>
  <c r="E121" i="14"/>
  <c r="F120" i="14"/>
  <c r="E120" i="14"/>
  <c r="F119" i="14"/>
  <c r="E119" i="14"/>
  <c r="F118" i="14"/>
  <c r="E118" i="14"/>
  <c r="F117" i="14"/>
  <c r="E117" i="14"/>
  <c r="F116" i="14"/>
  <c r="E116" i="14"/>
  <c r="F115" i="14"/>
  <c r="E115" i="14"/>
  <c r="F114" i="14"/>
  <c r="E114" i="14"/>
  <c r="F113" i="14"/>
  <c r="E113" i="14"/>
  <c r="F112" i="14"/>
  <c r="E112" i="14"/>
  <c r="F111" i="14"/>
  <c r="E111" i="14"/>
  <c r="F110" i="14"/>
  <c r="E110" i="14"/>
  <c r="F109" i="14"/>
  <c r="E109" i="14"/>
  <c r="F108" i="14"/>
  <c r="E108" i="14"/>
  <c r="F107" i="14"/>
  <c r="E107" i="14"/>
  <c r="F106" i="14"/>
  <c r="E106" i="14"/>
  <c r="F105" i="14"/>
  <c r="E105" i="14"/>
  <c r="F104" i="14"/>
  <c r="E104" i="14"/>
  <c r="F103" i="14"/>
  <c r="E103" i="14"/>
  <c r="F102" i="14"/>
  <c r="E102" i="14"/>
  <c r="F101" i="14"/>
  <c r="E101" i="14"/>
  <c r="F100" i="14"/>
  <c r="E100" i="14"/>
  <c r="F99" i="14"/>
  <c r="E99" i="14"/>
  <c r="F98" i="14"/>
  <c r="E98" i="14"/>
  <c r="F97" i="14"/>
  <c r="E97" i="14"/>
  <c r="F96" i="14"/>
  <c r="E96" i="14"/>
  <c r="F95" i="14"/>
  <c r="E95" i="14"/>
  <c r="F94" i="14"/>
  <c r="E94" i="14"/>
  <c r="F93" i="14"/>
  <c r="E93" i="14"/>
  <c r="F92" i="14"/>
  <c r="E92" i="14"/>
  <c r="F91" i="14"/>
  <c r="E91" i="14"/>
  <c r="F90" i="14"/>
  <c r="E90" i="14"/>
  <c r="F89" i="14"/>
  <c r="E89" i="14"/>
  <c r="F88" i="14"/>
  <c r="E88" i="14"/>
  <c r="F87" i="14"/>
  <c r="E87" i="14"/>
  <c r="F86" i="14"/>
  <c r="E86" i="14"/>
  <c r="F85" i="14"/>
  <c r="E85" i="14"/>
  <c r="F84" i="14"/>
  <c r="E84" i="14"/>
  <c r="F83" i="14"/>
  <c r="E83" i="14"/>
  <c r="F82" i="14"/>
  <c r="E82" i="14"/>
  <c r="F81" i="14"/>
  <c r="E81" i="14"/>
  <c r="F80" i="14"/>
  <c r="E80" i="14"/>
  <c r="F79" i="14"/>
  <c r="E79" i="14"/>
  <c r="F78" i="14"/>
  <c r="E78" i="14"/>
  <c r="F77" i="14"/>
  <c r="E77" i="14"/>
  <c r="F76" i="14"/>
  <c r="E76" i="14"/>
  <c r="F75" i="14"/>
  <c r="E75" i="14"/>
  <c r="F74" i="14"/>
  <c r="E74" i="14"/>
  <c r="F73" i="14"/>
  <c r="E73" i="14"/>
  <c r="F72" i="14"/>
  <c r="E72" i="14"/>
  <c r="F71" i="14"/>
  <c r="E71" i="14"/>
  <c r="F70" i="14"/>
  <c r="E70" i="14"/>
  <c r="F69" i="14"/>
  <c r="E69" i="14"/>
  <c r="F68" i="14"/>
  <c r="E68" i="14"/>
  <c r="F67" i="14"/>
  <c r="E67" i="14"/>
  <c r="F66" i="14"/>
  <c r="E66" i="14"/>
  <c r="F65" i="14"/>
  <c r="E65" i="14"/>
  <c r="F64" i="14"/>
  <c r="E64" i="14"/>
  <c r="F63" i="14"/>
  <c r="E63" i="14"/>
  <c r="F62" i="14"/>
  <c r="E62" i="14"/>
  <c r="F61" i="14"/>
  <c r="E61" i="14"/>
  <c r="F60" i="14"/>
  <c r="E60" i="14"/>
  <c r="F59" i="14"/>
  <c r="E59" i="14"/>
  <c r="F58" i="14"/>
  <c r="E58" i="14"/>
  <c r="F57" i="14"/>
  <c r="E57" i="14"/>
  <c r="F56" i="14"/>
  <c r="E56" i="14"/>
  <c r="F55" i="14"/>
  <c r="E55" i="14"/>
  <c r="F54" i="14"/>
  <c r="E54" i="14"/>
  <c r="F53" i="14"/>
  <c r="E53" i="14"/>
  <c r="F52" i="14"/>
  <c r="E52" i="14"/>
  <c r="F51" i="14"/>
  <c r="E51" i="14"/>
  <c r="F50" i="14"/>
  <c r="E50" i="14"/>
  <c r="F49" i="14"/>
  <c r="E49" i="14"/>
  <c r="F48" i="14"/>
  <c r="E48" i="14"/>
  <c r="F47" i="14"/>
  <c r="E47" i="14"/>
  <c r="F46" i="14"/>
  <c r="E46" i="14"/>
  <c r="F45" i="14"/>
  <c r="E45" i="14"/>
  <c r="F44" i="14"/>
  <c r="E44" i="14"/>
  <c r="F43" i="14"/>
  <c r="E43" i="14"/>
  <c r="F42" i="14"/>
  <c r="E42" i="14"/>
  <c r="F41" i="14"/>
  <c r="E41" i="14"/>
  <c r="F40" i="14"/>
  <c r="E40" i="14"/>
  <c r="F39" i="14"/>
  <c r="E39" i="14"/>
  <c r="F38" i="14"/>
  <c r="E38" i="14"/>
  <c r="F37" i="14"/>
  <c r="E37" i="14"/>
  <c r="F36" i="14"/>
  <c r="E36" i="14"/>
  <c r="F35" i="14"/>
  <c r="E35" i="14"/>
  <c r="F34" i="14"/>
  <c r="E34" i="14"/>
  <c r="F33" i="14"/>
  <c r="E33" i="14"/>
  <c r="F32" i="14"/>
  <c r="E32" i="14"/>
  <c r="F31" i="14"/>
  <c r="E31" i="14"/>
  <c r="F30" i="14"/>
  <c r="E30" i="14"/>
  <c r="F29" i="14"/>
  <c r="E29" i="14"/>
  <c r="F28" i="14"/>
  <c r="E28" i="14"/>
  <c r="F27" i="14"/>
  <c r="E27" i="14"/>
  <c r="F26" i="14"/>
  <c r="E26" i="14"/>
  <c r="F25" i="14"/>
  <c r="E25" i="14"/>
  <c r="F24" i="14"/>
  <c r="E24" i="14"/>
  <c r="F23" i="14"/>
  <c r="E23" i="14"/>
  <c r="F22" i="14"/>
  <c r="E22" i="14"/>
  <c r="F21" i="14"/>
  <c r="E21" i="14"/>
  <c r="F20" i="14"/>
  <c r="E20" i="14"/>
  <c r="F19" i="14"/>
  <c r="E19" i="14"/>
  <c r="F18" i="14"/>
  <c r="E18" i="14"/>
  <c r="F17" i="14"/>
  <c r="E17" i="14"/>
  <c r="F16" i="14"/>
  <c r="E16" i="14"/>
  <c r="F15" i="14"/>
  <c r="E15" i="14"/>
  <c r="F14" i="14"/>
  <c r="E14" i="14"/>
  <c r="F13" i="14"/>
  <c r="E13" i="14"/>
  <c r="F12" i="14"/>
  <c r="E12" i="14"/>
  <c r="F11" i="14"/>
  <c r="E11" i="14"/>
  <c r="F10" i="14"/>
  <c r="E10" i="14"/>
  <c r="F9" i="14"/>
  <c r="E9" i="14"/>
  <c r="F8" i="14"/>
  <c r="E8" i="14"/>
  <c r="F7" i="14"/>
  <c r="E7" i="14"/>
  <c r="F6" i="14"/>
  <c r="E6" i="14"/>
  <c r="F5" i="14"/>
  <c r="E5" i="14"/>
  <c r="F4" i="14"/>
  <c r="E4" i="14"/>
  <c r="F3" i="14"/>
  <c r="E3" i="14"/>
  <c r="F2" i="14"/>
  <c r="E2" i="14"/>
  <c r="AJ2312" i="2"/>
  <c r="AI2312" i="2"/>
  <c r="AH2312" i="2"/>
  <c r="I2312" i="2"/>
  <c r="AJ2311" i="2"/>
  <c r="AI2311" i="2"/>
  <c r="AH2311" i="2"/>
  <c r="I2311" i="2"/>
  <c r="AJ2310" i="2"/>
  <c r="AI2310" i="2"/>
  <c r="AH2310" i="2"/>
  <c r="I2310" i="2"/>
  <c r="AJ2309" i="2"/>
  <c r="AI2309" i="2"/>
  <c r="AH2309" i="2"/>
  <c r="I2309" i="2"/>
  <c r="AJ2308" i="2"/>
  <c r="AI2308" i="2"/>
  <c r="AH2308" i="2"/>
  <c r="I2308" i="2"/>
  <c r="AJ2307" i="2"/>
  <c r="AI2307" i="2"/>
  <c r="AH2307" i="2"/>
  <c r="I2307" i="2"/>
  <c r="AJ2306" i="2"/>
  <c r="AI2306" i="2"/>
  <c r="AH2306" i="2"/>
  <c r="I2306" i="2"/>
  <c r="AJ2305" i="2"/>
  <c r="AI2305" i="2"/>
  <c r="AH2305" i="2"/>
  <c r="I2305" i="2"/>
  <c r="AJ2304" i="2"/>
  <c r="AI2304" i="2"/>
  <c r="AH2304" i="2"/>
  <c r="I2304" i="2"/>
  <c r="AJ2303" i="2"/>
  <c r="AI2303" i="2"/>
  <c r="AH2303" i="2"/>
  <c r="I2303" i="2"/>
  <c r="AJ2302" i="2"/>
  <c r="AI2302" i="2"/>
  <c r="AH2302" i="2"/>
  <c r="I2302" i="2"/>
  <c r="AJ2301" i="2"/>
  <c r="AI2301" i="2"/>
  <c r="AH2301" i="2"/>
  <c r="I2301" i="2"/>
  <c r="AJ2300" i="2"/>
  <c r="AI2300" i="2"/>
  <c r="AH2300" i="2"/>
  <c r="I2300" i="2"/>
  <c r="AJ2299" i="2"/>
  <c r="AI2299" i="2"/>
  <c r="AH2299" i="2"/>
  <c r="I2299" i="2"/>
  <c r="AJ2298" i="2"/>
  <c r="AI2298" i="2"/>
  <c r="AH2298" i="2"/>
  <c r="I2298" i="2"/>
  <c r="AJ2297" i="2"/>
  <c r="AI2297" i="2"/>
  <c r="AH2297" i="2"/>
  <c r="I2297" i="2"/>
  <c r="AJ2296" i="2"/>
  <c r="AI2296" i="2"/>
  <c r="AH2296" i="2"/>
  <c r="I2296" i="2"/>
  <c r="AJ2295" i="2"/>
  <c r="AI2295" i="2"/>
  <c r="AH2295" i="2"/>
  <c r="I2295" i="2"/>
  <c r="AH2294" i="2"/>
  <c r="I2294" i="2"/>
  <c r="H2294" i="2"/>
  <c r="AH2293" i="2"/>
  <c r="AH2292" i="2"/>
  <c r="O2292" i="2"/>
  <c r="N2292" i="2"/>
  <c r="AI2292" i="2" s="1"/>
  <c r="I2292" i="2"/>
  <c r="AH2291" i="2"/>
  <c r="O2291" i="2"/>
  <c r="N2291" i="2"/>
  <c r="AI2291" i="2" s="1"/>
  <c r="I2291" i="2"/>
  <c r="AJ2290" i="2"/>
  <c r="AI2290" i="2"/>
  <c r="AH2290" i="2"/>
  <c r="I2290" i="2"/>
  <c r="AJ2289" i="2"/>
  <c r="AI2289" i="2"/>
  <c r="AH2289" i="2"/>
  <c r="I2289" i="2"/>
  <c r="AJ2288" i="2"/>
  <c r="AI2288" i="2"/>
  <c r="AH2288" i="2"/>
  <c r="I2288" i="2"/>
  <c r="AJ2287" i="2"/>
  <c r="AI2287" i="2"/>
  <c r="AH2287" i="2"/>
  <c r="I2287" i="2"/>
  <c r="AJ2286" i="2"/>
  <c r="AI2286" i="2"/>
  <c r="AH2286" i="2"/>
  <c r="I2286" i="2"/>
  <c r="AH2285" i="2"/>
  <c r="I2285" i="2"/>
  <c r="H2285" i="2"/>
  <c r="AH2284" i="2"/>
  <c r="AJ2283" i="2"/>
  <c r="AI2283" i="2"/>
  <c r="AH2283" i="2"/>
  <c r="I2283" i="2"/>
  <c r="AJ2282" i="2"/>
  <c r="AI2282" i="2"/>
  <c r="AH2282" i="2"/>
  <c r="I2282" i="2"/>
  <c r="AJ2281" i="2"/>
  <c r="AI2281" i="2"/>
  <c r="AH2281" i="2"/>
  <c r="I2281" i="2"/>
  <c r="AJ2280" i="2"/>
  <c r="AI2280" i="2"/>
  <c r="AH2280" i="2"/>
  <c r="I2280" i="2"/>
  <c r="AJ2279" i="2"/>
  <c r="AI2279" i="2"/>
  <c r="AH2279" i="2"/>
  <c r="I2279" i="2"/>
  <c r="AJ2278" i="2"/>
  <c r="AI2278" i="2"/>
  <c r="AH2278" i="2"/>
  <c r="I2278" i="2"/>
  <c r="AJ2277" i="2"/>
  <c r="AI2277" i="2"/>
  <c r="AH2277" i="2"/>
  <c r="I2277" i="2"/>
  <c r="AJ2276" i="2"/>
  <c r="AI2276" i="2"/>
  <c r="AH2276" i="2"/>
  <c r="I2276" i="2"/>
  <c r="AJ2275" i="2"/>
  <c r="AI2275" i="2"/>
  <c r="AH2275" i="2"/>
  <c r="I2275" i="2"/>
  <c r="AJ2274" i="2"/>
  <c r="AI2274" i="2"/>
  <c r="AH2274" i="2"/>
  <c r="I2274" i="2"/>
  <c r="AJ2273" i="2"/>
  <c r="AI2273" i="2"/>
  <c r="AH2273" i="2"/>
  <c r="I2273" i="2"/>
  <c r="AJ2272" i="2"/>
  <c r="AI2272" i="2"/>
  <c r="AH2272" i="2"/>
  <c r="I2272" i="2"/>
  <c r="AJ2271" i="2"/>
  <c r="AI2271" i="2"/>
  <c r="AH2271" i="2"/>
  <c r="I2271" i="2"/>
  <c r="AJ2270" i="2"/>
  <c r="AI2270" i="2"/>
  <c r="AH2270" i="2"/>
  <c r="I2270" i="2"/>
  <c r="AJ2269" i="2"/>
  <c r="AI2269" i="2"/>
  <c r="AH2269" i="2"/>
  <c r="I2269" i="2"/>
  <c r="AJ2268" i="2"/>
  <c r="AI2268" i="2"/>
  <c r="AH2268" i="2"/>
  <c r="I2268" i="2"/>
  <c r="AJ2267" i="2"/>
  <c r="AI2267" i="2"/>
  <c r="AH2267" i="2"/>
  <c r="I2267" i="2"/>
  <c r="AH2266" i="2"/>
  <c r="I2266" i="2"/>
  <c r="H2266" i="2"/>
  <c r="AH2265" i="2"/>
  <c r="AJ2264" i="2"/>
  <c r="AI2264" i="2"/>
  <c r="AH2264" i="2"/>
  <c r="AJ2263" i="2"/>
  <c r="AK2263" i="2" s="1"/>
  <c r="AL2263" i="2" s="1"/>
  <c r="AI2263" i="2"/>
  <c r="AH2263" i="2"/>
  <c r="AJ2262" i="2"/>
  <c r="AI2262" i="2"/>
  <c r="AH2262" i="2"/>
  <c r="AJ2261" i="2"/>
  <c r="AI2261" i="2"/>
  <c r="AH2261" i="2"/>
  <c r="AJ2260" i="2"/>
  <c r="AI2260" i="2"/>
  <c r="AH2260" i="2"/>
  <c r="AJ2259" i="2"/>
  <c r="AK2259" i="2" s="1"/>
  <c r="AL2259" i="2" s="1"/>
  <c r="AI2259" i="2"/>
  <c r="AH2259" i="2"/>
  <c r="AJ2258" i="2"/>
  <c r="AI2258" i="2"/>
  <c r="AH2258" i="2"/>
  <c r="AJ2257" i="2"/>
  <c r="AI2257" i="2"/>
  <c r="AH2257" i="2"/>
  <c r="AJ2256" i="2"/>
  <c r="AI2256" i="2"/>
  <c r="AH2256" i="2"/>
  <c r="AJ2255" i="2"/>
  <c r="AK2255" i="2" s="1"/>
  <c r="AL2255" i="2" s="1"/>
  <c r="AI2255" i="2"/>
  <c r="AH2255" i="2"/>
  <c r="AJ2254" i="2"/>
  <c r="AI2254" i="2"/>
  <c r="AH2254" i="2"/>
  <c r="AJ2253" i="2"/>
  <c r="AI2253" i="2"/>
  <c r="AH2253" i="2"/>
  <c r="AH2252" i="2"/>
  <c r="I2252" i="2"/>
  <c r="H2252" i="2"/>
  <c r="AH2251" i="2"/>
  <c r="AJ2250" i="2"/>
  <c r="AI2250" i="2"/>
  <c r="AH2250" i="2"/>
  <c r="AJ2249" i="2"/>
  <c r="AK2249" i="2" s="1"/>
  <c r="AL2249" i="2" s="1"/>
  <c r="AI2249" i="2"/>
  <c r="AH2249" i="2"/>
  <c r="AJ2248" i="2"/>
  <c r="AI2248" i="2"/>
  <c r="AH2248" i="2"/>
  <c r="AJ2247" i="2"/>
  <c r="AI2247" i="2"/>
  <c r="AH2247" i="2"/>
  <c r="AJ2246" i="2"/>
  <c r="AI2246" i="2"/>
  <c r="AH2246" i="2"/>
  <c r="AJ2245" i="2"/>
  <c r="AI2245" i="2"/>
  <c r="AK2245" i="2" s="1"/>
  <c r="AL2245" i="2" s="1"/>
  <c r="AH2245" i="2"/>
  <c r="AJ2244" i="2"/>
  <c r="AK2244" i="2" s="1"/>
  <c r="AL2244" i="2" s="1"/>
  <c r="AI2244" i="2"/>
  <c r="AH2244" i="2"/>
  <c r="AJ2243" i="2"/>
  <c r="AI2243" i="2"/>
  <c r="AK2243" i="2" s="1"/>
  <c r="AL2243" i="2" s="1"/>
  <c r="AH2243" i="2"/>
  <c r="AJ2242" i="2"/>
  <c r="AI2242" i="2"/>
  <c r="AH2242" i="2"/>
  <c r="AH2241" i="2"/>
  <c r="I2241" i="2"/>
  <c r="H2241" i="2"/>
  <c r="AH2240" i="2"/>
  <c r="AJ2239" i="2"/>
  <c r="AI2239" i="2"/>
  <c r="AH2239" i="2"/>
  <c r="AJ2238" i="2"/>
  <c r="AI2238" i="2"/>
  <c r="AH2238" i="2"/>
  <c r="AJ2237" i="2"/>
  <c r="AI2237" i="2"/>
  <c r="AH2237" i="2"/>
  <c r="AJ2236" i="2"/>
  <c r="AI2236" i="2"/>
  <c r="AH2236" i="2"/>
  <c r="AJ2235" i="2"/>
  <c r="AI2235" i="2"/>
  <c r="AH2235" i="2"/>
  <c r="AJ2234" i="2"/>
  <c r="AI2234" i="2"/>
  <c r="AH2234" i="2"/>
  <c r="AJ2233" i="2"/>
  <c r="AI2233" i="2"/>
  <c r="AK2233" i="2" s="1"/>
  <c r="AL2233" i="2" s="1"/>
  <c r="AH2233" i="2"/>
  <c r="AJ2232" i="2"/>
  <c r="AI2232" i="2"/>
  <c r="AH2232" i="2"/>
  <c r="AJ2231" i="2"/>
  <c r="AI2231" i="2"/>
  <c r="AH2231" i="2"/>
  <c r="AJ2230" i="2"/>
  <c r="AI2230" i="2"/>
  <c r="AH2230" i="2"/>
  <c r="AJ2229" i="2"/>
  <c r="AI2229" i="2"/>
  <c r="AK2229" i="2" s="1"/>
  <c r="AL2229" i="2" s="1"/>
  <c r="AH2229" i="2"/>
  <c r="AJ2228" i="2"/>
  <c r="AI2228" i="2"/>
  <c r="AH2228" i="2"/>
  <c r="AJ2227" i="2"/>
  <c r="AI2227" i="2"/>
  <c r="AH2227" i="2"/>
  <c r="AJ2226" i="2"/>
  <c r="AI2226" i="2"/>
  <c r="AH2226" i="2"/>
  <c r="AJ2225" i="2"/>
  <c r="AI2225" i="2"/>
  <c r="AH2225" i="2"/>
  <c r="AJ2224" i="2"/>
  <c r="AI2224" i="2"/>
  <c r="AH2224" i="2"/>
  <c r="AJ2223" i="2"/>
  <c r="AI2223" i="2"/>
  <c r="AH2223" i="2"/>
  <c r="AJ2222" i="2"/>
  <c r="AI2222" i="2"/>
  <c r="AH2222" i="2"/>
  <c r="AJ2221" i="2"/>
  <c r="AI2221" i="2"/>
  <c r="AH2221" i="2"/>
  <c r="AJ2220" i="2"/>
  <c r="AI2220" i="2"/>
  <c r="AH2220" i="2"/>
  <c r="AJ2219" i="2"/>
  <c r="AI2219" i="2"/>
  <c r="AH2219" i="2"/>
  <c r="AJ2218" i="2"/>
  <c r="AI2218" i="2"/>
  <c r="AH2218" i="2"/>
  <c r="AJ2217" i="2"/>
  <c r="AI2217" i="2"/>
  <c r="AH2217" i="2"/>
  <c r="AJ2216" i="2"/>
  <c r="AI2216" i="2"/>
  <c r="AH2216" i="2"/>
  <c r="AJ2215" i="2"/>
  <c r="AI2215" i="2"/>
  <c r="AH2215" i="2"/>
  <c r="AJ2214" i="2"/>
  <c r="AI2214" i="2"/>
  <c r="AH2214" i="2"/>
  <c r="AJ2213" i="2"/>
  <c r="AI2213" i="2"/>
  <c r="AK2213" i="2" s="1"/>
  <c r="AL2213" i="2" s="1"/>
  <c r="AH2213" i="2"/>
  <c r="AJ2212" i="2"/>
  <c r="AI2212" i="2"/>
  <c r="AH2212" i="2"/>
  <c r="AJ2211" i="2"/>
  <c r="AI2211" i="2"/>
  <c r="AH2211" i="2"/>
  <c r="AJ2210" i="2"/>
  <c r="AI2210" i="2"/>
  <c r="AH2210" i="2"/>
  <c r="AJ2209" i="2"/>
  <c r="AI2209" i="2"/>
  <c r="AH2209" i="2"/>
  <c r="AJ2208" i="2"/>
  <c r="AI2208" i="2"/>
  <c r="AH2208" i="2"/>
  <c r="AJ2207" i="2"/>
  <c r="AI2207" i="2"/>
  <c r="AH2207" i="2"/>
  <c r="AJ2206" i="2"/>
  <c r="AI2206" i="2"/>
  <c r="AH2206" i="2"/>
  <c r="AJ2205" i="2"/>
  <c r="AI2205" i="2"/>
  <c r="AH2205" i="2"/>
  <c r="AJ2204" i="2"/>
  <c r="AI2204" i="2"/>
  <c r="AH2204" i="2"/>
  <c r="AJ2203" i="2"/>
  <c r="AI2203" i="2"/>
  <c r="AH2203" i="2"/>
  <c r="AJ2202" i="2"/>
  <c r="AI2202" i="2"/>
  <c r="AH2202" i="2"/>
  <c r="AJ2201" i="2"/>
  <c r="AI2201" i="2"/>
  <c r="AH2201" i="2"/>
  <c r="AJ2200" i="2"/>
  <c r="AI2200" i="2"/>
  <c r="AH2200" i="2"/>
  <c r="AJ2199" i="2"/>
  <c r="AI2199" i="2"/>
  <c r="AH2199" i="2"/>
  <c r="AJ2198" i="2"/>
  <c r="AI2198" i="2"/>
  <c r="AH2198" i="2"/>
  <c r="AJ2197" i="2"/>
  <c r="AI2197" i="2"/>
  <c r="AH2197" i="2"/>
  <c r="AJ2196" i="2"/>
  <c r="AI2196" i="2"/>
  <c r="AH2196" i="2"/>
  <c r="AJ2195" i="2"/>
  <c r="AI2195" i="2"/>
  <c r="AH2195" i="2"/>
  <c r="AJ2194" i="2"/>
  <c r="AI2194" i="2"/>
  <c r="AH2194" i="2"/>
  <c r="AJ2193" i="2"/>
  <c r="AI2193" i="2"/>
  <c r="AK2193" i="2" s="1"/>
  <c r="AL2193" i="2" s="1"/>
  <c r="AH2193" i="2"/>
  <c r="AJ2192" i="2"/>
  <c r="AI2192" i="2"/>
  <c r="AH2192" i="2"/>
  <c r="AJ2191" i="2"/>
  <c r="AI2191" i="2"/>
  <c r="AH2191" i="2"/>
  <c r="AJ2190" i="2"/>
  <c r="AI2190" i="2"/>
  <c r="AH2190" i="2"/>
  <c r="AJ2189" i="2"/>
  <c r="AI2189" i="2"/>
  <c r="AH2189" i="2"/>
  <c r="AJ2188" i="2"/>
  <c r="AI2188" i="2"/>
  <c r="AH2188" i="2"/>
  <c r="AJ2187" i="2"/>
  <c r="AI2187" i="2"/>
  <c r="AH2187" i="2"/>
  <c r="AJ2186" i="2"/>
  <c r="AI2186" i="2"/>
  <c r="AH2186" i="2"/>
  <c r="AH2185" i="2"/>
  <c r="I2185" i="2"/>
  <c r="H2185" i="2"/>
  <c r="AH2184" i="2"/>
  <c r="AH2183" i="2"/>
  <c r="O2183" i="2"/>
  <c r="N2183" i="2"/>
  <c r="AJ2183" i="2" s="1"/>
  <c r="AJ2182" i="2"/>
  <c r="AI2182" i="2"/>
  <c r="AH2182" i="2"/>
  <c r="AJ2181" i="2"/>
  <c r="AI2181" i="2"/>
  <c r="AH2181" i="2"/>
  <c r="AJ2180" i="2"/>
  <c r="AI2180" i="2"/>
  <c r="AH2180" i="2"/>
  <c r="AJ2179" i="2"/>
  <c r="AI2179" i="2"/>
  <c r="AH2179" i="2"/>
  <c r="AJ2178" i="2"/>
  <c r="AI2178" i="2"/>
  <c r="AH2178" i="2"/>
  <c r="AJ2177" i="2"/>
  <c r="AI2177" i="2"/>
  <c r="AK2177" i="2" s="1"/>
  <c r="AL2177" i="2" s="1"/>
  <c r="AH2177" i="2"/>
  <c r="AJ2176" i="2"/>
  <c r="AI2176" i="2"/>
  <c r="AH2176" i="2"/>
  <c r="AJ2175" i="2"/>
  <c r="AI2175" i="2"/>
  <c r="AH2175" i="2"/>
  <c r="AJ2174" i="2"/>
  <c r="AI2174" i="2"/>
  <c r="AH2174" i="2"/>
  <c r="AJ2173" i="2"/>
  <c r="AI2173" i="2"/>
  <c r="AK2173" i="2" s="1"/>
  <c r="AL2173" i="2" s="1"/>
  <c r="AH2173" i="2"/>
  <c r="AJ2172" i="2"/>
  <c r="AI2172" i="2"/>
  <c r="AH2172" i="2"/>
  <c r="AJ2171" i="2"/>
  <c r="AI2171" i="2"/>
  <c r="AH2171" i="2"/>
  <c r="AJ2170" i="2"/>
  <c r="AI2170" i="2"/>
  <c r="AH2170" i="2"/>
  <c r="AJ2169" i="2"/>
  <c r="AI2169" i="2"/>
  <c r="AH2169" i="2"/>
  <c r="AJ2168" i="2"/>
  <c r="AI2168" i="2"/>
  <c r="AH2168" i="2"/>
  <c r="AJ2167" i="2"/>
  <c r="AI2167" i="2"/>
  <c r="AH2167" i="2"/>
  <c r="AJ2166" i="2"/>
  <c r="AI2166" i="2"/>
  <c r="AH2166" i="2"/>
  <c r="AJ2165" i="2"/>
  <c r="AI2165" i="2"/>
  <c r="AH2165" i="2"/>
  <c r="AJ2164" i="2"/>
  <c r="AI2164" i="2"/>
  <c r="AH2164" i="2"/>
  <c r="AJ2163" i="2"/>
  <c r="AI2163" i="2"/>
  <c r="AH2163" i="2"/>
  <c r="AJ2162" i="2"/>
  <c r="AI2162" i="2"/>
  <c r="AH2162" i="2"/>
  <c r="AJ2161" i="2"/>
  <c r="AI2161" i="2"/>
  <c r="AH2161" i="2"/>
  <c r="AJ2160" i="2"/>
  <c r="AI2160" i="2"/>
  <c r="AH2160" i="2"/>
  <c r="AJ2159" i="2"/>
  <c r="AI2159" i="2"/>
  <c r="AH2159" i="2"/>
  <c r="AJ2158" i="2"/>
  <c r="AI2158" i="2"/>
  <c r="AH2158" i="2"/>
  <c r="AJ2157" i="2"/>
  <c r="AI2157" i="2"/>
  <c r="AH2157" i="2"/>
  <c r="AJ2156" i="2"/>
  <c r="AI2156" i="2"/>
  <c r="AH2156" i="2"/>
  <c r="AJ2155" i="2"/>
  <c r="AI2155" i="2"/>
  <c r="AH2155" i="2"/>
  <c r="AJ2154" i="2"/>
  <c r="AI2154" i="2"/>
  <c r="AH2154" i="2"/>
  <c r="AJ2153" i="2"/>
  <c r="AI2153" i="2"/>
  <c r="AK2153" i="2" s="1"/>
  <c r="AL2153" i="2" s="1"/>
  <c r="AH2153" i="2"/>
  <c r="AH2152" i="2"/>
  <c r="I2152" i="2"/>
  <c r="H2152" i="2"/>
  <c r="AH2150" i="2"/>
  <c r="AJ2149" i="2"/>
  <c r="AI2149" i="2"/>
  <c r="AH2149" i="2"/>
  <c r="AJ2148" i="2"/>
  <c r="AI2148" i="2"/>
  <c r="AH2148" i="2"/>
  <c r="AJ2147" i="2"/>
  <c r="AI2147" i="2"/>
  <c r="AH2147" i="2"/>
  <c r="AJ2146" i="2"/>
  <c r="AI2146" i="2"/>
  <c r="AH2146" i="2"/>
  <c r="AJ2145" i="2"/>
  <c r="AI2145" i="2"/>
  <c r="AH2145" i="2"/>
  <c r="AJ2144" i="2"/>
  <c r="AI2144" i="2"/>
  <c r="AH2144" i="2"/>
  <c r="AJ2143" i="2"/>
  <c r="AI2143" i="2"/>
  <c r="AH2143" i="2"/>
  <c r="AJ2142" i="2"/>
  <c r="AI2142" i="2"/>
  <c r="AK2142" i="2" s="1"/>
  <c r="AL2142" i="2" s="1"/>
  <c r="AH2142" i="2"/>
  <c r="AJ2141" i="2"/>
  <c r="AK2141" i="2" s="1"/>
  <c r="AL2141" i="2" s="1"/>
  <c r="AI2141" i="2"/>
  <c r="AH2141" i="2"/>
  <c r="AJ2140" i="2"/>
  <c r="AI2140" i="2"/>
  <c r="AH2140" i="2"/>
  <c r="AJ2139" i="2"/>
  <c r="AI2139" i="2"/>
  <c r="AH2139" i="2"/>
  <c r="AJ2138" i="2"/>
  <c r="AI2138" i="2"/>
  <c r="AK2138" i="2" s="1"/>
  <c r="AL2138" i="2" s="1"/>
  <c r="AH2138" i="2"/>
  <c r="AJ2137" i="2"/>
  <c r="AI2137" i="2"/>
  <c r="AH2137" i="2"/>
  <c r="AJ2136" i="2"/>
  <c r="AI2136" i="2"/>
  <c r="AH2136" i="2"/>
  <c r="AJ2135" i="2"/>
  <c r="AI2135" i="2"/>
  <c r="AH2135" i="2"/>
  <c r="AJ2134" i="2"/>
  <c r="AI2134" i="2"/>
  <c r="AK2134" i="2" s="1"/>
  <c r="AL2134" i="2" s="1"/>
  <c r="AH2134" i="2"/>
  <c r="AJ2133" i="2"/>
  <c r="AI2133" i="2"/>
  <c r="AH2133" i="2"/>
  <c r="AJ2132" i="2"/>
  <c r="AI2132" i="2"/>
  <c r="AH2132" i="2"/>
  <c r="AJ2131" i="2"/>
  <c r="AI2131" i="2"/>
  <c r="AH2131" i="2"/>
  <c r="AH2130" i="2"/>
  <c r="O2130" i="2"/>
  <c r="N2130" i="2"/>
  <c r="AJ2130" i="2" s="1"/>
  <c r="AH2129" i="2"/>
  <c r="I2129" i="2"/>
  <c r="H2129" i="2"/>
  <c r="AH2128" i="2"/>
  <c r="AJ2127" i="2"/>
  <c r="AI2127" i="2"/>
  <c r="AH2127" i="2"/>
  <c r="AJ2126" i="2"/>
  <c r="AI2126" i="2"/>
  <c r="AH2126" i="2"/>
  <c r="AJ2125" i="2"/>
  <c r="AI2125" i="2"/>
  <c r="AH2125" i="2"/>
  <c r="AJ2124" i="2"/>
  <c r="AI2124" i="2"/>
  <c r="AH2124" i="2"/>
  <c r="AJ2123" i="2"/>
  <c r="AI2123" i="2"/>
  <c r="AH2123" i="2"/>
  <c r="AJ2122" i="2"/>
  <c r="AI2122" i="2"/>
  <c r="AH2122" i="2"/>
  <c r="AJ2121" i="2"/>
  <c r="AI2121" i="2"/>
  <c r="AH2121" i="2"/>
  <c r="AJ2120" i="2"/>
  <c r="AI2120" i="2"/>
  <c r="AH2120" i="2"/>
  <c r="AJ2119" i="2"/>
  <c r="AI2119" i="2"/>
  <c r="AH2119" i="2"/>
  <c r="AJ2118" i="2"/>
  <c r="AI2118" i="2"/>
  <c r="AH2118" i="2"/>
  <c r="AJ2117" i="2"/>
  <c r="AI2117" i="2"/>
  <c r="AH2117" i="2"/>
  <c r="AJ2116" i="2"/>
  <c r="AI2116" i="2"/>
  <c r="AH2116" i="2"/>
  <c r="AJ2115" i="2"/>
  <c r="AI2115" i="2"/>
  <c r="AH2115" i="2"/>
  <c r="AJ2114" i="2"/>
  <c r="AI2114" i="2"/>
  <c r="AH2114" i="2"/>
  <c r="AJ2113" i="2"/>
  <c r="AI2113" i="2"/>
  <c r="AH2113" i="2"/>
  <c r="AJ2112" i="2"/>
  <c r="AK2112" i="2" s="1"/>
  <c r="AL2112" i="2" s="1"/>
  <c r="AI2112" i="2"/>
  <c r="AH2112" i="2"/>
  <c r="AJ2111" i="2"/>
  <c r="AI2111" i="2"/>
  <c r="AH2111" i="2"/>
  <c r="AJ2110" i="2"/>
  <c r="AI2110" i="2"/>
  <c r="AH2110" i="2"/>
  <c r="AJ2109" i="2"/>
  <c r="AI2109" i="2"/>
  <c r="AH2109" i="2"/>
  <c r="AJ2108" i="2"/>
  <c r="AK2108" i="2" s="1"/>
  <c r="AL2108" i="2" s="1"/>
  <c r="AI2108" i="2"/>
  <c r="AH2108" i="2"/>
  <c r="AJ2107" i="2"/>
  <c r="AI2107" i="2"/>
  <c r="AH2107" i="2"/>
  <c r="AJ2106" i="2"/>
  <c r="AI2106" i="2"/>
  <c r="AH2106" i="2"/>
  <c r="AJ2105" i="2"/>
  <c r="AI2105" i="2"/>
  <c r="AH2105" i="2"/>
  <c r="AJ2104" i="2"/>
  <c r="AK2104" i="2" s="1"/>
  <c r="AL2104" i="2" s="1"/>
  <c r="AI2104" i="2"/>
  <c r="AH2104" i="2"/>
  <c r="AJ2103" i="2"/>
  <c r="AI2103" i="2"/>
  <c r="AH2103" i="2"/>
  <c r="AJ2102" i="2"/>
  <c r="AI2102" i="2"/>
  <c r="AH2102" i="2"/>
  <c r="AJ2101" i="2"/>
  <c r="AI2101" i="2"/>
  <c r="AH2101" i="2"/>
  <c r="AJ2100" i="2"/>
  <c r="AK2100" i="2" s="1"/>
  <c r="AL2100" i="2" s="1"/>
  <c r="AI2100" i="2"/>
  <c r="AH2100" i="2"/>
  <c r="AJ2099" i="2"/>
  <c r="AI2099" i="2"/>
  <c r="AH2099" i="2"/>
  <c r="AJ2098" i="2"/>
  <c r="AI2098" i="2"/>
  <c r="AH2098" i="2"/>
  <c r="AH2097" i="2"/>
  <c r="I2097" i="2"/>
  <c r="H2097" i="2"/>
  <c r="AH2096" i="2"/>
  <c r="AJ2095" i="2"/>
  <c r="AI2095" i="2"/>
  <c r="AH2095" i="2"/>
  <c r="AK2094" i="2"/>
  <c r="AL2094" i="2" s="1"/>
  <c r="AJ2094" i="2"/>
  <c r="AI2094" i="2"/>
  <c r="AH2094" i="2"/>
  <c r="AJ2093" i="2"/>
  <c r="AK2093" i="2" s="1"/>
  <c r="AL2093" i="2" s="1"/>
  <c r="AI2093" i="2"/>
  <c r="AH2093" i="2"/>
  <c r="AJ2092" i="2"/>
  <c r="AI2092" i="2"/>
  <c r="AK2092" i="2" s="1"/>
  <c r="AL2092" i="2" s="1"/>
  <c r="AH2092" i="2"/>
  <c r="AJ2091" i="2"/>
  <c r="AI2091" i="2"/>
  <c r="AH2091" i="2"/>
  <c r="AJ2090" i="2"/>
  <c r="AI2090" i="2"/>
  <c r="AH2090" i="2"/>
  <c r="AJ2089" i="2"/>
  <c r="AI2089" i="2"/>
  <c r="AH2089" i="2"/>
  <c r="AJ2088" i="2"/>
  <c r="AI2088" i="2"/>
  <c r="AH2088" i="2"/>
  <c r="AJ2087" i="2"/>
  <c r="AI2087" i="2"/>
  <c r="AH2087" i="2"/>
  <c r="AJ2086" i="2"/>
  <c r="AI2086" i="2"/>
  <c r="AH2086" i="2"/>
  <c r="AJ2085" i="2"/>
  <c r="AI2085" i="2"/>
  <c r="AH2085" i="2"/>
  <c r="AJ2084" i="2"/>
  <c r="AI2084" i="2"/>
  <c r="AK2084" i="2" s="1"/>
  <c r="AL2084" i="2" s="1"/>
  <c r="AH2084" i="2"/>
  <c r="AJ2083" i="2"/>
  <c r="AI2083" i="2"/>
  <c r="AH2083" i="2"/>
  <c r="AJ2082" i="2"/>
  <c r="AI2082" i="2"/>
  <c r="AH2082" i="2"/>
  <c r="AJ2081" i="2"/>
  <c r="AI2081" i="2"/>
  <c r="AH2081" i="2"/>
  <c r="AJ2080" i="2"/>
  <c r="AI2080" i="2"/>
  <c r="AK2080" i="2" s="1"/>
  <c r="AL2080" i="2" s="1"/>
  <c r="AH2080" i="2"/>
  <c r="AJ2079" i="2"/>
  <c r="AI2079" i="2"/>
  <c r="AH2079" i="2"/>
  <c r="AJ2078" i="2"/>
  <c r="AI2078" i="2"/>
  <c r="AH2078" i="2"/>
  <c r="AJ2077" i="2"/>
  <c r="AI2077" i="2"/>
  <c r="AH2077" i="2"/>
  <c r="AJ2076" i="2"/>
  <c r="AI2076" i="2"/>
  <c r="AH2076" i="2"/>
  <c r="AJ2075" i="2"/>
  <c r="AI2075" i="2"/>
  <c r="AH2075" i="2"/>
  <c r="AJ2074" i="2"/>
  <c r="AI2074" i="2"/>
  <c r="AH2074" i="2"/>
  <c r="AJ2073" i="2"/>
  <c r="AI2073" i="2"/>
  <c r="AH2073" i="2"/>
  <c r="AJ2072" i="2"/>
  <c r="AI2072" i="2"/>
  <c r="AH2072" i="2"/>
  <c r="AJ2071" i="2"/>
  <c r="AI2071" i="2"/>
  <c r="AH2071" i="2"/>
  <c r="AJ2070" i="2"/>
  <c r="AI2070" i="2"/>
  <c r="AH2070" i="2"/>
  <c r="AJ2069" i="2"/>
  <c r="AI2069" i="2"/>
  <c r="AH2069" i="2"/>
  <c r="AJ2068" i="2"/>
  <c r="AI2068" i="2"/>
  <c r="AH2068" i="2"/>
  <c r="AJ2067" i="2"/>
  <c r="AI2067" i="2"/>
  <c r="AH2067" i="2"/>
  <c r="AJ2066" i="2"/>
  <c r="AI2066" i="2"/>
  <c r="AH2066" i="2"/>
  <c r="AJ2065" i="2"/>
  <c r="AI2065" i="2"/>
  <c r="AH2065" i="2"/>
  <c r="AJ2064" i="2"/>
  <c r="AI2064" i="2"/>
  <c r="AH2064" i="2"/>
  <c r="AJ2063" i="2"/>
  <c r="AI2063" i="2"/>
  <c r="AH2063" i="2"/>
  <c r="AJ2062" i="2"/>
  <c r="AI2062" i="2"/>
  <c r="AH2062" i="2"/>
  <c r="AJ2061" i="2"/>
  <c r="AI2061" i="2"/>
  <c r="AH2061" i="2"/>
  <c r="AJ2060" i="2"/>
  <c r="AI2060" i="2"/>
  <c r="AK2060" i="2" s="1"/>
  <c r="AL2060" i="2" s="1"/>
  <c r="AH2060" i="2"/>
  <c r="AJ2059" i="2"/>
  <c r="AI2059" i="2"/>
  <c r="AH2059" i="2"/>
  <c r="AH2058" i="2"/>
  <c r="I2058" i="2"/>
  <c r="H2058" i="2"/>
  <c r="AH2057" i="2"/>
  <c r="AH2056" i="2"/>
  <c r="AH2055" i="2"/>
  <c r="I2055" i="2"/>
  <c r="H2055" i="2"/>
  <c r="AH2054" i="2"/>
  <c r="I2054" i="2"/>
  <c r="H2054" i="2"/>
  <c r="AH2053" i="2"/>
  <c r="I2053" i="2"/>
  <c r="H2053" i="2"/>
  <c r="AH2052" i="2"/>
  <c r="I2052" i="2"/>
  <c r="H2052" i="2"/>
  <c r="AH2051" i="2"/>
  <c r="S2051" i="2"/>
  <c r="R2051" i="2"/>
  <c r="AJ2051" i="2" s="1"/>
  <c r="I2051" i="2"/>
  <c r="H2051" i="2"/>
  <c r="AJ2050" i="2"/>
  <c r="AI2050" i="2"/>
  <c r="AK2050" i="2" s="1"/>
  <c r="AL2050" i="2" s="1"/>
  <c r="AH2050" i="2"/>
  <c r="I2050" i="2"/>
  <c r="H2050" i="2"/>
  <c r="AJ2049" i="2"/>
  <c r="AI2049" i="2"/>
  <c r="AH2049" i="2"/>
  <c r="I2049" i="2"/>
  <c r="H2049" i="2"/>
  <c r="AJ2048" i="2"/>
  <c r="AI2048" i="2"/>
  <c r="AH2048" i="2"/>
  <c r="I2048" i="2"/>
  <c r="H2048" i="2"/>
  <c r="AJ2047" i="2"/>
  <c r="AI2047" i="2"/>
  <c r="AH2047" i="2"/>
  <c r="I2047" i="2"/>
  <c r="H2047" i="2"/>
  <c r="AH2046" i="2"/>
  <c r="S2046" i="2"/>
  <c r="R2046" i="2"/>
  <c r="AJ2046" i="2" s="1"/>
  <c r="I2046" i="2"/>
  <c r="H2046" i="2"/>
  <c r="AJ2045" i="2"/>
  <c r="AI2045" i="2"/>
  <c r="AH2045" i="2"/>
  <c r="I2045" i="2"/>
  <c r="H2045" i="2"/>
  <c r="AJ2044" i="2"/>
  <c r="AI2044" i="2"/>
  <c r="AH2044" i="2"/>
  <c r="I2044" i="2"/>
  <c r="H2044" i="2"/>
  <c r="AJ2043" i="2"/>
  <c r="AI2043" i="2"/>
  <c r="AH2043" i="2"/>
  <c r="I2043" i="2"/>
  <c r="H2043" i="2"/>
  <c r="AJ2042" i="2"/>
  <c r="AI2042" i="2"/>
  <c r="AH2042" i="2"/>
  <c r="I2042" i="2"/>
  <c r="H2042" i="2"/>
  <c r="AJ2041" i="2"/>
  <c r="AI2041" i="2"/>
  <c r="AH2041" i="2"/>
  <c r="I2041" i="2"/>
  <c r="H2041" i="2"/>
  <c r="AJ2040" i="2"/>
  <c r="AI2040" i="2"/>
  <c r="AH2040" i="2"/>
  <c r="I2040" i="2"/>
  <c r="H2040" i="2"/>
  <c r="AJ2039" i="2"/>
  <c r="AI2039" i="2"/>
  <c r="AH2039" i="2"/>
  <c r="I2039" i="2"/>
  <c r="H2039" i="2"/>
  <c r="AJ2038" i="2"/>
  <c r="AI2038" i="2"/>
  <c r="AH2038" i="2"/>
  <c r="I2038" i="2"/>
  <c r="H2038" i="2"/>
  <c r="AJ2037" i="2"/>
  <c r="AI2037" i="2"/>
  <c r="AH2037" i="2"/>
  <c r="I2037" i="2"/>
  <c r="H2037" i="2"/>
  <c r="AH2036" i="2"/>
  <c r="I2036" i="2"/>
  <c r="H2036" i="2"/>
  <c r="AH2035" i="2"/>
  <c r="AJ2034" i="2"/>
  <c r="AI2034" i="2"/>
  <c r="AH2034" i="2"/>
  <c r="I2034" i="2"/>
  <c r="H2034" i="2"/>
  <c r="AJ2033" i="2"/>
  <c r="AI2033" i="2"/>
  <c r="AH2033" i="2"/>
  <c r="I2033" i="2"/>
  <c r="H2033" i="2"/>
  <c r="AJ2032" i="2"/>
  <c r="AI2032" i="2"/>
  <c r="AH2032" i="2"/>
  <c r="I2032" i="2"/>
  <c r="H2032" i="2"/>
  <c r="AJ2031" i="2"/>
  <c r="AI2031" i="2"/>
  <c r="AH2031" i="2"/>
  <c r="I2031" i="2"/>
  <c r="H2031" i="2"/>
  <c r="AJ2030" i="2"/>
  <c r="AI2030" i="2"/>
  <c r="AH2030" i="2"/>
  <c r="I2030" i="2"/>
  <c r="H2030" i="2"/>
  <c r="AJ2029" i="2"/>
  <c r="AI2029" i="2"/>
  <c r="AH2029" i="2"/>
  <c r="I2029" i="2"/>
  <c r="H2029" i="2"/>
  <c r="AJ2028" i="2"/>
  <c r="AI2028" i="2"/>
  <c r="AH2028" i="2"/>
  <c r="I2028" i="2"/>
  <c r="H2028" i="2"/>
  <c r="AH2027" i="2"/>
  <c r="S2027" i="2"/>
  <c r="R2027" i="2"/>
  <c r="AI2027" i="2" s="1"/>
  <c r="I2027" i="2"/>
  <c r="H2027" i="2"/>
  <c r="AJ2026" i="2"/>
  <c r="AI2026" i="2"/>
  <c r="AH2026" i="2"/>
  <c r="I2026" i="2"/>
  <c r="H2026" i="2"/>
  <c r="AJ2025" i="2"/>
  <c r="AI2025" i="2"/>
  <c r="AH2025" i="2"/>
  <c r="I2025" i="2"/>
  <c r="H2025" i="2"/>
  <c r="AJ2024" i="2"/>
  <c r="AI2024" i="2"/>
  <c r="AK2024" i="2" s="1"/>
  <c r="AL2024" i="2" s="1"/>
  <c r="AH2024" i="2"/>
  <c r="I2024" i="2"/>
  <c r="H2024" i="2"/>
  <c r="AJ2023" i="2"/>
  <c r="AI2023" i="2"/>
  <c r="AH2023" i="2"/>
  <c r="I2023" i="2"/>
  <c r="H2023" i="2"/>
  <c r="AJ2022" i="2"/>
  <c r="AI2022" i="2"/>
  <c r="AH2022" i="2"/>
  <c r="I2022" i="2"/>
  <c r="H2022" i="2"/>
  <c r="AJ2021" i="2"/>
  <c r="AI2021" i="2"/>
  <c r="AH2021" i="2"/>
  <c r="I2021" i="2"/>
  <c r="H2021" i="2"/>
  <c r="AH2020" i="2"/>
  <c r="S2020" i="2"/>
  <c r="R2020" i="2"/>
  <c r="AJ2020" i="2" s="1"/>
  <c r="I2020" i="2"/>
  <c r="H2020" i="2"/>
  <c r="AJ2019" i="2"/>
  <c r="AI2019" i="2"/>
  <c r="AH2019" i="2"/>
  <c r="I2019" i="2"/>
  <c r="H2019" i="2"/>
  <c r="AJ2018" i="2"/>
  <c r="AI2018" i="2"/>
  <c r="AH2018" i="2"/>
  <c r="I2018" i="2"/>
  <c r="H2018" i="2"/>
  <c r="AJ2017" i="2"/>
  <c r="AI2017" i="2"/>
  <c r="AH2017" i="2"/>
  <c r="I2017" i="2"/>
  <c r="H2017" i="2"/>
  <c r="AJ2016" i="2"/>
  <c r="AK2016" i="2" s="1"/>
  <c r="AL2016" i="2" s="1"/>
  <c r="AI2016" i="2"/>
  <c r="AH2016" i="2"/>
  <c r="I2016" i="2"/>
  <c r="H2016" i="2"/>
  <c r="AJ2015" i="2"/>
  <c r="AI2015" i="2"/>
  <c r="AH2015" i="2"/>
  <c r="I2015" i="2"/>
  <c r="H2015" i="2"/>
  <c r="AJ2014" i="2"/>
  <c r="AI2014" i="2"/>
  <c r="AH2014" i="2"/>
  <c r="I2014" i="2"/>
  <c r="H2014" i="2"/>
  <c r="AJ2013" i="2"/>
  <c r="AI2013" i="2"/>
  <c r="AH2013" i="2"/>
  <c r="I2013" i="2"/>
  <c r="H2013" i="2"/>
  <c r="AJ2012" i="2"/>
  <c r="AI2012" i="2"/>
  <c r="AH2012" i="2"/>
  <c r="I2012" i="2"/>
  <c r="H2012" i="2"/>
  <c r="AJ2011" i="2"/>
  <c r="AI2011" i="2"/>
  <c r="AH2011" i="2"/>
  <c r="I2011" i="2"/>
  <c r="H2011" i="2"/>
  <c r="AJ2010" i="2"/>
  <c r="AI2010" i="2"/>
  <c r="AH2010" i="2"/>
  <c r="I2010" i="2"/>
  <c r="H2010" i="2"/>
  <c r="AJ2009" i="2"/>
  <c r="AI2009" i="2"/>
  <c r="AH2009" i="2"/>
  <c r="I2009" i="2"/>
  <c r="H2009" i="2"/>
  <c r="AH2008" i="2"/>
  <c r="I2008" i="2"/>
  <c r="H2008" i="2"/>
  <c r="AH2007" i="2"/>
  <c r="AH2006" i="2"/>
  <c r="AJ2005" i="2"/>
  <c r="AI2005" i="2"/>
  <c r="AH2005" i="2"/>
  <c r="I2005" i="2"/>
  <c r="H2005" i="2"/>
  <c r="AJ2004" i="2"/>
  <c r="AI2004" i="2"/>
  <c r="AK2004" i="2" s="1"/>
  <c r="AL2004" i="2" s="1"/>
  <c r="AH2004" i="2"/>
  <c r="I2004" i="2"/>
  <c r="H2004" i="2"/>
  <c r="AJ2003" i="2"/>
  <c r="AI2003" i="2"/>
  <c r="AH2003" i="2"/>
  <c r="I2003" i="2"/>
  <c r="H2003" i="2"/>
  <c r="AJ2002" i="2"/>
  <c r="AI2002" i="2"/>
  <c r="AK2002" i="2" s="1"/>
  <c r="AL2002" i="2" s="1"/>
  <c r="AH2002" i="2"/>
  <c r="I2002" i="2"/>
  <c r="H2002" i="2"/>
  <c r="AJ2001" i="2"/>
  <c r="AK2001" i="2" s="1"/>
  <c r="AL2001" i="2" s="1"/>
  <c r="AI2001" i="2"/>
  <c r="AH2001" i="2"/>
  <c r="I2001" i="2"/>
  <c r="H2001" i="2"/>
  <c r="AH2000" i="2"/>
  <c r="I2000" i="2"/>
  <c r="H2000" i="2"/>
  <c r="AH1999" i="2"/>
  <c r="AJ1998" i="2"/>
  <c r="AI1998" i="2"/>
  <c r="AH1998" i="2"/>
  <c r="I1998" i="2"/>
  <c r="H1998" i="2"/>
  <c r="AJ1997" i="2"/>
  <c r="AI1997" i="2"/>
  <c r="AH1997" i="2"/>
  <c r="I1997" i="2"/>
  <c r="H1997" i="2"/>
  <c r="AJ1996" i="2"/>
  <c r="AI1996" i="2"/>
  <c r="AH1996" i="2"/>
  <c r="I1996" i="2"/>
  <c r="H1996" i="2"/>
  <c r="AJ1995" i="2"/>
  <c r="AI1995" i="2"/>
  <c r="AH1995" i="2"/>
  <c r="I1995" i="2"/>
  <c r="H1995" i="2"/>
  <c r="AJ1994" i="2"/>
  <c r="AI1994" i="2"/>
  <c r="AH1994" i="2"/>
  <c r="I1994" i="2"/>
  <c r="H1994" i="2"/>
  <c r="AJ1993" i="2"/>
  <c r="AI1993" i="2"/>
  <c r="AH1993" i="2"/>
  <c r="I1993" i="2"/>
  <c r="H1993" i="2"/>
  <c r="AH1992" i="2"/>
  <c r="S1992" i="2"/>
  <c r="R1992" i="2"/>
  <c r="AJ1992" i="2" s="1"/>
  <c r="I1992" i="2"/>
  <c r="H1992" i="2"/>
  <c r="AH1991" i="2"/>
  <c r="S1991" i="2"/>
  <c r="R1991" i="2"/>
  <c r="AI1991" i="2" s="1"/>
  <c r="I1991" i="2"/>
  <c r="H1991" i="2"/>
  <c r="AJ1990" i="2"/>
  <c r="AI1990" i="2"/>
  <c r="AH1990" i="2"/>
  <c r="I1990" i="2"/>
  <c r="H1990" i="2"/>
  <c r="AJ1989" i="2"/>
  <c r="AI1989" i="2"/>
  <c r="AH1989" i="2"/>
  <c r="I1989" i="2"/>
  <c r="H1989" i="2"/>
  <c r="AJ1988" i="2"/>
  <c r="AI1988" i="2"/>
  <c r="AH1988" i="2"/>
  <c r="I1988" i="2"/>
  <c r="H1988" i="2"/>
  <c r="AJ1987" i="2"/>
  <c r="AI1987" i="2"/>
  <c r="AH1987" i="2"/>
  <c r="I1987" i="2"/>
  <c r="H1987" i="2"/>
  <c r="AJ1986" i="2"/>
  <c r="AI1986" i="2"/>
  <c r="AH1986" i="2"/>
  <c r="I1986" i="2"/>
  <c r="H1986" i="2"/>
  <c r="AJ1985" i="2"/>
  <c r="AI1985" i="2"/>
  <c r="AH1985" i="2"/>
  <c r="I1985" i="2"/>
  <c r="H1985" i="2"/>
  <c r="AJ1984" i="2"/>
  <c r="AI1984" i="2"/>
  <c r="AH1984" i="2"/>
  <c r="I1984" i="2"/>
  <c r="H1984" i="2"/>
  <c r="AJ1983" i="2"/>
  <c r="AI1983" i="2"/>
  <c r="AH1983" i="2"/>
  <c r="I1983" i="2"/>
  <c r="H1983" i="2"/>
  <c r="AJ1982" i="2"/>
  <c r="AI1982" i="2"/>
  <c r="AH1982" i="2"/>
  <c r="I1982" i="2"/>
  <c r="H1982" i="2"/>
  <c r="AJ1981" i="2"/>
  <c r="AI1981" i="2"/>
  <c r="AH1981" i="2"/>
  <c r="I1981" i="2"/>
  <c r="H1981" i="2"/>
  <c r="AJ1980" i="2"/>
  <c r="AI1980" i="2"/>
  <c r="AH1980" i="2"/>
  <c r="I1980" i="2"/>
  <c r="H1980" i="2"/>
  <c r="AJ1979" i="2"/>
  <c r="AI1979" i="2"/>
  <c r="AH1979" i="2"/>
  <c r="I1979" i="2"/>
  <c r="H1979" i="2"/>
  <c r="AH1978" i="2"/>
  <c r="I1978" i="2"/>
  <c r="H1978" i="2"/>
  <c r="AH1977" i="2"/>
  <c r="AJ1976" i="2"/>
  <c r="AI1976" i="2"/>
  <c r="AH1976" i="2"/>
  <c r="I1976" i="2"/>
  <c r="H1976" i="2"/>
  <c r="AJ1975" i="2"/>
  <c r="AI1975" i="2"/>
  <c r="AH1975" i="2"/>
  <c r="I1975" i="2"/>
  <c r="H1975" i="2"/>
  <c r="AH1974" i="2"/>
  <c r="S1974" i="2"/>
  <c r="R1974" i="2"/>
  <c r="AJ1974" i="2" s="1"/>
  <c r="I1974" i="2"/>
  <c r="H1974" i="2"/>
  <c r="AJ1973" i="2"/>
  <c r="AI1973" i="2"/>
  <c r="AH1973" i="2"/>
  <c r="I1973" i="2"/>
  <c r="H1973" i="2"/>
  <c r="AJ1972" i="2"/>
  <c r="AI1972" i="2"/>
  <c r="AH1972" i="2"/>
  <c r="I1972" i="2"/>
  <c r="H1972" i="2"/>
  <c r="AH1971" i="2"/>
  <c r="S1971" i="2"/>
  <c r="R1971" i="2"/>
  <c r="AJ1971" i="2" s="1"/>
  <c r="I1971" i="2"/>
  <c r="H1971" i="2"/>
  <c r="AJ1970" i="2"/>
  <c r="AI1970" i="2"/>
  <c r="AH1970" i="2"/>
  <c r="I1970" i="2"/>
  <c r="H1970" i="2"/>
  <c r="AJ1969" i="2"/>
  <c r="AI1969" i="2"/>
  <c r="AH1969" i="2"/>
  <c r="I1969" i="2"/>
  <c r="H1969" i="2"/>
  <c r="AJ1968" i="2"/>
  <c r="AI1968" i="2"/>
  <c r="AH1968" i="2"/>
  <c r="I1968" i="2"/>
  <c r="H1968" i="2"/>
  <c r="AJ1967" i="2"/>
  <c r="AI1967" i="2"/>
  <c r="AH1967" i="2"/>
  <c r="I1967" i="2"/>
  <c r="H1967" i="2"/>
  <c r="AJ1966" i="2"/>
  <c r="AI1966" i="2"/>
  <c r="AH1966" i="2"/>
  <c r="I1966" i="2"/>
  <c r="H1966" i="2"/>
  <c r="AH1965" i="2"/>
  <c r="I1965" i="2"/>
  <c r="H1965" i="2"/>
  <c r="AH1964" i="2"/>
  <c r="AH1963" i="2"/>
  <c r="S1963" i="2"/>
  <c r="R1963" i="2"/>
  <c r="AJ1963" i="2" s="1"/>
  <c r="I1963" i="2"/>
  <c r="H1963" i="2"/>
  <c r="AJ1962" i="2"/>
  <c r="AI1962" i="2"/>
  <c r="AH1962" i="2"/>
  <c r="I1962" i="2"/>
  <c r="H1962" i="2"/>
  <c r="AJ1961" i="2"/>
  <c r="AI1961" i="2"/>
  <c r="AH1961" i="2"/>
  <c r="I1961" i="2"/>
  <c r="H1961" i="2"/>
  <c r="AJ1960" i="2"/>
  <c r="AK1960" i="2" s="1"/>
  <c r="AL1960" i="2" s="1"/>
  <c r="AI1960" i="2"/>
  <c r="AH1960" i="2"/>
  <c r="I1960" i="2"/>
  <c r="H1960" i="2"/>
  <c r="AJ1959" i="2"/>
  <c r="AI1959" i="2"/>
  <c r="AH1959" i="2"/>
  <c r="I1959" i="2"/>
  <c r="H1959" i="2"/>
  <c r="AJ1958" i="2"/>
  <c r="AI1958" i="2"/>
  <c r="AH1958" i="2"/>
  <c r="I1958" i="2"/>
  <c r="H1958" i="2"/>
  <c r="AJ1957" i="2"/>
  <c r="AI1957" i="2"/>
  <c r="AH1957" i="2"/>
  <c r="I1957" i="2"/>
  <c r="H1957" i="2"/>
  <c r="AJ1956" i="2"/>
  <c r="AI1956" i="2"/>
  <c r="AH1956" i="2"/>
  <c r="I1956" i="2"/>
  <c r="H1956" i="2"/>
  <c r="AJ1955" i="2"/>
  <c r="AI1955" i="2"/>
  <c r="AH1955" i="2"/>
  <c r="I1955" i="2"/>
  <c r="H1955" i="2"/>
  <c r="AJ1954" i="2"/>
  <c r="AI1954" i="2"/>
  <c r="AH1954" i="2"/>
  <c r="I1954" i="2"/>
  <c r="H1954" i="2"/>
  <c r="AH1953" i="2"/>
  <c r="S1953" i="2"/>
  <c r="R1953" i="2"/>
  <c r="AJ1953" i="2" s="1"/>
  <c r="I1953" i="2"/>
  <c r="H1953" i="2"/>
  <c r="AJ1952" i="2"/>
  <c r="AI1952" i="2"/>
  <c r="AH1952" i="2"/>
  <c r="I1952" i="2"/>
  <c r="H1952" i="2"/>
  <c r="AJ1951" i="2"/>
  <c r="AI1951" i="2"/>
  <c r="AH1951" i="2"/>
  <c r="I1951" i="2"/>
  <c r="H1951" i="2"/>
  <c r="AK1950" i="2"/>
  <c r="AL1950" i="2" s="1"/>
  <c r="AJ1950" i="2"/>
  <c r="AI1950" i="2"/>
  <c r="AH1950" i="2"/>
  <c r="I1950" i="2"/>
  <c r="H1950" i="2"/>
  <c r="AJ1949" i="2"/>
  <c r="AI1949" i="2"/>
  <c r="AH1949" i="2"/>
  <c r="I1949" i="2"/>
  <c r="H1949" i="2"/>
  <c r="AJ1948" i="2"/>
  <c r="AI1948" i="2"/>
  <c r="AK1948" i="2" s="1"/>
  <c r="AL1948" i="2" s="1"/>
  <c r="AH1948" i="2"/>
  <c r="I1948" i="2"/>
  <c r="H1948" i="2"/>
  <c r="AJ1947" i="2"/>
  <c r="AK1947" i="2" s="1"/>
  <c r="AL1947" i="2" s="1"/>
  <c r="AI1947" i="2"/>
  <c r="AH1947" i="2"/>
  <c r="I1947" i="2"/>
  <c r="H1947" i="2"/>
  <c r="AH1946" i="2"/>
  <c r="I1946" i="2"/>
  <c r="H1946" i="2"/>
  <c r="AH1945" i="2"/>
  <c r="AJ1944" i="2"/>
  <c r="AI1944" i="2"/>
  <c r="AH1944" i="2"/>
  <c r="I1944" i="2"/>
  <c r="H1944" i="2"/>
  <c r="AH1943" i="2"/>
  <c r="S1943" i="2"/>
  <c r="R1943" i="2"/>
  <c r="AI1943" i="2" s="1"/>
  <c r="I1943" i="2"/>
  <c r="H1943" i="2"/>
  <c r="AJ1942" i="2"/>
  <c r="AI1942" i="2"/>
  <c r="AH1942" i="2"/>
  <c r="I1942" i="2"/>
  <c r="H1942" i="2"/>
  <c r="AH1941" i="2"/>
  <c r="S1941" i="2"/>
  <c r="R1941" i="2"/>
  <c r="AI1941" i="2" s="1"/>
  <c r="I1941" i="2"/>
  <c r="H1941" i="2"/>
  <c r="AH1940" i="2"/>
  <c r="S1940" i="2"/>
  <c r="R1940" i="2"/>
  <c r="I1940" i="2"/>
  <c r="H1940" i="2"/>
  <c r="AJ1939" i="2"/>
  <c r="AI1939" i="2"/>
  <c r="AH1939" i="2"/>
  <c r="I1939" i="2"/>
  <c r="H1939" i="2"/>
  <c r="AJ1938" i="2"/>
  <c r="AI1938" i="2"/>
  <c r="AH1938" i="2"/>
  <c r="I1938" i="2"/>
  <c r="H1938" i="2"/>
  <c r="AJ1937" i="2"/>
  <c r="AI1937" i="2"/>
  <c r="AH1937" i="2"/>
  <c r="I1937" i="2"/>
  <c r="H1937" i="2"/>
  <c r="AJ1936" i="2"/>
  <c r="AI1936" i="2"/>
  <c r="AH1936" i="2"/>
  <c r="I1936" i="2"/>
  <c r="H1936" i="2"/>
  <c r="AJ1935" i="2"/>
  <c r="AI1935" i="2"/>
  <c r="AH1935" i="2"/>
  <c r="I1935" i="2"/>
  <c r="H1935" i="2"/>
  <c r="AJ1934" i="2"/>
  <c r="AI1934" i="2"/>
  <c r="AH1934" i="2"/>
  <c r="I1934" i="2"/>
  <c r="H1934" i="2"/>
  <c r="AH1933" i="2"/>
  <c r="S1933" i="2"/>
  <c r="R1933" i="2"/>
  <c r="AI1933" i="2" s="1"/>
  <c r="I1933" i="2"/>
  <c r="H1933" i="2"/>
  <c r="AH1932" i="2"/>
  <c r="I1932" i="2"/>
  <c r="H1932" i="2"/>
  <c r="AH1931" i="2"/>
  <c r="AJ1930" i="2"/>
  <c r="AI1930" i="2"/>
  <c r="AH1930" i="2"/>
  <c r="I1930" i="2"/>
  <c r="H1930" i="2"/>
  <c r="AJ1929" i="2"/>
  <c r="AI1929" i="2"/>
  <c r="AH1929" i="2"/>
  <c r="I1929" i="2"/>
  <c r="H1929" i="2"/>
  <c r="AJ1928" i="2"/>
  <c r="AI1928" i="2"/>
  <c r="AH1928" i="2"/>
  <c r="I1928" i="2"/>
  <c r="H1928" i="2"/>
  <c r="AJ1927" i="2"/>
  <c r="AI1927" i="2"/>
  <c r="AH1927" i="2"/>
  <c r="I1927" i="2"/>
  <c r="H1927" i="2"/>
  <c r="AJ1926" i="2"/>
  <c r="AI1926" i="2"/>
  <c r="AH1926" i="2"/>
  <c r="I1926" i="2"/>
  <c r="H1926" i="2"/>
  <c r="AJ1925" i="2"/>
  <c r="AI1925" i="2"/>
  <c r="AH1925" i="2"/>
  <c r="I1925" i="2"/>
  <c r="H1925" i="2"/>
  <c r="AJ1924" i="2"/>
  <c r="AI1924" i="2"/>
  <c r="AH1924" i="2"/>
  <c r="I1924" i="2"/>
  <c r="H1924" i="2"/>
  <c r="AJ1923" i="2"/>
  <c r="AI1923" i="2"/>
  <c r="AH1923" i="2"/>
  <c r="I1923" i="2"/>
  <c r="H1923" i="2"/>
  <c r="AI1922" i="2"/>
  <c r="AH1922" i="2"/>
  <c r="S1922" i="2"/>
  <c r="R1922" i="2"/>
  <c r="AJ1922" i="2" s="1"/>
  <c r="I1922" i="2"/>
  <c r="H1922" i="2"/>
  <c r="AJ1921" i="2"/>
  <c r="AI1921" i="2"/>
  <c r="AH1921" i="2"/>
  <c r="I1921" i="2"/>
  <c r="H1921" i="2"/>
  <c r="AJ1920" i="2"/>
  <c r="AI1920" i="2"/>
  <c r="AH1920" i="2"/>
  <c r="I1920" i="2"/>
  <c r="H1920" i="2"/>
  <c r="AJ1919" i="2"/>
  <c r="AI1919" i="2"/>
  <c r="AH1919" i="2"/>
  <c r="I1919" i="2"/>
  <c r="H1919" i="2"/>
  <c r="AJ1918" i="2"/>
  <c r="AI1918" i="2"/>
  <c r="AH1918" i="2"/>
  <c r="I1918" i="2"/>
  <c r="H1918" i="2"/>
  <c r="AJ1917" i="2"/>
  <c r="AI1917" i="2"/>
  <c r="AH1917" i="2"/>
  <c r="I1917" i="2"/>
  <c r="H1917" i="2"/>
  <c r="AJ1916" i="2"/>
  <c r="AI1916" i="2"/>
  <c r="AH1916" i="2"/>
  <c r="I1916" i="2"/>
  <c r="H1916" i="2"/>
  <c r="AJ1915" i="2"/>
  <c r="AI1915" i="2"/>
  <c r="AH1915" i="2"/>
  <c r="I1915" i="2"/>
  <c r="H1915" i="2"/>
  <c r="AJ1914" i="2"/>
  <c r="AI1914" i="2"/>
  <c r="AK1914" i="2" s="1"/>
  <c r="AL1914" i="2" s="1"/>
  <c r="AH1914" i="2"/>
  <c r="I1914" i="2"/>
  <c r="H1914" i="2"/>
  <c r="AJ1913" i="2"/>
  <c r="AI1913" i="2"/>
  <c r="AH1913" i="2"/>
  <c r="I1913" i="2"/>
  <c r="H1913" i="2"/>
  <c r="AJ1912" i="2"/>
  <c r="AI1912" i="2"/>
  <c r="AH1912" i="2"/>
  <c r="I1912" i="2"/>
  <c r="H1912" i="2"/>
  <c r="AJ1911" i="2"/>
  <c r="AI1911" i="2"/>
  <c r="AH1911" i="2"/>
  <c r="I1911" i="2"/>
  <c r="H1911" i="2"/>
  <c r="AJ1910" i="2"/>
  <c r="AI1910" i="2"/>
  <c r="AH1910" i="2"/>
  <c r="I1910" i="2"/>
  <c r="H1910" i="2"/>
  <c r="AJ1909" i="2"/>
  <c r="AI1909" i="2"/>
  <c r="AH1909" i="2"/>
  <c r="I1909" i="2"/>
  <c r="H1909" i="2"/>
  <c r="AJ1908" i="2"/>
  <c r="AI1908" i="2"/>
  <c r="AH1908" i="2"/>
  <c r="I1908" i="2"/>
  <c r="H1908" i="2"/>
  <c r="AJ1907" i="2"/>
  <c r="AK1907" i="2" s="1"/>
  <c r="AL1907" i="2" s="1"/>
  <c r="AI1907" i="2"/>
  <c r="AH1907" i="2"/>
  <c r="I1907" i="2"/>
  <c r="H1907" i="2"/>
  <c r="AJ1906" i="2"/>
  <c r="AI1906" i="2"/>
  <c r="AK1906" i="2" s="1"/>
  <c r="AL1906" i="2" s="1"/>
  <c r="AH1906" i="2"/>
  <c r="I1906" i="2"/>
  <c r="H1906" i="2"/>
  <c r="AJ1905" i="2"/>
  <c r="AI1905" i="2"/>
  <c r="AH1905" i="2"/>
  <c r="I1905" i="2"/>
  <c r="H1905" i="2"/>
  <c r="AJ1904" i="2"/>
  <c r="AI1904" i="2"/>
  <c r="AH1904" i="2"/>
  <c r="I1904" i="2"/>
  <c r="H1904" i="2"/>
  <c r="AJ1903" i="2"/>
  <c r="AI1903" i="2"/>
  <c r="AH1903" i="2"/>
  <c r="I1903" i="2"/>
  <c r="H1903" i="2"/>
  <c r="AJ1902" i="2"/>
  <c r="AI1902" i="2"/>
  <c r="AK1902" i="2" s="1"/>
  <c r="AL1902" i="2" s="1"/>
  <c r="AH1902" i="2"/>
  <c r="I1902" i="2"/>
  <c r="H1902" i="2"/>
  <c r="AJ1901" i="2"/>
  <c r="AI1901" i="2"/>
  <c r="AH1901" i="2"/>
  <c r="I1901" i="2"/>
  <c r="H1901" i="2"/>
  <c r="AJ1900" i="2"/>
  <c r="AI1900" i="2"/>
  <c r="AH1900" i="2"/>
  <c r="I1900" i="2"/>
  <c r="H1900" i="2"/>
  <c r="AJ1899" i="2"/>
  <c r="AI1899" i="2"/>
  <c r="AH1899" i="2"/>
  <c r="I1899" i="2"/>
  <c r="H1899" i="2"/>
  <c r="AJ1898" i="2"/>
  <c r="AI1898" i="2"/>
  <c r="AK1898" i="2" s="1"/>
  <c r="AL1898" i="2" s="1"/>
  <c r="AH1898" i="2"/>
  <c r="I1898" i="2"/>
  <c r="H1898" i="2"/>
  <c r="AJ1897" i="2"/>
  <c r="AI1897" i="2"/>
  <c r="AH1897" i="2"/>
  <c r="I1897" i="2"/>
  <c r="H1897" i="2"/>
  <c r="AH1896" i="2"/>
  <c r="I1896" i="2"/>
  <c r="H1896" i="2"/>
  <c r="AH1895" i="2"/>
  <c r="AJ1894" i="2"/>
  <c r="AI1894" i="2"/>
  <c r="AH1894" i="2"/>
  <c r="I1894" i="2"/>
  <c r="H1894" i="2"/>
  <c r="AJ1893" i="2"/>
  <c r="AI1893" i="2"/>
  <c r="AH1893" i="2"/>
  <c r="I1893" i="2"/>
  <c r="H1893" i="2"/>
  <c r="AJ1892" i="2"/>
  <c r="AI1892" i="2"/>
  <c r="AH1892" i="2"/>
  <c r="I1892" i="2"/>
  <c r="H1892" i="2"/>
  <c r="AJ1891" i="2"/>
  <c r="AI1891" i="2"/>
  <c r="AH1891" i="2"/>
  <c r="I1891" i="2"/>
  <c r="H1891" i="2"/>
  <c r="AJ1890" i="2"/>
  <c r="AI1890" i="2"/>
  <c r="AH1890" i="2"/>
  <c r="I1890" i="2"/>
  <c r="H1890" i="2"/>
  <c r="AJ1889" i="2"/>
  <c r="AI1889" i="2"/>
  <c r="AH1889" i="2"/>
  <c r="I1889" i="2"/>
  <c r="H1889" i="2"/>
  <c r="AJ1888" i="2"/>
  <c r="E46" i="19" s="1"/>
  <c r="AI1888" i="2"/>
  <c r="E45" i="19" s="1"/>
  <c r="AH1888" i="2"/>
  <c r="I1888" i="2"/>
  <c r="H1888" i="2"/>
  <c r="AH1887" i="2"/>
  <c r="S1887" i="2"/>
  <c r="R1887" i="2"/>
  <c r="AJ1887" i="2" s="1"/>
  <c r="I1887" i="2"/>
  <c r="H1887" i="2"/>
  <c r="AJ1886" i="2"/>
  <c r="AI1886" i="2"/>
  <c r="AH1886" i="2"/>
  <c r="I1886" i="2"/>
  <c r="H1886" i="2"/>
  <c r="AJ1885" i="2"/>
  <c r="AI1885" i="2"/>
  <c r="AH1885" i="2"/>
  <c r="I1885" i="2"/>
  <c r="H1885" i="2"/>
  <c r="AJ1884" i="2"/>
  <c r="AI1884" i="2"/>
  <c r="AH1884" i="2"/>
  <c r="I1884" i="2"/>
  <c r="H1884" i="2"/>
  <c r="AH1883" i="2"/>
  <c r="S1883" i="2"/>
  <c r="R1883" i="2"/>
  <c r="AI1883" i="2" s="1"/>
  <c r="I1883" i="2"/>
  <c r="H1883" i="2"/>
  <c r="AJ1882" i="2"/>
  <c r="AK1882" i="2" s="1"/>
  <c r="AL1882" i="2" s="1"/>
  <c r="AI1882" i="2"/>
  <c r="AH1882" i="2"/>
  <c r="I1882" i="2"/>
  <c r="H1882" i="2"/>
  <c r="AJ1881" i="2"/>
  <c r="AI1881" i="2"/>
  <c r="AH1881" i="2"/>
  <c r="I1881" i="2"/>
  <c r="H1881" i="2"/>
  <c r="AJ1880" i="2"/>
  <c r="AI1880" i="2"/>
  <c r="AH1880" i="2"/>
  <c r="I1880" i="2"/>
  <c r="H1880" i="2"/>
  <c r="AH1879" i="2"/>
  <c r="S1879" i="2"/>
  <c r="R1879" i="2"/>
  <c r="AJ1879" i="2" s="1"/>
  <c r="I1879" i="2"/>
  <c r="H1879" i="2"/>
  <c r="AJ1878" i="2"/>
  <c r="AI1878" i="2"/>
  <c r="AH1878" i="2"/>
  <c r="I1878" i="2"/>
  <c r="H1878" i="2"/>
  <c r="AJ1877" i="2"/>
  <c r="AI1877" i="2"/>
  <c r="AH1877" i="2"/>
  <c r="I1877" i="2"/>
  <c r="H1877" i="2"/>
  <c r="AJ1876" i="2"/>
  <c r="AI1876" i="2"/>
  <c r="AH1876" i="2"/>
  <c r="I1876" i="2"/>
  <c r="H1876" i="2"/>
  <c r="AJ1875" i="2"/>
  <c r="AI1875" i="2"/>
  <c r="AH1875" i="2"/>
  <c r="I1875" i="2"/>
  <c r="H1875" i="2"/>
  <c r="AJ1874" i="2"/>
  <c r="AI1874" i="2"/>
  <c r="AH1874" i="2"/>
  <c r="I1874" i="2"/>
  <c r="H1874" i="2"/>
  <c r="AJ1873" i="2"/>
  <c r="AI1873" i="2"/>
  <c r="AH1873" i="2"/>
  <c r="I1873" i="2"/>
  <c r="H1873" i="2"/>
  <c r="AJ1872" i="2"/>
  <c r="AK1872" i="2" s="1"/>
  <c r="AL1872" i="2" s="1"/>
  <c r="AI1872" i="2"/>
  <c r="AH1872" i="2"/>
  <c r="I1872" i="2"/>
  <c r="H1872" i="2"/>
  <c r="AJ1871" i="2"/>
  <c r="AI1871" i="2"/>
  <c r="AH1871" i="2"/>
  <c r="I1871" i="2"/>
  <c r="H1871" i="2"/>
  <c r="AH1870" i="2"/>
  <c r="S1870" i="2"/>
  <c r="R1870" i="2"/>
  <c r="AJ1870" i="2" s="1"/>
  <c r="I1870" i="2"/>
  <c r="H1870" i="2"/>
  <c r="AJ1869" i="2"/>
  <c r="AI1869" i="2"/>
  <c r="AH1869" i="2"/>
  <c r="I1869" i="2"/>
  <c r="H1869" i="2"/>
  <c r="AH1868" i="2"/>
  <c r="S1868" i="2"/>
  <c r="R1868" i="2"/>
  <c r="AJ1868" i="2" s="1"/>
  <c r="I1868" i="2"/>
  <c r="H1868" i="2"/>
  <c r="AJ1867" i="2"/>
  <c r="AI1867" i="2"/>
  <c r="AH1867" i="2"/>
  <c r="I1867" i="2"/>
  <c r="H1867" i="2"/>
  <c r="AH1866" i="2"/>
  <c r="S1866" i="2"/>
  <c r="R1866" i="2"/>
  <c r="I1866" i="2"/>
  <c r="H1866" i="2"/>
  <c r="AJ1865" i="2"/>
  <c r="AI1865" i="2"/>
  <c r="AH1865" i="2"/>
  <c r="I1865" i="2"/>
  <c r="H1865" i="2"/>
  <c r="AJ1864" i="2"/>
  <c r="AI1864" i="2"/>
  <c r="AH1864" i="2"/>
  <c r="I1864" i="2"/>
  <c r="H1864" i="2"/>
  <c r="AJ1863" i="2"/>
  <c r="AI1863" i="2"/>
  <c r="AH1863" i="2"/>
  <c r="I1863" i="2"/>
  <c r="H1863" i="2"/>
  <c r="AJ1862" i="2"/>
  <c r="AI1862" i="2"/>
  <c r="AH1862" i="2"/>
  <c r="I1862" i="2"/>
  <c r="H1862" i="2"/>
  <c r="AJ1861" i="2"/>
  <c r="AI1861" i="2"/>
  <c r="AH1861" i="2"/>
  <c r="I1861" i="2"/>
  <c r="H1861" i="2"/>
  <c r="AJ1860" i="2"/>
  <c r="AI1860" i="2"/>
  <c r="AK1860" i="2" s="1"/>
  <c r="AL1860" i="2" s="1"/>
  <c r="AH1860" i="2"/>
  <c r="I1860" i="2"/>
  <c r="H1860" i="2"/>
  <c r="AJ1859" i="2"/>
  <c r="AI1859" i="2"/>
  <c r="AH1859" i="2"/>
  <c r="I1859" i="2"/>
  <c r="H1859" i="2"/>
  <c r="AJ1858" i="2"/>
  <c r="AI1858" i="2"/>
  <c r="AH1858" i="2"/>
  <c r="I1858" i="2"/>
  <c r="H1858" i="2"/>
  <c r="AJ1857" i="2"/>
  <c r="AI1857" i="2"/>
  <c r="AH1857" i="2"/>
  <c r="I1857" i="2"/>
  <c r="H1857" i="2"/>
  <c r="AJ1856" i="2"/>
  <c r="AI1856" i="2"/>
  <c r="AK1856" i="2" s="1"/>
  <c r="AL1856" i="2" s="1"/>
  <c r="AH1856" i="2"/>
  <c r="I1856" i="2"/>
  <c r="H1856" i="2"/>
  <c r="AJ1855" i="2"/>
  <c r="AI1855" i="2"/>
  <c r="AH1855" i="2"/>
  <c r="I1855" i="2"/>
  <c r="H1855" i="2"/>
  <c r="AH1854" i="2"/>
  <c r="I1854" i="2"/>
  <c r="H1854" i="2"/>
  <c r="AH1853" i="2"/>
  <c r="AH1852" i="2"/>
  <c r="AJ1851" i="2"/>
  <c r="AI1851" i="2"/>
  <c r="AH1851" i="2"/>
  <c r="I1851" i="2"/>
  <c r="H1851" i="2"/>
  <c r="AJ1850" i="2"/>
  <c r="AI1850" i="2"/>
  <c r="AH1850" i="2"/>
  <c r="I1850" i="2"/>
  <c r="H1850" i="2"/>
  <c r="AJ1849" i="2"/>
  <c r="AI1849" i="2"/>
  <c r="AH1849" i="2"/>
  <c r="I1849" i="2"/>
  <c r="H1849" i="2"/>
  <c r="AJ1848" i="2"/>
  <c r="AI1848" i="2"/>
  <c r="AH1848" i="2"/>
  <c r="I1848" i="2"/>
  <c r="H1848" i="2"/>
  <c r="AH1847" i="2"/>
  <c r="S1847" i="2"/>
  <c r="R1847" i="2"/>
  <c r="AJ1847" i="2" s="1"/>
  <c r="I1847" i="2"/>
  <c r="H1847" i="2"/>
  <c r="AJ1846" i="2"/>
  <c r="AI1846" i="2"/>
  <c r="AK1846" i="2" s="1"/>
  <c r="AL1846" i="2" s="1"/>
  <c r="AH1846" i="2"/>
  <c r="I1846" i="2"/>
  <c r="H1846" i="2"/>
  <c r="AJ1845" i="2"/>
  <c r="AI1845" i="2"/>
  <c r="AH1845" i="2"/>
  <c r="I1845" i="2"/>
  <c r="H1845" i="2"/>
  <c r="AJ1844" i="2"/>
  <c r="AI1844" i="2"/>
  <c r="AH1844" i="2"/>
  <c r="I1844" i="2"/>
  <c r="H1844" i="2"/>
  <c r="AJ1843" i="2"/>
  <c r="AI1843" i="2"/>
  <c r="AH1843" i="2"/>
  <c r="I1843" i="2"/>
  <c r="H1843" i="2"/>
  <c r="AJ1842" i="2"/>
  <c r="AI1842" i="2"/>
  <c r="AH1842" i="2"/>
  <c r="I1842" i="2"/>
  <c r="H1842" i="2"/>
  <c r="AJ1841" i="2"/>
  <c r="AI1841" i="2"/>
  <c r="AH1841" i="2"/>
  <c r="I1841" i="2"/>
  <c r="H1841" i="2"/>
  <c r="AJ1840" i="2"/>
  <c r="AI1840" i="2"/>
  <c r="AH1840" i="2"/>
  <c r="I1840" i="2"/>
  <c r="H1840" i="2"/>
  <c r="AJ1839" i="2"/>
  <c r="AI1839" i="2"/>
  <c r="AH1839" i="2"/>
  <c r="I1839" i="2"/>
  <c r="H1839" i="2"/>
  <c r="AJ1838" i="2"/>
  <c r="AI1838" i="2"/>
  <c r="AK1838" i="2" s="1"/>
  <c r="AL1838" i="2" s="1"/>
  <c r="AH1838" i="2"/>
  <c r="I1838" i="2"/>
  <c r="H1838" i="2"/>
  <c r="AJ1837" i="2"/>
  <c r="AI1837" i="2"/>
  <c r="AH1837" i="2"/>
  <c r="I1837" i="2"/>
  <c r="H1837" i="2"/>
  <c r="AJ1836" i="2"/>
  <c r="AI1836" i="2"/>
  <c r="AH1836" i="2"/>
  <c r="I1836" i="2"/>
  <c r="H1836" i="2"/>
  <c r="AJ1835" i="2"/>
  <c r="AI1835" i="2"/>
  <c r="AH1835" i="2"/>
  <c r="I1835" i="2"/>
  <c r="H1835" i="2"/>
  <c r="AJ1834" i="2"/>
  <c r="AI1834" i="2"/>
  <c r="AK1834" i="2" s="1"/>
  <c r="AL1834" i="2" s="1"/>
  <c r="AH1834" i="2"/>
  <c r="I1834" i="2"/>
  <c r="H1834" i="2"/>
  <c r="AJ1833" i="2"/>
  <c r="AI1833" i="2"/>
  <c r="AH1833" i="2"/>
  <c r="I1833" i="2"/>
  <c r="H1833" i="2"/>
  <c r="AJ1832" i="2"/>
  <c r="AK1832" i="2" s="1"/>
  <c r="AL1832" i="2" s="1"/>
  <c r="AI1832" i="2"/>
  <c r="AH1832" i="2"/>
  <c r="I1832" i="2"/>
  <c r="H1832" i="2"/>
  <c r="AJ1831" i="2"/>
  <c r="AI1831" i="2"/>
  <c r="AH1831" i="2"/>
  <c r="I1831" i="2"/>
  <c r="H1831" i="2"/>
  <c r="AJ1830" i="2"/>
  <c r="AI1830" i="2"/>
  <c r="AH1830" i="2"/>
  <c r="I1830" i="2"/>
  <c r="H1830" i="2"/>
  <c r="AJ1829" i="2"/>
  <c r="AI1829" i="2"/>
  <c r="AH1829" i="2"/>
  <c r="I1829" i="2"/>
  <c r="H1829" i="2"/>
  <c r="AJ1828" i="2"/>
  <c r="AI1828" i="2"/>
  <c r="AH1828" i="2"/>
  <c r="I1828" i="2"/>
  <c r="H1828" i="2"/>
  <c r="AJ1827" i="2"/>
  <c r="AI1827" i="2"/>
  <c r="AH1827" i="2"/>
  <c r="I1827" i="2"/>
  <c r="H1827" i="2"/>
  <c r="AJ1826" i="2"/>
  <c r="AI1826" i="2"/>
  <c r="AH1826" i="2"/>
  <c r="I1826" i="2"/>
  <c r="H1826" i="2"/>
  <c r="AJ1825" i="2"/>
  <c r="AI1825" i="2"/>
  <c r="AH1825" i="2"/>
  <c r="I1825" i="2"/>
  <c r="H1825" i="2"/>
  <c r="AJ1824" i="2"/>
  <c r="AI1824" i="2"/>
  <c r="AH1824" i="2"/>
  <c r="I1824" i="2"/>
  <c r="H1824" i="2"/>
  <c r="AJ1823" i="2"/>
  <c r="AI1823" i="2"/>
  <c r="AH1823" i="2"/>
  <c r="I1823" i="2"/>
  <c r="H1823" i="2"/>
  <c r="AJ1822" i="2"/>
  <c r="AI1822" i="2"/>
  <c r="AH1822" i="2"/>
  <c r="I1822" i="2"/>
  <c r="H1822" i="2"/>
  <c r="AJ1821" i="2"/>
  <c r="AI1821" i="2"/>
  <c r="AH1821" i="2"/>
  <c r="I1821" i="2"/>
  <c r="H1821" i="2"/>
  <c r="AJ1820" i="2"/>
  <c r="AI1820" i="2"/>
  <c r="AH1820" i="2"/>
  <c r="I1820" i="2"/>
  <c r="H1820" i="2"/>
  <c r="AH1819" i="2"/>
  <c r="S1819" i="2"/>
  <c r="R1819" i="2"/>
  <c r="AI1819" i="2" s="1"/>
  <c r="I1819" i="2"/>
  <c r="H1819" i="2"/>
  <c r="AJ1818" i="2"/>
  <c r="AI1818" i="2"/>
  <c r="AH1818" i="2"/>
  <c r="I1818" i="2"/>
  <c r="H1818" i="2"/>
  <c r="AJ1817" i="2"/>
  <c r="AI1817" i="2"/>
  <c r="AH1817" i="2"/>
  <c r="I1817" i="2"/>
  <c r="H1817" i="2"/>
  <c r="AJ1816" i="2"/>
  <c r="AI1816" i="2"/>
  <c r="AH1816" i="2"/>
  <c r="I1816" i="2"/>
  <c r="H1816" i="2"/>
  <c r="AJ1815" i="2"/>
  <c r="AI1815" i="2"/>
  <c r="AH1815" i="2"/>
  <c r="I1815" i="2"/>
  <c r="H1815" i="2"/>
  <c r="AJ1814" i="2"/>
  <c r="AI1814" i="2"/>
  <c r="AH1814" i="2"/>
  <c r="I1814" i="2"/>
  <c r="H1814" i="2"/>
  <c r="AJ1813" i="2"/>
  <c r="AI1813" i="2"/>
  <c r="AH1813" i="2"/>
  <c r="I1813" i="2"/>
  <c r="H1813" i="2"/>
  <c r="AJ1812" i="2"/>
  <c r="AI1812" i="2"/>
  <c r="AH1812" i="2"/>
  <c r="I1812" i="2"/>
  <c r="H1812" i="2"/>
  <c r="AJ1811" i="2"/>
  <c r="AI1811" i="2"/>
  <c r="AH1811" i="2"/>
  <c r="I1811" i="2"/>
  <c r="H1811" i="2"/>
  <c r="AJ1810" i="2"/>
  <c r="AK1810" i="2" s="1"/>
  <c r="AL1810" i="2" s="1"/>
  <c r="AI1810" i="2"/>
  <c r="AH1810" i="2"/>
  <c r="I1810" i="2"/>
  <c r="H1810" i="2"/>
  <c r="AJ1809" i="2"/>
  <c r="AI1809" i="2"/>
  <c r="AH1809" i="2"/>
  <c r="I1809" i="2"/>
  <c r="H1809" i="2"/>
  <c r="AJ1808" i="2"/>
  <c r="AI1808" i="2"/>
  <c r="AH1808" i="2"/>
  <c r="I1808" i="2"/>
  <c r="H1808" i="2"/>
  <c r="AJ1807" i="2"/>
  <c r="AI1807" i="2"/>
  <c r="AH1807" i="2"/>
  <c r="I1807" i="2"/>
  <c r="H1807" i="2"/>
  <c r="AJ1806" i="2"/>
  <c r="AK1806" i="2" s="1"/>
  <c r="AL1806" i="2" s="1"/>
  <c r="AI1806" i="2"/>
  <c r="AH1806" i="2"/>
  <c r="I1806" i="2"/>
  <c r="H1806" i="2"/>
  <c r="AJ1805" i="2"/>
  <c r="AI1805" i="2"/>
  <c r="AH1805" i="2"/>
  <c r="I1805" i="2"/>
  <c r="H1805" i="2"/>
  <c r="AJ1804" i="2"/>
  <c r="AI1804" i="2"/>
  <c r="AH1804" i="2"/>
  <c r="I1804" i="2"/>
  <c r="H1804" i="2"/>
  <c r="AJ1803" i="2"/>
  <c r="AI1803" i="2"/>
  <c r="AH1803" i="2"/>
  <c r="I1803" i="2"/>
  <c r="H1803" i="2"/>
  <c r="AJ1802" i="2"/>
  <c r="AI1802" i="2"/>
  <c r="AH1802" i="2"/>
  <c r="I1802" i="2"/>
  <c r="H1802" i="2"/>
  <c r="AJ1801" i="2"/>
  <c r="AI1801" i="2"/>
  <c r="AH1801" i="2"/>
  <c r="I1801" i="2"/>
  <c r="H1801" i="2"/>
  <c r="AJ1800" i="2"/>
  <c r="AI1800" i="2"/>
  <c r="AH1800" i="2"/>
  <c r="I1800" i="2"/>
  <c r="H1800" i="2"/>
  <c r="AJ1799" i="2"/>
  <c r="AI1799" i="2"/>
  <c r="AH1799" i="2"/>
  <c r="I1799" i="2"/>
  <c r="H1799" i="2"/>
  <c r="AJ1798" i="2"/>
  <c r="AK1798" i="2" s="1"/>
  <c r="AL1798" i="2" s="1"/>
  <c r="AI1798" i="2"/>
  <c r="AH1798" i="2"/>
  <c r="I1798" i="2"/>
  <c r="H1798" i="2"/>
  <c r="AJ1797" i="2"/>
  <c r="AI1797" i="2"/>
  <c r="AH1797" i="2"/>
  <c r="I1797" i="2"/>
  <c r="H1797" i="2"/>
  <c r="AJ1796" i="2"/>
  <c r="AI1796" i="2"/>
  <c r="AH1796" i="2"/>
  <c r="I1796" i="2"/>
  <c r="H1796" i="2"/>
  <c r="AJ1795" i="2"/>
  <c r="AI1795" i="2"/>
  <c r="AH1795" i="2"/>
  <c r="I1795" i="2"/>
  <c r="H1795" i="2"/>
  <c r="AI1794" i="2"/>
  <c r="AH1794" i="2"/>
  <c r="S1794" i="2"/>
  <c r="R1794" i="2"/>
  <c r="AJ1794" i="2" s="1"/>
  <c r="I1794" i="2"/>
  <c r="H1794" i="2"/>
  <c r="AH1793" i="2"/>
  <c r="S1793" i="2"/>
  <c r="R1793" i="2"/>
  <c r="AJ1793" i="2" s="1"/>
  <c r="I1793" i="2"/>
  <c r="H1793" i="2"/>
  <c r="AH1792" i="2"/>
  <c r="S1792" i="2"/>
  <c r="R1792" i="2"/>
  <c r="AJ1792" i="2" s="1"/>
  <c r="I1792" i="2"/>
  <c r="H1792" i="2"/>
  <c r="AJ1791" i="2"/>
  <c r="AI1791" i="2"/>
  <c r="AH1791" i="2"/>
  <c r="I1791" i="2"/>
  <c r="H1791" i="2"/>
  <c r="AJ1790" i="2"/>
  <c r="AI1790" i="2"/>
  <c r="AH1790" i="2"/>
  <c r="I1790" i="2"/>
  <c r="H1790" i="2"/>
  <c r="AJ1789" i="2"/>
  <c r="AI1789" i="2"/>
  <c r="AH1789" i="2"/>
  <c r="I1789" i="2"/>
  <c r="H1789" i="2"/>
  <c r="AJ1788" i="2"/>
  <c r="AI1788" i="2"/>
  <c r="AK1788" i="2" s="1"/>
  <c r="AL1788" i="2" s="1"/>
  <c r="AH1788" i="2"/>
  <c r="I1788" i="2"/>
  <c r="H1788" i="2"/>
  <c r="AJ1787" i="2"/>
  <c r="AI1787" i="2"/>
  <c r="AH1787" i="2"/>
  <c r="I1787" i="2"/>
  <c r="H1787" i="2"/>
  <c r="AJ1786" i="2"/>
  <c r="AI1786" i="2"/>
  <c r="AK1786" i="2" s="1"/>
  <c r="AL1786" i="2" s="1"/>
  <c r="AH1786" i="2"/>
  <c r="I1786" i="2"/>
  <c r="H1786" i="2"/>
  <c r="AJ1785" i="2"/>
  <c r="AK1785" i="2" s="1"/>
  <c r="AL1785" i="2" s="1"/>
  <c r="AI1785" i="2"/>
  <c r="AH1785" i="2"/>
  <c r="I1785" i="2"/>
  <c r="H1785" i="2"/>
  <c r="AH1784" i="2"/>
  <c r="S1784" i="2"/>
  <c r="R1784" i="2"/>
  <c r="I1784" i="2"/>
  <c r="H1784" i="2"/>
  <c r="AJ1783" i="2"/>
  <c r="AI1783" i="2"/>
  <c r="AH1783" i="2"/>
  <c r="I1783" i="2"/>
  <c r="H1783" i="2"/>
  <c r="AJ1782" i="2"/>
  <c r="AI1782" i="2"/>
  <c r="AH1782" i="2"/>
  <c r="I1782" i="2"/>
  <c r="H1782" i="2"/>
  <c r="AJ1781" i="2"/>
  <c r="AI1781" i="2"/>
  <c r="AH1781" i="2"/>
  <c r="I1781" i="2"/>
  <c r="H1781" i="2"/>
  <c r="AJ1780" i="2"/>
  <c r="AI1780" i="2"/>
  <c r="AK1780" i="2" s="1"/>
  <c r="AL1780" i="2" s="1"/>
  <c r="AH1780" i="2"/>
  <c r="I1780" i="2"/>
  <c r="H1780" i="2"/>
  <c r="AH1779" i="2"/>
  <c r="S1779" i="2"/>
  <c r="R1779" i="2"/>
  <c r="AJ1779" i="2" s="1"/>
  <c r="I1779" i="2"/>
  <c r="H1779" i="2"/>
  <c r="AH1778" i="2"/>
  <c r="I1778" i="2"/>
  <c r="H1778" i="2"/>
  <c r="AH1777" i="2"/>
  <c r="AJ1776" i="2"/>
  <c r="AI1776" i="2"/>
  <c r="AH1776" i="2"/>
  <c r="AJ1775" i="2"/>
  <c r="AI1775" i="2"/>
  <c r="AH1775" i="2"/>
  <c r="I1775" i="2"/>
  <c r="H1775" i="2"/>
  <c r="AJ1774" i="2"/>
  <c r="AI1774" i="2"/>
  <c r="AH1774" i="2"/>
  <c r="I1774" i="2"/>
  <c r="H1774" i="2"/>
  <c r="AJ1773" i="2"/>
  <c r="AI1773" i="2"/>
  <c r="AH1773" i="2"/>
  <c r="I1773" i="2"/>
  <c r="H1773" i="2"/>
  <c r="AJ1772" i="2"/>
  <c r="AI1772" i="2"/>
  <c r="AH1772" i="2"/>
  <c r="I1772" i="2"/>
  <c r="H1772" i="2"/>
  <c r="AJ1771" i="2"/>
  <c r="E35" i="16" s="1"/>
  <c r="AI1771" i="2"/>
  <c r="E34" i="16" s="1"/>
  <c r="AH1771" i="2"/>
  <c r="I1771" i="2"/>
  <c r="H1771" i="2"/>
  <c r="G33" i="16" s="1"/>
  <c r="AJ1770" i="2"/>
  <c r="AI1770" i="2"/>
  <c r="AH1770" i="2"/>
  <c r="I1770" i="2"/>
  <c r="H1770" i="2"/>
  <c r="AJ1769" i="2"/>
  <c r="AI1769" i="2"/>
  <c r="AH1769" i="2"/>
  <c r="I1769" i="2"/>
  <c r="H1769" i="2"/>
  <c r="AH1768" i="2"/>
  <c r="W1768" i="2"/>
  <c r="V1768" i="2"/>
  <c r="I1768" i="2"/>
  <c r="H1768" i="2"/>
  <c r="AJ1767" i="2"/>
  <c r="AI1767" i="2"/>
  <c r="AH1767" i="2"/>
  <c r="I1767" i="2"/>
  <c r="H1767" i="2"/>
  <c r="AH1766" i="2"/>
  <c r="W1766" i="2"/>
  <c r="V1766" i="2"/>
  <c r="AJ1766" i="2" s="1"/>
  <c r="I1766" i="2"/>
  <c r="H1766" i="2"/>
  <c r="AH1765" i="2"/>
  <c r="W1765" i="2"/>
  <c r="V1765" i="2"/>
  <c r="AI1765" i="2" s="1"/>
  <c r="I1765" i="2"/>
  <c r="H1765" i="2"/>
  <c r="AH1764" i="2"/>
  <c r="W1764" i="2"/>
  <c r="V1764" i="2"/>
  <c r="AJ1764" i="2" s="1"/>
  <c r="I1764" i="2"/>
  <c r="H1764" i="2"/>
  <c r="AH1763" i="2"/>
  <c r="I1763" i="2"/>
  <c r="H1763" i="2"/>
  <c r="AH1762" i="2"/>
  <c r="I1762" i="2"/>
  <c r="H1762" i="2"/>
  <c r="AH1761" i="2"/>
  <c r="I1761" i="2"/>
  <c r="H1761" i="2"/>
  <c r="AJ1760" i="2"/>
  <c r="AI1760" i="2"/>
  <c r="AH1760" i="2"/>
  <c r="I1760" i="2"/>
  <c r="H1760" i="2"/>
  <c r="AJ1759" i="2"/>
  <c r="AI1759" i="2"/>
  <c r="AH1759" i="2"/>
  <c r="I1759" i="2"/>
  <c r="H1759" i="2"/>
  <c r="AJ1758" i="2"/>
  <c r="AK1758" i="2" s="1"/>
  <c r="AL1758" i="2" s="1"/>
  <c r="AI1758" i="2"/>
  <c r="AH1758" i="2"/>
  <c r="I1758" i="2"/>
  <c r="H1758" i="2"/>
  <c r="AJ1757" i="2"/>
  <c r="AI1757" i="2"/>
  <c r="AH1757" i="2"/>
  <c r="I1757" i="2"/>
  <c r="H1757" i="2"/>
  <c r="AJ1756" i="2"/>
  <c r="AI1756" i="2"/>
  <c r="AH1756" i="2"/>
  <c r="I1756" i="2"/>
  <c r="H1756" i="2"/>
  <c r="AJ1755" i="2"/>
  <c r="AI1755" i="2"/>
  <c r="AH1755" i="2"/>
  <c r="I1755" i="2"/>
  <c r="H1755" i="2"/>
  <c r="AJ1754" i="2"/>
  <c r="AI1754" i="2"/>
  <c r="AH1754" i="2"/>
  <c r="I1754" i="2"/>
  <c r="H1754" i="2"/>
  <c r="AJ1753" i="2"/>
  <c r="AI1753" i="2"/>
  <c r="AH1753" i="2"/>
  <c r="I1753" i="2"/>
  <c r="H1753" i="2"/>
  <c r="AH1752" i="2"/>
  <c r="I1752" i="2"/>
  <c r="H1752" i="2"/>
  <c r="AH1751" i="2"/>
  <c r="I1751" i="2"/>
  <c r="H1751" i="2"/>
  <c r="AH1750" i="2"/>
  <c r="I1750" i="2"/>
  <c r="H1750" i="2"/>
  <c r="AH1749" i="2"/>
  <c r="I1749" i="2"/>
  <c r="H1749" i="2"/>
  <c r="AJ1748" i="2"/>
  <c r="AI1748" i="2"/>
  <c r="AH1748" i="2"/>
  <c r="I1748" i="2"/>
  <c r="H1748" i="2"/>
  <c r="AJ1747" i="2"/>
  <c r="AI1747" i="2"/>
  <c r="AH1747" i="2"/>
  <c r="I1747" i="2"/>
  <c r="H1747" i="2"/>
  <c r="AJ1746" i="2"/>
  <c r="AI1746" i="2"/>
  <c r="AH1746" i="2"/>
  <c r="I1746" i="2"/>
  <c r="H1746" i="2"/>
  <c r="AJ1745" i="2"/>
  <c r="AI1745" i="2"/>
  <c r="AH1745" i="2"/>
  <c r="I1745" i="2"/>
  <c r="H1745" i="2"/>
  <c r="AJ1744" i="2"/>
  <c r="AI1744" i="2"/>
  <c r="AH1744" i="2"/>
  <c r="I1744" i="2"/>
  <c r="H1744" i="2"/>
  <c r="AJ1743" i="2"/>
  <c r="AI1743" i="2"/>
  <c r="AH1743" i="2"/>
  <c r="I1743" i="2"/>
  <c r="H1743" i="2"/>
  <c r="AJ1742" i="2"/>
  <c r="AK1742" i="2" s="1"/>
  <c r="AL1742" i="2" s="1"/>
  <c r="AI1742" i="2"/>
  <c r="AH1742" i="2"/>
  <c r="I1742" i="2"/>
  <c r="H1742" i="2"/>
  <c r="AJ1741" i="2"/>
  <c r="AI1741" i="2"/>
  <c r="AH1741" i="2"/>
  <c r="I1741" i="2"/>
  <c r="H1741" i="2"/>
  <c r="AJ1740" i="2"/>
  <c r="AI1740" i="2"/>
  <c r="AH1740" i="2"/>
  <c r="I1740" i="2"/>
  <c r="H1740" i="2"/>
  <c r="AJ1739" i="2"/>
  <c r="AI1739" i="2"/>
  <c r="AH1739" i="2"/>
  <c r="I1739" i="2"/>
  <c r="H1739" i="2"/>
  <c r="AJ1738" i="2"/>
  <c r="AK1738" i="2" s="1"/>
  <c r="AL1738" i="2" s="1"/>
  <c r="AI1738" i="2"/>
  <c r="AH1738" i="2"/>
  <c r="I1738" i="2"/>
  <c r="H1738" i="2"/>
  <c r="AJ1737" i="2"/>
  <c r="AI1737" i="2"/>
  <c r="AH1737" i="2"/>
  <c r="I1737" i="2"/>
  <c r="H1737" i="2"/>
  <c r="AJ1736" i="2"/>
  <c r="AI1736" i="2"/>
  <c r="AH1736" i="2"/>
  <c r="I1736" i="2"/>
  <c r="H1736" i="2"/>
  <c r="AJ1735" i="2"/>
  <c r="AI1735" i="2"/>
  <c r="AH1735" i="2"/>
  <c r="I1735" i="2"/>
  <c r="H1735" i="2"/>
  <c r="AJ1734" i="2"/>
  <c r="AI1734" i="2"/>
  <c r="AH1734" i="2"/>
  <c r="I1734" i="2"/>
  <c r="H1734" i="2"/>
  <c r="AJ1733" i="2"/>
  <c r="AI1733" i="2"/>
  <c r="AH1733" i="2"/>
  <c r="I1733" i="2"/>
  <c r="H1733" i="2"/>
  <c r="AJ1732" i="2"/>
  <c r="AI1732" i="2"/>
  <c r="AH1732" i="2"/>
  <c r="I1732" i="2"/>
  <c r="H1732" i="2"/>
  <c r="AJ1731" i="2"/>
  <c r="AI1731" i="2"/>
  <c r="AH1731" i="2"/>
  <c r="I1731" i="2"/>
  <c r="H1731" i="2"/>
  <c r="AJ1730" i="2"/>
  <c r="AI1730" i="2"/>
  <c r="AH1730" i="2"/>
  <c r="I1730" i="2"/>
  <c r="H1730" i="2"/>
  <c r="AJ1729" i="2"/>
  <c r="AI1729" i="2"/>
  <c r="AH1729" i="2"/>
  <c r="I1729" i="2"/>
  <c r="H1729" i="2"/>
  <c r="AJ1728" i="2"/>
  <c r="AI1728" i="2"/>
  <c r="AH1728" i="2"/>
  <c r="I1728" i="2"/>
  <c r="H1728" i="2"/>
  <c r="AJ1727" i="2"/>
  <c r="AI1727" i="2"/>
  <c r="AH1727" i="2"/>
  <c r="I1727" i="2"/>
  <c r="H1727" i="2"/>
  <c r="AJ1726" i="2"/>
  <c r="AK1726" i="2" s="1"/>
  <c r="AL1726" i="2" s="1"/>
  <c r="AI1726" i="2"/>
  <c r="AH1726" i="2"/>
  <c r="I1726" i="2"/>
  <c r="H1726" i="2"/>
  <c r="AJ1725" i="2"/>
  <c r="AI1725" i="2"/>
  <c r="AH1725" i="2"/>
  <c r="I1725" i="2"/>
  <c r="H1725" i="2"/>
  <c r="AJ1724" i="2"/>
  <c r="AI1724" i="2"/>
  <c r="AH1724" i="2"/>
  <c r="I1724" i="2"/>
  <c r="H1724" i="2"/>
  <c r="AJ1723" i="2"/>
  <c r="AI1723" i="2"/>
  <c r="AH1723" i="2"/>
  <c r="I1723" i="2"/>
  <c r="H1723" i="2"/>
  <c r="AJ1722" i="2"/>
  <c r="AI1722" i="2"/>
  <c r="AK1722" i="2" s="1"/>
  <c r="AL1722" i="2" s="1"/>
  <c r="AH1722" i="2"/>
  <c r="I1722" i="2"/>
  <c r="H1722" i="2"/>
  <c r="AJ1721" i="2"/>
  <c r="AI1721" i="2"/>
  <c r="AH1721" i="2"/>
  <c r="I1721" i="2"/>
  <c r="H1721" i="2"/>
  <c r="AH1720" i="2"/>
  <c r="I1720" i="2"/>
  <c r="H1720" i="2"/>
  <c r="AH1719" i="2"/>
  <c r="I1719" i="2"/>
  <c r="H1719" i="2"/>
  <c r="AH1718" i="2"/>
  <c r="I1718" i="2"/>
  <c r="H1718" i="2"/>
  <c r="AJ1717" i="2"/>
  <c r="AK1717" i="2" s="1"/>
  <c r="AL1717" i="2" s="1"/>
  <c r="AI1717" i="2"/>
  <c r="AH1717" i="2"/>
  <c r="I1717" i="2"/>
  <c r="H1717" i="2"/>
  <c r="AJ1716" i="2"/>
  <c r="AI1716" i="2"/>
  <c r="AK1716" i="2" s="1"/>
  <c r="AL1716" i="2" s="1"/>
  <c r="AH1716" i="2"/>
  <c r="I1716" i="2"/>
  <c r="H1716" i="2"/>
  <c r="AJ1715" i="2"/>
  <c r="AI1715" i="2"/>
  <c r="AH1715" i="2"/>
  <c r="I1715" i="2"/>
  <c r="H1715" i="2"/>
  <c r="AJ1714" i="2"/>
  <c r="AI1714" i="2"/>
  <c r="AH1714" i="2"/>
  <c r="I1714" i="2"/>
  <c r="H1714" i="2"/>
  <c r="AJ1713" i="2"/>
  <c r="AI1713" i="2"/>
  <c r="AH1713" i="2"/>
  <c r="I1713" i="2"/>
  <c r="H1713" i="2"/>
  <c r="AJ1712" i="2"/>
  <c r="AI1712" i="2"/>
  <c r="AH1712" i="2"/>
  <c r="I1712" i="2"/>
  <c r="H1712" i="2"/>
  <c r="AJ1711" i="2"/>
  <c r="AI1711" i="2"/>
  <c r="AH1711" i="2"/>
  <c r="I1711" i="2"/>
  <c r="H1711" i="2"/>
  <c r="AJ1710" i="2"/>
  <c r="AK1710" i="2" s="1"/>
  <c r="AL1710" i="2" s="1"/>
  <c r="AI1710" i="2"/>
  <c r="AH1710" i="2"/>
  <c r="I1710" i="2"/>
  <c r="H1710" i="2"/>
  <c r="AJ1709" i="2"/>
  <c r="AI1709" i="2"/>
  <c r="AH1709" i="2"/>
  <c r="I1709" i="2"/>
  <c r="H1709" i="2"/>
  <c r="AJ1708" i="2"/>
  <c r="AI1708" i="2"/>
  <c r="AH1708" i="2"/>
  <c r="I1708" i="2"/>
  <c r="H1708" i="2"/>
  <c r="AJ1707" i="2"/>
  <c r="AI1707" i="2"/>
  <c r="AH1707" i="2"/>
  <c r="I1707" i="2"/>
  <c r="H1707" i="2"/>
  <c r="AJ1706" i="2"/>
  <c r="AI1706" i="2"/>
  <c r="AH1706" i="2"/>
  <c r="I1706" i="2"/>
  <c r="H1706" i="2"/>
  <c r="AJ1705" i="2"/>
  <c r="AI1705" i="2"/>
  <c r="AH1705" i="2"/>
  <c r="I1705" i="2"/>
  <c r="H1705" i="2"/>
  <c r="AJ1704" i="2"/>
  <c r="AI1704" i="2"/>
  <c r="AH1704" i="2"/>
  <c r="I1704" i="2"/>
  <c r="H1704" i="2"/>
  <c r="AJ1703" i="2"/>
  <c r="AI1703" i="2"/>
  <c r="AH1703" i="2"/>
  <c r="I1703" i="2"/>
  <c r="H1703" i="2"/>
  <c r="AJ1702" i="2"/>
  <c r="AI1702" i="2"/>
  <c r="AH1702" i="2"/>
  <c r="I1702" i="2"/>
  <c r="H1702" i="2"/>
  <c r="AJ1701" i="2"/>
  <c r="AI1701" i="2"/>
  <c r="AH1701" i="2"/>
  <c r="I1701" i="2"/>
  <c r="H1701" i="2"/>
  <c r="AJ1700" i="2"/>
  <c r="AI1700" i="2"/>
  <c r="AH1700" i="2"/>
  <c r="I1700" i="2"/>
  <c r="H1700" i="2"/>
  <c r="AJ1699" i="2"/>
  <c r="AI1699" i="2"/>
  <c r="AH1699" i="2"/>
  <c r="I1699" i="2"/>
  <c r="H1699" i="2"/>
  <c r="AJ1698" i="2"/>
  <c r="AK1698" i="2" s="1"/>
  <c r="AL1698" i="2" s="1"/>
  <c r="AI1698" i="2"/>
  <c r="AH1698" i="2"/>
  <c r="I1698" i="2"/>
  <c r="H1698" i="2"/>
  <c r="AJ1697" i="2"/>
  <c r="AI1697" i="2"/>
  <c r="AH1697" i="2"/>
  <c r="I1697" i="2"/>
  <c r="H1697" i="2"/>
  <c r="AJ1696" i="2"/>
  <c r="AI1696" i="2"/>
  <c r="AH1696" i="2"/>
  <c r="I1696" i="2"/>
  <c r="H1696" i="2"/>
  <c r="AJ1695" i="2"/>
  <c r="AI1695" i="2"/>
  <c r="AH1695" i="2"/>
  <c r="I1695" i="2"/>
  <c r="H1695" i="2"/>
  <c r="AH1694" i="2"/>
  <c r="I1694" i="2"/>
  <c r="H1694" i="2"/>
  <c r="AH1693" i="2"/>
  <c r="I1693" i="2"/>
  <c r="H1693" i="2"/>
  <c r="AH1692" i="2"/>
  <c r="I1692" i="2"/>
  <c r="H1692" i="2"/>
  <c r="AJ1691" i="2"/>
  <c r="AI1691" i="2"/>
  <c r="AH1691" i="2"/>
  <c r="I1691" i="2"/>
  <c r="H1691" i="2"/>
  <c r="AJ1690" i="2"/>
  <c r="AI1690" i="2"/>
  <c r="AH1690" i="2"/>
  <c r="I1690" i="2"/>
  <c r="H1690" i="2"/>
  <c r="AJ1689" i="2"/>
  <c r="AI1689" i="2"/>
  <c r="AH1689" i="2"/>
  <c r="I1689" i="2"/>
  <c r="H1689" i="2"/>
  <c r="AJ1688" i="2"/>
  <c r="AI1688" i="2"/>
  <c r="AH1688" i="2"/>
  <c r="I1688" i="2"/>
  <c r="H1688" i="2"/>
  <c r="AJ1687" i="2"/>
  <c r="AI1687" i="2"/>
  <c r="AH1687" i="2"/>
  <c r="I1687" i="2"/>
  <c r="H1687" i="2"/>
  <c r="AJ1686" i="2"/>
  <c r="AK1686" i="2" s="1"/>
  <c r="AL1686" i="2" s="1"/>
  <c r="AI1686" i="2"/>
  <c r="AH1686" i="2"/>
  <c r="I1686" i="2"/>
  <c r="H1686" i="2"/>
  <c r="AJ1685" i="2"/>
  <c r="AI1685" i="2"/>
  <c r="AH1685" i="2"/>
  <c r="I1685" i="2"/>
  <c r="H1685" i="2"/>
  <c r="AI1684" i="2"/>
  <c r="AH1684" i="2"/>
  <c r="W1684" i="2"/>
  <c r="V1684" i="2"/>
  <c r="AJ1684" i="2" s="1"/>
  <c r="I1684" i="2"/>
  <c r="H1684" i="2"/>
  <c r="AH1683" i="2"/>
  <c r="W1683" i="2"/>
  <c r="V1683" i="2"/>
  <c r="AI1683" i="2" s="1"/>
  <c r="I1683" i="2"/>
  <c r="H1683" i="2"/>
  <c r="AJ1682" i="2"/>
  <c r="AI1682" i="2"/>
  <c r="AH1682" i="2"/>
  <c r="I1682" i="2"/>
  <c r="H1682" i="2"/>
  <c r="AH1681" i="2"/>
  <c r="W1681" i="2"/>
  <c r="V1681" i="2"/>
  <c r="AI1681" i="2" s="1"/>
  <c r="I1681" i="2"/>
  <c r="H1681" i="2"/>
  <c r="AJ1680" i="2"/>
  <c r="AK1680" i="2" s="1"/>
  <c r="AL1680" i="2" s="1"/>
  <c r="AI1680" i="2"/>
  <c r="AH1680" i="2"/>
  <c r="I1680" i="2"/>
  <c r="H1680" i="2"/>
  <c r="AJ1679" i="2"/>
  <c r="AI1679" i="2"/>
  <c r="AH1679" i="2"/>
  <c r="I1679" i="2"/>
  <c r="H1679" i="2"/>
  <c r="AH1678" i="2"/>
  <c r="I1678" i="2"/>
  <c r="H1678" i="2"/>
  <c r="AH1677" i="2"/>
  <c r="I1677" i="2"/>
  <c r="H1677" i="2"/>
  <c r="AH1676" i="2"/>
  <c r="I1676" i="2"/>
  <c r="H1676" i="2"/>
  <c r="AH1675" i="2"/>
  <c r="W1675" i="2"/>
  <c r="V1675" i="2"/>
  <c r="AI1675" i="2" s="1"/>
  <c r="I1675" i="2"/>
  <c r="H1675" i="2"/>
  <c r="AH1674" i="2"/>
  <c r="W1674" i="2"/>
  <c r="V1674" i="2"/>
  <c r="I1674" i="2"/>
  <c r="H1674" i="2"/>
  <c r="AJ1673" i="2"/>
  <c r="AI1673" i="2"/>
  <c r="AH1673" i="2"/>
  <c r="I1673" i="2"/>
  <c r="H1673" i="2"/>
  <c r="AJ1672" i="2"/>
  <c r="AI1672" i="2"/>
  <c r="AH1672" i="2"/>
  <c r="I1672" i="2"/>
  <c r="H1672" i="2"/>
  <c r="AJ1671" i="2"/>
  <c r="AI1671" i="2"/>
  <c r="AH1671" i="2"/>
  <c r="I1671" i="2"/>
  <c r="H1671" i="2"/>
  <c r="AJ1670" i="2"/>
  <c r="AI1670" i="2"/>
  <c r="AK1670" i="2" s="1"/>
  <c r="AL1670" i="2" s="1"/>
  <c r="AH1670" i="2"/>
  <c r="I1670" i="2"/>
  <c r="H1670" i="2"/>
  <c r="AJ1669" i="2"/>
  <c r="AI1669" i="2"/>
  <c r="AH1669" i="2"/>
  <c r="I1669" i="2"/>
  <c r="H1669" i="2"/>
  <c r="AJ1668" i="2"/>
  <c r="AI1668" i="2"/>
  <c r="AH1668" i="2"/>
  <c r="I1668" i="2"/>
  <c r="H1668" i="2"/>
  <c r="AJ1667" i="2"/>
  <c r="AK1667" i="2" s="1"/>
  <c r="AL1667" i="2" s="1"/>
  <c r="AI1667" i="2"/>
  <c r="AH1667" i="2"/>
  <c r="I1667" i="2"/>
  <c r="H1667" i="2"/>
  <c r="AJ1666" i="2"/>
  <c r="AI1666" i="2"/>
  <c r="AH1666" i="2"/>
  <c r="I1666" i="2"/>
  <c r="H1666" i="2"/>
  <c r="AJ1665" i="2"/>
  <c r="AI1665" i="2"/>
  <c r="AH1665" i="2"/>
  <c r="I1665" i="2"/>
  <c r="H1665" i="2"/>
  <c r="AJ1664" i="2"/>
  <c r="AI1664" i="2"/>
  <c r="AH1664" i="2"/>
  <c r="I1664" i="2"/>
  <c r="H1664" i="2"/>
  <c r="AJ1663" i="2"/>
  <c r="AK1663" i="2" s="1"/>
  <c r="AL1663" i="2" s="1"/>
  <c r="AI1663" i="2"/>
  <c r="AH1663" i="2"/>
  <c r="I1663" i="2"/>
  <c r="H1663" i="2"/>
  <c r="AJ1662" i="2"/>
  <c r="AI1662" i="2"/>
  <c r="AH1662" i="2"/>
  <c r="I1662" i="2"/>
  <c r="H1662" i="2"/>
  <c r="AJ1661" i="2"/>
  <c r="AI1661" i="2"/>
  <c r="AH1661" i="2"/>
  <c r="I1661" i="2"/>
  <c r="H1661" i="2"/>
  <c r="AJ1660" i="2"/>
  <c r="AI1660" i="2"/>
  <c r="AH1660" i="2"/>
  <c r="I1660" i="2"/>
  <c r="H1660" i="2"/>
  <c r="AJ1659" i="2"/>
  <c r="AI1659" i="2"/>
  <c r="AH1659" i="2"/>
  <c r="I1659" i="2"/>
  <c r="H1659" i="2"/>
  <c r="AJ1658" i="2"/>
  <c r="AI1658" i="2"/>
  <c r="AK1658" i="2" s="1"/>
  <c r="AL1658" i="2" s="1"/>
  <c r="AH1658" i="2"/>
  <c r="I1658" i="2"/>
  <c r="H1658" i="2"/>
  <c r="AJ1657" i="2"/>
  <c r="AI1657" i="2"/>
  <c r="AH1657" i="2"/>
  <c r="I1657" i="2"/>
  <c r="H1657" i="2"/>
  <c r="AJ1656" i="2"/>
  <c r="AK1656" i="2" s="1"/>
  <c r="AL1656" i="2" s="1"/>
  <c r="AI1656" i="2"/>
  <c r="AH1656" i="2"/>
  <c r="I1656" i="2"/>
  <c r="H1656" i="2"/>
  <c r="AJ1655" i="2"/>
  <c r="AI1655" i="2"/>
  <c r="AH1655" i="2"/>
  <c r="I1655" i="2"/>
  <c r="H1655" i="2"/>
  <c r="AJ1654" i="2"/>
  <c r="AI1654" i="2"/>
  <c r="AK1654" i="2" s="1"/>
  <c r="AL1654" i="2" s="1"/>
  <c r="AH1654" i="2"/>
  <c r="I1654" i="2"/>
  <c r="H1654" i="2"/>
  <c r="AJ1653" i="2"/>
  <c r="AI1653" i="2"/>
  <c r="AH1653" i="2"/>
  <c r="I1653" i="2"/>
  <c r="H1653" i="2"/>
  <c r="AJ1652" i="2"/>
  <c r="AI1652" i="2"/>
  <c r="AH1652" i="2"/>
  <c r="I1652" i="2"/>
  <c r="H1652" i="2"/>
  <c r="AJ1651" i="2"/>
  <c r="AI1651" i="2"/>
  <c r="AH1651" i="2"/>
  <c r="I1651" i="2"/>
  <c r="H1651" i="2"/>
  <c r="AJ1650" i="2"/>
  <c r="AI1650" i="2"/>
  <c r="AH1650" i="2"/>
  <c r="I1650" i="2"/>
  <c r="H1650" i="2"/>
  <c r="AJ1649" i="2"/>
  <c r="AI1649" i="2"/>
  <c r="AH1649" i="2"/>
  <c r="I1649" i="2"/>
  <c r="H1649" i="2"/>
  <c r="AJ1648" i="2"/>
  <c r="AI1648" i="2"/>
  <c r="AH1648" i="2"/>
  <c r="I1648" i="2"/>
  <c r="H1648" i="2"/>
  <c r="AJ1647" i="2"/>
  <c r="AI1647" i="2"/>
  <c r="AH1647" i="2"/>
  <c r="I1647" i="2"/>
  <c r="H1647" i="2"/>
  <c r="AJ1646" i="2"/>
  <c r="AI1646" i="2"/>
  <c r="AK1646" i="2" s="1"/>
  <c r="AL1646" i="2" s="1"/>
  <c r="AH1646" i="2"/>
  <c r="I1646" i="2"/>
  <c r="H1646" i="2"/>
  <c r="AJ1645" i="2"/>
  <c r="AI1645" i="2"/>
  <c r="AH1645" i="2"/>
  <c r="I1645" i="2"/>
  <c r="H1645" i="2"/>
  <c r="AJ1644" i="2"/>
  <c r="AK1644" i="2" s="1"/>
  <c r="AL1644" i="2" s="1"/>
  <c r="AI1644" i="2"/>
  <c r="AH1644" i="2"/>
  <c r="I1644" i="2"/>
  <c r="H1644" i="2"/>
  <c r="AJ1643" i="2"/>
  <c r="AI1643" i="2"/>
  <c r="AH1643" i="2"/>
  <c r="I1643" i="2"/>
  <c r="H1643" i="2"/>
  <c r="AJ1642" i="2"/>
  <c r="AI1642" i="2"/>
  <c r="AH1642" i="2"/>
  <c r="I1642" i="2"/>
  <c r="H1642" i="2"/>
  <c r="AJ1641" i="2"/>
  <c r="AI1641" i="2"/>
  <c r="AH1641" i="2"/>
  <c r="I1641" i="2"/>
  <c r="H1641" i="2"/>
  <c r="AJ1640" i="2"/>
  <c r="AI1640" i="2"/>
  <c r="AH1640" i="2"/>
  <c r="I1640" i="2"/>
  <c r="H1640" i="2"/>
  <c r="AJ1639" i="2"/>
  <c r="AI1639" i="2"/>
  <c r="AH1639" i="2"/>
  <c r="I1639" i="2"/>
  <c r="H1639" i="2"/>
  <c r="AJ1638" i="2"/>
  <c r="AI1638" i="2"/>
  <c r="AH1638" i="2"/>
  <c r="I1638" i="2"/>
  <c r="H1638" i="2"/>
  <c r="AJ1637" i="2"/>
  <c r="AI1637" i="2"/>
  <c r="AH1637" i="2"/>
  <c r="I1637" i="2"/>
  <c r="H1637" i="2"/>
  <c r="AJ1636" i="2"/>
  <c r="AI1636" i="2"/>
  <c r="AH1636" i="2"/>
  <c r="I1636" i="2"/>
  <c r="H1636" i="2"/>
  <c r="AJ1635" i="2"/>
  <c r="AI1635" i="2"/>
  <c r="AH1635" i="2"/>
  <c r="I1635" i="2"/>
  <c r="H1635" i="2"/>
  <c r="AJ1634" i="2"/>
  <c r="AI1634" i="2"/>
  <c r="AH1634" i="2"/>
  <c r="I1634" i="2"/>
  <c r="H1634" i="2"/>
  <c r="AJ1633" i="2"/>
  <c r="AI1633" i="2"/>
  <c r="AH1633" i="2"/>
  <c r="I1633" i="2"/>
  <c r="H1633" i="2"/>
  <c r="AJ1632" i="2"/>
  <c r="AK1632" i="2" s="1"/>
  <c r="AL1632" i="2" s="1"/>
  <c r="AI1632" i="2"/>
  <c r="AH1632" i="2"/>
  <c r="I1632" i="2"/>
  <c r="H1632" i="2"/>
  <c r="AJ1631" i="2"/>
  <c r="AI1631" i="2"/>
  <c r="AH1631" i="2"/>
  <c r="I1631" i="2"/>
  <c r="H1631" i="2"/>
  <c r="AJ1630" i="2"/>
  <c r="AI1630" i="2"/>
  <c r="AK1630" i="2" s="1"/>
  <c r="AL1630" i="2" s="1"/>
  <c r="AH1630" i="2"/>
  <c r="I1630" i="2"/>
  <c r="H1630" i="2"/>
  <c r="AJ1629" i="2"/>
  <c r="AI1629" i="2"/>
  <c r="AH1629" i="2"/>
  <c r="I1629" i="2"/>
  <c r="H1629" i="2"/>
  <c r="AJ1628" i="2"/>
  <c r="AK1628" i="2" s="1"/>
  <c r="AL1628" i="2" s="1"/>
  <c r="AI1628" i="2"/>
  <c r="AH1628" i="2"/>
  <c r="I1628" i="2"/>
  <c r="H1628" i="2"/>
  <c r="AJ1627" i="2"/>
  <c r="AI1627" i="2"/>
  <c r="AH1627" i="2"/>
  <c r="I1627" i="2"/>
  <c r="H1627" i="2"/>
  <c r="AJ1626" i="2"/>
  <c r="AI1626" i="2"/>
  <c r="AH1626" i="2"/>
  <c r="I1626" i="2"/>
  <c r="H1626" i="2"/>
  <c r="AJ1625" i="2"/>
  <c r="AK1625" i="2" s="1"/>
  <c r="AL1625" i="2" s="1"/>
  <c r="AI1625" i="2"/>
  <c r="AH1625" i="2"/>
  <c r="I1625" i="2"/>
  <c r="H1625" i="2"/>
  <c r="AJ1624" i="2"/>
  <c r="AI1624" i="2"/>
  <c r="AH1624" i="2"/>
  <c r="I1624" i="2"/>
  <c r="H1624" i="2"/>
  <c r="AJ1623" i="2"/>
  <c r="AI1623" i="2"/>
  <c r="AH1623" i="2"/>
  <c r="I1623" i="2"/>
  <c r="H1623" i="2"/>
  <c r="AJ1622" i="2"/>
  <c r="AI1622" i="2"/>
  <c r="AH1622" i="2"/>
  <c r="I1622" i="2"/>
  <c r="H1622" i="2"/>
  <c r="AH1621" i="2"/>
  <c r="I1621" i="2"/>
  <c r="H1621" i="2"/>
  <c r="AH1620" i="2"/>
  <c r="I1620" i="2"/>
  <c r="H1620" i="2"/>
  <c r="AH1619" i="2"/>
  <c r="I1619" i="2"/>
  <c r="H1619" i="2"/>
  <c r="AJ1618" i="2"/>
  <c r="AI1618" i="2"/>
  <c r="AH1618" i="2"/>
  <c r="I1618" i="2"/>
  <c r="H1618" i="2"/>
  <c r="AJ1617" i="2"/>
  <c r="AI1617" i="2"/>
  <c r="AH1617" i="2"/>
  <c r="I1617" i="2"/>
  <c r="H1617" i="2"/>
  <c r="AJ1616" i="2"/>
  <c r="AK1616" i="2" s="1"/>
  <c r="AL1616" i="2" s="1"/>
  <c r="AI1616" i="2"/>
  <c r="AH1616" i="2"/>
  <c r="I1616" i="2"/>
  <c r="H1616" i="2"/>
  <c r="AJ1615" i="2"/>
  <c r="AI1615" i="2"/>
  <c r="AH1615" i="2"/>
  <c r="I1615" i="2"/>
  <c r="H1615" i="2"/>
  <c r="AJ1614" i="2"/>
  <c r="AI1614" i="2"/>
  <c r="AH1614" i="2"/>
  <c r="I1614" i="2"/>
  <c r="H1614" i="2"/>
  <c r="AJ1613" i="2"/>
  <c r="AI1613" i="2"/>
  <c r="AH1613" i="2"/>
  <c r="I1613" i="2"/>
  <c r="H1613" i="2"/>
  <c r="AJ1612" i="2"/>
  <c r="AI1612" i="2"/>
  <c r="AH1612" i="2"/>
  <c r="I1612" i="2"/>
  <c r="H1612" i="2"/>
  <c r="AJ1611" i="2"/>
  <c r="AI1611" i="2"/>
  <c r="AH1611" i="2"/>
  <c r="I1611" i="2"/>
  <c r="H1611" i="2"/>
  <c r="AJ1610" i="2"/>
  <c r="AI1610" i="2"/>
  <c r="AH1610" i="2"/>
  <c r="I1610" i="2"/>
  <c r="H1610" i="2"/>
  <c r="AJ1609" i="2"/>
  <c r="AI1609" i="2"/>
  <c r="AH1609" i="2"/>
  <c r="I1609" i="2"/>
  <c r="H1609" i="2"/>
  <c r="AJ1608" i="2"/>
  <c r="AI1608" i="2"/>
  <c r="AH1608" i="2"/>
  <c r="I1608" i="2"/>
  <c r="H1608" i="2"/>
  <c r="AJ1607" i="2"/>
  <c r="AI1607" i="2"/>
  <c r="AH1607" i="2"/>
  <c r="I1607" i="2"/>
  <c r="H1607" i="2"/>
  <c r="AJ1606" i="2"/>
  <c r="AI1606" i="2"/>
  <c r="AH1606" i="2"/>
  <c r="I1606" i="2"/>
  <c r="H1606" i="2"/>
  <c r="AJ1605" i="2"/>
  <c r="AI1605" i="2"/>
  <c r="AH1605" i="2"/>
  <c r="I1605" i="2"/>
  <c r="H1605" i="2"/>
  <c r="AJ1604" i="2"/>
  <c r="AK1604" i="2" s="1"/>
  <c r="AL1604" i="2" s="1"/>
  <c r="AI1604" i="2"/>
  <c r="AH1604" i="2"/>
  <c r="I1604" i="2"/>
  <c r="H1604" i="2"/>
  <c r="AJ1603" i="2"/>
  <c r="AI1603" i="2"/>
  <c r="AH1603" i="2"/>
  <c r="I1603" i="2"/>
  <c r="H1603" i="2"/>
  <c r="AJ1602" i="2"/>
  <c r="AI1602" i="2"/>
  <c r="AH1602" i="2"/>
  <c r="I1602" i="2"/>
  <c r="H1602" i="2"/>
  <c r="AJ1601" i="2"/>
  <c r="AI1601" i="2"/>
  <c r="AH1601" i="2"/>
  <c r="I1601" i="2"/>
  <c r="H1601" i="2"/>
  <c r="AJ1600" i="2"/>
  <c r="AK1600" i="2" s="1"/>
  <c r="AL1600" i="2" s="1"/>
  <c r="AI1600" i="2"/>
  <c r="AH1600" i="2"/>
  <c r="I1600" i="2"/>
  <c r="H1600" i="2"/>
  <c r="AJ1599" i="2"/>
  <c r="AI1599" i="2"/>
  <c r="AH1599" i="2"/>
  <c r="I1599" i="2"/>
  <c r="H1599" i="2"/>
  <c r="AJ1598" i="2"/>
  <c r="AI1598" i="2"/>
  <c r="AH1598" i="2"/>
  <c r="I1598" i="2"/>
  <c r="H1598" i="2"/>
  <c r="AJ1597" i="2"/>
  <c r="AI1597" i="2"/>
  <c r="AH1597" i="2"/>
  <c r="I1597" i="2"/>
  <c r="H1597" i="2"/>
  <c r="AJ1596" i="2"/>
  <c r="AI1596" i="2"/>
  <c r="AK1596" i="2" s="1"/>
  <c r="AL1596" i="2" s="1"/>
  <c r="AH1596" i="2"/>
  <c r="I1596" i="2"/>
  <c r="H1596" i="2"/>
  <c r="AJ1595" i="2"/>
  <c r="AI1595" i="2"/>
  <c r="AH1595" i="2"/>
  <c r="I1595" i="2"/>
  <c r="H1595" i="2"/>
  <c r="AJ1594" i="2"/>
  <c r="AI1594" i="2"/>
  <c r="AH1594" i="2"/>
  <c r="I1594" i="2"/>
  <c r="H1594" i="2"/>
  <c r="AJ1593" i="2"/>
  <c r="AI1593" i="2"/>
  <c r="AH1593" i="2"/>
  <c r="I1593" i="2"/>
  <c r="H1593" i="2"/>
  <c r="AJ1592" i="2"/>
  <c r="AI1592" i="2"/>
  <c r="AH1592" i="2"/>
  <c r="I1592" i="2"/>
  <c r="H1592" i="2"/>
  <c r="AJ1591" i="2"/>
  <c r="AI1591" i="2"/>
  <c r="AH1591" i="2"/>
  <c r="I1591" i="2"/>
  <c r="H1591" i="2"/>
  <c r="AJ1590" i="2"/>
  <c r="AI1590" i="2"/>
  <c r="AH1590" i="2"/>
  <c r="I1590" i="2"/>
  <c r="H1590" i="2"/>
  <c r="AJ1589" i="2"/>
  <c r="AI1589" i="2"/>
  <c r="AH1589" i="2"/>
  <c r="I1589" i="2"/>
  <c r="H1589" i="2"/>
  <c r="AJ1588" i="2"/>
  <c r="AI1588" i="2"/>
  <c r="AH1588" i="2"/>
  <c r="I1588" i="2"/>
  <c r="H1588" i="2"/>
  <c r="AJ1587" i="2"/>
  <c r="AI1587" i="2"/>
  <c r="AH1587" i="2"/>
  <c r="I1587" i="2"/>
  <c r="H1587" i="2"/>
  <c r="AJ1586" i="2"/>
  <c r="AI1586" i="2"/>
  <c r="AH1586" i="2"/>
  <c r="I1586" i="2"/>
  <c r="H1586" i="2"/>
  <c r="AJ1585" i="2"/>
  <c r="AI1585" i="2"/>
  <c r="AH1585" i="2"/>
  <c r="I1585" i="2"/>
  <c r="H1585" i="2"/>
  <c r="AJ1584" i="2"/>
  <c r="AI1584" i="2"/>
  <c r="AH1584" i="2"/>
  <c r="I1584" i="2"/>
  <c r="H1584" i="2"/>
  <c r="AJ1583" i="2"/>
  <c r="AI1583" i="2"/>
  <c r="AH1583" i="2"/>
  <c r="I1583" i="2"/>
  <c r="H1583" i="2"/>
  <c r="AJ1582" i="2"/>
  <c r="AI1582" i="2"/>
  <c r="AH1582" i="2"/>
  <c r="I1582" i="2"/>
  <c r="H1582" i="2"/>
  <c r="AJ1581" i="2"/>
  <c r="AI1581" i="2"/>
  <c r="AH1581" i="2"/>
  <c r="I1581" i="2"/>
  <c r="H1581" i="2"/>
  <c r="AJ1580" i="2"/>
  <c r="AI1580" i="2"/>
  <c r="AH1580" i="2"/>
  <c r="I1580" i="2"/>
  <c r="H1580" i="2"/>
  <c r="AJ1579" i="2"/>
  <c r="AI1579" i="2"/>
  <c r="AH1579" i="2"/>
  <c r="I1579" i="2"/>
  <c r="H1579" i="2"/>
  <c r="AJ1578" i="2"/>
  <c r="AI1578" i="2"/>
  <c r="AK1578" i="2" s="1"/>
  <c r="AL1578" i="2" s="1"/>
  <c r="AH1578" i="2"/>
  <c r="I1578" i="2"/>
  <c r="H1578" i="2"/>
  <c r="AJ1577" i="2"/>
  <c r="AI1577" i="2"/>
  <c r="AH1577" i="2"/>
  <c r="I1577" i="2"/>
  <c r="H1577" i="2"/>
  <c r="AJ1576" i="2"/>
  <c r="AI1576" i="2"/>
  <c r="AH1576" i="2"/>
  <c r="I1576" i="2"/>
  <c r="H1576" i="2"/>
  <c r="AJ1575" i="2"/>
  <c r="AI1575" i="2"/>
  <c r="AH1575" i="2"/>
  <c r="I1575" i="2"/>
  <c r="H1575" i="2"/>
  <c r="AJ1574" i="2"/>
  <c r="AI1574" i="2"/>
  <c r="AH1574" i="2"/>
  <c r="I1574" i="2"/>
  <c r="H1574" i="2"/>
  <c r="AJ1573" i="2"/>
  <c r="AI1573" i="2"/>
  <c r="AH1573" i="2"/>
  <c r="I1573" i="2"/>
  <c r="H1573" i="2"/>
  <c r="AJ1572" i="2"/>
  <c r="AI1572" i="2"/>
  <c r="AH1572" i="2"/>
  <c r="I1572" i="2"/>
  <c r="H1572" i="2"/>
  <c r="AJ1571" i="2"/>
  <c r="AI1571" i="2"/>
  <c r="AH1571" i="2"/>
  <c r="I1571" i="2"/>
  <c r="H1571" i="2"/>
  <c r="AJ1570" i="2"/>
  <c r="AI1570" i="2"/>
  <c r="AH1570" i="2"/>
  <c r="I1570" i="2"/>
  <c r="H1570" i="2"/>
  <c r="AJ1569" i="2"/>
  <c r="AI1569" i="2"/>
  <c r="AH1569" i="2"/>
  <c r="I1569" i="2"/>
  <c r="H1569" i="2"/>
  <c r="AJ1568" i="2"/>
  <c r="AI1568" i="2"/>
  <c r="AH1568" i="2"/>
  <c r="I1568" i="2"/>
  <c r="H1568" i="2"/>
  <c r="AJ1567" i="2"/>
  <c r="AI1567" i="2"/>
  <c r="AH1567" i="2"/>
  <c r="I1567" i="2"/>
  <c r="H1567" i="2"/>
  <c r="AJ1566" i="2"/>
  <c r="AI1566" i="2"/>
  <c r="AH1566" i="2"/>
  <c r="I1566" i="2"/>
  <c r="H1566" i="2"/>
  <c r="AJ1565" i="2"/>
  <c r="AI1565" i="2"/>
  <c r="AH1565" i="2"/>
  <c r="I1565" i="2"/>
  <c r="H1565" i="2"/>
  <c r="AK1564" i="2"/>
  <c r="AL1564" i="2" s="1"/>
  <c r="AJ1564" i="2"/>
  <c r="AI1564" i="2"/>
  <c r="AH1564" i="2"/>
  <c r="I1564" i="2"/>
  <c r="H1564" i="2"/>
  <c r="AJ1563" i="2"/>
  <c r="AI1563" i="2"/>
  <c r="AH1563" i="2"/>
  <c r="I1563" i="2"/>
  <c r="H1563" i="2"/>
  <c r="AJ1562" i="2"/>
  <c r="AI1562" i="2"/>
  <c r="AH1562" i="2"/>
  <c r="I1562" i="2"/>
  <c r="H1562" i="2"/>
  <c r="AH1561" i="2"/>
  <c r="I1561" i="2"/>
  <c r="H1561" i="2"/>
  <c r="AH1560" i="2"/>
  <c r="I1560" i="2"/>
  <c r="H1560" i="2"/>
  <c r="AH1559" i="2"/>
  <c r="I1559" i="2"/>
  <c r="H1559" i="2"/>
  <c r="AJ1558" i="2"/>
  <c r="AI1558" i="2"/>
  <c r="AH1558" i="2"/>
  <c r="I1558" i="2"/>
  <c r="H1558" i="2"/>
  <c r="AJ1557" i="2"/>
  <c r="AI1557" i="2"/>
  <c r="AH1557" i="2"/>
  <c r="I1557" i="2"/>
  <c r="H1557" i="2"/>
  <c r="AJ1556" i="2"/>
  <c r="AI1556" i="2"/>
  <c r="AH1556" i="2"/>
  <c r="I1556" i="2"/>
  <c r="H1556" i="2"/>
  <c r="AJ1555" i="2"/>
  <c r="AI1555" i="2"/>
  <c r="AH1555" i="2"/>
  <c r="I1555" i="2"/>
  <c r="H1555" i="2"/>
  <c r="AJ1554" i="2"/>
  <c r="AI1554" i="2"/>
  <c r="AH1554" i="2"/>
  <c r="I1554" i="2"/>
  <c r="H1554" i="2"/>
  <c r="AJ1553" i="2"/>
  <c r="AI1553" i="2"/>
  <c r="AH1553" i="2"/>
  <c r="I1553" i="2"/>
  <c r="H1553" i="2"/>
  <c r="AJ1552" i="2"/>
  <c r="AI1552" i="2"/>
  <c r="AH1552" i="2"/>
  <c r="I1552" i="2"/>
  <c r="H1552" i="2"/>
  <c r="AJ1551" i="2"/>
  <c r="AI1551" i="2"/>
  <c r="AH1551" i="2"/>
  <c r="I1551" i="2"/>
  <c r="H1551" i="2"/>
  <c r="AJ1550" i="2"/>
  <c r="AI1550" i="2"/>
  <c r="AH1550" i="2"/>
  <c r="I1550" i="2"/>
  <c r="H1550" i="2"/>
  <c r="AJ1549" i="2"/>
  <c r="AI1549" i="2"/>
  <c r="AH1549" i="2"/>
  <c r="I1549" i="2"/>
  <c r="H1549" i="2"/>
  <c r="AJ1548" i="2"/>
  <c r="AK1548" i="2" s="1"/>
  <c r="AL1548" i="2" s="1"/>
  <c r="AI1548" i="2"/>
  <c r="AH1548" i="2"/>
  <c r="I1548" i="2"/>
  <c r="H1548" i="2"/>
  <c r="AJ1547" i="2"/>
  <c r="AI1547" i="2"/>
  <c r="AH1547" i="2"/>
  <c r="I1547" i="2"/>
  <c r="H1547" i="2"/>
  <c r="AJ1546" i="2"/>
  <c r="AI1546" i="2"/>
  <c r="AH1546" i="2"/>
  <c r="I1546" i="2"/>
  <c r="H1546" i="2"/>
  <c r="AJ1545" i="2"/>
  <c r="AK1545" i="2" s="1"/>
  <c r="AL1545" i="2" s="1"/>
  <c r="AI1545" i="2"/>
  <c r="AH1545" i="2"/>
  <c r="I1545" i="2"/>
  <c r="H1545" i="2"/>
  <c r="AJ1544" i="2"/>
  <c r="AI1544" i="2"/>
  <c r="AH1544" i="2"/>
  <c r="I1544" i="2"/>
  <c r="H1544" i="2"/>
  <c r="AJ1543" i="2"/>
  <c r="AI1543" i="2"/>
  <c r="AH1543" i="2"/>
  <c r="I1543" i="2"/>
  <c r="H1543" i="2"/>
  <c r="AJ1542" i="2"/>
  <c r="AI1542" i="2"/>
  <c r="AH1542" i="2"/>
  <c r="I1542" i="2"/>
  <c r="H1542" i="2"/>
  <c r="AJ1541" i="2"/>
  <c r="AI1541" i="2"/>
  <c r="AH1541" i="2"/>
  <c r="I1541" i="2"/>
  <c r="H1541" i="2"/>
  <c r="AJ1540" i="2"/>
  <c r="AI1540" i="2"/>
  <c r="AH1540" i="2"/>
  <c r="I1540" i="2"/>
  <c r="H1540" i="2"/>
  <c r="AJ1539" i="2"/>
  <c r="AI1539" i="2"/>
  <c r="AH1539" i="2"/>
  <c r="I1539" i="2"/>
  <c r="H1539" i="2"/>
  <c r="AJ1538" i="2"/>
  <c r="AI1538" i="2"/>
  <c r="AH1538" i="2"/>
  <c r="I1538" i="2"/>
  <c r="H1538" i="2"/>
  <c r="AJ1537" i="2"/>
  <c r="AI1537" i="2"/>
  <c r="AH1537" i="2"/>
  <c r="I1537" i="2"/>
  <c r="H1537" i="2"/>
  <c r="AJ1536" i="2"/>
  <c r="AI1536" i="2"/>
  <c r="AH1536" i="2"/>
  <c r="I1536" i="2"/>
  <c r="H1536" i="2"/>
  <c r="AJ1535" i="2"/>
  <c r="AI1535" i="2"/>
  <c r="AH1535" i="2"/>
  <c r="I1535" i="2"/>
  <c r="H1535" i="2"/>
  <c r="AJ1534" i="2"/>
  <c r="AI1534" i="2"/>
  <c r="AH1534" i="2"/>
  <c r="I1534" i="2"/>
  <c r="H1534" i="2"/>
  <c r="AJ1533" i="2"/>
  <c r="AK1533" i="2" s="1"/>
  <c r="AL1533" i="2" s="1"/>
  <c r="AI1533" i="2"/>
  <c r="AH1533" i="2"/>
  <c r="I1533" i="2"/>
  <c r="H1533" i="2"/>
  <c r="AJ1532" i="2"/>
  <c r="AI1532" i="2"/>
  <c r="AH1532" i="2"/>
  <c r="I1532" i="2"/>
  <c r="H1532" i="2"/>
  <c r="AJ1531" i="2"/>
  <c r="AI1531" i="2"/>
  <c r="AH1531" i="2"/>
  <c r="I1531" i="2"/>
  <c r="H1531" i="2"/>
  <c r="AJ1530" i="2"/>
  <c r="AI1530" i="2"/>
  <c r="AH1530" i="2"/>
  <c r="I1530" i="2"/>
  <c r="H1530" i="2"/>
  <c r="AJ1529" i="2"/>
  <c r="AI1529" i="2"/>
  <c r="AH1529" i="2"/>
  <c r="I1529" i="2"/>
  <c r="H1529" i="2"/>
  <c r="AJ1528" i="2"/>
  <c r="AI1528" i="2"/>
  <c r="AH1528" i="2"/>
  <c r="I1528" i="2"/>
  <c r="H1528" i="2"/>
  <c r="AJ1527" i="2"/>
  <c r="AI1527" i="2"/>
  <c r="AH1527" i="2"/>
  <c r="I1527" i="2"/>
  <c r="H1527" i="2"/>
  <c r="AJ1526" i="2"/>
  <c r="AI1526" i="2"/>
  <c r="AH1526" i="2"/>
  <c r="I1526" i="2"/>
  <c r="H1526" i="2"/>
  <c r="AJ1525" i="2"/>
  <c r="AI1525" i="2"/>
  <c r="AH1525" i="2"/>
  <c r="I1525" i="2"/>
  <c r="H1525" i="2"/>
  <c r="AJ1524" i="2"/>
  <c r="AI1524" i="2"/>
  <c r="AH1524" i="2"/>
  <c r="I1524" i="2"/>
  <c r="H1524" i="2"/>
  <c r="AJ1523" i="2"/>
  <c r="AI1523" i="2"/>
  <c r="AH1523" i="2"/>
  <c r="I1523" i="2"/>
  <c r="H1523" i="2"/>
  <c r="AJ1522" i="2"/>
  <c r="AI1522" i="2"/>
  <c r="AH1522" i="2"/>
  <c r="I1522" i="2"/>
  <c r="H1522" i="2"/>
  <c r="AJ1521" i="2"/>
  <c r="AI1521" i="2"/>
  <c r="AH1521" i="2"/>
  <c r="I1521" i="2"/>
  <c r="H1521" i="2"/>
  <c r="AJ1520" i="2"/>
  <c r="AI1520" i="2"/>
  <c r="AH1520" i="2"/>
  <c r="I1520" i="2"/>
  <c r="H1520" i="2"/>
  <c r="AJ1519" i="2"/>
  <c r="AI1519" i="2"/>
  <c r="AH1519" i="2"/>
  <c r="I1519" i="2"/>
  <c r="H1519" i="2"/>
  <c r="AJ1518" i="2"/>
  <c r="AI1518" i="2"/>
  <c r="AH1518" i="2"/>
  <c r="I1518" i="2"/>
  <c r="H1518" i="2"/>
  <c r="AJ1517" i="2"/>
  <c r="AI1517" i="2"/>
  <c r="AH1517" i="2"/>
  <c r="I1517" i="2"/>
  <c r="H1517" i="2"/>
  <c r="AJ1516" i="2"/>
  <c r="AI1516" i="2"/>
  <c r="AH1516" i="2"/>
  <c r="I1516" i="2"/>
  <c r="H1516" i="2"/>
  <c r="AJ1515" i="2"/>
  <c r="AI1515" i="2"/>
  <c r="AH1515" i="2"/>
  <c r="I1515" i="2"/>
  <c r="H1515" i="2"/>
  <c r="AJ1514" i="2"/>
  <c r="AI1514" i="2"/>
  <c r="AH1514" i="2"/>
  <c r="I1514" i="2"/>
  <c r="H1514" i="2"/>
  <c r="AJ1513" i="2"/>
  <c r="AI1513" i="2"/>
  <c r="AH1513" i="2"/>
  <c r="I1513" i="2"/>
  <c r="H1513" i="2"/>
  <c r="AJ1512" i="2"/>
  <c r="AI1512" i="2"/>
  <c r="AH1512" i="2"/>
  <c r="I1512" i="2"/>
  <c r="H1512" i="2"/>
  <c r="AJ1511" i="2"/>
  <c r="AI1511" i="2"/>
  <c r="AH1511" i="2"/>
  <c r="I1511" i="2"/>
  <c r="H1511" i="2"/>
  <c r="AJ1510" i="2"/>
  <c r="AI1510" i="2"/>
  <c r="AH1510" i="2"/>
  <c r="I1510" i="2"/>
  <c r="H1510" i="2"/>
  <c r="AJ1509" i="2"/>
  <c r="AK1509" i="2" s="1"/>
  <c r="AL1509" i="2" s="1"/>
  <c r="AI1509" i="2"/>
  <c r="AH1509" i="2"/>
  <c r="I1509" i="2"/>
  <c r="H1509" i="2"/>
  <c r="AJ1508" i="2"/>
  <c r="AI1508" i="2"/>
  <c r="AH1508" i="2"/>
  <c r="I1508" i="2"/>
  <c r="H1508" i="2"/>
  <c r="AH1507" i="2"/>
  <c r="I1507" i="2"/>
  <c r="H1507" i="2"/>
  <c r="AJ1506" i="2"/>
  <c r="AI1506" i="2"/>
  <c r="AH1506" i="2"/>
  <c r="I1506" i="2"/>
  <c r="H1506" i="2"/>
  <c r="AJ1505" i="2"/>
  <c r="AI1505" i="2"/>
  <c r="AH1505" i="2"/>
  <c r="I1505" i="2"/>
  <c r="H1505" i="2"/>
  <c r="AJ1504" i="2"/>
  <c r="AI1504" i="2"/>
  <c r="AH1504" i="2"/>
  <c r="I1504" i="2"/>
  <c r="H1504" i="2"/>
  <c r="AJ1503" i="2"/>
  <c r="AI1503" i="2"/>
  <c r="AH1503" i="2"/>
  <c r="I1503" i="2"/>
  <c r="H1503" i="2"/>
  <c r="AJ1502" i="2"/>
  <c r="AI1502" i="2"/>
  <c r="AH1502" i="2"/>
  <c r="I1502" i="2"/>
  <c r="H1502" i="2"/>
  <c r="AJ1501" i="2"/>
  <c r="AI1501" i="2"/>
  <c r="AH1501" i="2"/>
  <c r="I1501" i="2"/>
  <c r="H1501" i="2"/>
  <c r="AJ1500" i="2"/>
  <c r="AI1500" i="2"/>
  <c r="AH1500" i="2"/>
  <c r="I1500" i="2"/>
  <c r="H1500" i="2"/>
  <c r="AJ1499" i="2"/>
  <c r="AK1499" i="2" s="1"/>
  <c r="AL1499" i="2" s="1"/>
  <c r="AI1499" i="2"/>
  <c r="AH1499" i="2"/>
  <c r="I1499" i="2"/>
  <c r="H1499" i="2"/>
  <c r="AJ1498" i="2"/>
  <c r="AI1498" i="2"/>
  <c r="AH1498" i="2"/>
  <c r="I1498" i="2"/>
  <c r="H1498" i="2"/>
  <c r="AH1497" i="2"/>
  <c r="AA1497" i="2"/>
  <c r="Z1497" i="2"/>
  <c r="AJ1497" i="2" s="1"/>
  <c r="I1497" i="2"/>
  <c r="H1497" i="2"/>
  <c r="AJ1496" i="2"/>
  <c r="AI1496" i="2"/>
  <c r="AH1496" i="2"/>
  <c r="I1496" i="2"/>
  <c r="H1496" i="2"/>
  <c r="AJ1495" i="2"/>
  <c r="AI1495" i="2"/>
  <c r="AH1495" i="2"/>
  <c r="I1495" i="2"/>
  <c r="H1495" i="2"/>
  <c r="AJ1494" i="2"/>
  <c r="AI1494" i="2"/>
  <c r="AH1494" i="2"/>
  <c r="I1494" i="2"/>
  <c r="H1494" i="2"/>
  <c r="AH1493" i="2"/>
  <c r="AA1493" i="2"/>
  <c r="Z1493" i="2"/>
  <c r="AI1493" i="2" s="1"/>
  <c r="I1493" i="2"/>
  <c r="H1493" i="2"/>
  <c r="AJ1492" i="2"/>
  <c r="AI1492" i="2"/>
  <c r="AH1492" i="2"/>
  <c r="I1492" i="2"/>
  <c r="H1492" i="2"/>
  <c r="AJ1491" i="2"/>
  <c r="AI1491" i="2"/>
  <c r="AH1491" i="2"/>
  <c r="I1491" i="2"/>
  <c r="H1491" i="2"/>
  <c r="AJ1490" i="2"/>
  <c r="AI1490" i="2"/>
  <c r="AH1490" i="2"/>
  <c r="I1490" i="2"/>
  <c r="H1490" i="2"/>
  <c r="AH1489" i="2"/>
  <c r="I1489" i="2"/>
  <c r="H1489" i="2"/>
  <c r="AH1488" i="2"/>
  <c r="I1488" i="2"/>
  <c r="H1488" i="2"/>
  <c r="AH1487" i="2"/>
  <c r="AA1487" i="2"/>
  <c r="Z1487" i="2"/>
  <c r="AI1487" i="2" s="1"/>
  <c r="I1487" i="2"/>
  <c r="H1487" i="2"/>
  <c r="AH1486" i="2"/>
  <c r="AA1486" i="2"/>
  <c r="Z1486" i="2"/>
  <c r="AJ1486" i="2" s="1"/>
  <c r="I1486" i="2"/>
  <c r="H1486" i="2"/>
  <c r="AH1485" i="2"/>
  <c r="AA1485" i="2"/>
  <c r="Z1485" i="2"/>
  <c r="AJ1485" i="2" s="1"/>
  <c r="I1485" i="2"/>
  <c r="H1485" i="2"/>
  <c r="AH1484" i="2"/>
  <c r="AA1484" i="2"/>
  <c r="Z1484" i="2"/>
  <c r="AJ1484" i="2" s="1"/>
  <c r="I1484" i="2"/>
  <c r="H1484" i="2"/>
  <c r="AJ1483" i="2"/>
  <c r="AI1483" i="2"/>
  <c r="AH1483" i="2"/>
  <c r="I1483" i="2"/>
  <c r="H1483" i="2"/>
  <c r="AH1482" i="2"/>
  <c r="AA1482" i="2"/>
  <c r="Z1482" i="2"/>
  <c r="AJ1481" i="2"/>
  <c r="AI1481" i="2"/>
  <c r="AH1481" i="2"/>
  <c r="I1481" i="2"/>
  <c r="H1481" i="2"/>
  <c r="AH1480" i="2"/>
  <c r="AA1480" i="2"/>
  <c r="Z1480" i="2"/>
  <c r="AJ1480" i="2" s="1"/>
  <c r="I1480" i="2"/>
  <c r="H1480" i="2"/>
  <c r="AH1479" i="2"/>
  <c r="AA1479" i="2"/>
  <c r="Z1479" i="2"/>
  <c r="AJ1479" i="2" s="1"/>
  <c r="I1479" i="2"/>
  <c r="H1479" i="2"/>
  <c r="AH1478" i="2"/>
  <c r="AA1478" i="2"/>
  <c r="Z1478" i="2"/>
  <c r="AJ1478" i="2" s="1"/>
  <c r="I1478" i="2"/>
  <c r="H1478" i="2"/>
  <c r="AH1477" i="2"/>
  <c r="AA1477" i="2"/>
  <c r="Z1477" i="2"/>
  <c r="AI1477" i="2" s="1"/>
  <c r="I1477" i="2"/>
  <c r="H1477" i="2"/>
  <c r="AH1476" i="2"/>
  <c r="AA1476" i="2"/>
  <c r="Z1476" i="2"/>
  <c r="AJ1476" i="2" s="1"/>
  <c r="I1476" i="2"/>
  <c r="H1476" i="2"/>
  <c r="AH1475" i="2"/>
  <c r="AA1475" i="2"/>
  <c r="Z1475" i="2"/>
  <c r="AJ1475" i="2" s="1"/>
  <c r="I1475" i="2"/>
  <c r="H1475" i="2"/>
  <c r="AI1474" i="2"/>
  <c r="AH1474" i="2"/>
  <c r="AA1474" i="2"/>
  <c r="Z1474" i="2"/>
  <c r="AJ1474" i="2" s="1"/>
  <c r="I1474" i="2"/>
  <c r="H1474" i="2"/>
  <c r="AH1473" i="2"/>
  <c r="I1473" i="2"/>
  <c r="H1473" i="2"/>
  <c r="AH1472" i="2"/>
  <c r="I1472" i="2"/>
  <c r="H1472" i="2"/>
  <c r="AH1471" i="2"/>
  <c r="AA1471" i="2"/>
  <c r="Z1471" i="2"/>
  <c r="AI1471" i="2" s="1"/>
  <c r="I1471" i="2"/>
  <c r="H1471" i="2"/>
  <c r="AI1470" i="2"/>
  <c r="AH1470" i="2"/>
  <c r="AJ1470" i="2" s="1"/>
  <c r="I1470" i="2"/>
  <c r="H1470" i="2"/>
  <c r="AH1469" i="2"/>
  <c r="AA1469" i="2"/>
  <c r="Z1469" i="2"/>
  <c r="AI1469" i="2" s="1"/>
  <c r="I1469" i="2"/>
  <c r="H1469" i="2"/>
  <c r="AI1468" i="2"/>
  <c r="AH1468" i="2"/>
  <c r="AA1468" i="2"/>
  <c r="Z1468" i="2"/>
  <c r="AJ1468" i="2" s="1"/>
  <c r="I1468" i="2"/>
  <c r="H1468" i="2"/>
  <c r="AH1467" i="2"/>
  <c r="AA1467" i="2"/>
  <c r="Z1467" i="2"/>
  <c r="AI1467" i="2" s="1"/>
  <c r="I1467" i="2"/>
  <c r="H1467" i="2"/>
  <c r="AH1466" i="2"/>
  <c r="AA1466" i="2"/>
  <c r="Z1466" i="2"/>
  <c r="AI1466" i="2" s="1"/>
  <c r="I1466" i="2"/>
  <c r="H1466" i="2"/>
  <c r="AH1465" i="2"/>
  <c r="AA1465" i="2"/>
  <c r="Z1465" i="2"/>
  <c r="AI1465" i="2" s="1"/>
  <c r="I1465" i="2"/>
  <c r="H1465" i="2"/>
  <c r="AI1464" i="2"/>
  <c r="AH1464" i="2"/>
  <c r="AJ1464" i="2" s="1"/>
  <c r="I1464" i="2"/>
  <c r="H1464" i="2"/>
  <c r="AI1463" i="2"/>
  <c r="AH1463" i="2"/>
  <c r="AJ1463" i="2" s="1"/>
  <c r="I1463" i="2"/>
  <c r="H1463" i="2"/>
  <c r="AI1462" i="2"/>
  <c r="AH1462" i="2"/>
  <c r="AJ1462" i="2" s="1"/>
  <c r="I1462" i="2"/>
  <c r="H1462" i="2"/>
  <c r="AI1461" i="2"/>
  <c r="AH1461" i="2"/>
  <c r="AJ1461" i="2" s="1"/>
  <c r="I1461" i="2"/>
  <c r="H1461" i="2"/>
  <c r="AH1460" i="2"/>
  <c r="AA1460" i="2"/>
  <c r="Z1460" i="2"/>
  <c r="AI1460" i="2" s="1"/>
  <c r="I1460" i="2"/>
  <c r="H1460" i="2"/>
  <c r="AH1459" i="2"/>
  <c r="AJ1459" i="2" s="1"/>
  <c r="AK1459" i="2" s="1"/>
  <c r="AL1459" i="2" s="1"/>
  <c r="AA1459" i="2"/>
  <c r="Z1459" i="2"/>
  <c r="AI1459" i="2" s="1"/>
  <c r="I1459" i="2"/>
  <c r="H1459" i="2"/>
  <c r="AI1458" i="2"/>
  <c r="AH1458" i="2"/>
  <c r="AJ1458" i="2" s="1"/>
  <c r="AK1458" i="2" s="1"/>
  <c r="AL1458" i="2" s="1"/>
  <c r="I1458" i="2"/>
  <c r="H1458" i="2"/>
  <c r="AH1457" i="2"/>
  <c r="I1457" i="2"/>
  <c r="H1457" i="2"/>
  <c r="AH1456" i="2"/>
  <c r="I1456" i="2"/>
  <c r="H1456" i="2"/>
  <c r="AI1455" i="2"/>
  <c r="AH1455" i="2"/>
  <c r="AJ1455" i="2" s="1"/>
  <c r="I1455" i="2"/>
  <c r="H1455" i="2"/>
  <c r="AH1454" i="2"/>
  <c r="AA1454" i="2"/>
  <c r="Z1454" i="2"/>
  <c r="AI1454" i="2" s="1"/>
  <c r="I1454" i="2"/>
  <c r="H1454" i="2"/>
  <c r="AH1453" i="2"/>
  <c r="AA1453" i="2"/>
  <c r="Z1453" i="2"/>
  <c r="AI1453" i="2" s="1"/>
  <c r="I1453" i="2"/>
  <c r="H1453" i="2"/>
  <c r="AH1452" i="2"/>
  <c r="AA1452" i="2"/>
  <c r="Z1452" i="2"/>
  <c r="AI1452" i="2" s="1"/>
  <c r="I1452" i="2"/>
  <c r="H1452" i="2"/>
  <c r="AH1451" i="2"/>
  <c r="AA1451" i="2"/>
  <c r="Z1451" i="2"/>
  <c r="AI1451" i="2" s="1"/>
  <c r="I1451" i="2"/>
  <c r="H1451" i="2"/>
  <c r="AH1450" i="2"/>
  <c r="AA1450" i="2"/>
  <c r="Z1450" i="2"/>
  <c r="AI1450" i="2" s="1"/>
  <c r="I1450" i="2"/>
  <c r="H1450" i="2"/>
  <c r="AI1449" i="2"/>
  <c r="AH1449" i="2"/>
  <c r="AJ1449" i="2" s="1"/>
  <c r="I1449" i="2"/>
  <c r="H1449" i="2"/>
  <c r="AH1448" i="2"/>
  <c r="AA1448" i="2"/>
  <c r="Z1448" i="2"/>
  <c r="AI1448" i="2" s="1"/>
  <c r="I1448" i="2"/>
  <c r="H1448" i="2"/>
  <c r="AI1447" i="2"/>
  <c r="AH1447" i="2"/>
  <c r="AJ1447" i="2" s="1"/>
  <c r="I1447" i="2"/>
  <c r="H1447" i="2"/>
  <c r="AH1446" i="2"/>
  <c r="AA1446" i="2"/>
  <c r="Z1446" i="2"/>
  <c r="AI1446" i="2" s="1"/>
  <c r="I1446" i="2"/>
  <c r="H1446" i="2"/>
  <c r="AH1445" i="2"/>
  <c r="AA1445" i="2"/>
  <c r="Z1445" i="2"/>
  <c r="AI1445" i="2" s="1"/>
  <c r="I1445" i="2"/>
  <c r="H1445" i="2"/>
  <c r="AH1444" i="2"/>
  <c r="AA1444" i="2"/>
  <c r="Z1444" i="2"/>
  <c r="AI1444" i="2" s="1"/>
  <c r="I1444" i="2"/>
  <c r="H1444" i="2"/>
  <c r="AH1443" i="2"/>
  <c r="AA1443" i="2"/>
  <c r="Z1443" i="2"/>
  <c r="Y1443" i="2"/>
  <c r="X1443" i="2"/>
  <c r="I1443" i="2"/>
  <c r="H1443" i="2"/>
  <c r="AH1442" i="2"/>
  <c r="AA1442" i="2"/>
  <c r="Z1442" i="2"/>
  <c r="Y1442" i="2"/>
  <c r="X1442" i="2"/>
  <c r="AI1442" i="2" s="1"/>
  <c r="I1442" i="2"/>
  <c r="H1442" i="2"/>
  <c r="AH1441" i="2"/>
  <c r="I1441" i="2"/>
  <c r="H1441" i="2"/>
  <c r="AH1440" i="2"/>
  <c r="I1440" i="2"/>
  <c r="H1440" i="2"/>
  <c r="AH1439" i="2"/>
  <c r="AA1439" i="2"/>
  <c r="Z1439" i="2"/>
  <c r="Y1439" i="2"/>
  <c r="X1439" i="2"/>
  <c r="I1439" i="2"/>
  <c r="H1439" i="2"/>
  <c r="AH1438" i="2"/>
  <c r="AA1438" i="2"/>
  <c r="Z1438" i="2"/>
  <c r="AI1438" i="2" s="1"/>
  <c r="I1438" i="2"/>
  <c r="H1438" i="2"/>
  <c r="AI1437" i="2"/>
  <c r="AH1437" i="2"/>
  <c r="AJ1437" i="2" s="1"/>
  <c r="AK1437" i="2" s="1"/>
  <c r="AL1437" i="2" s="1"/>
  <c r="I1437" i="2"/>
  <c r="H1437" i="2"/>
  <c r="AH1436" i="2"/>
  <c r="AA1436" i="2"/>
  <c r="Z1436" i="2"/>
  <c r="I1436" i="2"/>
  <c r="H1436" i="2"/>
  <c r="AJ1435" i="2"/>
  <c r="AI1435" i="2"/>
  <c r="AH1435" i="2"/>
  <c r="I1435" i="2"/>
  <c r="H1435" i="2"/>
  <c r="AH1434" i="2"/>
  <c r="AA1434" i="2"/>
  <c r="Z1434" i="2"/>
  <c r="I1434" i="2"/>
  <c r="H1434" i="2"/>
  <c r="AH1433" i="2"/>
  <c r="AA1433" i="2"/>
  <c r="Z1433" i="2"/>
  <c r="AI1433" i="2" s="1"/>
  <c r="I1433" i="2"/>
  <c r="H1433" i="2"/>
  <c r="AH1432" i="2"/>
  <c r="AA1432" i="2"/>
  <c r="Z1432" i="2"/>
  <c r="AI1432" i="2" s="1"/>
  <c r="I1432" i="2"/>
  <c r="H1432" i="2"/>
  <c r="AH1431" i="2"/>
  <c r="AA1431" i="2"/>
  <c r="Z1431" i="2"/>
  <c r="AI1431" i="2" s="1"/>
  <c r="I1431" i="2"/>
  <c r="H1431" i="2"/>
  <c r="AH1430" i="2"/>
  <c r="AA1430" i="2"/>
  <c r="Z1430" i="2"/>
  <c r="AI1430" i="2" s="1"/>
  <c r="I1430" i="2"/>
  <c r="H1430" i="2"/>
  <c r="AI1429" i="2"/>
  <c r="AH1429" i="2"/>
  <c r="AJ1429" i="2" s="1"/>
  <c r="I1429" i="2"/>
  <c r="H1429" i="2"/>
  <c r="AH1428" i="2"/>
  <c r="AA1428" i="2"/>
  <c r="Z1428" i="2"/>
  <c r="AI1428" i="2" s="1"/>
  <c r="I1428" i="2"/>
  <c r="H1428" i="2"/>
  <c r="AH1427" i="2"/>
  <c r="AA1427" i="2"/>
  <c r="Z1427" i="2"/>
  <c r="Y1427" i="2"/>
  <c r="X1427" i="2"/>
  <c r="I1427" i="2"/>
  <c r="H1427" i="2"/>
  <c r="AH1426" i="2"/>
  <c r="AA1426" i="2"/>
  <c r="Z1426" i="2"/>
  <c r="AJ1426" i="2" s="1"/>
  <c r="I1426" i="2"/>
  <c r="H1426" i="2"/>
  <c r="AI1425" i="2"/>
  <c r="AH1425" i="2"/>
  <c r="AJ1425" i="2" s="1"/>
  <c r="I1425" i="2"/>
  <c r="H1425" i="2"/>
  <c r="AH1424" i="2"/>
  <c r="AA1424" i="2"/>
  <c r="Z1424" i="2"/>
  <c r="AI1424" i="2" s="1"/>
  <c r="I1424" i="2"/>
  <c r="H1424" i="2"/>
  <c r="AH1423" i="2"/>
  <c r="AA1423" i="2"/>
  <c r="Z1423" i="2"/>
  <c r="AI1423" i="2" s="1"/>
  <c r="I1423" i="2"/>
  <c r="H1423" i="2"/>
  <c r="AH1422" i="2"/>
  <c r="AJ1422" i="2" s="1"/>
  <c r="AA1422" i="2"/>
  <c r="Z1422" i="2"/>
  <c r="AI1422" i="2" s="1"/>
  <c r="I1422" i="2"/>
  <c r="H1422" i="2"/>
  <c r="AI1421" i="2"/>
  <c r="AH1421" i="2"/>
  <c r="AJ1421" i="2" s="1"/>
  <c r="I1421" i="2"/>
  <c r="H1421" i="2"/>
  <c r="AH1420" i="2"/>
  <c r="AA1420" i="2"/>
  <c r="Z1420" i="2"/>
  <c r="AI1420" i="2" s="1"/>
  <c r="I1420" i="2"/>
  <c r="H1420" i="2"/>
  <c r="AH1419" i="2"/>
  <c r="I1419" i="2"/>
  <c r="H1419" i="2"/>
  <c r="AH1418" i="2"/>
  <c r="I1418" i="2"/>
  <c r="H1418" i="2"/>
  <c r="AH1417" i="2"/>
  <c r="AJ1417" i="2" s="1"/>
  <c r="AK1417" i="2" s="1"/>
  <c r="AL1417" i="2" s="1"/>
  <c r="AA1417" i="2"/>
  <c r="Z1417" i="2"/>
  <c r="AI1417" i="2" s="1"/>
  <c r="I1417" i="2"/>
  <c r="H1417" i="2"/>
  <c r="AH1416" i="2"/>
  <c r="AA1416" i="2"/>
  <c r="Z1416" i="2"/>
  <c r="Y1416" i="2"/>
  <c r="X1416" i="2"/>
  <c r="I1416" i="2"/>
  <c r="H1416" i="2"/>
  <c r="AH1415" i="2"/>
  <c r="AA1415" i="2"/>
  <c r="Z1415" i="2"/>
  <c r="AI1415" i="2" s="1"/>
  <c r="I1415" i="2"/>
  <c r="H1415" i="2"/>
  <c r="AH1414" i="2"/>
  <c r="AA1414" i="2"/>
  <c r="Z1414" i="2"/>
  <c r="Y1414" i="2"/>
  <c r="X1414" i="2"/>
  <c r="I1414" i="2"/>
  <c r="H1414" i="2"/>
  <c r="AH1413" i="2"/>
  <c r="AA1413" i="2"/>
  <c r="Z1413" i="2"/>
  <c r="Y1413" i="2"/>
  <c r="X1413" i="2"/>
  <c r="I1413" i="2"/>
  <c r="H1413" i="2"/>
  <c r="AH1412" i="2"/>
  <c r="AA1412" i="2"/>
  <c r="Z1412" i="2"/>
  <c r="Y1412" i="2"/>
  <c r="X1412" i="2"/>
  <c r="I1412" i="2"/>
  <c r="H1412" i="2"/>
  <c r="AI1411" i="2"/>
  <c r="AH1411" i="2"/>
  <c r="AJ1411" i="2" s="1"/>
  <c r="I1411" i="2"/>
  <c r="H1411" i="2"/>
  <c r="AH1410" i="2"/>
  <c r="AA1410" i="2"/>
  <c r="Z1410" i="2"/>
  <c r="AI1410" i="2" s="1"/>
  <c r="I1410" i="2"/>
  <c r="H1410" i="2"/>
  <c r="AH1409" i="2"/>
  <c r="AA1409" i="2"/>
  <c r="Z1409" i="2"/>
  <c r="AI1409" i="2" s="1"/>
  <c r="I1409" i="2"/>
  <c r="H1409" i="2"/>
  <c r="AH1408" i="2"/>
  <c r="AA1408" i="2"/>
  <c r="Z1408" i="2"/>
  <c r="Y1408" i="2"/>
  <c r="X1408" i="2"/>
  <c r="I1408" i="2"/>
  <c r="H1408" i="2"/>
  <c r="AH1407" i="2"/>
  <c r="AA1407" i="2"/>
  <c r="Z1407" i="2"/>
  <c r="AI1407" i="2" s="1"/>
  <c r="I1407" i="2"/>
  <c r="H1407" i="2"/>
  <c r="AH1406" i="2"/>
  <c r="AA1406" i="2"/>
  <c r="Z1406" i="2"/>
  <c r="Y1406" i="2"/>
  <c r="X1406" i="2"/>
  <c r="I1406" i="2"/>
  <c r="H1406" i="2"/>
  <c r="AH1405" i="2"/>
  <c r="AA1405" i="2"/>
  <c r="Z1405" i="2"/>
  <c r="Y1405" i="2"/>
  <c r="X1405" i="2"/>
  <c r="I1405" i="2"/>
  <c r="H1405" i="2"/>
  <c r="AH1404" i="2"/>
  <c r="AA1404" i="2"/>
  <c r="Z1404" i="2"/>
  <c r="Y1404" i="2"/>
  <c r="X1404" i="2"/>
  <c r="I1404" i="2"/>
  <c r="H1404" i="2"/>
  <c r="AH1403" i="2"/>
  <c r="AA1403" i="2"/>
  <c r="Z1403" i="2"/>
  <c r="AI1403" i="2" s="1"/>
  <c r="I1403" i="2"/>
  <c r="H1403" i="2"/>
  <c r="AI1402" i="2"/>
  <c r="AH1402" i="2"/>
  <c r="AJ1402" i="2" s="1"/>
  <c r="AK1402" i="2" s="1"/>
  <c r="AL1402" i="2" s="1"/>
  <c r="I1402" i="2"/>
  <c r="H1402" i="2"/>
  <c r="AH1401" i="2"/>
  <c r="AA1401" i="2"/>
  <c r="Z1401" i="2"/>
  <c r="AI1401" i="2" s="1"/>
  <c r="I1401" i="2"/>
  <c r="H1401" i="2"/>
  <c r="AH1400" i="2"/>
  <c r="AA1400" i="2"/>
  <c r="Z1400" i="2"/>
  <c r="AI1400" i="2" s="1"/>
  <c r="I1400" i="2"/>
  <c r="H1400" i="2"/>
  <c r="AH1399" i="2"/>
  <c r="AA1399" i="2"/>
  <c r="Z1399" i="2"/>
  <c r="AI1399" i="2" s="1"/>
  <c r="I1399" i="2"/>
  <c r="H1399" i="2"/>
  <c r="AH1398" i="2"/>
  <c r="I1398" i="2"/>
  <c r="H1398" i="2"/>
  <c r="AH1397" i="2"/>
  <c r="I1397" i="2"/>
  <c r="H1397" i="2"/>
  <c r="AH1396" i="2"/>
  <c r="AJ1396" i="2" s="1"/>
  <c r="AA1396" i="2"/>
  <c r="Z1396" i="2"/>
  <c r="AI1396" i="2" s="1"/>
  <c r="I1396" i="2"/>
  <c r="H1396" i="2"/>
  <c r="AH1395" i="2"/>
  <c r="AJ1395" i="2" s="1"/>
  <c r="AA1395" i="2"/>
  <c r="Z1395" i="2"/>
  <c r="AI1395" i="2" s="1"/>
  <c r="I1395" i="2"/>
  <c r="H1395" i="2"/>
  <c r="AH1394" i="2"/>
  <c r="AA1394" i="2"/>
  <c r="Z1394" i="2"/>
  <c r="AJ1394" i="2" s="1"/>
  <c r="I1394" i="2"/>
  <c r="H1394" i="2"/>
  <c r="AH1393" i="2"/>
  <c r="AA1393" i="2"/>
  <c r="F20" i="1" s="1"/>
  <c r="Z1393" i="2"/>
  <c r="I1393" i="2"/>
  <c r="H1393" i="2"/>
  <c r="G23" i="1" s="1"/>
  <c r="AH1392" i="2"/>
  <c r="AA1392" i="2"/>
  <c r="Z1392" i="2"/>
  <c r="AI1392" i="2" s="1"/>
  <c r="I1392" i="2"/>
  <c r="H1392" i="2"/>
  <c r="AH1391" i="2"/>
  <c r="AA1391" i="2"/>
  <c r="Z1391" i="2"/>
  <c r="AI1391" i="2" s="1"/>
  <c r="I1391" i="2"/>
  <c r="H1391" i="2"/>
  <c r="AH1390" i="2"/>
  <c r="AA1390" i="2"/>
  <c r="Z1390" i="2"/>
  <c r="I1390" i="2"/>
  <c r="H1390" i="2"/>
  <c r="AH1389" i="2"/>
  <c r="AA1389" i="2"/>
  <c r="Z1389" i="2"/>
  <c r="Y1389" i="2"/>
  <c r="X1389" i="2"/>
  <c r="I1389" i="2"/>
  <c r="H1389" i="2"/>
  <c r="AH1388" i="2"/>
  <c r="AA1388" i="2"/>
  <c r="Z1388" i="2"/>
  <c r="Y1388" i="2"/>
  <c r="X1388" i="2"/>
  <c r="I1388" i="2"/>
  <c r="H1388" i="2"/>
  <c r="AH1387" i="2"/>
  <c r="AA1387" i="2"/>
  <c r="Z1387" i="2"/>
  <c r="AI1387" i="2" s="1"/>
  <c r="I1387" i="2"/>
  <c r="H1387" i="2"/>
  <c r="AH1386" i="2"/>
  <c r="AA1386" i="2"/>
  <c r="Z1386" i="2"/>
  <c r="Y1386" i="2"/>
  <c r="X1386" i="2"/>
  <c r="I1386" i="2"/>
  <c r="H1386" i="2"/>
  <c r="AH1385" i="2"/>
  <c r="AA1385" i="2"/>
  <c r="Z1385" i="2"/>
  <c r="AI1385" i="2" s="1"/>
  <c r="I1385" i="2"/>
  <c r="H1385" i="2"/>
  <c r="AI1384" i="2"/>
  <c r="AH1384" i="2"/>
  <c r="AA1384" i="2"/>
  <c r="Z1384" i="2"/>
  <c r="I1384" i="2"/>
  <c r="H1384" i="2"/>
  <c r="AH1383" i="2"/>
  <c r="AA1383" i="2"/>
  <c r="Z1383" i="2"/>
  <c r="AI1383" i="2" s="1"/>
  <c r="I1383" i="2"/>
  <c r="H1383" i="2"/>
  <c r="AH1382" i="2"/>
  <c r="AA1382" i="2"/>
  <c r="Z1382" i="2"/>
  <c r="AI1382" i="2" s="1"/>
  <c r="I1382" i="2"/>
  <c r="H1382" i="2"/>
  <c r="AH1381" i="2"/>
  <c r="AA1381" i="2"/>
  <c r="Z1381" i="2"/>
  <c r="AI1381" i="2" s="1"/>
  <c r="I1381" i="2"/>
  <c r="H1381" i="2"/>
  <c r="AI1380" i="2"/>
  <c r="AH1380" i="2"/>
  <c r="AJ1380" i="2" s="1"/>
  <c r="I1380" i="2"/>
  <c r="H1380" i="2"/>
  <c r="AH1379" i="2"/>
  <c r="AA1379" i="2"/>
  <c r="Z1379" i="2"/>
  <c r="Y1379" i="2"/>
  <c r="X1379" i="2"/>
  <c r="I1379" i="2"/>
  <c r="H1379" i="2"/>
  <c r="AH1378" i="2"/>
  <c r="AA1378" i="2"/>
  <c r="Z1378" i="2"/>
  <c r="Y1378" i="2"/>
  <c r="X1378" i="2"/>
  <c r="I1378" i="2"/>
  <c r="H1378" i="2"/>
  <c r="AH1377" i="2"/>
  <c r="AA1377" i="2"/>
  <c r="Z1377" i="2"/>
  <c r="Y1377" i="2"/>
  <c r="X1377" i="2"/>
  <c r="I1377" i="2"/>
  <c r="H1377" i="2"/>
  <c r="AH1376" i="2"/>
  <c r="AA1376" i="2"/>
  <c r="Z1376" i="2"/>
  <c r="Y1376" i="2"/>
  <c r="X1376" i="2"/>
  <c r="I1376" i="2"/>
  <c r="H1376" i="2"/>
  <c r="AH1375" i="2"/>
  <c r="AA1375" i="2"/>
  <c r="Z1375" i="2"/>
  <c r="AI1375" i="2" s="1"/>
  <c r="I1375" i="2"/>
  <c r="H1375" i="2"/>
  <c r="AH1374" i="2"/>
  <c r="AA1374" i="2"/>
  <c r="Z1374" i="2"/>
  <c r="Y1374" i="2"/>
  <c r="X1374" i="2"/>
  <c r="U1374" i="2"/>
  <c r="T1374" i="2"/>
  <c r="I1374" i="2"/>
  <c r="H1374" i="2"/>
  <c r="AH1373" i="2"/>
  <c r="AA1373" i="2"/>
  <c r="Z1373" i="2"/>
  <c r="AI1373" i="2" s="1"/>
  <c r="I1373" i="2"/>
  <c r="H1373" i="2"/>
  <c r="AH1372" i="2"/>
  <c r="AA1372" i="2"/>
  <c r="Z1372" i="2"/>
  <c r="AI1372" i="2" s="1"/>
  <c r="I1372" i="2"/>
  <c r="H1372" i="2"/>
  <c r="AI1371" i="2"/>
  <c r="AH1371" i="2"/>
  <c r="AJ1371" i="2" s="1"/>
  <c r="I1371" i="2"/>
  <c r="H1371" i="2"/>
  <c r="AH1370" i="2"/>
  <c r="AA1370" i="2"/>
  <c r="Z1370" i="2"/>
  <c r="AI1370" i="2" s="1"/>
  <c r="I1370" i="2"/>
  <c r="H1370" i="2"/>
  <c r="AH1369" i="2"/>
  <c r="AA1369" i="2"/>
  <c r="Z1369" i="2"/>
  <c r="AI1369" i="2" s="1"/>
  <c r="I1369" i="2"/>
  <c r="H1369" i="2"/>
  <c r="AH1368" i="2"/>
  <c r="AA1368" i="2"/>
  <c r="Z1368" i="2"/>
  <c r="Y1368" i="2"/>
  <c r="X1368" i="2"/>
  <c r="I1368" i="2"/>
  <c r="H1368" i="2"/>
  <c r="V1368" i="2" s="1"/>
  <c r="AH1367" i="2"/>
  <c r="AA1367" i="2"/>
  <c r="Z1367" i="2"/>
  <c r="I1367" i="2"/>
  <c r="H1367" i="2"/>
  <c r="AH1366" i="2"/>
  <c r="AA1366" i="2"/>
  <c r="Z1366" i="2"/>
  <c r="Y1366" i="2"/>
  <c r="X1366" i="2"/>
  <c r="I1366" i="2"/>
  <c r="H1366" i="2"/>
  <c r="AI1365" i="2"/>
  <c r="AH1365" i="2"/>
  <c r="AJ1365" i="2" s="1"/>
  <c r="I1365" i="2"/>
  <c r="H1365" i="2"/>
  <c r="AH1364" i="2"/>
  <c r="AA1364" i="2"/>
  <c r="Z1364" i="2"/>
  <c r="AI1364" i="2" s="1"/>
  <c r="I1364" i="2"/>
  <c r="H1364" i="2"/>
  <c r="AI1363" i="2"/>
  <c r="AH1363" i="2"/>
  <c r="AJ1363" i="2" s="1"/>
  <c r="I1363" i="2"/>
  <c r="H1363" i="2"/>
  <c r="AH1362" i="2"/>
  <c r="AA1362" i="2"/>
  <c r="Z1362" i="2"/>
  <c r="AI1362" i="2" s="1"/>
  <c r="I1362" i="2"/>
  <c r="H1362" i="2"/>
  <c r="AH1361" i="2"/>
  <c r="AA1361" i="2"/>
  <c r="Z1361" i="2"/>
  <c r="I1361" i="2"/>
  <c r="H1361" i="2"/>
  <c r="AH1360" i="2"/>
  <c r="AA1360" i="2"/>
  <c r="Z1360" i="2"/>
  <c r="AI1360" i="2" s="1"/>
  <c r="I1360" i="2"/>
  <c r="H1360" i="2"/>
  <c r="AH1359" i="2"/>
  <c r="I1359" i="2"/>
  <c r="H1359" i="2"/>
  <c r="AH1358" i="2"/>
  <c r="I1358" i="2"/>
  <c r="H1358" i="2"/>
  <c r="AH1357" i="2"/>
  <c r="AA1357" i="2"/>
  <c r="Z1357" i="2"/>
  <c r="Y1357" i="2"/>
  <c r="X1357" i="2"/>
  <c r="AI1357" i="2" s="1"/>
  <c r="I1357" i="2"/>
  <c r="H1357" i="2"/>
  <c r="AH1356" i="2"/>
  <c r="AA1356" i="2"/>
  <c r="Z1356" i="2"/>
  <c r="AI1356" i="2" s="1"/>
  <c r="I1356" i="2"/>
  <c r="H1356" i="2"/>
  <c r="AH1355" i="2"/>
  <c r="AA1355" i="2"/>
  <c r="Z1355" i="2"/>
  <c r="I1355" i="2"/>
  <c r="H1355" i="2"/>
  <c r="AH1354" i="2"/>
  <c r="AA1354" i="2"/>
  <c r="Z1354" i="2"/>
  <c r="AI1354" i="2" s="1"/>
  <c r="I1354" i="2"/>
  <c r="H1354" i="2"/>
  <c r="AH1353" i="2"/>
  <c r="AA1353" i="2"/>
  <c r="Z1353" i="2"/>
  <c r="AI1353" i="2" s="1"/>
  <c r="I1353" i="2"/>
  <c r="H1353" i="2"/>
  <c r="AH1352" i="2"/>
  <c r="AA1352" i="2"/>
  <c r="Z1352" i="2"/>
  <c r="AI1352" i="2" s="1"/>
  <c r="I1352" i="2"/>
  <c r="H1352" i="2"/>
  <c r="AH1351" i="2"/>
  <c r="AA1351" i="2"/>
  <c r="Z1351" i="2"/>
  <c r="AJ1351" i="2" s="1"/>
  <c r="I1351" i="2"/>
  <c r="H1351" i="2"/>
  <c r="AJ1350" i="2"/>
  <c r="AI1350" i="2"/>
  <c r="AH1350" i="2"/>
  <c r="I1350" i="2"/>
  <c r="H1350" i="2"/>
  <c r="AH1349" i="2"/>
  <c r="AA1349" i="2"/>
  <c r="Z1349" i="2"/>
  <c r="I1349" i="2"/>
  <c r="H1349" i="2"/>
  <c r="AH1348" i="2"/>
  <c r="AA1348" i="2"/>
  <c r="Z1348" i="2"/>
  <c r="AI1348" i="2" s="1"/>
  <c r="I1348" i="2"/>
  <c r="H1348" i="2"/>
  <c r="AH1347" i="2"/>
  <c r="AA1347" i="2"/>
  <c r="Z1347" i="2"/>
  <c r="AI1347" i="2" s="1"/>
  <c r="I1347" i="2"/>
  <c r="H1347" i="2"/>
  <c r="AI1346" i="2"/>
  <c r="AH1346" i="2"/>
  <c r="AJ1346" i="2" s="1"/>
  <c r="AK1346" i="2" s="1"/>
  <c r="AL1346" i="2" s="1"/>
  <c r="I1346" i="2"/>
  <c r="H1346" i="2"/>
  <c r="AH1345" i="2"/>
  <c r="AA1345" i="2"/>
  <c r="Z1345" i="2"/>
  <c r="AI1345" i="2" s="1"/>
  <c r="I1345" i="2"/>
  <c r="H1345" i="2"/>
  <c r="AH1344" i="2"/>
  <c r="AA1344" i="2"/>
  <c r="Z1344" i="2"/>
  <c r="I1344" i="2"/>
  <c r="H1344" i="2"/>
  <c r="AI1343" i="2"/>
  <c r="AH1343" i="2"/>
  <c r="AJ1343" i="2" s="1"/>
  <c r="I1343" i="2"/>
  <c r="H1343" i="2"/>
  <c r="AI1342" i="2"/>
  <c r="AH1342" i="2"/>
  <c r="AJ1342" i="2" s="1"/>
  <c r="I1342" i="2"/>
  <c r="H1342" i="2"/>
  <c r="AH1341" i="2"/>
  <c r="AA1341" i="2"/>
  <c r="Z1341" i="2"/>
  <c r="AI1341" i="2" s="1"/>
  <c r="I1341" i="2"/>
  <c r="H1341" i="2"/>
  <c r="AI1340" i="2"/>
  <c r="AH1340" i="2"/>
  <c r="AA1340" i="2"/>
  <c r="Z1340" i="2"/>
  <c r="I1340" i="2"/>
  <c r="H1340" i="2"/>
  <c r="AH1339" i="2"/>
  <c r="AA1339" i="2"/>
  <c r="Z1339" i="2"/>
  <c r="I1339" i="2"/>
  <c r="H1339" i="2"/>
  <c r="AH1338" i="2"/>
  <c r="AA1338" i="2"/>
  <c r="Z1338" i="2"/>
  <c r="AI1338" i="2" s="1"/>
  <c r="I1338" i="2"/>
  <c r="H1338" i="2"/>
  <c r="AH1337" i="2"/>
  <c r="AA1337" i="2"/>
  <c r="Z1337" i="2"/>
  <c r="AI1337" i="2" s="1"/>
  <c r="I1337" i="2"/>
  <c r="H1337" i="2"/>
  <c r="AH1336" i="2"/>
  <c r="AA1336" i="2"/>
  <c r="Z1336" i="2"/>
  <c r="AI1336" i="2" s="1"/>
  <c r="I1336" i="2"/>
  <c r="H1336" i="2"/>
  <c r="AH1335" i="2"/>
  <c r="AA1335" i="2"/>
  <c r="Z1335" i="2"/>
  <c r="I1335" i="2"/>
  <c r="H1335" i="2"/>
  <c r="AI1334" i="2"/>
  <c r="AH1334" i="2"/>
  <c r="AJ1334" i="2" s="1"/>
  <c r="I1334" i="2"/>
  <c r="H1334" i="2"/>
  <c r="AJ1333" i="2"/>
  <c r="AI1333" i="2"/>
  <c r="AH1333" i="2"/>
  <c r="I1333" i="2"/>
  <c r="H1333" i="2"/>
  <c r="AH1332" i="2"/>
  <c r="AA1332" i="2"/>
  <c r="Z1332" i="2"/>
  <c r="AI1332" i="2" s="1"/>
  <c r="I1332" i="2"/>
  <c r="H1332" i="2"/>
  <c r="AH1331" i="2"/>
  <c r="AA1331" i="2"/>
  <c r="Z1331" i="2"/>
  <c r="AI1331" i="2" s="1"/>
  <c r="I1331" i="2"/>
  <c r="H1331" i="2"/>
  <c r="AH1330" i="2"/>
  <c r="AA1330" i="2"/>
  <c r="Z1330" i="2"/>
  <c r="AI1330" i="2" s="1"/>
  <c r="I1330" i="2"/>
  <c r="H1330" i="2"/>
  <c r="AI1329" i="2"/>
  <c r="AH1329" i="2"/>
  <c r="AA1329" i="2"/>
  <c r="Z1329" i="2"/>
  <c r="I1329" i="2"/>
  <c r="H1329" i="2"/>
  <c r="AH1328" i="2"/>
  <c r="AA1328" i="2"/>
  <c r="Z1328" i="2"/>
  <c r="AI1328" i="2" s="1"/>
  <c r="I1328" i="2"/>
  <c r="H1328" i="2"/>
  <c r="AH1327" i="2"/>
  <c r="AA1327" i="2"/>
  <c r="Z1327" i="2"/>
  <c r="AI1327" i="2" s="1"/>
  <c r="I1327" i="2"/>
  <c r="H1327" i="2"/>
  <c r="AH1326" i="2"/>
  <c r="AJ1326" i="2" s="1"/>
  <c r="AK1326" i="2" s="1"/>
  <c r="AL1326" i="2" s="1"/>
  <c r="AA1326" i="2"/>
  <c r="Z1326" i="2"/>
  <c r="AI1326" i="2" s="1"/>
  <c r="I1326" i="2"/>
  <c r="H1326" i="2"/>
  <c r="AH1325" i="2"/>
  <c r="AA1325" i="2"/>
  <c r="Z1325" i="2"/>
  <c r="AI1325" i="2" s="1"/>
  <c r="I1325" i="2"/>
  <c r="H1325" i="2"/>
  <c r="AH1324" i="2"/>
  <c r="AA1324" i="2"/>
  <c r="Z1324" i="2"/>
  <c r="AI1324" i="2" s="1"/>
  <c r="I1324" i="2"/>
  <c r="H1324" i="2"/>
  <c r="AH1323" i="2"/>
  <c r="AA1323" i="2"/>
  <c r="F34" i="17" s="1"/>
  <c r="Z1323" i="2"/>
  <c r="E34" i="17" s="1"/>
  <c r="I1323" i="2"/>
  <c r="H1323" i="2"/>
  <c r="G37" i="17" s="1"/>
  <c r="AI1322" i="2"/>
  <c r="AH1322" i="2"/>
  <c r="AJ1322" i="2" s="1"/>
  <c r="I1322" i="2"/>
  <c r="H1322" i="2"/>
  <c r="AI1321" i="2"/>
  <c r="AH1321" i="2"/>
  <c r="AJ1321" i="2" s="1"/>
  <c r="I1321" i="2"/>
  <c r="H1321" i="2"/>
  <c r="AH1320" i="2"/>
  <c r="AA1320" i="2"/>
  <c r="Z1320" i="2"/>
  <c r="AI1320" i="2" s="1"/>
  <c r="I1320" i="2"/>
  <c r="H1320" i="2"/>
  <c r="AH1319" i="2"/>
  <c r="AA1319" i="2"/>
  <c r="Z1319" i="2"/>
  <c r="AJ1319" i="2" s="1"/>
  <c r="I1319" i="2"/>
  <c r="H1319" i="2"/>
  <c r="AI1318" i="2"/>
  <c r="AH1318" i="2"/>
  <c r="AJ1318" i="2" s="1"/>
  <c r="AK1318" i="2" s="1"/>
  <c r="AL1318" i="2" s="1"/>
  <c r="I1318" i="2"/>
  <c r="H1318" i="2"/>
  <c r="AH1317" i="2"/>
  <c r="AA1317" i="2"/>
  <c r="Z1317" i="2"/>
  <c r="AI1317" i="2" s="1"/>
  <c r="I1317" i="2"/>
  <c r="H1317" i="2"/>
  <c r="AH1316" i="2"/>
  <c r="AJ1316" i="2" s="1"/>
  <c r="AK1316" i="2" s="1"/>
  <c r="AL1316" i="2" s="1"/>
  <c r="AA1316" i="2"/>
  <c r="Z1316" i="2"/>
  <c r="AI1316" i="2" s="1"/>
  <c r="I1316" i="2"/>
  <c r="H1316" i="2"/>
  <c r="AI1315" i="2"/>
  <c r="AH1315" i="2"/>
  <c r="AJ1315" i="2" s="1"/>
  <c r="I1315" i="2"/>
  <c r="H1315" i="2"/>
  <c r="AH1314" i="2"/>
  <c r="AA1314" i="2"/>
  <c r="Z1314" i="2"/>
  <c r="AI1314" i="2" s="1"/>
  <c r="I1314" i="2"/>
  <c r="H1314" i="2"/>
  <c r="AH1313" i="2"/>
  <c r="AA1313" i="2"/>
  <c r="Z1313" i="2"/>
  <c r="AI1313" i="2" s="1"/>
  <c r="I1313" i="2"/>
  <c r="H1313" i="2"/>
  <c r="AH1312" i="2"/>
  <c r="AJ1312" i="2" s="1"/>
  <c r="AK1312" i="2" s="1"/>
  <c r="AL1312" i="2" s="1"/>
  <c r="AA1312" i="2"/>
  <c r="Z1312" i="2"/>
  <c r="AI1312" i="2" s="1"/>
  <c r="I1312" i="2"/>
  <c r="H1312" i="2"/>
  <c r="AH1311" i="2"/>
  <c r="I1311" i="2"/>
  <c r="H1311" i="2"/>
  <c r="AH1310" i="2"/>
  <c r="I1310" i="2"/>
  <c r="H1310" i="2"/>
  <c r="AH1309" i="2"/>
  <c r="AA1309" i="2"/>
  <c r="Z1309" i="2"/>
  <c r="AI1309" i="2" s="1"/>
  <c r="I1309" i="2"/>
  <c r="H1309" i="2"/>
  <c r="AH1308" i="2"/>
  <c r="AA1308" i="2"/>
  <c r="Z1308" i="2"/>
  <c r="Y1308" i="2"/>
  <c r="X1308" i="2"/>
  <c r="I1308" i="2"/>
  <c r="H1308" i="2"/>
  <c r="AI1307" i="2"/>
  <c r="AH1307" i="2"/>
  <c r="AJ1307" i="2" s="1"/>
  <c r="I1307" i="2"/>
  <c r="H1307" i="2"/>
  <c r="AH1306" i="2"/>
  <c r="AA1306" i="2"/>
  <c r="Z1306" i="2"/>
  <c r="AI1306" i="2" s="1"/>
  <c r="I1306" i="2"/>
  <c r="H1306" i="2"/>
  <c r="AH1305" i="2"/>
  <c r="AA1305" i="2"/>
  <c r="Z1305" i="2"/>
  <c r="AI1305" i="2" s="1"/>
  <c r="I1305" i="2"/>
  <c r="H1305" i="2"/>
  <c r="AH1304" i="2"/>
  <c r="AA1304" i="2"/>
  <c r="Z1304" i="2"/>
  <c r="AI1304" i="2" s="1"/>
  <c r="I1304" i="2"/>
  <c r="H1304" i="2"/>
  <c r="AH1303" i="2"/>
  <c r="AA1303" i="2"/>
  <c r="Z1303" i="2"/>
  <c r="Y1303" i="2"/>
  <c r="X1303" i="2"/>
  <c r="I1303" i="2"/>
  <c r="H1303" i="2"/>
  <c r="AI1302" i="2"/>
  <c r="AH1302" i="2"/>
  <c r="AJ1302" i="2" s="1"/>
  <c r="I1302" i="2"/>
  <c r="H1302" i="2"/>
  <c r="AH1301" i="2"/>
  <c r="AA1301" i="2"/>
  <c r="Z1301" i="2"/>
  <c r="Y1301" i="2"/>
  <c r="X1301" i="2"/>
  <c r="AI1301" i="2" s="1"/>
  <c r="I1301" i="2"/>
  <c r="H1301" i="2"/>
  <c r="AH1300" i="2"/>
  <c r="AA1300" i="2"/>
  <c r="Z1300" i="2"/>
  <c r="Y1300" i="2"/>
  <c r="X1300" i="2"/>
  <c r="I1300" i="2"/>
  <c r="H1300" i="2"/>
  <c r="AH1299" i="2"/>
  <c r="AA1299" i="2"/>
  <c r="Z1299" i="2"/>
  <c r="I1299" i="2"/>
  <c r="H1299" i="2"/>
  <c r="AH1298" i="2"/>
  <c r="AA1298" i="2"/>
  <c r="Z1298" i="2"/>
  <c r="AI1298" i="2" s="1"/>
  <c r="I1298" i="2"/>
  <c r="H1298" i="2"/>
  <c r="AI1297" i="2"/>
  <c r="AH1297" i="2"/>
  <c r="AA1297" i="2"/>
  <c r="Z1297" i="2"/>
  <c r="I1297" i="2"/>
  <c r="H1297" i="2"/>
  <c r="AH1296" i="2"/>
  <c r="AJ1296" i="2" s="1"/>
  <c r="AK1296" i="2" s="1"/>
  <c r="AL1296" i="2" s="1"/>
  <c r="AA1296" i="2"/>
  <c r="Z1296" i="2"/>
  <c r="AI1296" i="2" s="1"/>
  <c r="I1296" i="2"/>
  <c r="H1296" i="2"/>
  <c r="AH1295" i="2"/>
  <c r="AA1295" i="2"/>
  <c r="Z1295" i="2"/>
  <c r="AJ1295" i="2" s="1"/>
  <c r="I1295" i="2"/>
  <c r="H1295" i="2"/>
  <c r="AH1294" i="2"/>
  <c r="AA1294" i="2"/>
  <c r="Z1294" i="2"/>
  <c r="AI1294" i="2" s="1"/>
  <c r="I1294" i="2"/>
  <c r="H1294" i="2"/>
  <c r="AH1293" i="2"/>
  <c r="AA1293" i="2"/>
  <c r="Z1293" i="2"/>
  <c r="AI1293" i="2" s="1"/>
  <c r="I1293" i="2"/>
  <c r="H1293" i="2"/>
  <c r="AH1292" i="2"/>
  <c r="AA1292" i="2"/>
  <c r="Z1292" i="2"/>
  <c r="AI1292" i="2" s="1"/>
  <c r="I1292" i="2"/>
  <c r="H1292" i="2"/>
  <c r="AH1291" i="2"/>
  <c r="AA1291" i="2"/>
  <c r="Z1291" i="2"/>
  <c r="I1291" i="2"/>
  <c r="H1291" i="2"/>
  <c r="AJ1290" i="2"/>
  <c r="AI1290" i="2"/>
  <c r="AH1290" i="2"/>
  <c r="I1290" i="2"/>
  <c r="H1290" i="2"/>
  <c r="AI1289" i="2"/>
  <c r="AH1289" i="2"/>
  <c r="AA1289" i="2"/>
  <c r="Z1289" i="2"/>
  <c r="I1289" i="2"/>
  <c r="H1289" i="2"/>
  <c r="AH1288" i="2"/>
  <c r="AA1288" i="2"/>
  <c r="Z1288" i="2"/>
  <c r="AI1288" i="2" s="1"/>
  <c r="I1288" i="2"/>
  <c r="H1288" i="2"/>
  <c r="AH1287" i="2"/>
  <c r="AA1287" i="2"/>
  <c r="Z1287" i="2"/>
  <c r="AI1287" i="2" s="1"/>
  <c r="I1287" i="2"/>
  <c r="H1287" i="2"/>
  <c r="AH1286" i="2"/>
  <c r="AA1286" i="2"/>
  <c r="Z1286" i="2"/>
  <c r="AI1286" i="2" s="1"/>
  <c r="I1286" i="2"/>
  <c r="H1286" i="2"/>
  <c r="AH1285" i="2"/>
  <c r="AA1285" i="2"/>
  <c r="Z1285" i="2"/>
  <c r="I1285" i="2"/>
  <c r="H1285" i="2"/>
  <c r="AI1284" i="2"/>
  <c r="AH1284" i="2"/>
  <c r="AJ1284" i="2" s="1"/>
  <c r="I1284" i="2"/>
  <c r="H1284" i="2"/>
  <c r="AI1283" i="2"/>
  <c r="AH1283" i="2"/>
  <c r="AA1283" i="2"/>
  <c r="Z1283" i="2"/>
  <c r="I1283" i="2"/>
  <c r="H1283" i="2"/>
  <c r="AH1282" i="2"/>
  <c r="AA1282" i="2"/>
  <c r="Z1282" i="2"/>
  <c r="AI1282" i="2" s="1"/>
  <c r="I1282" i="2"/>
  <c r="H1282" i="2"/>
  <c r="AH1281" i="2"/>
  <c r="AA1281" i="2"/>
  <c r="Z1281" i="2"/>
  <c r="Y1281" i="2"/>
  <c r="X1281" i="2"/>
  <c r="I1281" i="2"/>
  <c r="H1281" i="2"/>
  <c r="AI1280" i="2"/>
  <c r="AH1280" i="2"/>
  <c r="AJ1280" i="2" s="1"/>
  <c r="I1280" i="2"/>
  <c r="H1280" i="2"/>
  <c r="AH1279" i="2"/>
  <c r="AA1279" i="2"/>
  <c r="Z1279" i="2"/>
  <c r="Y1279" i="2"/>
  <c r="X1279" i="2"/>
  <c r="I1279" i="2"/>
  <c r="H1279" i="2"/>
  <c r="AH1278" i="2"/>
  <c r="AA1278" i="2"/>
  <c r="Z1278" i="2"/>
  <c r="AI1278" i="2" s="1"/>
  <c r="I1278" i="2"/>
  <c r="H1278" i="2"/>
  <c r="AH1277" i="2"/>
  <c r="AA1277" i="2"/>
  <c r="Z1277" i="2"/>
  <c r="I1277" i="2"/>
  <c r="H1277" i="2"/>
  <c r="AI1276" i="2"/>
  <c r="AH1276" i="2"/>
  <c r="AJ1276" i="2" s="1"/>
  <c r="I1276" i="2"/>
  <c r="H1276" i="2"/>
  <c r="AH1275" i="2"/>
  <c r="AA1275" i="2"/>
  <c r="Z1275" i="2"/>
  <c r="AI1275" i="2" s="1"/>
  <c r="I1275" i="2"/>
  <c r="H1275" i="2"/>
  <c r="AI1274" i="2"/>
  <c r="AH1274" i="2"/>
  <c r="AJ1274" i="2" s="1"/>
  <c r="I1274" i="2"/>
  <c r="H1274" i="2"/>
  <c r="AI1273" i="2"/>
  <c r="AH1273" i="2"/>
  <c r="AJ1273" i="2" s="1"/>
  <c r="I1273" i="2"/>
  <c r="H1273" i="2"/>
  <c r="AH1272" i="2"/>
  <c r="AA1272" i="2"/>
  <c r="Z1272" i="2"/>
  <c r="AI1272" i="2" s="1"/>
  <c r="I1272" i="2"/>
  <c r="H1272" i="2"/>
  <c r="AH1271" i="2"/>
  <c r="AA1271" i="2"/>
  <c r="Z1271" i="2"/>
  <c r="AI1271" i="2" s="1"/>
  <c r="I1271" i="2"/>
  <c r="H1271" i="2"/>
  <c r="AH1270" i="2"/>
  <c r="AA1270" i="2"/>
  <c r="Z1270" i="2"/>
  <c r="AI1270" i="2" s="1"/>
  <c r="I1270" i="2"/>
  <c r="H1270" i="2"/>
  <c r="AH1269" i="2"/>
  <c r="AA1269" i="2"/>
  <c r="Z1269" i="2"/>
  <c r="AI1269" i="2" s="1"/>
  <c r="I1269" i="2"/>
  <c r="H1269" i="2"/>
  <c r="AI1268" i="2"/>
  <c r="AH1268" i="2"/>
  <c r="AJ1268" i="2" s="1"/>
  <c r="AK1268" i="2" s="1"/>
  <c r="AL1268" i="2" s="1"/>
  <c r="I1268" i="2"/>
  <c r="H1268" i="2"/>
  <c r="AH1267" i="2"/>
  <c r="AA1267" i="2"/>
  <c r="Z1267" i="2"/>
  <c r="AI1267" i="2" s="1"/>
  <c r="I1267" i="2"/>
  <c r="H1267" i="2"/>
  <c r="AH1266" i="2"/>
  <c r="AA1266" i="2"/>
  <c r="Z1266" i="2"/>
  <c r="AI1266" i="2" s="1"/>
  <c r="I1266" i="2"/>
  <c r="H1266" i="2"/>
  <c r="AH1265" i="2"/>
  <c r="AA1265" i="2"/>
  <c r="Z1265" i="2"/>
  <c r="I1265" i="2"/>
  <c r="H1265" i="2"/>
  <c r="AH1264" i="2"/>
  <c r="AA1264" i="2"/>
  <c r="Z1264" i="2"/>
  <c r="AI1264" i="2" s="1"/>
  <c r="I1264" i="2"/>
  <c r="H1264" i="2"/>
  <c r="AH1263" i="2"/>
  <c r="AA1263" i="2"/>
  <c r="Z1263" i="2"/>
  <c r="AI1263" i="2" s="1"/>
  <c r="I1263" i="2"/>
  <c r="H1263" i="2"/>
  <c r="AH1262" i="2"/>
  <c r="AA1262" i="2"/>
  <c r="Z1262" i="2"/>
  <c r="AI1262" i="2" s="1"/>
  <c r="I1262" i="2"/>
  <c r="H1262" i="2"/>
  <c r="AH1261" i="2"/>
  <c r="AA1261" i="2"/>
  <c r="Z1261" i="2"/>
  <c r="Y1261" i="2"/>
  <c r="X1261" i="2"/>
  <c r="AI1261" i="2" s="1"/>
  <c r="I1261" i="2"/>
  <c r="H1261" i="2"/>
  <c r="AI1260" i="2"/>
  <c r="AH1260" i="2"/>
  <c r="AJ1260" i="2" s="1"/>
  <c r="I1260" i="2"/>
  <c r="H1260" i="2"/>
  <c r="AH1259" i="2"/>
  <c r="AJ1259" i="2" s="1"/>
  <c r="AA1259" i="2"/>
  <c r="Z1259" i="2"/>
  <c r="AI1259" i="2" s="1"/>
  <c r="I1259" i="2"/>
  <c r="H1259" i="2"/>
  <c r="AH1258" i="2"/>
  <c r="AA1258" i="2"/>
  <c r="Z1258" i="2"/>
  <c r="AI1258" i="2" s="1"/>
  <c r="I1258" i="2"/>
  <c r="H1258" i="2"/>
  <c r="AI1257" i="2"/>
  <c r="AH1257" i="2"/>
  <c r="AJ1257" i="2" s="1"/>
  <c r="I1257" i="2"/>
  <c r="H1257" i="2"/>
  <c r="AH1256" i="2"/>
  <c r="I1256" i="2"/>
  <c r="H1256" i="2"/>
  <c r="AH1255" i="2"/>
  <c r="I1255" i="2"/>
  <c r="H1255" i="2"/>
  <c r="AJ1254" i="2"/>
  <c r="AI1254" i="2"/>
  <c r="AH1254" i="2"/>
  <c r="I1254" i="2"/>
  <c r="H1254" i="2"/>
  <c r="AH1253" i="2"/>
  <c r="AE1253" i="2"/>
  <c r="AD1253" i="2"/>
  <c r="I1253" i="2"/>
  <c r="H1253" i="2"/>
  <c r="AH1252" i="2"/>
  <c r="AE1252" i="2"/>
  <c r="AD1252" i="2"/>
  <c r="AI1252" i="2" s="1"/>
  <c r="I1252" i="2"/>
  <c r="H1252" i="2"/>
  <c r="AH1251" i="2"/>
  <c r="AE1251" i="2"/>
  <c r="AD1251" i="2"/>
  <c r="AJ1251" i="2" s="1"/>
  <c r="I1251" i="2"/>
  <c r="H1251" i="2"/>
  <c r="AJ1250" i="2"/>
  <c r="AI1250" i="2"/>
  <c r="AH1250" i="2"/>
  <c r="I1250" i="2"/>
  <c r="H1250" i="2"/>
  <c r="AH1249" i="2"/>
  <c r="AE1249" i="2"/>
  <c r="AD1249" i="2"/>
  <c r="AJ1249" i="2" s="1"/>
  <c r="I1249" i="2"/>
  <c r="H1249" i="2"/>
  <c r="AH1248" i="2"/>
  <c r="AE1248" i="2"/>
  <c r="AD1248" i="2"/>
  <c r="I1248" i="2"/>
  <c r="H1248" i="2"/>
  <c r="AH1247" i="2"/>
  <c r="I1247" i="2"/>
  <c r="H1247" i="2"/>
  <c r="AH1246" i="2"/>
  <c r="I1246" i="2"/>
  <c r="H1246" i="2"/>
  <c r="AJ1245" i="2"/>
  <c r="AI1245" i="2"/>
  <c r="AK1245" i="2" s="1"/>
  <c r="AL1245" i="2" s="1"/>
  <c r="AH1245" i="2"/>
  <c r="I1245" i="2"/>
  <c r="H1245" i="2"/>
  <c r="AH1244" i="2"/>
  <c r="AE1244" i="2"/>
  <c r="AD1244" i="2"/>
  <c r="AI1244" i="2" s="1"/>
  <c r="I1244" i="2"/>
  <c r="H1244" i="2"/>
  <c r="AH1243" i="2"/>
  <c r="AE1243" i="2"/>
  <c r="AD1243" i="2"/>
  <c r="AJ1243" i="2" s="1"/>
  <c r="I1243" i="2"/>
  <c r="H1243" i="2"/>
  <c r="AH1242" i="2"/>
  <c r="AE1242" i="2"/>
  <c r="AD1242" i="2"/>
  <c r="AJ1242" i="2" s="1"/>
  <c r="I1242" i="2"/>
  <c r="H1242" i="2"/>
  <c r="AH1241" i="2"/>
  <c r="AE1241" i="2"/>
  <c r="AD1241" i="2"/>
  <c r="I1241" i="2"/>
  <c r="H1241" i="2"/>
  <c r="AH1240" i="2"/>
  <c r="AE1240" i="2"/>
  <c r="AD1240" i="2"/>
  <c r="AI1240" i="2" s="1"/>
  <c r="I1240" i="2"/>
  <c r="H1240" i="2"/>
  <c r="AH1239" i="2"/>
  <c r="AE1239" i="2"/>
  <c r="AD1239" i="2"/>
  <c r="AJ1239" i="2" s="1"/>
  <c r="I1239" i="2"/>
  <c r="H1239" i="2"/>
  <c r="AH1238" i="2"/>
  <c r="AE1238" i="2"/>
  <c r="AD1238" i="2"/>
  <c r="AJ1238" i="2" s="1"/>
  <c r="I1238" i="2"/>
  <c r="H1238" i="2"/>
  <c r="AH1237" i="2"/>
  <c r="AE1237" i="2"/>
  <c r="AD1237" i="2"/>
  <c r="I1237" i="2"/>
  <c r="H1237" i="2"/>
  <c r="AH1236" i="2"/>
  <c r="AE1236" i="2"/>
  <c r="AD1236" i="2"/>
  <c r="AI1236" i="2" s="1"/>
  <c r="I1236" i="2"/>
  <c r="H1236" i="2"/>
  <c r="AH1235" i="2"/>
  <c r="AE1235" i="2"/>
  <c r="AD1235" i="2"/>
  <c r="AJ1235" i="2" s="1"/>
  <c r="I1235" i="2"/>
  <c r="H1235" i="2"/>
  <c r="AH1234" i="2"/>
  <c r="AE1234" i="2"/>
  <c r="AD1234" i="2"/>
  <c r="AJ1234" i="2" s="1"/>
  <c r="I1234" i="2"/>
  <c r="H1234" i="2"/>
  <c r="AI1233" i="2"/>
  <c r="AH1233" i="2"/>
  <c r="AE1233" i="2"/>
  <c r="AD1233" i="2"/>
  <c r="AJ1233" i="2" s="1"/>
  <c r="I1233" i="2"/>
  <c r="H1233" i="2"/>
  <c r="AH1232" i="2"/>
  <c r="AE1232" i="2"/>
  <c r="AD1232" i="2"/>
  <c r="AI1232" i="2" s="1"/>
  <c r="I1232" i="2"/>
  <c r="H1232" i="2"/>
  <c r="AH1231" i="2"/>
  <c r="AE1231" i="2"/>
  <c r="AD1231" i="2"/>
  <c r="AJ1231" i="2" s="1"/>
  <c r="I1231" i="2"/>
  <c r="H1231" i="2"/>
  <c r="AH1230" i="2"/>
  <c r="I1230" i="2"/>
  <c r="H1230" i="2"/>
  <c r="AH1229" i="2"/>
  <c r="I1229" i="2"/>
  <c r="H1229" i="2"/>
  <c r="AH1228" i="2"/>
  <c r="AE1228" i="2"/>
  <c r="AD1228" i="2"/>
  <c r="AI1228" i="2" s="1"/>
  <c r="I1228" i="2"/>
  <c r="H1228" i="2"/>
  <c r="AH1227" i="2"/>
  <c r="AE1227" i="2"/>
  <c r="AD1227" i="2"/>
  <c r="AI1227" i="2" s="1"/>
  <c r="I1227" i="2"/>
  <c r="H1227" i="2"/>
  <c r="AH1226" i="2"/>
  <c r="AE1226" i="2"/>
  <c r="AD1226" i="2"/>
  <c r="AJ1226" i="2" s="1"/>
  <c r="I1226" i="2"/>
  <c r="H1226" i="2"/>
  <c r="AH1225" i="2"/>
  <c r="AE1225" i="2"/>
  <c r="AD1225" i="2"/>
  <c r="AJ1225" i="2" s="1"/>
  <c r="I1225" i="2"/>
  <c r="H1225" i="2"/>
  <c r="AH1224" i="2"/>
  <c r="AE1224" i="2"/>
  <c r="AD1224" i="2"/>
  <c r="I1224" i="2"/>
  <c r="H1224" i="2"/>
  <c r="AH1223" i="2"/>
  <c r="AG1223" i="2"/>
  <c r="AF1223" i="2"/>
  <c r="AE1223" i="2"/>
  <c r="AD1223" i="2"/>
  <c r="I1223" i="2"/>
  <c r="H1223" i="2"/>
  <c r="AH1222" i="2"/>
  <c r="AG1222" i="2"/>
  <c r="AF1222" i="2"/>
  <c r="AE1222" i="2"/>
  <c r="AD1222" i="2"/>
  <c r="I1222" i="2"/>
  <c r="H1222" i="2"/>
  <c r="AJ1221" i="2"/>
  <c r="AI1221" i="2"/>
  <c r="AH1221" i="2"/>
  <c r="I1221" i="2"/>
  <c r="H1221" i="2"/>
  <c r="AJ1220" i="2"/>
  <c r="AK1220" i="2" s="1"/>
  <c r="AL1220" i="2" s="1"/>
  <c r="AI1220" i="2"/>
  <c r="AH1220" i="2"/>
  <c r="I1220" i="2"/>
  <c r="H1220" i="2"/>
  <c r="AH1219" i="2"/>
  <c r="AG1219" i="2"/>
  <c r="AF1219" i="2"/>
  <c r="AE1219" i="2"/>
  <c r="AD1219" i="2"/>
  <c r="I1219" i="2"/>
  <c r="H1219" i="2"/>
  <c r="AJ1218" i="2"/>
  <c r="AI1218" i="2"/>
  <c r="AH1218" i="2"/>
  <c r="I1218" i="2"/>
  <c r="H1218" i="2"/>
  <c r="AJ1217" i="2"/>
  <c r="AI1217" i="2"/>
  <c r="AH1217" i="2"/>
  <c r="AE1217" i="2"/>
  <c r="I1217" i="2"/>
  <c r="H1217" i="2"/>
  <c r="AH1216" i="2"/>
  <c r="AE1216" i="2"/>
  <c r="AD1216" i="2"/>
  <c r="AJ1216" i="2" s="1"/>
  <c r="I1216" i="2"/>
  <c r="H1216" i="2"/>
  <c r="AH1215" i="2"/>
  <c r="AG1215" i="2"/>
  <c r="AF1215" i="2"/>
  <c r="AE1215" i="2"/>
  <c r="AD1215" i="2"/>
  <c r="I1215" i="2"/>
  <c r="H1215" i="2"/>
  <c r="AJ1214" i="2"/>
  <c r="AH1214" i="2"/>
  <c r="AG1214" i="2"/>
  <c r="AF1214" i="2"/>
  <c r="AI1214" i="2" s="1"/>
  <c r="I1214" i="2"/>
  <c r="H1214" i="2"/>
  <c r="AH1213" i="2"/>
  <c r="AE1213" i="2"/>
  <c r="AD1213" i="2"/>
  <c r="AJ1213" i="2" s="1"/>
  <c r="I1213" i="2"/>
  <c r="H1213" i="2"/>
  <c r="AH1212" i="2"/>
  <c r="AE1212" i="2"/>
  <c r="AD1212" i="2"/>
  <c r="AI1212" i="2" s="1"/>
  <c r="I1212" i="2"/>
  <c r="H1212" i="2"/>
  <c r="AH1211" i="2"/>
  <c r="AE1211" i="2"/>
  <c r="AD1211" i="2"/>
  <c r="I1211" i="2"/>
  <c r="H1211" i="2"/>
  <c r="AH1210" i="2"/>
  <c r="AG1210" i="2"/>
  <c r="AF1210" i="2"/>
  <c r="AE1210" i="2"/>
  <c r="AD1210" i="2"/>
  <c r="AJ1210" i="2" s="1"/>
  <c r="I1210" i="2"/>
  <c r="H1210" i="2"/>
  <c r="AJ1209" i="2"/>
  <c r="AI1209" i="2"/>
  <c r="AH1209" i="2"/>
  <c r="I1209" i="2"/>
  <c r="H1209" i="2"/>
  <c r="AH1208" i="2"/>
  <c r="AE1208" i="2"/>
  <c r="AD1208" i="2"/>
  <c r="AI1208" i="2" s="1"/>
  <c r="I1208" i="2"/>
  <c r="H1208" i="2"/>
  <c r="AI1207" i="2"/>
  <c r="AH1207" i="2"/>
  <c r="AE1207" i="2"/>
  <c r="AD1207" i="2"/>
  <c r="AJ1207" i="2" s="1"/>
  <c r="I1207" i="2"/>
  <c r="H1207" i="2"/>
  <c r="AH1206" i="2"/>
  <c r="AE1206" i="2"/>
  <c r="AD1206" i="2"/>
  <c r="AJ1206" i="2" s="1"/>
  <c r="I1206" i="2"/>
  <c r="H1206" i="2"/>
  <c r="AH1205" i="2"/>
  <c r="AE1205" i="2"/>
  <c r="AD1205" i="2"/>
  <c r="AJ1205" i="2" s="1"/>
  <c r="I1205" i="2"/>
  <c r="H1205" i="2"/>
  <c r="AI1204" i="2"/>
  <c r="AH1204" i="2"/>
  <c r="AE1204" i="2"/>
  <c r="AD1204" i="2"/>
  <c r="AJ1204" i="2" s="1"/>
  <c r="I1204" i="2"/>
  <c r="H1204" i="2"/>
  <c r="AJ1203" i="2"/>
  <c r="AI1203" i="2"/>
  <c r="AH1203" i="2"/>
  <c r="I1203" i="2"/>
  <c r="H1203" i="2"/>
  <c r="AH1202" i="2"/>
  <c r="AE1202" i="2"/>
  <c r="AD1202" i="2"/>
  <c r="AJ1202" i="2" s="1"/>
  <c r="I1202" i="2"/>
  <c r="H1202" i="2"/>
  <c r="AH1201" i="2"/>
  <c r="AE1201" i="2"/>
  <c r="AD1201" i="2"/>
  <c r="AI1201" i="2" s="1"/>
  <c r="I1201" i="2"/>
  <c r="H1201" i="2"/>
  <c r="AH1200" i="2"/>
  <c r="AE1200" i="2"/>
  <c r="AD1200" i="2"/>
  <c r="I1200" i="2"/>
  <c r="H1200" i="2"/>
  <c r="AH1199" i="2"/>
  <c r="AE1199" i="2"/>
  <c r="AD1199" i="2"/>
  <c r="I1199" i="2"/>
  <c r="H1199" i="2"/>
  <c r="AH1198" i="2"/>
  <c r="AE1198" i="2"/>
  <c r="AD1198" i="2"/>
  <c r="AJ1198" i="2" s="1"/>
  <c r="I1198" i="2"/>
  <c r="H1198" i="2"/>
  <c r="AH1197" i="2"/>
  <c r="AG1197" i="2"/>
  <c r="AF1197" i="2"/>
  <c r="AE1197" i="2"/>
  <c r="AD1197" i="2"/>
  <c r="I1197" i="2"/>
  <c r="H1197" i="2"/>
  <c r="AH1196" i="2"/>
  <c r="AE1196" i="2"/>
  <c r="AD1196" i="2"/>
  <c r="AJ1196" i="2" s="1"/>
  <c r="I1196" i="2"/>
  <c r="H1196" i="2"/>
  <c r="AI1195" i="2"/>
  <c r="AH1195" i="2"/>
  <c r="AG1195" i="2"/>
  <c r="AF1195" i="2"/>
  <c r="AE1195" i="2"/>
  <c r="AD1195" i="2"/>
  <c r="AJ1195" i="2" s="1"/>
  <c r="I1195" i="2"/>
  <c r="H1195" i="2"/>
  <c r="AH1194" i="2"/>
  <c r="AE1194" i="2"/>
  <c r="AD1194" i="2"/>
  <c r="AJ1194" i="2" s="1"/>
  <c r="I1194" i="2"/>
  <c r="H1194" i="2"/>
  <c r="AH1193" i="2"/>
  <c r="AE1193" i="2"/>
  <c r="AD1193" i="2"/>
  <c r="AJ1193" i="2" s="1"/>
  <c r="I1193" i="2"/>
  <c r="H1193" i="2"/>
  <c r="AH1192" i="2"/>
  <c r="I1192" i="2"/>
  <c r="H1192" i="2"/>
  <c r="AH1191" i="2"/>
  <c r="I1191" i="2"/>
  <c r="H1191" i="2"/>
  <c r="AJ1190" i="2"/>
  <c r="AI1190" i="2"/>
  <c r="AH1190" i="2"/>
  <c r="I1190" i="2"/>
  <c r="H1190" i="2"/>
  <c r="AJ1189" i="2"/>
  <c r="AK1189" i="2" s="1"/>
  <c r="AL1189" i="2" s="1"/>
  <c r="AI1189" i="2"/>
  <c r="AH1189" i="2"/>
  <c r="I1189" i="2"/>
  <c r="H1189" i="2"/>
  <c r="AJ1188" i="2"/>
  <c r="AI1188" i="2"/>
  <c r="AH1188" i="2"/>
  <c r="I1188" i="2"/>
  <c r="H1188" i="2"/>
  <c r="AJ1187" i="2"/>
  <c r="AH1187" i="2"/>
  <c r="AG1187" i="2"/>
  <c r="AF1187" i="2"/>
  <c r="AI1187" i="2" s="1"/>
  <c r="I1187" i="2"/>
  <c r="H1187" i="2"/>
  <c r="AH1186" i="2"/>
  <c r="AE1186" i="2"/>
  <c r="AD1186" i="2"/>
  <c r="AJ1186" i="2" s="1"/>
  <c r="I1186" i="2"/>
  <c r="H1186" i="2"/>
  <c r="AJ1185" i="2"/>
  <c r="AH1185" i="2"/>
  <c r="AG1185" i="2"/>
  <c r="AF1185" i="2"/>
  <c r="AI1185" i="2" s="1"/>
  <c r="I1185" i="2"/>
  <c r="H1185" i="2"/>
  <c r="AH1184" i="2"/>
  <c r="AE1184" i="2"/>
  <c r="AD1184" i="2"/>
  <c r="AJ1184" i="2" s="1"/>
  <c r="I1184" i="2"/>
  <c r="H1184" i="2"/>
  <c r="AH1183" i="2"/>
  <c r="AG1183" i="2"/>
  <c r="AF1183" i="2"/>
  <c r="AE1183" i="2"/>
  <c r="AD1183" i="2"/>
  <c r="AJ1183" i="2" s="1"/>
  <c r="I1183" i="2"/>
  <c r="H1183" i="2"/>
  <c r="AH1182" i="2"/>
  <c r="AE1182" i="2"/>
  <c r="AD1182" i="2"/>
  <c r="AJ1182" i="2" s="1"/>
  <c r="I1182" i="2"/>
  <c r="H1182" i="2"/>
  <c r="AH1181" i="2"/>
  <c r="AG1181" i="2"/>
  <c r="AF1181" i="2"/>
  <c r="AE1181" i="2"/>
  <c r="AD1181" i="2"/>
  <c r="AJ1181" i="2" s="1"/>
  <c r="I1181" i="2"/>
  <c r="H1181" i="2"/>
  <c r="AJ1180" i="2"/>
  <c r="AK1180" i="2" s="1"/>
  <c r="AL1180" i="2" s="1"/>
  <c r="AI1180" i="2"/>
  <c r="AH1180" i="2"/>
  <c r="I1180" i="2"/>
  <c r="H1180" i="2"/>
  <c r="AJ1179" i="2"/>
  <c r="AI1179" i="2"/>
  <c r="AH1179" i="2"/>
  <c r="I1179" i="2"/>
  <c r="H1179" i="2"/>
  <c r="AJ1178" i="2"/>
  <c r="AI1178" i="2"/>
  <c r="AH1178" i="2"/>
  <c r="I1178" i="2"/>
  <c r="H1178" i="2"/>
  <c r="AJ1177" i="2"/>
  <c r="AI1177" i="2"/>
  <c r="AH1177" i="2"/>
  <c r="I1177" i="2"/>
  <c r="H1177" i="2"/>
  <c r="AJ1176" i="2"/>
  <c r="AK1176" i="2" s="1"/>
  <c r="AL1176" i="2" s="1"/>
  <c r="AI1176" i="2"/>
  <c r="AH1176" i="2"/>
  <c r="I1176" i="2"/>
  <c r="H1176" i="2"/>
  <c r="AJ1175" i="2"/>
  <c r="AI1175" i="2"/>
  <c r="AH1175" i="2"/>
  <c r="I1175" i="2"/>
  <c r="H1175" i="2"/>
  <c r="AH1174" i="2"/>
  <c r="I1174" i="2"/>
  <c r="H1174" i="2"/>
  <c r="AH1173" i="2"/>
  <c r="AI1172" i="2"/>
  <c r="AH1172" i="2"/>
  <c r="AE1172" i="2"/>
  <c r="AD1172" i="2"/>
  <c r="AJ1172" i="2" s="1"/>
  <c r="I1172" i="2"/>
  <c r="H1172" i="2"/>
  <c r="AH1171" i="2"/>
  <c r="AE1171" i="2"/>
  <c r="AD1171" i="2"/>
  <c r="AI1171" i="2" s="1"/>
  <c r="I1171" i="2"/>
  <c r="H1171" i="2"/>
  <c r="AH1170" i="2"/>
  <c r="AE1170" i="2"/>
  <c r="AD1170" i="2"/>
  <c r="AJ1170" i="2" s="1"/>
  <c r="I1170" i="2"/>
  <c r="H1170" i="2"/>
  <c r="AH1169" i="2"/>
  <c r="AE1169" i="2"/>
  <c r="AD1169" i="2"/>
  <c r="AJ1169" i="2" s="1"/>
  <c r="I1169" i="2"/>
  <c r="H1169" i="2"/>
  <c r="AH1168" i="2"/>
  <c r="AE1168" i="2"/>
  <c r="AD1168" i="2"/>
  <c r="AJ1168" i="2" s="1"/>
  <c r="I1168" i="2"/>
  <c r="H1168" i="2"/>
  <c r="AH1167" i="2"/>
  <c r="AG1167" i="2"/>
  <c r="AF1167" i="2"/>
  <c r="AE1167" i="2"/>
  <c r="AD1167" i="2"/>
  <c r="I1167" i="2"/>
  <c r="H1167" i="2"/>
  <c r="AH1166" i="2"/>
  <c r="AG1166" i="2"/>
  <c r="AF1166" i="2"/>
  <c r="AE1166" i="2"/>
  <c r="AD1166" i="2"/>
  <c r="I1166" i="2"/>
  <c r="H1166" i="2"/>
  <c r="AH1165" i="2"/>
  <c r="AE1165" i="2"/>
  <c r="AD1165" i="2"/>
  <c r="I1165" i="2"/>
  <c r="H1165" i="2"/>
  <c r="AH1164" i="2"/>
  <c r="AE1164" i="2"/>
  <c r="AD1164" i="2"/>
  <c r="I1164" i="2"/>
  <c r="H1164" i="2"/>
  <c r="AJ1163" i="2"/>
  <c r="AK1163" i="2" s="1"/>
  <c r="AL1163" i="2" s="1"/>
  <c r="AH1163" i="2"/>
  <c r="AG1163" i="2"/>
  <c r="AF1163" i="2"/>
  <c r="AI1163" i="2" s="1"/>
  <c r="I1163" i="2"/>
  <c r="H1163" i="2"/>
  <c r="AJ1162" i="2"/>
  <c r="AH1162" i="2"/>
  <c r="AG1162" i="2"/>
  <c r="AF1162" i="2"/>
  <c r="AI1162" i="2" s="1"/>
  <c r="AE1162" i="2"/>
  <c r="I1162" i="2"/>
  <c r="H1162" i="2"/>
  <c r="AJ1161" i="2"/>
  <c r="AI1161" i="2"/>
  <c r="AH1161" i="2"/>
  <c r="AE1161" i="2"/>
  <c r="I1161" i="2"/>
  <c r="H1161" i="2"/>
  <c r="AJ1160" i="2"/>
  <c r="AH1160" i="2"/>
  <c r="AG1160" i="2"/>
  <c r="AF1160" i="2"/>
  <c r="AI1160" i="2" s="1"/>
  <c r="AE1160" i="2"/>
  <c r="I1160" i="2"/>
  <c r="H1160" i="2"/>
  <c r="AJ1159" i="2"/>
  <c r="AH1159" i="2"/>
  <c r="AG1159" i="2"/>
  <c r="AF1159" i="2"/>
  <c r="AI1159" i="2" s="1"/>
  <c r="AE1159" i="2"/>
  <c r="I1159" i="2"/>
  <c r="H1159" i="2"/>
  <c r="AH1158" i="2"/>
  <c r="AE1158" i="2"/>
  <c r="AD1158" i="2"/>
  <c r="AJ1158" i="2" s="1"/>
  <c r="I1158" i="2"/>
  <c r="H1158" i="2"/>
  <c r="AH1157" i="2"/>
  <c r="AE1157" i="2"/>
  <c r="AD1157" i="2"/>
  <c r="I1157" i="2"/>
  <c r="H1157" i="2"/>
  <c r="AH1156" i="2"/>
  <c r="AE1156" i="2"/>
  <c r="AD1156" i="2"/>
  <c r="AI1156" i="2" s="1"/>
  <c r="I1156" i="2"/>
  <c r="H1156" i="2"/>
  <c r="AH1155" i="2"/>
  <c r="AE1155" i="2"/>
  <c r="AD1155" i="2"/>
  <c r="AJ1155" i="2" s="1"/>
  <c r="I1155" i="2"/>
  <c r="H1155" i="2"/>
  <c r="AH1154" i="2"/>
  <c r="AE1154" i="2"/>
  <c r="AD1154" i="2"/>
  <c r="AJ1154" i="2" s="1"/>
  <c r="I1154" i="2"/>
  <c r="H1154" i="2"/>
  <c r="AJ1153" i="2"/>
  <c r="AI1153" i="2"/>
  <c r="AH1153" i="2"/>
  <c r="AE1153" i="2"/>
  <c r="I1153" i="2"/>
  <c r="H1153" i="2"/>
  <c r="AJ1152" i="2"/>
  <c r="AI1152" i="2"/>
  <c r="AH1152" i="2"/>
  <c r="I1152" i="2"/>
  <c r="H1152" i="2"/>
  <c r="AJ1151" i="2"/>
  <c r="AH1151" i="2"/>
  <c r="AG1151" i="2"/>
  <c r="AF1151" i="2"/>
  <c r="AI1151" i="2" s="1"/>
  <c r="AE1151" i="2"/>
  <c r="I1151" i="2"/>
  <c r="H1151" i="2"/>
  <c r="AH1150" i="2"/>
  <c r="AE1150" i="2"/>
  <c r="AD1150" i="2"/>
  <c r="AI1150" i="2" s="1"/>
  <c r="I1150" i="2"/>
  <c r="H1150" i="2"/>
  <c r="AJ1149" i="2"/>
  <c r="AH1149" i="2"/>
  <c r="AG1149" i="2"/>
  <c r="AF1149" i="2"/>
  <c r="AI1149" i="2" s="1"/>
  <c r="AE1149" i="2"/>
  <c r="I1149" i="2"/>
  <c r="H1149" i="2"/>
  <c r="AJ1148" i="2"/>
  <c r="AK1148" i="2" s="1"/>
  <c r="AL1148" i="2" s="1"/>
  <c r="AI1148" i="2"/>
  <c r="AH1148" i="2"/>
  <c r="I1148" i="2"/>
  <c r="H1148" i="2"/>
  <c r="AJ1147" i="2"/>
  <c r="AH1147" i="2"/>
  <c r="AG1147" i="2"/>
  <c r="AF1147" i="2"/>
  <c r="AI1147" i="2" s="1"/>
  <c r="AE1147" i="2"/>
  <c r="I1147" i="2"/>
  <c r="H1147" i="2"/>
  <c r="AJ1146" i="2"/>
  <c r="AH1146" i="2"/>
  <c r="AG1146" i="2"/>
  <c r="AF1146" i="2"/>
  <c r="AI1146" i="2" s="1"/>
  <c r="AE1146" i="2"/>
  <c r="I1146" i="2"/>
  <c r="H1146" i="2"/>
  <c r="AH1145" i="2"/>
  <c r="AE1145" i="2"/>
  <c r="AD1145" i="2"/>
  <c r="AJ1145" i="2" s="1"/>
  <c r="I1145" i="2"/>
  <c r="H1145" i="2"/>
  <c r="AH1144" i="2"/>
  <c r="AE1144" i="2"/>
  <c r="AD1144" i="2"/>
  <c r="I1144" i="2"/>
  <c r="H1144" i="2"/>
  <c r="AH1143" i="2"/>
  <c r="AE1143" i="2"/>
  <c r="AD1143" i="2"/>
  <c r="AI1143" i="2" s="1"/>
  <c r="I1143" i="2"/>
  <c r="H1143" i="2"/>
  <c r="AJ1142" i="2"/>
  <c r="AI1142" i="2"/>
  <c r="AH1142" i="2"/>
  <c r="I1142" i="2"/>
  <c r="H1142" i="2"/>
  <c r="AH1141" i="2"/>
  <c r="AE1141" i="2"/>
  <c r="AD1141" i="2"/>
  <c r="AI1141" i="2" s="1"/>
  <c r="I1141" i="2"/>
  <c r="H1141" i="2"/>
  <c r="AI1140" i="2"/>
  <c r="AH1140" i="2"/>
  <c r="AE1140" i="2"/>
  <c r="AD1140" i="2"/>
  <c r="AJ1140" i="2" s="1"/>
  <c r="I1140" i="2"/>
  <c r="H1140" i="2"/>
  <c r="AJ1139" i="2"/>
  <c r="AI1139" i="2"/>
  <c r="AH1139" i="2"/>
  <c r="I1139" i="2"/>
  <c r="H1139" i="2"/>
  <c r="AH1138" i="2"/>
  <c r="AE1138" i="2"/>
  <c r="AD1138" i="2"/>
  <c r="AJ1138" i="2" s="1"/>
  <c r="I1138" i="2"/>
  <c r="H1138" i="2"/>
  <c r="AJ1137" i="2"/>
  <c r="AI1137" i="2"/>
  <c r="AH1137" i="2"/>
  <c r="I1137" i="2"/>
  <c r="H1137" i="2"/>
  <c r="AH1136" i="2"/>
  <c r="AE1136" i="2"/>
  <c r="AD1136" i="2"/>
  <c r="AJ1136" i="2" s="1"/>
  <c r="I1136" i="2"/>
  <c r="H1136" i="2"/>
  <c r="AH1135" i="2"/>
  <c r="AE1135" i="2"/>
  <c r="AD1135" i="2"/>
  <c r="AJ1135" i="2" s="1"/>
  <c r="I1135" i="2"/>
  <c r="H1135" i="2"/>
  <c r="AH1134" i="2"/>
  <c r="AE1134" i="2"/>
  <c r="AD1134" i="2"/>
  <c r="AJ1134" i="2" s="1"/>
  <c r="I1134" i="2"/>
  <c r="H1134" i="2"/>
  <c r="AJ1133" i="2"/>
  <c r="AI1133" i="2"/>
  <c r="AH1133" i="2"/>
  <c r="I1133" i="2"/>
  <c r="H1133" i="2"/>
  <c r="AH1132" i="2"/>
  <c r="AE1132" i="2"/>
  <c r="AD1132" i="2"/>
  <c r="AJ1132" i="2" s="1"/>
  <c r="I1132" i="2"/>
  <c r="H1132" i="2"/>
  <c r="AH1131" i="2"/>
  <c r="AE1131" i="2"/>
  <c r="AD1131" i="2"/>
  <c r="AI1131" i="2" s="1"/>
  <c r="I1131" i="2"/>
  <c r="H1131" i="2"/>
  <c r="AH1130" i="2"/>
  <c r="AE1130" i="2"/>
  <c r="AD1130" i="2"/>
  <c r="I1130" i="2"/>
  <c r="H1130" i="2"/>
  <c r="AH1129" i="2"/>
  <c r="AE1129" i="2"/>
  <c r="AD1129" i="2"/>
  <c r="I1129" i="2"/>
  <c r="H1129" i="2"/>
  <c r="AH1128" i="2"/>
  <c r="AE1128" i="2"/>
  <c r="AD1128" i="2"/>
  <c r="I1128" i="2"/>
  <c r="H1128" i="2"/>
  <c r="AI1127" i="2"/>
  <c r="AH1127" i="2"/>
  <c r="AE1127" i="2"/>
  <c r="AD1127" i="2"/>
  <c r="AJ1127" i="2" s="1"/>
  <c r="I1127" i="2"/>
  <c r="H1127" i="2"/>
  <c r="AJ1126" i="2"/>
  <c r="AI1126" i="2"/>
  <c r="AH1126" i="2"/>
  <c r="I1126" i="2"/>
  <c r="H1126" i="2"/>
  <c r="AJ1125" i="2"/>
  <c r="AI1125" i="2"/>
  <c r="AH1125" i="2"/>
  <c r="I1125" i="2"/>
  <c r="H1125" i="2"/>
  <c r="AJ1124" i="2"/>
  <c r="AI1124" i="2"/>
  <c r="AH1124" i="2"/>
  <c r="I1124" i="2"/>
  <c r="H1124" i="2"/>
  <c r="AH1123" i="2"/>
  <c r="AE1123" i="2"/>
  <c r="AD1123" i="2"/>
  <c r="AJ1123" i="2" s="1"/>
  <c r="I1123" i="2"/>
  <c r="H1123" i="2"/>
  <c r="I1122" i="2"/>
  <c r="H1122" i="2"/>
  <c r="I1121" i="2"/>
  <c r="H1121" i="2"/>
  <c r="AH1120" i="2"/>
  <c r="AE1120" i="2"/>
  <c r="AD1120" i="2"/>
  <c r="AJ1120" i="2" s="1"/>
  <c r="I1120" i="2"/>
  <c r="H1120" i="2"/>
  <c r="AJ1119" i="2"/>
  <c r="AI1119" i="2"/>
  <c r="AH1119" i="2"/>
  <c r="I1119" i="2"/>
  <c r="H1119" i="2"/>
  <c r="AH1118" i="2"/>
  <c r="AG1118" i="2"/>
  <c r="AF1118" i="2"/>
  <c r="AE1118" i="2"/>
  <c r="AD1118" i="2"/>
  <c r="AJ1118" i="2" s="1"/>
  <c r="I1118" i="2"/>
  <c r="H1118" i="2"/>
  <c r="AH1117" i="2"/>
  <c r="AG1117" i="2"/>
  <c r="AF1117" i="2"/>
  <c r="AE1117" i="2"/>
  <c r="AD1117" i="2"/>
  <c r="I1117" i="2"/>
  <c r="H1117" i="2"/>
  <c r="AH1116" i="2"/>
  <c r="AE1116" i="2"/>
  <c r="AD1116" i="2"/>
  <c r="AJ1116" i="2" s="1"/>
  <c r="I1116" i="2"/>
  <c r="H1116" i="2"/>
  <c r="AJ1115" i="2"/>
  <c r="AH1115" i="2"/>
  <c r="AG1115" i="2"/>
  <c r="AF1115" i="2"/>
  <c r="AI1115" i="2" s="1"/>
  <c r="I1115" i="2"/>
  <c r="H1115" i="2"/>
  <c r="AH1114" i="2"/>
  <c r="AE1114" i="2"/>
  <c r="AD1114" i="2"/>
  <c r="AJ1114" i="2" s="1"/>
  <c r="I1114" i="2"/>
  <c r="H1114" i="2"/>
  <c r="AH1113" i="2"/>
  <c r="I1113" i="2"/>
  <c r="H1113" i="2"/>
  <c r="AH1112" i="2"/>
  <c r="I1112" i="2"/>
  <c r="H1112" i="2"/>
  <c r="AH1111" i="2"/>
  <c r="AG1111" i="2"/>
  <c r="AF1111" i="2"/>
  <c r="AE1111" i="2"/>
  <c r="AD1111" i="2"/>
  <c r="AI1111" i="2" s="1"/>
  <c r="I1111" i="2"/>
  <c r="H1111" i="2"/>
  <c r="AJ1110" i="2"/>
  <c r="AI1110" i="2"/>
  <c r="AH1110" i="2"/>
  <c r="I1110" i="2"/>
  <c r="H1110" i="2"/>
  <c r="AJ1109" i="2"/>
  <c r="AI1109" i="2"/>
  <c r="AH1109" i="2"/>
  <c r="I1109" i="2"/>
  <c r="H1109" i="2"/>
  <c r="AJ1108" i="2"/>
  <c r="AI1108" i="2"/>
  <c r="AH1108" i="2"/>
  <c r="I1108" i="2"/>
  <c r="H1108" i="2"/>
  <c r="AJ1107" i="2"/>
  <c r="AI1107" i="2"/>
  <c r="AH1107" i="2"/>
  <c r="I1107" i="2"/>
  <c r="H1107" i="2"/>
  <c r="AJ1106" i="2"/>
  <c r="AI1106" i="2"/>
  <c r="AH1106" i="2"/>
  <c r="I1106" i="2"/>
  <c r="H1106" i="2"/>
  <c r="AJ1105" i="2"/>
  <c r="AH1105" i="2"/>
  <c r="AG1105" i="2"/>
  <c r="AF1105" i="2"/>
  <c r="AI1105" i="2" s="1"/>
  <c r="I1105" i="2"/>
  <c r="H1105" i="2"/>
  <c r="AJ1104" i="2"/>
  <c r="AI1104" i="2"/>
  <c r="AH1104" i="2"/>
  <c r="I1104" i="2"/>
  <c r="H1104" i="2"/>
  <c r="AJ1103" i="2"/>
  <c r="AH1103" i="2"/>
  <c r="AG1103" i="2"/>
  <c r="AF1103" i="2"/>
  <c r="AI1103" i="2" s="1"/>
  <c r="I1103" i="2"/>
  <c r="H1103" i="2"/>
  <c r="AJ1102" i="2"/>
  <c r="AH1102" i="2"/>
  <c r="AG1102" i="2"/>
  <c r="AF1102" i="2"/>
  <c r="AI1102" i="2" s="1"/>
  <c r="I1102" i="2"/>
  <c r="H1102" i="2"/>
  <c r="AJ1101" i="2"/>
  <c r="AI1101" i="2"/>
  <c r="AH1101" i="2"/>
  <c r="I1101" i="2"/>
  <c r="H1101" i="2"/>
  <c r="AJ1100" i="2"/>
  <c r="AI1100" i="2"/>
  <c r="AH1100" i="2"/>
  <c r="I1100" i="2"/>
  <c r="H1100" i="2"/>
  <c r="AH1099" i="2"/>
  <c r="AG1099" i="2"/>
  <c r="AF1099" i="2"/>
  <c r="AE1099" i="2"/>
  <c r="AD1099" i="2"/>
  <c r="AJ1099" i="2" s="1"/>
  <c r="I1099" i="2"/>
  <c r="H1099" i="2"/>
  <c r="AJ1098" i="2"/>
  <c r="AK1098" i="2" s="1"/>
  <c r="AL1098" i="2" s="1"/>
  <c r="AI1098" i="2"/>
  <c r="AH1098" i="2"/>
  <c r="I1098" i="2"/>
  <c r="H1098" i="2"/>
  <c r="AH1097" i="2"/>
  <c r="AG1097" i="2"/>
  <c r="AF1097" i="2"/>
  <c r="AE1097" i="2"/>
  <c r="AD1097" i="2"/>
  <c r="I1097" i="2"/>
  <c r="H1097" i="2"/>
  <c r="AJ1096" i="2"/>
  <c r="AI1096" i="2"/>
  <c r="AH1096" i="2"/>
  <c r="I1096" i="2"/>
  <c r="H1096" i="2"/>
  <c r="AJ1095" i="2"/>
  <c r="AI1095" i="2"/>
  <c r="AH1095" i="2"/>
  <c r="I1095" i="2"/>
  <c r="H1095" i="2"/>
  <c r="AJ1094" i="2"/>
  <c r="AI1094" i="2"/>
  <c r="AH1094" i="2"/>
  <c r="I1094" i="2"/>
  <c r="H1094" i="2"/>
  <c r="AJ1093" i="2"/>
  <c r="AK1093" i="2" s="1"/>
  <c r="AL1093" i="2" s="1"/>
  <c r="AI1093" i="2"/>
  <c r="AH1093" i="2"/>
  <c r="I1093" i="2"/>
  <c r="H1093" i="2"/>
  <c r="AH1092" i="2"/>
  <c r="AG1092" i="2"/>
  <c r="AF1092" i="2"/>
  <c r="AE1092" i="2"/>
  <c r="AD1092" i="2"/>
  <c r="AJ1092" i="2" s="1"/>
  <c r="I1092" i="2"/>
  <c r="H1092" i="2"/>
  <c r="AJ1091" i="2"/>
  <c r="AI1091" i="2"/>
  <c r="AH1091" i="2"/>
  <c r="I1091" i="2"/>
  <c r="H1091" i="2"/>
  <c r="AH1090" i="2"/>
  <c r="AG1090" i="2"/>
  <c r="AF1090" i="2"/>
  <c r="AE1090" i="2"/>
  <c r="AD1090" i="2"/>
  <c r="AJ1090" i="2" s="1"/>
  <c r="I1090" i="2"/>
  <c r="H1090" i="2"/>
  <c r="I1089" i="2"/>
  <c r="H1089" i="2"/>
  <c r="I1088" i="2"/>
  <c r="H1088" i="2"/>
  <c r="AJ1087" i="2"/>
  <c r="AI1087" i="2"/>
  <c r="AH1087" i="2"/>
  <c r="I1087" i="2"/>
  <c r="H1087" i="2"/>
  <c r="AJ1086" i="2"/>
  <c r="AI1086" i="2"/>
  <c r="AH1086" i="2"/>
  <c r="I1086" i="2"/>
  <c r="H1086" i="2"/>
  <c r="AJ1085" i="2"/>
  <c r="AI1085" i="2"/>
  <c r="AH1085" i="2"/>
  <c r="I1085" i="2"/>
  <c r="H1085" i="2"/>
  <c r="AH1084" i="2"/>
  <c r="AG1084" i="2"/>
  <c r="AF1084" i="2"/>
  <c r="AE1084" i="2"/>
  <c r="AD1084" i="2"/>
  <c r="AJ1084" i="2" s="1"/>
  <c r="I1084" i="2"/>
  <c r="H1084" i="2"/>
  <c r="AJ1083" i="2"/>
  <c r="AI1083" i="2"/>
  <c r="AH1083" i="2"/>
  <c r="I1083" i="2"/>
  <c r="H1083" i="2"/>
  <c r="AH1082" i="2"/>
  <c r="AG1082" i="2"/>
  <c r="AF1082" i="2"/>
  <c r="AE1082" i="2"/>
  <c r="AD1082" i="2"/>
  <c r="AJ1082" i="2" s="1"/>
  <c r="I1082" i="2"/>
  <c r="H1082" i="2"/>
  <c r="AJ1081" i="2"/>
  <c r="AI1081" i="2"/>
  <c r="AH1081" i="2"/>
  <c r="I1081" i="2"/>
  <c r="H1081" i="2"/>
  <c r="AJ1080" i="2"/>
  <c r="AI1080" i="2"/>
  <c r="AH1080" i="2"/>
  <c r="I1080" i="2"/>
  <c r="H1080" i="2"/>
  <c r="AJ1079" i="2"/>
  <c r="AI1079" i="2"/>
  <c r="AH1079" i="2"/>
  <c r="I1079" i="2"/>
  <c r="H1079" i="2"/>
  <c r="AH1078" i="2"/>
  <c r="AG1078" i="2"/>
  <c r="AF1078" i="2"/>
  <c r="AE1078" i="2"/>
  <c r="AD1078" i="2"/>
  <c r="AJ1078" i="2" s="1"/>
  <c r="I1078" i="2"/>
  <c r="H1078" i="2"/>
  <c r="AJ1077" i="2"/>
  <c r="AI1077" i="2"/>
  <c r="AH1077" i="2"/>
  <c r="I1077" i="2"/>
  <c r="H1077" i="2"/>
  <c r="AJ1076" i="2"/>
  <c r="AI1076" i="2"/>
  <c r="AH1076" i="2"/>
  <c r="I1076" i="2"/>
  <c r="H1076" i="2"/>
  <c r="AJ1075" i="2"/>
  <c r="AI1075" i="2"/>
  <c r="AH1075" i="2"/>
  <c r="I1075" i="2"/>
  <c r="H1075" i="2"/>
  <c r="AJ1074" i="2"/>
  <c r="AI1074" i="2"/>
  <c r="AH1074" i="2"/>
  <c r="I1074" i="2"/>
  <c r="H1074" i="2"/>
  <c r="AJ1073" i="2"/>
  <c r="AI1073" i="2"/>
  <c r="AH1073" i="2"/>
  <c r="I1073" i="2"/>
  <c r="H1073" i="2"/>
  <c r="AH1072" i="2"/>
  <c r="AG1072" i="2"/>
  <c r="AF1072" i="2"/>
  <c r="AE1072" i="2"/>
  <c r="AD1072" i="2"/>
  <c r="AJ1072" i="2" s="1"/>
  <c r="I1072" i="2"/>
  <c r="H1072" i="2"/>
  <c r="AJ1071" i="2"/>
  <c r="AI1071" i="2"/>
  <c r="AH1071" i="2"/>
  <c r="I1071" i="2"/>
  <c r="H1071" i="2"/>
  <c r="AJ1070" i="2"/>
  <c r="AI1070" i="2"/>
  <c r="AH1070" i="2"/>
  <c r="I1070" i="2"/>
  <c r="H1070" i="2"/>
  <c r="AH1069" i="2"/>
  <c r="AG1069" i="2"/>
  <c r="AF1069" i="2"/>
  <c r="AE1069" i="2"/>
  <c r="AD1069" i="2"/>
  <c r="AJ1069" i="2" s="1"/>
  <c r="I1069" i="2"/>
  <c r="H1069" i="2"/>
  <c r="AH1068" i="2"/>
  <c r="AG1068" i="2"/>
  <c r="AF1068" i="2"/>
  <c r="AE1068" i="2"/>
  <c r="AD1068" i="2"/>
  <c r="AJ1068" i="2" s="1"/>
  <c r="I1068" i="2"/>
  <c r="H1068" i="2"/>
  <c r="AH1067" i="2"/>
  <c r="AG1067" i="2"/>
  <c r="AF1067" i="2"/>
  <c r="AE1067" i="2"/>
  <c r="AD1067" i="2"/>
  <c r="AJ1067" i="2" s="1"/>
  <c r="I1067" i="2"/>
  <c r="H1067" i="2"/>
  <c r="AH1066" i="2"/>
  <c r="AG1066" i="2"/>
  <c r="AF1066" i="2"/>
  <c r="AE1066" i="2"/>
  <c r="AD1066" i="2"/>
  <c r="AI1066" i="2" s="1"/>
  <c r="I1066" i="2"/>
  <c r="H1066" i="2"/>
  <c r="AJ1065" i="2"/>
  <c r="AI1065" i="2"/>
  <c r="AH1065" i="2"/>
  <c r="I1065" i="2"/>
  <c r="H1065" i="2"/>
  <c r="AJ1064" i="2"/>
  <c r="AK1064" i="2" s="1"/>
  <c r="AL1064" i="2" s="1"/>
  <c r="AI1064" i="2"/>
  <c r="AH1064" i="2"/>
  <c r="I1064" i="2"/>
  <c r="H1064" i="2"/>
  <c r="AJ1063" i="2"/>
  <c r="AI1063" i="2"/>
  <c r="AH1063" i="2"/>
  <c r="I1063" i="2"/>
  <c r="H1063" i="2"/>
  <c r="AJ1062" i="2"/>
  <c r="AI1062" i="2"/>
  <c r="AH1062" i="2"/>
  <c r="I1062" i="2"/>
  <c r="H1062" i="2"/>
  <c r="AJ1061" i="2"/>
  <c r="AI1061" i="2"/>
  <c r="AH1061" i="2"/>
  <c r="I1061" i="2"/>
  <c r="H1061" i="2"/>
  <c r="I1060" i="2"/>
  <c r="H1060" i="2"/>
  <c r="I1059" i="2"/>
  <c r="H1059" i="2"/>
  <c r="AJ1058" i="2"/>
  <c r="AI1058" i="2"/>
  <c r="AH1058" i="2"/>
  <c r="I1058" i="2"/>
  <c r="H1058" i="2"/>
  <c r="AH1057" i="2"/>
  <c r="AG1057" i="2"/>
  <c r="AF1057" i="2"/>
  <c r="AE1057" i="2"/>
  <c r="AD1057" i="2"/>
  <c r="I1057" i="2"/>
  <c r="H1057" i="2"/>
  <c r="AH1056" i="2"/>
  <c r="AG1056" i="2"/>
  <c r="AF1056" i="2"/>
  <c r="AE1056" i="2"/>
  <c r="AD1056" i="2"/>
  <c r="I1056" i="2"/>
  <c r="H1056" i="2"/>
  <c r="AJ1055" i="2"/>
  <c r="AI1055" i="2"/>
  <c r="AH1055" i="2"/>
  <c r="I1055" i="2"/>
  <c r="H1055" i="2"/>
  <c r="AH1054" i="2"/>
  <c r="AG1054" i="2"/>
  <c r="AF1054" i="2"/>
  <c r="AE1054" i="2"/>
  <c r="AD1054" i="2"/>
  <c r="AJ1054" i="2" s="1"/>
  <c r="I1054" i="2"/>
  <c r="H1054" i="2"/>
  <c r="AJ1053" i="2"/>
  <c r="AI1053" i="2"/>
  <c r="AH1053" i="2"/>
  <c r="I1053" i="2"/>
  <c r="H1053" i="2"/>
  <c r="AH1052" i="2"/>
  <c r="AG1052" i="2"/>
  <c r="AF1052" i="2"/>
  <c r="AE1052" i="2"/>
  <c r="AD1052" i="2"/>
  <c r="AJ1052" i="2" s="1"/>
  <c r="I1052" i="2"/>
  <c r="H1052" i="2"/>
  <c r="AH1051" i="2"/>
  <c r="AG1051" i="2"/>
  <c r="AF1051" i="2"/>
  <c r="AE1051" i="2"/>
  <c r="AD1051" i="2"/>
  <c r="AJ1051" i="2" s="1"/>
  <c r="I1051" i="2"/>
  <c r="H1051" i="2"/>
  <c r="AH1050" i="2"/>
  <c r="AE1050" i="2"/>
  <c r="F47" i="1" s="1"/>
  <c r="AD1050" i="2"/>
  <c r="AJ1050" i="2" s="1"/>
  <c r="I1050" i="2"/>
  <c r="H1050" i="2"/>
  <c r="G47" i="1" s="1"/>
  <c r="AH1049" i="2"/>
  <c r="AG1049" i="2"/>
  <c r="AF1049" i="2"/>
  <c r="AE1049" i="2"/>
  <c r="AD1049" i="2"/>
  <c r="AJ1049" i="2" s="1"/>
  <c r="I1049" i="2"/>
  <c r="H1049" i="2"/>
  <c r="AJ1048" i="2"/>
  <c r="AI1048" i="2"/>
  <c r="AK1048" i="2" s="1"/>
  <c r="AL1048" i="2" s="1"/>
  <c r="AH1048" i="2"/>
  <c r="I1048" i="2"/>
  <c r="H1048" i="2"/>
  <c r="AJ1047" i="2"/>
  <c r="AK1047" i="2" s="1"/>
  <c r="AL1047" i="2" s="1"/>
  <c r="AI1047" i="2"/>
  <c r="AH1047" i="2"/>
  <c r="I1047" i="2"/>
  <c r="H1047" i="2"/>
  <c r="AJ1046" i="2"/>
  <c r="AI1046" i="2"/>
  <c r="AH1046" i="2"/>
  <c r="I1046" i="2"/>
  <c r="H1046" i="2"/>
  <c r="AJ1045" i="2"/>
  <c r="AI1045" i="2"/>
  <c r="AH1045" i="2"/>
  <c r="I1045" i="2"/>
  <c r="H1045" i="2"/>
  <c r="AJ1044" i="2"/>
  <c r="AI1044" i="2"/>
  <c r="AH1044" i="2"/>
  <c r="I1044" i="2"/>
  <c r="H1044" i="2"/>
  <c r="AJ1043" i="2"/>
  <c r="AI1043" i="2"/>
  <c r="AH1043" i="2"/>
  <c r="I1043" i="2"/>
  <c r="H1043" i="2"/>
  <c r="AJ1042" i="2"/>
  <c r="AI1042" i="2"/>
  <c r="AH1042" i="2"/>
  <c r="I1042" i="2"/>
  <c r="H1042" i="2"/>
  <c r="AJ1041" i="2"/>
  <c r="AI1041" i="2"/>
  <c r="AH1041" i="2"/>
  <c r="I1041" i="2"/>
  <c r="H1041" i="2"/>
  <c r="AJ1040" i="2"/>
  <c r="AI1040" i="2"/>
  <c r="AH1040" i="2"/>
  <c r="I1040" i="2"/>
  <c r="H1040" i="2"/>
  <c r="I1039" i="2"/>
  <c r="H1039" i="2"/>
  <c r="I1038" i="2"/>
  <c r="H1038" i="2"/>
  <c r="I1037" i="2"/>
  <c r="H1037" i="2"/>
  <c r="AI1036" i="2"/>
  <c r="AH1036" i="2"/>
  <c r="AG1036" i="2"/>
  <c r="AF1036" i="2"/>
  <c r="AJ1036" i="2" s="1"/>
  <c r="I1036" i="2"/>
  <c r="H1036" i="2"/>
  <c r="AJ1035" i="2"/>
  <c r="AK1035" i="2" s="1"/>
  <c r="AL1035" i="2" s="1"/>
  <c r="AI1035" i="2"/>
  <c r="AH1035" i="2"/>
  <c r="I1035" i="2"/>
  <c r="H1035" i="2"/>
  <c r="AH1034" i="2"/>
  <c r="AG1034" i="2"/>
  <c r="AF1034" i="2"/>
  <c r="AJ1034" i="2" s="1"/>
  <c r="I1034" i="2"/>
  <c r="H1034" i="2"/>
  <c r="AJ1033" i="2"/>
  <c r="AI1033" i="2"/>
  <c r="AH1033" i="2"/>
  <c r="I1033" i="2"/>
  <c r="H1033" i="2"/>
  <c r="AH1032" i="2"/>
  <c r="AG1032" i="2"/>
  <c r="AF1032" i="2"/>
  <c r="I1032" i="2"/>
  <c r="H1032" i="2"/>
  <c r="AJ1031" i="2"/>
  <c r="AI1031" i="2"/>
  <c r="AH1031" i="2"/>
  <c r="I1031" i="2"/>
  <c r="H1031" i="2"/>
  <c r="AH1030" i="2"/>
  <c r="AG1030" i="2"/>
  <c r="AF1030" i="2"/>
  <c r="AJ1030" i="2" s="1"/>
  <c r="I1030" i="2"/>
  <c r="H1030" i="2"/>
  <c r="AJ1029" i="2"/>
  <c r="AI1029" i="2"/>
  <c r="AH1029" i="2"/>
  <c r="I1029" i="2"/>
  <c r="H1029" i="2"/>
  <c r="AI1028" i="2"/>
  <c r="AH1028" i="2"/>
  <c r="AG1028" i="2"/>
  <c r="AF1028" i="2"/>
  <c r="AJ1028" i="2" s="1"/>
  <c r="I1028" i="2"/>
  <c r="H1028" i="2"/>
  <c r="AJ1027" i="2"/>
  <c r="AI1027" i="2"/>
  <c r="AH1027" i="2"/>
  <c r="I1027" i="2"/>
  <c r="H1027" i="2"/>
  <c r="AJ1026" i="2"/>
  <c r="AI1026" i="2"/>
  <c r="AH1026" i="2"/>
  <c r="I1026" i="2"/>
  <c r="H1026" i="2"/>
  <c r="AJ1025" i="2"/>
  <c r="AI1025" i="2"/>
  <c r="AK1025" i="2" s="1"/>
  <c r="AL1025" i="2" s="1"/>
  <c r="AH1025" i="2"/>
  <c r="I1025" i="2"/>
  <c r="H1025" i="2"/>
  <c r="AJ1024" i="2"/>
  <c r="AI1024" i="2"/>
  <c r="AH1024" i="2"/>
  <c r="I1024" i="2"/>
  <c r="H1024" i="2"/>
  <c r="I1023" i="2"/>
  <c r="H1023" i="2"/>
  <c r="AJ1021" i="2"/>
  <c r="AI1021" i="2"/>
  <c r="AH1021" i="2"/>
  <c r="I1021" i="2"/>
  <c r="H1021" i="2"/>
  <c r="AH1020" i="2"/>
  <c r="AG1020" i="2"/>
  <c r="AF1020" i="2"/>
  <c r="AI1020" i="2" s="1"/>
  <c r="I1020" i="2"/>
  <c r="H1020" i="2"/>
  <c r="AH1019" i="2"/>
  <c r="AG1019" i="2"/>
  <c r="AF1019" i="2"/>
  <c r="I1019" i="2"/>
  <c r="H1019" i="2"/>
  <c r="AH1018" i="2"/>
  <c r="AG1018" i="2"/>
  <c r="AF1018" i="2"/>
  <c r="I1018" i="2"/>
  <c r="H1018" i="2"/>
  <c r="AJ1017" i="2"/>
  <c r="AI1017" i="2"/>
  <c r="AH1017" i="2"/>
  <c r="I1017" i="2"/>
  <c r="H1017" i="2"/>
  <c r="AJ1016" i="2"/>
  <c r="AI1016" i="2"/>
  <c r="AH1016" i="2"/>
  <c r="I1016" i="2"/>
  <c r="H1016" i="2"/>
  <c r="AH1015" i="2"/>
  <c r="AG1015" i="2"/>
  <c r="AF1015" i="2"/>
  <c r="I1015" i="2"/>
  <c r="H1015" i="2"/>
  <c r="AH1014" i="2"/>
  <c r="AG1014" i="2"/>
  <c r="AF1014" i="2"/>
  <c r="AJ1014" i="2" s="1"/>
  <c r="I1014" i="2"/>
  <c r="H1014" i="2"/>
  <c r="AJ1013" i="2"/>
  <c r="AI1013" i="2"/>
  <c r="AH1013" i="2"/>
  <c r="I1013" i="2"/>
  <c r="H1013" i="2"/>
  <c r="AH1012" i="2"/>
  <c r="AG1012" i="2"/>
  <c r="AF1012" i="2"/>
  <c r="AJ1012" i="2" s="1"/>
  <c r="I1012" i="2"/>
  <c r="H1012" i="2"/>
  <c r="AJ1011" i="2"/>
  <c r="AI1011" i="2"/>
  <c r="AH1011" i="2"/>
  <c r="I1011" i="2"/>
  <c r="H1011" i="2"/>
  <c r="AJ1010" i="2"/>
  <c r="AI1010" i="2"/>
  <c r="AH1010" i="2"/>
  <c r="I1010" i="2"/>
  <c r="H1010" i="2"/>
  <c r="AH1009" i="2"/>
  <c r="AG1009" i="2"/>
  <c r="AF1009" i="2"/>
  <c r="AJ1009" i="2" s="1"/>
  <c r="I1009" i="2"/>
  <c r="H1009" i="2"/>
  <c r="AH1008" i="2"/>
  <c r="AG1008" i="2"/>
  <c r="AF1008" i="2"/>
  <c r="AJ1008" i="2" s="1"/>
  <c r="I1008" i="2"/>
  <c r="H1008" i="2"/>
  <c r="AJ1007" i="2"/>
  <c r="AI1007" i="2"/>
  <c r="AH1007" i="2"/>
  <c r="I1007" i="2"/>
  <c r="H1007" i="2"/>
  <c r="AJ1006" i="2"/>
  <c r="AI1006" i="2"/>
  <c r="AH1006" i="2"/>
  <c r="I1006" i="2"/>
  <c r="H1006" i="2"/>
  <c r="AJ1005" i="2"/>
  <c r="AI1005" i="2"/>
  <c r="AH1005" i="2"/>
  <c r="I1005" i="2"/>
  <c r="H1005" i="2"/>
  <c r="AJ1004" i="2"/>
  <c r="AI1004" i="2"/>
  <c r="AH1004" i="2"/>
  <c r="I1004" i="2"/>
  <c r="H1004" i="2"/>
  <c r="AH1003" i="2"/>
  <c r="AG1003" i="2"/>
  <c r="AF1003" i="2"/>
  <c r="AJ1003" i="2" s="1"/>
  <c r="I1003" i="2"/>
  <c r="H1003" i="2"/>
  <c r="AJ1002" i="2"/>
  <c r="AI1002" i="2"/>
  <c r="AH1002" i="2"/>
  <c r="I1002" i="2"/>
  <c r="H1002" i="2"/>
  <c r="AH1001" i="2"/>
  <c r="AG1001" i="2"/>
  <c r="AF1001" i="2"/>
  <c r="AJ1001" i="2" s="1"/>
  <c r="I1001" i="2"/>
  <c r="H1001" i="2"/>
  <c r="AU1000" i="2"/>
  <c r="AJ1000" i="2" s="1"/>
  <c r="AI1000" i="2"/>
  <c r="AH1000" i="2"/>
  <c r="I1000" i="2"/>
  <c r="H1000" i="2"/>
  <c r="AH999" i="2"/>
  <c r="AG999" i="2"/>
  <c r="AF999" i="2"/>
  <c r="AI999" i="2" s="1"/>
  <c r="I999" i="2"/>
  <c r="H999" i="2"/>
  <c r="AH998" i="2"/>
  <c r="AG998" i="2"/>
  <c r="AF998" i="2"/>
  <c r="AJ998" i="2" s="1"/>
  <c r="I998" i="2"/>
  <c r="H998" i="2"/>
  <c r="AJ997" i="2"/>
  <c r="AI997" i="2"/>
  <c r="AH997" i="2"/>
  <c r="I997" i="2"/>
  <c r="H997" i="2"/>
  <c r="AJ996" i="2"/>
  <c r="AI996" i="2"/>
  <c r="AH996" i="2"/>
  <c r="I996" i="2"/>
  <c r="H996" i="2"/>
  <c r="I995" i="2"/>
  <c r="H995" i="2"/>
  <c r="I994" i="2"/>
  <c r="H994" i="2"/>
  <c r="AH993" i="2"/>
  <c r="AE993" i="2"/>
  <c r="AD993" i="2"/>
  <c r="AI993" i="2" s="1"/>
  <c r="I993" i="2"/>
  <c r="H993" i="2"/>
  <c r="AH992" i="2"/>
  <c r="AE992" i="2"/>
  <c r="AD992" i="2"/>
  <c r="AJ992" i="2" s="1"/>
  <c r="I992" i="2"/>
  <c r="H992" i="2"/>
  <c r="AH991" i="2"/>
  <c r="AE991" i="2"/>
  <c r="AD991" i="2"/>
  <c r="AJ991" i="2" s="1"/>
  <c r="I991" i="2"/>
  <c r="H991" i="2"/>
  <c r="AH990" i="2"/>
  <c r="AE990" i="2"/>
  <c r="AD990" i="2"/>
  <c r="AJ990" i="2" s="1"/>
  <c r="I990" i="2"/>
  <c r="H990" i="2"/>
  <c r="AH989" i="2"/>
  <c r="AE989" i="2"/>
  <c r="AD989" i="2"/>
  <c r="AI989" i="2" s="1"/>
  <c r="I989" i="2"/>
  <c r="H989" i="2"/>
  <c r="I988" i="2"/>
  <c r="H988" i="2"/>
  <c r="I987" i="2"/>
  <c r="H987" i="2"/>
  <c r="AH986" i="2"/>
  <c r="AE986" i="2"/>
  <c r="AD986" i="2"/>
  <c r="AI986" i="2" s="1"/>
  <c r="I986" i="2"/>
  <c r="H986" i="2"/>
  <c r="AH985" i="2"/>
  <c r="AE985" i="2"/>
  <c r="AD985" i="2"/>
  <c r="AI985" i="2" s="1"/>
  <c r="I985" i="2"/>
  <c r="H985" i="2"/>
  <c r="AH984" i="2"/>
  <c r="AE984" i="2"/>
  <c r="AD984" i="2"/>
  <c r="AJ984" i="2" s="1"/>
  <c r="I984" i="2"/>
  <c r="H984" i="2"/>
  <c r="AH983" i="2"/>
  <c r="AE983" i="2"/>
  <c r="AD983" i="2"/>
  <c r="I983" i="2"/>
  <c r="H983" i="2"/>
  <c r="AH982" i="2"/>
  <c r="AE982" i="2"/>
  <c r="AD982" i="2"/>
  <c r="I982" i="2"/>
  <c r="H982" i="2"/>
  <c r="AH981" i="2"/>
  <c r="AE981" i="2"/>
  <c r="AD981" i="2"/>
  <c r="AI981" i="2" s="1"/>
  <c r="I981" i="2"/>
  <c r="H981" i="2"/>
  <c r="AH980" i="2"/>
  <c r="AE980" i="2"/>
  <c r="AD980" i="2"/>
  <c r="AJ980" i="2" s="1"/>
  <c r="I980" i="2"/>
  <c r="H980" i="2"/>
  <c r="AH979" i="2"/>
  <c r="AE979" i="2"/>
  <c r="AD979" i="2"/>
  <c r="AJ979" i="2" s="1"/>
  <c r="I979" i="2"/>
  <c r="H979" i="2"/>
  <c r="AH978" i="2"/>
  <c r="AE978" i="2"/>
  <c r="AD978" i="2"/>
  <c r="AJ978" i="2" s="1"/>
  <c r="I978" i="2"/>
  <c r="H978" i="2"/>
  <c r="AH977" i="2"/>
  <c r="AE977" i="2"/>
  <c r="AD977" i="2"/>
  <c r="AJ977" i="2" s="1"/>
  <c r="I977" i="2"/>
  <c r="H977" i="2"/>
  <c r="AH976" i="2"/>
  <c r="AE976" i="2"/>
  <c r="AD976" i="2"/>
  <c r="AI976" i="2" s="1"/>
  <c r="I976" i="2"/>
  <c r="H976" i="2"/>
  <c r="AH975" i="2"/>
  <c r="AE975" i="2"/>
  <c r="AD975" i="2"/>
  <c r="I975" i="2"/>
  <c r="H975" i="2"/>
  <c r="I974" i="2"/>
  <c r="H974" i="2"/>
  <c r="I973" i="2"/>
  <c r="H973" i="2"/>
  <c r="AH972" i="2"/>
  <c r="AE972" i="2"/>
  <c r="AD972" i="2"/>
  <c r="AJ972" i="2" s="1"/>
  <c r="I972" i="2"/>
  <c r="H972" i="2"/>
  <c r="AI971" i="2"/>
  <c r="AH971" i="2"/>
  <c r="AE971" i="2"/>
  <c r="AD971" i="2"/>
  <c r="AJ971" i="2" s="1"/>
  <c r="I971" i="2"/>
  <c r="H971" i="2"/>
  <c r="AH970" i="2"/>
  <c r="AE970" i="2"/>
  <c r="AD970" i="2"/>
  <c r="AJ970" i="2" s="1"/>
  <c r="I970" i="2"/>
  <c r="H970" i="2"/>
  <c r="AH969" i="2"/>
  <c r="AE969" i="2"/>
  <c r="AD969" i="2"/>
  <c r="AI969" i="2" s="1"/>
  <c r="I969" i="2"/>
  <c r="H969" i="2"/>
  <c r="AH968" i="2"/>
  <c r="AE968" i="2"/>
  <c r="AD968" i="2"/>
  <c r="AJ968" i="2" s="1"/>
  <c r="I968" i="2"/>
  <c r="H968" i="2"/>
  <c r="AH967" i="2"/>
  <c r="AE967" i="2"/>
  <c r="AD967" i="2"/>
  <c r="AJ967" i="2" s="1"/>
  <c r="I967" i="2"/>
  <c r="H967" i="2"/>
  <c r="AH966" i="2"/>
  <c r="AE966" i="2"/>
  <c r="AD966" i="2"/>
  <c r="AJ966" i="2" s="1"/>
  <c r="I966" i="2"/>
  <c r="H966" i="2"/>
  <c r="AH965" i="2"/>
  <c r="AE965" i="2"/>
  <c r="AD965" i="2"/>
  <c r="AI965" i="2" s="1"/>
  <c r="I965" i="2"/>
  <c r="H965" i="2"/>
  <c r="AH964" i="2"/>
  <c r="AE964" i="2"/>
  <c r="AD964" i="2"/>
  <c r="AJ964" i="2" s="1"/>
  <c r="I964" i="2"/>
  <c r="H964" i="2"/>
  <c r="AH963" i="2"/>
  <c r="AE963" i="2"/>
  <c r="AD963" i="2"/>
  <c r="AJ963" i="2" s="1"/>
  <c r="I963" i="2"/>
  <c r="H963" i="2"/>
  <c r="AH962" i="2"/>
  <c r="AE962" i="2"/>
  <c r="AD962" i="2"/>
  <c r="AJ962" i="2" s="1"/>
  <c r="I962" i="2"/>
  <c r="H962" i="2"/>
  <c r="AJ961" i="2"/>
  <c r="AI961" i="2"/>
  <c r="AH961" i="2"/>
  <c r="I961" i="2"/>
  <c r="H961" i="2"/>
  <c r="AH960" i="2"/>
  <c r="AE960" i="2"/>
  <c r="AD960" i="2"/>
  <c r="AJ960" i="2" s="1"/>
  <c r="I960" i="2"/>
  <c r="H960" i="2"/>
  <c r="AH959" i="2"/>
  <c r="AE959" i="2"/>
  <c r="AD959" i="2"/>
  <c r="AJ959" i="2" s="1"/>
  <c r="I959" i="2"/>
  <c r="H959" i="2"/>
  <c r="I958" i="2"/>
  <c r="H958" i="2"/>
  <c r="I957" i="2"/>
  <c r="H957" i="2"/>
  <c r="AH956" i="2"/>
  <c r="AE956" i="2"/>
  <c r="AD956" i="2"/>
  <c r="AI956" i="2" s="1"/>
  <c r="I956" i="2"/>
  <c r="H956" i="2"/>
  <c r="AH955" i="2"/>
  <c r="AE955" i="2"/>
  <c r="AD955" i="2"/>
  <c r="AI955" i="2" s="1"/>
  <c r="I955" i="2"/>
  <c r="H955" i="2"/>
  <c r="AH954" i="2"/>
  <c r="AE954" i="2"/>
  <c r="AD954" i="2"/>
  <c r="AJ954" i="2" s="1"/>
  <c r="I954" i="2"/>
  <c r="H954" i="2"/>
  <c r="AH953" i="2"/>
  <c r="AE953" i="2"/>
  <c r="AD953" i="2"/>
  <c r="AJ953" i="2" s="1"/>
  <c r="I953" i="2"/>
  <c r="H953" i="2"/>
  <c r="AH952" i="2"/>
  <c r="AE952" i="2"/>
  <c r="AD952" i="2"/>
  <c r="AJ952" i="2" s="1"/>
  <c r="I952" i="2"/>
  <c r="H952" i="2"/>
  <c r="AH951" i="2"/>
  <c r="AE951" i="2"/>
  <c r="AD951" i="2"/>
  <c r="AJ951" i="2" s="1"/>
  <c r="I951" i="2"/>
  <c r="H951" i="2"/>
  <c r="AH950" i="2"/>
  <c r="AE950" i="2"/>
  <c r="AD950" i="2"/>
  <c r="AI950" i="2" s="1"/>
  <c r="I950" i="2"/>
  <c r="H950" i="2"/>
  <c r="AH949" i="2"/>
  <c r="AE949" i="2"/>
  <c r="AD949" i="2"/>
  <c r="AJ949" i="2" s="1"/>
  <c r="I949" i="2"/>
  <c r="H949" i="2"/>
  <c r="AH948" i="2"/>
  <c r="AE948" i="2"/>
  <c r="AD948" i="2"/>
  <c r="AJ948" i="2" s="1"/>
  <c r="I948" i="2"/>
  <c r="H948" i="2"/>
  <c r="AH947" i="2"/>
  <c r="AE947" i="2"/>
  <c r="AD947" i="2"/>
  <c r="AJ947" i="2" s="1"/>
  <c r="I947" i="2"/>
  <c r="H947" i="2"/>
  <c r="AH946" i="2"/>
  <c r="AE946" i="2"/>
  <c r="AD946" i="2"/>
  <c r="AI946" i="2" s="1"/>
  <c r="I946" i="2"/>
  <c r="H946" i="2"/>
  <c r="AH945" i="2"/>
  <c r="AE945" i="2"/>
  <c r="AD945" i="2"/>
  <c r="AJ945" i="2" s="1"/>
  <c r="I945" i="2"/>
  <c r="H945" i="2"/>
  <c r="AH944" i="2"/>
  <c r="AE944" i="2"/>
  <c r="AD944" i="2"/>
  <c r="AJ944" i="2" s="1"/>
  <c r="I944" i="2"/>
  <c r="H944" i="2"/>
  <c r="I943" i="2"/>
  <c r="H943" i="2"/>
  <c r="I942" i="2"/>
  <c r="H942" i="2"/>
  <c r="AH941" i="2"/>
  <c r="AE941" i="2"/>
  <c r="AD941" i="2"/>
  <c r="AJ941" i="2" s="1"/>
  <c r="I941" i="2"/>
  <c r="H941" i="2"/>
  <c r="AH940" i="2"/>
  <c r="AE940" i="2"/>
  <c r="AD940" i="2"/>
  <c r="AJ940" i="2" s="1"/>
  <c r="I940" i="2"/>
  <c r="H940" i="2"/>
  <c r="AH939" i="2"/>
  <c r="AE939" i="2"/>
  <c r="AD939" i="2"/>
  <c r="AI939" i="2" s="1"/>
  <c r="I939" i="2"/>
  <c r="H939" i="2"/>
  <c r="AH938" i="2"/>
  <c r="AE938" i="2"/>
  <c r="AD938" i="2"/>
  <c r="AI938" i="2" s="1"/>
  <c r="I938" i="2"/>
  <c r="H938" i="2"/>
  <c r="AH937" i="2"/>
  <c r="AE937" i="2"/>
  <c r="AD937" i="2"/>
  <c r="AJ937" i="2" s="1"/>
  <c r="I937" i="2"/>
  <c r="H937" i="2"/>
  <c r="AH936" i="2"/>
  <c r="AE936" i="2"/>
  <c r="AD936" i="2"/>
  <c r="AJ936" i="2" s="1"/>
  <c r="I936" i="2"/>
  <c r="H936" i="2"/>
  <c r="AH935" i="2"/>
  <c r="AE935" i="2"/>
  <c r="AD935" i="2"/>
  <c r="AJ935" i="2" s="1"/>
  <c r="I935" i="2"/>
  <c r="H935" i="2"/>
  <c r="AH934" i="2"/>
  <c r="AE934" i="2"/>
  <c r="AD934" i="2"/>
  <c r="AJ934" i="2" s="1"/>
  <c r="I934" i="2"/>
  <c r="H934" i="2"/>
  <c r="AH933" i="2"/>
  <c r="AE933" i="2"/>
  <c r="AD933" i="2"/>
  <c r="AJ933" i="2" s="1"/>
  <c r="I933" i="2"/>
  <c r="H933" i="2"/>
  <c r="AH932" i="2"/>
  <c r="AE932" i="2"/>
  <c r="AD932" i="2"/>
  <c r="AJ932" i="2" s="1"/>
  <c r="I932" i="2"/>
  <c r="H932" i="2"/>
  <c r="AH931" i="2"/>
  <c r="AE931" i="2"/>
  <c r="AD931" i="2"/>
  <c r="AJ931" i="2" s="1"/>
  <c r="I931" i="2"/>
  <c r="H931" i="2"/>
  <c r="AH930" i="2"/>
  <c r="AE930" i="2"/>
  <c r="AD930" i="2"/>
  <c r="AI930" i="2" s="1"/>
  <c r="I930" i="2"/>
  <c r="H930" i="2"/>
  <c r="AH929" i="2"/>
  <c r="AE929" i="2"/>
  <c r="AD929" i="2"/>
  <c r="AJ929" i="2" s="1"/>
  <c r="I929" i="2"/>
  <c r="H929" i="2"/>
  <c r="AI928" i="2"/>
  <c r="AH928" i="2"/>
  <c r="AE928" i="2"/>
  <c r="AD928" i="2"/>
  <c r="AJ928" i="2" s="1"/>
  <c r="I928" i="2"/>
  <c r="H928" i="2"/>
  <c r="AH927" i="2"/>
  <c r="AE927" i="2"/>
  <c r="AD927" i="2"/>
  <c r="AJ927" i="2" s="1"/>
  <c r="I927" i="2"/>
  <c r="H927" i="2"/>
  <c r="AH926" i="2"/>
  <c r="AE926" i="2"/>
  <c r="AD926" i="2"/>
  <c r="AI926" i="2" s="1"/>
  <c r="I926" i="2"/>
  <c r="H926" i="2"/>
  <c r="AH925" i="2"/>
  <c r="AE925" i="2"/>
  <c r="AD925" i="2"/>
  <c r="AJ925" i="2" s="1"/>
  <c r="I925" i="2"/>
  <c r="H925" i="2"/>
  <c r="AH924" i="2"/>
  <c r="AE924" i="2"/>
  <c r="AD924" i="2"/>
  <c r="AJ924" i="2" s="1"/>
  <c r="I924" i="2"/>
  <c r="H924" i="2"/>
  <c r="AH923" i="2"/>
  <c r="AE923" i="2"/>
  <c r="AD923" i="2"/>
  <c r="AJ923" i="2" s="1"/>
  <c r="I923" i="2"/>
  <c r="H923" i="2"/>
  <c r="AH922" i="2"/>
  <c r="AE922" i="2"/>
  <c r="AD922" i="2"/>
  <c r="AJ922" i="2" s="1"/>
  <c r="I922" i="2"/>
  <c r="H922" i="2"/>
  <c r="AH921" i="2"/>
  <c r="AE921" i="2"/>
  <c r="AD921" i="2"/>
  <c r="AI921" i="2" s="1"/>
  <c r="I921" i="2"/>
  <c r="H921" i="2"/>
  <c r="AH920" i="2"/>
  <c r="AE920" i="2"/>
  <c r="AD920" i="2"/>
  <c r="AJ920" i="2" s="1"/>
  <c r="I920" i="2"/>
  <c r="H920" i="2"/>
  <c r="AI919" i="2"/>
  <c r="AH919" i="2"/>
  <c r="AE919" i="2"/>
  <c r="AD919" i="2"/>
  <c r="AJ919" i="2" s="1"/>
  <c r="I919" i="2"/>
  <c r="H919" i="2"/>
  <c r="I918" i="2"/>
  <c r="H918" i="2"/>
  <c r="I917" i="2"/>
  <c r="H917" i="2"/>
  <c r="AH916" i="2"/>
  <c r="AE916" i="2"/>
  <c r="AD916" i="2"/>
  <c r="AJ916" i="2" s="1"/>
  <c r="I916" i="2"/>
  <c r="H916" i="2"/>
  <c r="AH915" i="2"/>
  <c r="AE915" i="2"/>
  <c r="AD915" i="2"/>
  <c r="I915" i="2"/>
  <c r="H915" i="2"/>
  <c r="AH914" i="2"/>
  <c r="AE914" i="2"/>
  <c r="AD914" i="2"/>
  <c r="AJ914" i="2" s="1"/>
  <c r="I914" i="2"/>
  <c r="H914" i="2"/>
  <c r="AH913" i="2"/>
  <c r="AE913" i="2"/>
  <c r="AD913" i="2"/>
  <c r="AI913" i="2" s="1"/>
  <c r="I913" i="2"/>
  <c r="H913" i="2"/>
  <c r="AH912" i="2"/>
  <c r="AE912" i="2"/>
  <c r="AD912" i="2"/>
  <c r="AI912" i="2" s="1"/>
  <c r="I912" i="2"/>
  <c r="H912" i="2"/>
  <c r="AH911" i="2"/>
  <c r="AE911" i="2"/>
  <c r="AD911" i="2"/>
  <c r="AJ911" i="2" s="1"/>
  <c r="I911" i="2"/>
  <c r="H911" i="2"/>
  <c r="AH910" i="2"/>
  <c r="AE910" i="2"/>
  <c r="AD910" i="2"/>
  <c r="I910" i="2"/>
  <c r="H910" i="2"/>
  <c r="AH909" i="2"/>
  <c r="AE909" i="2"/>
  <c r="AD909" i="2"/>
  <c r="AJ909" i="2" s="1"/>
  <c r="I909" i="2"/>
  <c r="H909" i="2"/>
  <c r="AJ908" i="2"/>
  <c r="AK908" i="2" s="1"/>
  <c r="AL908" i="2" s="1"/>
  <c r="AI908" i="2"/>
  <c r="AH908" i="2"/>
  <c r="I908" i="2"/>
  <c r="H908" i="2"/>
  <c r="AH907" i="2"/>
  <c r="AE907" i="2"/>
  <c r="AD907" i="2"/>
  <c r="AJ907" i="2" s="1"/>
  <c r="I907" i="2"/>
  <c r="H907" i="2"/>
  <c r="I906" i="2"/>
  <c r="H906" i="2"/>
  <c r="I905" i="2"/>
  <c r="H905" i="2"/>
  <c r="AH904" i="2"/>
  <c r="AE904" i="2"/>
  <c r="AD904" i="2"/>
  <c r="AI904" i="2" s="1"/>
  <c r="I904" i="2"/>
  <c r="H904" i="2"/>
  <c r="AH903" i="2"/>
  <c r="AE903" i="2"/>
  <c r="AD903" i="2"/>
  <c r="AJ903" i="2" s="1"/>
  <c r="I903" i="2"/>
  <c r="H903" i="2"/>
  <c r="AH902" i="2"/>
  <c r="AE902" i="2"/>
  <c r="AD902" i="2"/>
  <c r="AJ902" i="2" s="1"/>
  <c r="I902" i="2"/>
  <c r="H902" i="2"/>
  <c r="AH901" i="2"/>
  <c r="AE901" i="2"/>
  <c r="AD901" i="2"/>
  <c r="AJ901" i="2" s="1"/>
  <c r="I901" i="2"/>
  <c r="H901" i="2"/>
  <c r="AH900" i="2"/>
  <c r="AE900" i="2"/>
  <c r="AD900" i="2"/>
  <c r="AI900" i="2" s="1"/>
  <c r="I900" i="2"/>
  <c r="H900" i="2"/>
  <c r="AH899" i="2"/>
  <c r="AE899" i="2"/>
  <c r="AD899" i="2"/>
  <c r="AI899" i="2" s="1"/>
  <c r="I899" i="2"/>
  <c r="H899" i="2"/>
  <c r="AH898" i="2"/>
  <c r="AE898" i="2"/>
  <c r="AD898" i="2"/>
  <c r="AJ898" i="2" s="1"/>
  <c r="I898" i="2"/>
  <c r="H898" i="2"/>
  <c r="AH897" i="2"/>
  <c r="AE897" i="2"/>
  <c r="AD897" i="2"/>
  <c r="AJ897" i="2" s="1"/>
  <c r="I897" i="2"/>
  <c r="H897" i="2"/>
  <c r="AH896" i="2"/>
  <c r="AE896" i="2"/>
  <c r="AD896" i="2"/>
  <c r="AJ896" i="2" s="1"/>
  <c r="I896" i="2"/>
  <c r="H896" i="2"/>
  <c r="AH895" i="2"/>
  <c r="AE895" i="2"/>
  <c r="AD895" i="2"/>
  <c r="AJ895" i="2" s="1"/>
  <c r="I895" i="2"/>
  <c r="H895" i="2"/>
  <c r="AH894" i="2"/>
  <c r="AE894" i="2"/>
  <c r="AD894" i="2"/>
  <c r="AI894" i="2" s="1"/>
  <c r="I894" i="2"/>
  <c r="H894" i="2"/>
  <c r="AH893" i="2"/>
  <c r="AE893" i="2"/>
  <c r="AD893" i="2"/>
  <c r="AJ893" i="2" s="1"/>
  <c r="I893" i="2"/>
  <c r="H893" i="2"/>
  <c r="AH892" i="2"/>
  <c r="AE892" i="2"/>
  <c r="AD892" i="2"/>
  <c r="AJ892" i="2" s="1"/>
  <c r="I892" i="2"/>
  <c r="H892" i="2"/>
  <c r="AH891" i="2"/>
  <c r="AE891" i="2"/>
  <c r="AD891" i="2"/>
  <c r="AJ891" i="2" s="1"/>
  <c r="I891" i="2"/>
  <c r="H891" i="2"/>
  <c r="AH890" i="2"/>
  <c r="AE890" i="2"/>
  <c r="AD890" i="2"/>
  <c r="AI890" i="2" s="1"/>
  <c r="I890" i="2"/>
  <c r="H890" i="2"/>
  <c r="AH889" i="2"/>
  <c r="AE889" i="2"/>
  <c r="AD889" i="2"/>
  <c r="I889" i="2"/>
  <c r="H889" i="2"/>
  <c r="AH888" i="2"/>
  <c r="AE888" i="2"/>
  <c r="AD888" i="2"/>
  <c r="I888" i="2"/>
  <c r="H888" i="2"/>
  <c r="AH887" i="2"/>
  <c r="AE887" i="2"/>
  <c r="AD887" i="2"/>
  <c r="I887" i="2"/>
  <c r="H887" i="2"/>
  <c r="AH886" i="2"/>
  <c r="AE886" i="2"/>
  <c r="AD886" i="2"/>
  <c r="AI886" i="2" s="1"/>
  <c r="I886" i="2"/>
  <c r="H886" i="2"/>
  <c r="AH885" i="2"/>
  <c r="AE885" i="2"/>
  <c r="AD885" i="2"/>
  <c r="AI885" i="2" s="1"/>
  <c r="I885" i="2"/>
  <c r="H885" i="2"/>
  <c r="AH884" i="2"/>
  <c r="AE884" i="2"/>
  <c r="AD884" i="2"/>
  <c r="AI884" i="2" s="1"/>
  <c r="I884" i="2"/>
  <c r="H884" i="2"/>
  <c r="AH883" i="2"/>
  <c r="AE883" i="2"/>
  <c r="AD883" i="2"/>
  <c r="AJ883" i="2" s="1"/>
  <c r="I883" i="2"/>
  <c r="H883" i="2"/>
  <c r="AH882" i="2"/>
  <c r="AE882" i="2"/>
  <c r="AD882" i="2"/>
  <c r="AJ882" i="2" s="1"/>
  <c r="I882" i="2"/>
  <c r="H882" i="2"/>
  <c r="AH881" i="2"/>
  <c r="AE881" i="2"/>
  <c r="AD881" i="2"/>
  <c r="AJ881" i="2" s="1"/>
  <c r="I881" i="2"/>
  <c r="H881" i="2"/>
  <c r="AH880" i="2"/>
  <c r="AE880" i="2"/>
  <c r="AD880" i="2"/>
  <c r="AJ880" i="2" s="1"/>
  <c r="I880" i="2"/>
  <c r="H880" i="2"/>
  <c r="AH879" i="2"/>
  <c r="AE879" i="2"/>
  <c r="AD879" i="2"/>
  <c r="AJ879" i="2" s="1"/>
  <c r="I879" i="2"/>
  <c r="H879" i="2"/>
  <c r="AH878" i="2"/>
  <c r="AE878" i="2"/>
  <c r="AD878" i="2"/>
  <c r="AI878" i="2" s="1"/>
  <c r="I878" i="2"/>
  <c r="H878" i="2"/>
  <c r="AH877" i="2"/>
  <c r="AE877" i="2"/>
  <c r="AD877" i="2"/>
  <c r="AJ877" i="2" s="1"/>
  <c r="I877" i="2"/>
  <c r="H877" i="2"/>
  <c r="AH876" i="2"/>
  <c r="AE876" i="2"/>
  <c r="AD876" i="2"/>
  <c r="AJ876" i="2" s="1"/>
  <c r="I876" i="2"/>
  <c r="H876" i="2"/>
  <c r="AH875" i="2"/>
  <c r="AE875" i="2"/>
  <c r="AD875" i="2"/>
  <c r="AJ875" i="2" s="1"/>
  <c r="I875" i="2"/>
  <c r="H875" i="2"/>
  <c r="AH874" i="2"/>
  <c r="AE874" i="2"/>
  <c r="AD874" i="2"/>
  <c r="AI874" i="2" s="1"/>
  <c r="I874" i="2"/>
  <c r="H874" i="2"/>
  <c r="AH873" i="2"/>
  <c r="AE873" i="2"/>
  <c r="AD873" i="2"/>
  <c r="AJ873" i="2" s="1"/>
  <c r="I873" i="2"/>
  <c r="H873" i="2"/>
  <c r="AH872" i="2"/>
  <c r="AE872" i="2"/>
  <c r="AD872" i="2"/>
  <c r="AJ872" i="2" s="1"/>
  <c r="I872" i="2"/>
  <c r="H872" i="2"/>
  <c r="AH871" i="2"/>
  <c r="AE871" i="2"/>
  <c r="AD871" i="2"/>
  <c r="AJ871" i="2" s="1"/>
  <c r="I871" i="2"/>
  <c r="H871" i="2"/>
  <c r="AH870" i="2"/>
  <c r="AE870" i="2"/>
  <c r="AD870" i="2"/>
  <c r="AJ870" i="2" s="1"/>
  <c r="I870" i="2"/>
  <c r="H870" i="2"/>
  <c r="AH869" i="2"/>
  <c r="AE869" i="2"/>
  <c r="AD869" i="2"/>
  <c r="AI869" i="2" s="1"/>
  <c r="I869" i="2"/>
  <c r="H869" i="2"/>
  <c r="I868" i="2"/>
  <c r="H868" i="2"/>
  <c r="I867" i="2"/>
  <c r="H867" i="2"/>
  <c r="AJ865" i="2"/>
  <c r="AI865" i="2"/>
  <c r="AH865" i="2"/>
  <c r="I865" i="2"/>
  <c r="H865" i="2"/>
  <c r="AJ864" i="2"/>
  <c r="AK864" i="2" s="1"/>
  <c r="AL864" i="2" s="1"/>
  <c r="AI864" i="2"/>
  <c r="AH864" i="2"/>
  <c r="I864" i="2"/>
  <c r="H864" i="2"/>
  <c r="AJ863" i="2"/>
  <c r="AI863" i="2"/>
  <c r="AH863" i="2"/>
  <c r="I863" i="2"/>
  <c r="H863" i="2"/>
  <c r="AJ862" i="2"/>
  <c r="AI862" i="2"/>
  <c r="AH862" i="2"/>
  <c r="I862" i="2"/>
  <c r="H862" i="2"/>
  <c r="AJ861" i="2"/>
  <c r="AI861" i="2"/>
  <c r="AH861" i="2"/>
  <c r="I861" i="2"/>
  <c r="H861" i="2"/>
  <c r="AJ860" i="2"/>
  <c r="AI860" i="2"/>
  <c r="AH860" i="2"/>
  <c r="I860" i="2"/>
  <c r="H860" i="2"/>
  <c r="AJ859" i="2"/>
  <c r="AI859" i="2"/>
  <c r="AH859" i="2"/>
  <c r="I859" i="2"/>
  <c r="H859" i="2"/>
  <c r="AJ858" i="2"/>
  <c r="AK858" i="2" s="1"/>
  <c r="AL858" i="2" s="1"/>
  <c r="AI858" i="2"/>
  <c r="AH858" i="2"/>
  <c r="I858" i="2"/>
  <c r="H858" i="2"/>
  <c r="AJ857" i="2"/>
  <c r="AI857" i="2"/>
  <c r="AH857" i="2"/>
  <c r="I857" i="2"/>
  <c r="H857" i="2"/>
  <c r="AJ856" i="2"/>
  <c r="AK856" i="2" s="1"/>
  <c r="AL856" i="2" s="1"/>
  <c r="AI856" i="2"/>
  <c r="AH856" i="2"/>
  <c r="I856" i="2"/>
  <c r="H856" i="2"/>
  <c r="AJ855" i="2"/>
  <c r="AI855" i="2"/>
  <c r="AH855" i="2"/>
  <c r="I855" i="2"/>
  <c r="H855" i="2"/>
  <c r="AJ854" i="2"/>
  <c r="AK854" i="2" s="1"/>
  <c r="AL854" i="2" s="1"/>
  <c r="AI854" i="2"/>
  <c r="AH854" i="2"/>
  <c r="I854" i="2"/>
  <c r="H854" i="2"/>
  <c r="AJ853" i="2"/>
  <c r="AI853" i="2"/>
  <c r="AH853" i="2"/>
  <c r="I853" i="2"/>
  <c r="H853" i="2"/>
  <c r="AJ852" i="2"/>
  <c r="AI852" i="2"/>
  <c r="AH852" i="2"/>
  <c r="I852" i="2"/>
  <c r="H852" i="2"/>
  <c r="AJ851" i="2"/>
  <c r="AI851" i="2"/>
  <c r="AH851" i="2"/>
  <c r="I851" i="2"/>
  <c r="H851" i="2"/>
  <c r="AH850" i="2"/>
  <c r="I850" i="2"/>
  <c r="H850" i="2"/>
  <c r="AH849" i="2"/>
  <c r="I849" i="2"/>
  <c r="H849" i="2"/>
  <c r="AJ848" i="2"/>
  <c r="AK848" i="2" s="1"/>
  <c r="AL848" i="2" s="1"/>
  <c r="AI848" i="2"/>
  <c r="AH848" i="2"/>
  <c r="I848" i="2"/>
  <c r="H848" i="2"/>
  <c r="AJ847" i="2"/>
  <c r="AI847" i="2"/>
  <c r="AH847" i="2"/>
  <c r="I847" i="2"/>
  <c r="H847" i="2"/>
  <c r="AJ846" i="2"/>
  <c r="AK846" i="2" s="1"/>
  <c r="AI846" i="2"/>
  <c r="AH846" i="2"/>
  <c r="I846" i="2"/>
  <c r="H846" i="2"/>
  <c r="AJ845" i="2"/>
  <c r="AI845" i="2"/>
  <c r="AH845" i="2"/>
  <c r="I845" i="2"/>
  <c r="H845" i="2"/>
  <c r="AJ844" i="2"/>
  <c r="AK844" i="2" s="1"/>
  <c r="AI844" i="2"/>
  <c r="AH844" i="2"/>
  <c r="I844" i="2"/>
  <c r="H844" i="2"/>
  <c r="AJ843" i="2"/>
  <c r="AI843" i="2"/>
  <c r="AH843" i="2"/>
  <c r="I843" i="2"/>
  <c r="H843" i="2"/>
  <c r="AJ842" i="2"/>
  <c r="AI842" i="2"/>
  <c r="AH842" i="2"/>
  <c r="I842" i="2"/>
  <c r="H842" i="2"/>
  <c r="AJ841" i="2"/>
  <c r="AI841" i="2"/>
  <c r="AH841" i="2"/>
  <c r="I841" i="2"/>
  <c r="H841" i="2"/>
  <c r="AJ840" i="2"/>
  <c r="AI840" i="2"/>
  <c r="AH840" i="2"/>
  <c r="I840" i="2"/>
  <c r="H840" i="2"/>
  <c r="AJ839" i="2"/>
  <c r="AI839" i="2"/>
  <c r="AH839" i="2"/>
  <c r="I839" i="2"/>
  <c r="H839" i="2"/>
  <c r="AJ838" i="2"/>
  <c r="AK838" i="2" s="1"/>
  <c r="AI838" i="2"/>
  <c r="AH838" i="2"/>
  <c r="I838" i="2"/>
  <c r="H838" i="2"/>
  <c r="AJ837" i="2"/>
  <c r="AI837" i="2"/>
  <c r="AH837" i="2"/>
  <c r="I837" i="2"/>
  <c r="H837" i="2"/>
  <c r="AH836" i="2"/>
  <c r="I836" i="2"/>
  <c r="H836" i="2"/>
  <c r="AH835" i="2"/>
  <c r="I835" i="2"/>
  <c r="H835" i="2"/>
  <c r="AJ834" i="2"/>
  <c r="AI834" i="2"/>
  <c r="AH834" i="2"/>
  <c r="I834" i="2"/>
  <c r="H834" i="2"/>
  <c r="AJ833" i="2"/>
  <c r="AI833" i="2"/>
  <c r="AH833" i="2"/>
  <c r="I833" i="2"/>
  <c r="H833" i="2"/>
  <c r="AJ832" i="2"/>
  <c r="AI832" i="2"/>
  <c r="AH832" i="2"/>
  <c r="I832" i="2"/>
  <c r="H832" i="2"/>
  <c r="AJ831" i="2"/>
  <c r="AI831" i="2"/>
  <c r="AH831" i="2"/>
  <c r="I831" i="2"/>
  <c r="H831" i="2"/>
  <c r="AJ830" i="2"/>
  <c r="AI830" i="2"/>
  <c r="AH830" i="2"/>
  <c r="I830" i="2"/>
  <c r="H830" i="2"/>
  <c r="AJ829" i="2"/>
  <c r="AI829" i="2"/>
  <c r="AH829" i="2"/>
  <c r="I829" i="2"/>
  <c r="H829" i="2"/>
  <c r="AJ828" i="2"/>
  <c r="AI828" i="2"/>
  <c r="AH828" i="2"/>
  <c r="I828" i="2"/>
  <c r="H828" i="2"/>
  <c r="AJ827" i="2"/>
  <c r="AI827" i="2"/>
  <c r="AH827" i="2"/>
  <c r="I827" i="2"/>
  <c r="H827" i="2"/>
  <c r="AJ826" i="2"/>
  <c r="AK826" i="2" s="1"/>
  <c r="AL826" i="2" s="1"/>
  <c r="AI826" i="2"/>
  <c r="AH826" i="2"/>
  <c r="I826" i="2"/>
  <c r="H826" i="2"/>
  <c r="AJ825" i="2"/>
  <c r="AI825" i="2"/>
  <c r="AH825" i="2"/>
  <c r="I825" i="2"/>
  <c r="H825" i="2"/>
  <c r="AK824" i="2"/>
  <c r="AJ824" i="2"/>
  <c r="AI824" i="2"/>
  <c r="AH824" i="2"/>
  <c r="I824" i="2"/>
  <c r="H824" i="2"/>
  <c r="AJ823" i="2"/>
  <c r="AK823" i="2" s="1"/>
  <c r="AL823" i="2" s="1"/>
  <c r="AI823" i="2"/>
  <c r="AH823" i="2"/>
  <c r="I823" i="2"/>
  <c r="H823" i="2"/>
  <c r="AJ822" i="2"/>
  <c r="AI822" i="2"/>
  <c r="AH822" i="2"/>
  <c r="I822" i="2"/>
  <c r="H822" i="2"/>
  <c r="AJ821" i="2"/>
  <c r="AI821" i="2"/>
  <c r="AH821" i="2"/>
  <c r="I821" i="2"/>
  <c r="H821" i="2"/>
  <c r="AJ820" i="2"/>
  <c r="AI820" i="2"/>
  <c r="AH820" i="2"/>
  <c r="I820" i="2"/>
  <c r="H820" i="2"/>
  <c r="AJ819" i="2"/>
  <c r="AK819" i="2" s="1"/>
  <c r="AL819" i="2" s="1"/>
  <c r="AI819" i="2"/>
  <c r="AH819" i="2"/>
  <c r="I819" i="2"/>
  <c r="H819" i="2"/>
  <c r="AJ818" i="2"/>
  <c r="AI818" i="2"/>
  <c r="AH818" i="2"/>
  <c r="I818" i="2"/>
  <c r="H818" i="2"/>
  <c r="AJ817" i="2"/>
  <c r="AK817" i="2" s="1"/>
  <c r="AI817" i="2"/>
  <c r="AH817" i="2"/>
  <c r="I817" i="2"/>
  <c r="H817" i="2"/>
  <c r="AJ816" i="2"/>
  <c r="AI816" i="2"/>
  <c r="AH816" i="2"/>
  <c r="I816" i="2"/>
  <c r="H816" i="2"/>
  <c r="AJ815" i="2"/>
  <c r="AI815" i="2"/>
  <c r="AH815" i="2"/>
  <c r="I815" i="2"/>
  <c r="H815" i="2"/>
  <c r="AJ814" i="2"/>
  <c r="AI814" i="2"/>
  <c r="AH814" i="2"/>
  <c r="I814" i="2"/>
  <c r="H814" i="2"/>
  <c r="AJ813" i="2"/>
  <c r="AI813" i="2"/>
  <c r="AK813" i="2" s="1"/>
  <c r="AH813" i="2"/>
  <c r="I813" i="2"/>
  <c r="H813" i="2"/>
  <c r="AH812" i="2"/>
  <c r="I812" i="2"/>
  <c r="H812" i="2"/>
  <c r="AH811" i="2"/>
  <c r="AJ810" i="2"/>
  <c r="AK810" i="2" s="1"/>
  <c r="AI810" i="2"/>
  <c r="AH810" i="2"/>
  <c r="I810" i="2"/>
  <c r="H810" i="2"/>
  <c r="AJ809" i="2"/>
  <c r="AI809" i="2"/>
  <c r="AH809" i="2"/>
  <c r="I809" i="2"/>
  <c r="H809" i="2"/>
  <c r="AJ808" i="2"/>
  <c r="AK808" i="2" s="1"/>
  <c r="AL808" i="2" s="1"/>
  <c r="AI808" i="2"/>
  <c r="AH808" i="2"/>
  <c r="I808" i="2"/>
  <c r="H808" i="2"/>
  <c r="AJ807" i="2"/>
  <c r="AI807" i="2"/>
  <c r="AH807" i="2"/>
  <c r="I807" i="2"/>
  <c r="H807" i="2"/>
  <c r="AJ806" i="2"/>
  <c r="AI806" i="2"/>
  <c r="AH806" i="2"/>
  <c r="I806" i="2"/>
  <c r="H806" i="2"/>
  <c r="AJ805" i="2"/>
  <c r="AK805" i="2" s="1"/>
  <c r="AL805" i="2" s="1"/>
  <c r="AI805" i="2"/>
  <c r="AH805" i="2"/>
  <c r="I805" i="2"/>
  <c r="H805" i="2"/>
  <c r="AJ804" i="2"/>
  <c r="AI804" i="2"/>
  <c r="AH804" i="2"/>
  <c r="I804" i="2"/>
  <c r="H804" i="2"/>
  <c r="AJ803" i="2"/>
  <c r="AI803" i="2"/>
  <c r="AH803" i="2"/>
  <c r="I803" i="2"/>
  <c r="H803" i="2"/>
  <c r="AJ802" i="2"/>
  <c r="AI802" i="2"/>
  <c r="AH802" i="2"/>
  <c r="I802" i="2"/>
  <c r="H802" i="2"/>
  <c r="AJ801" i="2"/>
  <c r="AI801" i="2"/>
  <c r="AH801" i="2"/>
  <c r="I801" i="2"/>
  <c r="H801" i="2"/>
  <c r="AJ800" i="2"/>
  <c r="AI800" i="2"/>
  <c r="AK800" i="2" s="1"/>
  <c r="AL800" i="2" s="1"/>
  <c r="AH800" i="2"/>
  <c r="I800" i="2"/>
  <c r="H800" i="2"/>
  <c r="AJ799" i="2"/>
  <c r="AK799" i="2" s="1"/>
  <c r="AL799" i="2" s="1"/>
  <c r="AI799" i="2"/>
  <c r="AH799" i="2"/>
  <c r="I799" i="2"/>
  <c r="H799" i="2"/>
  <c r="AJ798" i="2"/>
  <c r="AI798" i="2"/>
  <c r="AH798" i="2"/>
  <c r="I798" i="2"/>
  <c r="H798" i="2"/>
  <c r="AJ797" i="2"/>
  <c r="AI797" i="2"/>
  <c r="AH797" i="2"/>
  <c r="I797" i="2"/>
  <c r="H797" i="2"/>
  <c r="AJ796" i="2"/>
  <c r="AI796" i="2"/>
  <c r="AH796" i="2"/>
  <c r="I796" i="2"/>
  <c r="H796" i="2"/>
  <c r="AJ795" i="2"/>
  <c r="AI795" i="2"/>
  <c r="AH795" i="2"/>
  <c r="I795" i="2"/>
  <c r="H795" i="2"/>
  <c r="AH794" i="2"/>
  <c r="I794" i="2"/>
  <c r="H794" i="2"/>
  <c r="AH793" i="2"/>
  <c r="AJ792" i="2"/>
  <c r="AI792" i="2"/>
  <c r="AH792" i="2"/>
  <c r="I792" i="2"/>
  <c r="H792" i="2"/>
  <c r="AJ791" i="2"/>
  <c r="AI791" i="2"/>
  <c r="AH791" i="2"/>
  <c r="I791" i="2"/>
  <c r="H791" i="2"/>
  <c r="AJ790" i="2"/>
  <c r="AI790" i="2"/>
  <c r="AH790" i="2"/>
  <c r="I790" i="2"/>
  <c r="H790" i="2"/>
  <c r="AJ789" i="2"/>
  <c r="AI789" i="2"/>
  <c r="AH789" i="2"/>
  <c r="I789" i="2"/>
  <c r="H789" i="2"/>
  <c r="AJ788" i="2"/>
  <c r="AI788" i="2"/>
  <c r="AH788" i="2"/>
  <c r="I788" i="2"/>
  <c r="H788" i="2"/>
  <c r="AJ787" i="2"/>
  <c r="AK787" i="2" s="1"/>
  <c r="AI787" i="2"/>
  <c r="AH787" i="2"/>
  <c r="I787" i="2"/>
  <c r="H787" i="2"/>
  <c r="AJ786" i="2"/>
  <c r="AI786" i="2"/>
  <c r="AH786" i="2"/>
  <c r="I786" i="2"/>
  <c r="H786" i="2"/>
  <c r="AJ785" i="2"/>
  <c r="AI785" i="2"/>
  <c r="AH785" i="2"/>
  <c r="I785" i="2"/>
  <c r="H785" i="2"/>
  <c r="AJ784" i="2"/>
  <c r="AI784" i="2"/>
  <c r="AH784" i="2"/>
  <c r="I784" i="2"/>
  <c r="H784" i="2"/>
  <c r="AJ783" i="2"/>
  <c r="AI783" i="2"/>
  <c r="AH783" i="2"/>
  <c r="I783" i="2"/>
  <c r="H783" i="2"/>
  <c r="AJ782" i="2"/>
  <c r="AI782" i="2"/>
  <c r="AH782" i="2"/>
  <c r="I782" i="2"/>
  <c r="H782" i="2"/>
  <c r="AJ781" i="2"/>
  <c r="AK781" i="2" s="1"/>
  <c r="AL781" i="2" s="1"/>
  <c r="AI781" i="2"/>
  <c r="AH781" i="2"/>
  <c r="I781" i="2"/>
  <c r="H781" i="2"/>
  <c r="AJ780" i="2"/>
  <c r="AI780" i="2"/>
  <c r="AH780" i="2"/>
  <c r="I780" i="2"/>
  <c r="H780" i="2"/>
  <c r="AJ779" i="2"/>
  <c r="AI779" i="2"/>
  <c r="AH779" i="2"/>
  <c r="I779" i="2"/>
  <c r="H779" i="2"/>
  <c r="AJ778" i="2"/>
  <c r="AI778" i="2"/>
  <c r="AH778" i="2"/>
  <c r="I778" i="2"/>
  <c r="H778" i="2"/>
  <c r="AJ777" i="2"/>
  <c r="AI777" i="2"/>
  <c r="AH777" i="2"/>
  <c r="I777" i="2"/>
  <c r="H777" i="2"/>
  <c r="AJ776" i="2"/>
  <c r="AI776" i="2"/>
  <c r="AH776" i="2"/>
  <c r="I776" i="2"/>
  <c r="H776" i="2"/>
  <c r="AJ775" i="2"/>
  <c r="AK775" i="2" s="1"/>
  <c r="AL775" i="2" s="1"/>
  <c r="AI775" i="2"/>
  <c r="AH775" i="2"/>
  <c r="I775" i="2"/>
  <c r="H775" i="2"/>
  <c r="AJ774" i="2"/>
  <c r="AI774" i="2"/>
  <c r="AH774" i="2"/>
  <c r="I774" i="2"/>
  <c r="H774" i="2"/>
  <c r="AH773" i="2"/>
  <c r="I773" i="2"/>
  <c r="H773" i="2"/>
  <c r="AH772" i="2"/>
  <c r="AH771" i="2"/>
  <c r="AJ770" i="2"/>
  <c r="AI770" i="2"/>
  <c r="AH770" i="2"/>
  <c r="I770" i="2"/>
  <c r="H770" i="2"/>
  <c r="AJ769" i="2"/>
  <c r="AI769" i="2"/>
  <c r="AH769" i="2"/>
  <c r="I769" i="2"/>
  <c r="H769" i="2"/>
  <c r="AJ768" i="2"/>
  <c r="AI768" i="2"/>
  <c r="AH768" i="2"/>
  <c r="I768" i="2"/>
  <c r="H768" i="2"/>
  <c r="AJ767" i="2"/>
  <c r="AI767" i="2"/>
  <c r="AH767" i="2"/>
  <c r="I767" i="2"/>
  <c r="H767" i="2"/>
  <c r="AJ766" i="2"/>
  <c r="AI766" i="2"/>
  <c r="AH766" i="2"/>
  <c r="I766" i="2"/>
  <c r="H766" i="2"/>
  <c r="AJ765" i="2"/>
  <c r="AI765" i="2"/>
  <c r="AH765" i="2"/>
  <c r="I765" i="2"/>
  <c r="H765" i="2"/>
  <c r="AJ764" i="2"/>
  <c r="AI764" i="2"/>
  <c r="AH764" i="2"/>
  <c r="I764" i="2"/>
  <c r="H764" i="2"/>
  <c r="AJ763" i="2"/>
  <c r="AI763" i="2"/>
  <c r="AH763" i="2"/>
  <c r="I763" i="2"/>
  <c r="H763" i="2"/>
  <c r="AJ762" i="2"/>
  <c r="AI762" i="2"/>
  <c r="AH762" i="2"/>
  <c r="I762" i="2"/>
  <c r="H762" i="2"/>
  <c r="AJ761" i="2"/>
  <c r="AI761" i="2"/>
  <c r="AH761" i="2"/>
  <c r="I761" i="2"/>
  <c r="H761" i="2"/>
  <c r="AH760" i="2"/>
  <c r="I760" i="2"/>
  <c r="H760" i="2"/>
  <c r="AH759" i="2"/>
  <c r="AJ758" i="2"/>
  <c r="AI758" i="2"/>
  <c r="AH758" i="2"/>
  <c r="I758" i="2"/>
  <c r="H758" i="2"/>
  <c r="AJ757" i="2"/>
  <c r="AI757" i="2"/>
  <c r="AH757" i="2"/>
  <c r="I757" i="2"/>
  <c r="H757" i="2"/>
  <c r="AJ756" i="2"/>
  <c r="AI756" i="2"/>
  <c r="AH756" i="2"/>
  <c r="I756" i="2"/>
  <c r="H756" i="2"/>
  <c r="AJ755" i="2"/>
  <c r="AI755" i="2"/>
  <c r="AH755" i="2"/>
  <c r="I755" i="2"/>
  <c r="H755" i="2"/>
  <c r="AJ754" i="2"/>
  <c r="AK754" i="2" s="1"/>
  <c r="AL754" i="2" s="1"/>
  <c r="AI754" i="2"/>
  <c r="AH754" i="2"/>
  <c r="I754" i="2"/>
  <c r="H754" i="2"/>
  <c r="AJ753" i="2"/>
  <c r="AK753" i="2" s="1"/>
  <c r="AI753" i="2"/>
  <c r="AH753" i="2"/>
  <c r="I753" i="2"/>
  <c r="H753" i="2"/>
  <c r="AJ752" i="2"/>
  <c r="AI752" i="2"/>
  <c r="AH752" i="2"/>
  <c r="I752" i="2"/>
  <c r="H752" i="2"/>
  <c r="AJ751" i="2"/>
  <c r="AI751" i="2"/>
  <c r="AH751" i="2"/>
  <c r="I751" i="2"/>
  <c r="H751" i="2"/>
  <c r="AJ750" i="2"/>
  <c r="AI750" i="2"/>
  <c r="AH750" i="2"/>
  <c r="I750" i="2"/>
  <c r="H750" i="2"/>
  <c r="AJ749" i="2"/>
  <c r="AI749" i="2"/>
  <c r="AH749" i="2"/>
  <c r="I749" i="2"/>
  <c r="H749" i="2"/>
  <c r="AJ748" i="2"/>
  <c r="AI748" i="2"/>
  <c r="AH748" i="2"/>
  <c r="I748" i="2"/>
  <c r="H748" i="2"/>
  <c r="AH747" i="2"/>
  <c r="I747" i="2"/>
  <c r="H747" i="2"/>
  <c r="AH746" i="2"/>
  <c r="I746" i="2"/>
  <c r="H746" i="2"/>
  <c r="AJ745" i="2"/>
  <c r="AI745" i="2"/>
  <c r="AH745" i="2"/>
  <c r="I745" i="2"/>
  <c r="H745" i="2"/>
  <c r="AJ744" i="2"/>
  <c r="AI744" i="2"/>
  <c r="AH744" i="2"/>
  <c r="I744" i="2"/>
  <c r="H744" i="2"/>
  <c r="AJ743" i="2"/>
  <c r="AI743" i="2"/>
  <c r="AH743" i="2"/>
  <c r="I743" i="2"/>
  <c r="H743" i="2"/>
  <c r="AJ742" i="2"/>
  <c r="AI742" i="2"/>
  <c r="AH742" i="2"/>
  <c r="I742" i="2"/>
  <c r="H742" i="2"/>
  <c r="AJ741" i="2"/>
  <c r="AK741" i="2" s="1"/>
  <c r="AL741" i="2" s="1"/>
  <c r="AI741" i="2"/>
  <c r="AH741" i="2"/>
  <c r="I741" i="2"/>
  <c r="H741" i="2"/>
  <c r="AJ740" i="2"/>
  <c r="AI740" i="2"/>
  <c r="AH740" i="2"/>
  <c r="I740" i="2"/>
  <c r="H740" i="2"/>
  <c r="AJ739" i="2"/>
  <c r="AI739" i="2"/>
  <c r="AH739" i="2"/>
  <c r="I739" i="2"/>
  <c r="H739" i="2"/>
  <c r="AH738" i="2"/>
  <c r="I738" i="2"/>
  <c r="H738" i="2"/>
  <c r="AH737" i="2"/>
  <c r="AJ736" i="2"/>
  <c r="AI736" i="2"/>
  <c r="AH736" i="2"/>
  <c r="I736" i="2"/>
  <c r="H736" i="2"/>
  <c r="AJ735" i="2"/>
  <c r="AI735" i="2"/>
  <c r="AH735" i="2"/>
  <c r="I735" i="2"/>
  <c r="H735" i="2"/>
  <c r="AJ734" i="2"/>
  <c r="AI734" i="2"/>
  <c r="AH734" i="2"/>
  <c r="I734" i="2"/>
  <c r="H734" i="2"/>
  <c r="AJ733" i="2"/>
  <c r="AI733" i="2"/>
  <c r="AH733" i="2"/>
  <c r="I733" i="2"/>
  <c r="H733" i="2"/>
  <c r="AJ732" i="2"/>
  <c r="AI732" i="2"/>
  <c r="AH732" i="2"/>
  <c r="I732" i="2"/>
  <c r="H732" i="2"/>
  <c r="AJ731" i="2"/>
  <c r="AI731" i="2"/>
  <c r="AH731" i="2"/>
  <c r="I731" i="2"/>
  <c r="H731" i="2"/>
  <c r="AJ730" i="2"/>
  <c r="AI730" i="2"/>
  <c r="AH730" i="2"/>
  <c r="I730" i="2"/>
  <c r="H730" i="2"/>
  <c r="AJ729" i="2"/>
  <c r="AK729" i="2" s="1"/>
  <c r="AL729" i="2" s="1"/>
  <c r="AI729" i="2"/>
  <c r="AH729" i="2"/>
  <c r="I729" i="2"/>
  <c r="H729" i="2"/>
  <c r="AJ728" i="2"/>
  <c r="AK728" i="2" s="1"/>
  <c r="AI728" i="2"/>
  <c r="AH728" i="2"/>
  <c r="I728" i="2"/>
  <c r="H728" i="2"/>
  <c r="AJ727" i="2"/>
  <c r="AI727" i="2"/>
  <c r="AH727" i="2"/>
  <c r="I727" i="2"/>
  <c r="H727" i="2"/>
  <c r="AJ726" i="2"/>
  <c r="AI726" i="2"/>
  <c r="AH726" i="2"/>
  <c r="I726" i="2"/>
  <c r="H726" i="2"/>
  <c r="AJ725" i="2"/>
  <c r="AI725" i="2"/>
  <c r="AH725" i="2"/>
  <c r="I725" i="2"/>
  <c r="H725" i="2"/>
  <c r="AJ724" i="2"/>
  <c r="AI724" i="2"/>
  <c r="AH724" i="2"/>
  <c r="I724" i="2"/>
  <c r="H724" i="2"/>
  <c r="AJ723" i="2"/>
  <c r="AK723" i="2" s="1"/>
  <c r="AI723" i="2"/>
  <c r="AH723" i="2"/>
  <c r="I723" i="2"/>
  <c r="H723" i="2"/>
  <c r="AJ722" i="2"/>
  <c r="AI722" i="2"/>
  <c r="AH722" i="2"/>
  <c r="I722" i="2"/>
  <c r="H722" i="2"/>
  <c r="AJ721" i="2"/>
  <c r="AK721" i="2" s="1"/>
  <c r="AL721" i="2" s="1"/>
  <c r="AI721" i="2"/>
  <c r="AH721" i="2"/>
  <c r="I721" i="2"/>
  <c r="H721" i="2"/>
  <c r="AJ720" i="2"/>
  <c r="AI720" i="2"/>
  <c r="AH720" i="2"/>
  <c r="I720" i="2"/>
  <c r="H720" i="2"/>
  <c r="AJ719" i="2"/>
  <c r="AI719" i="2"/>
  <c r="AK719" i="2" s="1"/>
  <c r="AL719" i="2" s="1"/>
  <c r="AH719" i="2"/>
  <c r="I719" i="2"/>
  <c r="H719" i="2"/>
  <c r="AH718" i="2"/>
  <c r="I718" i="2"/>
  <c r="H718" i="2"/>
  <c r="AH717" i="2"/>
  <c r="AJ716" i="2"/>
  <c r="AK716" i="2" s="1"/>
  <c r="AL716" i="2" s="1"/>
  <c r="AI716" i="2"/>
  <c r="AH716" i="2"/>
  <c r="I716" i="2"/>
  <c r="H716" i="2"/>
  <c r="AJ715" i="2"/>
  <c r="AI715" i="2"/>
  <c r="AH715" i="2"/>
  <c r="I715" i="2"/>
  <c r="H715" i="2"/>
  <c r="AJ714" i="2"/>
  <c r="AI714" i="2"/>
  <c r="AK714" i="2" s="1"/>
  <c r="AL714" i="2" s="1"/>
  <c r="AH714" i="2"/>
  <c r="I714" i="2"/>
  <c r="H714" i="2"/>
  <c r="AJ713" i="2"/>
  <c r="AI713" i="2"/>
  <c r="AH713" i="2"/>
  <c r="I713" i="2"/>
  <c r="H713" i="2"/>
  <c r="AJ712" i="2"/>
  <c r="AI712" i="2"/>
  <c r="AH712" i="2"/>
  <c r="I712" i="2"/>
  <c r="H712" i="2"/>
  <c r="AJ711" i="2"/>
  <c r="AK711" i="2" s="1"/>
  <c r="AI711" i="2"/>
  <c r="AH711" i="2"/>
  <c r="I711" i="2"/>
  <c r="H711" i="2"/>
  <c r="AJ710" i="2"/>
  <c r="AI710" i="2"/>
  <c r="AH710" i="2"/>
  <c r="I710" i="2"/>
  <c r="H710" i="2"/>
  <c r="AJ709" i="2"/>
  <c r="AK709" i="2" s="1"/>
  <c r="AI709" i="2"/>
  <c r="AH709" i="2"/>
  <c r="I709" i="2"/>
  <c r="H709" i="2"/>
  <c r="AJ708" i="2"/>
  <c r="AI708" i="2"/>
  <c r="AH708" i="2"/>
  <c r="I708" i="2"/>
  <c r="H708" i="2"/>
  <c r="AJ707" i="2"/>
  <c r="AI707" i="2"/>
  <c r="AK707" i="2" s="1"/>
  <c r="AL707" i="2" s="1"/>
  <c r="AH707" i="2"/>
  <c r="I707" i="2"/>
  <c r="H707" i="2"/>
  <c r="AJ706" i="2"/>
  <c r="AI706" i="2"/>
  <c r="AH706" i="2"/>
  <c r="I706" i="2"/>
  <c r="H706" i="2"/>
  <c r="AJ705" i="2"/>
  <c r="AI705" i="2"/>
  <c r="AH705" i="2"/>
  <c r="I705" i="2"/>
  <c r="H705" i="2"/>
  <c r="AJ704" i="2"/>
  <c r="AK704" i="2" s="1"/>
  <c r="AL704" i="2" s="1"/>
  <c r="AI704" i="2"/>
  <c r="AH704" i="2"/>
  <c r="I704" i="2"/>
  <c r="H704" i="2"/>
  <c r="AJ703" i="2"/>
  <c r="AI703" i="2"/>
  <c r="AH703" i="2"/>
  <c r="I703" i="2"/>
  <c r="H703" i="2"/>
  <c r="AJ702" i="2"/>
  <c r="AI702" i="2"/>
  <c r="AH702" i="2"/>
  <c r="I702" i="2"/>
  <c r="H702" i="2"/>
  <c r="AJ701" i="2"/>
  <c r="AI701" i="2"/>
  <c r="AH701" i="2"/>
  <c r="I701" i="2"/>
  <c r="H701" i="2"/>
  <c r="AJ700" i="2"/>
  <c r="AI700" i="2"/>
  <c r="AH700" i="2"/>
  <c r="I700" i="2"/>
  <c r="H700" i="2"/>
  <c r="AJ699" i="2"/>
  <c r="AI699" i="2"/>
  <c r="AH699" i="2"/>
  <c r="I699" i="2"/>
  <c r="H699" i="2"/>
  <c r="AJ698" i="2"/>
  <c r="AK698" i="2" s="1"/>
  <c r="AL698" i="2" s="1"/>
  <c r="AI698" i="2"/>
  <c r="AH698" i="2"/>
  <c r="I698" i="2"/>
  <c r="H698" i="2"/>
  <c r="AJ697" i="2"/>
  <c r="AI697" i="2"/>
  <c r="AH697" i="2"/>
  <c r="I697" i="2"/>
  <c r="H697" i="2"/>
  <c r="AJ696" i="2"/>
  <c r="AI696" i="2"/>
  <c r="AH696" i="2"/>
  <c r="I696" i="2"/>
  <c r="H696" i="2"/>
  <c r="AJ695" i="2"/>
  <c r="AI695" i="2"/>
  <c r="AH695" i="2"/>
  <c r="I695" i="2"/>
  <c r="H695" i="2"/>
  <c r="AJ694" i="2"/>
  <c r="AI694" i="2"/>
  <c r="AH694" i="2"/>
  <c r="I694" i="2"/>
  <c r="H694" i="2"/>
  <c r="AJ693" i="2"/>
  <c r="AI693" i="2"/>
  <c r="AH693" i="2"/>
  <c r="I693" i="2"/>
  <c r="H693" i="2"/>
  <c r="AJ692" i="2"/>
  <c r="AK692" i="2" s="1"/>
  <c r="AL692" i="2" s="1"/>
  <c r="AI692" i="2"/>
  <c r="AH692" i="2"/>
  <c r="I692" i="2"/>
  <c r="H692" i="2"/>
  <c r="AH691" i="2"/>
  <c r="I691" i="2"/>
  <c r="H691" i="2"/>
  <c r="AH690" i="2"/>
  <c r="AJ689" i="2"/>
  <c r="AI689" i="2"/>
  <c r="AH689" i="2"/>
  <c r="I689" i="2"/>
  <c r="H689" i="2"/>
  <c r="AJ688" i="2"/>
  <c r="AI688" i="2"/>
  <c r="AH688" i="2"/>
  <c r="I688" i="2"/>
  <c r="H688" i="2"/>
  <c r="AJ687" i="2"/>
  <c r="AK687" i="2" s="1"/>
  <c r="AL687" i="2" s="1"/>
  <c r="AI687" i="2"/>
  <c r="AH687" i="2"/>
  <c r="I687" i="2"/>
  <c r="H687" i="2"/>
  <c r="AJ686" i="2"/>
  <c r="AI686" i="2"/>
  <c r="AH686" i="2"/>
  <c r="I686" i="2"/>
  <c r="H686" i="2"/>
  <c r="AJ685" i="2"/>
  <c r="AI685" i="2"/>
  <c r="AH685" i="2"/>
  <c r="I685" i="2"/>
  <c r="H685" i="2"/>
  <c r="AJ684" i="2"/>
  <c r="AI684" i="2"/>
  <c r="AH684" i="2"/>
  <c r="I684" i="2"/>
  <c r="H684" i="2"/>
  <c r="AJ683" i="2"/>
  <c r="AI683" i="2"/>
  <c r="AH683" i="2"/>
  <c r="I683" i="2"/>
  <c r="H683" i="2"/>
  <c r="AJ682" i="2"/>
  <c r="AI682" i="2"/>
  <c r="AH682" i="2"/>
  <c r="I682" i="2"/>
  <c r="H682" i="2"/>
  <c r="AJ681" i="2"/>
  <c r="AI681" i="2"/>
  <c r="AH681" i="2"/>
  <c r="I681" i="2"/>
  <c r="H681" i="2"/>
  <c r="AJ680" i="2"/>
  <c r="AI680" i="2"/>
  <c r="AH680" i="2"/>
  <c r="I680" i="2"/>
  <c r="H680" i="2"/>
  <c r="AJ679" i="2"/>
  <c r="AK679" i="2" s="1"/>
  <c r="AI679" i="2"/>
  <c r="AH679" i="2"/>
  <c r="I679" i="2"/>
  <c r="H679" i="2"/>
  <c r="AJ678" i="2"/>
  <c r="AI678" i="2"/>
  <c r="AH678" i="2"/>
  <c r="I678" i="2"/>
  <c r="H678" i="2"/>
  <c r="AJ677" i="2"/>
  <c r="AI677" i="2"/>
  <c r="AH677" i="2"/>
  <c r="I677" i="2"/>
  <c r="H677" i="2"/>
  <c r="AJ676" i="2"/>
  <c r="AI676" i="2"/>
  <c r="AH676" i="2"/>
  <c r="I676" i="2"/>
  <c r="H676" i="2"/>
  <c r="AJ675" i="2"/>
  <c r="AI675" i="2"/>
  <c r="AH675" i="2"/>
  <c r="I675" i="2"/>
  <c r="H675" i="2"/>
  <c r="AJ674" i="2"/>
  <c r="AI674" i="2"/>
  <c r="AH674" i="2"/>
  <c r="I674" i="2"/>
  <c r="H674" i="2"/>
  <c r="AJ673" i="2"/>
  <c r="AK673" i="2" s="1"/>
  <c r="AL673" i="2" s="1"/>
  <c r="AI673" i="2"/>
  <c r="AH673" i="2"/>
  <c r="I673" i="2"/>
  <c r="H673" i="2"/>
  <c r="AJ672" i="2"/>
  <c r="AI672" i="2"/>
  <c r="AH672" i="2"/>
  <c r="I672" i="2"/>
  <c r="H672" i="2"/>
  <c r="AH671" i="2"/>
  <c r="AH670" i="2"/>
  <c r="AJ669" i="2"/>
  <c r="AK669" i="2" s="1"/>
  <c r="AI669" i="2"/>
  <c r="AH669" i="2"/>
  <c r="AJ668" i="2"/>
  <c r="AI668" i="2"/>
  <c r="AH668" i="2"/>
  <c r="I668" i="2"/>
  <c r="H668" i="2"/>
  <c r="AJ667" i="2"/>
  <c r="AK667" i="2" s="1"/>
  <c r="AI667" i="2"/>
  <c r="AH667" i="2"/>
  <c r="AJ666" i="2"/>
  <c r="AI666" i="2"/>
  <c r="AH666" i="2"/>
  <c r="I666" i="2"/>
  <c r="H666" i="2"/>
  <c r="AJ665" i="2"/>
  <c r="AI665" i="2"/>
  <c r="AH665" i="2"/>
  <c r="I665" i="2"/>
  <c r="H665" i="2"/>
  <c r="AJ664" i="2"/>
  <c r="AI664" i="2"/>
  <c r="AH664" i="2"/>
  <c r="I664" i="2"/>
  <c r="H664" i="2"/>
  <c r="AJ663" i="2"/>
  <c r="AI663" i="2"/>
  <c r="AH663" i="2"/>
  <c r="I663" i="2"/>
  <c r="H663" i="2"/>
  <c r="AJ662" i="2"/>
  <c r="AI662" i="2"/>
  <c r="AH662" i="2"/>
  <c r="I662" i="2"/>
  <c r="H662" i="2"/>
  <c r="AJ661" i="2"/>
  <c r="AI661" i="2"/>
  <c r="AH661" i="2"/>
  <c r="I661" i="2"/>
  <c r="H661" i="2"/>
  <c r="AJ660" i="2"/>
  <c r="AK660" i="2" s="1"/>
  <c r="AL660" i="2" s="1"/>
  <c r="AI660" i="2"/>
  <c r="AH660" i="2"/>
  <c r="I660" i="2"/>
  <c r="H660" i="2"/>
  <c r="AH659" i="2"/>
  <c r="AH658" i="2"/>
  <c r="AK657" i="2"/>
  <c r="AJ657" i="2"/>
  <c r="AI657" i="2"/>
  <c r="AH657" i="2"/>
  <c r="I657" i="2"/>
  <c r="H657" i="2"/>
  <c r="AJ656" i="2"/>
  <c r="AI656" i="2"/>
  <c r="AH656" i="2"/>
  <c r="I656" i="2"/>
  <c r="H656" i="2"/>
  <c r="AJ655" i="2"/>
  <c r="AI655" i="2"/>
  <c r="AH655" i="2"/>
  <c r="I655" i="2"/>
  <c r="H655" i="2"/>
  <c r="AJ654" i="2"/>
  <c r="AI654" i="2"/>
  <c r="AH654" i="2"/>
  <c r="I654" i="2"/>
  <c r="H654" i="2"/>
  <c r="AJ653" i="2"/>
  <c r="AI653" i="2"/>
  <c r="AH653" i="2"/>
  <c r="I653" i="2"/>
  <c r="H653" i="2"/>
  <c r="AJ652" i="2"/>
  <c r="AI652" i="2"/>
  <c r="AH652" i="2"/>
  <c r="I652" i="2"/>
  <c r="H652" i="2"/>
  <c r="AJ651" i="2"/>
  <c r="AI651" i="2"/>
  <c r="AH651" i="2"/>
  <c r="I651" i="2"/>
  <c r="H651" i="2"/>
  <c r="AK650" i="2"/>
  <c r="AL650" i="2" s="1"/>
  <c r="AJ650" i="2"/>
  <c r="AI650" i="2"/>
  <c r="AH650" i="2"/>
  <c r="I650" i="2"/>
  <c r="H650" i="2"/>
  <c r="AJ649" i="2"/>
  <c r="AI649" i="2"/>
  <c r="AH649" i="2"/>
  <c r="I649" i="2"/>
  <c r="H649" i="2"/>
  <c r="AJ648" i="2"/>
  <c r="AI648" i="2"/>
  <c r="AH648" i="2"/>
  <c r="I648" i="2"/>
  <c r="H648" i="2"/>
  <c r="AH647" i="2"/>
  <c r="AH646" i="2"/>
  <c r="AJ645" i="2"/>
  <c r="AI645" i="2"/>
  <c r="AH645" i="2"/>
  <c r="I645" i="2"/>
  <c r="H645" i="2"/>
  <c r="AJ644" i="2"/>
  <c r="AI644" i="2"/>
  <c r="AH644" i="2"/>
  <c r="I644" i="2"/>
  <c r="H644" i="2"/>
  <c r="AJ643" i="2"/>
  <c r="AI643" i="2"/>
  <c r="AH643" i="2"/>
  <c r="I643" i="2"/>
  <c r="H643" i="2"/>
  <c r="AJ642" i="2"/>
  <c r="AI642" i="2"/>
  <c r="AH642" i="2"/>
  <c r="I642" i="2"/>
  <c r="H642" i="2"/>
  <c r="AJ641" i="2"/>
  <c r="AI641" i="2"/>
  <c r="AH641" i="2"/>
  <c r="I641" i="2"/>
  <c r="H641" i="2"/>
  <c r="AJ640" i="2"/>
  <c r="AI640" i="2"/>
  <c r="AH640" i="2"/>
  <c r="I640" i="2"/>
  <c r="H640" i="2"/>
  <c r="AK639" i="2"/>
  <c r="AL639" i="2" s="1"/>
  <c r="AJ639" i="2"/>
  <c r="AI639" i="2"/>
  <c r="AH639" i="2"/>
  <c r="I639" i="2"/>
  <c r="H639" i="2"/>
  <c r="AJ638" i="2"/>
  <c r="AI638" i="2"/>
  <c r="AH638" i="2"/>
  <c r="I638" i="2"/>
  <c r="H638" i="2"/>
  <c r="AJ637" i="2"/>
  <c r="AI637" i="2"/>
  <c r="AH637" i="2"/>
  <c r="I637" i="2"/>
  <c r="H637" i="2"/>
  <c r="AJ636" i="2"/>
  <c r="AI636" i="2"/>
  <c r="AH636" i="2"/>
  <c r="I636" i="2"/>
  <c r="H636" i="2"/>
  <c r="AJ635" i="2"/>
  <c r="AI635" i="2"/>
  <c r="AH635" i="2"/>
  <c r="I635" i="2"/>
  <c r="H635" i="2"/>
  <c r="AJ634" i="2"/>
  <c r="AI634" i="2"/>
  <c r="AH634" i="2"/>
  <c r="I634" i="2"/>
  <c r="H634" i="2"/>
  <c r="AJ633" i="2"/>
  <c r="AI633" i="2"/>
  <c r="AH633" i="2"/>
  <c r="I633" i="2"/>
  <c r="H633" i="2"/>
  <c r="AJ632" i="2"/>
  <c r="AK632" i="2" s="1"/>
  <c r="AI632" i="2"/>
  <c r="AH632" i="2"/>
  <c r="I632" i="2"/>
  <c r="H632" i="2"/>
  <c r="AJ631" i="2"/>
  <c r="AI631" i="2"/>
  <c r="AH631" i="2"/>
  <c r="I631" i="2"/>
  <c r="H631" i="2"/>
  <c r="AJ630" i="2"/>
  <c r="AI630" i="2"/>
  <c r="AH630" i="2"/>
  <c r="I630" i="2"/>
  <c r="H630" i="2"/>
  <c r="AJ629" i="2"/>
  <c r="AI629" i="2"/>
  <c r="AH629" i="2"/>
  <c r="I629" i="2"/>
  <c r="H629" i="2"/>
  <c r="AJ628" i="2"/>
  <c r="AI628" i="2"/>
  <c r="AH628" i="2"/>
  <c r="I628" i="2"/>
  <c r="H628" i="2"/>
  <c r="AJ627" i="2"/>
  <c r="AI627" i="2"/>
  <c r="AH627" i="2"/>
  <c r="I627" i="2"/>
  <c r="H627" i="2"/>
  <c r="AJ626" i="2"/>
  <c r="AI626" i="2"/>
  <c r="AH626" i="2"/>
  <c r="I626" i="2"/>
  <c r="H626" i="2"/>
  <c r="AJ625" i="2"/>
  <c r="AI625" i="2"/>
  <c r="AH625" i="2"/>
  <c r="I625" i="2"/>
  <c r="H625" i="2"/>
  <c r="AO624" i="2"/>
  <c r="AM624" i="2"/>
  <c r="AJ624" i="2"/>
  <c r="AK624" i="2" s="1"/>
  <c r="AI624" i="2"/>
  <c r="AH624" i="2"/>
  <c r="I624" i="2"/>
  <c r="H624" i="2"/>
  <c r="AH623" i="2"/>
  <c r="AH622" i="2"/>
  <c r="AH621" i="2"/>
  <c r="AJ620" i="2"/>
  <c r="AI620" i="2"/>
  <c r="AH620" i="2"/>
  <c r="I620" i="2"/>
  <c r="H620" i="2"/>
  <c r="AJ619" i="2"/>
  <c r="AK619" i="2" s="1"/>
  <c r="AH619" i="2"/>
  <c r="I619" i="2"/>
  <c r="H619" i="2"/>
  <c r="AJ618" i="2"/>
  <c r="AK618" i="2" s="1"/>
  <c r="AH618" i="2"/>
  <c r="I618" i="2"/>
  <c r="H618" i="2"/>
  <c r="AJ617" i="2"/>
  <c r="AK617" i="2" s="1"/>
  <c r="AH617" i="2"/>
  <c r="I617" i="2"/>
  <c r="H617" i="2"/>
  <c r="AJ616" i="2"/>
  <c r="AK616" i="2" s="1"/>
  <c r="AH616" i="2"/>
  <c r="I616" i="2"/>
  <c r="H616" i="2"/>
  <c r="AJ615" i="2"/>
  <c r="AK615" i="2" s="1"/>
  <c r="AH615" i="2"/>
  <c r="I615" i="2"/>
  <c r="H615" i="2"/>
  <c r="AJ614" i="2"/>
  <c r="AK614" i="2" s="1"/>
  <c r="AH614" i="2"/>
  <c r="I614" i="2"/>
  <c r="H614" i="2"/>
  <c r="AJ613" i="2"/>
  <c r="AK613" i="2" s="1"/>
  <c r="AH613" i="2"/>
  <c r="I613" i="2"/>
  <c r="H613" i="2"/>
  <c r="AJ612" i="2"/>
  <c r="AK612" i="2" s="1"/>
  <c r="AH612" i="2"/>
  <c r="I612" i="2"/>
  <c r="H612" i="2"/>
  <c r="AJ611" i="2"/>
  <c r="AK611" i="2" s="1"/>
  <c r="AH611" i="2"/>
  <c r="I611" i="2"/>
  <c r="H611" i="2"/>
  <c r="AJ610" i="2"/>
  <c r="AK610" i="2" s="1"/>
  <c r="AH610" i="2"/>
  <c r="I610" i="2"/>
  <c r="H610" i="2"/>
  <c r="AJ609" i="2"/>
  <c r="AK609" i="2" s="1"/>
  <c r="AH609" i="2"/>
  <c r="L609" i="2"/>
  <c r="I609" i="2"/>
  <c r="H609" i="2"/>
  <c r="AJ608" i="2"/>
  <c r="AK608" i="2" s="1"/>
  <c r="AH608" i="2"/>
  <c r="I608" i="2"/>
  <c r="H608" i="2"/>
  <c r="AJ607" i="2"/>
  <c r="AI607" i="2"/>
  <c r="AH607" i="2"/>
  <c r="L607" i="2"/>
  <c r="I607" i="2"/>
  <c r="H607" i="2"/>
  <c r="AJ606" i="2"/>
  <c r="AI606" i="2"/>
  <c r="AH606" i="2"/>
  <c r="I606" i="2"/>
  <c r="H606" i="2"/>
  <c r="AJ605" i="2"/>
  <c r="AI605" i="2"/>
  <c r="AH605" i="2"/>
  <c r="I605" i="2"/>
  <c r="H605" i="2"/>
  <c r="AJ604" i="2"/>
  <c r="AI604" i="2"/>
  <c r="AH604" i="2"/>
  <c r="I604" i="2"/>
  <c r="H604" i="2"/>
  <c r="AH603" i="2"/>
  <c r="AJ602" i="2"/>
  <c r="AK602" i="2" s="1"/>
  <c r="AI602" i="2"/>
  <c r="AH602" i="2"/>
  <c r="I602" i="2"/>
  <c r="H602" i="2"/>
  <c r="AJ601" i="2"/>
  <c r="AI601" i="2"/>
  <c r="AH601" i="2"/>
  <c r="I601" i="2"/>
  <c r="H601" i="2"/>
  <c r="AJ600" i="2"/>
  <c r="AI600" i="2"/>
  <c r="AH600" i="2"/>
  <c r="I600" i="2"/>
  <c r="H600" i="2"/>
  <c r="AJ599" i="2"/>
  <c r="AI599" i="2"/>
  <c r="AH599" i="2"/>
  <c r="I599" i="2"/>
  <c r="H599" i="2"/>
  <c r="AJ598" i="2"/>
  <c r="AI598" i="2"/>
  <c r="AH598" i="2"/>
  <c r="I598" i="2"/>
  <c r="H598" i="2"/>
  <c r="AJ597" i="2"/>
  <c r="AI597" i="2"/>
  <c r="AH597" i="2"/>
  <c r="I597" i="2"/>
  <c r="H597" i="2"/>
  <c r="AJ596" i="2"/>
  <c r="AK596" i="2" s="1"/>
  <c r="AI596" i="2"/>
  <c r="AH596" i="2"/>
  <c r="I596" i="2"/>
  <c r="H596" i="2"/>
  <c r="AJ595" i="2"/>
  <c r="AI595" i="2"/>
  <c r="AH595" i="2"/>
  <c r="I595" i="2"/>
  <c r="H595" i="2"/>
  <c r="AJ594" i="2"/>
  <c r="AI594" i="2"/>
  <c r="AK594" i="2" s="1"/>
  <c r="AH594" i="2"/>
  <c r="I594" i="2"/>
  <c r="H594" i="2"/>
  <c r="AJ593" i="2"/>
  <c r="AI593" i="2"/>
  <c r="AH593" i="2"/>
  <c r="I593" i="2"/>
  <c r="H593" i="2"/>
  <c r="AJ592" i="2"/>
  <c r="AI592" i="2"/>
  <c r="AH592" i="2"/>
  <c r="I592" i="2"/>
  <c r="H592" i="2"/>
  <c r="AJ591" i="2"/>
  <c r="AI591" i="2"/>
  <c r="AH591" i="2"/>
  <c r="I591" i="2"/>
  <c r="H591" i="2"/>
  <c r="AJ590" i="2"/>
  <c r="AI590" i="2"/>
  <c r="AH590" i="2"/>
  <c r="I590" i="2"/>
  <c r="H590" i="2"/>
  <c r="AJ589" i="2"/>
  <c r="AK589" i="2" s="1"/>
  <c r="AI589" i="2"/>
  <c r="AH589" i="2"/>
  <c r="I589" i="2"/>
  <c r="H589" i="2"/>
  <c r="AJ588" i="2"/>
  <c r="AI588" i="2"/>
  <c r="AH588" i="2"/>
  <c r="I588" i="2"/>
  <c r="H588" i="2"/>
  <c r="AJ587" i="2"/>
  <c r="AI587" i="2"/>
  <c r="AH587" i="2"/>
  <c r="I587" i="2"/>
  <c r="H587" i="2"/>
  <c r="AJ586" i="2"/>
  <c r="AI586" i="2"/>
  <c r="AH586" i="2"/>
  <c r="I586" i="2"/>
  <c r="H586" i="2"/>
  <c r="AJ585" i="2"/>
  <c r="AI585" i="2"/>
  <c r="AH585" i="2"/>
  <c r="I585" i="2"/>
  <c r="H585" i="2"/>
  <c r="AJ584" i="2"/>
  <c r="AK584" i="2" s="1"/>
  <c r="AI584" i="2"/>
  <c r="AH584" i="2"/>
  <c r="I584" i="2"/>
  <c r="H584" i="2"/>
  <c r="AJ583" i="2"/>
  <c r="AI583" i="2"/>
  <c r="AH583" i="2"/>
  <c r="I583" i="2"/>
  <c r="H583" i="2"/>
  <c r="AJ582" i="2"/>
  <c r="AI582" i="2"/>
  <c r="AH582" i="2"/>
  <c r="I582" i="2"/>
  <c r="H582" i="2"/>
  <c r="AJ581" i="2"/>
  <c r="AI581" i="2"/>
  <c r="AH581" i="2"/>
  <c r="I581" i="2"/>
  <c r="H581" i="2"/>
  <c r="AJ580" i="2"/>
  <c r="AI580" i="2"/>
  <c r="AH580" i="2"/>
  <c r="I580" i="2"/>
  <c r="H580" i="2"/>
  <c r="AJ579" i="2"/>
  <c r="AI579" i="2"/>
  <c r="AH579" i="2"/>
  <c r="I579" i="2"/>
  <c r="H579" i="2"/>
  <c r="AK578" i="2"/>
  <c r="AJ578" i="2"/>
  <c r="AI578" i="2"/>
  <c r="AH578" i="2"/>
  <c r="I578" i="2"/>
  <c r="H578" i="2"/>
  <c r="AJ577" i="2"/>
  <c r="AK577" i="2" s="1"/>
  <c r="AI577" i="2"/>
  <c r="AH577" i="2"/>
  <c r="I577" i="2"/>
  <c r="H577" i="2"/>
  <c r="AJ576" i="2"/>
  <c r="AI576" i="2"/>
  <c r="AH576" i="2"/>
  <c r="I576" i="2"/>
  <c r="H576" i="2"/>
  <c r="AJ575" i="2"/>
  <c r="AI575" i="2"/>
  <c r="AH575" i="2"/>
  <c r="I575" i="2"/>
  <c r="H575" i="2"/>
  <c r="AJ574" i="2"/>
  <c r="AI574" i="2"/>
  <c r="AK574" i="2" s="1"/>
  <c r="AH574" i="2"/>
  <c r="I574" i="2"/>
  <c r="H574" i="2"/>
  <c r="AJ573" i="2"/>
  <c r="AI573" i="2"/>
  <c r="AH573" i="2"/>
  <c r="I573" i="2"/>
  <c r="H573" i="2"/>
  <c r="AJ572" i="2"/>
  <c r="AI572" i="2"/>
  <c r="AH572" i="2"/>
  <c r="I572" i="2"/>
  <c r="H572" i="2"/>
  <c r="AJ571" i="2"/>
  <c r="AI571" i="2"/>
  <c r="AH571" i="2"/>
  <c r="I571" i="2"/>
  <c r="H571" i="2"/>
  <c r="AJ570" i="2"/>
  <c r="AK570" i="2" s="1"/>
  <c r="AI570" i="2"/>
  <c r="AH570" i="2"/>
  <c r="I570" i="2"/>
  <c r="H570" i="2"/>
  <c r="AH569" i="2"/>
  <c r="I569" i="2"/>
  <c r="H569" i="2"/>
  <c r="AJ568" i="2"/>
  <c r="AI568" i="2"/>
  <c r="AH568" i="2"/>
  <c r="I568" i="2"/>
  <c r="H568" i="2"/>
  <c r="AJ567" i="2"/>
  <c r="AI567" i="2"/>
  <c r="AH567" i="2"/>
  <c r="I567" i="2"/>
  <c r="H567" i="2"/>
  <c r="AJ566" i="2"/>
  <c r="AI566" i="2"/>
  <c r="AH566" i="2"/>
  <c r="I566" i="2"/>
  <c r="H566" i="2"/>
  <c r="AJ565" i="2"/>
  <c r="AI565" i="2"/>
  <c r="AH565" i="2"/>
  <c r="I565" i="2"/>
  <c r="H565" i="2"/>
  <c r="AJ564" i="2"/>
  <c r="AI564" i="2"/>
  <c r="AH564" i="2"/>
  <c r="I564" i="2"/>
  <c r="H564" i="2"/>
  <c r="AJ563" i="2"/>
  <c r="AI563" i="2"/>
  <c r="AH563" i="2"/>
  <c r="I563" i="2"/>
  <c r="H563" i="2"/>
  <c r="AJ562" i="2"/>
  <c r="AI562" i="2"/>
  <c r="AH562" i="2"/>
  <c r="I562" i="2"/>
  <c r="H562" i="2"/>
  <c r="AJ561" i="2"/>
  <c r="AI561" i="2"/>
  <c r="AH561" i="2"/>
  <c r="I561" i="2"/>
  <c r="H561" i="2"/>
  <c r="AJ560" i="2"/>
  <c r="AI560" i="2"/>
  <c r="AH560" i="2"/>
  <c r="I560" i="2"/>
  <c r="H560" i="2"/>
  <c r="AJ559" i="2"/>
  <c r="AI559" i="2"/>
  <c r="AH559" i="2"/>
  <c r="I559" i="2"/>
  <c r="H559" i="2"/>
  <c r="AJ558" i="2"/>
  <c r="AI558" i="2"/>
  <c r="AH558" i="2"/>
  <c r="I558" i="2"/>
  <c r="H558" i="2"/>
  <c r="AJ557" i="2"/>
  <c r="AI557" i="2"/>
  <c r="AH557" i="2"/>
  <c r="I557" i="2"/>
  <c r="H557" i="2"/>
  <c r="AI556" i="2"/>
  <c r="AH556" i="2"/>
  <c r="N556" i="2"/>
  <c r="AJ556" i="2" s="1"/>
  <c r="AK556" i="2" s="1"/>
  <c r="I556" i="2"/>
  <c r="H556" i="2"/>
  <c r="AJ555" i="2"/>
  <c r="AI555" i="2"/>
  <c r="AH555" i="2"/>
  <c r="I555" i="2"/>
  <c r="H555" i="2"/>
  <c r="AJ554" i="2"/>
  <c r="AK554" i="2" s="1"/>
  <c r="AI554" i="2"/>
  <c r="AH554" i="2"/>
  <c r="N554" i="2"/>
  <c r="I554" i="2"/>
  <c r="H554" i="2"/>
  <c r="AH553" i="2"/>
  <c r="T553" i="2"/>
  <c r="N553" i="2"/>
  <c r="L553" i="2"/>
  <c r="I553" i="2"/>
  <c r="H553" i="2"/>
  <c r="AJ552" i="2"/>
  <c r="AK552" i="2" s="1"/>
  <c r="AI552" i="2"/>
  <c r="AH552" i="2"/>
  <c r="I552" i="2"/>
  <c r="H552" i="2"/>
  <c r="AI551" i="2"/>
  <c r="AH551" i="2"/>
  <c r="R551" i="2"/>
  <c r="AJ551" i="2" s="1"/>
  <c r="I551" i="2"/>
  <c r="H551" i="2"/>
  <c r="AJ550" i="2"/>
  <c r="AI550" i="2"/>
  <c r="AH550" i="2"/>
  <c r="I550" i="2"/>
  <c r="H550" i="2"/>
  <c r="AJ549" i="2"/>
  <c r="AI549" i="2"/>
  <c r="AK549" i="2" s="1"/>
  <c r="AH549" i="2"/>
  <c r="I549" i="2"/>
  <c r="H549" i="2"/>
  <c r="AJ548" i="2"/>
  <c r="AK548" i="2" s="1"/>
  <c r="AI548" i="2"/>
  <c r="AH548" i="2"/>
  <c r="I548" i="2"/>
  <c r="H548" i="2"/>
  <c r="AJ547" i="2"/>
  <c r="AI547" i="2"/>
  <c r="AH547" i="2"/>
  <c r="I547" i="2"/>
  <c r="H547" i="2"/>
  <c r="AJ546" i="2"/>
  <c r="AK546" i="2" s="1"/>
  <c r="AI546" i="2"/>
  <c r="AH546" i="2"/>
  <c r="I546" i="2"/>
  <c r="H546" i="2"/>
  <c r="AJ545" i="2"/>
  <c r="AI545" i="2"/>
  <c r="AK545" i="2" s="1"/>
  <c r="AH545" i="2"/>
  <c r="I545" i="2"/>
  <c r="H545" i="2"/>
  <c r="AI544" i="2"/>
  <c r="AH544" i="2"/>
  <c r="L544" i="2"/>
  <c r="AJ544" i="2" s="1"/>
  <c r="AK544" i="2" s="1"/>
  <c r="I544" i="2"/>
  <c r="H544" i="2"/>
  <c r="AJ543" i="2"/>
  <c r="AI543" i="2"/>
  <c r="AH543" i="2"/>
  <c r="I543" i="2"/>
  <c r="H543" i="2"/>
  <c r="AJ542" i="2"/>
  <c r="AI542" i="2"/>
  <c r="AH542" i="2"/>
  <c r="I542" i="2"/>
  <c r="H542" i="2"/>
  <c r="AI541" i="2"/>
  <c r="AH541" i="2"/>
  <c r="R541" i="2"/>
  <c r="L541" i="2"/>
  <c r="AJ541" i="2" s="1"/>
  <c r="I541" i="2"/>
  <c r="H541" i="2"/>
  <c r="AJ540" i="2"/>
  <c r="AI540" i="2"/>
  <c r="AH540" i="2"/>
  <c r="I540" i="2"/>
  <c r="H540" i="2"/>
  <c r="AJ539" i="2"/>
  <c r="AK539" i="2" s="1"/>
  <c r="AI539" i="2"/>
  <c r="AH539" i="2"/>
  <c r="I539" i="2"/>
  <c r="H539" i="2"/>
  <c r="AJ538" i="2"/>
  <c r="AI538" i="2"/>
  <c r="AH538" i="2"/>
  <c r="I538" i="2"/>
  <c r="H538" i="2"/>
  <c r="AJ537" i="2"/>
  <c r="AI537" i="2"/>
  <c r="AH537" i="2"/>
  <c r="I537" i="2"/>
  <c r="H537" i="2"/>
  <c r="AJ536" i="2"/>
  <c r="AI536" i="2"/>
  <c r="AH536" i="2"/>
  <c r="I536" i="2"/>
  <c r="H536" i="2"/>
  <c r="AJ535" i="2"/>
  <c r="AI535" i="2"/>
  <c r="AH535" i="2"/>
  <c r="I535" i="2"/>
  <c r="H535" i="2"/>
  <c r="AJ534" i="2"/>
  <c r="AI534" i="2"/>
  <c r="AH534" i="2"/>
  <c r="I534" i="2"/>
  <c r="H534" i="2"/>
  <c r="AI533" i="2"/>
  <c r="AH533" i="2"/>
  <c r="N533" i="2"/>
  <c r="AJ533" i="2" s="1"/>
  <c r="I533" i="2"/>
  <c r="H533" i="2"/>
  <c r="AJ532" i="2"/>
  <c r="AI532" i="2"/>
  <c r="AH532" i="2"/>
  <c r="I532" i="2"/>
  <c r="H532" i="2"/>
  <c r="AJ531" i="2"/>
  <c r="AI531" i="2"/>
  <c r="AH531" i="2"/>
  <c r="I531" i="2"/>
  <c r="H531" i="2"/>
  <c r="AJ530" i="2"/>
  <c r="AI530" i="2"/>
  <c r="AH530" i="2"/>
  <c r="I530" i="2"/>
  <c r="H530" i="2"/>
  <c r="AJ529" i="2"/>
  <c r="AI529" i="2"/>
  <c r="AH529" i="2"/>
  <c r="I529" i="2"/>
  <c r="H529" i="2"/>
  <c r="AJ528" i="2"/>
  <c r="AI528" i="2"/>
  <c r="AH528" i="2"/>
  <c r="I528" i="2"/>
  <c r="H528" i="2"/>
  <c r="AJ527" i="2"/>
  <c r="AI527" i="2"/>
  <c r="AH527" i="2"/>
  <c r="I527" i="2"/>
  <c r="H527" i="2"/>
  <c r="AJ526" i="2"/>
  <c r="AH526" i="2"/>
  <c r="L526" i="2"/>
  <c r="AI526" i="2" s="1"/>
  <c r="I526" i="2"/>
  <c r="H526" i="2"/>
  <c r="AJ525" i="2"/>
  <c r="AI525" i="2"/>
  <c r="AH525" i="2"/>
  <c r="I525" i="2"/>
  <c r="H525" i="2"/>
  <c r="AJ524" i="2"/>
  <c r="AI524" i="2"/>
  <c r="AK524" i="2" s="1"/>
  <c r="AH524" i="2"/>
  <c r="I524" i="2"/>
  <c r="H524" i="2"/>
  <c r="AJ523" i="2"/>
  <c r="AI523" i="2"/>
  <c r="AH523" i="2"/>
  <c r="I523" i="2"/>
  <c r="H523" i="2"/>
  <c r="AJ522" i="2"/>
  <c r="AI522" i="2"/>
  <c r="AH522" i="2"/>
  <c r="I522" i="2"/>
  <c r="H522" i="2"/>
  <c r="AJ521" i="2"/>
  <c r="AI521" i="2"/>
  <c r="AH521" i="2"/>
  <c r="I521" i="2"/>
  <c r="H521" i="2"/>
  <c r="AJ520" i="2"/>
  <c r="AK520" i="2" s="1"/>
  <c r="AI520" i="2"/>
  <c r="AH520" i="2"/>
  <c r="I520" i="2"/>
  <c r="H520" i="2"/>
  <c r="AH519" i="2"/>
  <c r="I519" i="2"/>
  <c r="H519" i="2"/>
  <c r="AJ518" i="2"/>
  <c r="AI518" i="2"/>
  <c r="AH518" i="2"/>
  <c r="I518" i="2"/>
  <c r="H518" i="2"/>
  <c r="AH517" i="2"/>
  <c r="I517" i="2"/>
  <c r="H517" i="2"/>
  <c r="AH516" i="2"/>
  <c r="I516" i="2"/>
  <c r="H516" i="2"/>
  <c r="AJ515" i="2"/>
  <c r="AK515" i="2" s="1"/>
  <c r="AI515" i="2"/>
  <c r="AH515" i="2"/>
  <c r="I515" i="2"/>
  <c r="H515" i="2"/>
  <c r="AJ514" i="2"/>
  <c r="AI514" i="2"/>
  <c r="AH514" i="2"/>
  <c r="I514" i="2"/>
  <c r="H514" i="2"/>
  <c r="AJ513" i="2"/>
  <c r="AI513" i="2"/>
  <c r="AH513" i="2"/>
  <c r="I513" i="2"/>
  <c r="H513" i="2"/>
  <c r="AJ512" i="2"/>
  <c r="AI512" i="2"/>
  <c r="AH512" i="2"/>
  <c r="I512" i="2"/>
  <c r="H512" i="2"/>
  <c r="AJ511" i="2"/>
  <c r="AI511" i="2"/>
  <c r="AH511" i="2"/>
  <c r="I511" i="2"/>
  <c r="H511" i="2"/>
  <c r="AJ510" i="2"/>
  <c r="AI510" i="2"/>
  <c r="AH510" i="2"/>
  <c r="I510" i="2"/>
  <c r="H510" i="2"/>
  <c r="AJ509" i="2"/>
  <c r="AK509" i="2" s="1"/>
  <c r="AI509" i="2"/>
  <c r="AH509" i="2"/>
  <c r="I509" i="2"/>
  <c r="H509" i="2"/>
  <c r="AJ508" i="2"/>
  <c r="AI508" i="2"/>
  <c r="AH508" i="2"/>
  <c r="I508" i="2"/>
  <c r="H508" i="2"/>
  <c r="AJ507" i="2"/>
  <c r="AK507" i="2" s="1"/>
  <c r="AI507" i="2"/>
  <c r="AH507" i="2"/>
  <c r="I507" i="2"/>
  <c r="H507" i="2"/>
  <c r="AJ506" i="2"/>
  <c r="AI506" i="2"/>
  <c r="AH506" i="2"/>
  <c r="I506" i="2"/>
  <c r="H506" i="2"/>
  <c r="AJ505" i="2"/>
  <c r="AI505" i="2"/>
  <c r="AH505" i="2"/>
  <c r="I505" i="2"/>
  <c r="H505" i="2"/>
  <c r="AJ504" i="2"/>
  <c r="AI504" i="2"/>
  <c r="AH504" i="2"/>
  <c r="I504" i="2"/>
  <c r="H504" i="2"/>
  <c r="AJ503" i="2"/>
  <c r="AI503" i="2"/>
  <c r="AH503" i="2"/>
  <c r="I503" i="2"/>
  <c r="H503" i="2"/>
  <c r="AJ502" i="2"/>
  <c r="AK502" i="2" s="1"/>
  <c r="AI502" i="2"/>
  <c r="AH502" i="2"/>
  <c r="I502" i="2"/>
  <c r="H502" i="2"/>
  <c r="AJ501" i="2"/>
  <c r="AI501" i="2"/>
  <c r="AH501" i="2"/>
  <c r="I501" i="2"/>
  <c r="H501" i="2"/>
  <c r="AJ500" i="2"/>
  <c r="AI500" i="2"/>
  <c r="AH500" i="2"/>
  <c r="I500" i="2"/>
  <c r="H500" i="2"/>
  <c r="AJ499" i="2"/>
  <c r="AI499" i="2"/>
  <c r="AH499" i="2"/>
  <c r="I499" i="2"/>
  <c r="H499" i="2"/>
  <c r="AJ498" i="2"/>
  <c r="AI498" i="2"/>
  <c r="AH498" i="2"/>
  <c r="I498" i="2"/>
  <c r="H498" i="2"/>
  <c r="AH497" i="2"/>
  <c r="L497" i="2"/>
  <c r="AJ497" i="2" s="1"/>
  <c r="I497" i="2"/>
  <c r="H497" i="2"/>
  <c r="AJ496" i="2"/>
  <c r="AI496" i="2"/>
  <c r="AH496" i="2"/>
  <c r="I496" i="2"/>
  <c r="H496" i="2"/>
  <c r="AJ495" i="2"/>
  <c r="AI495" i="2"/>
  <c r="AH495" i="2"/>
  <c r="I495" i="2"/>
  <c r="H495" i="2"/>
  <c r="AJ494" i="2"/>
  <c r="AI494" i="2"/>
  <c r="AH494" i="2"/>
  <c r="I494" i="2"/>
  <c r="H494" i="2"/>
  <c r="AJ493" i="2"/>
  <c r="AI493" i="2"/>
  <c r="AH493" i="2"/>
  <c r="I493" i="2"/>
  <c r="H493" i="2"/>
  <c r="AJ492" i="2"/>
  <c r="AI492" i="2"/>
  <c r="AH492" i="2"/>
  <c r="I492" i="2"/>
  <c r="H492" i="2"/>
  <c r="AJ491" i="2"/>
  <c r="AI491" i="2"/>
  <c r="AH491" i="2"/>
  <c r="I491" i="2"/>
  <c r="H491" i="2"/>
  <c r="AJ490" i="2"/>
  <c r="AI490" i="2"/>
  <c r="AH490" i="2"/>
  <c r="I490" i="2"/>
  <c r="H490" i="2"/>
  <c r="AJ489" i="2"/>
  <c r="AI489" i="2"/>
  <c r="AH489" i="2"/>
  <c r="I489" i="2"/>
  <c r="H489" i="2"/>
  <c r="AI488" i="2"/>
  <c r="AH488" i="2"/>
  <c r="T488" i="2"/>
  <c r="AJ488" i="2" s="1"/>
  <c r="I488" i="2"/>
  <c r="H488" i="2"/>
  <c r="AJ487" i="2"/>
  <c r="AI487" i="2"/>
  <c r="AH487" i="2"/>
  <c r="I487" i="2"/>
  <c r="H487" i="2"/>
  <c r="AJ486" i="2"/>
  <c r="AI486" i="2"/>
  <c r="AK486" i="2" s="1"/>
  <c r="AH486" i="2"/>
  <c r="I486" i="2"/>
  <c r="H486" i="2"/>
  <c r="AJ485" i="2"/>
  <c r="AK485" i="2" s="1"/>
  <c r="AI485" i="2"/>
  <c r="AH485" i="2"/>
  <c r="I485" i="2"/>
  <c r="H485" i="2"/>
  <c r="AJ484" i="2"/>
  <c r="AI484" i="2"/>
  <c r="AH484" i="2"/>
  <c r="I484" i="2"/>
  <c r="H484" i="2"/>
  <c r="AJ483" i="2"/>
  <c r="AI483" i="2"/>
  <c r="AH483" i="2"/>
  <c r="I483" i="2"/>
  <c r="H483" i="2"/>
  <c r="AJ482" i="2"/>
  <c r="AI482" i="2"/>
  <c r="AH482" i="2"/>
  <c r="I482" i="2"/>
  <c r="H482" i="2"/>
  <c r="AJ481" i="2"/>
  <c r="AI481" i="2"/>
  <c r="AH481" i="2"/>
  <c r="I481" i="2"/>
  <c r="H481" i="2"/>
  <c r="AJ480" i="2"/>
  <c r="AI480" i="2"/>
  <c r="AH480" i="2"/>
  <c r="I480" i="2"/>
  <c r="H480" i="2"/>
  <c r="AJ479" i="2"/>
  <c r="AI479" i="2"/>
  <c r="AH479" i="2"/>
  <c r="I479" i="2"/>
  <c r="H479" i="2"/>
  <c r="AJ478" i="2"/>
  <c r="AI478" i="2"/>
  <c r="AH478" i="2"/>
  <c r="I478" i="2"/>
  <c r="H478" i="2"/>
  <c r="AJ477" i="2"/>
  <c r="AI477" i="2"/>
  <c r="AH477" i="2"/>
  <c r="I477" i="2"/>
  <c r="H477" i="2"/>
  <c r="AI476" i="2"/>
  <c r="AH476" i="2"/>
  <c r="L476" i="2"/>
  <c r="AJ476" i="2" s="1"/>
  <c r="I476" i="2"/>
  <c r="H476" i="2"/>
  <c r="AJ475" i="2"/>
  <c r="AI475" i="2"/>
  <c r="AH475" i="2"/>
  <c r="I475" i="2"/>
  <c r="H475" i="2"/>
  <c r="AJ474" i="2"/>
  <c r="AI474" i="2"/>
  <c r="AH474" i="2"/>
  <c r="I474" i="2"/>
  <c r="H474" i="2"/>
  <c r="AJ473" i="2"/>
  <c r="AI473" i="2"/>
  <c r="AH473" i="2"/>
  <c r="I473" i="2"/>
  <c r="H473" i="2"/>
  <c r="AJ472" i="2"/>
  <c r="AI472" i="2"/>
  <c r="AH472" i="2"/>
  <c r="I472" i="2"/>
  <c r="H472" i="2"/>
  <c r="AJ471" i="2"/>
  <c r="AI471" i="2"/>
  <c r="AH471" i="2"/>
  <c r="I471" i="2"/>
  <c r="H471" i="2"/>
  <c r="AJ470" i="2"/>
  <c r="AI470" i="2"/>
  <c r="AH470" i="2"/>
  <c r="I470" i="2"/>
  <c r="H470" i="2"/>
  <c r="AJ469" i="2"/>
  <c r="AI469" i="2"/>
  <c r="AH469" i="2"/>
  <c r="I469" i="2"/>
  <c r="H469" i="2"/>
  <c r="AJ468" i="2"/>
  <c r="AI468" i="2"/>
  <c r="AH468" i="2"/>
  <c r="I468" i="2"/>
  <c r="H468" i="2"/>
  <c r="AJ467" i="2"/>
  <c r="AI467" i="2"/>
  <c r="AH467" i="2"/>
  <c r="I467" i="2"/>
  <c r="H467" i="2"/>
  <c r="AJ466" i="2"/>
  <c r="AI466" i="2"/>
  <c r="AH466" i="2"/>
  <c r="I466" i="2"/>
  <c r="H466" i="2"/>
  <c r="AJ465" i="2"/>
  <c r="AK465" i="2" s="1"/>
  <c r="AI465" i="2"/>
  <c r="AH465" i="2"/>
  <c r="I465" i="2"/>
  <c r="H465" i="2"/>
  <c r="AJ464" i="2"/>
  <c r="AI464" i="2"/>
  <c r="AH464" i="2"/>
  <c r="I464" i="2"/>
  <c r="H464" i="2"/>
  <c r="AJ463" i="2"/>
  <c r="AI463" i="2"/>
  <c r="AH463" i="2"/>
  <c r="I463" i="2"/>
  <c r="H463" i="2"/>
  <c r="AJ462" i="2"/>
  <c r="AI462" i="2"/>
  <c r="AH462" i="2"/>
  <c r="I462" i="2"/>
  <c r="H462" i="2"/>
  <c r="AJ461" i="2"/>
  <c r="AK461" i="2" s="1"/>
  <c r="AI461" i="2"/>
  <c r="AH461" i="2"/>
  <c r="I461" i="2"/>
  <c r="H461" i="2"/>
  <c r="AJ460" i="2"/>
  <c r="AI460" i="2"/>
  <c r="AH460" i="2"/>
  <c r="I460" i="2"/>
  <c r="H460" i="2"/>
  <c r="AJ459" i="2"/>
  <c r="AI459" i="2"/>
  <c r="AH459" i="2"/>
  <c r="I459" i="2"/>
  <c r="H459" i="2"/>
  <c r="AJ458" i="2"/>
  <c r="AI458" i="2"/>
  <c r="AH458" i="2"/>
  <c r="I458" i="2"/>
  <c r="H458" i="2"/>
  <c r="AJ457" i="2"/>
  <c r="AI457" i="2"/>
  <c r="AH457" i="2"/>
  <c r="I457" i="2"/>
  <c r="H457" i="2"/>
  <c r="AJ456" i="2"/>
  <c r="AI456" i="2"/>
  <c r="AH456" i="2"/>
  <c r="I456" i="2"/>
  <c r="H456" i="2"/>
  <c r="AJ455" i="2"/>
  <c r="AI455" i="2"/>
  <c r="AH455" i="2"/>
  <c r="I455" i="2"/>
  <c r="H455" i="2"/>
  <c r="AJ454" i="2"/>
  <c r="AI454" i="2"/>
  <c r="AH454" i="2"/>
  <c r="I454" i="2"/>
  <c r="H454" i="2"/>
  <c r="AJ453" i="2"/>
  <c r="AK453" i="2" s="1"/>
  <c r="AI453" i="2"/>
  <c r="AH453" i="2"/>
  <c r="I453" i="2"/>
  <c r="H453" i="2"/>
  <c r="AJ452" i="2"/>
  <c r="AI452" i="2"/>
  <c r="AH452" i="2"/>
  <c r="I452" i="2"/>
  <c r="H452" i="2"/>
  <c r="AJ451" i="2"/>
  <c r="AI451" i="2"/>
  <c r="AH451" i="2"/>
  <c r="I451" i="2"/>
  <c r="H451" i="2"/>
  <c r="AJ450" i="2"/>
  <c r="AI450" i="2"/>
  <c r="AH450" i="2"/>
  <c r="I450" i="2"/>
  <c r="H450" i="2"/>
  <c r="AJ449" i="2"/>
  <c r="AK449" i="2" s="1"/>
  <c r="AI449" i="2"/>
  <c r="AH449" i="2"/>
  <c r="I449" i="2"/>
  <c r="H449" i="2"/>
  <c r="AJ448" i="2"/>
  <c r="AI448" i="2"/>
  <c r="AH448" i="2"/>
  <c r="I448" i="2"/>
  <c r="H448" i="2"/>
  <c r="AJ447" i="2"/>
  <c r="AI447" i="2"/>
  <c r="AH447" i="2"/>
  <c r="I447" i="2"/>
  <c r="H447" i="2"/>
  <c r="AI446" i="2"/>
  <c r="AH446" i="2"/>
  <c r="L446" i="2"/>
  <c r="AJ446" i="2" s="1"/>
  <c r="I446" i="2"/>
  <c r="H446" i="2"/>
  <c r="AJ445" i="2"/>
  <c r="AK445" i="2" s="1"/>
  <c r="AI445" i="2"/>
  <c r="AH445" i="2"/>
  <c r="I445" i="2"/>
  <c r="H445" i="2"/>
  <c r="AJ444" i="2"/>
  <c r="AI444" i="2"/>
  <c r="AH444" i="2"/>
  <c r="I444" i="2"/>
  <c r="H444" i="2"/>
  <c r="AJ443" i="2"/>
  <c r="AI443" i="2"/>
  <c r="AH443" i="2"/>
  <c r="I443" i="2"/>
  <c r="H443" i="2"/>
  <c r="AJ442" i="2"/>
  <c r="AI442" i="2"/>
  <c r="AH442" i="2"/>
  <c r="I442" i="2"/>
  <c r="H442" i="2"/>
  <c r="AJ441" i="2"/>
  <c r="AI441" i="2"/>
  <c r="AH441" i="2"/>
  <c r="I441" i="2"/>
  <c r="H441" i="2"/>
  <c r="AJ440" i="2"/>
  <c r="AI440" i="2"/>
  <c r="AH440" i="2"/>
  <c r="I440" i="2"/>
  <c r="H440" i="2"/>
  <c r="AJ439" i="2"/>
  <c r="AI439" i="2"/>
  <c r="AH439" i="2"/>
  <c r="I439" i="2"/>
  <c r="H439" i="2"/>
  <c r="AI438" i="2"/>
  <c r="AH438" i="2"/>
  <c r="P438" i="2"/>
  <c r="AJ438" i="2" s="1"/>
  <c r="I438" i="2"/>
  <c r="H438" i="2"/>
  <c r="AJ437" i="2"/>
  <c r="AI437" i="2"/>
  <c r="AK437" i="2" s="1"/>
  <c r="AH437" i="2"/>
  <c r="I437" i="2"/>
  <c r="H437" i="2"/>
  <c r="AJ436" i="2"/>
  <c r="AI436" i="2"/>
  <c r="AH436" i="2"/>
  <c r="I436" i="2"/>
  <c r="H436" i="2"/>
  <c r="AJ435" i="2"/>
  <c r="AI435" i="2"/>
  <c r="AH435" i="2"/>
  <c r="I435" i="2"/>
  <c r="H435" i="2"/>
  <c r="AJ434" i="2"/>
  <c r="AK434" i="2" s="1"/>
  <c r="AI434" i="2"/>
  <c r="AH434" i="2"/>
  <c r="I434" i="2"/>
  <c r="H434" i="2"/>
  <c r="AJ433" i="2"/>
  <c r="AI433" i="2"/>
  <c r="AH433" i="2"/>
  <c r="I433" i="2"/>
  <c r="H433" i="2"/>
  <c r="AJ432" i="2"/>
  <c r="AI432" i="2"/>
  <c r="AH432" i="2"/>
  <c r="I432" i="2"/>
  <c r="H432" i="2"/>
  <c r="AJ431" i="2"/>
  <c r="AI431" i="2"/>
  <c r="AH431" i="2"/>
  <c r="I431" i="2"/>
  <c r="H431" i="2"/>
  <c r="AJ430" i="2"/>
  <c r="AI430" i="2"/>
  <c r="AH430" i="2"/>
  <c r="I430" i="2"/>
  <c r="H430" i="2"/>
  <c r="AI429" i="2"/>
  <c r="AH429" i="2"/>
  <c r="N429" i="2"/>
  <c r="AJ429" i="2" s="1"/>
  <c r="AK429" i="2" s="1"/>
  <c r="I429" i="2"/>
  <c r="H429" i="2"/>
  <c r="AI428" i="2"/>
  <c r="AH428" i="2"/>
  <c r="N428" i="2"/>
  <c r="AJ428" i="2" s="1"/>
  <c r="I428" i="2"/>
  <c r="H428" i="2"/>
  <c r="AJ427" i="2"/>
  <c r="AI427" i="2"/>
  <c r="AH427" i="2"/>
  <c r="I427" i="2"/>
  <c r="H427" i="2"/>
  <c r="AI426" i="2"/>
  <c r="AH426" i="2"/>
  <c r="R426" i="2"/>
  <c r="N426" i="2"/>
  <c r="I426" i="2"/>
  <c r="H426" i="2"/>
  <c r="AI425" i="2"/>
  <c r="AH425" i="2"/>
  <c r="P425" i="2"/>
  <c r="AJ425" i="2" s="1"/>
  <c r="I425" i="2"/>
  <c r="H425" i="2"/>
  <c r="AJ424" i="2"/>
  <c r="AI424" i="2"/>
  <c r="AH424" i="2"/>
  <c r="I424" i="2"/>
  <c r="H424" i="2"/>
  <c r="AJ423" i="2"/>
  <c r="AI423" i="2"/>
  <c r="AH423" i="2"/>
  <c r="I423" i="2"/>
  <c r="H423" i="2"/>
  <c r="AJ422" i="2"/>
  <c r="AI422" i="2"/>
  <c r="AH422" i="2"/>
  <c r="I422" i="2"/>
  <c r="H422" i="2"/>
  <c r="AJ421" i="2"/>
  <c r="AK421" i="2" s="1"/>
  <c r="AI421" i="2"/>
  <c r="AH421" i="2"/>
  <c r="I421" i="2"/>
  <c r="H421" i="2"/>
  <c r="AJ420" i="2"/>
  <c r="AK420" i="2" s="1"/>
  <c r="AI420" i="2"/>
  <c r="AH420" i="2"/>
  <c r="I420" i="2"/>
  <c r="H420" i="2"/>
  <c r="AJ419" i="2"/>
  <c r="AI419" i="2"/>
  <c r="AH419" i="2"/>
  <c r="I419" i="2"/>
  <c r="H419" i="2"/>
  <c r="AJ418" i="2"/>
  <c r="AI418" i="2"/>
  <c r="AH418" i="2"/>
  <c r="I418" i="2"/>
  <c r="H418" i="2"/>
  <c r="AJ417" i="2"/>
  <c r="AI417" i="2"/>
  <c r="AH417" i="2"/>
  <c r="I417" i="2"/>
  <c r="H417" i="2"/>
  <c r="AJ416" i="2"/>
  <c r="AK416" i="2" s="1"/>
  <c r="AI416" i="2"/>
  <c r="AH416" i="2"/>
  <c r="I416" i="2"/>
  <c r="H416" i="2"/>
  <c r="AJ415" i="2"/>
  <c r="AI415" i="2"/>
  <c r="AH415" i="2"/>
  <c r="I415" i="2"/>
  <c r="H415" i="2"/>
  <c r="AJ414" i="2"/>
  <c r="AI414" i="2"/>
  <c r="AH414" i="2"/>
  <c r="I414" i="2"/>
  <c r="H414" i="2"/>
  <c r="AJ413" i="2"/>
  <c r="AI413" i="2"/>
  <c r="AH413" i="2"/>
  <c r="I413" i="2"/>
  <c r="H413" i="2"/>
  <c r="AJ412" i="2"/>
  <c r="AI412" i="2"/>
  <c r="AH412" i="2"/>
  <c r="I412" i="2"/>
  <c r="H412" i="2"/>
  <c r="AJ411" i="2"/>
  <c r="AI411" i="2"/>
  <c r="AH411" i="2"/>
  <c r="I411" i="2"/>
  <c r="H411" i="2"/>
  <c r="AJ410" i="2"/>
  <c r="AI410" i="2"/>
  <c r="AK410" i="2" s="1"/>
  <c r="AH410" i="2"/>
  <c r="I410" i="2"/>
  <c r="H410" i="2"/>
  <c r="AJ409" i="2"/>
  <c r="AK409" i="2" s="1"/>
  <c r="AI409" i="2"/>
  <c r="AH409" i="2"/>
  <c r="I409" i="2"/>
  <c r="H409" i="2"/>
  <c r="AJ408" i="2"/>
  <c r="AI408" i="2"/>
  <c r="AH408" i="2"/>
  <c r="I408" i="2"/>
  <c r="H408" i="2"/>
  <c r="AJ407" i="2"/>
  <c r="AI407" i="2"/>
  <c r="AH407" i="2"/>
  <c r="I407" i="2"/>
  <c r="H407" i="2"/>
  <c r="AJ406" i="2"/>
  <c r="AI406" i="2"/>
  <c r="AH406" i="2"/>
  <c r="I406" i="2"/>
  <c r="H406" i="2"/>
  <c r="AJ405" i="2"/>
  <c r="AI405" i="2"/>
  <c r="AH405" i="2"/>
  <c r="I405" i="2"/>
  <c r="H405" i="2"/>
  <c r="AI404" i="2"/>
  <c r="AH404" i="2"/>
  <c r="N404" i="2"/>
  <c r="AJ404" i="2" s="1"/>
  <c r="AK404" i="2" s="1"/>
  <c r="I404" i="2"/>
  <c r="H404" i="2"/>
  <c r="AH403" i="2"/>
  <c r="I403" i="2"/>
  <c r="H403" i="2"/>
  <c r="AH402" i="2"/>
  <c r="I402" i="2"/>
  <c r="H402" i="2"/>
  <c r="AI401" i="2"/>
  <c r="AH401" i="2"/>
  <c r="T401" i="2"/>
  <c r="P401" i="2"/>
  <c r="AJ401" i="2" s="1"/>
  <c r="I401" i="2"/>
  <c r="H401" i="2"/>
  <c r="AJ400" i="2"/>
  <c r="AI400" i="2"/>
  <c r="AH400" i="2"/>
  <c r="I400" i="2"/>
  <c r="H400" i="2"/>
  <c r="AJ399" i="2"/>
  <c r="AI399" i="2"/>
  <c r="AH399" i="2"/>
  <c r="P399" i="2"/>
  <c r="I399" i="2"/>
  <c r="H399" i="2"/>
  <c r="AJ398" i="2"/>
  <c r="AI398" i="2"/>
  <c r="AH398" i="2"/>
  <c r="P398" i="2"/>
  <c r="I398" i="2"/>
  <c r="H398" i="2"/>
  <c r="AI397" i="2"/>
  <c r="AH397" i="2"/>
  <c r="P397" i="2"/>
  <c r="AJ397" i="2" s="1"/>
  <c r="I397" i="2"/>
  <c r="H397" i="2"/>
  <c r="AJ396" i="2"/>
  <c r="AI396" i="2"/>
  <c r="AH396" i="2"/>
  <c r="I396" i="2"/>
  <c r="H396" i="2"/>
  <c r="AI395" i="2"/>
  <c r="AH395" i="2"/>
  <c r="T395" i="2"/>
  <c r="P395" i="2"/>
  <c r="I395" i="2"/>
  <c r="H395" i="2"/>
  <c r="AJ394" i="2"/>
  <c r="AI394" i="2"/>
  <c r="AH394" i="2"/>
  <c r="I394" i="2"/>
  <c r="H394" i="2"/>
  <c r="AJ393" i="2"/>
  <c r="AI393" i="2"/>
  <c r="AH393" i="2"/>
  <c r="I393" i="2"/>
  <c r="H393" i="2"/>
  <c r="AJ392" i="2"/>
  <c r="AI392" i="2"/>
  <c r="AH392" i="2"/>
  <c r="I392" i="2"/>
  <c r="H392" i="2"/>
  <c r="AJ391" i="2"/>
  <c r="AI391" i="2"/>
  <c r="AK391" i="2" s="1"/>
  <c r="AH391" i="2"/>
  <c r="I391" i="2"/>
  <c r="H391" i="2"/>
  <c r="AJ390" i="2"/>
  <c r="AI390" i="2"/>
  <c r="AH390" i="2"/>
  <c r="I390" i="2"/>
  <c r="H390" i="2"/>
  <c r="AI389" i="2"/>
  <c r="AH389" i="2"/>
  <c r="R389" i="2"/>
  <c r="AJ389" i="2" s="1"/>
  <c r="I389" i="2"/>
  <c r="H389" i="2"/>
  <c r="AJ388" i="2"/>
  <c r="AI388" i="2"/>
  <c r="AH388" i="2"/>
  <c r="R388" i="2"/>
  <c r="I388" i="2"/>
  <c r="H388" i="2"/>
  <c r="AJ387" i="2"/>
  <c r="AI387" i="2"/>
  <c r="AH387" i="2"/>
  <c r="I387" i="2"/>
  <c r="H387" i="2"/>
  <c r="AI386" i="2"/>
  <c r="AH386" i="2"/>
  <c r="R386" i="2"/>
  <c r="AJ386" i="2" s="1"/>
  <c r="I386" i="2"/>
  <c r="H386" i="2"/>
  <c r="AI385" i="2"/>
  <c r="AH385" i="2"/>
  <c r="R385" i="2"/>
  <c r="AJ385" i="2" s="1"/>
  <c r="I385" i="2"/>
  <c r="H385" i="2"/>
  <c r="AI384" i="2"/>
  <c r="AH384" i="2"/>
  <c r="R384" i="2"/>
  <c r="AJ384" i="2" s="1"/>
  <c r="I384" i="2"/>
  <c r="H384" i="2"/>
  <c r="AI383" i="2"/>
  <c r="AH383" i="2"/>
  <c r="P383" i="2"/>
  <c r="AJ383" i="2" s="1"/>
  <c r="I383" i="2"/>
  <c r="H383" i="2"/>
  <c r="AJ382" i="2"/>
  <c r="AI382" i="2"/>
  <c r="AH382" i="2"/>
  <c r="I382" i="2"/>
  <c r="H382" i="2"/>
  <c r="AJ381" i="2"/>
  <c r="AI381" i="2"/>
  <c r="AH381" i="2"/>
  <c r="I381" i="2"/>
  <c r="H381" i="2"/>
  <c r="AK380" i="2"/>
  <c r="AJ380" i="2"/>
  <c r="AI380" i="2"/>
  <c r="AH380" i="2"/>
  <c r="I380" i="2"/>
  <c r="H380" i="2"/>
  <c r="AJ379" i="2"/>
  <c r="AK379" i="2" s="1"/>
  <c r="AI379" i="2"/>
  <c r="AH379" i="2"/>
  <c r="I379" i="2"/>
  <c r="H379" i="2"/>
  <c r="AJ378" i="2"/>
  <c r="AI378" i="2"/>
  <c r="AH378" i="2"/>
  <c r="I378" i="2"/>
  <c r="H378" i="2"/>
  <c r="AJ377" i="2"/>
  <c r="AI377" i="2"/>
  <c r="AH377" i="2"/>
  <c r="P377" i="2"/>
  <c r="I377" i="2"/>
  <c r="H377" i="2"/>
  <c r="AI376" i="2"/>
  <c r="AH376" i="2"/>
  <c r="P376" i="2"/>
  <c r="AJ376" i="2" s="1"/>
  <c r="I376" i="2"/>
  <c r="H376" i="2"/>
  <c r="AI375" i="2"/>
  <c r="AH375" i="2"/>
  <c r="P375" i="2"/>
  <c r="AJ375" i="2" s="1"/>
  <c r="I375" i="2"/>
  <c r="H375" i="2"/>
  <c r="AJ374" i="2"/>
  <c r="AI374" i="2"/>
  <c r="AH374" i="2"/>
  <c r="I374" i="2"/>
  <c r="H374" i="2"/>
  <c r="AI373" i="2"/>
  <c r="AH373" i="2"/>
  <c r="R373" i="2"/>
  <c r="AJ373" i="2" s="1"/>
  <c r="I373" i="2"/>
  <c r="H373" i="2"/>
  <c r="AI372" i="2"/>
  <c r="AH372" i="2"/>
  <c r="R372" i="2"/>
  <c r="AJ372" i="2" s="1"/>
  <c r="I372" i="2"/>
  <c r="H372" i="2"/>
  <c r="AJ371" i="2"/>
  <c r="AI371" i="2"/>
  <c r="AH371" i="2"/>
  <c r="I371" i="2"/>
  <c r="H371" i="2"/>
  <c r="AJ370" i="2"/>
  <c r="AI370" i="2"/>
  <c r="AH370" i="2"/>
  <c r="I370" i="2"/>
  <c r="H370" i="2"/>
  <c r="AJ369" i="2"/>
  <c r="AI369" i="2"/>
  <c r="AH369" i="2"/>
  <c r="I369" i="2"/>
  <c r="H369" i="2"/>
  <c r="AI368" i="2"/>
  <c r="AH368" i="2"/>
  <c r="P368" i="2"/>
  <c r="AJ368" i="2" s="1"/>
  <c r="I368" i="2"/>
  <c r="H368" i="2"/>
  <c r="AI367" i="2"/>
  <c r="AH367" i="2"/>
  <c r="R367" i="2"/>
  <c r="AJ367" i="2" s="1"/>
  <c r="I367" i="2"/>
  <c r="H367" i="2"/>
  <c r="AJ366" i="2"/>
  <c r="AI366" i="2"/>
  <c r="AH366" i="2"/>
  <c r="P366" i="2"/>
  <c r="I366" i="2"/>
  <c r="H366" i="2"/>
  <c r="AJ365" i="2"/>
  <c r="AI365" i="2"/>
  <c r="AH365" i="2"/>
  <c r="I365" i="2"/>
  <c r="H365" i="2"/>
  <c r="AJ364" i="2"/>
  <c r="AK364" i="2" s="1"/>
  <c r="AI364" i="2"/>
  <c r="AH364" i="2"/>
  <c r="I364" i="2"/>
  <c r="H364" i="2"/>
  <c r="AJ363" i="2"/>
  <c r="AI363" i="2"/>
  <c r="AH363" i="2"/>
  <c r="I363" i="2"/>
  <c r="H363" i="2"/>
  <c r="AI362" i="2"/>
  <c r="AH362" i="2"/>
  <c r="P362" i="2"/>
  <c r="AJ362" i="2" s="1"/>
  <c r="I362" i="2"/>
  <c r="H362" i="2"/>
  <c r="AI361" i="2"/>
  <c r="AH361" i="2"/>
  <c r="P361" i="2"/>
  <c r="AJ361" i="2" s="1"/>
  <c r="I361" i="2"/>
  <c r="H361" i="2"/>
  <c r="AJ360" i="2"/>
  <c r="AI360" i="2"/>
  <c r="AH360" i="2"/>
  <c r="I360" i="2"/>
  <c r="H360" i="2"/>
  <c r="AJ359" i="2"/>
  <c r="AK359" i="2" s="1"/>
  <c r="AI359" i="2"/>
  <c r="AH359" i="2"/>
  <c r="I359" i="2"/>
  <c r="H359" i="2"/>
  <c r="AH358" i="2"/>
  <c r="I358" i="2"/>
  <c r="H358" i="2"/>
  <c r="AJ357" i="2"/>
  <c r="AI357" i="2"/>
  <c r="AH357" i="2"/>
  <c r="I357" i="2"/>
  <c r="H357" i="2"/>
  <c r="AJ356" i="2"/>
  <c r="AI356" i="2"/>
  <c r="AH356" i="2"/>
  <c r="I356" i="2"/>
  <c r="H356" i="2"/>
  <c r="AJ355" i="2"/>
  <c r="AI355" i="2"/>
  <c r="AH355" i="2"/>
  <c r="I355" i="2"/>
  <c r="H355" i="2"/>
  <c r="AJ354" i="2"/>
  <c r="AI354" i="2"/>
  <c r="AH354" i="2"/>
  <c r="I354" i="2"/>
  <c r="H354" i="2"/>
  <c r="AJ353" i="2"/>
  <c r="AI353" i="2"/>
  <c r="AH353" i="2"/>
  <c r="I353" i="2"/>
  <c r="H353" i="2"/>
  <c r="AJ352" i="2"/>
  <c r="AI352" i="2"/>
  <c r="AH352" i="2"/>
  <c r="I352" i="2"/>
  <c r="H352" i="2"/>
  <c r="AJ351" i="2"/>
  <c r="AI351" i="2"/>
  <c r="AH351" i="2"/>
  <c r="I351" i="2"/>
  <c r="H351" i="2"/>
  <c r="AJ350" i="2"/>
  <c r="AI350" i="2"/>
  <c r="AH350" i="2"/>
  <c r="I350" i="2"/>
  <c r="H350" i="2"/>
  <c r="AJ349" i="2"/>
  <c r="AI349" i="2"/>
  <c r="AH349" i="2"/>
  <c r="I349" i="2"/>
  <c r="H349" i="2"/>
  <c r="AJ348" i="2"/>
  <c r="AI348" i="2"/>
  <c r="AH348" i="2"/>
  <c r="I348" i="2"/>
  <c r="H348" i="2"/>
  <c r="AJ347" i="2"/>
  <c r="AI347" i="2"/>
  <c r="AH347" i="2"/>
  <c r="I347" i="2"/>
  <c r="H347" i="2"/>
  <c r="AJ346" i="2"/>
  <c r="AI346" i="2"/>
  <c r="AH346" i="2"/>
  <c r="I346" i="2"/>
  <c r="H346" i="2"/>
  <c r="AJ345" i="2"/>
  <c r="AI345" i="2"/>
  <c r="AH345" i="2"/>
  <c r="I345" i="2"/>
  <c r="H345" i="2"/>
  <c r="AJ344" i="2"/>
  <c r="AI344" i="2"/>
  <c r="AH344" i="2"/>
  <c r="I344" i="2"/>
  <c r="H344" i="2"/>
  <c r="AJ343" i="2"/>
  <c r="AI343" i="2"/>
  <c r="AH343" i="2"/>
  <c r="I343" i="2"/>
  <c r="H343" i="2"/>
  <c r="AJ342" i="2"/>
  <c r="AI342" i="2"/>
  <c r="AH342" i="2"/>
  <c r="I342" i="2"/>
  <c r="H342" i="2"/>
  <c r="AJ341" i="2"/>
  <c r="AI341" i="2"/>
  <c r="AH341" i="2"/>
  <c r="I341" i="2"/>
  <c r="H341" i="2"/>
  <c r="AJ340" i="2"/>
  <c r="AI340" i="2"/>
  <c r="AH340" i="2"/>
  <c r="I340" i="2"/>
  <c r="H340" i="2"/>
  <c r="AJ339" i="2"/>
  <c r="AI339" i="2"/>
  <c r="AH339" i="2"/>
  <c r="I339" i="2"/>
  <c r="H339" i="2"/>
  <c r="AJ338" i="2"/>
  <c r="AI338" i="2"/>
  <c r="AH338" i="2"/>
  <c r="I338" i="2"/>
  <c r="H338" i="2"/>
  <c r="AJ337" i="2"/>
  <c r="AI337" i="2"/>
  <c r="AH337" i="2"/>
  <c r="I337" i="2"/>
  <c r="H337" i="2"/>
  <c r="AJ336" i="2"/>
  <c r="AI336" i="2"/>
  <c r="AH336" i="2"/>
  <c r="I336" i="2"/>
  <c r="H336" i="2"/>
  <c r="AJ335" i="2"/>
  <c r="AI335" i="2"/>
  <c r="AH335" i="2"/>
  <c r="I335" i="2"/>
  <c r="H335" i="2"/>
  <c r="AJ334" i="2"/>
  <c r="AI334" i="2"/>
  <c r="AH334" i="2"/>
  <c r="I334" i="2"/>
  <c r="H334" i="2"/>
  <c r="AJ333" i="2"/>
  <c r="AI333" i="2"/>
  <c r="AH333" i="2"/>
  <c r="I333" i="2"/>
  <c r="H333" i="2"/>
  <c r="AJ332" i="2"/>
  <c r="AI332" i="2"/>
  <c r="AH332" i="2"/>
  <c r="I332" i="2"/>
  <c r="H332" i="2"/>
  <c r="AH331" i="2"/>
  <c r="I331" i="2"/>
  <c r="H331" i="2"/>
  <c r="AH330" i="2"/>
  <c r="I330" i="2"/>
  <c r="H330" i="2"/>
  <c r="AJ329" i="2"/>
  <c r="AK329" i="2" s="1"/>
  <c r="AI329" i="2"/>
  <c r="AH329" i="2"/>
  <c r="I329" i="2"/>
  <c r="H329" i="2"/>
  <c r="AJ328" i="2"/>
  <c r="AI328" i="2"/>
  <c r="AH328" i="2"/>
  <c r="T328" i="2"/>
  <c r="R328" i="2"/>
  <c r="I328" i="2"/>
  <c r="H328" i="2"/>
  <c r="AJ327" i="2"/>
  <c r="AI327" i="2"/>
  <c r="AH327" i="2"/>
  <c r="I327" i="2"/>
  <c r="H327" i="2"/>
  <c r="AJ326" i="2"/>
  <c r="AI326" i="2"/>
  <c r="AH326" i="2"/>
  <c r="I326" i="2"/>
  <c r="H326" i="2"/>
  <c r="AJ325" i="2"/>
  <c r="AI325" i="2"/>
  <c r="AH325" i="2"/>
  <c r="P325" i="2"/>
  <c r="N325" i="2"/>
  <c r="I325" i="2"/>
  <c r="H325" i="2"/>
  <c r="AJ324" i="2"/>
  <c r="AI324" i="2"/>
  <c r="AH324" i="2"/>
  <c r="I324" i="2"/>
  <c r="H324" i="2"/>
  <c r="AJ323" i="2"/>
  <c r="AK323" i="2" s="1"/>
  <c r="AI323" i="2"/>
  <c r="AH323" i="2"/>
  <c r="I323" i="2"/>
  <c r="H323" i="2"/>
  <c r="AJ322" i="2"/>
  <c r="AI322" i="2"/>
  <c r="AK322" i="2" s="1"/>
  <c r="AH322" i="2"/>
  <c r="I322" i="2"/>
  <c r="H322" i="2"/>
  <c r="AJ321" i="2"/>
  <c r="AI321" i="2"/>
  <c r="AH321" i="2"/>
  <c r="I321" i="2"/>
  <c r="H321" i="2"/>
  <c r="AJ320" i="2"/>
  <c r="AI320" i="2"/>
  <c r="AK320" i="2" s="1"/>
  <c r="AH320" i="2"/>
  <c r="I320" i="2"/>
  <c r="H320" i="2"/>
  <c r="AJ319" i="2"/>
  <c r="AK319" i="2" s="1"/>
  <c r="AI319" i="2"/>
  <c r="AH319" i="2"/>
  <c r="I319" i="2"/>
  <c r="H319" i="2"/>
  <c r="AJ318" i="2"/>
  <c r="AI318" i="2"/>
  <c r="AH318" i="2"/>
  <c r="I318" i="2"/>
  <c r="H318" i="2"/>
  <c r="AJ317" i="2"/>
  <c r="AK317" i="2" s="1"/>
  <c r="AI317" i="2"/>
  <c r="AH317" i="2"/>
  <c r="I317" i="2"/>
  <c r="H317" i="2"/>
  <c r="AJ316" i="2"/>
  <c r="AI316" i="2"/>
  <c r="AK316" i="2" s="1"/>
  <c r="AH316" i="2"/>
  <c r="I316" i="2"/>
  <c r="H316" i="2"/>
  <c r="AJ315" i="2"/>
  <c r="AI315" i="2"/>
  <c r="AH315" i="2"/>
  <c r="I315" i="2"/>
  <c r="H315" i="2"/>
  <c r="AJ314" i="2"/>
  <c r="AI314" i="2"/>
  <c r="AH314" i="2"/>
  <c r="I314" i="2"/>
  <c r="H314" i="2"/>
  <c r="AJ313" i="2"/>
  <c r="AK313" i="2" s="1"/>
  <c r="AI313" i="2"/>
  <c r="AH313" i="2"/>
  <c r="I313" i="2"/>
  <c r="H313" i="2"/>
  <c r="AJ312" i="2"/>
  <c r="AI312" i="2"/>
  <c r="AH312" i="2"/>
  <c r="I312" i="2"/>
  <c r="H312" i="2"/>
  <c r="AJ311" i="2"/>
  <c r="AK311" i="2" s="1"/>
  <c r="AI311" i="2"/>
  <c r="AH311" i="2"/>
  <c r="P311" i="2"/>
  <c r="N311" i="2"/>
  <c r="I311" i="2"/>
  <c r="H311" i="2"/>
  <c r="AJ310" i="2"/>
  <c r="AI310" i="2"/>
  <c r="AH310" i="2"/>
  <c r="I310" i="2"/>
  <c r="H310" i="2"/>
  <c r="AJ309" i="2"/>
  <c r="AI309" i="2"/>
  <c r="AH309" i="2"/>
  <c r="I309" i="2"/>
  <c r="H309" i="2"/>
  <c r="AJ308" i="2"/>
  <c r="AI308" i="2"/>
  <c r="AH308" i="2"/>
  <c r="I308" i="2"/>
  <c r="H308" i="2"/>
  <c r="AJ307" i="2"/>
  <c r="AI307" i="2"/>
  <c r="AH307" i="2"/>
  <c r="I307" i="2"/>
  <c r="H307" i="2"/>
  <c r="AJ306" i="2"/>
  <c r="AI306" i="2"/>
  <c r="AH306" i="2"/>
  <c r="I306" i="2"/>
  <c r="H306" i="2"/>
  <c r="AJ305" i="2"/>
  <c r="AI305" i="2"/>
  <c r="AH305" i="2"/>
  <c r="I305" i="2"/>
  <c r="H305" i="2"/>
  <c r="AJ304" i="2"/>
  <c r="AI304" i="2"/>
  <c r="AH304" i="2"/>
  <c r="I304" i="2"/>
  <c r="H304" i="2"/>
  <c r="AH303" i="2"/>
  <c r="I303" i="2"/>
  <c r="H303" i="2"/>
  <c r="AH302" i="2"/>
  <c r="I302" i="2"/>
  <c r="H302" i="2"/>
  <c r="AJ301" i="2"/>
  <c r="AK301" i="2" s="1"/>
  <c r="AI301" i="2"/>
  <c r="AH301" i="2"/>
  <c r="I301" i="2"/>
  <c r="H301" i="2"/>
  <c r="AJ300" i="2"/>
  <c r="AI300" i="2"/>
  <c r="AK300" i="2" s="1"/>
  <c r="AH300" i="2"/>
  <c r="I300" i="2"/>
  <c r="H300" i="2"/>
  <c r="AJ299" i="2"/>
  <c r="AI299" i="2"/>
  <c r="AH299" i="2"/>
  <c r="I299" i="2"/>
  <c r="H299" i="2"/>
  <c r="AJ298" i="2"/>
  <c r="AI298" i="2"/>
  <c r="AK298" i="2" s="1"/>
  <c r="AH298" i="2"/>
  <c r="I298" i="2"/>
  <c r="H298" i="2"/>
  <c r="AJ297" i="2"/>
  <c r="AK297" i="2" s="1"/>
  <c r="AI297" i="2"/>
  <c r="AH297" i="2"/>
  <c r="I297" i="2"/>
  <c r="H297" i="2"/>
  <c r="AJ296" i="2"/>
  <c r="AI296" i="2"/>
  <c r="AH296" i="2"/>
  <c r="R296" i="2"/>
  <c r="I296" i="2"/>
  <c r="H296" i="2"/>
  <c r="AJ295" i="2"/>
  <c r="AI295" i="2"/>
  <c r="AH295" i="2"/>
  <c r="I295" i="2"/>
  <c r="H295" i="2"/>
  <c r="AJ294" i="2"/>
  <c r="AI294" i="2"/>
  <c r="AH294" i="2"/>
  <c r="I294" i="2"/>
  <c r="H294" i="2"/>
  <c r="AJ293" i="2"/>
  <c r="AI293" i="2"/>
  <c r="AK293" i="2" s="1"/>
  <c r="AH293" i="2"/>
  <c r="I293" i="2"/>
  <c r="H293" i="2"/>
  <c r="AJ292" i="2"/>
  <c r="AI292" i="2"/>
  <c r="AH292" i="2"/>
  <c r="I292" i="2"/>
  <c r="H292" i="2"/>
  <c r="AJ291" i="2"/>
  <c r="AI291" i="2"/>
  <c r="AH291" i="2"/>
  <c r="I291" i="2"/>
  <c r="H291" i="2"/>
  <c r="AJ290" i="2"/>
  <c r="AI290" i="2"/>
  <c r="AH290" i="2"/>
  <c r="I290" i="2"/>
  <c r="H290" i="2"/>
  <c r="AJ289" i="2"/>
  <c r="AK289" i="2" s="1"/>
  <c r="AI289" i="2"/>
  <c r="AH289" i="2"/>
  <c r="I289" i="2"/>
  <c r="H289" i="2"/>
  <c r="AJ288" i="2"/>
  <c r="AI288" i="2"/>
  <c r="AH288" i="2"/>
  <c r="I288" i="2"/>
  <c r="H288" i="2"/>
  <c r="AJ287" i="2"/>
  <c r="AI287" i="2"/>
  <c r="AH287" i="2"/>
  <c r="I287" i="2"/>
  <c r="H287" i="2"/>
  <c r="AJ286" i="2"/>
  <c r="AI286" i="2"/>
  <c r="AH286" i="2"/>
  <c r="P286" i="2"/>
  <c r="N286" i="2"/>
  <c r="I286" i="2"/>
  <c r="H286" i="2"/>
  <c r="AJ285" i="2"/>
  <c r="AI285" i="2"/>
  <c r="AH285" i="2"/>
  <c r="I285" i="2"/>
  <c r="H285" i="2"/>
  <c r="AJ284" i="2"/>
  <c r="AI284" i="2"/>
  <c r="AH284" i="2"/>
  <c r="I284" i="2"/>
  <c r="H284" i="2"/>
  <c r="AJ283" i="2"/>
  <c r="AI283" i="2"/>
  <c r="AH283" i="2"/>
  <c r="I283" i="2"/>
  <c r="H283" i="2"/>
  <c r="AJ282" i="2"/>
  <c r="AI282" i="2"/>
  <c r="AH282" i="2"/>
  <c r="I282" i="2"/>
  <c r="H282" i="2"/>
  <c r="AJ281" i="2"/>
  <c r="AK281" i="2" s="1"/>
  <c r="AI281" i="2"/>
  <c r="AH281" i="2"/>
  <c r="I281" i="2"/>
  <c r="H281" i="2"/>
  <c r="AJ280" i="2"/>
  <c r="AI280" i="2"/>
  <c r="AH280" i="2"/>
  <c r="I280" i="2"/>
  <c r="H280" i="2"/>
  <c r="AJ279" i="2"/>
  <c r="AI279" i="2"/>
  <c r="AH279" i="2"/>
  <c r="I279" i="2"/>
  <c r="H279" i="2"/>
  <c r="AJ278" i="2"/>
  <c r="AI278" i="2"/>
  <c r="AK278" i="2" s="1"/>
  <c r="AH278" i="2"/>
  <c r="N278" i="2"/>
  <c r="I278" i="2"/>
  <c r="H278" i="2"/>
  <c r="AJ277" i="2"/>
  <c r="AI277" i="2"/>
  <c r="AH277" i="2"/>
  <c r="I277" i="2"/>
  <c r="H277" i="2"/>
  <c r="AJ276" i="2"/>
  <c r="AI276" i="2"/>
  <c r="AH276" i="2"/>
  <c r="I276" i="2"/>
  <c r="H276" i="2"/>
  <c r="AJ275" i="2"/>
  <c r="AI275" i="2"/>
  <c r="AH275" i="2"/>
  <c r="I275" i="2"/>
  <c r="H275" i="2"/>
  <c r="AJ274" i="2"/>
  <c r="AI274" i="2"/>
  <c r="AH274" i="2"/>
  <c r="I274" i="2"/>
  <c r="H274" i="2"/>
  <c r="AJ273" i="2"/>
  <c r="AI273" i="2"/>
  <c r="AH273" i="2"/>
  <c r="I273" i="2"/>
  <c r="H273" i="2"/>
  <c r="AJ272" i="2"/>
  <c r="AI272" i="2"/>
  <c r="AH272" i="2"/>
  <c r="I272" i="2"/>
  <c r="H272" i="2"/>
  <c r="AJ271" i="2"/>
  <c r="AI271" i="2"/>
  <c r="AH271" i="2"/>
  <c r="I271" i="2"/>
  <c r="H271" i="2"/>
  <c r="AJ270" i="2"/>
  <c r="AH270" i="2"/>
  <c r="N270" i="2"/>
  <c r="AI270" i="2" s="1"/>
  <c r="I270" i="2"/>
  <c r="H270" i="2"/>
  <c r="AJ269" i="2"/>
  <c r="AI269" i="2"/>
  <c r="AH269" i="2"/>
  <c r="I269" i="2"/>
  <c r="H269" i="2"/>
  <c r="AJ268" i="2"/>
  <c r="AI268" i="2"/>
  <c r="AH268" i="2"/>
  <c r="I268" i="2"/>
  <c r="H268" i="2"/>
  <c r="AJ267" i="2"/>
  <c r="AK267" i="2" s="1"/>
  <c r="AI267" i="2"/>
  <c r="AH267" i="2"/>
  <c r="I267" i="2"/>
  <c r="H267" i="2"/>
  <c r="AJ266" i="2"/>
  <c r="AI266" i="2"/>
  <c r="AH266" i="2"/>
  <c r="I266" i="2"/>
  <c r="H266" i="2"/>
  <c r="AJ265" i="2"/>
  <c r="AI265" i="2"/>
  <c r="AK265" i="2" s="1"/>
  <c r="AH265" i="2"/>
  <c r="R265" i="2"/>
  <c r="P265" i="2"/>
  <c r="I265" i="2"/>
  <c r="H265" i="2"/>
  <c r="AJ264" i="2"/>
  <c r="AI264" i="2"/>
  <c r="AH264" i="2"/>
  <c r="I264" i="2"/>
  <c r="H264" i="2"/>
  <c r="AJ263" i="2"/>
  <c r="AI263" i="2"/>
  <c r="AH263" i="2"/>
  <c r="I263" i="2"/>
  <c r="H263" i="2"/>
  <c r="AJ262" i="2"/>
  <c r="AI262" i="2"/>
  <c r="AH262" i="2"/>
  <c r="I262" i="2"/>
  <c r="H262" i="2"/>
  <c r="AJ261" i="2"/>
  <c r="AI261" i="2"/>
  <c r="AH261" i="2"/>
  <c r="I261" i="2"/>
  <c r="H261" i="2"/>
  <c r="AJ260" i="2"/>
  <c r="AI260" i="2"/>
  <c r="AH260" i="2"/>
  <c r="I260" i="2"/>
  <c r="H260" i="2"/>
  <c r="AJ259" i="2"/>
  <c r="AI259" i="2"/>
  <c r="AH259" i="2"/>
  <c r="N259" i="2"/>
  <c r="I259" i="2"/>
  <c r="H259" i="2"/>
  <c r="AJ258" i="2"/>
  <c r="AI258" i="2"/>
  <c r="AH258" i="2"/>
  <c r="I258" i="2"/>
  <c r="H258" i="2"/>
  <c r="AJ257" i="2"/>
  <c r="AI257" i="2"/>
  <c r="AH257" i="2"/>
  <c r="I257" i="2"/>
  <c r="H257" i="2"/>
  <c r="AJ256" i="2"/>
  <c r="AI256" i="2"/>
  <c r="AH256" i="2"/>
  <c r="I256" i="2"/>
  <c r="H256" i="2"/>
  <c r="AJ255" i="2"/>
  <c r="AI255" i="2"/>
  <c r="AH255" i="2"/>
  <c r="I255" i="2"/>
  <c r="H255" i="2"/>
  <c r="AJ254" i="2"/>
  <c r="AI254" i="2"/>
  <c r="AH254" i="2"/>
  <c r="I254" i="2"/>
  <c r="H254" i="2"/>
  <c r="AJ253" i="2"/>
  <c r="AI253" i="2"/>
  <c r="AH253" i="2"/>
  <c r="I253" i="2"/>
  <c r="H253" i="2"/>
  <c r="AI252" i="2"/>
  <c r="AH252" i="2"/>
  <c r="L252" i="2"/>
  <c r="AJ252" i="2" s="1"/>
  <c r="I252" i="2"/>
  <c r="H252" i="2"/>
  <c r="AJ251" i="2"/>
  <c r="AK251" i="2" s="1"/>
  <c r="AI251" i="2"/>
  <c r="AH251" i="2"/>
  <c r="I251" i="2"/>
  <c r="H251" i="2"/>
  <c r="AJ250" i="2"/>
  <c r="AI250" i="2"/>
  <c r="AH250" i="2"/>
  <c r="I250" i="2"/>
  <c r="H250" i="2"/>
  <c r="AJ249" i="2"/>
  <c r="AI249" i="2"/>
  <c r="AH249" i="2"/>
  <c r="I249" i="2"/>
  <c r="H249" i="2"/>
  <c r="AJ248" i="2"/>
  <c r="AI248" i="2"/>
  <c r="AH248" i="2"/>
  <c r="I248" i="2"/>
  <c r="H248" i="2"/>
  <c r="AJ247" i="2"/>
  <c r="AI247" i="2"/>
  <c r="AH247" i="2"/>
  <c r="I247" i="2"/>
  <c r="H247" i="2"/>
  <c r="AH246" i="2"/>
  <c r="I246" i="2"/>
  <c r="H246" i="2"/>
  <c r="AH245" i="2"/>
  <c r="I245" i="2"/>
  <c r="H245" i="2"/>
  <c r="AJ244" i="2"/>
  <c r="AI244" i="2"/>
  <c r="AH244" i="2"/>
  <c r="I244" i="2"/>
  <c r="H244" i="2"/>
  <c r="AJ243" i="2"/>
  <c r="AI243" i="2"/>
  <c r="AH243" i="2"/>
  <c r="N243" i="2"/>
  <c r="I243" i="2"/>
  <c r="H243" i="2"/>
  <c r="AJ242" i="2"/>
  <c r="AI242" i="2"/>
  <c r="AH242" i="2"/>
  <c r="I242" i="2"/>
  <c r="H242" i="2"/>
  <c r="AJ241" i="2"/>
  <c r="AI241" i="2"/>
  <c r="AH241" i="2"/>
  <c r="I241" i="2"/>
  <c r="H241" i="2"/>
  <c r="AI240" i="2"/>
  <c r="AH240" i="2"/>
  <c r="N240" i="2"/>
  <c r="AJ240" i="2" s="1"/>
  <c r="I240" i="2"/>
  <c r="H240" i="2"/>
  <c r="AJ239" i="2"/>
  <c r="AI239" i="2"/>
  <c r="AH239" i="2"/>
  <c r="I239" i="2"/>
  <c r="H239" i="2"/>
  <c r="AJ238" i="2"/>
  <c r="AI238" i="2"/>
  <c r="AH238" i="2"/>
  <c r="I238" i="2"/>
  <c r="H238" i="2"/>
  <c r="AJ237" i="2"/>
  <c r="AK237" i="2" s="1"/>
  <c r="AI237" i="2"/>
  <c r="AH237" i="2"/>
  <c r="I237" i="2"/>
  <c r="H237" i="2"/>
  <c r="AJ236" i="2"/>
  <c r="AI236" i="2"/>
  <c r="AH236" i="2"/>
  <c r="I236" i="2"/>
  <c r="H236" i="2"/>
  <c r="AJ235" i="2"/>
  <c r="AI235" i="2"/>
  <c r="AH235" i="2"/>
  <c r="I235" i="2"/>
  <c r="H235" i="2"/>
  <c r="AJ234" i="2"/>
  <c r="AI234" i="2"/>
  <c r="AH234" i="2"/>
  <c r="I234" i="2"/>
  <c r="H234" i="2"/>
  <c r="AJ233" i="2"/>
  <c r="AI233" i="2"/>
  <c r="AH233" i="2"/>
  <c r="I233" i="2"/>
  <c r="H233" i="2"/>
  <c r="AJ232" i="2"/>
  <c r="AI232" i="2"/>
  <c r="AH232" i="2"/>
  <c r="I232" i="2"/>
  <c r="H232" i="2"/>
  <c r="AJ231" i="2"/>
  <c r="AI231" i="2"/>
  <c r="AH231" i="2"/>
  <c r="I231" i="2"/>
  <c r="H231" i="2"/>
  <c r="AJ230" i="2"/>
  <c r="AI230" i="2"/>
  <c r="AH230" i="2"/>
  <c r="I230" i="2"/>
  <c r="H230" i="2"/>
  <c r="AJ229" i="2"/>
  <c r="AI229" i="2"/>
  <c r="AH229" i="2"/>
  <c r="I229" i="2"/>
  <c r="H229" i="2"/>
  <c r="AJ228" i="2"/>
  <c r="AI228" i="2"/>
  <c r="AH228" i="2"/>
  <c r="I228" i="2"/>
  <c r="H228" i="2"/>
  <c r="AJ227" i="2"/>
  <c r="AK227" i="2" s="1"/>
  <c r="AI227" i="2"/>
  <c r="AH227" i="2"/>
  <c r="I227" i="2"/>
  <c r="H227" i="2"/>
  <c r="AJ226" i="2"/>
  <c r="AI226" i="2"/>
  <c r="AH226" i="2"/>
  <c r="I226" i="2"/>
  <c r="H226" i="2"/>
  <c r="AJ225" i="2"/>
  <c r="AI225" i="2"/>
  <c r="AH225" i="2"/>
  <c r="I225" i="2"/>
  <c r="H225" i="2"/>
  <c r="AJ224" i="2"/>
  <c r="AK224" i="2" s="1"/>
  <c r="AI224" i="2"/>
  <c r="AH224" i="2"/>
  <c r="I224" i="2"/>
  <c r="H224" i="2"/>
  <c r="AJ223" i="2"/>
  <c r="AI223" i="2"/>
  <c r="AH223" i="2"/>
  <c r="I223" i="2"/>
  <c r="H223" i="2"/>
  <c r="AJ222" i="2"/>
  <c r="AI222" i="2"/>
  <c r="AH222" i="2"/>
  <c r="I222" i="2"/>
  <c r="H222" i="2"/>
  <c r="AJ221" i="2"/>
  <c r="AI221" i="2"/>
  <c r="AH221" i="2"/>
  <c r="I221" i="2"/>
  <c r="H221" i="2"/>
  <c r="AJ220" i="2"/>
  <c r="AI220" i="2"/>
  <c r="AH220" i="2"/>
  <c r="N220" i="2"/>
  <c r="I220" i="2"/>
  <c r="H220" i="2"/>
  <c r="AJ219" i="2"/>
  <c r="AI219" i="2"/>
  <c r="AH219" i="2"/>
  <c r="I219" i="2"/>
  <c r="H219" i="2"/>
  <c r="AJ218" i="2"/>
  <c r="AK218" i="2" s="1"/>
  <c r="AI218" i="2"/>
  <c r="AH218" i="2"/>
  <c r="I218" i="2"/>
  <c r="H218" i="2"/>
  <c r="AJ217" i="2"/>
  <c r="AI217" i="2"/>
  <c r="AH217" i="2"/>
  <c r="I217" i="2"/>
  <c r="H217" i="2"/>
  <c r="AJ216" i="2"/>
  <c r="AI216" i="2"/>
  <c r="AH216" i="2"/>
  <c r="I216" i="2"/>
  <c r="H216" i="2"/>
  <c r="AJ215" i="2"/>
  <c r="AI215" i="2"/>
  <c r="AH215" i="2"/>
  <c r="I215" i="2"/>
  <c r="H215" i="2"/>
  <c r="AJ214" i="2"/>
  <c r="AI214" i="2"/>
  <c r="AH214" i="2"/>
  <c r="I214" i="2"/>
  <c r="H214" i="2"/>
  <c r="AJ213" i="2"/>
  <c r="AI213" i="2"/>
  <c r="AK213" i="2" s="1"/>
  <c r="AH213" i="2"/>
  <c r="I213" i="2"/>
  <c r="H213" i="2"/>
  <c r="AJ212" i="2"/>
  <c r="AI212" i="2"/>
  <c r="AH212" i="2"/>
  <c r="I212" i="2"/>
  <c r="H212" i="2"/>
  <c r="AJ211" i="2"/>
  <c r="AI211" i="2"/>
  <c r="AH211" i="2"/>
  <c r="I211" i="2"/>
  <c r="H211" i="2"/>
  <c r="AJ210" i="2"/>
  <c r="AK210" i="2" s="1"/>
  <c r="AI210" i="2"/>
  <c r="AH210" i="2"/>
  <c r="I210" i="2"/>
  <c r="H210" i="2"/>
  <c r="AJ209" i="2"/>
  <c r="AI209" i="2"/>
  <c r="AK209" i="2" s="1"/>
  <c r="AH209" i="2"/>
  <c r="I209" i="2"/>
  <c r="H209" i="2"/>
  <c r="AJ208" i="2"/>
  <c r="AI208" i="2"/>
  <c r="AH208" i="2"/>
  <c r="I208" i="2"/>
  <c r="H208" i="2"/>
  <c r="AJ207" i="2"/>
  <c r="AI207" i="2"/>
  <c r="AH207" i="2"/>
  <c r="I207" i="2"/>
  <c r="H207" i="2"/>
  <c r="AJ206" i="2"/>
  <c r="AK206" i="2" s="1"/>
  <c r="AI206" i="2"/>
  <c r="AH206" i="2"/>
  <c r="I206" i="2"/>
  <c r="H206" i="2"/>
  <c r="AJ205" i="2"/>
  <c r="AI205" i="2"/>
  <c r="AH205" i="2"/>
  <c r="I205" i="2"/>
  <c r="H205" i="2"/>
  <c r="AJ204" i="2"/>
  <c r="AI204" i="2"/>
  <c r="AH204" i="2"/>
  <c r="I204" i="2"/>
  <c r="H204" i="2"/>
  <c r="AJ203" i="2"/>
  <c r="AI203" i="2"/>
  <c r="AH203" i="2"/>
  <c r="I203" i="2"/>
  <c r="H203" i="2"/>
  <c r="AJ202" i="2"/>
  <c r="AI202" i="2"/>
  <c r="AH202" i="2"/>
  <c r="I202" i="2"/>
  <c r="H202" i="2"/>
  <c r="AJ201" i="2"/>
  <c r="AI201" i="2"/>
  <c r="AK201" i="2" s="1"/>
  <c r="AH201" i="2"/>
  <c r="I201" i="2"/>
  <c r="H201" i="2"/>
  <c r="AJ200" i="2"/>
  <c r="AI200" i="2"/>
  <c r="AH200" i="2"/>
  <c r="I200" i="2"/>
  <c r="H200" i="2"/>
  <c r="AJ199" i="2"/>
  <c r="AI199" i="2"/>
  <c r="AH199" i="2"/>
  <c r="I199" i="2"/>
  <c r="H199" i="2"/>
  <c r="AJ198" i="2"/>
  <c r="AI198" i="2"/>
  <c r="AH198" i="2"/>
  <c r="I198" i="2"/>
  <c r="H198" i="2"/>
  <c r="AJ197" i="2"/>
  <c r="AI197" i="2"/>
  <c r="AK197" i="2" s="1"/>
  <c r="AH197" i="2"/>
  <c r="I197" i="2"/>
  <c r="H197" i="2"/>
  <c r="AJ196" i="2"/>
  <c r="AI196" i="2"/>
  <c r="AH196" i="2"/>
  <c r="I196" i="2"/>
  <c r="H196" i="2"/>
  <c r="AJ195" i="2"/>
  <c r="AI195" i="2"/>
  <c r="AH195" i="2"/>
  <c r="I195" i="2"/>
  <c r="H195" i="2"/>
  <c r="AJ194" i="2"/>
  <c r="AK194" i="2" s="1"/>
  <c r="AI194" i="2"/>
  <c r="AH194" i="2"/>
  <c r="I194" i="2"/>
  <c r="H194" i="2"/>
  <c r="AJ193" i="2"/>
  <c r="AI193" i="2"/>
  <c r="AH193" i="2"/>
  <c r="I193" i="2"/>
  <c r="H193" i="2"/>
  <c r="AJ192" i="2"/>
  <c r="AI192" i="2"/>
  <c r="AH192" i="2"/>
  <c r="I192" i="2"/>
  <c r="H192" i="2"/>
  <c r="AI191" i="2"/>
  <c r="AH191" i="2"/>
  <c r="P191" i="2"/>
  <c r="AJ191" i="2" s="1"/>
  <c r="I191" i="2"/>
  <c r="H191" i="2"/>
  <c r="AJ190" i="2"/>
  <c r="AI190" i="2"/>
  <c r="AH190" i="2"/>
  <c r="I190" i="2"/>
  <c r="H190" i="2"/>
  <c r="AJ189" i="2"/>
  <c r="AI189" i="2"/>
  <c r="AH189" i="2"/>
  <c r="I189" i="2"/>
  <c r="H189" i="2"/>
  <c r="AJ188" i="2"/>
  <c r="AI188" i="2"/>
  <c r="AH188" i="2"/>
  <c r="I188" i="2"/>
  <c r="H188" i="2"/>
  <c r="AJ187" i="2"/>
  <c r="AI187" i="2"/>
  <c r="AH187" i="2"/>
  <c r="I187" i="2"/>
  <c r="H187" i="2"/>
  <c r="AJ186" i="2"/>
  <c r="AI186" i="2"/>
  <c r="AH186" i="2"/>
  <c r="I186" i="2"/>
  <c r="H186" i="2"/>
  <c r="AJ185" i="2"/>
  <c r="AI185" i="2"/>
  <c r="AH185" i="2"/>
  <c r="I185" i="2"/>
  <c r="H185" i="2"/>
  <c r="AJ184" i="2"/>
  <c r="AI184" i="2"/>
  <c r="AH184" i="2"/>
  <c r="I184" i="2"/>
  <c r="H184" i="2"/>
  <c r="AJ183" i="2"/>
  <c r="AI183" i="2"/>
  <c r="AH183" i="2"/>
  <c r="I183" i="2"/>
  <c r="H183" i="2"/>
  <c r="AJ182" i="2"/>
  <c r="AI182" i="2"/>
  <c r="AH182" i="2"/>
  <c r="I182" i="2"/>
  <c r="H182" i="2"/>
  <c r="AJ181" i="2"/>
  <c r="AI181" i="2"/>
  <c r="AH181" i="2"/>
  <c r="I181" i="2"/>
  <c r="H181" i="2"/>
  <c r="AH180" i="2"/>
  <c r="I180" i="2"/>
  <c r="H180" i="2"/>
  <c r="AH179" i="2"/>
  <c r="I179" i="2"/>
  <c r="H179" i="2"/>
  <c r="AJ178" i="2"/>
  <c r="AI178" i="2"/>
  <c r="AH178" i="2"/>
  <c r="I178" i="2"/>
  <c r="H178" i="2"/>
  <c r="AI177" i="2"/>
  <c r="AH177" i="2"/>
  <c r="V177" i="2"/>
  <c r="AJ177" i="2" s="1"/>
  <c r="I177" i="2"/>
  <c r="H177" i="2"/>
  <c r="AJ176" i="2"/>
  <c r="AI176" i="2"/>
  <c r="AH176" i="2"/>
  <c r="I176" i="2"/>
  <c r="H176" i="2"/>
  <c r="AI175" i="2"/>
  <c r="AH175" i="2"/>
  <c r="P175" i="2"/>
  <c r="AJ175" i="2" s="1"/>
  <c r="I175" i="2"/>
  <c r="H175" i="2"/>
  <c r="AJ174" i="2"/>
  <c r="AI174" i="2"/>
  <c r="AH174" i="2"/>
  <c r="I174" i="2"/>
  <c r="H174" i="2"/>
  <c r="AJ173" i="2"/>
  <c r="AK173" i="2" s="1"/>
  <c r="AI173" i="2"/>
  <c r="AH173" i="2"/>
  <c r="I173" i="2"/>
  <c r="H173" i="2"/>
  <c r="AJ172" i="2"/>
  <c r="AI172" i="2"/>
  <c r="AH172" i="2"/>
  <c r="I172" i="2"/>
  <c r="H172" i="2"/>
  <c r="AJ171" i="2"/>
  <c r="AI171" i="2"/>
  <c r="AH171" i="2"/>
  <c r="I171" i="2"/>
  <c r="H171" i="2"/>
  <c r="AJ170" i="2"/>
  <c r="AI170" i="2"/>
  <c r="AH170" i="2"/>
  <c r="I170" i="2"/>
  <c r="H170" i="2"/>
  <c r="AJ169" i="2"/>
  <c r="AI169" i="2"/>
  <c r="AH169" i="2"/>
  <c r="I169" i="2"/>
  <c r="H169" i="2"/>
  <c r="AJ168" i="2"/>
  <c r="AK168" i="2" s="1"/>
  <c r="AI168" i="2"/>
  <c r="AH168" i="2"/>
  <c r="I168" i="2"/>
  <c r="H168" i="2"/>
  <c r="AJ167" i="2"/>
  <c r="AI167" i="2"/>
  <c r="AH167" i="2"/>
  <c r="I167" i="2"/>
  <c r="H167" i="2"/>
  <c r="AJ166" i="2"/>
  <c r="AK166" i="2" s="1"/>
  <c r="AI166" i="2"/>
  <c r="AH166" i="2"/>
  <c r="I166" i="2"/>
  <c r="H166" i="2"/>
  <c r="AJ165" i="2"/>
  <c r="AI165" i="2"/>
  <c r="AH165" i="2"/>
  <c r="I165" i="2"/>
  <c r="H165" i="2"/>
  <c r="AJ164" i="2"/>
  <c r="AI164" i="2"/>
  <c r="AH164" i="2"/>
  <c r="I164" i="2"/>
  <c r="H164" i="2"/>
  <c r="AJ163" i="2"/>
  <c r="AI163" i="2"/>
  <c r="AH163" i="2"/>
  <c r="I163" i="2"/>
  <c r="H163" i="2"/>
  <c r="AJ162" i="2"/>
  <c r="AI162" i="2"/>
  <c r="AH162" i="2"/>
  <c r="I162" i="2"/>
  <c r="H162" i="2"/>
  <c r="AJ161" i="2"/>
  <c r="AI161" i="2"/>
  <c r="AH161" i="2"/>
  <c r="I161" i="2"/>
  <c r="H161" i="2"/>
  <c r="AJ160" i="2"/>
  <c r="AI160" i="2"/>
  <c r="AH160" i="2"/>
  <c r="I160" i="2"/>
  <c r="H160" i="2"/>
  <c r="AJ159" i="2"/>
  <c r="AI159" i="2"/>
  <c r="AH159" i="2"/>
  <c r="I159" i="2"/>
  <c r="H159" i="2"/>
  <c r="AJ158" i="2"/>
  <c r="AI158" i="2"/>
  <c r="AH158" i="2"/>
  <c r="I158" i="2"/>
  <c r="H158" i="2"/>
  <c r="AJ157" i="2"/>
  <c r="AI157" i="2"/>
  <c r="AH157" i="2"/>
  <c r="I157" i="2"/>
  <c r="H157" i="2"/>
  <c r="AJ156" i="2"/>
  <c r="AI156" i="2"/>
  <c r="AH156" i="2"/>
  <c r="I156" i="2"/>
  <c r="H156" i="2"/>
  <c r="AJ155" i="2"/>
  <c r="AI155" i="2"/>
  <c r="AH155" i="2"/>
  <c r="I155" i="2"/>
  <c r="H155" i="2"/>
  <c r="AJ154" i="2"/>
  <c r="AK154" i="2" s="1"/>
  <c r="AI154" i="2"/>
  <c r="AH154" i="2"/>
  <c r="I154" i="2"/>
  <c r="H154" i="2"/>
  <c r="AJ153" i="2"/>
  <c r="AI153" i="2"/>
  <c r="AH153" i="2"/>
  <c r="I153" i="2"/>
  <c r="H153" i="2"/>
  <c r="AJ152" i="2"/>
  <c r="AI152" i="2"/>
  <c r="AH152" i="2"/>
  <c r="I152" i="2"/>
  <c r="H152" i="2"/>
  <c r="AJ151" i="2"/>
  <c r="AI151" i="2"/>
  <c r="AH151" i="2"/>
  <c r="I151" i="2"/>
  <c r="H151" i="2"/>
  <c r="AJ150" i="2"/>
  <c r="AK150" i="2" s="1"/>
  <c r="AI150" i="2"/>
  <c r="AH150" i="2"/>
  <c r="I150" i="2"/>
  <c r="H150" i="2"/>
  <c r="AJ149" i="2"/>
  <c r="AI149" i="2"/>
  <c r="AH149" i="2"/>
  <c r="I149" i="2"/>
  <c r="H149" i="2"/>
  <c r="AJ148" i="2"/>
  <c r="AI148" i="2"/>
  <c r="AH148" i="2"/>
  <c r="I148" i="2"/>
  <c r="H148" i="2"/>
  <c r="AH147" i="2"/>
  <c r="I147" i="2"/>
  <c r="H147" i="2"/>
  <c r="AH146" i="2"/>
  <c r="I146" i="2"/>
  <c r="H146" i="2"/>
  <c r="AJ145" i="2"/>
  <c r="AI145" i="2"/>
  <c r="AK145" i="2" s="1"/>
  <c r="AH145" i="2"/>
  <c r="I145" i="2"/>
  <c r="H145" i="2"/>
  <c r="AJ144" i="2"/>
  <c r="AI144" i="2"/>
  <c r="AH144" i="2"/>
  <c r="I144" i="2"/>
  <c r="H144" i="2"/>
  <c r="AJ143" i="2"/>
  <c r="AI143" i="2"/>
  <c r="AH143" i="2"/>
  <c r="I143" i="2"/>
  <c r="H143" i="2"/>
  <c r="AJ142" i="2"/>
  <c r="AI142" i="2"/>
  <c r="AH142" i="2"/>
  <c r="I142" i="2"/>
  <c r="H142" i="2"/>
  <c r="AJ141" i="2"/>
  <c r="AK141" i="2" s="1"/>
  <c r="AI141" i="2"/>
  <c r="AH141" i="2"/>
  <c r="I141" i="2"/>
  <c r="H141" i="2"/>
  <c r="AJ140" i="2"/>
  <c r="AI140" i="2"/>
  <c r="AH140" i="2"/>
  <c r="I140" i="2"/>
  <c r="H140" i="2"/>
  <c r="AJ139" i="2"/>
  <c r="AI139" i="2"/>
  <c r="AH139" i="2"/>
  <c r="I139" i="2"/>
  <c r="H139" i="2"/>
  <c r="AJ138" i="2"/>
  <c r="AI138" i="2"/>
  <c r="AH138" i="2"/>
  <c r="I138" i="2"/>
  <c r="H138" i="2"/>
  <c r="AJ137" i="2"/>
  <c r="AI137" i="2"/>
  <c r="AH137" i="2"/>
  <c r="I137" i="2"/>
  <c r="H137" i="2"/>
  <c r="AJ136" i="2"/>
  <c r="AI136" i="2"/>
  <c r="AH136" i="2"/>
  <c r="I136" i="2"/>
  <c r="H136" i="2"/>
  <c r="AK135" i="2"/>
  <c r="AJ135" i="2"/>
  <c r="AI135" i="2"/>
  <c r="AH135" i="2"/>
  <c r="I135" i="2"/>
  <c r="H135" i="2"/>
  <c r="AJ134" i="2"/>
  <c r="AI134" i="2"/>
  <c r="AH134" i="2"/>
  <c r="I134" i="2"/>
  <c r="H134" i="2"/>
  <c r="AJ133" i="2"/>
  <c r="AI133" i="2"/>
  <c r="AH133" i="2"/>
  <c r="I133" i="2"/>
  <c r="H133" i="2"/>
  <c r="AJ132" i="2"/>
  <c r="AI132" i="2"/>
  <c r="AH132" i="2"/>
  <c r="I132" i="2"/>
  <c r="H132" i="2"/>
  <c r="AJ131" i="2"/>
  <c r="AI131" i="2"/>
  <c r="AH131" i="2"/>
  <c r="I131" i="2"/>
  <c r="H131" i="2"/>
  <c r="AJ130" i="2"/>
  <c r="AI130" i="2"/>
  <c r="AH130" i="2"/>
  <c r="I130" i="2"/>
  <c r="H130" i="2"/>
  <c r="AJ129" i="2"/>
  <c r="AI129" i="2"/>
  <c r="AH129" i="2"/>
  <c r="I129" i="2"/>
  <c r="H129" i="2"/>
  <c r="AJ128" i="2"/>
  <c r="AI128" i="2"/>
  <c r="AH128" i="2"/>
  <c r="I128" i="2"/>
  <c r="H128" i="2"/>
  <c r="AJ127" i="2"/>
  <c r="AK127" i="2" s="1"/>
  <c r="AI127" i="2"/>
  <c r="AH127" i="2"/>
  <c r="I127" i="2"/>
  <c r="H127" i="2"/>
  <c r="AJ126" i="2"/>
  <c r="AI126" i="2"/>
  <c r="AH126" i="2"/>
  <c r="I126" i="2"/>
  <c r="H126" i="2"/>
  <c r="AJ125" i="2"/>
  <c r="AI125" i="2"/>
  <c r="AH125" i="2"/>
  <c r="I125" i="2"/>
  <c r="H125" i="2"/>
  <c r="AJ124" i="2"/>
  <c r="AI124" i="2"/>
  <c r="AH124" i="2"/>
  <c r="I124" i="2"/>
  <c r="H124" i="2"/>
  <c r="AJ123" i="2"/>
  <c r="AK123" i="2" s="1"/>
  <c r="AI123" i="2"/>
  <c r="AH123" i="2"/>
  <c r="I123" i="2"/>
  <c r="H123" i="2"/>
  <c r="AJ122" i="2"/>
  <c r="AI122" i="2"/>
  <c r="AH122" i="2"/>
  <c r="I122" i="2"/>
  <c r="H122" i="2"/>
  <c r="AJ121" i="2"/>
  <c r="AI121" i="2"/>
  <c r="AH121" i="2"/>
  <c r="I121" i="2"/>
  <c r="H121" i="2"/>
  <c r="AJ120" i="2"/>
  <c r="AI120" i="2"/>
  <c r="AH120" i="2"/>
  <c r="I120" i="2"/>
  <c r="H120" i="2"/>
  <c r="AJ119" i="2"/>
  <c r="AI119" i="2"/>
  <c r="AK119" i="2" s="1"/>
  <c r="AH119" i="2"/>
  <c r="I119" i="2"/>
  <c r="H119" i="2"/>
  <c r="AJ118" i="2"/>
  <c r="AI118" i="2"/>
  <c r="AH118" i="2"/>
  <c r="I118" i="2"/>
  <c r="H118" i="2"/>
  <c r="AJ117" i="2"/>
  <c r="AI117" i="2"/>
  <c r="AH117" i="2"/>
  <c r="I117" i="2"/>
  <c r="H117" i="2"/>
  <c r="AJ116" i="2"/>
  <c r="AK116" i="2" s="1"/>
  <c r="AI116" i="2"/>
  <c r="AH116" i="2"/>
  <c r="I116" i="2"/>
  <c r="H116" i="2"/>
  <c r="AJ115" i="2"/>
  <c r="AI115" i="2"/>
  <c r="AH115" i="2"/>
  <c r="I115" i="2"/>
  <c r="H115" i="2"/>
  <c r="AJ114" i="2"/>
  <c r="AI114" i="2"/>
  <c r="AH114" i="2"/>
  <c r="I114" i="2"/>
  <c r="H114" i="2"/>
  <c r="AJ113" i="2"/>
  <c r="AI113" i="2"/>
  <c r="AH113" i="2"/>
  <c r="I113" i="2"/>
  <c r="H113" i="2"/>
  <c r="AJ112" i="2"/>
  <c r="AI112" i="2"/>
  <c r="AH112" i="2"/>
  <c r="I112" i="2"/>
  <c r="H112" i="2"/>
  <c r="AJ111" i="2"/>
  <c r="AK111" i="2" s="1"/>
  <c r="AI111" i="2"/>
  <c r="AH111" i="2"/>
  <c r="I111" i="2"/>
  <c r="H111" i="2"/>
  <c r="AJ110" i="2"/>
  <c r="AI110" i="2"/>
  <c r="AH110" i="2"/>
  <c r="I110" i="2"/>
  <c r="H110" i="2"/>
  <c r="AJ109" i="2"/>
  <c r="AK109" i="2" s="1"/>
  <c r="AI109" i="2"/>
  <c r="AH109" i="2"/>
  <c r="I109" i="2"/>
  <c r="H109" i="2"/>
  <c r="AI108" i="2"/>
  <c r="AH108" i="2"/>
  <c r="P108" i="2"/>
  <c r="N108" i="2"/>
  <c r="I108" i="2"/>
  <c r="H108" i="2"/>
  <c r="AH107" i="2"/>
  <c r="AH106" i="2"/>
  <c r="I106" i="2"/>
  <c r="H106" i="2"/>
  <c r="AJ105" i="2"/>
  <c r="AI105" i="2"/>
  <c r="AH105" i="2"/>
  <c r="I105" i="2"/>
  <c r="H105" i="2"/>
  <c r="AJ104" i="2"/>
  <c r="AI104" i="2"/>
  <c r="AH104" i="2"/>
  <c r="I104" i="2"/>
  <c r="H104" i="2"/>
  <c r="AJ103" i="2"/>
  <c r="AI103" i="2"/>
  <c r="AH103" i="2"/>
  <c r="I103" i="2"/>
  <c r="H103" i="2"/>
  <c r="AJ102" i="2"/>
  <c r="AI102" i="2"/>
  <c r="AH102" i="2"/>
  <c r="I102" i="2"/>
  <c r="H102" i="2"/>
  <c r="AJ101" i="2"/>
  <c r="AI101" i="2"/>
  <c r="AH101" i="2"/>
  <c r="I101" i="2"/>
  <c r="H101" i="2"/>
  <c r="AJ100" i="2"/>
  <c r="AI100" i="2"/>
  <c r="AH100" i="2"/>
  <c r="I100" i="2"/>
  <c r="H100" i="2"/>
  <c r="AJ99" i="2"/>
  <c r="AI99" i="2"/>
  <c r="AH99" i="2"/>
  <c r="I99" i="2"/>
  <c r="H99" i="2"/>
  <c r="AJ98" i="2"/>
  <c r="AI98" i="2"/>
  <c r="AH98" i="2"/>
  <c r="I98" i="2"/>
  <c r="H98" i="2"/>
  <c r="AJ97" i="2"/>
  <c r="AI97" i="2"/>
  <c r="AH97" i="2"/>
  <c r="I97" i="2"/>
  <c r="H97" i="2"/>
  <c r="AJ96" i="2"/>
  <c r="AK96" i="2" s="1"/>
  <c r="AI96" i="2"/>
  <c r="AH96" i="2"/>
  <c r="I96" i="2"/>
  <c r="H96" i="2"/>
  <c r="AJ95" i="2"/>
  <c r="AI95" i="2"/>
  <c r="AH95" i="2"/>
  <c r="I95" i="2"/>
  <c r="H95" i="2"/>
  <c r="AJ94" i="2"/>
  <c r="AI94" i="2"/>
  <c r="AH94" i="2"/>
  <c r="I94" i="2"/>
  <c r="H94" i="2"/>
  <c r="AJ93" i="2"/>
  <c r="AI93" i="2"/>
  <c r="AH93" i="2"/>
  <c r="I93" i="2"/>
  <c r="H93" i="2"/>
  <c r="AJ92" i="2"/>
  <c r="AK92" i="2" s="1"/>
  <c r="AI92" i="2"/>
  <c r="AH92" i="2"/>
  <c r="I92" i="2"/>
  <c r="H92" i="2"/>
  <c r="AJ91" i="2"/>
  <c r="AI91" i="2"/>
  <c r="AH91" i="2"/>
  <c r="I91" i="2"/>
  <c r="H91" i="2"/>
  <c r="AJ90" i="2"/>
  <c r="AK90" i="2" s="1"/>
  <c r="AI90" i="2"/>
  <c r="AH90" i="2"/>
  <c r="I90" i="2"/>
  <c r="H90" i="2"/>
  <c r="AJ89" i="2"/>
  <c r="AI89" i="2"/>
  <c r="AH89" i="2"/>
  <c r="I89" i="2"/>
  <c r="H89" i="2"/>
  <c r="AJ88" i="2"/>
  <c r="AK88" i="2" s="1"/>
  <c r="AI88" i="2"/>
  <c r="AH88" i="2"/>
  <c r="I88" i="2"/>
  <c r="H88" i="2"/>
  <c r="AJ87" i="2"/>
  <c r="AI87" i="2"/>
  <c r="AH87" i="2"/>
  <c r="I87" i="2"/>
  <c r="H87" i="2"/>
  <c r="AJ86" i="2"/>
  <c r="AI86" i="2"/>
  <c r="AH86" i="2"/>
  <c r="I86" i="2"/>
  <c r="H86" i="2"/>
  <c r="AJ85" i="2"/>
  <c r="AK85" i="2" s="1"/>
  <c r="AI85" i="2"/>
  <c r="AH85" i="2"/>
  <c r="I85" i="2"/>
  <c r="H85" i="2"/>
  <c r="AJ84" i="2"/>
  <c r="AI84" i="2"/>
  <c r="AH84" i="2"/>
  <c r="I84" i="2"/>
  <c r="H84" i="2"/>
  <c r="AJ83" i="2"/>
  <c r="AK83" i="2" s="1"/>
  <c r="AI83" i="2"/>
  <c r="AH83" i="2"/>
  <c r="I83" i="2"/>
  <c r="H83" i="2"/>
  <c r="AJ82" i="2"/>
  <c r="AI82" i="2"/>
  <c r="AH82" i="2"/>
  <c r="I82" i="2"/>
  <c r="H82" i="2"/>
  <c r="AJ81" i="2"/>
  <c r="AI81" i="2"/>
  <c r="AH81" i="2"/>
  <c r="I81" i="2"/>
  <c r="H81" i="2"/>
  <c r="AJ80" i="2"/>
  <c r="AK80" i="2" s="1"/>
  <c r="AI80" i="2"/>
  <c r="AH80" i="2"/>
  <c r="I80" i="2"/>
  <c r="H80" i="2"/>
  <c r="AJ79" i="2"/>
  <c r="AI79" i="2"/>
  <c r="AH79" i="2"/>
  <c r="I79" i="2"/>
  <c r="H79" i="2"/>
  <c r="AJ78" i="2"/>
  <c r="AK78" i="2" s="1"/>
  <c r="AI78" i="2"/>
  <c r="AH78" i="2"/>
  <c r="I78" i="2"/>
  <c r="H78" i="2"/>
  <c r="AJ77" i="2"/>
  <c r="AI77" i="2"/>
  <c r="AH77" i="2"/>
  <c r="I77" i="2"/>
  <c r="H77" i="2"/>
  <c r="AH76" i="2"/>
  <c r="I76" i="2"/>
  <c r="H76" i="2"/>
  <c r="AH75" i="2"/>
  <c r="I75" i="2"/>
  <c r="H75" i="2"/>
  <c r="AJ74" i="2"/>
  <c r="AK74" i="2" s="1"/>
  <c r="AI74" i="2"/>
  <c r="AH74" i="2"/>
  <c r="I74" i="2"/>
  <c r="H74" i="2"/>
  <c r="AJ73" i="2"/>
  <c r="AI73" i="2"/>
  <c r="AH73" i="2"/>
  <c r="I73" i="2"/>
  <c r="H73" i="2"/>
  <c r="AJ72" i="2"/>
  <c r="AI72" i="2"/>
  <c r="AH72" i="2"/>
  <c r="I72" i="2"/>
  <c r="H72" i="2"/>
  <c r="AJ71" i="2"/>
  <c r="AI71" i="2"/>
  <c r="AH71" i="2"/>
  <c r="I71" i="2"/>
  <c r="H71" i="2"/>
  <c r="AJ70" i="2"/>
  <c r="AI70" i="2"/>
  <c r="AH70" i="2"/>
  <c r="I70" i="2"/>
  <c r="H70" i="2"/>
  <c r="AJ69" i="2"/>
  <c r="AI69" i="2"/>
  <c r="AH69" i="2"/>
  <c r="I69" i="2"/>
  <c r="H69" i="2"/>
  <c r="AJ68" i="2"/>
  <c r="AI68" i="2"/>
  <c r="AH68" i="2"/>
  <c r="I68" i="2"/>
  <c r="H68" i="2"/>
  <c r="AJ67" i="2"/>
  <c r="AI67" i="2"/>
  <c r="AH67" i="2"/>
  <c r="I67" i="2"/>
  <c r="H67" i="2"/>
  <c r="AJ66" i="2"/>
  <c r="AI66" i="2"/>
  <c r="AH66" i="2"/>
  <c r="I66" i="2"/>
  <c r="H66" i="2"/>
  <c r="AJ65" i="2"/>
  <c r="AI65" i="2"/>
  <c r="AH65" i="2"/>
  <c r="I65" i="2"/>
  <c r="H65" i="2"/>
  <c r="AJ64" i="2"/>
  <c r="AI64" i="2"/>
  <c r="AH64" i="2"/>
  <c r="I64" i="2"/>
  <c r="H64" i="2"/>
  <c r="AJ63" i="2"/>
  <c r="AK63" i="2" s="1"/>
  <c r="AI63" i="2"/>
  <c r="AH63" i="2"/>
  <c r="I63" i="2"/>
  <c r="H63" i="2"/>
  <c r="AJ62" i="2"/>
  <c r="AI62" i="2"/>
  <c r="AH62" i="2"/>
  <c r="I62" i="2"/>
  <c r="H62" i="2"/>
  <c r="AJ61" i="2"/>
  <c r="AI61" i="2"/>
  <c r="AH61" i="2"/>
  <c r="I61" i="2"/>
  <c r="H61" i="2"/>
  <c r="AJ60" i="2"/>
  <c r="AI60" i="2"/>
  <c r="AH60" i="2"/>
  <c r="I60" i="2"/>
  <c r="H60" i="2"/>
  <c r="AJ59" i="2"/>
  <c r="AI59" i="2"/>
  <c r="AH59" i="2"/>
  <c r="I59" i="2"/>
  <c r="H59" i="2"/>
  <c r="AH58" i="2"/>
  <c r="I58" i="2"/>
  <c r="H58" i="2"/>
  <c r="AJ57" i="2"/>
  <c r="AI57" i="2"/>
  <c r="AH57" i="2"/>
  <c r="I57" i="2"/>
  <c r="H57" i="2"/>
  <c r="AJ56" i="2"/>
  <c r="AI56" i="2"/>
  <c r="AH56" i="2"/>
  <c r="I56" i="2"/>
  <c r="H56" i="2"/>
  <c r="AJ55" i="2"/>
  <c r="AI55" i="2"/>
  <c r="AH55" i="2"/>
  <c r="I55" i="2"/>
  <c r="H55" i="2"/>
  <c r="AJ54" i="2"/>
  <c r="AH54" i="2"/>
  <c r="T54" i="2"/>
  <c r="AI54" i="2" s="1"/>
  <c r="I54" i="2"/>
  <c r="H54" i="2"/>
  <c r="AJ53" i="2"/>
  <c r="AI53" i="2"/>
  <c r="AH53" i="2"/>
  <c r="I53" i="2"/>
  <c r="H53" i="2"/>
  <c r="AJ52" i="2"/>
  <c r="AI52" i="2"/>
  <c r="AK52" i="2" s="1"/>
  <c r="AH52" i="2"/>
  <c r="I52" i="2"/>
  <c r="H52" i="2"/>
  <c r="AJ51" i="2"/>
  <c r="AI51" i="2"/>
  <c r="AH51" i="2"/>
  <c r="I51" i="2"/>
  <c r="H51" i="2"/>
  <c r="AJ50" i="2"/>
  <c r="AI50" i="2"/>
  <c r="AH50" i="2"/>
  <c r="I50" i="2"/>
  <c r="H50" i="2"/>
  <c r="AJ49" i="2"/>
  <c r="AI49" i="2"/>
  <c r="AH49" i="2"/>
  <c r="I49" i="2"/>
  <c r="H49" i="2"/>
  <c r="AJ48" i="2"/>
  <c r="AI48" i="2"/>
  <c r="AH48" i="2"/>
  <c r="I48" i="2"/>
  <c r="H48" i="2"/>
  <c r="AJ47" i="2"/>
  <c r="AK47" i="2" s="1"/>
  <c r="AI47" i="2"/>
  <c r="AH47" i="2"/>
  <c r="I47" i="2"/>
  <c r="H47" i="2"/>
  <c r="AJ46" i="2"/>
  <c r="AI46" i="2"/>
  <c r="AH46" i="2"/>
  <c r="I46" i="2"/>
  <c r="H46" i="2"/>
  <c r="AJ45" i="2"/>
  <c r="AI45" i="2"/>
  <c r="AH45" i="2"/>
  <c r="I45" i="2"/>
  <c r="H45" i="2"/>
  <c r="AJ44" i="2"/>
  <c r="AI44" i="2"/>
  <c r="AH44" i="2"/>
  <c r="I44" i="2"/>
  <c r="H44" i="2"/>
  <c r="AJ43" i="2"/>
  <c r="AI43" i="2"/>
  <c r="AH43" i="2"/>
  <c r="I43" i="2"/>
  <c r="H43" i="2"/>
  <c r="AJ42" i="2"/>
  <c r="AI42" i="2"/>
  <c r="AH42" i="2"/>
  <c r="I42" i="2"/>
  <c r="H42" i="2"/>
  <c r="AJ41" i="2"/>
  <c r="AI41" i="2"/>
  <c r="AH41" i="2"/>
  <c r="I41" i="2"/>
  <c r="H41" i="2"/>
  <c r="AJ40" i="2"/>
  <c r="AI40" i="2"/>
  <c r="AH40" i="2"/>
  <c r="I40" i="2"/>
  <c r="H40" i="2"/>
  <c r="AJ39" i="2"/>
  <c r="AK39" i="2" s="1"/>
  <c r="AI39" i="2"/>
  <c r="AH39" i="2"/>
  <c r="I39" i="2"/>
  <c r="H39" i="2"/>
  <c r="AJ38" i="2"/>
  <c r="AI38" i="2"/>
  <c r="AH38" i="2"/>
  <c r="I38" i="2"/>
  <c r="H38" i="2"/>
  <c r="AJ37" i="2"/>
  <c r="AI37" i="2"/>
  <c r="AH37" i="2"/>
  <c r="I37" i="2"/>
  <c r="H37" i="2"/>
  <c r="AJ36" i="2"/>
  <c r="AK36" i="2" s="1"/>
  <c r="AI36" i="2"/>
  <c r="AH36" i="2"/>
  <c r="I36" i="2"/>
  <c r="H36" i="2"/>
  <c r="AJ35" i="2"/>
  <c r="AI35" i="2"/>
  <c r="AH35" i="2"/>
  <c r="I35" i="2"/>
  <c r="H35" i="2"/>
  <c r="AJ34" i="2"/>
  <c r="AI34" i="2"/>
  <c r="AH34" i="2"/>
  <c r="I34" i="2"/>
  <c r="H34" i="2"/>
  <c r="AJ33" i="2"/>
  <c r="AI33" i="2"/>
  <c r="AH33" i="2"/>
  <c r="I33" i="2"/>
  <c r="H33" i="2"/>
  <c r="AJ32" i="2"/>
  <c r="AK32" i="2" s="1"/>
  <c r="AI32" i="2"/>
  <c r="AH32" i="2"/>
  <c r="I32" i="2"/>
  <c r="H32" i="2"/>
  <c r="AJ31" i="2"/>
  <c r="AI31" i="2"/>
  <c r="AH31" i="2"/>
  <c r="I31" i="2"/>
  <c r="H31" i="2"/>
  <c r="AJ30" i="2"/>
  <c r="AI30" i="2"/>
  <c r="AK30" i="2" s="1"/>
  <c r="AH30" i="2"/>
  <c r="I30" i="2"/>
  <c r="H30" i="2"/>
  <c r="AJ29" i="2"/>
  <c r="AI29" i="2"/>
  <c r="AH29" i="2"/>
  <c r="I29" i="2"/>
  <c r="H29" i="2"/>
  <c r="AK28" i="2"/>
  <c r="AJ28" i="2"/>
  <c r="AI28" i="2"/>
  <c r="AH28" i="2"/>
  <c r="I28" i="2"/>
  <c r="H28" i="2"/>
  <c r="AJ27" i="2"/>
  <c r="AI27" i="2"/>
  <c r="AH27" i="2"/>
  <c r="I27" i="2"/>
  <c r="H27" i="2"/>
  <c r="AJ26" i="2"/>
  <c r="AI26" i="2"/>
  <c r="AH26" i="2"/>
  <c r="I26" i="2"/>
  <c r="H26" i="2"/>
  <c r="AJ25" i="2"/>
  <c r="AK25" i="2" s="1"/>
  <c r="AI25" i="2"/>
  <c r="AH25" i="2"/>
  <c r="I25" i="2"/>
  <c r="H25" i="2"/>
  <c r="AJ24" i="2"/>
  <c r="AI24" i="2"/>
  <c r="AH24" i="2"/>
  <c r="I24" i="2"/>
  <c r="H24" i="2"/>
  <c r="AJ23" i="2"/>
  <c r="AI23" i="2"/>
  <c r="AH23" i="2"/>
  <c r="I23" i="2"/>
  <c r="H23" i="2"/>
  <c r="AJ22" i="2"/>
  <c r="AI22" i="2"/>
  <c r="AH22" i="2"/>
  <c r="I22" i="2"/>
  <c r="H22" i="2"/>
  <c r="AJ21" i="2"/>
  <c r="AI21" i="2"/>
  <c r="AH21" i="2"/>
  <c r="I21" i="2"/>
  <c r="H21" i="2"/>
  <c r="AJ20" i="2"/>
  <c r="AI20" i="2"/>
  <c r="AK20" i="2" s="1"/>
  <c r="AH20" i="2"/>
  <c r="I20" i="2"/>
  <c r="H20" i="2"/>
  <c r="AJ19" i="2"/>
  <c r="AI19" i="2"/>
  <c r="AH19" i="2"/>
  <c r="I19" i="2"/>
  <c r="H19" i="2"/>
  <c r="AJ18" i="2"/>
  <c r="AI18" i="2"/>
  <c r="AH18" i="2"/>
  <c r="I18" i="2"/>
  <c r="H18" i="2"/>
  <c r="AJ17" i="2"/>
  <c r="AI17" i="2"/>
  <c r="AH17" i="2"/>
  <c r="I17" i="2"/>
  <c r="H17" i="2"/>
  <c r="AJ16" i="2"/>
  <c r="AI16" i="2"/>
  <c r="AH16" i="2"/>
  <c r="I16" i="2"/>
  <c r="H16" i="2"/>
  <c r="AJ15" i="2"/>
  <c r="AK15" i="2" s="1"/>
  <c r="AI15" i="2"/>
  <c r="AH15" i="2"/>
  <c r="I15" i="2"/>
  <c r="H15" i="2"/>
  <c r="AJ14" i="2"/>
  <c r="AI14" i="2"/>
  <c r="AH14" i="2"/>
  <c r="I14" i="2"/>
  <c r="H14" i="2"/>
  <c r="AJ13" i="2"/>
  <c r="AI13" i="2"/>
  <c r="AH13" i="2"/>
  <c r="I13" i="2"/>
  <c r="H13" i="2"/>
  <c r="AJ12" i="2"/>
  <c r="AI12" i="2"/>
  <c r="AH12" i="2"/>
  <c r="I12" i="2"/>
  <c r="H12" i="2"/>
  <c r="AJ11" i="2"/>
  <c r="AI11" i="2"/>
  <c r="AH11" i="2"/>
  <c r="I11" i="2"/>
  <c r="H11" i="2"/>
  <c r="AJ10" i="2"/>
  <c r="AI10" i="2"/>
  <c r="AH10" i="2"/>
  <c r="I10" i="2"/>
  <c r="H10" i="2"/>
  <c r="AJ9" i="2"/>
  <c r="AI9" i="2"/>
  <c r="AH9" i="2"/>
  <c r="I9" i="2"/>
  <c r="H9" i="2"/>
  <c r="AJ8" i="2"/>
  <c r="AI8" i="2"/>
  <c r="AH8" i="2"/>
  <c r="I8" i="2"/>
  <c r="H8" i="2"/>
  <c r="AJ7" i="2"/>
  <c r="AK7" i="2" s="1"/>
  <c r="AI7" i="2"/>
  <c r="AH7" i="2"/>
  <c r="I7" i="2"/>
  <c r="H7" i="2"/>
  <c r="AJ6" i="2"/>
  <c r="AI6" i="2"/>
  <c r="AH6" i="2"/>
  <c r="I6" i="2"/>
  <c r="H6" i="2"/>
  <c r="AJ5" i="2"/>
  <c r="AI5" i="2"/>
  <c r="AH5" i="2"/>
  <c r="I5" i="2"/>
  <c r="H5" i="2"/>
  <c r="H970" i="7" l="1"/>
  <c r="N1184" i="7"/>
  <c r="H659" i="7"/>
  <c r="I1067" i="7"/>
  <c r="AI1052" i="2"/>
  <c r="AI1366" i="2"/>
  <c r="M224" i="7"/>
  <c r="I2160" i="7"/>
  <c r="AI1764" i="2"/>
  <c r="AK1764" i="2" s="1"/>
  <c r="AL1764" i="2" s="1"/>
  <c r="AI1184" i="2"/>
  <c r="AI1186" i="2"/>
  <c r="H350" i="7"/>
  <c r="AI1082" i="2"/>
  <c r="AI1135" i="2"/>
  <c r="AK1135" i="2" s="1"/>
  <c r="AL1135" i="2" s="1"/>
  <c r="AI1249" i="2"/>
  <c r="AK1249" i="2" s="1"/>
  <c r="AL1249" i="2" s="1"/>
  <c r="AJ1345" i="2"/>
  <c r="AJ1368" i="2"/>
  <c r="AI1484" i="2"/>
  <c r="AI1158" i="2"/>
  <c r="AJ1420" i="2"/>
  <c r="AK1420" i="2" s="1"/>
  <c r="AL1420" i="2" s="1"/>
  <c r="AI1870" i="2"/>
  <c r="AK1870" i="2" s="1"/>
  <c r="AL1870" i="2" s="1"/>
  <c r="H1788" i="7"/>
  <c r="P440" i="7"/>
  <c r="H440" i="7"/>
  <c r="L1486" i="7"/>
  <c r="H153" i="7"/>
  <c r="M491" i="7"/>
  <c r="H915" i="7"/>
  <c r="I1287" i="7"/>
  <c r="I1552" i="7"/>
  <c r="P1715" i="7"/>
  <c r="H1820" i="7"/>
  <c r="H208" i="7"/>
  <c r="I208" i="7" s="1"/>
  <c r="J208" i="7" s="1"/>
  <c r="N261" i="7"/>
  <c r="H557" i="7"/>
  <c r="M1042" i="7"/>
  <c r="N161" i="7"/>
  <c r="H372" i="7"/>
  <c r="H697" i="7"/>
  <c r="O1112" i="7"/>
  <c r="N1329" i="7"/>
  <c r="H1937" i="7"/>
  <c r="J1937" i="7" s="1"/>
  <c r="P307" i="7"/>
  <c r="H602" i="7"/>
  <c r="I805" i="7"/>
  <c r="H1124" i="7"/>
  <c r="N1365" i="7"/>
  <c r="H1984" i="7"/>
  <c r="J1984" i="7" s="1"/>
  <c r="H545" i="7"/>
  <c r="I640" i="7"/>
  <c r="H718" i="7"/>
  <c r="P1466" i="7"/>
  <c r="H2075" i="7"/>
  <c r="J2075" i="7" s="1"/>
  <c r="H237" i="7"/>
  <c r="I237" i="7" s="1"/>
  <c r="J237" i="7" s="1"/>
  <c r="P332" i="7"/>
  <c r="H407" i="7"/>
  <c r="N448" i="7"/>
  <c r="H590" i="7"/>
  <c r="N662" i="7"/>
  <c r="L825" i="7"/>
  <c r="P1451" i="7"/>
  <c r="P1492" i="7"/>
  <c r="I1676" i="7"/>
  <c r="I1855" i="7"/>
  <c r="J1855" i="7" s="1"/>
  <c r="I2227" i="7"/>
  <c r="J2227" i="7" s="1"/>
  <c r="H122" i="7"/>
  <c r="I122" i="7" s="1"/>
  <c r="J122" i="7" s="1"/>
  <c r="P204" i="7"/>
  <c r="H303" i="7"/>
  <c r="N947" i="7"/>
  <c r="P1169" i="7"/>
  <c r="P1497" i="7"/>
  <c r="H1571" i="7"/>
  <c r="I1696" i="7"/>
  <c r="P1754" i="7"/>
  <c r="H1885" i="7"/>
  <c r="J1885" i="7" s="1"/>
  <c r="N118" i="7"/>
  <c r="H424" i="7"/>
  <c r="I671" i="7"/>
  <c r="M103" i="7"/>
  <c r="H121" i="7"/>
  <c r="L136" i="7"/>
  <c r="N331" i="7"/>
  <c r="I808" i="7"/>
  <c r="P121" i="7"/>
  <c r="P237" i="7"/>
  <c r="H332" i="7"/>
  <c r="H356" i="7"/>
  <c r="H427" i="7"/>
  <c r="H537" i="7"/>
  <c r="H561" i="7"/>
  <c r="N594" i="7"/>
  <c r="P665" i="7"/>
  <c r="H808" i="7"/>
  <c r="I881" i="7"/>
  <c r="M1046" i="7"/>
  <c r="L1091" i="7"/>
  <c r="P1185" i="7"/>
  <c r="H1319" i="7"/>
  <c r="H1470" i="7"/>
  <c r="L1490" i="7"/>
  <c r="N1498" i="7"/>
  <c r="M1573" i="7"/>
  <c r="N1628" i="7"/>
  <c r="P1659" i="7"/>
  <c r="M1702" i="7"/>
  <c r="H1735" i="7"/>
  <c r="I1769" i="7"/>
  <c r="H1825" i="7"/>
  <c r="J1825" i="7" s="1"/>
  <c r="H1896" i="7"/>
  <c r="I1940" i="7"/>
  <c r="J1940" i="7" s="1"/>
  <c r="H2148" i="7"/>
  <c r="L165" i="7"/>
  <c r="H282" i="7"/>
  <c r="I282" i="7" s="1"/>
  <c r="J282" i="7" s="1"/>
  <c r="N309" i="7"/>
  <c r="I370" i="7"/>
  <c r="H405" i="7"/>
  <c r="H510" i="7"/>
  <c r="I538" i="7"/>
  <c r="I562" i="7"/>
  <c r="N652" i="7"/>
  <c r="M716" i="7"/>
  <c r="H788" i="7"/>
  <c r="L887" i="7"/>
  <c r="M1058" i="7"/>
  <c r="N1123" i="7"/>
  <c r="I1251" i="7"/>
  <c r="H1368" i="7"/>
  <c r="P1447" i="7"/>
  <c r="M1491" i="7"/>
  <c r="H1499" i="7"/>
  <c r="L1543" i="7"/>
  <c r="I1587" i="7"/>
  <c r="H1632" i="7"/>
  <c r="P1671" i="7"/>
  <c r="I1775" i="7"/>
  <c r="H1828" i="7"/>
  <c r="J1828" i="7" s="1"/>
  <c r="H1900" i="7"/>
  <c r="J1900" i="7" s="1"/>
  <c r="H1964" i="7"/>
  <c r="J1964" i="7" s="1"/>
  <c r="H2149" i="7"/>
  <c r="J2149" i="7" s="1"/>
  <c r="P510" i="7"/>
  <c r="M788" i="7"/>
  <c r="L1499" i="7"/>
  <c r="P1587" i="7"/>
  <c r="H173" i="7"/>
  <c r="I173" i="7" s="1"/>
  <c r="J173" i="7" s="1"/>
  <c r="P254" i="7"/>
  <c r="I346" i="7"/>
  <c r="H374" i="7"/>
  <c r="M485" i="7"/>
  <c r="H549" i="7"/>
  <c r="H577" i="7"/>
  <c r="I610" i="7"/>
  <c r="I661" i="7"/>
  <c r="I691" i="7"/>
  <c r="M800" i="7"/>
  <c r="L829" i="7"/>
  <c r="H899" i="7"/>
  <c r="H984" i="7"/>
  <c r="P1079" i="7"/>
  <c r="P1171" i="7"/>
  <c r="I1255" i="7"/>
  <c r="I1334" i="7"/>
  <c r="L1422" i="7"/>
  <c r="P1484" i="7"/>
  <c r="P1493" i="7"/>
  <c r="M1589" i="7"/>
  <c r="P1650" i="7"/>
  <c r="I1680" i="7"/>
  <c r="H1797" i="7"/>
  <c r="J1797" i="7" s="1"/>
  <c r="H1877" i="7"/>
  <c r="I1912" i="7"/>
  <c r="J1912" i="7" s="1"/>
  <c r="H2017" i="7"/>
  <c r="I2204" i="7"/>
  <c r="J2204" i="7" s="1"/>
  <c r="N236" i="7"/>
  <c r="H258" i="7"/>
  <c r="I258" i="7" s="1"/>
  <c r="J258" i="7" s="1"/>
  <c r="L291" i="7"/>
  <c r="H348" i="7"/>
  <c r="H380" i="7"/>
  <c r="O423" i="7"/>
  <c r="M442" i="7"/>
  <c r="M534" i="7"/>
  <c r="I550" i="7"/>
  <c r="I634" i="7"/>
  <c r="I662" i="7"/>
  <c r="I695" i="7"/>
  <c r="I801" i="7"/>
  <c r="M899" i="7"/>
  <c r="L1085" i="7"/>
  <c r="H1112" i="7"/>
  <c r="L1136" i="7"/>
  <c r="N1176" i="7"/>
  <c r="N1282" i="7"/>
  <c r="M1428" i="7"/>
  <c r="I1466" i="7"/>
  <c r="P1485" i="7"/>
  <c r="P1496" i="7"/>
  <c r="H1652" i="7"/>
  <c r="P1683" i="7"/>
  <c r="H1727" i="7"/>
  <c r="I1758" i="7"/>
  <c r="H1816" i="7"/>
  <c r="J1816" i="7" s="1"/>
  <c r="I1880" i="7"/>
  <c r="H1917" i="7"/>
  <c r="J1917" i="7" s="1"/>
  <c r="H2035" i="7"/>
  <c r="J2035" i="7" s="1"/>
  <c r="I2224" i="7"/>
  <c r="J2224" i="7" s="1"/>
  <c r="M415" i="7"/>
  <c r="I442" i="7"/>
  <c r="N590" i="7"/>
  <c r="H673" i="7"/>
  <c r="M836" i="7"/>
  <c r="H892" i="7"/>
  <c r="I975" i="7"/>
  <c r="H1012" i="7"/>
  <c r="P1177" i="7"/>
  <c r="N1266" i="7"/>
  <c r="I1356" i="7"/>
  <c r="H1575" i="7"/>
  <c r="L130" i="7"/>
  <c r="H140" i="7"/>
  <c r="I140" i="7" s="1"/>
  <c r="J140" i="7" s="1"/>
  <c r="H163" i="7"/>
  <c r="H181" i="7"/>
  <c r="H218" i="7"/>
  <c r="I218" i="7" s="1"/>
  <c r="J218" i="7" s="1"/>
  <c r="P270" i="7"/>
  <c r="P295" i="7"/>
  <c r="I358" i="7"/>
  <c r="H417" i="7"/>
  <c r="H436" i="7"/>
  <c r="H477" i="7"/>
  <c r="N502" i="7"/>
  <c r="M518" i="7"/>
  <c r="H541" i="7"/>
  <c r="H553" i="7"/>
  <c r="P590" i="7"/>
  <c r="I616" i="7"/>
  <c r="P653" i="7"/>
  <c r="I683" i="7"/>
  <c r="M710" i="7"/>
  <c r="H733" i="7"/>
  <c r="I978" i="7"/>
  <c r="H1028" i="7"/>
  <c r="I1047" i="7"/>
  <c r="N1078" i="7"/>
  <c r="H1127" i="7"/>
  <c r="H1196" i="7"/>
  <c r="H1245" i="7"/>
  <c r="I1267" i="7"/>
  <c r="H1325" i="7"/>
  <c r="J1325" i="7" s="1"/>
  <c r="H1361" i="7"/>
  <c r="I1416" i="7"/>
  <c r="P1444" i="7"/>
  <c r="M1457" i="7"/>
  <c r="N1473" i="7"/>
  <c r="M1487" i="7"/>
  <c r="L1494" i="7"/>
  <c r="P1567" i="7"/>
  <c r="P1579" i="7"/>
  <c r="I1660" i="7"/>
  <c r="I1684" i="7"/>
  <c r="I1720" i="7"/>
  <c r="I1767" i="7"/>
  <c r="H1804" i="7"/>
  <c r="J1804" i="7" s="1"/>
  <c r="H1837" i="7"/>
  <c r="I1888" i="7"/>
  <c r="J1888" i="7" s="1"/>
  <c r="H1913" i="7"/>
  <c r="J1913" i="7" s="1"/>
  <c r="H1972" i="7"/>
  <c r="J1972" i="7" s="1"/>
  <c r="I2073" i="7"/>
  <c r="J2073" i="7" s="1"/>
  <c r="I2195" i="7"/>
  <c r="J2195" i="7" s="1"/>
  <c r="L118" i="7"/>
  <c r="L134" i="7"/>
  <c r="H144" i="7"/>
  <c r="I144" i="7" s="1"/>
  <c r="J144" i="7" s="1"/>
  <c r="P163" i="7"/>
  <c r="M185" i="7"/>
  <c r="M218" i="7"/>
  <c r="L297" i="7"/>
  <c r="M317" i="7"/>
  <c r="I362" i="7"/>
  <c r="N393" i="7"/>
  <c r="P439" i="7"/>
  <c r="P447" i="7"/>
  <c r="M477" i="7"/>
  <c r="H520" i="7"/>
  <c r="I542" i="7"/>
  <c r="I554" i="7"/>
  <c r="H569" i="7"/>
  <c r="I594" i="7"/>
  <c r="I626" i="7"/>
  <c r="I658" i="7"/>
  <c r="I665" i="7"/>
  <c r="H687" i="7"/>
  <c r="H712" i="7"/>
  <c r="M737" i="7"/>
  <c r="H796" i="7"/>
  <c r="H1032" i="7"/>
  <c r="H1058" i="7"/>
  <c r="I1079" i="7"/>
  <c r="P1179" i="7"/>
  <c r="P1416" i="7"/>
  <c r="P1445" i="7"/>
  <c r="M1461" i="7"/>
  <c r="P1489" i="7"/>
  <c r="M1495" i="7"/>
  <c r="N1506" i="7"/>
  <c r="H1587" i="7"/>
  <c r="I1646" i="7"/>
  <c r="I1668" i="7"/>
  <c r="P1695" i="7"/>
  <c r="L1721" i="7"/>
  <c r="H1754" i="7"/>
  <c r="N1767" i="7"/>
  <c r="H1813" i="7"/>
  <c r="H1838" i="7"/>
  <c r="J1838" i="7" s="1"/>
  <c r="H1893" i="7"/>
  <c r="J1893" i="7" s="1"/>
  <c r="H1916" i="7"/>
  <c r="J1916" i="7" s="1"/>
  <c r="H1973" i="7"/>
  <c r="H2074" i="7"/>
  <c r="H2196" i="7"/>
  <c r="P136" i="7"/>
  <c r="P165" i="7"/>
  <c r="L303" i="7"/>
  <c r="N440" i="7"/>
  <c r="I510" i="7"/>
  <c r="J510" i="7" s="1"/>
  <c r="I546" i="7"/>
  <c r="I558" i="7"/>
  <c r="I659" i="7"/>
  <c r="J659" i="7" s="1"/>
  <c r="H777" i="7"/>
  <c r="I832" i="7"/>
  <c r="M886" i="7"/>
  <c r="I1039" i="7"/>
  <c r="I1063" i="7"/>
  <c r="H1104" i="7"/>
  <c r="H1116" i="7"/>
  <c r="N1220" i="7"/>
  <c r="I1283" i="7"/>
  <c r="N1466" i="7"/>
  <c r="AJ887" i="2"/>
  <c r="AI887" i="2"/>
  <c r="AJ1237" i="2"/>
  <c r="AI1237" i="2"/>
  <c r="AK60" i="2"/>
  <c r="AK67" i="2"/>
  <c r="AK114" i="2"/>
  <c r="AK132" i="2"/>
  <c r="AK139" i="2"/>
  <c r="AK159" i="2"/>
  <c r="AK229" i="2"/>
  <c r="AK235" i="2"/>
  <c r="AK263" i="2"/>
  <c r="AK285" i="2"/>
  <c r="AK287" i="2"/>
  <c r="AK394" i="2"/>
  <c r="AK413" i="2"/>
  <c r="AK432" i="2"/>
  <c r="AK439" i="2"/>
  <c r="AK482" i="2"/>
  <c r="AK506" i="2"/>
  <c r="AK513" i="2"/>
  <c r="AK537" i="2"/>
  <c r="AK600" i="2"/>
  <c r="AK630" i="2"/>
  <c r="AK636" i="2"/>
  <c r="AK654" i="2"/>
  <c r="AK678" i="2"/>
  <c r="AL678" i="2" s="1"/>
  <c r="AK684" i="2"/>
  <c r="AL684" i="2" s="1"/>
  <c r="AK732" i="2"/>
  <c r="AL732" i="2" s="1"/>
  <c r="AJ910" i="2"/>
  <c r="AI910" i="2"/>
  <c r="AJ1144" i="2"/>
  <c r="AI1144" i="2"/>
  <c r="AJ1211" i="2"/>
  <c r="AI1211" i="2"/>
  <c r="AJ1940" i="2"/>
  <c r="AI1940" i="2"/>
  <c r="AK12" i="2"/>
  <c r="AK18" i="2"/>
  <c r="AK24" i="2"/>
  <c r="AK44" i="2"/>
  <c r="AK56" i="2"/>
  <c r="AK17" i="2"/>
  <c r="AK66" i="2"/>
  <c r="AK125" i="2"/>
  <c r="AK170" i="2"/>
  <c r="AK202" i="2"/>
  <c r="AK214" i="2"/>
  <c r="AK221" i="2"/>
  <c r="AK249" i="2"/>
  <c r="AK292" i="2"/>
  <c r="AK299" i="2"/>
  <c r="AK315" i="2"/>
  <c r="AK321" i="2"/>
  <c r="AK405" i="2"/>
  <c r="AK412" i="2"/>
  <c r="AK418" i="2"/>
  <c r="AK424" i="2"/>
  <c r="AK457" i="2"/>
  <c r="AK499" i="2"/>
  <c r="AK543" i="2"/>
  <c r="AK550" i="2"/>
  <c r="AK593" i="2"/>
  <c r="AK665" i="2"/>
  <c r="AK701" i="2"/>
  <c r="AL701" i="2" s="1"/>
  <c r="AK713" i="2"/>
  <c r="AL713" i="2" s="1"/>
  <c r="AK725" i="2"/>
  <c r="AK731" i="2"/>
  <c r="AL731" i="2" s="1"/>
  <c r="AK743" i="2"/>
  <c r="AL743" i="2" s="1"/>
  <c r="AK751" i="2"/>
  <c r="AL751" i="2" s="1"/>
  <c r="AK757" i="2"/>
  <c r="AK769" i="2"/>
  <c r="AL769" i="2" s="1"/>
  <c r="AK783" i="2"/>
  <c r="AL783" i="2" s="1"/>
  <c r="AK789" i="2"/>
  <c r="AL789" i="2" s="1"/>
  <c r="AK807" i="2"/>
  <c r="AL807" i="2" s="1"/>
  <c r="AK815" i="2"/>
  <c r="AK821" i="2"/>
  <c r="AL821" i="2" s="1"/>
  <c r="AK834" i="2"/>
  <c r="AL834" i="2" s="1"/>
  <c r="AJ915" i="2"/>
  <c r="AI915" i="2"/>
  <c r="AJ1032" i="2"/>
  <c r="AI1032" i="2"/>
  <c r="AJ1129" i="2"/>
  <c r="AI1129" i="2"/>
  <c r="AJ1200" i="2"/>
  <c r="AI1200" i="2"/>
  <c r="AJ1353" i="2"/>
  <c r="AJ1361" i="2"/>
  <c r="AK1361" i="2" s="1"/>
  <c r="AL1361" i="2" s="1"/>
  <c r="AI1361" i="2"/>
  <c r="AJ1443" i="2"/>
  <c r="AK31" i="2"/>
  <c r="AK50" i="2"/>
  <c r="AK49" i="2"/>
  <c r="AK59" i="2"/>
  <c r="AK94" i="2"/>
  <c r="AK152" i="2"/>
  <c r="AK10" i="2"/>
  <c r="AK42" i="2"/>
  <c r="AK71" i="2"/>
  <c r="AK98" i="2"/>
  <c r="AK99" i="2"/>
  <c r="AK104" i="2"/>
  <c r="AK129" i="2"/>
  <c r="AK130" i="2"/>
  <c r="AK143" i="2"/>
  <c r="AK157" i="2"/>
  <c r="AK162" i="2"/>
  <c r="AK183" i="2"/>
  <c r="AK188" i="2"/>
  <c r="AK226" i="2"/>
  <c r="AK233" i="2"/>
  <c r="AK239" i="2"/>
  <c r="AK260" i="2"/>
  <c r="AK261" i="2"/>
  <c r="AK282" i="2"/>
  <c r="AK382" i="2"/>
  <c r="AK417" i="2"/>
  <c r="AK422" i="2"/>
  <c r="AK430" i="2"/>
  <c r="AK436" i="2"/>
  <c r="AK443" i="2"/>
  <c r="AK480" i="2"/>
  <c r="AJ1019" i="2"/>
  <c r="AI1019" i="2"/>
  <c r="AK1019" i="2" s="1"/>
  <c r="AL1019" i="2" s="1"/>
  <c r="AJ1199" i="2"/>
  <c r="AI1199" i="2"/>
  <c r="AJ108" i="2"/>
  <c r="AK108" i="2" s="1"/>
  <c r="AK193" i="2"/>
  <c r="AK205" i="2"/>
  <c r="AK217" i="2"/>
  <c r="AK296" i="2"/>
  <c r="AK312" i="2"/>
  <c r="AK318" i="2"/>
  <c r="AK324" i="2"/>
  <c r="AK328" i="2"/>
  <c r="AJ395" i="2"/>
  <c r="AJ426" i="2"/>
  <c r="AK547" i="2"/>
  <c r="AK555" i="2"/>
  <c r="AK590" i="2"/>
  <c r="AK674" i="2"/>
  <c r="AL674" i="2" s="1"/>
  <c r="AK839" i="2"/>
  <c r="AL839" i="2" s="1"/>
  <c r="AK859" i="2"/>
  <c r="AK865" i="2"/>
  <c r="AL865" i="2" s="1"/>
  <c r="AJ889" i="2"/>
  <c r="AI889" i="2"/>
  <c r="AJ982" i="2"/>
  <c r="AI982" i="2"/>
  <c r="AJ1166" i="2"/>
  <c r="AI1166" i="2"/>
  <c r="AI1374" i="2"/>
  <c r="AI1376" i="2"/>
  <c r="AJ1388" i="2"/>
  <c r="AJ1390" i="2"/>
  <c r="AI1414" i="2"/>
  <c r="AK8" i="2"/>
  <c r="AK26" i="2"/>
  <c r="AK33" i="2"/>
  <c r="AK40" i="2"/>
  <c r="AK69" i="2"/>
  <c r="AK77" i="2"/>
  <c r="AK84" i="2"/>
  <c r="AK91" i="2"/>
  <c r="AK172" i="2"/>
  <c r="AK223" i="2"/>
  <c r="AK264" i="2"/>
  <c r="AK396" i="2"/>
  <c r="AK433" i="2"/>
  <c r="AK476" i="2"/>
  <c r="AK625" i="2"/>
  <c r="AL625" i="2" s="1"/>
  <c r="AJ888" i="2"/>
  <c r="AI888" i="2"/>
  <c r="AJ975" i="2"/>
  <c r="AI975" i="2"/>
  <c r="AI1097" i="2"/>
  <c r="AJ1097" i="2"/>
  <c r="AJ1165" i="2"/>
  <c r="AI1165" i="2"/>
  <c r="AJ1253" i="2"/>
  <c r="AI1253" i="2"/>
  <c r="AJ1286" i="2"/>
  <c r="AJ1293" i="2"/>
  <c r="M193" i="7"/>
  <c r="O262" i="7"/>
  <c r="P262" i="7"/>
  <c r="H262" i="7"/>
  <c r="I262" i="7" s="1"/>
  <c r="J262" i="7" s="1"/>
  <c r="O293" i="7"/>
  <c r="N293" i="7"/>
  <c r="O311" i="7"/>
  <c r="P311" i="7"/>
  <c r="L311" i="7"/>
  <c r="H311" i="7"/>
  <c r="I311" i="7" s="1"/>
  <c r="J311" i="7" s="1"/>
  <c r="AK1006" i="2"/>
  <c r="AL1006" i="2" s="1"/>
  <c r="AK1042" i="2"/>
  <c r="AL1042" i="2" s="1"/>
  <c r="AK1061" i="2"/>
  <c r="AL1061" i="2" s="1"/>
  <c r="AK1071" i="2"/>
  <c r="AL1071" i="2" s="1"/>
  <c r="AK1073" i="2"/>
  <c r="AL1073" i="2" s="1"/>
  <c r="AK1108" i="2"/>
  <c r="AL1108" i="2" s="1"/>
  <c r="AK1257" i="2"/>
  <c r="AL1257" i="2" s="1"/>
  <c r="AJ1267" i="2"/>
  <c r="AJ1278" i="2"/>
  <c r="AK1278" i="2" s="1"/>
  <c r="AL1278" i="2" s="1"/>
  <c r="AJ1285" i="2"/>
  <c r="AK1285" i="2" s="1"/>
  <c r="AL1285" i="2" s="1"/>
  <c r="AI1303" i="2"/>
  <c r="AJ1320" i="2"/>
  <c r="AJ1338" i="2"/>
  <c r="AK1338" i="2" s="1"/>
  <c r="AL1338" i="2" s="1"/>
  <c r="AK1363" i="2"/>
  <c r="AL1363" i="2" s="1"/>
  <c r="AJ1391" i="2"/>
  <c r="AJ1399" i="2"/>
  <c r="AK1399" i="2" s="1"/>
  <c r="AL1399" i="2" s="1"/>
  <c r="AI1408" i="2"/>
  <c r="AJ1434" i="2"/>
  <c r="AJ1469" i="2"/>
  <c r="AK1518" i="2"/>
  <c r="AL1518" i="2" s="1"/>
  <c r="AK1524" i="2"/>
  <c r="AL1524" i="2" s="1"/>
  <c r="AK1525" i="2"/>
  <c r="AL1525" i="2" s="1"/>
  <c r="AK1537" i="2"/>
  <c r="AL1537" i="2" s="1"/>
  <c r="AK1554" i="2"/>
  <c r="AL1554" i="2" s="1"/>
  <c r="AK1568" i="2"/>
  <c r="AL1568" i="2" s="1"/>
  <c r="AK1580" i="2"/>
  <c r="AL1580" i="2" s="1"/>
  <c r="AK1672" i="2"/>
  <c r="AL1672" i="2" s="1"/>
  <c r="AK1708" i="2"/>
  <c r="AL1708" i="2" s="1"/>
  <c r="AK1728" i="2"/>
  <c r="AL1728" i="2" s="1"/>
  <c r="AK1729" i="2"/>
  <c r="AL1729" i="2" s="1"/>
  <c r="AK1756" i="2"/>
  <c r="AL1756" i="2" s="1"/>
  <c r="AI1766" i="2"/>
  <c r="AK1782" i="2"/>
  <c r="AL1782" i="2" s="1"/>
  <c r="AK1796" i="2"/>
  <c r="AL1796" i="2" s="1"/>
  <c r="AK1808" i="2"/>
  <c r="AL1808" i="2" s="1"/>
  <c r="AK1878" i="2"/>
  <c r="AL1878" i="2" s="1"/>
  <c r="AK1916" i="2"/>
  <c r="AL1916" i="2" s="1"/>
  <c r="AK1928" i="2"/>
  <c r="AL1928" i="2" s="1"/>
  <c r="AK1929" i="2"/>
  <c r="AL1929" i="2" s="1"/>
  <c r="AK1942" i="2"/>
  <c r="AL1942" i="2" s="1"/>
  <c r="AK1972" i="2"/>
  <c r="AL1972" i="2" s="1"/>
  <c r="AI1974" i="2"/>
  <c r="AK2018" i="2"/>
  <c r="AL2018" i="2" s="1"/>
  <c r="AI2020" i="2"/>
  <c r="AK2117" i="2"/>
  <c r="AL2117" i="2" s="1"/>
  <c r="AK2155" i="2"/>
  <c r="AL2155" i="2" s="1"/>
  <c r="AK2171" i="2"/>
  <c r="AL2171" i="2" s="1"/>
  <c r="AK2253" i="2"/>
  <c r="AL2253" i="2" s="1"/>
  <c r="AK2261" i="2"/>
  <c r="AL2261" i="2" s="1"/>
  <c r="M335" i="7"/>
  <c r="N335" i="7"/>
  <c r="M445" i="7"/>
  <c r="L445" i="7"/>
  <c r="I445" i="7"/>
  <c r="N106" i="7"/>
  <c r="H148" i="7"/>
  <c r="I148" i="7" s="1"/>
  <c r="J148" i="7" s="1"/>
  <c r="M177" i="7"/>
  <c r="N199" i="7"/>
  <c r="P249" i="7"/>
  <c r="H249" i="7"/>
  <c r="I249" i="7" s="1"/>
  <c r="J249" i="7" s="1"/>
  <c r="O299" i="7"/>
  <c r="P299" i="7"/>
  <c r="L299" i="7"/>
  <c r="P364" i="7"/>
  <c r="H364" i="7"/>
  <c r="O506" i="7"/>
  <c r="P506" i="7"/>
  <c r="H506" i="7"/>
  <c r="AK503" i="2"/>
  <c r="AK523" i="2"/>
  <c r="AK533" i="2"/>
  <c r="AJ553" i="2"/>
  <c r="AK573" i="2"/>
  <c r="AK580" i="2"/>
  <c r="AK586" i="2"/>
  <c r="AK620" i="2"/>
  <c r="AK664" i="2"/>
  <c r="AL664" i="2" s="1"/>
  <c r="AK676" i="2"/>
  <c r="AL676" i="2" s="1"/>
  <c r="AK682" i="2"/>
  <c r="AK699" i="2"/>
  <c r="AL699" i="2" s="1"/>
  <c r="AK706" i="2"/>
  <c r="AL706" i="2" s="1"/>
  <c r="AK736" i="2"/>
  <c r="AL736" i="2" s="1"/>
  <c r="AK750" i="2"/>
  <c r="AL750" i="2" s="1"/>
  <c r="AK756" i="2"/>
  <c r="AK762" i="2"/>
  <c r="AL762" i="2" s="1"/>
  <c r="AK1010" i="2"/>
  <c r="AL1010" i="2" s="1"/>
  <c r="AK1076" i="2"/>
  <c r="AL1076" i="2" s="1"/>
  <c r="AK1096" i="2"/>
  <c r="AL1096" i="2" s="1"/>
  <c r="AK1177" i="2"/>
  <c r="AL1177" i="2" s="1"/>
  <c r="AK1284" i="2"/>
  <c r="AL1284" i="2" s="1"/>
  <c r="AJ1289" i="2"/>
  <c r="AI1308" i="2"/>
  <c r="AK1334" i="2"/>
  <c r="AL1334" i="2" s="1"/>
  <c r="AJ1367" i="2"/>
  <c r="AK1367" i="2" s="1"/>
  <c r="AL1367" i="2" s="1"/>
  <c r="AK1461" i="2"/>
  <c r="AL1461" i="2" s="1"/>
  <c r="AK1495" i="2"/>
  <c r="AL1495" i="2" s="1"/>
  <c r="AK1506" i="2"/>
  <c r="AL1506" i="2" s="1"/>
  <c r="AK1510" i="2"/>
  <c r="AL1510" i="2" s="1"/>
  <c r="AK1516" i="2"/>
  <c r="AL1516" i="2" s="1"/>
  <c r="AK1517" i="2"/>
  <c r="AL1517" i="2" s="1"/>
  <c r="AK1572" i="2"/>
  <c r="AL1572" i="2" s="1"/>
  <c r="AK1602" i="2"/>
  <c r="AL1602" i="2" s="1"/>
  <c r="AK1614" i="2"/>
  <c r="AL1614" i="2" s="1"/>
  <c r="AK1626" i="2"/>
  <c r="AL1626" i="2" s="1"/>
  <c r="AK1688" i="2"/>
  <c r="AL1688" i="2" s="1"/>
  <c r="AK1700" i="2"/>
  <c r="AL1700" i="2" s="1"/>
  <c r="AK1707" i="2"/>
  <c r="AL1707" i="2" s="1"/>
  <c r="AK1714" i="2"/>
  <c r="AL1714" i="2" s="1"/>
  <c r="AK1744" i="2"/>
  <c r="AL1744" i="2" s="1"/>
  <c r="AK1755" i="2"/>
  <c r="AL1755" i="2" s="1"/>
  <c r="AK1800" i="2"/>
  <c r="AL1800" i="2" s="1"/>
  <c r="AK1812" i="2"/>
  <c r="AL1812" i="2" s="1"/>
  <c r="AK1830" i="2"/>
  <c r="AL1830" i="2" s="1"/>
  <c r="AK1844" i="2"/>
  <c r="AL1844" i="2" s="1"/>
  <c r="AK1858" i="2"/>
  <c r="AL1858" i="2" s="1"/>
  <c r="AK1952" i="2"/>
  <c r="AL1952" i="2" s="1"/>
  <c r="AK1970" i="2"/>
  <c r="AL1970" i="2" s="1"/>
  <c r="AK1990" i="2"/>
  <c r="AL1990" i="2" s="1"/>
  <c r="AK2098" i="2"/>
  <c r="AL2098" i="2" s="1"/>
  <c r="AK2102" i="2"/>
  <c r="AL2102" i="2" s="1"/>
  <c r="AK2110" i="2"/>
  <c r="AL2110" i="2" s="1"/>
  <c r="AK2114" i="2"/>
  <c r="AL2114" i="2" s="1"/>
  <c r="AK2118" i="2"/>
  <c r="AL2118" i="2" s="1"/>
  <c r="AK2126" i="2"/>
  <c r="AL2126" i="2" s="1"/>
  <c r="AI2130" i="2"/>
  <c r="AK2132" i="2"/>
  <c r="AL2132" i="2" s="1"/>
  <c r="AK2136" i="2"/>
  <c r="AL2136" i="2" s="1"/>
  <c r="AK2247" i="2"/>
  <c r="AL2247" i="2" s="1"/>
  <c r="H110" i="7"/>
  <c r="M119" i="7"/>
  <c r="P286" i="7"/>
  <c r="H286" i="7"/>
  <c r="P321" i="7"/>
  <c r="M321" i="7"/>
  <c r="P397" i="7"/>
  <c r="H397" i="7"/>
  <c r="AK1162" i="2"/>
  <c r="AL1162" i="2" s="1"/>
  <c r="AI1222" i="2"/>
  <c r="AJ1263" i="2"/>
  <c r="AI1279" i="2"/>
  <c r="AJ1362" i="2"/>
  <c r="AK1362" i="2" s="1"/>
  <c r="AL1362" i="2" s="1"/>
  <c r="AJ1407" i="2"/>
  <c r="AK1407" i="2" s="1"/>
  <c r="AL1407" i="2" s="1"/>
  <c r="AJ1433" i="2"/>
  <c r="AK1433" i="2" s="1"/>
  <c r="AL1433" i="2" s="1"/>
  <c r="AJ1442" i="2"/>
  <c r="AK1594" i="2"/>
  <c r="AL1594" i="2" s="1"/>
  <c r="AK1638" i="2"/>
  <c r="AL1638" i="2" s="1"/>
  <c r="AK1662" i="2"/>
  <c r="AL1662" i="2" s="1"/>
  <c r="AK1712" i="2"/>
  <c r="AL1712" i="2" s="1"/>
  <c r="AK1760" i="2"/>
  <c r="AL1760" i="2" s="1"/>
  <c r="AH39" i="7"/>
  <c r="O212" i="7"/>
  <c r="P212" i="7"/>
  <c r="O229" i="7"/>
  <c r="P229" i="7"/>
  <c r="AK1187" i="2"/>
  <c r="AL1187" i="2" s="1"/>
  <c r="AK1422" i="2"/>
  <c r="AL1422" i="2" s="1"/>
  <c r="AI1480" i="2"/>
  <c r="AK1492" i="2"/>
  <c r="AL1492" i="2" s="1"/>
  <c r="AK1498" i="2"/>
  <c r="AL1498" i="2" s="1"/>
  <c r="AK1504" i="2"/>
  <c r="AL1504" i="2" s="1"/>
  <c r="AK1508" i="2"/>
  <c r="AL1508" i="2" s="1"/>
  <c r="AK1526" i="2"/>
  <c r="AL1526" i="2" s="1"/>
  <c r="AK1532" i="2"/>
  <c r="AL1532" i="2" s="1"/>
  <c r="AK1538" i="2"/>
  <c r="AL1538" i="2" s="1"/>
  <c r="AK1562" i="2"/>
  <c r="AL1562" i="2" s="1"/>
  <c r="AK1618" i="2"/>
  <c r="AL1618" i="2" s="1"/>
  <c r="AK1624" i="2"/>
  <c r="AL1624" i="2" s="1"/>
  <c r="AK1724" i="2"/>
  <c r="AL1724" i="2" s="1"/>
  <c r="AK1774" i="2"/>
  <c r="AL1774" i="2" s="1"/>
  <c r="AK1790" i="2"/>
  <c r="AL1790" i="2" s="1"/>
  <c r="AI1792" i="2"/>
  <c r="AK1816" i="2"/>
  <c r="AL1816" i="2" s="1"/>
  <c r="AK1817" i="2"/>
  <c r="AL1817" i="2" s="1"/>
  <c r="AK1822" i="2"/>
  <c r="AL1822" i="2" s="1"/>
  <c r="AK1829" i="2"/>
  <c r="AL1829" i="2" s="1"/>
  <c r="AK1836" i="2"/>
  <c r="AL1836" i="2" s="1"/>
  <c r="AK1874" i="2"/>
  <c r="AL1874" i="2" s="1"/>
  <c r="AK1880" i="2"/>
  <c r="AL1880" i="2" s="1"/>
  <c r="AK1894" i="2"/>
  <c r="AL1894" i="2" s="1"/>
  <c r="AK1900" i="2"/>
  <c r="AL1900" i="2" s="1"/>
  <c r="AK1924" i="2"/>
  <c r="AL1924" i="2" s="1"/>
  <c r="AK1936" i="2"/>
  <c r="AL1936" i="2" s="1"/>
  <c r="AK1962" i="2"/>
  <c r="AL1962" i="2" s="1"/>
  <c r="AK2022" i="2"/>
  <c r="AL2022" i="2" s="1"/>
  <c r="AK2028" i="2"/>
  <c r="AL2028" i="2" s="1"/>
  <c r="AK2062" i="2"/>
  <c r="AL2062" i="2" s="1"/>
  <c r="AK2078" i="2"/>
  <c r="AL2078" i="2" s="1"/>
  <c r="AK2195" i="2"/>
  <c r="AL2195" i="2" s="1"/>
  <c r="AK2211" i="2"/>
  <c r="AL2211" i="2" s="1"/>
  <c r="N134" i="7"/>
  <c r="H159" i="7"/>
  <c r="H189" i="7"/>
  <c r="I189" i="7" s="1"/>
  <c r="J189" i="7" s="1"/>
  <c r="N211" i="7"/>
  <c r="M215" i="7"/>
  <c r="N215" i="7"/>
  <c r="O1070" i="7"/>
  <c r="M1070" i="7"/>
  <c r="O1092" i="7"/>
  <c r="I1092" i="7"/>
  <c r="O1110" i="7"/>
  <c r="H1110" i="7"/>
  <c r="H1111" i="7"/>
  <c r="J1111" i="7" s="1"/>
  <c r="O1111" i="7"/>
  <c r="M1127" i="7"/>
  <c r="I1127" i="7"/>
  <c r="O1204" i="7"/>
  <c r="N1204" i="7"/>
  <c r="O1372" i="7"/>
  <c r="P1372" i="7"/>
  <c r="O1380" i="7"/>
  <c r="P1380" i="7"/>
  <c r="O1388" i="7"/>
  <c r="P1388" i="7"/>
  <c r="O1396" i="7"/>
  <c r="L1396" i="7"/>
  <c r="O1412" i="7"/>
  <c r="M1412" i="7"/>
  <c r="O1446" i="7"/>
  <c r="O1440" i="7" s="1"/>
  <c r="I61" i="7" s="1"/>
  <c r="P1446" i="7"/>
  <c r="P1509" i="7"/>
  <c r="O1515" i="7"/>
  <c r="N1515" i="7"/>
  <c r="N1542" i="7"/>
  <c r="M1542" i="7"/>
  <c r="O1559" i="7"/>
  <c r="P1559" i="7"/>
  <c r="I1568" i="7"/>
  <c r="O1571" i="7"/>
  <c r="I1571" i="7"/>
  <c r="O1644" i="7"/>
  <c r="N1644" i="7"/>
  <c r="I1688" i="7"/>
  <c r="H2070" i="7"/>
  <c r="I2070" i="7"/>
  <c r="J2070" i="7" s="1"/>
  <c r="H2180" i="7"/>
  <c r="I2180" i="7"/>
  <c r="P291" i="7"/>
  <c r="N297" i="7"/>
  <c r="P303" i="7"/>
  <c r="I350" i="7"/>
  <c r="I374" i="7"/>
  <c r="J374" i="7" s="1"/>
  <c r="I407" i="7"/>
  <c r="P417" i="7"/>
  <c r="O424" i="7"/>
  <c r="P436" i="7"/>
  <c r="I440" i="7"/>
  <c r="N510" i="7"/>
  <c r="M526" i="7"/>
  <c r="P538" i="7"/>
  <c r="P542" i="7"/>
  <c r="P546" i="7"/>
  <c r="P550" i="7"/>
  <c r="P554" i="7"/>
  <c r="P558" i="7"/>
  <c r="P562" i="7"/>
  <c r="H585" i="7"/>
  <c r="I591" i="7"/>
  <c r="I618" i="7"/>
  <c r="I642" i="7"/>
  <c r="I657" i="7"/>
  <c r="P659" i="7"/>
  <c r="H663" i="7"/>
  <c r="I666" i="7"/>
  <c r="I675" i="7"/>
  <c r="I687" i="7"/>
  <c r="I699" i="7"/>
  <c r="M712" i="7"/>
  <c r="M718" i="7"/>
  <c r="M733" i="7"/>
  <c r="H757" i="7"/>
  <c r="M792" i="7"/>
  <c r="H804" i="7"/>
  <c r="L821" i="7"/>
  <c r="I833" i="7"/>
  <c r="L875" i="7"/>
  <c r="H888" i="7"/>
  <c r="H901" i="7"/>
  <c r="O942" i="7"/>
  <c r="M942" i="7"/>
  <c r="O967" i="7"/>
  <c r="I967" i="7"/>
  <c r="O1038" i="7"/>
  <c r="M1038" i="7"/>
  <c r="P1067" i="7"/>
  <c r="P1091" i="7"/>
  <c r="H1107" i="7"/>
  <c r="I1115" i="7"/>
  <c r="P1148" i="7"/>
  <c r="O1155" i="7"/>
  <c r="N1155" i="7"/>
  <c r="P1186" i="7"/>
  <c r="N1186" i="7"/>
  <c r="N1196" i="7"/>
  <c r="O1212" i="7"/>
  <c r="N1212" i="7"/>
  <c r="O1270" i="7"/>
  <c r="N1270" i="7"/>
  <c r="O1354" i="7"/>
  <c r="N1354" i="7"/>
  <c r="O1366" i="7"/>
  <c r="N1366" i="7"/>
  <c r="M1373" i="7"/>
  <c r="N1373" i="7"/>
  <c r="M1381" i="7"/>
  <c r="N1381" i="7"/>
  <c r="M1389" i="7"/>
  <c r="N1389" i="7"/>
  <c r="O1402" i="7"/>
  <c r="L1402" i="7"/>
  <c r="O1414" i="7"/>
  <c r="P1414" i="7"/>
  <c r="I1471" i="7"/>
  <c r="O1519" i="7"/>
  <c r="P1519" i="7"/>
  <c r="P1560" i="7"/>
  <c r="I1560" i="7"/>
  <c r="J1560" i="7" s="1"/>
  <c r="M1585" i="7"/>
  <c r="N1599" i="7"/>
  <c r="I1672" i="7"/>
  <c r="I1692" i="7"/>
  <c r="I1796" i="7"/>
  <c r="H1796" i="7"/>
  <c r="J1796" i="7" s="1"/>
  <c r="I1824" i="7"/>
  <c r="H1824" i="7"/>
  <c r="J1824" i="7" s="1"/>
  <c r="I1876" i="7"/>
  <c r="H1876" i="7"/>
  <c r="I1897" i="7"/>
  <c r="H1897" i="7"/>
  <c r="J1897" i="7" s="1"/>
  <c r="I1981" i="7"/>
  <c r="H1981" i="7"/>
  <c r="J1981" i="7" s="1"/>
  <c r="L305" i="7"/>
  <c r="P340" i="7"/>
  <c r="I354" i="7"/>
  <c r="H366" i="7"/>
  <c r="I378" i="7"/>
  <c r="H399" i="7"/>
  <c r="I411" i="7"/>
  <c r="H425" i="7"/>
  <c r="J425" i="7" s="1"/>
  <c r="I437" i="7"/>
  <c r="I468" i="7"/>
  <c r="M481" i="7"/>
  <c r="H528" i="7"/>
  <c r="I539" i="7"/>
  <c r="I543" i="7"/>
  <c r="I547" i="7"/>
  <c r="I551" i="7"/>
  <c r="I555" i="7"/>
  <c r="I559" i="7"/>
  <c r="I563" i="7"/>
  <c r="H592" i="7"/>
  <c r="M600" i="7"/>
  <c r="I624" i="7"/>
  <c r="I648" i="7"/>
  <c r="P657" i="7"/>
  <c r="N660" i="7"/>
  <c r="I663" i="7"/>
  <c r="N666" i="7"/>
  <c r="H679" i="7"/>
  <c r="H689" i="7"/>
  <c r="H703" i="7"/>
  <c r="H714" i="7"/>
  <c r="H720" i="7"/>
  <c r="H735" i="7"/>
  <c r="O773" i="7"/>
  <c r="I793" i="7"/>
  <c r="N804" i="7"/>
  <c r="N824" i="7"/>
  <c r="L879" i="7"/>
  <c r="L891" i="7"/>
  <c r="I901" i="7"/>
  <c r="O911" i="7"/>
  <c r="M911" i="7"/>
  <c r="M934" i="7"/>
  <c r="I966" i="7"/>
  <c r="I1055" i="7"/>
  <c r="H1070" i="7"/>
  <c r="I1085" i="7"/>
  <c r="H1092" i="7"/>
  <c r="N1115" i="7"/>
  <c r="M1119" i="7"/>
  <c r="O1119" i="7"/>
  <c r="O1163" i="7"/>
  <c r="N1163" i="7"/>
  <c r="O1355" i="7"/>
  <c r="N1355" i="7"/>
  <c r="O1374" i="7"/>
  <c r="L1374" i="7"/>
  <c r="O1382" i="7"/>
  <c r="L1382" i="7"/>
  <c r="O1390" i="7"/>
  <c r="L1390" i="7"/>
  <c r="P1434" i="7"/>
  <c r="M1434" i="7"/>
  <c r="O1523" i="7"/>
  <c r="I1523" i="7"/>
  <c r="P1523" i="7"/>
  <c r="P1544" i="7"/>
  <c r="I1544" i="7"/>
  <c r="O1636" i="7"/>
  <c r="P1636" i="7"/>
  <c r="I1636" i="7"/>
  <c r="I1936" i="7"/>
  <c r="H1936" i="7"/>
  <c r="H233" i="7"/>
  <c r="I233" i="7" s="1"/>
  <c r="J233" i="7" s="1"/>
  <c r="N265" i="7"/>
  <c r="H288" i="7"/>
  <c r="I288" i="7" s="1"/>
  <c r="H295" i="7"/>
  <c r="N305" i="7"/>
  <c r="I366" i="7"/>
  <c r="I399" i="7"/>
  <c r="H413" i="7"/>
  <c r="H422" i="7"/>
  <c r="L437" i="7"/>
  <c r="H485" i="7"/>
  <c r="L507" i="7"/>
  <c r="I511" i="7"/>
  <c r="P539" i="7"/>
  <c r="P543" i="7"/>
  <c r="P547" i="7"/>
  <c r="P551" i="7"/>
  <c r="P555" i="7"/>
  <c r="P559" i="7"/>
  <c r="P563" i="7"/>
  <c r="P592" i="7"/>
  <c r="P663" i="7"/>
  <c r="I679" i="7"/>
  <c r="I703" i="7"/>
  <c r="M714" i="7"/>
  <c r="M720" i="7"/>
  <c r="M735" i="7"/>
  <c r="P901" i="7"/>
  <c r="N1000" i="7"/>
  <c r="H1000" i="7"/>
  <c r="O1062" i="7"/>
  <c r="M1062" i="7"/>
  <c r="M1088" i="7"/>
  <c r="I1088" i="7"/>
  <c r="I1113" i="7"/>
  <c r="J1113" i="7" s="1"/>
  <c r="O1113" i="7"/>
  <c r="P1178" i="7"/>
  <c r="N1178" i="7"/>
  <c r="O1254" i="7"/>
  <c r="N1254" i="7"/>
  <c r="O1376" i="7"/>
  <c r="P1376" i="7"/>
  <c r="O1384" i="7"/>
  <c r="P1384" i="7"/>
  <c r="O1392" i="7"/>
  <c r="P1392" i="7"/>
  <c r="O1470" i="7"/>
  <c r="P1470" i="7"/>
  <c r="I1470" i="7"/>
  <c r="O1652" i="7"/>
  <c r="P1652" i="7"/>
  <c r="I1652" i="7"/>
  <c r="P1710" i="7"/>
  <c r="M1710" i="7"/>
  <c r="P1753" i="7"/>
  <c r="N1753" i="7"/>
  <c r="I1884" i="7"/>
  <c r="J1884" i="7" s="1"/>
  <c r="H1884" i="7"/>
  <c r="H2138" i="7"/>
  <c r="I2138" i="7"/>
  <c r="H2219" i="7"/>
  <c r="I2219" i="7"/>
  <c r="L295" i="7"/>
  <c r="N301" i="7"/>
  <c r="L307" i="7"/>
  <c r="H358" i="7"/>
  <c r="I403" i="7"/>
  <c r="P413" i="7"/>
  <c r="I423" i="7"/>
  <c r="J423" i="7" s="1"/>
  <c r="O431" i="7"/>
  <c r="I438" i="7"/>
  <c r="I441" i="7"/>
  <c r="I448" i="7"/>
  <c r="M473" i="7"/>
  <c r="I502" i="7"/>
  <c r="L540" i="7"/>
  <c r="L544" i="7"/>
  <c r="L548" i="7"/>
  <c r="L552" i="7"/>
  <c r="L556" i="7"/>
  <c r="L560" i="7"/>
  <c r="I590" i="7"/>
  <c r="J590" i="7" s="1"/>
  <c r="N593" i="7"/>
  <c r="I608" i="7"/>
  <c r="I632" i="7"/>
  <c r="I651" i="7"/>
  <c r="N658" i="7"/>
  <c r="P661" i="7"/>
  <c r="N664" i="7"/>
  <c r="H671" i="7"/>
  <c r="H681" i="7"/>
  <c r="H695" i="7"/>
  <c r="H716" i="7"/>
  <c r="H737" i="7"/>
  <c r="M796" i="7"/>
  <c r="L805" i="7"/>
  <c r="N828" i="7"/>
  <c r="L881" i="7"/>
  <c r="H911" i="7"/>
  <c r="I947" i="7"/>
  <c r="O979" i="7"/>
  <c r="I979" i="7"/>
  <c r="H996" i="7"/>
  <c r="O1114" i="7"/>
  <c r="M1114" i="7"/>
  <c r="P1137" i="7"/>
  <c r="H1137" i="7"/>
  <c r="H1163" i="7"/>
  <c r="P1187" i="7"/>
  <c r="H1220" i="7"/>
  <c r="I1271" i="7"/>
  <c r="H1355" i="7"/>
  <c r="O1361" i="7"/>
  <c r="I1361" i="7"/>
  <c r="H1367" i="7"/>
  <c r="J1367" i="7" s="1"/>
  <c r="H1374" i="7"/>
  <c r="M1377" i="7"/>
  <c r="N1377" i="7"/>
  <c r="H1382" i="7"/>
  <c r="M1385" i="7"/>
  <c r="N1385" i="7"/>
  <c r="H1390" i="7"/>
  <c r="M1393" i="7"/>
  <c r="N1393" i="7"/>
  <c r="H1404" i="7"/>
  <c r="O1408" i="7"/>
  <c r="M1408" i="7"/>
  <c r="P1415" i="7"/>
  <c r="H1434" i="7"/>
  <c r="M1480" i="7"/>
  <c r="P1488" i="7"/>
  <c r="H1523" i="7"/>
  <c r="J1523" i="7" s="1"/>
  <c r="H1544" i="7"/>
  <c r="O1555" i="7"/>
  <c r="P1555" i="7"/>
  <c r="N1564" i="7"/>
  <c r="O1595" i="7"/>
  <c r="P1595" i="7"/>
  <c r="M1613" i="7"/>
  <c r="H1636" i="7"/>
  <c r="O1640" i="7"/>
  <c r="P1640" i="7"/>
  <c r="I1664" i="7"/>
  <c r="H1722" i="7"/>
  <c r="N1747" i="7"/>
  <c r="I1812" i="7"/>
  <c r="H1812" i="7"/>
  <c r="J1812" i="7" s="1"/>
  <c r="I1836" i="7"/>
  <c r="H1836" i="7"/>
  <c r="H1952" i="7"/>
  <c r="I1952" i="7"/>
  <c r="I2016" i="7"/>
  <c r="H2016" i="7"/>
  <c r="J2016" i="7" s="1"/>
  <c r="O1050" i="7"/>
  <c r="H1050" i="7"/>
  <c r="O1080" i="7"/>
  <c r="P1080" i="7"/>
  <c r="H1080" i="7"/>
  <c r="J1080" i="7" s="1"/>
  <c r="H1126" i="7"/>
  <c r="P1126" i="7"/>
  <c r="P1170" i="7"/>
  <c r="N1170" i="7"/>
  <c r="O1286" i="7"/>
  <c r="N1286" i="7"/>
  <c r="O1333" i="7"/>
  <c r="N1333" i="7"/>
  <c r="O1370" i="7"/>
  <c r="L1370" i="7"/>
  <c r="O1378" i="7"/>
  <c r="L1378" i="7"/>
  <c r="O1386" i="7"/>
  <c r="L1386" i="7"/>
  <c r="O1394" i="7"/>
  <c r="L1394" i="7"/>
  <c r="O1410" i="7"/>
  <c r="M1410" i="7"/>
  <c r="O1541" i="7"/>
  <c r="P1541" i="7"/>
  <c r="P1556" i="7"/>
  <c r="I1556" i="7"/>
  <c r="J1556" i="7" s="1"/>
  <c r="O1642" i="7"/>
  <c r="P1642" i="7"/>
  <c r="H1710" i="7"/>
  <c r="O1773" i="7"/>
  <c r="N1773" i="7"/>
  <c r="I1773" i="7"/>
  <c r="H1808" i="7"/>
  <c r="J1808" i="7" s="1"/>
  <c r="H1832" i="7"/>
  <c r="I1892" i="7"/>
  <c r="H1892" i="7"/>
  <c r="I1904" i="7"/>
  <c r="H2000" i="7"/>
  <c r="J2000" i="7" s="1"/>
  <c r="H1329" i="7"/>
  <c r="P1353" i="7"/>
  <c r="N1360" i="7"/>
  <c r="P1417" i="7"/>
  <c r="H1461" i="7"/>
  <c r="I1467" i="7"/>
  <c r="I1473" i="7"/>
  <c r="I1485" i="7"/>
  <c r="I1489" i="7"/>
  <c r="I1493" i="7"/>
  <c r="I1497" i="7"/>
  <c r="P1505" i="7"/>
  <c r="I1579" i="7"/>
  <c r="P1663" i="7"/>
  <c r="P1675" i="7"/>
  <c r="P1687" i="7"/>
  <c r="H1702" i="7"/>
  <c r="I1714" i="7"/>
  <c r="L1744" i="7"/>
  <c r="H1769" i="7"/>
  <c r="L1779" i="7"/>
  <c r="H1805" i="7"/>
  <c r="H1817" i="7"/>
  <c r="H1829" i="7"/>
  <c r="J1829" i="7" s="1"/>
  <c r="H1852" i="7"/>
  <c r="J1852" i="7" s="1"/>
  <c r="H1901" i="7"/>
  <c r="H1985" i="7"/>
  <c r="J1985" i="7" s="1"/>
  <c r="H2031" i="7"/>
  <c r="I2150" i="7"/>
  <c r="J2150" i="7" s="1"/>
  <c r="H2197" i="7"/>
  <c r="J2197" i="7" s="1"/>
  <c r="H2233" i="7"/>
  <c r="J2233" i="7" s="1"/>
  <c r="H1016" i="7"/>
  <c r="H1042" i="7"/>
  <c r="M1054" i="7"/>
  <c r="H1066" i="7"/>
  <c r="I1123" i="7"/>
  <c r="P1144" i="7"/>
  <c r="I1176" i="7"/>
  <c r="I1184" i="7"/>
  <c r="I1249" i="7"/>
  <c r="J1249" i="7" s="1"/>
  <c r="H1266" i="7"/>
  <c r="H1282" i="7"/>
  <c r="H1313" i="7"/>
  <c r="I1330" i="7"/>
  <c r="H1422" i="7"/>
  <c r="I1444" i="7"/>
  <c r="L1451" i="7"/>
  <c r="H1466" i="7"/>
  <c r="J1466" i="7" s="1"/>
  <c r="I1486" i="7"/>
  <c r="I1490" i="7"/>
  <c r="I1494" i="7"/>
  <c r="I1498" i="7"/>
  <c r="L1507" i="7"/>
  <c r="M1536" i="7"/>
  <c r="N1583" i="7"/>
  <c r="H1591" i="7"/>
  <c r="I1628" i="7"/>
  <c r="P1667" i="7"/>
  <c r="P1679" i="7"/>
  <c r="P1691" i="7"/>
  <c r="M1706" i="7"/>
  <c r="P1716" i="7"/>
  <c r="H1748" i="7"/>
  <c r="P1759" i="7"/>
  <c r="P1769" i="7"/>
  <c r="H1789" i="7"/>
  <c r="J1789" i="7" s="1"/>
  <c r="H1809" i="7"/>
  <c r="J1809" i="7" s="1"/>
  <c r="H1821" i="7"/>
  <c r="H1833" i="7"/>
  <c r="J1833" i="7" s="1"/>
  <c r="I1862" i="7"/>
  <c r="J1862" i="7" s="1"/>
  <c r="H1881" i="7"/>
  <c r="H1889" i="7"/>
  <c r="J1889" i="7" s="1"/>
  <c r="I1920" i="7"/>
  <c r="J1920" i="7" s="1"/>
  <c r="H1941" i="7"/>
  <c r="I1976" i="7"/>
  <c r="J1976" i="7" s="1"/>
  <c r="H2001" i="7"/>
  <c r="I2062" i="7"/>
  <c r="I2170" i="7"/>
  <c r="J2170" i="7" s="1"/>
  <c r="H2205" i="7"/>
  <c r="J2205" i="7" s="1"/>
  <c r="J2196" i="7"/>
  <c r="AK14" i="2"/>
  <c r="AK46" i="2"/>
  <c r="AK57" i="2"/>
  <c r="AK175" i="2"/>
  <c r="AK314" i="2"/>
  <c r="AK406" i="2"/>
  <c r="AK425" i="2"/>
  <c r="AK428" i="2"/>
  <c r="AK431" i="2"/>
  <c r="AK435" i="2"/>
  <c r="AK693" i="2"/>
  <c r="AL693" i="2" s="1"/>
  <c r="AI909" i="2"/>
  <c r="AI911" i="2"/>
  <c r="AI914" i="2"/>
  <c r="AI916" i="2"/>
  <c r="AI920" i="2"/>
  <c r="AI927" i="2"/>
  <c r="AI929" i="2"/>
  <c r="AI970" i="2"/>
  <c r="AI972" i="2"/>
  <c r="AK996" i="2"/>
  <c r="AL996" i="2" s="1"/>
  <c r="AJ1015" i="2"/>
  <c r="AI1015" i="2"/>
  <c r="AK1015" i="2" s="1"/>
  <c r="AL1015" i="2" s="1"/>
  <c r="AK1017" i="2"/>
  <c r="AL1017" i="2" s="1"/>
  <c r="AK1024" i="2"/>
  <c r="AL1024" i="2" s="1"/>
  <c r="AK1027" i="2"/>
  <c r="AL1027" i="2" s="1"/>
  <c r="AI1092" i="2"/>
  <c r="AK1109" i="2"/>
  <c r="AL1109" i="2" s="1"/>
  <c r="AK1124" i="2"/>
  <c r="AL1124" i="2" s="1"/>
  <c r="AJ1241" i="2"/>
  <c r="AI1241" i="2"/>
  <c r="AK22" i="2"/>
  <c r="AK73" i="2"/>
  <c r="AK102" i="2"/>
  <c r="AK113" i="2"/>
  <c r="AK117" i="2"/>
  <c r="AK121" i="2"/>
  <c r="AK124" i="2"/>
  <c r="AK131" i="2"/>
  <c r="AK138" i="2"/>
  <c r="AK149" i="2"/>
  <c r="AK156" i="2"/>
  <c r="AK160" i="2"/>
  <c r="AK164" i="2"/>
  <c r="AK167" i="2"/>
  <c r="AK174" i="2"/>
  <c r="AK182" i="2"/>
  <c r="AK186" i="2"/>
  <c r="AK190" i="2"/>
  <c r="AK230" i="2"/>
  <c r="AK231" i="2"/>
  <c r="AK234" i="2"/>
  <c r="AK242" i="2"/>
  <c r="AK248" i="2"/>
  <c r="AK255" i="2"/>
  <c r="AK256" i="2"/>
  <c r="AK280" i="2"/>
  <c r="AK284" i="2"/>
  <c r="AK360" i="2"/>
  <c r="AK363" i="2"/>
  <c r="AK369" i="2"/>
  <c r="AK370" i="2"/>
  <c r="AK385" i="2"/>
  <c r="AK388" i="2"/>
  <c r="AK414" i="2"/>
  <c r="AK450" i="2"/>
  <c r="AK454" i="2"/>
  <c r="AK458" i="2"/>
  <c r="AK462" i="2"/>
  <c r="AK466" i="2"/>
  <c r="AK469" i="2"/>
  <c r="AK470" i="2"/>
  <c r="AK473" i="2"/>
  <c r="AK474" i="2"/>
  <c r="AK477" i="2"/>
  <c r="AK478" i="2"/>
  <c r="AK481" i="2"/>
  <c r="AK484" i="2"/>
  <c r="AK510" i="2"/>
  <c r="AK511" i="2"/>
  <c r="AK514" i="2"/>
  <c r="AK522" i="2"/>
  <c r="AK527" i="2"/>
  <c r="AK530" i="2"/>
  <c r="AK531" i="2"/>
  <c r="AK534" i="2"/>
  <c r="AK535" i="2"/>
  <c r="AK538" i="2"/>
  <c r="AK557" i="2"/>
  <c r="AK558" i="2"/>
  <c r="AK561" i="2"/>
  <c r="AK562" i="2"/>
  <c r="AK565" i="2"/>
  <c r="AK566" i="2"/>
  <c r="AK581" i="2"/>
  <c r="AK582" i="2"/>
  <c r="AK585" i="2"/>
  <c r="AK588" i="2"/>
  <c r="AK592" i="2"/>
  <c r="AK606" i="2"/>
  <c r="AK629" i="2"/>
  <c r="AL629" i="2" s="1"/>
  <c r="AK633" i="2"/>
  <c r="AL633" i="2" s="1"/>
  <c r="AK643" i="2"/>
  <c r="AK688" i="2"/>
  <c r="AL688" i="2" s="1"/>
  <c r="AK739" i="2"/>
  <c r="AL739" i="2" s="1"/>
  <c r="AK761" i="2"/>
  <c r="AL761" i="2" s="1"/>
  <c r="AK764" i="2"/>
  <c r="AK778" i="2"/>
  <c r="AL778" i="2" s="1"/>
  <c r="AK779" i="2"/>
  <c r="AL779" i="2" s="1"/>
  <c r="AK786" i="2"/>
  <c r="AL786" i="2" s="1"/>
  <c r="AK790" i="2"/>
  <c r="AK796" i="2"/>
  <c r="AL796" i="2" s="1"/>
  <c r="AK797" i="2"/>
  <c r="AL797" i="2" s="1"/>
  <c r="AK804" i="2"/>
  <c r="AL804" i="2" s="1"/>
  <c r="AK827" i="2"/>
  <c r="AK831" i="2"/>
  <c r="AL831" i="2" s="1"/>
  <c r="AK832" i="2"/>
  <c r="AL832" i="2" s="1"/>
  <c r="AK843" i="2"/>
  <c r="AL843" i="2" s="1"/>
  <c r="AK851" i="2"/>
  <c r="AL851" i="2" s="1"/>
  <c r="AK852" i="2"/>
  <c r="AL852" i="2" s="1"/>
  <c r="AI876" i="2"/>
  <c r="AI895" i="2"/>
  <c r="AI897" i="2"/>
  <c r="AI902" i="2"/>
  <c r="AI947" i="2"/>
  <c r="AI949" i="2"/>
  <c r="AI962" i="2"/>
  <c r="AI964" i="2"/>
  <c r="AJ983" i="2"/>
  <c r="AI983" i="2"/>
  <c r="AI984" i="2"/>
  <c r="AI1003" i="2"/>
  <c r="AI1014" i="2"/>
  <c r="AK1014" i="2" s="1"/>
  <c r="AL1014" i="2" s="1"/>
  <c r="AK1052" i="2"/>
  <c r="AL1052" i="2" s="1"/>
  <c r="AI1134" i="2"/>
  <c r="AI1136" i="2"/>
  <c r="AI1145" i="2"/>
  <c r="AJ1157" i="2"/>
  <c r="AI1157" i="2"/>
  <c r="AK1166" i="2"/>
  <c r="AL1166" i="2" s="1"/>
  <c r="AK1185" i="2"/>
  <c r="AL1185" i="2" s="1"/>
  <c r="AJ1224" i="2"/>
  <c r="AI1224" i="2"/>
  <c r="AJ1056" i="2"/>
  <c r="AI1056" i="2"/>
  <c r="AJ1130" i="2"/>
  <c r="AI1130" i="2"/>
  <c r="AJ1164" i="2"/>
  <c r="AI1164" i="2"/>
  <c r="AJ1197" i="2"/>
  <c r="AI1197" i="2"/>
  <c r="AK1197" i="2" s="1"/>
  <c r="AL1197" i="2" s="1"/>
  <c r="AI1223" i="2"/>
  <c r="AJ1223" i="2"/>
  <c r="AJ1335" i="2"/>
  <c r="AI1335" i="2"/>
  <c r="AK6" i="2"/>
  <c r="AK9" i="2"/>
  <c r="AK16" i="2"/>
  <c r="AK23" i="2"/>
  <c r="AK34" i="2"/>
  <c r="AK38" i="2"/>
  <c r="AK41" i="2"/>
  <c r="AK48" i="2"/>
  <c r="AK61" i="2"/>
  <c r="AK65" i="2"/>
  <c r="AK68" i="2"/>
  <c r="AK82" i="2"/>
  <c r="AK86" i="2"/>
  <c r="AK100" i="2"/>
  <c r="AK115" i="2"/>
  <c r="AK122" i="2"/>
  <c r="AK133" i="2"/>
  <c r="AK137" i="2"/>
  <c r="AK140" i="2"/>
  <c r="AK148" i="2"/>
  <c r="AK151" i="2"/>
  <c r="AK158" i="2"/>
  <c r="AK165" i="2"/>
  <c r="AK176" i="2"/>
  <c r="AK184" i="2"/>
  <c r="AK268" i="2"/>
  <c r="AK269" i="2"/>
  <c r="AK288" i="2"/>
  <c r="AK291" i="2"/>
  <c r="AK295" i="2"/>
  <c r="AK361" i="2"/>
  <c r="AK371" i="2"/>
  <c r="AK373" i="2"/>
  <c r="AK378" i="2"/>
  <c r="AK384" i="2"/>
  <c r="AK387" i="2"/>
  <c r="AK390" i="2"/>
  <c r="AK393" i="2"/>
  <c r="AK408" i="2"/>
  <c r="AK440" i="2"/>
  <c r="AK441" i="2"/>
  <c r="AK444" i="2"/>
  <c r="AK447" i="2"/>
  <c r="AK448" i="2"/>
  <c r="AK451" i="2"/>
  <c r="AK452" i="2"/>
  <c r="AK455" i="2"/>
  <c r="AK456" i="2"/>
  <c r="AK459" i="2"/>
  <c r="AK460" i="2"/>
  <c r="AK463" i="2"/>
  <c r="AK464" i="2"/>
  <c r="AK467" i="2"/>
  <c r="AK468" i="2"/>
  <c r="AK471" i="2"/>
  <c r="AK472" i="2"/>
  <c r="AK475" i="2"/>
  <c r="AK498" i="2"/>
  <c r="AK501" i="2"/>
  <c r="AK505" i="2"/>
  <c r="AK528" i="2"/>
  <c r="AK529" i="2"/>
  <c r="AK532" i="2"/>
  <c r="AK541" i="2"/>
  <c r="AK542" i="2"/>
  <c r="AK551" i="2"/>
  <c r="AK559" i="2"/>
  <c r="AK560" i="2"/>
  <c r="AK563" i="2"/>
  <c r="AK564" i="2"/>
  <c r="AK567" i="2"/>
  <c r="AK568" i="2"/>
  <c r="AK572" i="2"/>
  <c r="AK576" i="2"/>
  <c r="AK597" i="2"/>
  <c r="AK598" i="2"/>
  <c r="AK601" i="2"/>
  <c r="AK604" i="2"/>
  <c r="AK607" i="2"/>
  <c r="AK627" i="2"/>
  <c r="AL627" i="2" s="1"/>
  <c r="AK635" i="2"/>
  <c r="AL635" i="2" s="1"/>
  <c r="AK638" i="2"/>
  <c r="AK641" i="2"/>
  <c r="AL641" i="2" s="1"/>
  <c r="AK645" i="2"/>
  <c r="AK649" i="2"/>
  <c r="AL649" i="2" s="1"/>
  <c r="AK652" i="2"/>
  <c r="AK656" i="2"/>
  <c r="AL656" i="2" s="1"/>
  <c r="AK662" i="2"/>
  <c r="AL662" i="2" s="1"/>
  <c r="AK681" i="2"/>
  <c r="AL681" i="2" s="1"/>
  <c r="AK685" i="2"/>
  <c r="AL685" i="2" s="1"/>
  <c r="AK695" i="2"/>
  <c r="AK696" i="2"/>
  <c r="AL696" i="2" s="1"/>
  <c r="AK703" i="2"/>
  <c r="AL703" i="2" s="1"/>
  <c r="AK726" i="2"/>
  <c r="AL726" i="2" s="1"/>
  <c r="AK734" i="2"/>
  <c r="AK744" i="2"/>
  <c r="AL744" i="2" s="1"/>
  <c r="AK748" i="2"/>
  <c r="AL748" i="2" s="1"/>
  <c r="AK766" i="2"/>
  <c r="AK767" i="2"/>
  <c r="AL767" i="2" s="1"/>
  <c r="AK776" i="2"/>
  <c r="AL776" i="2" s="1"/>
  <c r="AK784" i="2"/>
  <c r="AL784" i="2" s="1"/>
  <c r="AK792" i="2"/>
  <c r="AL792" i="2" s="1"/>
  <c r="AK802" i="2"/>
  <c r="AL802" i="2" s="1"/>
  <c r="AK829" i="2"/>
  <c r="AL829" i="2" s="1"/>
  <c r="AK841" i="2"/>
  <c r="AL841" i="2" s="1"/>
  <c r="AK861" i="2"/>
  <c r="AL861" i="2" s="1"/>
  <c r="AK862" i="2"/>
  <c r="AL862" i="2" s="1"/>
  <c r="AI875" i="2"/>
  <c r="AI877" i="2"/>
  <c r="AI896" i="2"/>
  <c r="AK896" i="2" s="1"/>
  <c r="AL896" i="2" s="1"/>
  <c r="AI898" i="2"/>
  <c r="AI901" i="2"/>
  <c r="AI903" i="2"/>
  <c r="AI948" i="2"/>
  <c r="AK961" i="2"/>
  <c r="AL961" i="2" s="1"/>
  <c r="AI963" i="2"/>
  <c r="AJ1018" i="2"/>
  <c r="AI1018" i="2"/>
  <c r="AK1040" i="2"/>
  <c r="AL1040" i="2" s="1"/>
  <c r="AK1083" i="2"/>
  <c r="AL1083" i="2" s="1"/>
  <c r="AK1085" i="2"/>
  <c r="AL1085" i="2" s="1"/>
  <c r="AK1094" i="2"/>
  <c r="AL1094" i="2" s="1"/>
  <c r="AJ1128" i="2"/>
  <c r="AI1128" i="2"/>
  <c r="AJ1248" i="2"/>
  <c r="AI1248" i="2"/>
  <c r="AJ1339" i="2"/>
  <c r="AI1339" i="2"/>
  <c r="AK1350" i="2"/>
  <c r="AL1350" i="2" s="1"/>
  <c r="AJ1366" i="2"/>
  <c r="AK1366" i="2" s="1"/>
  <c r="AL1366" i="2" s="1"/>
  <c r="AJ1413" i="2"/>
  <c r="AK1500" i="2"/>
  <c r="AL1500" i="2" s="1"/>
  <c r="AK1552" i="2"/>
  <c r="AL1552" i="2" s="1"/>
  <c r="AK1556" i="2"/>
  <c r="AL1556" i="2" s="1"/>
  <c r="AK1569" i="2"/>
  <c r="AL1569" i="2" s="1"/>
  <c r="AK1573" i="2"/>
  <c r="AL1573" i="2" s="1"/>
  <c r="AK1577" i="2"/>
  <c r="AL1577" i="2" s="1"/>
  <c r="AK1601" i="2"/>
  <c r="AL1601" i="2" s="1"/>
  <c r="AK1609" i="2"/>
  <c r="AL1609" i="2" s="1"/>
  <c r="AK1613" i="2"/>
  <c r="AL1613" i="2" s="1"/>
  <c r="AK1637" i="2"/>
  <c r="AL1637" i="2" s="1"/>
  <c r="AK1653" i="2"/>
  <c r="AL1653" i="2" s="1"/>
  <c r="AK1660" i="2"/>
  <c r="AL1660" i="2" s="1"/>
  <c r="AK1723" i="2"/>
  <c r="AL1723" i="2" s="1"/>
  <c r="AK1730" i="2"/>
  <c r="AL1730" i="2" s="1"/>
  <c r="AK1734" i="2"/>
  <c r="AL1734" i="2" s="1"/>
  <c r="AK1759" i="2"/>
  <c r="AL1759" i="2" s="1"/>
  <c r="AK1775" i="2"/>
  <c r="AL1775" i="2" s="1"/>
  <c r="AK1807" i="2"/>
  <c r="AL1807" i="2" s="1"/>
  <c r="AK1814" i="2"/>
  <c r="AL1814" i="2" s="1"/>
  <c r="AK1818" i="2"/>
  <c r="AL1818" i="2" s="1"/>
  <c r="AK1845" i="2"/>
  <c r="AL1845" i="2" s="1"/>
  <c r="AK1849" i="2"/>
  <c r="AL1849" i="2" s="1"/>
  <c r="AK1867" i="2"/>
  <c r="AL1867" i="2" s="1"/>
  <c r="AK1876" i="2"/>
  <c r="AL1876" i="2" s="1"/>
  <c r="AK1897" i="2"/>
  <c r="AL1897" i="2" s="1"/>
  <c r="AK1904" i="2"/>
  <c r="AL1904" i="2" s="1"/>
  <c r="AK1908" i="2"/>
  <c r="AL1908" i="2" s="1"/>
  <c r="AK1912" i="2"/>
  <c r="AL1912" i="2" s="1"/>
  <c r="AK1926" i="2"/>
  <c r="AL1926" i="2" s="1"/>
  <c r="AK1930" i="2"/>
  <c r="AL1930" i="2" s="1"/>
  <c r="AK1968" i="2"/>
  <c r="AL1968" i="2" s="1"/>
  <c r="AK1981" i="2"/>
  <c r="AL1981" i="2" s="1"/>
  <c r="AK2037" i="2"/>
  <c r="AL2037" i="2" s="1"/>
  <c r="AK2048" i="2"/>
  <c r="AL2048" i="2" s="1"/>
  <c r="AK2067" i="2"/>
  <c r="AL2067" i="2" s="1"/>
  <c r="AK2111" i="2"/>
  <c r="AL2111" i="2" s="1"/>
  <c r="AK2116" i="2"/>
  <c r="AL2116" i="2" s="1"/>
  <c r="AK2120" i="2"/>
  <c r="AL2120" i="2" s="1"/>
  <c r="AK2124" i="2"/>
  <c r="AL2124" i="2" s="1"/>
  <c r="AK2135" i="2"/>
  <c r="AL2135" i="2" s="1"/>
  <c r="AK2140" i="2"/>
  <c r="AL2140" i="2" s="1"/>
  <c r="AK2144" i="2"/>
  <c r="AL2144" i="2" s="1"/>
  <c r="AK2148" i="2"/>
  <c r="AL2148" i="2" s="1"/>
  <c r="AK2160" i="2"/>
  <c r="AL2160" i="2" s="1"/>
  <c r="AK2187" i="2"/>
  <c r="AL2187" i="2" s="1"/>
  <c r="AK2191" i="2"/>
  <c r="AL2191" i="2" s="1"/>
  <c r="AK2200" i="2"/>
  <c r="AL2200" i="2" s="1"/>
  <c r="AK2262" i="2"/>
  <c r="AL2262" i="2" s="1"/>
  <c r="O157" i="7"/>
  <c r="N157" i="7"/>
  <c r="L157" i="7"/>
  <c r="M203" i="7"/>
  <c r="N203" i="7"/>
  <c r="AK1044" i="2"/>
  <c r="AL1044" i="2" s="1"/>
  <c r="AK1053" i="2"/>
  <c r="AL1053" i="2" s="1"/>
  <c r="AK1055" i="2"/>
  <c r="AL1055" i="2" s="1"/>
  <c r="AI1057" i="2"/>
  <c r="AK1063" i="2"/>
  <c r="AL1063" i="2" s="1"/>
  <c r="AK1075" i="2"/>
  <c r="AL1075" i="2" s="1"/>
  <c r="AK1080" i="2"/>
  <c r="AL1080" i="2" s="1"/>
  <c r="AK1104" i="2"/>
  <c r="AL1104" i="2" s="1"/>
  <c r="AK1106" i="2"/>
  <c r="AL1106" i="2" s="1"/>
  <c r="AI1117" i="2"/>
  <c r="AK1133" i="2"/>
  <c r="AL1133" i="2" s="1"/>
  <c r="AK1188" i="2"/>
  <c r="AL1188" i="2" s="1"/>
  <c r="AI1219" i="2"/>
  <c r="AJ1277" i="2"/>
  <c r="AK1277" i="2" s="1"/>
  <c r="AL1277" i="2" s="1"/>
  <c r="AJ1309" i="2"/>
  <c r="AJ1336" i="2"/>
  <c r="AK1336" i="2" s="1"/>
  <c r="AL1336" i="2" s="1"/>
  <c r="AJ1340" i="2"/>
  <c r="AJ1344" i="2"/>
  <c r="AJ1349" i="2"/>
  <c r="AJ1360" i="2"/>
  <c r="AK1360" i="2" s="1"/>
  <c r="AL1360" i="2" s="1"/>
  <c r="AJ1364" i="2"/>
  <c r="AK1364" i="2" s="1"/>
  <c r="AL1364" i="2" s="1"/>
  <c r="AJ1372" i="2"/>
  <c r="AK1372" i="2" s="1"/>
  <c r="AL1372" i="2" s="1"/>
  <c r="AI1378" i="2"/>
  <c r="AJ1381" i="2"/>
  <c r="AI1386" i="2"/>
  <c r="AJ1393" i="2"/>
  <c r="AJ1401" i="2"/>
  <c r="AK1401" i="2" s="1"/>
  <c r="AL1401" i="2" s="1"/>
  <c r="AI1404" i="2"/>
  <c r="AJ1406" i="2"/>
  <c r="AI1412" i="2"/>
  <c r="AI1416" i="2"/>
  <c r="AJ1424" i="2"/>
  <c r="AK1424" i="2" s="1"/>
  <c r="AL1424" i="2" s="1"/>
  <c r="AI1439" i="2"/>
  <c r="AJ1439" i="2"/>
  <c r="AK1483" i="2"/>
  <c r="AL1483" i="2" s="1"/>
  <c r="AK1505" i="2"/>
  <c r="AL1505" i="2" s="1"/>
  <c r="AK1511" i="2"/>
  <c r="AL1511" i="2" s="1"/>
  <c r="AK1519" i="2"/>
  <c r="AL1519" i="2" s="1"/>
  <c r="AK1527" i="2"/>
  <c r="AL1527" i="2" s="1"/>
  <c r="AK1543" i="2"/>
  <c r="AL1543" i="2" s="1"/>
  <c r="AK1549" i="2"/>
  <c r="AL1549" i="2" s="1"/>
  <c r="AK1553" i="2"/>
  <c r="AL1553" i="2" s="1"/>
  <c r="AK1584" i="2"/>
  <c r="AL1584" i="2" s="1"/>
  <c r="AK1588" i="2"/>
  <c r="AL1588" i="2" s="1"/>
  <c r="AK1669" i="2"/>
  <c r="AL1669" i="2" s="1"/>
  <c r="AK1701" i="2"/>
  <c r="AL1701" i="2" s="1"/>
  <c r="AK1735" i="2"/>
  <c r="AL1735" i="2" s="1"/>
  <c r="AK1745" i="2"/>
  <c r="AL1745" i="2" s="1"/>
  <c r="AK1823" i="2"/>
  <c r="AL1823" i="2" s="1"/>
  <c r="AK1884" i="2"/>
  <c r="AL1884" i="2" s="1"/>
  <c r="AK1913" i="2"/>
  <c r="AL1913" i="2" s="1"/>
  <c r="AK1920" i="2"/>
  <c r="AL1920" i="2" s="1"/>
  <c r="AK1937" i="2"/>
  <c r="AL1937" i="2" s="1"/>
  <c r="AK1956" i="2"/>
  <c r="AL1956" i="2" s="1"/>
  <c r="AK1969" i="2"/>
  <c r="AL1969" i="2" s="1"/>
  <c r="AK1973" i="2"/>
  <c r="AL1973" i="2" s="1"/>
  <c r="AK1976" i="2"/>
  <c r="AL1976" i="2" s="1"/>
  <c r="AK1982" i="2"/>
  <c r="AL1982" i="2" s="1"/>
  <c r="AK1986" i="2"/>
  <c r="AL1986" i="2" s="1"/>
  <c r="AK1993" i="2"/>
  <c r="AL1993" i="2" s="1"/>
  <c r="AK2012" i="2"/>
  <c r="AL2012" i="2" s="1"/>
  <c r="AK2032" i="2"/>
  <c r="AL2032" i="2" s="1"/>
  <c r="AK2038" i="2"/>
  <c r="AL2038" i="2" s="1"/>
  <c r="AK2042" i="2"/>
  <c r="AL2042" i="2" s="1"/>
  <c r="AK2049" i="2"/>
  <c r="AL2049" i="2" s="1"/>
  <c r="AK2061" i="2"/>
  <c r="AL2061" i="2" s="1"/>
  <c r="AK2066" i="2"/>
  <c r="AL2066" i="2" s="1"/>
  <c r="AK2070" i="2"/>
  <c r="AL2070" i="2" s="1"/>
  <c r="AK2074" i="2"/>
  <c r="AL2074" i="2" s="1"/>
  <c r="AK2083" i="2"/>
  <c r="AL2083" i="2" s="1"/>
  <c r="AK2127" i="2"/>
  <c r="AL2127" i="2" s="1"/>
  <c r="AK2154" i="2"/>
  <c r="AL2154" i="2" s="1"/>
  <c r="AK2159" i="2"/>
  <c r="AL2159" i="2" s="1"/>
  <c r="AK2163" i="2"/>
  <c r="AL2163" i="2" s="1"/>
  <c r="AK2167" i="2"/>
  <c r="AL2167" i="2" s="1"/>
  <c r="AK2176" i="2"/>
  <c r="AL2176" i="2" s="1"/>
  <c r="AK2194" i="2"/>
  <c r="AL2194" i="2" s="1"/>
  <c r="AK2199" i="2"/>
  <c r="AL2199" i="2" s="1"/>
  <c r="AK2203" i="2"/>
  <c r="AL2203" i="2" s="1"/>
  <c r="AK2207" i="2"/>
  <c r="AL2207" i="2" s="1"/>
  <c r="AK2216" i="2"/>
  <c r="AL2216" i="2" s="1"/>
  <c r="AK2232" i="2"/>
  <c r="AL2232" i="2" s="1"/>
  <c r="P175" i="7"/>
  <c r="H175" i="7"/>
  <c r="P191" i="7"/>
  <c r="H191" i="7"/>
  <c r="I191" i="7" s="1"/>
  <c r="J191" i="7" s="1"/>
  <c r="AK1002" i="2"/>
  <c r="AL1002" i="2" s="1"/>
  <c r="AK1005" i="2"/>
  <c r="AL1005" i="2" s="1"/>
  <c r="AK1013" i="2"/>
  <c r="AL1013" i="2" s="1"/>
  <c r="AK1021" i="2"/>
  <c r="AL1021" i="2" s="1"/>
  <c r="AK1031" i="2"/>
  <c r="AL1031" i="2" s="1"/>
  <c r="AK1045" i="2"/>
  <c r="AL1045" i="2" s="1"/>
  <c r="AK1058" i="2"/>
  <c r="AL1058" i="2" s="1"/>
  <c r="AI1067" i="2"/>
  <c r="AI1078" i="2"/>
  <c r="AK1081" i="2"/>
  <c r="AL1081" i="2" s="1"/>
  <c r="AK1087" i="2"/>
  <c r="AL1087" i="2" s="1"/>
  <c r="AK1091" i="2"/>
  <c r="AL1091" i="2" s="1"/>
  <c r="AK1100" i="2"/>
  <c r="AL1100" i="2" s="1"/>
  <c r="AK1126" i="2"/>
  <c r="AL1126" i="2" s="1"/>
  <c r="AK1139" i="2"/>
  <c r="AL1139" i="2" s="1"/>
  <c r="AK1142" i="2"/>
  <c r="AL1142" i="2" s="1"/>
  <c r="AK1149" i="2"/>
  <c r="AL1149" i="2" s="1"/>
  <c r="AK1179" i="2"/>
  <c r="AL1179" i="2" s="1"/>
  <c r="AK1203" i="2"/>
  <c r="AL1203" i="2" s="1"/>
  <c r="AK1209" i="2"/>
  <c r="AL1209" i="2" s="1"/>
  <c r="AI1215" i="2"/>
  <c r="AK1218" i="2"/>
  <c r="AL1218" i="2" s="1"/>
  <c r="AJ1219" i="2"/>
  <c r="AK1274" i="2"/>
  <c r="AL1274" i="2" s="1"/>
  <c r="AJ1275" i="2"/>
  <c r="AK1275" i="2" s="1"/>
  <c r="AL1275" i="2" s="1"/>
  <c r="AK1280" i="2"/>
  <c r="AL1280" i="2" s="1"/>
  <c r="AI1300" i="2"/>
  <c r="AK1315" i="2"/>
  <c r="AL1315" i="2" s="1"/>
  <c r="AK1321" i="2"/>
  <c r="AL1321" i="2" s="1"/>
  <c r="AJ1325" i="2"/>
  <c r="AK1325" i="2" s="1"/>
  <c r="AL1325" i="2" s="1"/>
  <c r="AK1345" i="2"/>
  <c r="AL1345" i="2" s="1"/>
  <c r="AJ1348" i="2"/>
  <c r="AK1348" i="2" s="1"/>
  <c r="AL1348" i="2" s="1"/>
  <c r="AJ1352" i="2"/>
  <c r="AJ1356" i="2"/>
  <c r="AK1356" i="2" s="1"/>
  <c r="AL1356" i="2" s="1"/>
  <c r="AI1367" i="2"/>
  <c r="AJ1369" i="2"/>
  <c r="AK1369" i="2" s="1"/>
  <c r="AL1369" i="2" s="1"/>
  <c r="AJ1377" i="2"/>
  <c r="AJ1382" i="2"/>
  <c r="AK1382" i="2" s="1"/>
  <c r="AL1382" i="2" s="1"/>
  <c r="AJ1389" i="2"/>
  <c r="AI1390" i="2"/>
  <c r="AK1421" i="2"/>
  <c r="AL1421" i="2" s="1"/>
  <c r="AK1429" i="2"/>
  <c r="AL1429" i="2" s="1"/>
  <c r="AJ1430" i="2"/>
  <c r="AK1430" i="2" s="1"/>
  <c r="AL1430" i="2" s="1"/>
  <c r="AJ1431" i="2"/>
  <c r="AK1431" i="2" s="1"/>
  <c r="AL1431" i="2" s="1"/>
  <c r="AI1434" i="2"/>
  <c r="AJ1436" i="2"/>
  <c r="AJ1446" i="2"/>
  <c r="AK1446" i="2" s="1"/>
  <c r="AL1446" i="2" s="1"/>
  <c r="AK1447" i="2"/>
  <c r="AL1447" i="2" s="1"/>
  <c r="AJ1454" i="2"/>
  <c r="AK1454" i="2" s="1"/>
  <c r="AL1454" i="2" s="1"/>
  <c r="AK1455" i="2"/>
  <c r="AL1455" i="2" s="1"/>
  <c r="AJ1465" i="2"/>
  <c r="AK1465" i="2" s="1"/>
  <c r="AL1465" i="2" s="1"/>
  <c r="AI1486" i="2"/>
  <c r="AK1494" i="2"/>
  <c r="AL1494" i="2" s="1"/>
  <c r="AK1512" i="2"/>
  <c r="AL1512" i="2" s="1"/>
  <c r="AK1520" i="2"/>
  <c r="AL1520" i="2" s="1"/>
  <c r="AK1528" i="2"/>
  <c r="AL1528" i="2" s="1"/>
  <c r="AK1536" i="2"/>
  <c r="AL1536" i="2" s="1"/>
  <c r="AK1540" i="2"/>
  <c r="AL1540" i="2" s="1"/>
  <c r="AK1567" i="2"/>
  <c r="AL1567" i="2" s="1"/>
  <c r="AK1585" i="2"/>
  <c r="AL1585" i="2" s="1"/>
  <c r="AK1586" i="2"/>
  <c r="AL1586" i="2" s="1"/>
  <c r="AK1593" i="2"/>
  <c r="AL1593" i="2" s="1"/>
  <c r="AK1612" i="2"/>
  <c r="AL1612" i="2" s="1"/>
  <c r="AK1631" i="2"/>
  <c r="AL1631" i="2" s="1"/>
  <c r="AK1635" i="2"/>
  <c r="AL1635" i="2" s="1"/>
  <c r="AK1639" i="2"/>
  <c r="AL1639" i="2" s="1"/>
  <c r="AK1640" i="2"/>
  <c r="AL1640" i="2" s="1"/>
  <c r="AK1647" i="2"/>
  <c r="AL1647" i="2" s="1"/>
  <c r="AK1689" i="2"/>
  <c r="AL1689" i="2" s="1"/>
  <c r="AK1695" i="2"/>
  <c r="AL1695" i="2" s="1"/>
  <c r="AK1696" i="2"/>
  <c r="AL1696" i="2" s="1"/>
  <c r="AK1702" i="2"/>
  <c r="AL1702" i="2" s="1"/>
  <c r="AK1706" i="2"/>
  <c r="AL1706" i="2" s="1"/>
  <c r="AK1739" i="2"/>
  <c r="AL1739" i="2" s="1"/>
  <c r="AK1740" i="2"/>
  <c r="AL1740" i="2" s="1"/>
  <c r="AK1746" i="2"/>
  <c r="AL1746" i="2" s="1"/>
  <c r="AK1754" i="2"/>
  <c r="AL1754" i="2" s="1"/>
  <c r="AK1769" i="2"/>
  <c r="AL1769" i="2" s="1"/>
  <c r="AK1801" i="2"/>
  <c r="AL1801" i="2" s="1"/>
  <c r="AK1820" i="2"/>
  <c r="AL1820" i="2" s="1"/>
  <c r="AK1824" i="2"/>
  <c r="AL1824" i="2" s="1"/>
  <c r="AK1828" i="2"/>
  <c r="AL1828" i="2" s="1"/>
  <c r="AK1839" i="2"/>
  <c r="AL1839" i="2" s="1"/>
  <c r="AK1848" i="2"/>
  <c r="AL1848" i="2" s="1"/>
  <c r="AK1861" i="2"/>
  <c r="AL1861" i="2" s="1"/>
  <c r="AI1868" i="2"/>
  <c r="AK1885" i="2"/>
  <c r="AL1885" i="2" s="1"/>
  <c r="AK1886" i="2"/>
  <c r="AL1886" i="2" s="1"/>
  <c r="AK1889" i="2"/>
  <c r="AL1889" i="2" s="1"/>
  <c r="AK1918" i="2"/>
  <c r="AL1918" i="2" s="1"/>
  <c r="AK1934" i="2"/>
  <c r="AL1934" i="2" s="1"/>
  <c r="AK1938" i="2"/>
  <c r="AL1938" i="2" s="1"/>
  <c r="AK1944" i="2"/>
  <c r="AL1944" i="2" s="1"/>
  <c r="AK1957" i="2"/>
  <c r="AL1957" i="2" s="1"/>
  <c r="AK1958" i="2"/>
  <c r="AL1958" i="2" s="1"/>
  <c r="AK1980" i="2"/>
  <c r="AL1980" i="2" s="1"/>
  <c r="AK1987" i="2"/>
  <c r="AL1987" i="2" s="1"/>
  <c r="AK1988" i="2"/>
  <c r="AL1988" i="2" s="1"/>
  <c r="AK1994" i="2"/>
  <c r="AL1994" i="2" s="1"/>
  <c r="AK1998" i="2"/>
  <c r="AL1998" i="2" s="1"/>
  <c r="AK2013" i="2"/>
  <c r="AL2013" i="2" s="1"/>
  <c r="AK2014" i="2"/>
  <c r="AL2014" i="2" s="1"/>
  <c r="AK2026" i="2"/>
  <c r="AL2026" i="2" s="1"/>
  <c r="AK2030" i="2"/>
  <c r="AL2030" i="2" s="1"/>
  <c r="AK2034" i="2"/>
  <c r="AL2034" i="2" s="1"/>
  <c r="AK2043" i="2"/>
  <c r="AL2043" i="2" s="1"/>
  <c r="AK2044" i="2"/>
  <c r="AL2044" i="2" s="1"/>
  <c r="AI2046" i="2"/>
  <c r="AK2046" i="2" s="1"/>
  <c r="AL2046" i="2" s="1"/>
  <c r="AK2064" i="2"/>
  <c r="AL2064" i="2" s="1"/>
  <c r="AK2068" i="2"/>
  <c r="AL2068" i="2" s="1"/>
  <c r="AK2076" i="2"/>
  <c r="AL2076" i="2" s="1"/>
  <c r="AK2077" i="2"/>
  <c r="AL2077" i="2" s="1"/>
  <c r="AK2082" i="2"/>
  <c r="AL2082" i="2" s="1"/>
  <c r="AK2086" i="2"/>
  <c r="AL2086" i="2" s="1"/>
  <c r="AK2090" i="2"/>
  <c r="AL2090" i="2" s="1"/>
  <c r="AK2101" i="2"/>
  <c r="AL2101" i="2" s="1"/>
  <c r="AK2157" i="2"/>
  <c r="AL2157" i="2" s="1"/>
  <c r="AK2161" i="2"/>
  <c r="AL2161" i="2" s="1"/>
  <c r="AK2169" i="2"/>
  <c r="AL2169" i="2" s="1"/>
  <c r="AK2170" i="2"/>
  <c r="AL2170" i="2" s="1"/>
  <c r="AK2175" i="2"/>
  <c r="AL2175" i="2" s="1"/>
  <c r="AK2179" i="2"/>
  <c r="AL2179" i="2" s="1"/>
  <c r="AK2197" i="2"/>
  <c r="AL2197" i="2" s="1"/>
  <c r="AK2201" i="2"/>
  <c r="AL2201" i="2" s="1"/>
  <c r="AK2209" i="2"/>
  <c r="AL2209" i="2" s="1"/>
  <c r="AK2210" i="2"/>
  <c r="AL2210" i="2" s="1"/>
  <c r="AK2215" i="2"/>
  <c r="AL2215" i="2" s="1"/>
  <c r="AK2219" i="2"/>
  <c r="AL2219" i="2" s="1"/>
  <c r="AK2223" i="2"/>
  <c r="AL2223" i="2" s="1"/>
  <c r="AK2227" i="2"/>
  <c r="AL2227" i="2" s="1"/>
  <c r="O200" i="7"/>
  <c r="P200" i="7"/>
  <c r="H200" i="7"/>
  <c r="I200" i="7" s="1"/>
  <c r="J200" i="7" s="1"/>
  <c r="O132" i="7"/>
  <c r="L132" i="7"/>
  <c r="H132" i="7"/>
  <c r="P132" i="7"/>
  <c r="O167" i="7"/>
  <c r="L167" i="7"/>
  <c r="P183" i="7"/>
  <c r="H183" i="7"/>
  <c r="N352" i="7"/>
  <c r="N360" i="7"/>
  <c r="N368" i="7"/>
  <c r="N376" i="7"/>
  <c r="N401" i="7"/>
  <c r="N409" i="7"/>
  <c r="M444" i="7"/>
  <c r="P446" i="7"/>
  <c r="P449" i="7"/>
  <c r="P503" i="7"/>
  <c r="M596" i="7"/>
  <c r="N669" i="7"/>
  <c r="N677" i="7"/>
  <c r="N685" i="7"/>
  <c r="N693" i="7"/>
  <c r="N701" i="7"/>
  <c r="P789" i="7"/>
  <c r="P797" i="7"/>
  <c r="N820" i="7"/>
  <c r="N907" i="7"/>
  <c r="N938" i="7"/>
  <c r="M943" i="7"/>
  <c r="N974" i="7"/>
  <c r="P1043" i="7"/>
  <c r="P1051" i="7"/>
  <c r="P1059" i="7"/>
  <c r="M1075" i="7"/>
  <c r="I1075" i="7"/>
  <c r="M1081" i="7"/>
  <c r="I1081" i="7"/>
  <c r="O1084" i="7"/>
  <c r="I1084" i="7"/>
  <c r="P1084" i="7"/>
  <c r="H1084" i="7"/>
  <c r="O1086" i="7"/>
  <c r="M1086" i="7"/>
  <c r="I1086" i="7"/>
  <c r="O1122" i="7"/>
  <c r="M1122" i="7"/>
  <c r="H1122" i="7"/>
  <c r="P1131" i="7"/>
  <c r="N1131" i="7"/>
  <c r="I1131" i="7"/>
  <c r="P1140" i="7"/>
  <c r="L1140" i="7"/>
  <c r="P1145" i="7"/>
  <c r="N1145" i="7"/>
  <c r="I1145" i="7"/>
  <c r="P1147" i="7"/>
  <c r="I1147" i="7"/>
  <c r="H1147" i="7"/>
  <c r="H103" i="7"/>
  <c r="I103" i="7" s="1"/>
  <c r="J103" i="7" s="1"/>
  <c r="L106" i="7"/>
  <c r="P109" i="7"/>
  <c r="P110" i="7"/>
  <c r="H111" i="7"/>
  <c r="I111" i="7" s="1"/>
  <c r="J111" i="7" s="1"/>
  <c r="N130" i="7"/>
  <c r="H136" i="7"/>
  <c r="I136" i="7" s="1"/>
  <c r="J136" i="7" s="1"/>
  <c r="H142" i="7"/>
  <c r="H146" i="7"/>
  <c r="I146" i="7" s="1"/>
  <c r="J146" i="7" s="1"/>
  <c r="P153" i="7"/>
  <c r="L159" i="7"/>
  <c r="L161" i="7"/>
  <c r="H165" i="7"/>
  <c r="I165" i="7" s="1"/>
  <c r="J165" i="7" s="1"/>
  <c r="M173" i="7"/>
  <c r="M181" i="7"/>
  <c r="M189" i="7"/>
  <c r="M195" i="7"/>
  <c r="H204" i="7"/>
  <c r="I204" i="7" s="1"/>
  <c r="J204" i="7" s="1"/>
  <c r="N207" i="7"/>
  <c r="P208" i="7"/>
  <c r="H220" i="7"/>
  <c r="H229" i="7"/>
  <c r="N232" i="7"/>
  <c r="P233" i="7"/>
  <c r="H254" i="7"/>
  <c r="I254" i="7" s="1"/>
  <c r="J254" i="7" s="1"/>
  <c r="N257" i="7"/>
  <c r="P258" i="7"/>
  <c r="H270" i="7"/>
  <c r="M282" i="7"/>
  <c r="M286" i="7"/>
  <c r="N288" i="7"/>
  <c r="H291" i="7"/>
  <c r="L293" i="7"/>
  <c r="N295" i="7"/>
  <c r="H299" i="7"/>
  <c r="I299" i="7" s="1"/>
  <c r="J299" i="7" s="1"/>
  <c r="L301" i="7"/>
  <c r="N303" i="7"/>
  <c r="H307" i="7"/>
  <c r="L309" i="7"/>
  <c r="N311" i="7"/>
  <c r="H340" i="7"/>
  <c r="I340" i="7" s="1"/>
  <c r="J340" i="7" s="1"/>
  <c r="N343" i="7"/>
  <c r="H346" i="7"/>
  <c r="J346" i="7" s="1"/>
  <c r="I348" i="7"/>
  <c r="N350" i="7"/>
  <c r="H354" i="7"/>
  <c r="I356" i="7"/>
  <c r="N358" i="7"/>
  <c r="H362" i="7"/>
  <c r="I364" i="7"/>
  <c r="J364" i="7" s="1"/>
  <c r="N366" i="7"/>
  <c r="H370" i="7"/>
  <c r="I372" i="7"/>
  <c r="N374" i="7"/>
  <c r="H378" i="7"/>
  <c r="J378" i="7" s="1"/>
  <c r="I380" i="7"/>
  <c r="J380" i="7" s="1"/>
  <c r="H393" i="7"/>
  <c r="I397" i="7"/>
  <c r="N399" i="7"/>
  <c r="H403" i="7"/>
  <c r="I405" i="7"/>
  <c r="J405" i="7" s="1"/>
  <c r="N407" i="7"/>
  <c r="H411" i="7"/>
  <c r="I413" i="7"/>
  <c r="I415" i="7"/>
  <c r="I417" i="7"/>
  <c r="J417" i="7" s="1"/>
  <c r="I427" i="7"/>
  <c r="J427" i="7" s="1"/>
  <c r="O428" i="7"/>
  <c r="I431" i="7"/>
  <c r="I436" i="7"/>
  <c r="P437" i="7"/>
  <c r="M438" i="7"/>
  <c r="L439" i="7"/>
  <c r="L441" i="7"/>
  <c r="N444" i="7"/>
  <c r="M448" i="7"/>
  <c r="M502" i="7"/>
  <c r="I506" i="7"/>
  <c r="P507" i="7"/>
  <c r="L511" i="7"/>
  <c r="M537" i="7"/>
  <c r="M541" i="7"/>
  <c r="M545" i="7"/>
  <c r="M549" i="7"/>
  <c r="M553" i="7"/>
  <c r="M557" i="7"/>
  <c r="M561" i="7"/>
  <c r="M569" i="7"/>
  <c r="M577" i="7"/>
  <c r="M585" i="7"/>
  <c r="N591" i="7"/>
  <c r="I592" i="7"/>
  <c r="M594" i="7"/>
  <c r="N596" i="7"/>
  <c r="P651" i="7"/>
  <c r="N661" i="7"/>
  <c r="N665" i="7"/>
  <c r="I673" i="7"/>
  <c r="N675" i="7"/>
  <c r="I681" i="7"/>
  <c r="N683" i="7"/>
  <c r="I689" i="7"/>
  <c r="J689" i="7" s="1"/>
  <c r="N691" i="7"/>
  <c r="I697" i="7"/>
  <c r="N699" i="7"/>
  <c r="N792" i="7"/>
  <c r="L793" i="7"/>
  <c r="N800" i="7"/>
  <c r="L801" i="7"/>
  <c r="N832" i="7"/>
  <c r="L833" i="7"/>
  <c r="P887" i="7"/>
  <c r="I888" i="7"/>
  <c r="P891" i="7"/>
  <c r="I892" i="7"/>
  <c r="M915" i="7"/>
  <c r="N934" i="7"/>
  <c r="N943" i="7"/>
  <c r="M947" i="7"/>
  <c r="P966" i="7"/>
  <c r="L967" i="7"/>
  <c r="I970" i="7"/>
  <c r="J970" i="7" s="1"/>
  <c r="P974" i="7"/>
  <c r="L975" i="7"/>
  <c r="P978" i="7"/>
  <c r="L979" i="7"/>
  <c r="N1038" i="7"/>
  <c r="L1039" i="7"/>
  <c r="N1046" i="7"/>
  <c r="L1047" i="7"/>
  <c r="N1054" i="7"/>
  <c r="L1055" i="7"/>
  <c r="N1062" i="7"/>
  <c r="P1063" i="7"/>
  <c r="M1066" i="7"/>
  <c r="O1074" i="7"/>
  <c r="M1074" i="7"/>
  <c r="H1074" i="7"/>
  <c r="O1090" i="7"/>
  <c r="I1090" i="7"/>
  <c r="P1128" i="7"/>
  <c r="H1128" i="7"/>
  <c r="N159" i="7"/>
  <c r="M222" i="7"/>
  <c r="N228" i="7"/>
  <c r="H247" i="7"/>
  <c r="N253" i="7"/>
  <c r="H266" i="7"/>
  <c r="I266" i="7" s="1"/>
  <c r="J266" i="7" s="1"/>
  <c r="N269" i="7"/>
  <c r="H284" i="7"/>
  <c r="I284" i="7" s="1"/>
  <c r="J284" i="7" s="1"/>
  <c r="M319" i="7"/>
  <c r="M323" i="7"/>
  <c r="H336" i="7"/>
  <c r="N339" i="7"/>
  <c r="N348" i="7"/>
  <c r="H352" i="7"/>
  <c r="N356" i="7"/>
  <c r="H360" i="7"/>
  <c r="N364" i="7"/>
  <c r="H368" i="7"/>
  <c r="N372" i="7"/>
  <c r="H376" i="7"/>
  <c r="N380" i="7"/>
  <c r="H391" i="7"/>
  <c r="I392" i="7"/>
  <c r="N397" i="7"/>
  <c r="H401" i="7"/>
  <c r="N405" i="7"/>
  <c r="H409" i="7"/>
  <c r="M413" i="7"/>
  <c r="M417" i="7"/>
  <c r="O427" i="7"/>
  <c r="H430" i="7"/>
  <c r="M436" i="7"/>
  <c r="P438" i="7"/>
  <c r="P441" i="7"/>
  <c r="L443" i="7"/>
  <c r="H444" i="7"/>
  <c r="P444" i="7"/>
  <c r="I446" i="7"/>
  <c r="I449" i="7"/>
  <c r="M462" i="7"/>
  <c r="H495" i="7"/>
  <c r="I503" i="7"/>
  <c r="M506" i="7"/>
  <c r="P511" i="7"/>
  <c r="M522" i="7"/>
  <c r="M530" i="7"/>
  <c r="N537" i="7"/>
  <c r="N541" i="7"/>
  <c r="N545" i="7"/>
  <c r="N549" i="7"/>
  <c r="N553" i="7"/>
  <c r="N557" i="7"/>
  <c r="N561" i="7"/>
  <c r="H573" i="7"/>
  <c r="H581" i="7"/>
  <c r="M592" i="7"/>
  <c r="I595" i="7"/>
  <c r="H596" i="7"/>
  <c r="P596" i="7"/>
  <c r="M604" i="7"/>
  <c r="I612" i="7"/>
  <c r="I620" i="7"/>
  <c r="I628" i="7"/>
  <c r="I636" i="7"/>
  <c r="I644" i="7"/>
  <c r="I655" i="7"/>
  <c r="N656" i="7"/>
  <c r="H669" i="7"/>
  <c r="N673" i="7"/>
  <c r="H677" i="7"/>
  <c r="N681" i="7"/>
  <c r="H685" i="7"/>
  <c r="N689" i="7"/>
  <c r="H693" i="7"/>
  <c r="N697" i="7"/>
  <c r="H701" i="7"/>
  <c r="I713" i="7"/>
  <c r="I715" i="7"/>
  <c r="I717" i="7"/>
  <c r="I719" i="7"/>
  <c r="I721" i="7"/>
  <c r="I734" i="7"/>
  <c r="I736" i="7"/>
  <c r="H761" i="7"/>
  <c r="I789" i="7"/>
  <c r="P793" i="7"/>
  <c r="I797" i="7"/>
  <c r="P801" i="7"/>
  <c r="I809" i="7"/>
  <c r="H812" i="7"/>
  <c r="I813" i="7"/>
  <c r="H816" i="7"/>
  <c r="I817" i="7"/>
  <c r="H820" i="7"/>
  <c r="I877" i="7"/>
  <c r="H884" i="7"/>
  <c r="H907" i="7"/>
  <c r="N915" i="7"/>
  <c r="L920" i="7"/>
  <c r="H921" i="7"/>
  <c r="L924" i="7"/>
  <c r="H925" i="7"/>
  <c r="L928" i="7"/>
  <c r="H929" i="7"/>
  <c r="H938" i="7"/>
  <c r="H943" i="7"/>
  <c r="P943" i="7"/>
  <c r="N970" i="7"/>
  <c r="I971" i="7"/>
  <c r="H974" i="7"/>
  <c r="H988" i="7"/>
  <c r="H1004" i="7"/>
  <c r="H1020" i="7"/>
  <c r="P1039" i="7"/>
  <c r="I1043" i="7"/>
  <c r="P1047" i="7"/>
  <c r="I1051" i="7"/>
  <c r="P1055" i="7"/>
  <c r="I1059" i="7"/>
  <c r="N1066" i="7"/>
  <c r="P1075" i="7"/>
  <c r="L1081" i="7"/>
  <c r="M1083" i="7"/>
  <c r="P1083" i="7"/>
  <c r="L1083" i="7"/>
  <c r="M1084" i="7"/>
  <c r="P1086" i="7"/>
  <c r="O1088" i="7"/>
  <c r="P1088" i="7"/>
  <c r="H1088" i="7"/>
  <c r="J1088" i="7" s="1"/>
  <c r="N1088" i="7"/>
  <c r="M1089" i="7"/>
  <c r="L1089" i="7"/>
  <c r="I1089" i="7"/>
  <c r="P1108" i="7"/>
  <c r="H1108" i="7"/>
  <c r="I1121" i="7"/>
  <c r="O1121" i="7"/>
  <c r="H1121" i="7"/>
  <c r="P1122" i="7"/>
  <c r="P1143" i="7"/>
  <c r="I1143" i="7"/>
  <c r="H1143" i="7"/>
  <c r="O1146" i="7"/>
  <c r="P1146" i="7"/>
  <c r="L1146" i="7"/>
  <c r="N1147" i="7"/>
  <c r="P1149" i="7"/>
  <c r="N1149" i="7"/>
  <c r="I1149" i="7"/>
  <c r="AK2217" i="2"/>
  <c r="AL2217" i="2" s="1"/>
  <c r="AK2225" i="2"/>
  <c r="AL2225" i="2" s="1"/>
  <c r="AK2226" i="2"/>
  <c r="AL2226" i="2" s="1"/>
  <c r="AK2231" i="2"/>
  <c r="AL2231" i="2" s="1"/>
  <c r="AK2235" i="2"/>
  <c r="AL2235" i="2" s="1"/>
  <c r="AK2239" i="2"/>
  <c r="AL2239" i="2" s="1"/>
  <c r="AK2250" i="2"/>
  <c r="AL2250" i="2" s="1"/>
  <c r="N136" i="7"/>
  <c r="P159" i="7"/>
  <c r="N165" i="7"/>
  <c r="M247" i="7"/>
  <c r="P266" i="7"/>
  <c r="M284" i="7"/>
  <c r="N291" i="7"/>
  <c r="N299" i="7"/>
  <c r="N307" i="7"/>
  <c r="P336" i="7"/>
  <c r="N346" i="7"/>
  <c r="I352" i="7"/>
  <c r="N354" i="7"/>
  <c r="I360" i="7"/>
  <c r="N362" i="7"/>
  <c r="I368" i="7"/>
  <c r="N370" i="7"/>
  <c r="I376" i="7"/>
  <c r="N378" i="7"/>
  <c r="N391" i="7"/>
  <c r="I401" i="7"/>
  <c r="N403" i="7"/>
  <c r="I409" i="7"/>
  <c r="N411" i="7"/>
  <c r="N413" i="7"/>
  <c r="P415" i="7"/>
  <c r="N417" i="7"/>
  <c r="N436" i="7"/>
  <c r="M440" i="7"/>
  <c r="P442" i="7"/>
  <c r="P443" i="7"/>
  <c r="I444" i="7"/>
  <c r="P445" i="7"/>
  <c r="M446" i="7"/>
  <c r="L447" i="7"/>
  <c r="H448" i="7"/>
  <c r="P448" i="7"/>
  <c r="L449" i="7"/>
  <c r="H502" i="7"/>
  <c r="P502" i="7"/>
  <c r="L503" i="7"/>
  <c r="N506" i="7"/>
  <c r="I507" i="7"/>
  <c r="M510" i="7"/>
  <c r="H516" i="7"/>
  <c r="H524" i="7"/>
  <c r="H532" i="7"/>
  <c r="M573" i="7"/>
  <c r="M581" i="7"/>
  <c r="M590" i="7"/>
  <c r="N592" i="7"/>
  <c r="I593" i="7"/>
  <c r="H594" i="7"/>
  <c r="P594" i="7"/>
  <c r="N595" i="7"/>
  <c r="I596" i="7"/>
  <c r="H606" i="7"/>
  <c r="I614" i="7"/>
  <c r="I622" i="7"/>
  <c r="I630" i="7"/>
  <c r="I638" i="7"/>
  <c r="I646" i="7"/>
  <c r="I653" i="7"/>
  <c r="N654" i="7"/>
  <c r="P655" i="7"/>
  <c r="N659" i="7"/>
  <c r="I660" i="7"/>
  <c r="H661" i="7"/>
  <c r="N663" i="7"/>
  <c r="I664" i="7"/>
  <c r="H665" i="7"/>
  <c r="I669" i="7"/>
  <c r="N671" i="7"/>
  <c r="H675" i="7"/>
  <c r="I677" i="7"/>
  <c r="N679" i="7"/>
  <c r="H683" i="7"/>
  <c r="J683" i="7" s="1"/>
  <c r="I685" i="7"/>
  <c r="N687" i="7"/>
  <c r="H691" i="7"/>
  <c r="I693" i="7"/>
  <c r="N695" i="7"/>
  <c r="H699" i="7"/>
  <c r="I701" i="7"/>
  <c r="N703" i="7"/>
  <c r="M708" i="7"/>
  <c r="N712" i="7"/>
  <c r="N714" i="7"/>
  <c r="N716" i="7"/>
  <c r="N718" i="7"/>
  <c r="N720" i="7"/>
  <c r="N733" i="7"/>
  <c r="N735" i="7"/>
  <c r="N737" i="7"/>
  <c r="N788" i="7"/>
  <c r="L789" i="7"/>
  <c r="H792" i="7"/>
  <c r="N796" i="7"/>
  <c r="L797" i="7"/>
  <c r="H800" i="7"/>
  <c r="N808" i="7"/>
  <c r="L809" i="7"/>
  <c r="N812" i="7"/>
  <c r="L813" i="7"/>
  <c r="N816" i="7"/>
  <c r="L817" i="7"/>
  <c r="I820" i="7"/>
  <c r="I821" i="7"/>
  <c r="H824" i="7"/>
  <c r="I825" i="7"/>
  <c r="H828" i="7"/>
  <c r="I829" i="7"/>
  <c r="H832" i="7"/>
  <c r="J832" i="7" s="1"/>
  <c r="L877" i="7"/>
  <c r="L883" i="7"/>
  <c r="I884" i="7"/>
  <c r="N899" i="7"/>
  <c r="N901" i="7"/>
  <c r="M907" i="7"/>
  <c r="N911" i="7"/>
  <c r="P920" i="7"/>
  <c r="I921" i="7"/>
  <c r="P924" i="7"/>
  <c r="I925" i="7"/>
  <c r="P928" i="7"/>
  <c r="I929" i="7"/>
  <c r="H934" i="7"/>
  <c r="M938" i="7"/>
  <c r="N942" i="7"/>
  <c r="I943" i="7"/>
  <c r="J943" i="7" s="1"/>
  <c r="H947" i="7"/>
  <c r="P947" i="7"/>
  <c r="P970" i="7"/>
  <c r="L971" i="7"/>
  <c r="I974" i="7"/>
  <c r="H992" i="7"/>
  <c r="H1008" i="7"/>
  <c r="H1024" i="7"/>
  <c r="H1038" i="7"/>
  <c r="N1042" i="7"/>
  <c r="L1043" i="7"/>
  <c r="H1046" i="7"/>
  <c r="N1050" i="7"/>
  <c r="L1051" i="7"/>
  <c r="H1054" i="7"/>
  <c r="N1058" i="7"/>
  <c r="L1059" i="7"/>
  <c r="H1062" i="7"/>
  <c r="M1071" i="7"/>
  <c r="P1071" i="7"/>
  <c r="I1071" i="7"/>
  <c r="O1078" i="7"/>
  <c r="H1078" i="7"/>
  <c r="P1081" i="7"/>
  <c r="N1084" i="7"/>
  <c r="M1087" i="7"/>
  <c r="L1087" i="7"/>
  <c r="M1090" i="7"/>
  <c r="M1363" i="7"/>
  <c r="P1398" i="7"/>
  <c r="P1450" i="7"/>
  <c r="L1467" i="7"/>
  <c r="L1471" i="7"/>
  <c r="M1473" i="7"/>
  <c r="N1485" i="7"/>
  <c r="N1489" i="7"/>
  <c r="N1493" i="7"/>
  <c r="N1497" i="7"/>
  <c r="M1515" i="7"/>
  <c r="I1519" i="7"/>
  <c r="H1607" i="7"/>
  <c r="J1607" i="7" s="1"/>
  <c r="P1611" i="7"/>
  <c r="I1611" i="7"/>
  <c r="J1611" i="7" s="1"/>
  <c r="O1614" i="7"/>
  <c r="P1614" i="7"/>
  <c r="M1621" i="7"/>
  <c r="L1638" i="7"/>
  <c r="I1638" i="7"/>
  <c r="M1080" i="7"/>
  <c r="M1092" i="7"/>
  <c r="H1109" i="7"/>
  <c r="P1114" i="7"/>
  <c r="M1118" i="7"/>
  <c r="H1119" i="7"/>
  <c r="H1133" i="7"/>
  <c r="H1141" i="7"/>
  <c r="H1159" i="7"/>
  <c r="I1174" i="7"/>
  <c r="P1175" i="7"/>
  <c r="I1182" i="7"/>
  <c r="P1183" i="7"/>
  <c r="H1190" i="7"/>
  <c r="L1226" i="7"/>
  <c r="H1227" i="7"/>
  <c r="I1229" i="7"/>
  <c r="L1230" i="7"/>
  <c r="H1231" i="7"/>
  <c r="I1233" i="7"/>
  <c r="H1262" i="7"/>
  <c r="I1263" i="7"/>
  <c r="H1278" i="7"/>
  <c r="I1279" i="7"/>
  <c r="H1315" i="7"/>
  <c r="H1321" i="7"/>
  <c r="H1341" i="7"/>
  <c r="I1342" i="7"/>
  <c r="H1353" i="7"/>
  <c r="M1361" i="7"/>
  <c r="N1363" i="7"/>
  <c r="I1364" i="7"/>
  <c r="H1365" i="7"/>
  <c r="P1365" i="7"/>
  <c r="N1371" i="7"/>
  <c r="N1375" i="7"/>
  <c r="N1379" i="7"/>
  <c r="N1383" i="7"/>
  <c r="N1387" i="7"/>
  <c r="N1391" i="7"/>
  <c r="P1396" i="7"/>
  <c r="H1400" i="7"/>
  <c r="P1407" i="7"/>
  <c r="P1409" i="7"/>
  <c r="P1411" i="7"/>
  <c r="P1413" i="7"/>
  <c r="M1424" i="7"/>
  <c r="H1430" i="7"/>
  <c r="H1438" i="7"/>
  <c r="I1442" i="7"/>
  <c r="P1443" i="7"/>
  <c r="H1450" i="7"/>
  <c r="P1467" i="7"/>
  <c r="P1471" i="7"/>
  <c r="I1502" i="7"/>
  <c r="H1503" i="7"/>
  <c r="M1519" i="7"/>
  <c r="I1527" i="7"/>
  <c r="M1540" i="7"/>
  <c r="L1547" i="7"/>
  <c r="H1548" i="7"/>
  <c r="O1575" i="7"/>
  <c r="I1575" i="7"/>
  <c r="P1575" i="7"/>
  <c r="M1577" i="7"/>
  <c r="O1591" i="7"/>
  <c r="I1591" i="7"/>
  <c r="J1591" i="7" s="1"/>
  <c r="P1591" i="7"/>
  <c r="M1593" i="7"/>
  <c r="O1610" i="7"/>
  <c r="P1610" i="7"/>
  <c r="P1619" i="7"/>
  <c r="I1619" i="7"/>
  <c r="O1622" i="7"/>
  <c r="P1622" i="7"/>
  <c r="O1632" i="7"/>
  <c r="N1632" i="7"/>
  <c r="I1632" i="7"/>
  <c r="J1632" i="7" s="1"/>
  <c r="P1632" i="7"/>
  <c r="O1654" i="7"/>
  <c r="P1654" i="7"/>
  <c r="I1654" i="7"/>
  <c r="O1719" i="7"/>
  <c r="P1719" i="7"/>
  <c r="O1725" i="7"/>
  <c r="L1725" i="7"/>
  <c r="H1725" i="7"/>
  <c r="N1070" i="7"/>
  <c r="N1080" i="7"/>
  <c r="P1085" i="7"/>
  <c r="N1092" i="7"/>
  <c r="P1118" i="7"/>
  <c r="I1119" i="7"/>
  <c r="N1127" i="7"/>
  <c r="N1159" i="7"/>
  <c r="I1172" i="7"/>
  <c r="P1173" i="7"/>
  <c r="N1174" i="7"/>
  <c r="I1180" i="7"/>
  <c r="P1181" i="7"/>
  <c r="N1182" i="7"/>
  <c r="I1188" i="7"/>
  <c r="P1189" i="7"/>
  <c r="I1190" i="7"/>
  <c r="P1191" i="7"/>
  <c r="H1200" i="7"/>
  <c r="H1208" i="7"/>
  <c r="H1216" i="7"/>
  <c r="P1226" i="7"/>
  <c r="I1227" i="7"/>
  <c r="P1228" i="7"/>
  <c r="N1229" i="7"/>
  <c r="P1230" i="7"/>
  <c r="I1231" i="7"/>
  <c r="J1231" i="7" s="1"/>
  <c r="P1232" i="7"/>
  <c r="N1233" i="7"/>
  <c r="H1241" i="7"/>
  <c r="H1258" i="7"/>
  <c r="I1259" i="7"/>
  <c r="N1262" i="7"/>
  <c r="H1274" i="7"/>
  <c r="I1275" i="7"/>
  <c r="N1278" i="7"/>
  <c r="O1317" i="7"/>
  <c r="H1337" i="7"/>
  <c r="I1338" i="7"/>
  <c r="N1341" i="7"/>
  <c r="I1352" i="7"/>
  <c r="I1353" i="7"/>
  <c r="J1353" i="7" s="1"/>
  <c r="H1357" i="7"/>
  <c r="I1358" i="7"/>
  <c r="N1361" i="7"/>
  <c r="I1362" i="7"/>
  <c r="H1363" i="7"/>
  <c r="P1363" i="7"/>
  <c r="N1364" i="7"/>
  <c r="I1365" i="7"/>
  <c r="P1370" i="7"/>
  <c r="P1374" i="7"/>
  <c r="P1378" i="7"/>
  <c r="P1382" i="7"/>
  <c r="P1386" i="7"/>
  <c r="P1390" i="7"/>
  <c r="P1394" i="7"/>
  <c r="H1398" i="7"/>
  <c r="L1400" i="7"/>
  <c r="P1402" i="7"/>
  <c r="P1408" i="7"/>
  <c r="P1410" i="7"/>
  <c r="P1412" i="7"/>
  <c r="I1418" i="7"/>
  <c r="H1426" i="7"/>
  <c r="M1430" i="7"/>
  <c r="L1438" i="7"/>
  <c r="P1441" i="7"/>
  <c r="P1442" i="7"/>
  <c r="I1448" i="7"/>
  <c r="P1449" i="7"/>
  <c r="I1450" i="7"/>
  <c r="J1450" i="7" s="1"/>
  <c r="H1457" i="7"/>
  <c r="M1466" i="7"/>
  <c r="M1470" i="7"/>
  <c r="H1473" i="7"/>
  <c r="P1473" i="7"/>
  <c r="H1480" i="7"/>
  <c r="H1485" i="7"/>
  <c r="H1489" i="7"/>
  <c r="H1493" i="7"/>
  <c r="J1493" i="7" s="1"/>
  <c r="H1497" i="7"/>
  <c r="J1497" i="7" s="1"/>
  <c r="P1501" i="7"/>
  <c r="N1502" i="7"/>
  <c r="L1503" i="7"/>
  <c r="I1506" i="7"/>
  <c r="H1507" i="7"/>
  <c r="H1515" i="7"/>
  <c r="P1515" i="7"/>
  <c r="N1519" i="7"/>
  <c r="M1523" i="7"/>
  <c r="N1527" i="7"/>
  <c r="M1537" i="7"/>
  <c r="N1544" i="7"/>
  <c r="P1547" i="7"/>
  <c r="P1552" i="7"/>
  <c r="H1552" i="7"/>
  <c r="N1556" i="7"/>
  <c r="P1564" i="7"/>
  <c r="I1564" i="7"/>
  <c r="O1583" i="7"/>
  <c r="P1583" i="7"/>
  <c r="I1583" i="7"/>
  <c r="J1583" i="7" s="1"/>
  <c r="O1599" i="7"/>
  <c r="P1599" i="7"/>
  <c r="I1599" i="7"/>
  <c r="J1599" i="7" s="1"/>
  <c r="O1618" i="7"/>
  <c r="P1618" i="7"/>
  <c r="O1729" i="7"/>
  <c r="L1729" i="7"/>
  <c r="H1729" i="7"/>
  <c r="N1119" i="7"/>
  <c r="N1172" i="7"/>
  <c r="N1180" i="7"/>
  <c r="N1188" i="7"/>
  <c r="N1190" i="7"/>
  <c r="N1200" i="7"/>
  <c r="N1208" i="7"/>
  <c r="N1216" i="7"/>
  <c r="N1227" i="7"/>
  <c r="N1231" i="7"/>
  <c r="N1258" i="7"/>
  <c r="N1274" i="7"/>
  <c r="N1337" i="7"/>
  <c r="N1353" i="7"/>
  <c r="N1357" i="7"/>
  <c r="N1362" i="7"/>
  <c r="I1363" i="7"/>
  <c r="M1365" i="7"/>
  <c r="L1398" i="7"/>
  <c r="P1400" i="7"/>
  <c r="P1418" i="7"/>
  <c r="M1426" i="7"/>
  <c r="P1448" i="7"/>
  <c r="N1450" i="7"/>
  <c r="P1527" i="7"/>
  <c r="P1548" i="7"/>
  <c r="I1548" i="7"/>
  <c r="O1551" i="7"/>
  <c r="L1551" i="7"/>
  <c r="O1563" i="7"/>
  <c r="P1563" i="7"/>
  <c r="O1606" i="7"/>
  <c r="P1606" i="7"/>
  <c r="P1615" i="7"/>
  <c r="I1615" i="7"/>
  <c r="J1615" i="7" s="1"/>
  <c r="O1648" i="7"/>
  <c r="I1648" i="7"/>
  <c r="P1648" i="7"/>
  <c r="H1648" i="7"/>
  <c r="J1648" i="7" s="1"/>
  <c r="N1648" i="7"/>
  <c r="O1718" i="7"/>
  <c r="P1718" i="7"/>
  <c r="I1718" i="7"/>
  <c r="O1733" i="7"/>
  <c r="L1733" i="7"/>
  <c r="M1746" i="7"/>
  <c r="M1777" i="7"/>
  <c r="O1781" i="7"/>
  <c r="M1781" i="7"/>
  <c r="N1781" i="7"/>
  <c r="N1568" i="7"/>
  <c r="N1579" i="7"/>
  <c r="N1595" i="7"/>
  <c r="M1628" i="7"/>
  <c r="I1640" i="7"/>
  <c r="M1644" i="7"/>
  <c r="P1646" i="7"/>
  <c r="P1714" i="7"/>
  <c r="P1721" i="7"/>
  <c r="I1722" i="7"/>
  <c r="L1727" i="7"/>
  <c r="I1735" i="7"/>
  <c r="J1735" i="7" s="1"/>
  <c r="N1744" i="7"/>
  <c r="N1746" i="7"/>
  <c r="I1748" i="7"/>
  <c r="I1754" i="7"/>
  <c r="O1758" i="7"/>
  <c r="M1767" i="7"/>
  <c r="M1773" i="7"/>
  <c r="N1777" i="7"/>
  <c r="P1779" i="7"/>
  <c r="P1781" i="7"/>
  <c r="M1640" i="7"/>
  <c r="N1722" i="7"/>
  <c r="P1735" i="7"/>
  <c r="M1740" i="7"/>
  <c r="H1746" i="7"/>
  <c r="P1746" i="7"/>
  <c r="M1754" i="7"/>
  <c r="H1761" i="7"/>
  <c r="I1762" i="7"/>
  <c r="J1762" i="7" s="1"/>
  <c r="H1763" i="7"/>
  <c r="H1764" i="7"/>
  <c r="J1764" i="7" s="1"/>
  <c r="N1768" i="7"/>
  <c r="H1777" i="7"/>
  <c r="P1777" i="7"/>
  <c r="H1781" i="7"/>
  <c r="H1785" i="7"/>
  <c r="J1785" i="7" s="1"/>
  <c r="H1793" i="7"/>
  <c r="J1793" i="7" s="1"/>
  <c r="H1801" i="7"/>
  <c r="H1842" i="7"/>
  <c r="I1842" i="7"/>
  <c r="N1560" i="7"/>
  <c r="L1567" i="7"/>
  <c r="H1568" i="7"/>
  <c r="J1568" i="7" s="1"/>
  <c r="N1571" i="7"/>
  <c r="H1579" i="7"/>
  <c r="M1581" i="7"/>
  <c r="N1587" i="7"/>
  <c r="H1595" i="7"/>
  <c r="J1595" i="7" s="1"/>
  <c r="M1597" i="7"/>
  <c r="H1628" i="7"/>
  <c r="P1628" i="7"/>
  <c r="M1636" i="7"/>
  <c r="N1640" i="7"/>
  <c r="H1644" i="7"/>
  <c r="J1644" i="7" s="1"/>
  <c r="P1644" i="7"/>
  <c r="I1650" i="7"/>
  <c r="M1652" i="7"/>
  <c r="L1659" i="7"/>
  <c r="H1660" i="7"/>
  <c r="L1663" i="7"/>
  <c r="H1664" i="7"/>
  <c r="J1664" i="7" s="1"/>
  <c r="L1667" i="7"/>
  <c r="H1668" i="7"/>
  <c r="L1671" i="7"/>
  <c r="H1672" i="7"/>
  <c r="L1675" i="7"/>
  <c r="H1676" i="7"/>
  <c r="L1679" i="7"/>
  <c r="H1680" i="7"/>
  <c r="L1683" i="7"/>
  <c r="H1684" i="7"/>
  <c r="L1687" i="7"/>
  <c r="H1688" i="7"/>
  <c r="L1691" i="7"/>
  <c r="H1692" i="7"/>
  <c r="L1695" i="7"/>
  <c r="H1696" i="7"/>
  <c r="J1696" i="7" s="1"/>
  <c r="H1706" i="7"/>
  <c r="I1716" i="7"/>
  <c r="P1717" i="7"/>
  <c r="I1746" i="7"/>
  <c r="N1754" i="7"/>
  <c r="N1755" i="7"/>
  <c r="H1758" i="7"/>
  <c r="J1758" i="7" s="1"/>
  <c r="I1760" i="7"/>
  <c r="P1761" i="7"/>
  <c r="N1762" i="7"/>
  <c r="O1763" i="7"/>
  <c r="N1764" i="7"/>
  <c r="H1767" i="7"/>
  <c r="J1767" i="7" s="1"/>
  <c r="P1767" i="7"/>
  <c r="N1770" i="7"/>
  <c r="H1773" i="7"/>
  <c r="P1773" i="7"/>
  <c r="I1777" i="7"/>
  <c r="J1777" i="7" s="1"/>
  <c r="I1781" i="7"/>
  <c r="H1792" i="7"/>
  <c r="J1792" i="7" s="1"/>
  <c r="H1800" i="7"/>
  <c r="H1980" i="7"/>
  <c r="J1980" i="7" s="1"/>
  <c r="H1997" i="7"/>
  <c r="J1997" i="7" s="1"/>
  <c r="H2059" i="7"/>
  <c r="J2059" i="7" s="1"/>
  <c r="I2067" i="7"/>
  <c r="J2067" i="7" s="1"/>
  <c r="I2188" i="7"/>
  <c r="J2188" i="7" s="1"/>
  <c r="I2203" i="7"/>
  <c r="J2203" i="7" s="1"/>
  <c r="H2221" i="7"/>
  <c r="J2221" i="7" s="1"/>
  <c r="H2229" i="7"/>
  <c r="J2229" i="7" s="1"/>
  <c r="H2232" i="7"/>
  <c r="J2232" i="7" s="1"/>
  <c r="H1843" i="7"/>
  <c r="J1843" i="7" s="1"/>
  <c r="H1844" i="7"/>
  <c r="J1844" i="7" s="1"/>
  <c r="H1845" i="7"/>
  <c r="H1859" i="7"/>
  <c r="J1859" i="7" s="1"/>
  <c r="H1860" i="7"/>
  <c r="J1860" i="7" s="1"/>
  <c r="H1861" i="7"/>
  <c r="J1861" i="7" s="1"/>
  <c r="H1868" i="7"/>
  <c r="J1868" i="7" s="1"/>
  <c r="H1871" i="7"/>
  <c r="J1871" i="7" s="1"/>
  <c r="H1872" i="7"/>
  <c r="H1873" i="7"/>
  <c r="J1873" i="7" s="1"/>
  <c r="I1879" i="7"/>
  <c r="J1879" i="7" s="1"/>
  <c r="I1883" i="7"/>
  <c r="J1883" i="7" s="1"/>
  <c r="I1887" i="7"/>
  <c r="J1887" i="7" s="1"/>
  <c r="I1891" i="7"/>
  <c r="J1891" i="7" s="1"/>
  <c r="H1908" i="7"/>
  <c r="J1908" i="7" s="1"/>
  <c r="H1909" i="7"/>
  <c r="H1924" i="7"/>
  <c r="J1924" i="7" s="1"/>
  <c r="H1925" i="7"/>
  <c r="J1925" i="7" s="1"/>
  <c r="H1956" i="7"/>
  <c r="J1956" i="7" s="1"/>
  <c r="H1957" i="7"/>
  <c r="J1957" i="7" s="1"/>
  <c r="H1968" i="7"/>
  <c r="J1968" i="7" s="1"/>
  <c r="H1969" i="7"/>
  <c r="J1969" i="7" s="1"/>
  <c r="I1992" i="7"/>
  <c r="J1992" i="7" s="1"/>
  <c r="H2020" i="7"/>
  <c r="J2020" i="7" s="1"/>
  <c r="H2021" i="7"/>
  <c r="J2021" i="7" s="1"/>
  <c r="H2039" i="7"/>
  <c r="J2039" i="7" s="1"/>
  <c r="H2046" i="7"/>
  <c r="H2047" i="7"/>
  <c r="J2047" i="7" s="1"/>
  <c r="H2050" i="7"/>
  <c r="J2050" i="7" s="1"/>
  <c r="H2051" i="7"/>
  <c r="J2051" i="7" s="1"/>
  <c r="H2054" i="7"/>
  <c r="J2054" i="7" s="1"/>
  <c r="H2055" i="7"/>
  <c r="J2055" i="7" s="1"/>
  <c r="H2058" i="7"/>
  <c r="I2066" i="7"/>
  <c r="J2066" i="7" s="1"/>
  <c r="H2139" i="7"/>
  <c r="H2140" i="7"/>
  <c r="J2140" i="7" s="1"/>
  <c r="H2151" i="7"/>
  <c r="J2151" i="7" s="1"/>
  <c r="H2152" i="7"/>
  <c r="J2152" i="7" s="1"/>
  <c r="H2153" i="7"/>
  <c r="J2153" i="7" s="1"/>
  <c r="H2171" i="7"/>
  <c r="J2171" i="7" s="1"/>
  <c r="H2172" i="7"/>
  <c r="J2172" i="7" s="1"/>
  <c r="I2211" i="7"/>
  <c r="J2211" i="7" s="1"/>
  <c r="H2212" i="7"/>
  <c r="J2212" i="7" s="1"/>
  <c r="H2213" i="7"/>
  <c r="H2220" i="7"/>
  <c r="J2220" i="7" s="1"/>
  <c r="H2228" i="7"/>
  <c r="J2228" i="7" s="1"/>
  <c r="I2231" i="7"/>
  <c r="H1905" i="7"/>
  <c r="J1905" i="7" s="1"/>
  <c r="H1921" i="7"/>
  <c r="J1921" i="7" s="1"/>
  <c r="H1953" i="7"/>
  <c r="J1953" i="7" s="1"/>
  <c r="H2038" i="7"/>
  <c r="J2038" i="7" s="1"/>
  <c r="I2045" i="7"/>
  <c r="J2045" i="7" s="1"/>
  <c r="I2063" i="7"/>
  <c r="I2071" i="7"/>
  <c r="J2071" i="7" s="1"/>
  <c r="AK5" i="2"/>
  <c r="AK64" i="2"/>
  <c r="AK72" i="2"/>
  <c r="AK81" i="2"/>
  <c r="AK89" i="2"/>
  <c r="AK97" i="2"/>
  <c r="AK105" i="2"/>
  <c r="AK112" i="2"/>
  <c r="AK120" i="2"/>
  <c r="AK128" i="2"/>
  <c r="AK136" i="2"/>
  <c r="AK144" i="2"/>
  <c r="AK155" i="2"/>
  <c r="AK163" i="2"/>
  <c r="AK171" i="2"/>
  <c r="AK181" i="2"/>
  <c r="AK189" i="2"/>
  <c r="AK192" i="2"/>
  <c r="AK196" i="2"/>
  <c r="AK200" i="2"/>
  <c r="AK204" i="2"/>
  <c r="AK208" i="2"/>
  <c r="AK212" i="2"/>
  <c r="AK216" i="2"/>
  <c r="AK222" i="2"/>
  <c r="AK225" i="2"/>
  <c r="AK259" i="2"/>
  <c r="AK262" i="2"/>
  <c r="AK13" i="2"/>
  <c r="AK21" i="2"/>
  <c r="AK29" i="2"/>
  <c r="AK53" i="2"/>
  <c r="AK11" i="2"/>
  <c r="AK19" i="2"/>
  <c r="AK27" i="2"/>
  <c r="AK35" i="2"/>
  <c r="AK43" i="2"/>
  <c r="AK51" i="2"/>
  <c r="AK55" i="2"/>
  <c r="AK62" i="2"/>
  <c r="AK70" i="2"/>
  <c r="AK79" i="2"/>
  <c r="AK87" i="2"/>
  <c r="AK95" i="2"/>
  <c r="AK103" i="2"/>
  <c r="AK110" i="2"/>
  <c r="AK118" i="2"/>
  <c r="AK126" i="2"/>
  <c r="AK134" i="2"/>
  <c r="AK142" i="2"/>
  <c r="AK153" i="2"/>
  <c r="AK161" i="2"/>
  <c r="AK169" i="2"/>
  <c r="AK178" i="2"/>
  <c r="AK187" i="2"/>
  <c r="AK191" i="2"/>
  <c r="AK243" i="2"/>
  <c r="AK247" i="2"/>
  <c r="AK37" i="2"/>
  <c r="AK45" i="2"/>
  <c r="AK93" i="2"/>
  <c r="AK101" i="2"/>
  <c r="AK177" i="2"/>
  <c r="AK185" i="2"/>
  <c r="AK195" i="2"/>
  <c r="AK198" i="2"/>
  <c r="AK199" i="2"/>
  <c r="AK203" i="2"/>
  <c r="AK207" i="2"/>
  <c r="AK211" i="2"/>
  <c r="AK215" i="2"/>
  <c r="AK219" i="2"/>
  <c r="AK232" i="2"/>
  <c r="AK238" i="2"/>
  <c r="AK241" i="2"/>
  <c r="AK244" i="2"/>
  <c r="AK252" i="2"/>
  <c r="AK270" i="2"/>
  <c r="AK273" i="2"/>
  <c r="AK274" i="2"/>
  <c r="AK277" i="2"/>
  <c r="AK367" i="2"/>
  <c r="AK375" i="2"/>
  <c r="AK383" i="2"/>
  <c r="AJ1066" i="2"/>
  <c r="AK1066" i="2" s="1"/>
  <c r="AL1066" i="2" s="1"/>
  <c r="AK1151" i="2"/>
  <c r="AL1151" i="2" s="1"/>
  <c r="AI1167" i="2"/>
  <c r="AK1167" i="2" s="1"/>
  <c r="AL1167" i="2" s="1"/>
  <c r="AK1195" i="2"/>
  <c r="AL1195" i="2" s="1"/>
  <c r="AJ1215" i="2"/>
  <c r="AK1215" i="2" s="1"/>
  <c r="AL1215" i="2" s="1"/>
  <c r="AJ1222" i="2"/>
  <c r="AK1222" i="2" s="1"/>
  <c r="AL1222" i="2" s="1"/>
  <c r="AJ1265" i="2"/>
  <c r="AJ1266" i="2"/>
  <c r="AK1266" i="2" s="1"/>
  <c r="AL1266" i="2" s="1"/>
  <c r="AJ1269" i="2"/>
  <c r="AK1269" i="2" s="1"/>
  <c r="AL1269" i="2" s="1"/>
  <c r="AJ1279" i="2"/>
  <c r="AK1279" i="2" s="1"/>
  <c r="AL1279" i="2" s="1"/>
  <c r="AJ1287" i="2"/>
  <c r="AK1287" i="2" s="1"/>
  <c r="AL1287" i="2" s="1"/>
  <c r="AJ1291" i="2"/>
  <c r="AJ1292" i="2"/>
  <c r="AJ1299" i="2"/>
  <c r="AJ1300" i="2"/>
  <c r="AK1300" i="2" s="1"/>
  <c r="AL1300" i="2" s="1"/>
  <c r="AJ1305" i="2"/>
  <c r="AK1305" i="2" s="1"/>
  <c r="AL1305" i="2" s="1"/>
  <c r="AJ1330" i="2"/>
  <c r="AK1330" i="2" s="1"/>
  <c r="AL1330" i="2" s="1"/>
  <c r="AJ1347" i="2"/>
  <c r="AK1347" i="2" s="1"/>
  <c r="AL1347" i="2" s="1"/>
  <c r="AJ1354" i="2"/>
  <c r="AK1354" i="2" s="1"/>
  <c r="AL1354" i="2" s="1"/>
  <c r="AJ1414" i="2"/>
  <c r="AK1414" i="2" s="1"/>
  <c r="AL1414" i="2" s="1"/>
  <c r="AK220" i="2"/>
  <c r="AK228" i="2"/>
  <c r="AK236" i="2"/>
  <c r="AK240" i="2"/>
  <c r="AK250" i="2"/>
  <c r="AK253" i="2"/>
  <c r="AK254" i="2"/>
  <c r="AK257" i="2"/>
  <c r="AK258" i="2"/>
  <c r="AK266" i="2"/>
  <c r="AK271" i="2"/>
  <c r="AK272" i="2"/>
  <c r="AK275" i="2"/>
  <c r="AK276" i="2"/>
  <c r="AK283" i="2"/>
  <c r="AK290" i="2"/>
  <c r="AK306" i="2"/>
  <c r="AK307" i="2"/>
  <c r="AK310" i="2"/>
  <c r="AK326" i="2"/>
  <c r="AK327" i="2"/>
  <c r="AK332" i="2"/>
  <c r="AK333" i="2"/>
  <c r="AK336" i="2"/>
  <c r="AK337" i="2"/>
  <c r="AK340" i="2"/>
  <c r="AK341" i="2"/>
  <c r="AK344" i="2"/>
  <c r="AK345" i="2"/>
  <c r="AK348" i="2"/>
  <c r="AK349" i="2"/>
  <c r="AK352" i="2"/>
  <c r="AK353" i="2"/>
  <c r="AK356" i="2"/>
  <c r="AK357" i="2"/>
  <c r="AK362" i="2"/>
  <c r="AK366" i="2"/>
  <c r="AK368" i="2"/>
  <c r="AK372" i="2"/>
  <c r="AK374" i="2"/>
  <c r="AK376" i="2"/>
  <c r="AK377" i="2"/>
  <c r="AK386" i="2"/>
  <c r="AK389" i="2"/>
  <c r="AK395" i="2"/>
  <c r="AK397" i="2"/>
  <c r="AK398" i="2"/>
  <c r="AK407" i="2"/>
  <c r="AK415" i="2"/>
  <c r="AK423" i="2"/>
  <c r="AK442" i="2"/>
  <c r="AK446" i="2"/>
  <c r="AK479" i="2"/>
  <c r="AK487" i="2"/>
  <c r="AK490" i="2"/>
  <c r="AK491" i="2"/>
  <c r="AK494" i="2"/>
  <c r="AK495" i="2"/>
  <c r="AK504" i="2"/>
  <c r="AK512" i="2"/>
  <c r="AK525" i="2"/>
  <c r="AK536" i="2"/>
  <c r="AK575" i="2"/>
  <c r="AK583" i="2"/>
  <c r="AK591" i="2"/>
  <c r="AK599" i="2"/>
  <c r="AK605" i="2"/>
  <c r="AK626" i="2"/>
  <c r="AL626" i="2" s="1"/>
  <c r="AK642" i="2"/>
  <c r="AK653" i="2"/>
  <c r="AK663" i="2"/>
  <c r="AK666" i="2"/>
  <c r="AL666" i="2" s="1"/>
  <c r="AK668" i="2"/>
  <c r="AL668" i="2" s="1"/>
  <c r="AK677" i="2"/>
  <c r="AL677" i="2" s="1"/>
  <c r="AK680" i="2"/>
  <c r="AL680" i="2" s="1"/>
  <c r="AK683" i="2"/>
  <c r="AL683" i="2" s="1"/>
  <c r="AK686" i="2"/>
  <c r="AL686" i="2" s="1"/>
  <c r="AK689" i="2"/>
  <c r="AK694" i="2"/>
  <c r="AL694" i="2" s="1"/>
  <c r="AK697" i="2"/>
  <c r="AK700" i="2"/>
  <c r="AL700" i="2" s="1"/>
  <c r="AK710" i="2"/>
  <c r="AK722" i="2"/>
  <c r="AK735" i="2"/>
  <c r="AK740" i="2"/>
  <c r="AL740" i="2" s="1"/>
  <c r="AK765" i="2"/>
  <c r="AL765" i="2" s="1"/>
  <c r="AK768" i="2"/>
  <c r="AL768" i="2" s="1"/>
  <c r="AK774" i="2"/>
  <c r="AL774" i="2" s="1"/>
  <c r="AK777" i="2"/>
  <c r="AL777" i="2" s="1"/>
  <c r="AK780" i="2"/>
  <c r="AL780" i="2" s="1"/>
  <c r="AK795" i="2"/>
  <c r="AL795" i="2" s="1"/>
  <c r="AK798" i="2"/>
  <c r="AK801" i="2"/>
  <c r="AL801" i="2" s="1"/>
  <c r="AK816" i="2"/>
  <c r="AK820" i="2"/>
  <c r="AK830" i="2"/>
  <c r="AL830" i="2" s="1"/>
  <c r="AK833" i="2"/>
  <c r="AL833" i="2" s="1"/>
  <c r="AK837" i="2"/>
  <c r="AL837" i="2" s="1"/>
  <c r="AK840" i="2"/>
  <c r="AL840" i="2" s="1"/>
  <c r="AK847" i="2"/>
  <c r="AL847" i="2" s="1"/>
  <c r="AK853" i="2"/>
  <c r="AL853" i="2" s="1"/>
  <c r="AK857" i="2"/>
  <c r="AL857" i="2" s="1"/>
  <c r="AK860" i="2"/>
  <c r="AL860" i="2" s="1"/>
  <c r="AK863" i="2"/>
  <c r="AI871" i="2"/>
  <c r="AI873" i="2"/>
  <c r="AK875" i="2"/>
  <c r="AL875" i="2" s="1"/>
  <c r="AK877" i="2"/>
  <c r="AL877" i="2" s="1"/>
  <c r="AI880" i="2"/>
  <c r="AK880" i="2" s="1"/>
  <c r="AL880" i="2" s="1"/>
  <c r="AI882" i="2"/>
  <c r="AK887" i="2"/>
  <c r="AL887" i="2" s="1"/>
  <c r="AK889" i="2"/>
  <c r="AL889" i="2" s="1"/>
  <c r="AI892" i="2"/>
  <c r="AK898" i="2"/>
  <c r="AL898" i="2" s="1"/>
  <c r="AK901" i="2"/>
  <c r="AL901" i="2" s="1"/>
  <c r="AK903" i="2"/>
  <c r="AL903" i="2" s="1"/>
  <c r="AK910" i="2"/>
  <c r="AL910" i="2" s="1"/>
  <c r="AK915" i="2"/>
  <c r="AK919" i="2"/>
  <c r="AL919" i="2" s="1"/>
  <c r="AI922" i="2"/>
  <c r="AK922" i="2" s="1"/>
  <c r="AI924" i="2"/>
  <c r="AK928" i="2"/>
  <c r="AL928" i="2" s="1"/>
  <c r="AI931" i="2"/>
  <c r="AI933" i="2"/>
  <c r="AI935" i="2"/>
  <c r="AI937" i="2"/>
  <c r="AI940" i="2"/>
  <c r="AI944" i="2"/>
  <c r="AK948" i="2"/>
  <c r="AL948" i="2" s="1"/>
  <c r="AI951" i="2"/>
  <c r="AI953" i="2"/>
  <c r="AK953" i="2" s="1"/>
  <c r="AI960" i="2"/>
  <c r="AK962" i="2"/>
  <c r="AK964" i="2"/>
  <c r="AL964" i="2" s="1"/>
  <c r="AI967" i="2"/>
  <c r="AK967" i="2" s="1"/>
  <c r="AL967" i="2" s="1"/>
  <c r="AK971" i="2"/>
  <c r="AL971" i="2" s="1"/>
  <c r="AK975" i="2"/>
  <c r="AL975" i="2" s="1"/>
  <c r="AI978" i="2"/>
  <c r="AK978" i="2" s="1"/>
  <c r="AI980" i="2"/>
  <c r="AK982" i="2"/>
  <c r="AL982" i="2" s="1"/>
  <c r="AK984" i="2"/>
  <c r="AL984" i="2" s="1"/>
  <c r="AI990" i="2"/>
  <c r="AI992" i="2"/>
  <c r="AK992" i="2" s="1"/>
  <c r="AL992" i="2" s="1"/>
  <c r="AK997" i="2"/>
  <c r="AL997" i="2" s="1"/>
  <c r="AK1000" i="2"/>
  <c r="AL1000" i="2" s="1"/>
  <c r="AI1008" i="2"/>
  <c r="AK1008" i="2" s="1"/>
  <c r="AL1008" i="2" s="1"/>
  <c r="AK1011" i="2"/>
  <c r="AL1011" i="2" s="1"/>
  <c r="AK1016" i="2"/>
  <c r="AL1016" i="2" s="1"/>
  <c r="AK1018" i="2"/>
  <c r="AL1018" i="2" s="1"/>
  <c r="AI1030" i="2"/>
  <c r="AK1032" i="2"/>
  <c r="AL1032" i="2" s="1"/>
  <c r="AK1033" i="2"/>
  <c r="AL1033" i="2" s="1"/>
  <c r="AK1043" i="2"/>
  <c r="AL1043" i="2" s="1"/>
  <c r="AK1046" i="2"/>
  <c r="AL1046" i="2" s="1"/>
  <c r="AI1050" i="2"/>
  <c r="E48" i="1" s="1"/>
  <c r="AK1074" i="2"/>
  <c r="AL1074" i="2" s="1"/>
  <c r="AK1077" i="2"/>
  <c r="AL1077" i="2" s="1"/>
  <c r="AK1086" i="2"/>
  <c r="AL1086" i="2" s="1"/>
  <c r="AK1103" i="2"/>
  <c r="AL1103" i="2" s="1"/>
  <c r="AK1105" i="2"/>
  <c r="AL1105" i="2" s="1"/>
  <c r="AI1120" i="2"/>
  <c r="AK1125" i="2"/>
  <c r="AL1125" i="2" s="1"/>
  <c r="AK1127" i="2"/>
  <c r="AL1127" i="2" s="1"/>
  <c r="AK1129" i="2"/>
  <c r="AI1132" i="2"/>
  <c r="AK1134" i="2"/>
  <c r="AL1134" i="2" s="1"/>
  <c r="AK1136" i="2"/>
  <c r="AL1136" i="2" s="1"/>
  <c r="AK1137" i="2"/>
  <c r="AL1137" i="2" s="1"/>
  <c r="AK1144" i="2"/>
  <c r="AL1144" i="2" s="1"/>
  <c r="AK1147" i="2"/>
  <c r="AL1147" i="2" s="1"/>
  <c r="AK1152" i="2"/>
  <c r="AL1152" i="2" s="1"/>
  <c r="AI1154" i="2"/>
  <c r="AK1158" i="2"/>
  <c r="AL1158" i="2" s="1"/>
  <c r="AK1161" i="2"/>
  <c r="AK1165" i="2"/>
  <c r="AL1165" i="2" s="1"/>
  <c r="AJ1167" i="2"/>
  <c r="AI1169" i="2"/>
  <c r="AK1184" i="2"/>
  <c r="AL1184" i="2" s="1"/>
  <c r="AK1186" i="2"/>
  <c r="AK1200" i="2"/>
  <c r="AL1200" i="2" s="1"/>
  <c r="AI1213" i="2"/>
  <c r="AK1213" i="2" s="1"/>
  <c r="AL1213" i="2" s="1"/>
  <c r="AI1226" i="2"/>
  <c r="AK1226" i="2" s="1"/>
  <c r="AL1226" i="2" s="1"/>
  <c r="AI1235" i="2"/>
  <c r="AK1237" i="2"/>
  <c r="AL1237" i="2" s="1"/>
  <c r="AI1243" i="2"/>
  <c r="AK1243" i="2" s="1"/>
  <c r="AL1243" i="2" s="1"/>
  <c r="AK1248" i="2"/>
  <c r="AL1248" i="2" s="1"/>
  <c r="AI1251" i="2"/>
  <c r="AK1251" i="2" s="1"/>
  <c r="AL1251" i="2" s="1"/>
  <c r="AK1253" i="2"/>
  <c r="AL1253" i="2" s="1"/>
  <c r="AK1254" i="2"/>
  <c r="AL1254" i="2" s="1"/>
  <c r="AJ1258" i="2"/>
  <c r="AK1258" i="2" s="1"/>
  <c r="AL1258" i="2" s="1"/>
  <c r="AJ1261" i="2"/>
  <c r="AK1261" i="2" s="1"/>
  <c r="AL1261" i="2" s="1"/>
  <c r="AJ1262" i="2"/>
  <c r="AK1262" i="2" s="1"/>
  <c r="AL1262" i="2" s="1"/>
  <c r="AJ1271" i="2"/>
  <c r="AK1271" i="2" s="1"/>
  <c r="AL1271" i="2" s="1"/>
  <c r="AJ1272" i="2"/>
  <c r="AK1272" i="2" s="1"/>
  <c r="AL1272" i="2" s="1"/>
  <c r="AI1277" i="2"/>
  <c r="AI1285" i="2"/>
  <c r="AK1289" i="2"/>
  <c r="AL1289" i="2" s="1"/>
  <c r="AK1290" i="2"/>
  <c r="AL1290" i="2" s="1"/>
  <c r="AK1293" i="2"/>
  <c r="AL1293" i="2" s="1"/>
  <c r="AI1295" i="2"/>
  <c r="AK1295" i="2" s="1"/>
  <c r="AL1295" i="2" s="1"/>
  <c r="AJ1301" i="2"/>
  <c r="AK1301" i="2" s="1"/>
  <c r="AL1301" i="2" s="1"/>
  <c r="AK1302" i="2"/>
  <c r="AL1302" i="2" s="1"/>
  <c r="AK1307" i="2"/>
  <c r="AL1307" i="2" s="1"/>
  <c r="AJ1308" i="2"/>
  <c r="AI1319" i="2"/>
  <c r="AK1319" i="2" s="1"/>
  <c r="AL1319" i="2" s="1"/>
  <c r="AJ1329" i="2"/>
  <c r="AK1329" i="2" s="1"/>
  <c r="AL1329" i="2" s="1"/>
  <c r="AJ1337" i="2"/>
  <c r="AK1340" i="2"/>
  <c r="AL1340" i="2" s="1"/>
  <c r="AJ1341" i="2"/>
  <c r="AK1342" i="2"/>
  <c r="AL1342" i="2" s="1"/>
  <c r="AI1344" i="2"/>
  <c r="AK1344" i="2" s="1"/>
  <c r="AL1344" i="2" s="1"/>
  <c r="AI1349" i="2"/>
  <c r="AK1365" i="2"/>
  <c r="AL1365" i="2" s="1"/>
  <c r="AJ1378" i="2"/>
  <c r="AK1378" i="2" s="1"/>
  <c r="AL1378" i="2" s="1"/>
  <c r="AK1390" i="2"/>
  <c r="AL1390" i="2" s="1"/>
  <c r="AK1396" i="2"/>
  <c r="AL1396" i="2" s="1"/>
  <c r="AK1425" i="2"/>
  <c r="AL1425" i="2" s="1"/>
  <c r="AK1435" i="2"/>
  <c r="AL1435" i="2" s="1"/>
  <c r="AK1468" i="2"/>
  <c r="AL1468" i="2" s="1"/>
  <c r="AK1470" i="2"/>
  <c r="AL1470" i="2" s="1"/>
  <c r="AK1486" i="2"/>
  <c r="AL1486" i="2" s="1"/>
  <c r="AK1491" i="2"/>
  <c r="AL1491" i="2" s="1"/>
  <c r="AK1503" i="2"/>
  <c r="AL1503" i="2" s="1"/>
  <c r="AK1515" i="2"/>
  <c r="AL1515" i="2" s="1"/>
  <c r="AK1523" i="2"/>
  <c r="AL1523" i="2" s="1"/>
  <c r="AK1531" i="2"/>
  <c r="AL1531" i="2" s="1"/>
  <c r="AK1544" i="2"/>
  <c r="AL1544" i="2" s="1"/>
  <c r="AK1565" i="2"/>
  <c r="AL1565" i="2" s="1"/>
  <c r="AK1575" i="2"/>
  <c r="AL1575" i="2" s="1"/>
  <c r="AK1581" i="2"/>
  <c r="AL1581" i="2" s="1"/>
  <c r="AK1591" i="2"/>
  <c r="AL1591" i="2" s="1"/>
  <c r="AK1597" i="2"/>
  <c r="AL1597" i="2" s="1"/>
  <c r="AK1607" i="2"/>
  <c r="AL1607" i="2" s="1"/>
  <c r="AK1611" i="2"/>
  <c r="AL1611" i="2" s="1"/>
  <c r="AK1617" i="2"/>
  <c r="AL1617" i="2" s="1"/>
  <c r="AK1623" i="2"/>
  <c r="AL1623" i="2" s="1"/>
  <c r="AK1629" i="2"/>
  <c r="AL1629" i="2" s="1"/>
  <c r="AK1636" i="2"/>
  <c r="AL1636" i="2" s="1"/>
  <c r="AK1657" i="2"/>
  <c r="AL1657" i="2" s="1"/>
  <c r="AK1664" i="2"/>
  <c r="AL1664" i="2" s="1"/>
  <c r="AK1668" i="2"/>
  <c r="AL1668" i="2" s="1"/>
  <c r="AK1690" i="2"/>
  <c r="AL1690" i="2" s="1"/>
  <c r="AK1733" i="2"/>
  <c r="AL1733" i="2" s="1"/>
  <c r="AJ1768" i="2"/>
  <c r="AI1768" i="2"/>
  <c r="AK1770" i="2"/>
  <c r="AL1770" i="2" s="1"/>
  <c r="AK1802" i="2"/>
  <c r="AL1802" i="2" s="1"/>
  <c r="AK1840" i="2"/>
  <c r="AL1840" i="2" s="1"/>
  <c r="AK1862" i="2"/>
  <c r="AL1862" i="2" s="1"/>
  <c r="AK1890" i="2"/>
  <c r="AL1890" i="2" s="1"/>
  <c r="AK871" i="2"/>
  <c r="AL871" i="2" s="1"/>
  <c r="AK873" i="2"/>
  <c r="AL873" i="2" s="1"/>
  <c r="AK882" i="2"/>
  <c r="AK892" i="2"/>
  <c r="AL892" i="2" s="1"/>
  <c r="AK924" i="2"/>
  <c r="AL924" i="2" s="1"/>
  <c r="AK931" i="2"/>
  <c r="AK933" i="2"/>
  <c r="AK935" i="2"/>
  <c r="AK937" i="2"/>
  <c r="AL937" i="2" s="1"/>
  <c r="AK940" i="2"/>
  <c r="AL940" i="2" s="1"/>
  <c r="AK944" i="2"/>
  <c r="AL944" i="2" s="1"/>
  <c r="AK951" i="2"/>
  <c r="AL951" i="2" s="1"/>
  <c r="AK960" i="2"/>
  <c r="AL960" i="2" s="1"/>
  <c r="AK980" i="2"/>
  <c r="AL980" i="2" s="1"/>
  <c r="AK990" i="2"/>
  <c r="AL990" i="2" s="1"/>
  <c r="AK1030" i="2"/>
  <c r="AL1030" i="2" s="1"/>
  <c r="AK1078" i="2"/>
  <c r="AL1078" i="2" s="1"/>
  <c r="AK1102" i="2"/>
  <c r="AL1102" i="2" s="1"/>
  <c r="AK1120" i="2"/>
  <c r="AK1132" i="2"/>
  <c r="AL1132" i="2" s="1"/>
  <c r="AK1154" i="2"/>
  <c r="AL1154" i="2" s="1"/>
  <c r="AK1169" i="2"/>
  <c r="AL1169" i="2" s="1"/>
  <c r="AK1235" i="2"/>
  <c r="AL1235" i="2" s="1"/>
  <c r="AK1267" i="2"/>
  <c r="AL1267" i="2" s="1"/>
  <c r="AK1286" i="2"/>
  <c r="AL1286" i="2" s="1"/>
  <c r="AK1309" i="2"/>
  <c r="AL1309" i="2" s="1"/>
  <c r="AK1320" i="2"/>
  <c r="AL1320" i="2" s="1"/>
  <c r="AK1337" i="2"/>
  <c r="AL1337" i="2" s="1"/>
  <c r="AK1341" i="2"/>
  <c r="AL1341" i="2" s="1"/>
  <c r="AK1343" i="2"/>
  <c r="AL1343" i="2" s="1"/>
  <c r="AK1349" i="2"/>
  <c r="AL1349" i="2" s="1"/>
  <c r="AK1353" i="2"/>
  <c r="AL1353" i="2" s="1"/>
  <c r="AJ1374" i="2"/>
  <c r="AK1374" i="2" s="1"/>
  <c r="AL1374" i="2" s="1"/>
  <c r="AJ1375" i="2"/>
  <c r="AK1375" i="2" s="1"/>
  <c r="AL1375" i="2" s="1"/>
  <c r="AI1379" i="2"/>
  <c r="AK1380" i="2"/>
  <c r="AL1380" i="2" s="1"/>
  <c r="AJ1384" i="2"/>
  <c r="AK1384" i="2" s="1"/>
  <c r="AL1384" i="2" s="1"/>
  <c r="AJ1385" i="2"/>
  <c r="AK1385" i="2" s="1"/>
  <c r="AL1385" i="2" s="1"/>
  <c r="AJ1392" i="2"/>
  <c r="AK1392" i="2" s="1"/>
  <c r="AL1392" i="2" s="1"/>
  <c r="AJ1400" i="2"/>
  <c r="AK1400" i="2" s="1"/>
  <c r="AL1400" i="2" s="1"/>
  <c r="AJ1404" i="2"/>
  <c r="AJ1408" i="2"/>
  <c r="AJ1409" i="2"/>
  <c r="AJ1412" i="2"/>
  <c r="AK1412" i="2" s="1"/>
  <c r="AL1412" i="2" s="1"/>
  <c r="AJ1416" i="2"/>
  <c r="AK1416" i="2" s="1"/>
  <c r="AL1416" i="2" s="1"/>
  <c r="AI1427" i="2"/>
  <c r="AJ1428" i="2"/>
  <c r="AJ1432" i="2"/>
  <c r="AK1432" i="2" s="1"/>
  <c r="AL1432" i="2" s="1"/>
  <c r="AJ1450" i="2"/>
  <c r="AK1450" i="2" s="1"/>
  <c r="AL1450" i="2" s="1"/>
  <c r="AK1462" i="2"/>
  <c r="AL1462" i="2" s="1"/>
  <c r="AK1463" i="2"/>
  <c r="AL1463" i="2" s="1"/>
  <c r="AI1478" i="2"/>
  <c r="AK1480" i="2"/>
  <c r="AL1480" i="2" s="1"/>
  <c r="AK1481" i="2"/>
  <c r="AL1481" i="2" s="1"/>
  <c r="AK1501" i="2"/>
  <c r="AL1501" i="2" s="1"/>
  <c r="AK1513" i="2"/>
  <c r="AL1513" i="2" s="1"/>
  <c r="AK1521" i="2"/>
  <c r="AL1521" i="2" s="1"/>
  <c r="AK1529" i="2"/>
  <c r="AL1529" i="2" s="1"/>
  <c r="AK1535" i="2"/>
  <c r="AL1535" i="2" s="1"/>
  <c r="AK1541" i="2"/>
  <c r="AL1541" i="2" s="1"/>
  <c r="AK1551" i="2"/>
  <c r="AL1551" i="2" s="1"/>
  <c r="AK1557" i="2"/>
  <c r="AL1557" i="2" s="1"/>
  <c r="AK1570" i="2"/>
  <c r="AL1570" i="2" s="1"/>
  <c r="AK1576" i="2"/>
  <c r="AL1576" i="2" s="1"/>
  <c r="AK1592" i="2"/>
  <c r="AL1592" i="2" s="1"/>
  <c r="AK1608" i="2"/>
  <c r="AL1608" i="2" s="1"/>
  <c r="AK1651" i="2"/>
  <c r="AL1651" i="2" s="1"/>
  <c r="AJ1674" i="2"/>
  <c r="AI1674" i="2"/>
  <c r="AK1711" i="2"/>
  <c r="AL1711" i="2" s="1"/>
  <c r="AJ1784" i="2"/>
  <c r="AI1784" i="2"/>
  <c r="AK279" i="2"/>
  <c r="AK286" i="2"/>
  <c r="AK294" i="2"/>
  <c r="AK304" i="2"/>
  <c r="AK305" i="2"/>
  <c r="AK308" i="2"/>
  <c r="AK309" i="2"/>
  <c r="AK325" i="2"/>
  <c r="AK334" i="2"/>
  <c r="AK335" i="2"/>
  <c r="AK338" i="2"/>
  <c r="AK339" i="2"/>
  <c r="AK342" i="2"/>
  <c r="AK343" i="2"/>
  <c r="AK346" i="2"/>
  <c r="AK347" i="2"/>
  <c r="AK350" i="2"/>
  <c r="AK351" i="2"/>
  <c r="AK354" i="2"/>
  <c r="AK355" i="2"/>
  <c r="AK365" i="2"/>
  <c r="AK381" i="2"/>
  <c r="AK392" i="2"/>
  <c r="AK399" i="2"/>
  <c r="AK400" i="2"/>
  <c r="AK401" i="2"/>
  <c r="AK411" i="2"/>
  <c r="AK419" i="2"/>
  <c r="AK426" i="2"/>
  <c r="AK427" i="2"/>
  <c r="AK438" i="2"/>
  <c r="AK483" i="2"/>
  <c r="AK488" i="2"/>
  <c r="AK489" i="2"/>
  <c r="AK492" i="2"/>
  <c r="AK493" i="2"/>
  <c r="AK496" i="2"/>
  <c r="AK500" i="2"/>
  <c r="AK508" i="2"/>
  <c r="AK521" i="2"/>
  <c r="AK540" i="2"/>
  <c r="AK571" i="2"/>
  <c r="AK579" i="2"/>
  <c r="AK587" i="2"/>
  <c r="AK595" i="2"/>
  <c r="AK628" i="2"/>
  <c r="AL628" i="2" s="1"/>
  <c r="AK631" i="2"/>
  <c r="AL631" i="2" s="1"/>
  <c r="AK634" i="2"/>
  <c r="AL634" i="2" s="1"/>
  <c r="AK637" i="2"/>
  <c r="AL637" i="2" s="1"/>
  <c r="AK640" i="2"/>
  <c r="AL640" i="2" s="1"/>
  <c r="AK644" i="2"/>
  <c r="AL644" i="2" s="1"/>
  <c r="AK648" i="2"/>
  <c r="AL648" i="2" s="1"/>
  <c r="AK651" i="2"/>
  <c r="AK655" i="2"/>
  <c r="AK661" i="2"/>
  <c r="AK672" i="2"/>
  <c r="AL672" i="2" s="1"/>
  <c r="AK675" i="2"/>
  <c r="AL675" i="2" s="1"/>
  <c r="AK702" i="2"/>
  <c r="AL702" i="2" s="1"/>
  <c r="AK705" i="2"/>
  <c r="AL705" i="2" s="1"/>
  <c r="AK708" i="2"/>
  <c r="AK712" i="2"/>
  <c r="AK715" i="2"/>
  <c r="AK720" i="2"/>
  <c r="AL720" i="2" s="1"/>
  <c r="AK724" i="2"/>
  <c r="AL724" i="2" s="1"/>
  <c r="AK727" i="2"/>
  <c r="AL727" i="2" s="1"/>
  <c r="AK730" i="2"/>
  <c r="AL730" i="2" s="1"/>
  <c r="AK733" i="2"/>
  <c r="AL733" i="2" s="1"/>
  <c r="AK742" i="2"/>
  <c r="AL742" i="2" s="1"/>
  <c r="AK745" i="2"/>
  <c r="AL745" i="2" s="1"/>
  <c r="AK749" i="2"/>
  <c r="AL749" i="2" s="1"/>
  <c r="AK752" i="2"/>
  <c r="AL752" i="2" s="1"/>
  <c r="AK755" i="2"/>
  <c r="AL755" i="2" s="1"/>
  <c r="AK758" i="2"/>
  <c r="AL758" i="2" s="1"/>
  <c r="AK763" i="2"/>
  <c r="AK770" i="2"/>
  <c r="AL770" i="2" s="1"/>
  <c r="AK782" i="2"/>
  <c r="AL782" i="2" s="1"/>
  <c r="AK785" i="2"/>
  <c r="AK788" i="2"/>
  <c r="AL788" i="2" s="1"/>
  <c r="AK791" i="2"/>
  <c r="AK803" i="2"/>
  <c r="AL803" i="2" s="1"/>
  <c r="AK806" i="2"/>
  <c r="AL806" i="2" s="1"/>
  <c r="AK809" i="2"/>
  <c r="AL809" i="2" s="1"/>
  <c r="AK814" i="2"/>
  <c r="AL814" i="2" s="1"/>
  <c r="AK818" i="2"/>
  <c r="AL818" i="2" s="1"/>
  <c r="AK822" i="2"/>
  <c r="AL822" i="2" s="1"/>
  <c r="AK825" i="2"/>
  <c r="AK828" i="2"/>
  <c r="AK842" i="2"/>
  <c r="AL842" i="2" s="1"/>
  <c r="AK845" i="2"/>
  <c r="AK855" i="2"/>
  <c r="AI870" i="2"/>
  <c r="AK870" i="2" s="1"/>
  <c r="AL870" i="2" s="1"/>
  <c r="AI872" i="2"/>
  <c r="AK872" i="2" s="1"/>
  <c r="AK876" i="2"/>
  <c r="AL876" i="2" s="1"/>
  <c r="AI879" i="2"/>
  <c r="AK879" i="2" s="1"/>
  <c r="AI881" i="2"/>
  <c r="AK881" i="2" s="1"/>
  <c r="AL881" i="2" s="1"/>
  <c r="AI883" i="2"/>
  <c r="AK883" i="2" s="1"/>
  <c r="AL883" i="2" s="1"/>
  <c r="AK888" i="2"/>
  <c r="AL888" i="2" s="1"/>
  <c r="AI891" i="2"/>
  <c r="AK891" i="2" s="1"/>
  <c r="AL891" i="2" s="1"/>
  <c r="AI893" i="2"/>
  <c r="AK893" i="2" s="1"/>
  <c r="AL893" i="2" s="1"/>
  <c r="AK895" i="2"/>
  <c r="AK897" i="2"/>
  <c r="AL897" i="2" s="1"/>
  <c r="AK902" i="2"/>
  <c r="AL902" i="2" s="1"/>
  <c r="AI907" i="2"/>
  <c r="AK907" i="2" s="1"/>
  <c r="AL907" i="2" s="1"/>
  <c r="AK909" i="2"/>
  <c r="AL909" i="2" s="1"/>
  <c r="AK911" i="2"/>
  <c r="AL911" i="2" s="1"/>
  <c r="AK914" i="2"/>
  <c r="AL914" i="2" s="1"/>
  <c r="AK916" i="2"/>
  <c r="AK920" i="2"/>
  <c r="AL920" i="2" s="1"/>
  <c r="AI923" i="2"/>
  <c r="AK923" i="2" s="1"/>
  <c r="AL923" i="2" s="1"/>
  <c r="AI925" i="2"/>
  <c r="AK925" i="2" s="1"/>
  <c r="AL925" i="2" s="1"/>
  <c r="AK927" i="2"/>
  <c r="AL927" i="2" s="1"/>
  <c r="AK929" i="2"/>
  <c r="AL929" i="2" s="1"/>
  <c r="AI932" i="2"/>
  <c r="AK932" i="2" s="1"/>
  <c r="AL932" i="2" s="1"/>
  <c r="AI934" i="2"/>
  <c r="AK934" i="2" s="1"/>
  <c r="AI936" i="2"/>
  <c r="AK936" i="2" s="1"/>
  <c r="AL936" i="2" s="1"/>
  <c r="AI941" i="2"/>
  <c r="AK941" i="2" s="1"/>
  <c r="AI945" i="2"/>
  <c r="AK945" i="2" s="1"/>
  <c r="AL945" i="2" s="1"/>
  <c r="AK947" i="2"/>
  <c r="AL947" i="2" s="1"/>
  <c r="AK949" i="2"/>
  <c r="AL949" i="2" s="1"/>
  <c r="AI952" i="2"/>
  <c r="AK952" i="2" s="1"/>
  <c r="AL952" i="2" s="1"/>
  <c r="AI954" i="2"/>
  <c r="AK954" i="2" s="1"/>
  <c r="AL954" i="2" s="1"/>
  <c r="AI959" i="2"/>
  <c r="AK959" i="2" s="1"/>
  <c r="AL959" i="2" s="1"/>
  <c r="AK963" i="2"/>
  <c r="AL963" i="2" s="1"/>
  <c r="AI966" i="2"/>
  <c r="AK966" i="2" s="1"/>
  <c r="AL966" i="2" s="1"/>
  <c r="AI968" i="2"/>
  <c r="AK968" i="2" s="1"/>
  <c r="AL968" i="2" s="1"/>
  <c r="AK970" i="2"/>
  <c r="AL970" i="2" s="1"/>
  <c r="AK972" i="2"/>
  <c r="AI977" i="2"/>
  <c r="AK977" i="2" s="1"/>
  <c r="AL977" i="2" s="1"/>
  <c r="AI979" i="2"/>
  <c r="AK979" i="2" s="1"/>
  <c r="AL979" i="2" s="1"/>
  <c r="AK983" i="2"/>
  <c r="AL983" i="2" s="1"/>
  <c r="AI991" i="2"/>
  <c r="AK991" i="2" s="1"/>
  <c r="AL991" i="2" s="1"/>
  <c r="AI998" i="2"/>
  <c r="AK998" i="2" s="1"/>
  <c r="AL998" i="2" s="1"/>
  <c r="AI1001" i="2"/>
  <c r="AK1001" i="2" s="1"/>
  <c r="AL1001" i="2" s="1"/>
  <c r="AK1003" i="2"/>
  <c r="AL1003" i="2" s="1"/>
  <c r="AK1004" i="2"/>
  <c r="AL1004" i="2" s="1"/>
  <c r="AK1007" i="2"/>
  <c r="AL1007" i="2" s="1"/>
  <c r="AI1009" i="2"/>
  <c r="AK1009" i="2" s="1"/>
  <c r="AL1009" i="2" s="1"/>
  <c r="AI1012" i="2"/>
  <c r="AK1012" i="2" s="1"/>
  <c r="AL1012" i="2" s="1"/>
  <c r="AK1026" i="2"/>
  <c r="AL1026" i="2" s="1"/>
  <c r="AK1028" i="2"/>
  <c r="AL1028" i="2" s="1"/>
  <c r="AK1029" i="2"/>
  <c r="AL1029" i="2" s="1"/>
  <c r="AI1034" i="2"/>
  <c r="AK1034" i="2" s="1"/>
  <c r="AL1034" i="2" s="1"/>
  <c r="AK1036" i="2"/>
  <c r="AL1036" i="2" s="1"/>
  <c r="AK1041" i="2"/>
  <c r="AL1041" i="2" s="1"/>
  <c r="AK1056" i="2"/>
  <c r="AL1056" i="2" s="1"/>
  <c r="AJ1057" i="2"/>
  <c r="AK1062" i="2"/>
  <c r="AL1062" i="2" s="1"/>
  <c r="AK1065" i="2"/>
  <c r="AL1065" i="2" s="1"/>
  <c r="AK1070" i="2"/>
  <c r="AL1070" i="2" s="1"/>
  <c r="AK1079" i="2"/>
  <c r="AL1079" i="2" s="1"/>
  <c r="AK1082" i="2"/>
  <c r="AL1082" i="2" s="1"/>
  <c r="AK1092" i="2"/>
  <c r="AL1092" i="2" s="1"/>
  <c r="AK1095" i="2"/>
  <c r="AL1095" i="2" s="1"/>
  <c r="AK1101" i="2"/>
  <c r="AL1101" i="2" s="1"/>
  <c r="AK1107" i="2"/>
  <c r="AL1107" i="2" s="1"/>
  <c r="AK1110" i="2"/>
  <c r="AL1110" i="2" s="1"/>
  <c r="AJ1111" i="2"/>
  <c r="AK1111" i="2" s="1"/>
  <c r="AL1111" i="2" s="1"/>
  <c r="AI1114" i="2"/>
  <c r="AK1114" i="2" s="1"/>
  <c r="AL1114" i="2" s="1"/>
  <c r="AI1116" i="2"/>
  <c r="AK1116" i="2" s="1"/>
  <c r="AL1116" i="2" s="1"/>
  <c r="AJ1117" i="2"/>
  <c r="AK1119" i="2"/>
  <c r="AL1119" i="2" s="1"/>
  <c r="AI1123" i="2"/>
  <c r="AK1123" i="2" s="1"/>
  <c r="AL1123" i="2" s="1"/>
  <c r="AK1128" i="2"/>
  <c r="AL1128" i="2" s="1"/>
  <c r="AK1130" i="2"/>
  <c r="AL1130" i="2" s="1"/>
  <c r="AI1138" i="2"/>
  <c r="AK1138" i="2" s="1"/>
  <c r="AL1138" i="2" s="1"/>
  <c r="AK1140" i="2"/>
  <c r="AL1140" i="2" s="1"/>
  <c r="AK1145" i="2"/>
  <c r="AL1145" i="2" s="1"/>
  <c r="AK1153" i="2"/>
  <c r="AL1153" i="2" s="1"/>
  <c r="AI1155" i="2"/>
  <c r="AK1155" i="2" s="1"/>
  <c r="AL1155" i="2" s="1"/>
  <c r="AK1160" i="2"/>
  <c r="AL1160" i="2" s="1"/>
  <c r="AK1164" i="2"/>
  <c r="AL1164" i="2" s="1"/>
  <c r="AI1168" i="2"/>
  <c r="AK1168" i="2" s="1"/>
  <c r="AL1168" i="2" s="1"/>
  <c r="AI1170" i="2"/>
  <c r="AK1170" i="2" s="1"/>
  <c r="AL1170" i="2" s="1"/>
  <c r="AK1172" i="2"/>
  <c r="AL1172" i="2" s="1"/>
  <c r="AK1175" i="2"/>
  <c r="AL1175" i="2" s="1"/>
  <c r="AK1178" i="2"/>
  <c r="AL1178" i="2" s="1"/>
  <c r="AI1182" i="2"/>
  <c r="AK1182" i="2" s="1"/>
  <c r="AL1182" i="2" s="1"/>
  <c r="AK1190" i="2"/>
  <c r="AL1190" i="2" s="1"/>
  <c r="AI1193" i="2"/>
  <c r="AK1193" i="2" s="1"/>
  <c r="AL1193" i="2" s="1"/>
  <c r="AK1199" i="2"/>
  <c r="AI1202" i="2"/>
  <c r="AK1202" i="2" s="1"/>
  <c r="AL1202" i="2" s="1"/>
  <c r="AK1204" i="2"/>
  <c r="AL1204" i="2" s="1"/>
  <c r="AK1207" i="2"/>
  <c r="AL1207" i="2" s="1"/>
  <c r="AK1211" i="2"/>
  <c r="AL1211" i="2" s="1"/>
  <c r="AK1214" i="2"/>
  <c r="AL1214" i="2" s="1"/>
  <c r="AK1217" i="2"/>
  <c r="AL1217" i="2" s="1"/>
  <c r="AK1221" i="2"/>
  <c r="AL1221" i="2" s="1"/>
  <c r="AK1224" i="2"/>
  <c r="AL1224" i="2" s="1"/>
  <c r="AI1231" i="2"/>
  <c r="AK1231" i="2" s="1"/>
  <c r="AL1231" i="2" s="1"/>
  <c r="AK1233" i="2"/>
  <c r="AL1233" i="2" s="1"/>
  <c r="AI1239" i="2"/>
  <c r="AK1239" i="2" s="1"/>
  <c r="AL1239" i="2" s="1"/>
  <c r="AK1241" i="2"/>
  <c r="AL1241" i="2" s="1"/>
  <c r="AK1250" i="2"/>
  <c r="AL1250" i="2" s="1"/>
  <c r="AK1259" i="2"/>
  <c r="AL1259" i="2" s="1"/>
  <c r="AK1260" i="2"/>
  <c r="AL1260" i="2" s="1"/>
  <c r="AK1263" i="2"/>
  <c r="AL1263" i="2" s="1"/>
  <c r="AI1265" i="2"/>
  <c r="AK1273" i="2"/>
  <c r="AL1273" i="2" s="1"/>
  <c r="AK1276" i="2"/>
  <c r="AL1276" i="2" s="1"/>
  <c r="AI1281" i="2"/>
  <c r="AJ1281" i="2"/>
  <c r="AJ1283" i="2"/>
  <c r="AK1283" i="2" s="1"/>
  <c r="AL1283" i="2" s="1"/>
  <c r="AI1291" i="2"/>
  <c r="AJ1297" i="2"/>
  <c r="AK1297" i="2" s="1"/>
  <c r="AL1297" i="2" s="1"/>
  <c r="AI1299" i="2"/>
  <c r="AJ1303" i="2"/>
  <c r="AK1303" i="2" s="1"/>
  <c r="AL1303" i="2" s="1"/>
  <c r="AJ1304" i="2"/>
  <c r="AK1304" i="2" s="1"/>
  <c r="AL1304" i="2" s="1"/>
  <c r="AJ1313" i="2"/>
  <c r="AK1313" i="2" s="1"/>
  <c r="AL1313" i="2" s="1"/>
  <c r="AK1322" i="2"/>
  <c r="AL1322" i="2" s="1"/>
  <c r="AK1333" i="2"/>
  <c r="AL1333" i="2" s="1"/>
  <c r="AK1335" i="2"/>
  <c r="AL1335" i="2" s="1"/>
  <c r="AK1339" i="2"/>
  <c r="AL1339" i="2" s="1"/>
  <c r="AJ1355" i="2"/>
  <c r="AJ1357" i="2"/>
  <c r="AK1357" i="2" s="1"/>
  <c r="AL1357" i="2" s="1"/>
  <c r="AJ1370" i="2"/>
  <c r="AK1370" i="2" s="1"/>
  <c r="AL1370" i="2" s="1"/>
  <c r="AK1371" i="2"/>
  <c r="AL1371" i="2" s="1"/>
  <c r="AJ1373" i="2"/>
  <c r="AK1373" i="2" s="1"/>
  <c r="AL1373" i="2" s="1"/>
  <c r="AJ1376" i="2"/>
  <c r="AJ1386" i="2"/>
  <c r="AK1386" i="2" s="1"/>
  <c r="AL1386" i="2" s="1"/>
  <c r="AJ1387" i="2"/>
  <c r="AI1388" i="2"/>
  <c r="AI1394" i="2"/>
  <c r="AI1405" i="2"/>
  <c r="AI1406" i="2"/>
  <c r="AJ1410" i="2"/>
  <c r="AK1410" i="2" s="1"/>
  <c r="AL1410" i="2" s="1"/>
  <c r="AK1411" i="2"/>
  <c r="AL1411" i="2" s="1"/>
  <c r="AI1426" i="2"/>
  <c r="AJ1427" i="2"/>
  <c r="AK1427" i="2" s="1"/>
  <c r="AL1427" i="2" s="1"/>
  <c r="AI1436" i="2"/>
  <c r="AK1436" i="2" s="1"/>
  <c r="AL1436" i="2" s="1"/>
  <c r="AJ1438" i="2"/>
  <c r="AJ1444" i="2"/>
  <c r="AK1444" i="2" s="1"/>
  <c r="AL1444" i="2" s="1"/>
  <c r="AJ1445" i="2"/>
  <c r="AK1445" i="2" s="1"/>
  <c r="AL1445" i="2" s="1"/>
  <c r="AJ1448" i="2"/>
  <c r="AK1448" i="2" s="1"/>
  <c r="AL1448" i="2" s="1"/>
  <c r="AK1449" i="2"/>
  <c r="AL1449" i="2" s="1"/>
  <c r="AJ1452" i="2"/>
  <c r="AK1452" i="2" s="1"/>
  <c r="AL1452" i="2" s="1"/>
  <c r="AJ1453" i="2"/>
  <c r="AK1453" i="2" s="1"/>
  <c r="AL1453" i="2" s="1"/>
  <c r="AJ1460" i="2"/>
  <c r="AK1464" i="2"/>
  <c r="AL1464" i="2" s="1"/>
  <c r="AJ1466" i="2"/>
  <c r="AK1466" i="2" s="1"/>
  <c r="AL1466" i="2" s="1"/>
  <c r="AJ1471" i="2"/>
  <c r="AK1471" i="2" s="1"/>
  <c r="AL1471" i="2" s="1"/>
  <c r="AI1476" i="2"/>
  <c r="AK1476" i="2" s="1"/>
  <c r="AL1476" i="2" s="1"/>
  <c r="AK1478" i="2"/>
  <c r="AL1478" i="2" s="1"/>
  <c r="AK1490" i="2"/>
  <c r="AL1490" i="2" s="1"/>
  <c r="AK1496" i="2"/>
  <c r="AL1496" i="2" s="1"/>
  <c r="AK1502" i="2"/>
  <c r="AL1502" i="2" s="1"/>
  <c r="AK1514" i="2"/>
  <c r="AL1514" i="2" s="1"/>
  <c r="AK1522" i="2"/>
  <c r="AL1522" i="2" s="1"/>
  <c r="AK1530" i="2"/>
  <c r="AL1530" i="2" s="1"/>
  <c r="AK1546" i="2"/>
  <c r="AL1546" i="2" s="1"/>
  <c r="AK1583" i="2"/>
  <c r="AL1583" i="2" s="1"/>
  <c r="AK1589" i="2"/>
  <c r="AL1589" i="2" s="1"/>
  <c r="AK1599" i="2"/>
  <c r="AL1599" i="2" s="1"/>
  <c r="AK1605" i="2"/>
  <c r="AL1605" i="2" s="1"/>
  <c r="AK1610" i="2"/>
  <c r="AL1610" i="2" s="1"/>
  <c r="AK1622" i="2"/>
  <c r="AL1622" i="2" s="1"/>
  <c r="AK1641" i="2"/>
  <c r="AL1641" i="2" s="1"/>
  <c r="AK1642" i="2"/>
  <c r="AL1642" i="2" s="1"/>
  <c r="AK1648" i="2"/>
  <c r="AL1648" i="2" s="1"/>
  <c r="AK1652" i="2"/>
  <c r="AL1652" i="2" s="1"/>
  <c r="AK1673" i="2"/>
  <c r="AL1673" i="2" s="1"/>
  <c r="AK1682" i="2"/>
  <c r="AL1682" i="2" s="1"/>
  <c r="AK1705" i="2"/>
  <c r="AL1705" i="2" s="1"/>
  <c r="AK1736" i="2"/>
  <c r="AL1736" i="2" s="1"/>
  <c r="AK1753" i="2"/>
  <c r="AL1753" i="2" s="1"/>
  <c r="AK1850" i="2"/>
  <c r="AL1850" i="2" s="1"/>
  <c r="AJ1866" i="2"/>
  <c r="AI1866" i="2"/>
  <c r="AK1645" i="2"/>
  <c r="AL1645" i="2" s="1"/>
  <c r="AK1655" i="2"/>
  <c r="AL1655" i="2" s="1"/>
  <c r="AK1661" i="2"/>
  <c r="AL1661" i="2" s="1"/>
  <c r="AK1671" i="2"/>
  <c r="AL1671" i="2" s="1"/>
  <c r="AK1679" i="2"/>
  <c r="AL1679" i="2" s="1"/>
  <c r="AK1687" i="2"/>
  <c r="AL1687" i="2" s="1"/>
  <c r="AK1699" i="2"/>
  <c r="AL1699" i="2" s="1"/>
  <c r="AK1709" i="2"/>
  <c r="AL1709" i="2" s="1"/>
  <c r="AK1715" i="2"/>
  <c r="AL1715" i="2" s="1"/>
  <c r="AK1721" i="2"/>
  <c r="AL1721" i="2" s="1"/>
  <c r="AK1727" i="2"/>
  <c r="AL1727" i="2" s="1"/>
  <c r="AK1737" i="2"/>
  <c r="AL1737" i="2" s="1"/>
  <c r="AK1743" i="2"/>
  <c r="AL1743" i="2" s="1"/>
  <c r="AK1757" i="2"/>
  <c r="AL1757" i="2" s="1"/>
  <c r="AK1781" i="2"/>
  <c r="AL1781" i="2" s="1"/>
  <c r="AK1787" i="2"/>
  <c r="AL1787" i="2" s="1"/>
  <c r="AK1792" i="2"/>
  <c r="AL1792" i="2" s="1"/>
  <c r="AK1799" i="2"/>
  <c r="AL1799" i="2" s="1"/>
  <c r="AK1809" i="2"/>
  <c r="AL1809" i="2" s="1"/>
  <c r="AK1815" i="2"/>
  <c r="AL1815" i="2" s="1"/>
  <c r="AK1821" i="2"/>
  <c r="AL1821" i="2" s="1"/>
  <c r="AK1831" i="2"/>
  <c r="AL1831" i="2" s="1"/>
  <c r="AK1837" i="2"/>
  <c r="AL1837" i="2" s="1"/>
  <c r="AK1859" i="2"/>
  <c r="AL1859" i="2" s="1"/>
  <c r="AK1871" i="2"/>
  <c r="AL1871" i="2" s="1"/>
  <c r="AK1877" i="2"/>
  <c r="AL1877" i="2" s="1"/>
  <c r="AK1881" i="2"/>
  <c r="AL1881" i="2" s="1"/>
  <c r="AK1899" i="2"/>
  <c r="AL1899" i="2" s="1"/>
  <c r="AK1905" i="2"/>
  <c r="AL1905" i="2" s="1"/>
  <c r="AK1915" i="2"/>
  <c r="AL1915" i="2" s="1"/>
  <c r="AK1921" i="2"/>
  <c r="AL1921" i="2" s="1"/>
  <c r="AK1927" i="2"/>
  <c r="AL1927" i="2" s="1"/>
  <c r="AK1935" i="2"/>
  <c r="AL1935" i="2" s="1"/>
  <c r="AK1940" i="2"/>
  <c r="AL1940" i="2" s="1"/>
  <c r="AK1949" i="2"/>
  <c r="AL1949" i="2" s="1"/>
  <c r="AK1959" i="2"/>
  <c r="AL1959" i="2" s="1"/>
  <c r="AK1979" i="2"/>
  <c r="AL1979" i="2" s="1"/>
  <c r="AK1989" i="2"/>
  <c r="AL1989" i="2" s="1"/>
  <c r="AK2003" i="2"/>
  <c r="AL2003" i="2" s="1"/>
  <c r="AK2015" i="2"/>
  <c r="AL2015" i="2" s="1"/>
  <c r="AK2020" i="2"/>
  <c r="AL2020" i="2" s="1"/>
  <c r="AK2021" i="2"/>
  <c r="AL2021" i="2" s="1"/>
  <c r="AK2033" i="2"/>
  <c r="AL2033" i="2" s="1"/>
  <c r="AK2045" i="2"/>
  <c r="AL2045" i="2" s="1"/>
  <c r="AK2059" i="2"/>
  <c r="AL2059" i="2" s="1"/>
  <c r="AK2069" i="2"/>
  <c r="AL2069" i="2" s="1"/>
  <c r="AK2075" i="2"/>
  <c r="AL2075" i="2" s="1"/>
  <c r="AK2085" i="2"/>
  <c r="AL2085" i="2" s="1"/>
  <c r="AK2091" i="2"/>
  <c r="AL2091" i="2" s="1"/>
  <c r="AK2103" i="2"/>
  <c r="AL2103" i="2" s="1"/>
  <c r="AK2109" i="2"/>
  <c r="AL2109" i="2" s="1"/>
  <c r="AK2119" i="2"/>
  <c r="AL2119" i="2" s="1"/>
  <c r="AK2125" i="2"/>
  <c r="AL2125" i="2" s="1"/>
  <c r="AK2133" i="2"/>
  <c r="AL2133" i="2" s="1"/>
  <c r="AK2143" i="2"/>
  <c r="AL2143" i="2" s="1"/>
  <c r="AK2149" i="2"/>
  <c r="AL2149" i="2" s="1"/>
  <c r="AK2162" i="2"/>
  <c r="AL2162" i="2" s="1"/>
  <c r="AK2168" i="2"/>
  <c r="AL2168" i="2" s="1"/>
  <c r="AK2178" i="2"/>
  <c r="AL2178" i="2" s="1"/>
  <c r="AK2186" i="2"/>
  <c r="AL2186" i="2" s="1"/>
  <c r="AK2192" i="2"/>
  <c r="AL2192" i="2" s="1"/>
  <c r="AK2202" i="2"/>
  <c r="AL2202" i="2" s="1"/>
  <c r="AK2208" i="2"/>
  <c r="AL2208" i="2" s="1"/>
  <c r="AK2218" i="2"/>
  <c r="AL2218" i="2" s="1"/>
  <c r="AK2224" i="2"/>
  <c r="AL2224" i="2" s="1"/>
  <c r="AK2234" i="2"/>
  <c r="AL2234" i="2" s="1"/>
  <c r="AK2242" i="2"/>
  <c r="AL2242" i="2" s="1"/>
  <c r="AK2254" i="2"/>
  <c r="AL2254" i="2" s="1"/>
  <c r="AK2260" i="2"/>
  <c r="AL2260" i="2" s="1"/>
  <c r="N107" i="7"/>
  <c r="M114" i="7"/>
  <c r="N115" i="7"/>
  <c r="M128" i="7"/>
  <c r="M151" i="7"/>
  <c r="M155" i="7"/>
  <c r="N171" i="7"/>
  <c r="N179" i="7"/>
  <c r="N187" i="7"/>
  <c r="M198" i="7"/>
  <c r="M202" i="7"/>
  <c r="M206" i="7"/>
  <c r="M210" i="7"/>
  <c r="M214" i="7"/>
  <c r="M227" i="7"/>
  <c r="M231" i="7"/>
  <c r="M235" i="7"/>
  <c r="N241" i="7"/>
  <c r="N243" i="7"/>
  <c r="N245" i="7"/>
  <c r="M252" i="7"/>
  <c r="M256" i="7"/>
  <c r="M260" i="7"/>
  <c r="M264" i="7"/>
  <c r="M268" i="7"/>
  <c r="N274" i="7"/>
  <c r="N276" i="7"/>
  <c r="N278" i="7"/>
  <c r="N280" i="7"/>
  <c r="N292" i="7"/>
  <c r="N296" i="7"/>
  <c r="N300" i="7"/>
  <c r="N304" i="7"/>
  <c r="N308" i="7"/>
  <c r="N312" i="7"/>
  <c r="H315" i="7"/>
  <c r="I315" i="7" s="1"/>
  <c r="J315" i="7" s="1"/>
  <c r="N325" i="7"/>
  <c r="M330" i="7"/>
  <c r="M334" i="7"/>
  <c r="M338" i="7"/>
  <c r="M342" i="7"/>
  <c r="L385" i="7"/>
  <c r="L387" i="7"/>
  <c r="L389" i="7"/>
  <c r="L391" i="7"/>
  <c r="L393" i="7"/>
  <c r="H421" i="7"/>
  <c r="P422" i="7"/>
  <c r="N425" i="7"/>
  <c r="H426" i="7"/>
  <c r="H429" i="7"/>
  <c r="P430" i="7"/>
  <c r="J431" i="7"/>
  <c r="H460" i="7"/>
  <c r="I466" i="7"/>
  <c r="L467" i="7"/>
  <c r="N468" i="7"/>
  <c r="H469" i="7"/>
  <c r="N469" i="7"/>
  <c r="I470" i="7"/>
  <c r="H479" i="7"/>
  <c r="H487" i="7"/>
  <c r="P489" i="7"/>
  <c r="M489" i="7"/>
  <c r="I504" i="7"/>
  <c r="M505" i="7"/>
  <c r="I505" i="7"/>
  <c r="P505" i="7"/>
  <c r="O512" i="7"/>
  <c r="P512" i="7"/>
  <c r="I512" i="7"/>
  <c r="N512" i="7"/>
  <c r="H512" i="7"/>
  <c r="M512" i="7"/>
  <c r="P567" i="7"/>
  <c r="M567" i="7"/>
  <c r="H567" i="7"/>
  <c r="P575" i="7"/>
  <c r="M575" i="7"/>
  <c r="H575" i="7"/>
  <c r="AK1534" i="2"/>
  <c r="AL1534" i="2" s="1"/>
  <c r="AK1539" i="2"/>
  <c r="AL1539" i="2" s="1"/>
  <c r="AK1542" i="2"/>
  <c r="AL1542" i="2" s="1"/>
  <c r="AK1547" i="2"/>
  <c r="AL1547" i="2" s="1"/>
  <c r="AK1550" i="2"/>
  <c r="AL1550" i="2" s="1"/>
  <c r="AK1555" i="2"/>
  <c r="AL1555" i="2" s="1"/>
  <c r="AK1558" i="2"/>
  <c r="AL1558" i="2" s="1"/>
  <c r="AK1563" i="2"/>
  <c r="AL1563" i="2" s="1"/>
  <c r="AK1566" i="2"/>
  <c r="AL1566" i="2" s="1"/>
  <c r="AK1571" i="2"/>
  <c r="AL1571" i="2" s="1"/>
  <c r="AK1574" i="2"/>
  <c r="AL1574" i="2" s="1"/>
  <c r="AK1579" i="2"/>
  <c r="AL1579" i="2" s="1"/>
  <c r="AK1582" i="2"/>
  <c r="AL1582" i="2" s="1"/>
  <c r="AK1587" i="2"/>
  <c r="AL1587" i="2" s="1"/>
  <c r="AK1590" i="2"/>
  <c r="AL1590" i="2" s="1"/>
  <c r="AK1595" i="2"/>
  <c r="AL1595" i="2" s="1"/>
  <c r="AK1598" i="2"/>
  <c r="AL1598" i="2" s="1"/>
  <c r="AK1603" i="2"/>
  <c r="AL1603" i="2" s="1"/>
  <c r="AK1606" i="2"/>
  <c r="AL1606" i="2" s="1"/>
  <c r="AK1615" i="2"/>
  <c r="AL1615" i="2" s="1"/>
  <c r="AK1627" i="2"/>
  <c r="AL1627" i="2" s="1"/>
  <c r="AK1633" i="2"/>
  <c r="AL1633" i="2" s="1"/>
  <c r="AK1634" i="2"/>
  <c r="AL1634" i="2" s="1"/>
  <c r="AK1643" i="2"/>
  <c r="AL1643" i="2" s="1"/>
  <c r="AK1649" i="2"/>
  <c r="AL1649" i="2" s="1"/>
  <c r="AK1650" i="2"/>
  <c r="AL1650" i="2" s="1"/>
  <c r="AK1659" i="2"/>
  <c r="AL1659" i="2" s="1"/>
  <c r="AK1665" i="2"/>
  <c r="AL1665" i="2" s="1"/>
  <c r="AK1666" i="2"/>
  <c r="AL1666" i="2" s="1"/>
  <c r="AK1684" i="2"/>
  <c r="AL1684" i="2" s="1"/>
  <c r="AK1685" i="2"/>
  <c r="AL1685" i="2" s="1"/>
  <c r="AK1691" i="2"/>
  <c r="AL1691" i="2" s="1"/>
  <c r="AK1697" i="2"/>
  <c r="AL1697" i="2" s="1"/>
  <c r="AK1703" i="2"/>
  <c r="AL1703" i="2" s="1"/>
  <c r="AK1704" i="2"/>
  <c r="AL1704" i="2" s="1"/>
  <c r="AK1713" i="2"/>
  <c r="AL1713" i="2" s="1"/>
  <c r="AK1725" i="2"/>
  <c r="AL1725" i="2" s="1"/>
  <c r="AK1731" i="2"/>
  <c r="AL1731" i="2" s="1"/>
  <c r="AK1732" i="2"/>
  <c r="AL1732" i="2" s="1"/>
  <c r="AK1741" i="2"/>
  <c r="AL1741" i="2" s="1"/>
  <c r="AK1747" i="2"/>
  <c r="AL1747" i="2" s="1"/>
  <c r="AK1748" i="2"/>
  <c r="AL1748" i="2" s="1"/>
  <c r="AK1772" i="2"/>
  <c r="AL1772" i="2" s="1"/>
  <c r="AK1791" i="2"/>
  <c r="AL1791" i="2" s="1"/>
  <c r="AK1797" i="2"/>
  <c r="AL1797" i="2" s="1"/>
  <c r="AK1803" i="2"/>
  <c r="AL1803" i="2" s="1"/>
  <c r="AK1804" i="2"/>
  <c r="AL1804" i="2" s="1"/>
  <c r="AK1813" i="2"/>
  <c r="AL1813" i="2" s="1"/>
  <c r="AK1825" i="2"/>
  <c r="AL1825" i="2" s="1"/>
  <c r="AK1826" i="2"/>
  <c r="AL1826" i="2" s="1"/>
  <c r="AK1835" i="2"/>
  <c r="AL1835" i="2" s="1"/>
  <c r="AK1841" i="2"/>
  <c r="AL1841" i="2" s="1"/>
  <c r="AK1842" i="2"/>
  <c r="AL1842" i="2" s="1"/>
  <c r="AK1851" i="2"/>
  <c r="AL1851" i="2" s="1"/>
  <c r="AK1857" i="2"/>
  <c r="AL1857" i="2" s="1"/>
  <c r="AK1863" i="2"/>
  <c r="AL1863" i="2" s="1"/>
  <c r="AK1864" i="2"/>
  <c r="AL1864" i="2" s="1"/>
  <c r="AK1868" i="2"/>
  <c r="AL1868" i="2" s="1"/>
  <c r="AK1869" i="2"/>
  <c r="AL1869" i="2" s="1"/>
  <c r="AK1875" i="2"/>
  <c r="AL1875" i="2" s="1"/>
  <c r="AK1891" i="2"/>
  <c r="AL1891" i="2" s="1"/>
  <c r="AK1892" i="2"/>
  <c r="AL1892" i="2" s="1"/>
  <c r="AK1903" i="2"/>
  <c r="AL1903" i="2" s="1"/>
  <c r="AK1909" i="2"/>
  <c r="AL1909" i="2" s="1"/>
  <c r="AK1910" i="2"/>
  <c r="AL1910" i="2" s="1"/>
  <c r="AK1919" i="2"/>
  <c r="AL1919" i="2" s="1"/>
  <c r="AK1925" i="2"/>
  <c r="AL1925" i="2" s="1"/>
  <c r="AK1939" i="2"/>
  <c r="AL1939" i="2" s="1"/>
  <c r="AK1954" i="2"/>
  <c r="AL1954" i="2" s="1"/>
  <c r="AK1966" i="2"/>
  <c r="AL1966" i="2" s="1"/>
  <c r="AK1974" i="2"/>
  <c r="AL1974" i="2" s="1"/>
  <c r="AK1975" i="2"/>
  <c r="AL1975" i="2" s="1"/>
  <c r="AK1983" i="2"/>
  <c r="AL1983" i="2" s="1"/>
  <c r="AK1984" i="2"/>
  <c r="AL1984" i="2" s="1"/>
  <c r="AI1992" i="2"/>
  <c r="AK1992" i="2" s="1"/>
  <c r="AL1992" i="2" s="1"/>
  <c r="AK1995" i="2"/>
  <c r="AL1995" i="2" s="1"/>
  <c r="AK1996" i="2"/>
  <c r="AL1996" i="2" s="1"/>
  <c r="AK2009" i="2"/>
  <c r="AL2009" i="2" s="1"/>
  <c r="AK2010" i="2"/>
  <c r="AL2010" i="2" s="1"/>
  <c r="AK2019" i="2"/>
  <c r="AL2019" i="2" s="1"/>
  <c r="AK2025" i="2"/>
  <c r="AL2025" i="2" s="1"/>
  <c r="AK2031" i="2"/>
  <c r="AL2031" i="2" s="1"/>
  <c r="AK2039" i="2"/>
  <c r="AL2039" i="2" s="1"/>
  <c r="AK2040" i="2"/>
  <c r="AL2040" i="2" s="1"/>
  <c r="AK2063" i="2"/>
  <c r="AL2063" i="2" s="1"/>
  <c r="AK2072" i="2"/>
  <c r="AL2072" i="2" s="1"/>
  <c r="AK2073" i="2"/>
  <c r="AL2073" i="2" s="1"/>
  <c r="AK2079" i="2"/>
  <c r="AL2079" i="2" s="1"/>
  <c r="AK2088" i="2"/>
  <c r="AL2088" i="2" s="1"/>
  <c r="AK2089" i="2"/>
  <c r="AL2089" i="2" s="1"/>
  <c r="AK2095" i="2"/>
  <c r="AL2095" i="2" s="1"/>
  <c r="AK2106" i="2"/>
  <c r="AL2106" i="2" s="1"/>
  <c r="AK2107" i="2"/>
  <c r="AL2107" i="2" s="1"/>
  <c r="AK2113" i="2"/>
  <c r="AL2113" i="2" s="1"/>
  <c r="AK2122" i="2"/>
  <c r="AL2122" i="2" s="1"/>
  <c r="AK2123" i="2"/>
  <c r="AL2123" i="2" s="1"/>
  <c r="AK2131" i="2"/>
  <c r="AL2131" i="2" s="1"/>
  <c r="AK2137" i="2"/>
  <c r="AL2137" i="2" s="1"/>
  <c r="AK2146" i="2"/>
  <c r="AL2146" i="2" s="1"/>
  <c r="AK2147" i="2"/>
  <c r="AL2147" i="2" s="1"/>
  <c r="AK2156" i="2"/>
  <c r="AL2156" i="2" s="1"/>
  <c r="AK2165" i="2"/>
  <c r="AL2165" i="2" s="1"/>
  <c r="AK2166" i="2"/>
  <c r="AL2166" i="2" s="1"/>
  <c r="AK2172" i="2"/>
  <c r="AL2172" i="2" s="1"/>
  <c r="AK2181" i="2"/>
  <c r="AL2181" i="2" s="1"/>
  <c r="AK2182" i="2"/>
  <c r="AL2182" i="2" s="1"/>
  <c r="AI2183" i="2"/>
  <c r="AK2183" i="2" s="1"/>
  <c r="AL2183" i="2" s="1"/>
  <c r="AK2189" i="2"/>
  <c r="AL2189" i="2" s="1"/>
  <c r="AK2190" i="2"/>
  <c r="AL2190" i="2" s="1"/>
  <c r="AK2196" i="2"/>
  <c r="AL2196" i="2" s="1"/>
  <c r="AK2205" i="2"/>
  <c r="AL2205" i="2" s="1"/>
  <c r="AK2206" i="2"/>
  <c r="AL2206" i="2" s="1"/>
  <c r="AK2212" i="2"/>
  <c r="AL2212" i="2" s="1"/>
  <c r="AK2221" i="2"/>
  <c r="AL2221" i="2" s="1"/>
  <c r="AK2222" i="2"/>
  <c r="AL2222" i="2" s="1"/>
  <c r="AK2228" i="2"/>
  <c r="AL2228" i="2" s="1"/>
  <c r="AK2237" i="2"/>
  <c r="AL2237" i="2" s="1"/>
  <c r="AK2238" i="2"/>
  <c r="AL2238" i="2" s="1"/>
  <c r="AK2246" i="2"/>
  <c r="AL2246" i="2" s="1"/>
  <c r="AK2257" i="2"/>
  <c r="AL2257" i="2" s="1"/>
  <c r="AK2258" i="2"/>
  <c r="AL2258" i="2" s="1"/>
  <c r="AK2264" i="2"/>
  <c r="AL2264" i="2" s="1"/>
  <c r="AK2267" i="2"/>
  <c r="AL2267" i="2" s="1"/>
  <c r="AK2268" i="2"/>
  <c r="AL2268" i="2" s="1"/>
  <c r="AK2269" i="2"/>
  <c r="AL2269" i="2" s="1"/>
  <c r="AK2270" i="2"/>
  <c r="AL2270" i="2" s="1"/>
  <c r="AK2271" i="2"/>
  <c r="AL2271" i="2" s="1"/>
  <c r="AK2272" i="2"/>
  <c r="AL2272" i="2" s="1"/>
  <c r="AK2273" i="2"/>
  <c r="AL2273" i="2" s="1"/>
  <c r="AK2274" i="2"/>
  <c r="AL2274" i="2" s="1"/>
  <c r="AK2275" i="2"/>
  <c r="AL2275" i="2" s="1"/>
  <c r="AK2276" i="2"/>
  <c r="AL2276" i="2" s="1"/>
  <c r="AK2277" i="2"/>
  <c r="AL2277" i="2" s="1"/>
  <c r="AK2278" i="2"/>
  <c r="AL2278" i="2" s="1"/>
  <c r="AK2279" i="2"/>
  <c r="AL2279" i="2" s="1"/>
  <c r="AK2280" i="2"/>
  <c r="AL2280" i="2" s="1"/>
  <c r="AK2281" i="2"/>
  <c r="AL2281" i="2" s="1"/>
  <c r="AK2282" i="2"/>
  <c r="AL2282" i="2" s="1"/>
  <c r="AK2283" i="2"/>
  <c r="AL2283" i="2" s="1"/>
  <c r="AK2286" i="2"/>
  <c r="AL2286" i="2" s="1"/>
  <c r="AK2287" i="2"/>
  <c r="AL2287" i="2" s="1"/>
  <c r="AK2288" i="2"/>
  <c r="AL2288" i="2" s="1"/>
  <c r="AK2289" i="2"/>
  <c r="AL2289" i="2" s="1"/>
  <c r="AK2290" i="2"/>
  <c r="AL2290" i="2" s="1"/>
  <c r="AK2295" i="2"/>
  <c r="AL2295" i="2" s="1"/>
  <c r="AK2296" i="2"/>
  <c r="AL2296" i="2" s="1"/>
  <c r="AK2297" i="2"/>
  <c r="AL2297" i="2" s="1"/>
  <c r="AK2298" i="2"/>
  <c r="AL2298" i="2" s="1"/>
  <c r="AK2299" i="2"/>
  <c r="AL2299" i="2" s="1"/>
  <c r="AK2300" i="2"/>
  <c r="AL2300" i="2" s="1"/>
  <c r="AK2301" i="2"/>
  <c r="AL2301" i="2" s="1"/>
  <c r="AK2302" i="2"/>
  <c r="AL2302" i="2" s="1"/>
  <c r="AK2303" i="2"/>
  <c r="AL2303" i="2" s="1"/>
  <c r="AK2304" i="2"/>
  <c r="AL2304" i="2" s="1"/>
  <c r="AK2305" i="2"/>
  <c r="AL2305" i="2" s="1"/>
  <c r="AK2306" i="2"/>
  <c r="AL2306" i="2" s="1"/>
  <c r="AK2307" i="2"/>
  <c r="AL2307" i="2" s="1"/>
  <c r="AK2308" i="2"/>
  <c r="AL2308" i="2" s="1"/>
  <c r="AK2309" i="2"/>
  <c r="AL2309" i="2" s="1"/>
  <c r="AK2310" i="2"/>
  <c r="AL2310" i="2" s="1"/>
  <c r="AK2311" i="2"/>
  <c r="AL2311" i="2" s="1"/>
  <c r="AK2312" i="2"/>
  <c r="AL2312" i="2" s="1"/>
  <c r="M106" i="7"/>
  <c r="L110" i="7"/>
  <c r="M111" i="7"/>
  <c r="N114" i="7"/>
  <c r="M118" i="7"/>
  <c r="N119" i="7"/>
  <c r="L121" i="7"/>
  <c r="M122" i="7"/>
  <c r="N128" i="7"/>
  <c r="M130" i="7"/>
  <c r="M134" i="7"/>
  <c r="P138" i="7"/>
  <c r="J28" i="7" s="1"/>
  <c r="M140" i="7"/>
  <c r="M142" i="7"/>
  <c r="M144" i="7"/>
  <c r="M146" i="7"/>
  <c r="M148" i="7"/>
  <c r="N151" i="7"/>
  <c r="L153" i="7"/>
  <c r="N155" i="7"/>
  <c r="M157" i="7"/>
  <c r="M161" i="7"/>
  <c r="L163" i="7"/>
  <c r="M167" i="7"/>
  <c r="M175" i="7"/>
  <c r="N177" i="7"/>
  <c r="M183" i="7"/>
  <c r="N185" i="7"/>
  <c r="M191" i="7"/>
  <c r="N193" i="7"/>
  <c r="N195" i="7"/>
  <c r="N198" i="7"/>
  <c r="L200" i="7"/>
  <c r="N202" i="7"/>
  <c r="L204" i="7"/>
  <c r="N206" i="7"/>
  <c r="L208" i="7"/>
  <c r="N210" i="7"/>
  <c r="L212" i="7"/>
  <c r="N214" i="7"/>
  <c r="M220" i="7"/>
  <c r="N222" i="7"/>
  <c r="N224" i="7"/>
  <c r="N227" i="7"/>
  <c r="L229" i="7"/>
  <c r="N231" i="7"/>
  <c r="L233" i="7"/>
  <c r="N235" i="7"/>
  <c r="L237" i="7"/>
  <c r="M249" i="7"/>
  <c r="N252" i="7"/>
  <c r="L254" i="7"/>
  <c r="N256" i="7"/>
  <c r="L258" i="7"/>
  <c r="N260" i="7"/>
  <c r="L262" i="7"/>
  <c r="N264" i="7"/>
  <c r="L266" i="7"/>
  <c r="N268" i="7"/>
  <c r="L270" i="7"/>
  <c r="M293" i="7"/>
  <c r="M297" i="7"/>
  <c r="M301" i="7"/>
  <c r="M305" i="7"/>
  <c r="M309" i="7"/>
  <c r="M315" i="7"/>
  <c r="N317" i="7"/>
  <c r="N319" i="7"/>
  <c r="N321" i="7"/>
  <c r="N323" i="7"/>
  <c r="N330" i="7"/>
  <c r="L332" i="7"/>
  <c r="N334" i="7"/>
  <c r="L336" i="7"/>
  <c r="N338" i="7"/>
  <c r="L340" i="7"/>
  <c r="N342" i="7"/>
  <c r="M385" i="7"/>
  <c r="M387" i="7"/>
  <c r="M389" i="7"/>
  <c r="M391" i="7"/>
  <c r="M393" i="7"/>
  <c r="L415" i="7"/>
  <c r="I421" i="7"/>
  <c r="N423" i="7"/>
  <c r="O425" i="7"/>
  <c r="O426" i="7"/>
  <c r="P428" i="7"/>
  <c r="I429" i="7"/>
  <c r="N431" i="7"/>
  <c r="L438" i="7"/>
  <c r="N439" i="7"/>
  <c r="L442" i="7"/>
  <c r="N443" i="7"/>
  <c r="L446" i="7"/>
  <c r="N447" i="7"/>
  <c r="M460" i="7"/>
  <c r="L466" i="7"/>
  <c r="M467" i="7"/>
  <c r="P468" i="7"/>
  <c r="I469" i="7"/>
  <c r="P469" i="7"/>
  <c r="L470" i="7"/>
  <c r="M479" i="7"/>
  <c r="M487" i="7"/>
  <c r="M501" i="7"/>
  <c r="I501" i="7"/>
  <c r="P501" i="7"/>
  <c r="O508" i="7"/>
  <c r="P508" i="7"/>
  <c r="I508" i="7"/>
  <c r="N508" i="7"/>
  <c r="H508" i="7"/>
  <c r="M509" i="7"/>
  <c r="L509" i="7"/>
  <c r="I509" i="7"/>
  <c r="P509" i="7"/>
  <c r="H107" i="7"/>
  <c r="I107" i="7" s="1"/>
  <c r="J107" i="7" s="1"/>
  <c r="M110" i="7"/>
  <c r="N111" i="7"/>
  <c r="P113" i="7"/>
  <c r="H114" i="7"/>
  <c r="I114" i="7" s="1"/>
  <c r="J114" i="7" s="1"/>
  <c r="P114" i="7"/>
  <c r="H115" i="7"/>
  <c r="I115" i="7" s="1"/>
  <c r="J115" i="7" s="1"/>
  <c r="M121" i="7"/>
  <c r="N122" i="7"/>
  <c r="L124" i="7"/>
  <c r="H128" i="7"/>
  <c r="I128" i="7" s="1"/>
  <c r="J128" i="7" s="1"/>
  <c r="P128" i="7"/>
  <c r="N140" i="7"/>
  <c r="N142" i="7"/>
  <c r="N144" i="7"/>
  <c r="N146" i="7"/>
  <c r="N148" i="7"/>
  <c r="H151" i="7"/>
  <c r="I151" i="7" s="1"/>
  <c r="J151" i="7" s="1"/>
  <c r="P151" i="7"/>
  <c r="M153" i="7"/>
  <c r="H155" i="7"/>
  <c r="I155" i="7" s="1"/>
  <c r="J155" i="7" s="1"/>
  <c r="P155" i="7"/>
  <c r="M163" i="7"/>
  <c r="N167" i="7"/>
  <c r="H171" i="7"/>
  <c r="N175" i="7"/>
  <c r="H179" i="7"/>
  <c r="I179" i="7" s="1"/>
  <c r="J179" i="7" s="1"/>
  <c r="N183" i="7"/>
  <c r="H187" i="7"/>
  <c r="I187" i="7" s="1"/>
  <c r="J187" i="7" s="1"/>
  <c r="N191" i="7"/>
  <c r="H198" i="7"/>
  <c r="I198" i="7" s="1"/>
  <c r="J198" i="7" s="1"/>
  <c r="P198" i="7"/>
  <c r="M200" i="7"/>
  <c r="H202" i="7"/>
  <c r="P202" i="7"/>
  <c r="M204" i="7"/>
  <c r="H206" i="7"/>
  <c r="I206" i="7" s="1"/>
  <c r="J206" i="7" s="1"/>
  <c r="P206" i="7"/>
  <c r="M208" i="7"/>
  <c r="H210" i="7"/>
  <c r="P210" i="7"/>
  <c r="M212" i="7"/>
  <c r="H214" i="7"/>
  <c r="I214" i="7" s="1"/>
  <c r="J214" i="7" s="1"/>
  <c r="P214" i="7"/>
  <c r="N220" i="7"/>
  <c r="H227" i="7"/>
  <c r="P227" i="7"/>
  <c r="M229" i="7"/>
  <c r="H231" i="7"/>
  <c r="I231" i="7" s="1"/>
  <c r="J231" i="7" s="1"/>
  <c r="P231" i="7"/>
  <c r="M233" i="7"/>
  <c r="H235" i="7"/>
  <c r="P235" i="7"/>
  <c r="M237" i="7"/>
  <c r="H241" i="7"/>
  <c r="I241" i="7" s="1"/>
  <c r="J241" i="7" s="1"/>
  <c r="H243" i="7"/>
  <c r="I243" i="7" s="1"/>
  <c r="J243" i="7" s="1"/>
  <c r="H245" i="7"/>
  <c r="I245" i="7" s="1"/>
  <c r="J245" i="7" s="1"/>
  <c r="N249" i="7"/>
  <c r="H252" i="7"/>
  <c r="I252" i="7" s="1"/>
  <c r="J252" i="7" s="1"/>
  <c r="P252" i="7"/>
  <c r="M254" i="7"/>
  <c r="H256" i="7"/>
  <c r="I256" i="7" s="1"/>
  <c r="J256" i="7" s="1"/>
  <c r="P256" i="7"/>
  <c r="M258" i="7"/>
  <c r="H260" i="7"/>
  <c r="I260" i="7" s="1"/>
  <c r="J260" i="7" s="1"/>
  <c r="P260" i="7"/>
  <c r="M262" i="7"/>
  <c r="H264" i="7"/>
  <c r="I264" i="7" s="1"/>
  <c r="J264" i="7" s="1"/>
  <c r="P264" i="7"/>
  <c r="M266" i="7"/>
  <c r="H268" i="7"/>
  <c r="I268" i="7" s="1"/>
  <c r="J268" i="7" s="1"/>
  <c r="P268" i="7"/>
  <c r="M270" i="7"/>
  <c r="H274" i="7"/>
  <c r="I274" i="7" s="1"/>
  <c r="J274" i="7" s="1"/>
  <c r="H276" i="7"/>
  <c r="I276" i="7" s="1"/>
  <c r="J276" i="7" s="1"/>
  <c r="H278" i="7"/>
  <c r="H280" i="7"/>
  <c r="I280" i="7" s="1"/>
  <c r="J280" i="7" s="1"/>
  <c r="N294" i="7"/>
  <c r="N298" i="7"/>
  <c r="N302" i="7"/>
  <c r="N306" i="7"/>
  <c r="N310" i="7"/>
  <c r="N315" i="7"/>
  <c r="H325" i="7"/>
  <c r="I325" i="7" s="1"/>
  <c r="J325" i="7" s="1"/>
  <c r="H330" i="7"/>
  <c r="I330" i="7" s="1"/>
  <c r="J330" i="7" s="1"/>
  <c r="P330" i="7"/>
  <c r="M332" i="7"/>
  <c r="H334" i="7"/>
  <c r="P334" i="7"/>
  <c r="M336" i="7"/>
  <c r="H338" i="7"/>
  <c r="I338" i="7" s="1"/>
  <c r="J338" i="7" s="1"/>
  <c r="P338" i="7"/>
  <c r="M340" i="7"/>
  <c r="H342" i="7"/>
  <c r="P342" i="7"/>
  <c r="I384" i="7"/>
  <c r="H385" i="7"/>
  <c r="N385" i="7"/>
  <c r="I386" i="7"/>
  <c r="H387" i="7"/>
  <c r="N387" i="7"/>
  <c r="I388" i="7"/>
  <c r="H389" i="7"/>
  <c r="N389" i="7"/>
  <c r="I390" i="7"/>
  <c r="N421" i="7"/>
  <c r="N429" i="7"/>
  <c r="N466" i="7"/>
  <c r="H467" i="7"/>
  <c r="N467" i="7"/>
  <c r="L469" i="7"/>
  <c r="N470" i="7"/>
  <c r="H475" i="7"/>
  <c r="H483" i="7"/>
  <c r="H489" i="7"/>
  <c r="P497" i="7"/>
  <c r="M497" i="7"/>
  <c r="O504" i="7"/>
  <c r="N504" i="7"/>
  <c r="H504" i="7"/>
  <c r="M504" i="7"/>
  <c r="L512" i="7"/>
  <c r="P571" i="7"/>
  <c r="M571" i="7"/>
  <c r="H571" i="7"/>
  <c r="AK1766" i="2"/>
  <c r="AL1766" i="2" s="1"/>
  <c r="AK1767" i="2"/>
  <c r="AL1767" i="2" s="1"/>
  <c r="AK1773" i="2"/>
  <c r="AL1773" i="2" s="1"/>
  <c r="AK1783" i="2"/>
  <c r="AL1783" i="2" s="1"/>
  <c r="AK1789" i="2"/>
  <c r="AL1789" i="2" s="1"/>
  <c r="AK1794" i="2"/>
  <c r="AL1794" i="2" s="1"/>
  <c r="AK1795" i="2"/>
  <c r="AL1795" i="2" s="1"/>
  <c r="AK1805" i="2"/>
  <c r="AL1805" i="2" s="1"/>
  <c r="AK1811" i="2"/>
  <c r="AL1811" i="2" s="1"/>
  <c r="AK1827" i="2"/>
  <c r="AL1827" i="2" s="1"/>
  <c r="AK1833" i="2"/>
  <c r="AL1833" i="2" s="1"/>
  <c r="AK1843" i="2"/>
  <c r="AL1843" i="2" s="1"/>
  <c r="AK1855" i="2"/>
  <c r="AL1855" i="2" s="1"/>
  <c r="AK1865" i="2"/>
  <c r="AL1865" i="2" s="1"/>
  <c r="AK1873" i="2"/>
  <c r="AL1873" i="2" s="1"/>
  <c r="AK1893" i="2"/>
  <c r="AL1893" i="2" s="1"/>
  <c r="AK1901" i="2"/>
  <c r="AL1901" i="2" s="1"/>
  <c r="AK1911" i="2"/>
  <c r="AL1911" i="2" s="1"/>
  <c r="AK1917" i="2"/>
  <c r="AL1917" i="2" s="1"/>
  <c r="AK1922" i="2"/>
  <c r="AL1922" i="2" s="1"/>
  <c r="AK1923" i="2"/>
  <c r="AL1923" i="2" s="1"/>
  <c r="AK1951" i="2"/>
  <c r="AL1951" i="2" s="1"/>
  <c r="AK1955" i="2"/>
  <c r="AL1955" i="2" s="1"/>
  <c r="AK1961" i="2"/>
  <c r="AL1961" i="2" s="1"/>
  <c r="AK1967" i="2"/>
  <c r="AL1967" i="2" s="1"/>
  <c r="AK1985" i="2"/>
  <c r="AL1985" i="2" s="1"/>
  <c r="AK1997" i="2"/>
  <c r="AL1997" i="2" s="1"/>
  <c r="AK2005" i="2"/>
  <c r="AL2005" i="2" s="1"/>
  <c r="AK2011" i="2"/>
  <c r="AL2011" i="2" s="1"/>
  <c r="AK2017" i="2"/>
  <c r="AL2017" i="2" s="1"/>
  <c r="AK2023" i="2"/>
  <c r="AL2023" i="2" s="1"/>
  <c r="AK2029" i="2"/>
  <c r="AL2029" i="2" s="1"/>
  <c r="AK2041" i="2"/>
  <c r="AL2041" i="2" s="1"/>
  <c r="AK2047" i="2"/>
  <c r="AL2047" i="2" s="1"/>
  <c r="AK2065" i="2"/>
  <c r="AL2065" i="2" s="1"/>
  <c r="AK2071" i="2"/>
  <c r="AL2071" i="2" s="1"/>
  <c r="AK2081" i="2"/>
  <c r="AL2081" i="2" s="1"/>
  <c r="AK2087" i="2"/>
  <c r="AL2087" i="2" s="1"/>
  <c r="AK2099" i="2"/>
  <c r="AL2099" i="2" s="1"/>
  <c r="AK2105" i="2"/>
  <c r="AL2105" i="2" s="1"/>
  <c r="AK2115" i="2"/>
  <c r="AL2115" i="2" s="1"/>
  <c r="AK2121" i="2"/>
  <c r="AL2121" i="2" s="1"/>
  <c r="AK2130" i="2"/>
  <c r="AL2130" i="2" s="1"/>
  <c r="AK2139" i="2"/>
  <c r="AL2139" i="2" s="1"/>
  <c r="AK2145" i="2"/>
  <c r="AL2145" i="2" s="1"/>
  <c r="AK2158" i="2"/>
  <c r="AL2158" i="2" s="1"/>
  <c r="AK2164" i="2"/>
  <c r="AL2164" i="2" s="1"/>
  <c r="AK2174" i="2"/>
  <c r="AL2174" i="2" s="1"/>
  <c r="AK2180" i="2"/>
  <c r="AL2180" i="2" s="1"/>
  <c r="AK2188" i="2"/>
  <c r="AL2188" i="2" s="1"/>
  <c r="AK2198" i="2"/>
  <c r="AL2198" i="2" s="1"/>
  <c r="AK2204" i="2"/>
  <c r="AL2204" i="2" s="1"/>
  <c r="AK2214" i="2"/>
  <c r="AL2214" i="2" s="1"/>
  <c r="AK2220" i="2"/>
  <c r="AL2220" i="2" s="1"/>
  <c r="AK2230" i="2"/>
  <c r="AL2230" i="2" s="1"/>
  <c r="AK2236" i="2"/>
  <c r="AL2236" i="2" s="1"/>
  <c r="AK2248" i="2"/>
  <c r="AL2248" i="2" s="1"/>
  <c r="AK2256" i="2"/>
  <c r="AL2256" i="2" s="1"/>
  <c r="N103" i="7"/>
  <c r="H106" i="7"/>
  <c r="I106" i="7" s="1"/>
  <c r="J106" i="7" s="1"/>
  <c r="P106" i="7"/>
  <c r="M107" i="7"/>
  <c r="N110" i="7"/>
  <c r="L114" i="7"/>
  <c r="M115" i="7"/>
  <c r="H118" i="7"/>
  <c r="I118" i="7" s="1"/>
  <c r="J118" i="7" s="1"/>
  <c r="P118" i="7"/>
  <c r="H119" i="7"/>
  <c r="I119" i="7" s="1"/>
  <c r="J119" i="7" s="1"/>
  <c r="N121" i="7"/>
  <c r="L128" i="7"/>
  <c r="H130" i="7"/>
  <c r="I130" i="7" s="1"/>
  <c r="J130" i="7" s="1"/>
  <c r="P130" i="7"/>
  <c r="M132" i="7"/>
  <c r="H134" i="7"/>
  <c r="I134" i="7" s="1"/>
  <c r="J134" i="7" s="1"/>
  <c r="P134" i="7"/>
  <c r="M136" i="7"/>
  <c r="L151" i="7"/>
  <c r="N153" i="7"/>
  <c r="L155" i="7"/>
  <c r="H157" i="7"/>
  <c r="I157" i="7" s="1"/>
  <c r="J157" i="7" s="1"/>
  <c r="P157" i="7"/>
  <c r="M159" i="7"/>
  <c r="H161" i="7"/>
  <c r="I161" i="7" s="1"/>
  <c r="J161" i="7" s="1"/>
  <c r="P161" i="7"/>
  <c r="N163" i="7"/>
  <c r="M165" i="7"/>
  <c r="H167" i="7"/>
  <c r="I167" i="7" s="1"/>
  <c r="J167" i="7" s="1"/>
  <c r="P167" i="7"/>
  <c r="M171" i="7"/>
  <c r="N173" i="7"/>
  <c r="H177" i="7"/>
  <c r="I177" i="7" s="1"/>
  <c r="J177" i="7" s="1"/>
  <c r="M179" i="7"/>
  <c r="N181" i="7"/>
  <c r="H185" i="7"/>
  <c r="I185" i="7" s="1"/>
  <c r="J185" i="7" s="1"/>
  <c r="M187" i="7"/>
  <c r="N189" i="7"/>
  <c r="H193" i="7"/>
  <c r="I193" i="7" s="1"/>
  <c r="J193" i="7" s="1"/>
  <c r="H195" i="7"/>
  <c r="I195" i="7" s="1"/>
  <c r="J195" i="7" s="1"/>
  <c r="L198" i="7"/>
  <c r="N200" i="7"/>
  <c r="N201" i="7"/>
  <c r="L202" i="7"/>
  <c r="N204" i="7"/>
  <c r="N205" i="7"/>
  <c r="L206" i="7"/>
  <c r="N208" i="7"/>
  <c r="N209" i="7"/>
  <c r="L210" i="7"/>
  <c r="N212" i="7"/>
  <c r="N213" i="7"/>
  <c r="L214" i="7"/>
  <c r="N218" i="7"/>
  <c r="H222" i="7"/>
  <c r="I222" i="7" s="1"/>
  <c r="J222" i="7" s="1"/>
  <c r="H224" i="7"/>
  <c r="I224" i="7" s="1"/>
  <c r="J224" i="7" s="1"/>
  <c r="L227" i="7"/>
  <c r="N229" i="7"/>
  <c r="N230" i="7"/>
  <c r="L231" i="7"/>
  <c r="N233" i="7"/>
  <c r="N234" i="7"/>
  <c r="L235" i="7"/>
  <c r="N237" i="7"/>
  <c r="M241" i="7"/>
  <c r="M243" i="7"/>
  <c r="M245" i="7"/>
  <c r="N247" i="7"/>
  <c r="L252" i="7"/>
  <c r="N254" i="7"/>
  <c r="N255" i="7"/>
  <c r="L256" i="7"/>
  <c r="N258" i="7"/>
  <c r="N259" i="7"/>
  <c r="L260" i="7"/>
  <c r="N262" i="7"/>
  <c r="N263" i="7"/>
  <c r="L264" i="7"/>
  <c r="N266" i="7"/>
  <c r="N267" i="7"/>
  <c r="L268" i="7"/>
  <c r="N270" i="7"/>
  <c r="M274" i="7"/>
  <c r="M276" i="7"/>
  <c r="M278" i="7"/>
  <c r="M280" i="7"/>
  <c r="N282" i="7"/>
  <c r="N284" i="7"/>
  <c r="N286" i="7"/>
  <c r="M288" i="7"/>
  <c r="M291" i="7"/>
  <c r="H293" i="7"/>
  <c r="P293" i="7"/>
  <c r="M295" i="7"/>
  <c r="H297" i="7"/>
  <c r="I297" i="7" s="1"/>
  <c r="J297" i="7" s="1"/>
  <c r="P297" i="7"/>
  <c r="M299" i="7"/>
  <c r="H301" i="7"/>
  <c r="I301" i="7" s="1"/>
  <c r="J301" i="7" s="1"/>
  <c r="P301" i="7"/>
  <c r="M303" i="7"/>
  <c r="H305" i="7"/>
  <c r="I305" i="7" s="1"/>
  <c r="J305" i="7" s="1"/>
  <c r="P305" i="7"/>
  <c r="M307" i="7"/>
  <c r="H309" i="7"/>
  <c r="I309" i="7" s="1"/>
  <c r="J309" i="7" s="1"/>
  <c r="P309" i="7"/>
  <c r="M311" i="7"/>
  <c r="H317" i="7"/>
  <c r="I317" i="7" s="1"/>
  <c r="J317" i="7" s="1"/>
  <c r="H319" i="7"/>
  <c r="I319" i="7" s="1"/>
  <c r="J319" i="7" s="1"/>
  <c r="H321" i="7"/>
  <c r="I321" i="7" s="1"/>
  <c r="J321" i="7" s="1"/>
  <c r="H323" i="7"/>
  <c r="I323" i="7" s="1"/>
  <c r="J323" i="7" s="1"/>
  <c r="M325" i="7"/>
  <c r="N329" i="7"/>
  <c r="L330" i="7"/>
  <c r="N332" i="7"/>
  <c r="N333" i="7"/>
  <c r="L334" i="7"/>
  <c r="N336" i="7"/>
  <c r="N337" i="7"/>
  <c r="L338" i="7"/>
  <c r="N340" i="7"/>
  <c r="N341" i="7"/>
  <c r="L342" i="7"/>
  <c r="M346" i="7"/>
  <c r="M348" i="7"/>
  <c r="M350" i="7"/>
  <c r="M352" i="7"/>
  <c r="M354" i="7"/>
  <c r="M356" i="7"/>
  <c r="M358" i="7"/>
  <c r="M360" i="7"/>
  <c r="M362" i="7"/>
  <c r="M364" i="7"/>
  <c r="M366" i="7"/>
  <c r="M368" i="7"/>
  <c r="M370" i="7"/>
  <c r="M372" i="7"/>
  <c r="M374" i="7"/>
  <c r="M376" i="7"/>
  <c r="M378" i="7"/>
  <c r="M380" i="7"/>
  <c r="N384" i="7"/>
  <c r="I385" i="7"/>
  <c r="P385" i="7"/>
  <c r="N386" i="7"/>
  <c r="I387" i="7"/>
  <c r="P387" i="7"/>
  <c r="N388" i="7"/>
  <c r="I389" i="7"/>
  <c r="P389" i="7"/>
  <c r="N390" i="7"/>
  <c r="I391" i="7"/>
  <c r="P391" i="7"/>
  <c r="N392" i="7"/>
  <c r="I393" i="7"/>
  <c r="J393" i="7" s="1"/>
  <c r="P393" i="7"/>
  <c r="M397" i="7"/>
  <c r="M399" i="7"/>
  <c r="M401" i="7"/>
  <c r="M403" i="7"/>
  <c r="M405" i="7"/>
  <c r="M407" i="7"/>
  <c r="M409" i="7"/>
  <c r="M411" i="7"/>
  <c r="L413" i="7"/>
  <c r="H415" i="7"/>
  <c r="N415" i="7"/>
  <c r="L417" i="7"/>
  <c r="L436" i="7"/>
  <c r="N437" i="7"/>
  <c r="H438" i="7"/>
  <c r="J438" i="7" s="1"/>
  <c r="N438" i="7"/>
  <c r="I439" i="7"/>
  <c r="L440" i="7"/>
  <c r="N441" i="7"/>
  <c r="H442" i="7"/>
  <c r="N442" i="7"/>
  <c r="I443" i="7"/>
  <c r="L444" i="7"/>
  <c r="N445" i="7"/>
  <c r="H446" i="7"/>
  <c r="N446" i="7"/>
  <c r="I447" i="7"/>
  <c r="L448" i="7"/>
  <c r="N449" i="7"/>
  <c r="H462" i="7"/>
  <c r="P466" i="7"/>
  <c r="I467" i="7"/>
  <c r="P467" i="7"/>
  <c r="L468" i="7"/>
  <c r="M469" i="7"/>
  <c r="P470" i="7"/>
  <c r="H473" i="7"/>
  <c r="M475" i="7"/>
  <c r="H481" i="7"/>
  <c r="M483" i="7"/>
  <c r="H491" i="7"/>
  <c r="P493" i="7"/>
  <c r="M493" i="7"/>
  <c r="M495" i="7"/>
  <c r="L501" i="7"/>
  <c r="P504" i="7"/>
  <c r="N505" i="7"/>
  <c r="L508" i="7"/>
  <c r="N509" i="7"/>
  <c r="M513" i="7"/>
  <c r="L513" i="7"/>
  <c r="I513" i="7"/>
  <c r="P513" i="7"/>
  <c r="L539" i="7"/>
  <c r="N540" i="7"/>
  <c r="L543" i="7"/>
  <c r="N544" i="7"/>
  <c r="L547" i="7"/>
  <c r="N548" i="7"/>
  <c r="L551" i="7"/>
  <c r="N552" i="7"/>
  <c r="L555" i="7"/>
  <c r="N556" i="7"/>
  <c r="L559" i="7"/>
  <c r="N560" i="7"/>
  <c r="L563" i="7"/>
  <c r="J596" i="7"/>
  <c r="M608" i="7"/>
  <c r="M610" i="7"/>
  <c r="M612" i="7"/>
  <c r="M614" i="7"/>
  <c r="M616" i="7"/>
  <c r="M618" i="7"/>
  <c r="M620" i="7"/>
  <c r="M622" i="7"/>
  <c r="M624" i="7"/>
  <c r="M626" i="7"/>
  <c r="M628" i="7"/>
  <c r="M630" i="7"/>
  <c r="M632" i="7"/>
  <c r="M634" i="7"/>
  <c r="M636" i="7"/>
  <c r="M638" i="7"/>
  <c r="M640" i="7"/>
  <c r="M642" i="7"/>
  <c r="M644" i="7"/>
  <c r="M646" i="7"/>
  <c r="M648" i="7"/>
  <c r="L651" i="7"/>
  <c r="L653" i="7"/>
  <c r="L655" i="7"/>
  <c r="L657" i="7"/>
  <c r="L659" i="7"/>
  <c r="L661" i="7"/>
  <c r="L663" i="7"/>
  <c r="L665" i="7"/>
  <c r="J677" i="7"/>
  <c r="J691" i="7"/>
  <c r="I707" i="7"/>
  <c r="H708" i="7"/>
  <c r="N708" i="7"/>
  <c r="I709" i="7"/>
  <c r="H710" i="7"/>
  <c r="N710" i="7"/>
  <c r="I711" i="7"/>
  <c r="N724" i="7"/>
  <c r="N726" i="7"/>
  <c r="N728" i="7"/>
  <c r="N730" i="7"/>
  <c r="O759" i="7"/>
  <c r="O763" i="7"/>
  <c r="O767" i="7"/>
  <c r="O771" i="7"/>
  <c r="O775" i="7"/>
  <c r="O779" i="7"/>
  <c r="H785" i="7"/>
  <c r="L788" i="7"/>
  <c r="N789" i="7"/>
  <c r="H790" i="7"/>
  <c r="N790" i="7"/>
  <c r="I791" i="7"/>
  <c r="L792" i="7"/>
  <c r="N793" i="7"/>
  <c r="H794" i="7"/>
  <c r="N794" i="7"/>
  <c r="I795" i="7"/>
  <c r="L796" i="7"/>
  <c r="N797" i="7"/>
  <c r="H798" i="7"/>
  <c r="N798" i="7"/>
  <c r="I799" i="7"/>
  <c r="L800" i="7"/>
  <c r="N801" i="7"/>
  <c r="H802" i="7"/>
  <c r="N802" i="7"/>
  <c r="I803" i="7"/>
  <c r="L804" i="7"/>
  <c r="N805" i="7"/>
  <c r="H806" i="7"/>
  <c r="N806" i="7"/>
  <c r="I807" i="7"/>
  <c r="L808" i="7"/>
  <c r="N809" i="7"/>
  <c r="H810" i="7"/>
  <c r="N810" i="7"/>
  <c r="I811" i="7"/>
  <c r="L812" i="7"/>
  <c r="N813" i="7"/>
  <c r="H814" i="7"/>
  <c r="N814" i="7"/>
  <c r="I815" i="7"/>
  <c r="L816" i="7"/>
  <c r="N817" i="7"/>
  <c r="H818" i="7"/>
  <c r="N818" i="7"/>
  <c r="I819" i="7"/>
  <c r="L820" i="7"/>
  <c r="N821" i="7"/>
  <c r="H822" i="7"/>
  <c r="N822" i="7"/>
  <c r="I823" i="7"/>
  <c r="L824" i="7"/>
  <c r="N825" i="7"/>
  <c r="H826" i="7"/>
  <c r="N826" i="7"/>
  <c r="I827" i="7"/>
  <c r="L828" i="7"/>
  <c r="N829" i="7"/>
  <c r="H830" i="7"/>
  <c r="N830" i="7"/>
  <c r="I831" i="7"/>
  <c r="L832" i="7"/>
  <c r="N833" i="7"/>
  <c r="H838" i="7"/>
  <c r="M840" i="7"/>
  <c r="H846" i="7"/>
  <c r="M848" i="7"/>
  <c r="H854" i="7"/>
  <c r="M856" i="7"/>
  <c r="H862" i="7"/>
  <c r="M864" i="7"/>
  <c r="H870" i="7"/>
  <c r="M872" i="7"/>
  <c r="I875" i="7"/>
  <c r="L876" i="7"/>
  <c r="N877" i="7"/>
  <c r="H878" i="7"/>
  <c r="N878" i="7"/>
  <c r="I879" i="7"/>
  <c r="L880" i="7"/>
  <c r="N881" i="7"/>
  <c r="H882" i="7"/>
  <c r="M884" i="7"/>
  <c r="P886" i="7"/>
  <c r="I886" i="7"/>
  <c r="H886" i="7"/>
  <c r="L502" i="7"/>
  <c r="N503" i="7"/>
  <c r="L506" i="7"/>
  <c r="N507" i="7"/>
  <c r="L510" i="7"/>
  <c r="N511" i="7"/>
  <c r="M516" i="7"/>
  <c r="M520" i="7"/>
  <c r="M524" i="7"/>
  <c r="M528" i="7"/>
  <c r="M532" i="7"/>
  <c r="I537" i="7"/>
  <c r="P537" i="7"/>
  <c r="L538" i="7"/>
  <c r="M539" i="7"/>
  <c r="P540" i="7"/>
  <c r="I541" i="7"/>
  <c r="P541" i="7"/>
  <c r="L542" i="7"/>
  <c r="M543" i="7"/>
  <c r="P544" i="7"/>
  <c r="I545" i="7"/>
  <c r="J545" i="7" s="1"/>
  <c r="P545" i="7"/>
  <c r="L546" i="7"/>
  <c r="M547" i="7"/>
  <c r="P548" i="7"/>
  <c r="I549" i="7"/>
  <c r="P549" i="7"/>
  <c r="L550" i="7"/>
  <c r="M551" i="7"/>
  <c r="P552" i="7"/>
  <c r="I553" i="7"/>
  <c r="J553" i="7" s="1"/>
  <c r="P553" i="7"/>
  <c r="L554" i="7"/>
  <c r="M555" i="7"/>
  <c r="P556" i="7"/>
  <c r="I557" i="7"/>
  <c r="P557" i="7"/>
  <c r="L558" i="7"/>
  <c r="M559" i="7"/>
  <c r="P560" i="7"/>
  <c r="I561" i="7"/>
  <c r="P561" i="7"/>
  <c r="L562" i="7"/>
  <c r="M563" i="7"/>
  <c r="H579" i="7"/>
  <c r="H583" i="7"/>
  <c r="H587" i="7"/>
  <c r="L590" i="7"/>
  <c r="L592" i="7"/>
  <c r="L594" i="7"/>
  <c r="L596" i="7"/>
  <c r="M602" i="7"/>
  <c r="M606" i="7"/>
  <c r="N608" i="7"/>
  <c r="N610" i="7"/>
  <c r="N612" i="7"/>
  <c r="N614" i="7"/>
  <c r="N616" i="7"/>
  <c r="N618" i="7"/>
  <c r="N620" i="7"/>
  <c r="N622" i="7"/>
  <c r="N624" i="7"/>
  <c r="N626" i="7"/>
  <c r="N628" i="7"/>
  <c r="N630" i="7"/>
  <c r="N632" i="7"/>
  <c r="N634" i="7"/>
  <c r="N636" i="7"/>
  <c r="N638" i="7"/>
  <c r="N640" i="7"/>
  <c r="N642" i="7"/>
  <c r="N644" i="7"/>
  <c r="N646" i="7"/>
  <c r="N648" i="7"/>
  <c r="M651" i="7"/>
  <c r="M653" i="7"/>
  <c r="M655" i="7"/>
  <c r="M657" i="7"/>
  <c r="M659" i="7"/>
  <c r="M661" i="7"/>
  <c r="M663" i="7"/>
  <c r="M665" i="7"/>
  <c r="M669" i="7"/>
  <c r="M671" i="7"/>
  <c r="M673" i="7"/>
  <c r="M675" i="7"/>
  <c r="M677" i="7"/>
  <c r="M679" i="7"/>
  <c r="M681" i="7"/>
  <c r="M683" i="7"/>
  <c r="M685" i="7"/>
  <c r="M687" i="7"/>
  <c r="M689" i="7"/>
  <c r="M691" i="7"/>
  <c r="M693" i="7"/>
  <c r="M695" i="7"/>
  <c r="M697" i="7"/>
  <c r="M699" i="7"/>
  <c r="M701" i="7"/>
  <c r="M703" i="7"/>
  <c r="N707" i="7"/>
  <c r="I708" i="7"/>
  <c r="P708" i="7"/>
  <c r="N709" i="7"/>
  <c r="I710" i="7"/>
  <c r="P710" i="7"/>
  <c r="N711" i="7"/>
  <c r="I712" i="7"/>
  <c r="J712" i="7" s="1"/>
  <c r="P712" i="7"/>
  <c r="N713" i="7"/>
  <c r="I714" i="7"/>
  <c r="P714" i="7"/>
  <c r="N715" i="7"/>
  <c r="I716" i="7"/>
  <c r="P716" i="7"/>
  <c r="N717" i="7"/>
  <c r="I718" i="7"/>
  <c r="P718" i="7"/>
  <c r="N719" i="7"/>
  <c r="I720" i="7"/>
  <c r="P720" i="7"/>
  <c r="N721" i="7"/>
  <c r="H724" i="7"/>
  <c r="H726" i="7"/>
  <c r="H728" i="7"/>
  <c r="H730" i="7"/>
  <c r="I733" i="7"/>
  <c r="J733" i="7" s="1"/>
  <c r="P733" i="7"/>
  <c r="N734" i="7"/>
  <c r="I735" i="7"/>
  <c r="P735" i="7"/>
  <c r="N736" i="7"/>
  <c r="I737" i="7"/>
  <c r="H765" i="7"/>
  <c r="H769" i="7"/>
  <c r="H783" i="7"/>
  <c r="I790" i="7"/>
  <c r="P790" i="7"/>
  <c r="L791" i="7"/>
  <c r="I794" i="7"/>
  <c r="P794" i="7"/>
  <c r="L795" i="7"/>
  <c r="I798" i="7"/>
  <c r="J798" i="7" s="1"/>
  <c r="P798" i="7"/>
  <c r="L799" i="7"/>
  <c r="I802" i="7"/>
  <c r="P802" i="7"/>
  <c r="L803" i="7"/>
  <c r="M804" i="7"/>
  <c r="P805" i="7"/>
  <c r="I806" i="7"/>
  <c r="P806" i="7"/>
  <c r="L807" i="7"/>
  <c r="M808" i="7"/>
  <c r="P809" i="7"/>
  <c r="I810" i="7"/>
  <c r="P810" i="7"/>
  <c r="L811" i="7"/>
  <c r="M812" i="7"/>
  <c r="P813" i="7"/>
  <c r="I814" i="7"/>
  <c r="P814" i="7"/>
  <c r="L815" i="7"/>
  <c r="M816" i="7"/>
  <c r="P817" i="7"/>
  <c r="I818" i="7"/>
  <c r="P818" i="7"/>
  <c r="L819" i="7"/>
  <c r="M820" i="7"/>
  <c r="P821" i="7"/>
  <c r="I822" i="7"/>
  <c r="P822" i="7"/>
  <c r="L823" i="7"/>
  <c r="M824" i="7"/>
  <c r="P825" i="7"/>
  <c r="I826" i="7"/>
  <c r="P826" i="7"/>
  <c r="L827" i="7"/>
  <c r="M828" i="7"/>
  <c r="P829" i="7"/>
  <c r="I830" i="7"/>
  <c r="P830" i="7"/>
  <c r="L831" i="7"/>
  <c r="M832" i="7"/>
  <c r="P833" i="7"/>
  <c r="H836" i="7"/>
  <c r="M838" i="7"/>
  <c r="H844" i="7"/>
  <c r="M846" i="7"/>
  <c r="H852" i="7"/>
  <c r="M854" i="7"/>
  <c r="H860" i="7"/>
  <c r="M862" i="7"/>
  <c r="H868" i="7"/>
  <c r="M870" i="7"/>
  <c r="M876" i="7"/>
  <c r="P877" i="7"/>
  <c r="I878" i="7"/>
  <c r="P878" i="7"/>
  <c r="M880" i="7"/>
  <c r="P881" i="7"/>
  <c r="I882" i="7"/>
  <c r="N884" i="7"/>
  <c r="H518" i="7"/>
  <c r="H522" i="7"/>
  <c r="H526" i="7"/>
  <c r="H530" i="7"/>
  <c r="H534" i="7"/>
  <c r="L537" i="7"/>
  <c r="N538" i="7"/>
  <c r="H539" i="7"/>
  <c r="N539" i="7"/>
  <c r="I540" i="7"/>
  <c r="L541" i="7"/>
  <c r="N542" i="7"/>
  <c r="H543" i="7"/>
  <c r="N543" i="7"/>
  <c r="I544" i="7"/>
  <c r="L545" i="7"/>
  <c r="N546" i="7"/>
  <c r="H547" i="7"/>
  <c r="N547" i="7"/>
  <c r="I548" i="7"/>
  <c r="L549" i="7"/>
  <c r="N550" i="7"/>
  <c r="H551" i="7"/>
  <c r="N551" i="7"/>
  <c r="I552" i="7"/>
  <c r="L553" i="7"/>
  <c r="N554" i="7"/>
  <c r="H555" i="7"/>
  <c r="J555" i="7" s="1"/>
  <c r="N555" i="7"/>
  <c r="I556" i="7"/>
  <c r="L557" i="7"/>
  <c r="N558" i="7"/>
  <c r="H559" i="7"/>
  <c r="N559" i="7"/>
  <c r="I560" i="7"/>
  <c r="L561" i="7"/>
  <c r="N562" i="7"/>
  <c r="H563" i="7"/>
  <c r="N563" i="7"/>
  <c r="M579" i="7"/>
  <c r="M583" i="7"/>
  <c r="M587" i="7"/>
  <c r="H600" i="7"/>
  <c r="H604" i="7"/>
  <c r="H608" i="7"/>
  <c r="H610" i="7"/>
  <c r="H612" i="7"/>
  <c r="H614" i="7"/>
  <c r="H616" i="7"/>
  <c r="H618" i="7"/>
  <c r="H620" i="7"/>
  <c r="H622" i="7"/>
  <c r="H624" i="7"/>
  <c r="H626" i="7"/>
  <c r="J626" i="7" s="1"/>
  <c r="H628" i="7"/>
  <c r="J628" i="7" s="1"/>
  <c r="H630" i="7"/>
  <c r="H632" i="7"/>
  <c r="H634" i="7"/>
  <c r="H636" i="7"/>
  <c r="J636" i="7" s="1"/>
  <c r="H638" i="7"/>
  <c r="J638" i="7" s="1"/>
  <c r="H640" i="7"/>
  <c r="J640" i="7" s="1"/>
  <c r="H642" i="7"/>
  <c r="H644" i="7"/>
  <c r="H646" i="7"/>
  <c r="J646" i="7" s="1"/>
  <c r="H648" i="7"/>
  <c r="J648" i="7" s="1"/>
  <c r="H651" i="7"/>
  <c r="N651" i="7"/>
  <c r="I652" i="7"/>
  <c r="H653" i="7"/>
  <c r="J653" i="7" s="1"/>
  <c r="N653" i="7"/>
  <c r="I654" i="7"/>
  <c r="H655" i="7"/>
  <c r="N655" i="7"/>
  <c r="I656" i="7"/>
  <c r="H657" i="7"/>
  <c r="N657" i="7"/>
  <c r="L708" i="7"/>
  <c r="L710" i="7"/>
  <c r="L712" i="7"/>
  <c r="L714" i="7"/>
  <c r="L716" i="7"/>
  <c r="L718" i="7"/>
  <c r="L720" i="7"/>
  <c r="I724" i="7"/>
  <c r="I726" i="7"/>
  <c r="J726" i="7" s="1"/>
  <c r="I728" i="7"/>
  <c r="I730" i="7"/>
  <c r="L733" i="7"/>
  <c r="L735" i="7"/>
  <c r="L737" i="7"/>
  <c r="H781" i="7"/>
  <c r="L790" i="7"/>
  <c r="N791" i="7"/>
  <c r="L794" i="7"/>
  <c r="N795" i="7"/>
  <c r="L798" i="7"/>
  <c r="N799" i="7"/>
  <c r="L802" i="7"/>
  <c r="N803" i="7"/>
  <c r="L806" i="7"/>
  <c r="N807" i="7"/>
  <c r="L810" i="7"/>
  <c r="N811" i="7"/>
  <c r="L814" i="7"/>
  <c r="N815" i="7"/>
  <c r="L818" i="7"/>
  <c r="N819" i="7"/>
  <c r="L822" i="7"/>
  <c r="N823" i="7"/>
  <c r="L826" i="7"/>
  <c r="N827" i="7"/>
  <c r="L830" i="7"/>
  <c r="N831" i="7"/>
  <c r="H842" i="7"/>
  <c r="M844" i="7"/>
  <c r="H850" i="7"/>
  <c r="M852" i="7"/>
  <c r="H858" i="7"/>
  <c r="M860" i="7"/>
  <c r="H866" i="7"/>
  <c r="M868" i="7"/>
  <c r="N875" i="7"/>
  <c r="H876" i="7"/>
  <c r="N876" i="7"/>
  <c r="L878" i="7"/>
  <c r="N879" i="7"/>
  <c r="H880" i="7"/>
  <c r="N880" i="7"/>
  <c r="M882" i="7"/>
  <c r="O885" i="7"/>
  <c r="P885" i="7"/>
  <c r="L885" i="7"/>
  <c r="J644" i="7"/>
  <c r="M724" i="7"/>
  <c r="M726" i="7"/>
  <c r="M728" i="7"/>
  <c r="M730" i="7"/>
  <c r="I788" i="7"/>
  <c r="P788" i="7"/>
  <c r="M790" i="7"/>
  <c r="P791" i="7"/>
  <c r="I792" i="7"/>
  <c r="P792" i="7"/>
  <c r="M794" i="7"/>
  <c r="P795" i="7"/>
  <c r="I796" i="7"/>
  <c r="J796" i="7" s="1"/>
  <c r="P796" i="7"/>
  <c r="M798" i="7"/>
  <c r="P799" i="7"/>
  <c r="I800" i="7"/>
  <c r="P800" i="7"/>
  <c r="M802" i="7"/>
  <c r="P803" i="7"/>
  <c r="I804" i="7"/>
  <c r="P804" i="7"/>
  <c r="M806" i="7"/>
  <c r="P807" i="7"/>
  <c r="P808" i="7"/>
  <c r="M810" i="7"/>
  <c r="P811" i="7"/>
  <c r="I812" i="7"/>
  <c r="P812" i="7"/>
  <c r="M814" i="7"/>
  <c r="P815" i="7"/>
  <c r="I816" i="7"/>
  <c r="P816" i="7"/>
  <c r="M818" i="7"/>
  <c r="P819" i="7"/>
  <c r="P820" i="7"/>
  <c r="M822" i="7"/>
  <c r="P823" i="7"/>
  <c r="I824" i="7"/>
  <c r="P824" i="7"/>
  <c r="M826" i="7"/>
  <c r="P827" i="7"/>
  <c r="I828" i="7"/>
  <c r="J828" i="7" s="1"/>
  <c r="P828" i="7"/>
  <c r="M830" i="7"/>
  <c r="P831" i="7"/>
  <c r="P832" i="7"/>
  <c r="H840" i="7"/>
  <c r="M842" i="7"/>
  <c r="H848" i="7"/>
  <c r="M850" i="7"/>
  <c r="H856" i="7"/>
  <c r="M858" i="7"/>
  <c r="H864" i="7"/>
  <c r="M866" i="7"/>
  <c r="H872" i="7"/>
  <c r="P875" i="7"/>
  <c r="I876" i="7"/>
  <c r="P876" i="7"/>
  <c r="M878" i="7"/>
  <c r="P879" i="7"/>
  <c r="I880" i="7"/>
  <c r="P880" i="7"/>
  <c r="N882" i="7"/>
  <c r="P883" i="7"/>
  <c r="N890" i="7"/>
  <c r="M897" i="7"/>
  <c r="L903" i="7"/>
  <c r="M905" i="7"/>
  <c r="L909" i="7"/>
  <c r="L913" i="7"/>
  <c r="N919" i="7"/>
  <c r="J921" i="7"/>
  <c r="N923" i="7"/>
  <c r="N927" i="7"/>
  <c r="N931" i="7"/>
  <c r="L936" i="7"/>
  <c r="L940" i="7"/>
  <c r="L945" i="7"/>
  <c r="N946" i="7"/>
  <c r="M951" i="7"/>
  <c r="M955" i="7"/>
  <c r="M959" i="7"/>
  <c r="N965" i="7"/>
  <c r="H966" i="7"/>
  <c r="N966" i="7"/>
  <c r="L968" i="7"/>
  <c r="N969" i="7"/>
  <c r="L972" i="7"/>
  <c r="N973" i="7"/>
  <c r="L976" i="7"/>
  <c r="N977" i="7"/>
  <c r="H978" i="7"/>
  <c r="N978" i="7"/>
  <c r="L980" i="7"/>
  <c r="M986" i="7"/>
  <c r="M990" i="7"/>
  <c r="M994" i="7"/>
  <c r="M998" i="7"/>
  <c r="M1002" i="7"/>
  <c r="M1006" i="7"/>
  <c r="M1010" i="7"/>
  <c r="M1014" i="7"/>
  <c r="M1018" i="7"/>
  <c r="M1022" i="7"/>
  <c r="M1026" i="7"/>
  <c r="M1030" i="7"/>
  <c r="I1036" i="7"/>
  <c r="P1036" i="7"/>
  <c r="L1037" i="7"/>
  <c r="I1040" i="7"/>
  <c r="P1040" i="7"/>
  <c r="L1041" i="7"/>
  <c r="I1044" i="7"/>
  <c r="P1044" i="7"/>
  <c r="L1045" i="7"/>
  <c r="I1048" i="7"/>
  <c r="P1048" i="7"/>
  <c r="L1049" i="7"/>
  <c r="I1052" i="7"/>
  <c r="P1052" i="7"/>
  <c r="L1053" i="7"/>
  <c r="I1056" i="7"/>
  <c r="P1056" i="7"/>
  <c r="L1057" i="7"/>
  <c r="I1060" i="7"/>
  <c r="P1060" i="7"/>
  <c r="L1061" i="7"/>
  <c r="I1064" i="7"/>
  <c r="P1064" i="7"/>
  <c r="L1065" i="7"/>
  <c r="I1068" i="7"/>
  <c r="P1068" i="7"/>
  <c r="L1069" i="7"/>
  <c r="I1072" i="7"/>
  <c r="P1072" i="7"/>
  <c r="L1073" i="7"/>
  <c r="I1076" i="7"/>
  <c r="P1076" i="7"/>
  <c r="L1077" i="7"/>
  <c r="N1096" i="7"/>
  <c r="M1096" i="7"/>
  <c r="M888" i="7"/>
  <c r="L889" i="7"/>
  <c r="H890" i="7"/>
  <c r="M892" i="7"/>
  <c r="L893" i="7"/>
  <c r="H897" i="7"/>
  <c r="N897" i="7"/>
  <c r="I899" i="7"/>
  <c r="P899" i="7"/>
  <c r="L901" i="7"/>
  <c r="M903" i="7"/>
  <c r="H905" i="7"/>
  <c r="N905" i="7"/>
  <c r="I907" i="7"/>
  <c r="P907" i="7"/>
  <c r="M909" i="7"/>
  <c r="I911" i="7"/>
  <c r="P911" i="7"/>
  <c r="M913" i="7"/>
  <c r="I915" i="7"/>
  <c r="J915" i="7" s="1"/>
  <c r="P915" i="7"/>
  <c r="L918" i="7"/>
  <c r="H919" i="7"/>
  <c r="M921" i="7"/>
  <c r="L922" i="7"/>
  <c r="H923" i="7"/>
  <c r="M925" i="7"/>
  <c r="L926" i="7"/>
  <c r="H927" i="7"/>
  <c r="M929" i="7"/>
  <c r="L930" i="7"/>
  <c r="H931" i="7"/>
  <c r="I934" i="7"/>
  <c r="P934" i="7"/>
  <c r="M936" i="7"/>
  <c r="I938" i="7"/>
  <c r="J938" i="7" s="1"/>
  <c r="P938" i="7"/>
  <c r="M940" i="7"/>
  <c r="I942" i="7"/>
  <c r="J942" i="7" s="1"/>
  <c r="P942" i="7"/>
  <c r="M945" i="7"/>
  <c r="P946" i="7"/>
  <c r="H953" i="7"/>
  <c r="H957" i="7"/>
  <c r="H961" i="7"/>
  <c r="P965" i="7"/>
  <c r="M968" i="7"/>
  <c r="P969" i="7"/>
  <c r="M972" i="7"/>
  <c r="P973" i="7"/>
  <c r="M976" i="7"/>
  <c r="P977" i="7"/>
  <c r="M980" i="7"/>
  <c r="L1036" i="7"/>
  <c r="N1037" i="7"/>
  <c r="L1040" i="7"/>
  <c r="N1041" i="7"/>
  <c r="L1044" i="7"/>
  <c r="N1045" i="7"/>
  <c r="L1048" i="7"/>
  <c r="N1049" i="7"/>
  <c r="L1052" i="7"/>
  <c r="N1053" i="7"/>
  <c r="L1056" i="7"/>
  <c r="N1057" i="7"/>
  <c r="L1060" i="7"/>
  <c r="N1061" i="7"/>
  <c r="L1064" i="7"/>
  <c r="N1065" i="7"/>
  <c r="L1068" i="7"/>
  <c r="N1069" i="7"/>
  <c r="L1072" i="7"/>
  <c r="N1073" i="7"/>
  <c r="L1076" i="7"/>
  <c r="N1077" i="7"/>
  <c r="O1082" i="7"/>
  <c r="N1082" i="7"/>
  <c r="H1082" i="7"/>
  <c r="L1082" i="7"/>
  <c r="P1082" i="7"/>
  <c r="N1098" i="7"/>
  <c r="M1098" i="7"/>
  <c r="N888" i="7"/>
  <c r="P889" i="7"/>
  <c r="I890" i="7"/>
  <c r="N892" i="7"/>
  <c r="P893" i="7"/>
  <c r="I897" i="7"/>
  <c r="P897" i="7"/>
  <c r="L899" i="7"/>
  <c r="M901" i="7"/>
  <c r="H903" i="7"/>
  <c r="N903" i="7"/>
  <c r="I905" i="7"/>
  <c r="P905" i="7"/>
  <c r="L907" i="7"/>
  <c r="H909" i="7"/>
  <c r="N909" i="7"/>
  <c r="L911" i="7"/>
  <c r="H913" i="7"/>
  <c r="N913" i="7"/>
  <c r="L915" i="7"/>
  <c r="P918" i="7"/>
  <c r="I919" i="7"/>
  <c r="N921" i="7"/>
  <c r="P922" i="7"/>
  <c r="I923" i="7"/>
  <c r="N925" i="7"/>
  <c r="P926" i="7"/>
  <c r="I927" i="7"/>
  <c r="N929" i="7"/>
  <c r="P930" i="7"/>
  <c r="I931" i="7"/>
  <c r="L934" i="7"/>
  <c r="H936" i="7"/>
  <c r="N936" i="7"/>
  <c r="L938" i="7"/>
  <c r="H940" i="7"/>
  <c r="N940" i="7"/>
  <c r="L942" i="7"/>
  <c r="L943" i="7"/>
  <c r="H945" i="7"/>
  <c r="N945" i="7"/>
  <c r="I946" i="7"/>
  <c r="L947" i="7"/>
  <c r="M953" i="7"/>
  <c r="M957" i="7"/>
  <c r="M961" i="7"/>
  <c r="I965" i="7"/>
  <c r="L966" i="7"/>
  <c r="N967" i="7"/>
  <c r="H968" i="7"/>
  <c r="N968" i="7"/>
  <c r="I969" i="7"/>
  <c r="L970" i="7"/>
  <c r="N971" i="7"/>
  <c r="H972" i="7"/>
  <c r="N972" i="7"/>
  <c r="I973" i="7"/>
  <c r="L974" i="7"/>
  <c r="N975" i="7"/>
  <c r="H976" i="7"/>
  <c r="N976" i="7"/>
  <c r="I977" i="7"/>
  <c r="L978" i="7"/>
  <c r="N979" i="7"/>
  <c r="H980" i="7"/>
  <c r="N980" i="7"/>
  <c r="M984" i="7"/>
  <c r="M988" i="7"/>
  <c r="M992" i="7"/>
  <c r="M996" i="7"/>
  <c r="M1000" i="7"/>
  <c r="M1004" i="7"/>
  <c r="M1008" i="7"/>
  <c r="M1012" i="7"/>
  <c r="M1016" i="7"/>
  <c r="M1020" i="7"/>
  <c r="M1024" i="7"/>
  <c r="M1028" i="7"/>
  <c r="M1032" i="7"/>
  <c r="M1036" i="7"/>
  <c r="P1037" i="7"/>
  <c r="I1038" i="7"/>
  <c r="P1038" i="7"/>
  <c r="M1040" i="7"/>
  <c r="P1041" i="7"/>
  <c r="I1042" i="7"/>
  <c r="P1042" i="7"/>
  <c r="M1044" i="7"/>
  <c r="P1045" i="7"/>
  <c r="I1046" i="7"/>
  <c r="P1046" i="7"/>
  <c r="M1048" i="7"/>
  <c r="P1049" i="7"/>
  <c r="I1050" i="7"/>
  <c r="J1050" i="7" s="1"/>
  <c r="P1050" i="7"/>
  <c r="M1052" i="7"/>
  <c r="P1053" i="7"/>
  <c r="I1054" i="7"/>
  <c r="J1054" i="7" s="1"/>
  <c r="P1054" i="7"/>
  <c r="M1056" i="7"/>
  <c r="P1057" i="7"/>
  <c r="I1058" i="7"/>
  <c r="P1058" i="7"/>
  <c r="M1060" i="7"/>
  <c r="P1061" i="7"/>
  <c r="I1062" i="7"/>
  <c r="P1062" i="7"/>
  <c r="L1063" i="7"/>
  <c r="M1064" i="7"/>
  <c r="P1065" i="7"/>
  <c r="I1066" i="7"/>
  <c r="J1066" i="7" s="1"/>
  <c r="P1066" i="7"/>
  <c r="L1067" i="7"/>
  <c r="M1068" i="7"/>
  <c r="P1069" i="7"/>
  <c r="I1070" i="7"/>
  <c r="P1070" i="7"/>
  <c r="L1071" i="7"/>
  <c r="M1072" i="7"/>
  <c r="P1073" i="7"/>
  <c r="I1074" i="7"/>
  <c r="P1074" i="7"/>
  <c r="L1075" i="7"/>
  <c r="M1076" i="7"/>
  <c r="P1077" i="7"/>
  <c r="I1078" i="7"/>
  <c r="J1078" i="7" s="1"/>
  <c r="P1078" i="7"/>
  <c r="L1079" i="7"/>
  <c r="H1096" i="7"/>
  <c r="N1100" i="7"/>
  <c r="M1100" i="7"/>
  <c r="N1117" i="7"/>
  <c r="I1117" i="7"/>
  <c r="O1117" i="7"/>
  <c r="H1117" i="7"/>
  <c r="N1125" i="7"/>
  <c r="I1125" i="7"/>
  <c r="O1125" i="7"/>
  <c r="H1125" i="7"/>
  <c r="M890" i="7"/>
  <c r="L897" i="7"/>
  <c r="I903" i="7"/>
  <c r="J903" i="7" s="1"/>
  <c r="P903" i="7"/>
  <c r="L905" i="7"/>
  <c r="I909" i="7"/>
  <c r="P909" i="7"/>
  <c r="I913" i="7"/>
  <c r="P913" i="7"/>
  <c r="M919" i="7"/>
  <c r="M923" i="7"/>
  <c r="M927" i="7"/>
  <c r="M931" i="7"/>
  <c r="I936" i="7"/>
  <c r="J936" i="7" s="1"/>
  <c r="P936" i="7"/>
  <c r="I940" i="7"/>
  <c r="P940" i="7"/>
  <c r="I945" i="7"/>
  <c r="P945" i="7"/>
  <c r="L946" i="7"/>
  <c r="H951" i="7"/>
  <c r="H955" i="7"/>
  <c r="H959" i="7"/>
  <c r="L965" i="7"/>
  <c r="M966" i="7"/>
  <c r="P967" i="7"/>
  <c r="I968" i="7"/>
  <c r="P968" i="7"/>
  <c r="L969" i="7"/>
  <c r="M970" i="7"/>
  <c r="P971" i="7"/>
  <c r="I972" i="7"/>
  <c r="P972" i="7"/>
  <c r="L973" i="7"/>
  <c r="M974" i="7"/>
  <c r="P975" i="7"/>
  <c r="I976" i="7"/>
  <c r="P976" i="7"/>
  <c r="L977" i="7"/>
  <c r="M978" i="7"/>
  <c r="P979" i="7"/>
  <c r="I980" i="7"/>
  <c r="P980" i="7"/>
  <c r="H986" i="7"/>
  <c r="H990" i="7"/>
  <c r="H994" i="7"/>
  <c r="H998" i="7"/>
  <c r="H1002" i="7"/>
  <c r="H1006" i="7"/>
  <c r="H1010" i="7"/>
  <c r="H1014" i="7"/>
  <c r="H1018" i="7"/>
  <c r="H1022" i="7"/>
  <c r="H1026" i="7"/>
  <c r="H1030" i="7"/>
  <c r="H1036" i="7"/>
  <c r="N1036" i="7"/>
  <c r="I1037" i="7"/>
  <c r="L1038" i="7"/>
  <c r="N1039" i="7"/>
  <c r="H1040" i="7"/>
  <c r="N1040" i="7"/>
  <c r="I1041" i="7"/>
  <c r="L1042" i="7"/>
  <c r="N1043" i="7"/>
  <c r="H1044" i="7"/>
  <c r="N1044" i="7"/>
  <c r="I1045" i="7"/>
  <c r="L1046" i="7"/>
  <c r="N1047" i="7"/>
  <c r="H1048" i="7"/>
  <c r="N1048" i="7"/>
  <c r="I1049" i="7"/>
  <c r="L1050" i="7"/>
  <c r="N1051" i="7"/>
  <c r="H1052" i="7"/>
  <c r="N1052" i="7"/>
  <c r="I1053" i="7"/>
  <c r="L1054" i="7"/>
  <c r="N1055" i="7"/>
  <c r="H1056" i="7"/>
  <c r="N1056" i="7"/>
  <c r="I1057" i="7"/>
  <c r="L1058" i="7"/>
  <c r="N1059" i="7"/>
  <c r="H1060" i="7"/>
  <c r="N1060" i="7"/>
  <c r="I1061" i="7"/>
  <c r="L1062" i="7"/>
  <c r="N1063" i="7"/>
  <c r="H1064" i="7"/>
  <c r="N1064" i="7"/>
  <c r="I1065" i="7"/>
  <c r="L1066" i="7"/>
  <c r="N1067" i="7"/>
  <c r="H1068" i="7"/>
  <c r="N1068" i="7"/>
  <c r="I1069" i="7"/>
  <c r="L1070" i="7"/>
  <c r="N1071" i="7"/>
  <c r="H1072" i="7"/>
  <c r="N1072" i="7"/>
  <c r="I1073" i="7"/>
  <c r="L1074" i="7"/>
  <c r="N1075" i="7"/>
  <c r="H1076" i="7"/>
  <c r="N1076" i="7"/>
  <c r="I1077" i="7"/>
  <c r="L1078" i="7"/>
  <c r="N1079" i="7"/>
  <c r="I1082" i="7"/>
  <c r="H1098" i="7"/>
  <c r="N1102" i="7"/>
  <c r="M1102" i="7"/>
  <c r="H1102" i="7"/>
  <c r="P1120" i="7"/>
  <c r="M1120" i="7"/>
  <c r="H1120" i="7"/>
  <c r="P1110" i="7"/>
  <c r="M1113" i="7"/>
  <c r="O1116" i="7"/>
  <c r="M1121" i="7"/>
  <c r="O1124" i="7"/>
  <c r="M1129" i="7"/>
  <c r="M1135" i="7"/>
  <c r="M1139" i="7"/>
  <c r="L1153" i="7"/>
  <c r="L1157" i="7"/>
  <c r="L1161" i="7"/>
  <c r="L1165" i="7"/>
  <c r="L1198" i="7"/>
  <c r="L1202" i="7"/>
  <c r="L1206" i="7"/>
  <c r="L1210" i="7"/>
  <c r="L1214" i="7"/>
  <c r="L1218" i="7"/>
  <c r="L1222" i="7"/>
  <c r="M1237" i="7"/>
  <c r="L1252" i="7"/>
  <c r="N1253" i="7"/>
  <c r="L1256" i="7"/>
  <c r="N1257" i="7"/>
  <c r="L1260" i="7"/>
  <c r="N1261" i="7"/>
  <c r="L1264" i="7"/>
  <c r="N1265" i="7"/>
  <c r="L1268" i="7"/>
  <c r="N1269" i="7"/>
  <c r="L1272" i="7"/>
  <c r="N1273" i="7"/>
  <c r="L1276" i="7"/>
  <c r="N1277" i="7"/>
  <c r="L1280" i="7"/>
  <c r="N1281" i="7"/>
  <c r="L1284" i="7"/>
  <c r="N1285" i="7"/>
  <c r="L1288" i="7"/>
  <c r="L1327" i="7"/>
  <c r="N1328" i="7"/>
  <c r="L1331" i="7"/>
  <c r="N1332" i="7"/>
  <c r="L1335" i="7"/>
  <c r="N1336" i="7"/>
  <c r="L1339" i="7"/>
  <c r="N1340" i="7"/>
  <c r="L1343" i="7"/>
  <c r="L1345" i="7"/>
  <c r="L1347" i="7"/>
  <c r="L1349" i="7"/>
  <c r="L1351" i="7"/>
  <c r="L1353" i="7"/>
  <c r="L1355" i="7"/>
  <c r="L1357" i="7"/>
  <c r="O1359" i="7"/>
  <c r="L1359" i="7"/>
  <c r="N1359" i="7"/>
  <c r="H1359" i="7"/>
  <c r="J1359" i="7" s="1"/>
  <c r="P1359" i="7"/>
  <c r="N1083" i="7"/>
  <c r="L1086" i="7"/>
  <c r="N1087" i="7"/>
  <c r="L1090" i="7"/>
  <c r="N1091" i="7"/>
  <c r="N1111" i="7"/>
  <c r="N1113" i="7"/>
  <c r="M1115" i="7"/>
  <c r="P1116" i="7"/>
  <c r="O1118" i="7"/>
  <c r="N1121" i="7"/>
  <c r="M1123" i="7"/>
  <c r="P1124" i="7"/>
  <c r="O1126" i="7"/>
  <c r="M1128" i="7"/>
  <c r="N1129" i="7"/>
  <c r="M1131" i="7"/>
  <c r="I1133" i="7"/>
  <c r="N1135" i="7"/>
  <c r="I1137" i="7"/>
  <c r="J1137" i="7" s="1"/>
  <c r="N1139" i="7"/>
  <c r="I1141" i="7"/>
  <c r="M1145" i="7"/>
  <c r="M1149" i="7"/>
  <c r="M1153" i="7"/>
  <c r="I1155" i="7"/>
  <c r="J1155" i="7" s="1"/>
  <c r="P1155" i="7"/>
  <c r="M1157" i="7"/>
  <c r="I1159" i="7"/>
  <c r="P1159" i="7"/>
  <c r="M1161" i="7"/>
  <c r="I1163" i="7"/>
  <c r="P1163" i="7"/>
  <c r="M1165" i="7"/>
  <c r="M1170" i="7"/>
  <c r="L1171" i="7"/>
  <c r="H1172" i="7"/>
  <c r="M1174" i="7"/>
  <c r="L1175" i="7"/>
  <c r="H1176" i="7"/>
  <c r="M1178" i="7"/>
  <c r="L1179" i="7"/>
  <c r="H1180" i="7"/>
  <c r="M1182" i="7"/>
  <c r="L1183" i="7"/>
  <c r="H1184" i="7"/>
  <c r="M1186" i="7"/>
  <c r="L1187" i="7"/>
  <c r="H1188" i="7"/>
  <c r="M1190" i="7"/>
  <c r="L1191" i="7"/>
  <c r="I1196" i="7"/>
  <c r="J1196" i="7" s="1"/>
  <c r="P1196" i="7"/>
  <c r="M1198" i="7"/>
  <c r="I1200" i="7"/>
  <c r="J1200" i="7" s="1"/>
  <c r="P1200" i="7"/>
  <c r="M1202" i="7"/>
  <c r="I1204" i="7"/>
  <c r="J1204" i="7" s="1"/>
  <c r="P1204" i="7"/>
  <c r="M1206" i="7"/>
  <c r="I1208" i="7"/>
  <c r="P1208" i="7"/>
  <c r="M1210" i="7"/>
  <c r="I1212" i="7"/>
  <c r="J1212" i="7" s="1"/>
  <c r="P1212" i="7"/>
  <c r="M1214" i="7"/>
  <c r="I1216" i="7"/>
  <c r="P1216" i="7"/>
  <c r="M1218" i="7"/>
  <c r="I1220" i="7"/>
  <c r="P1220" i="7"/>
  <c r="M1222" i="7"/>
  <c r="M1227" i="7"/>
  <c r="L1228" i="7"/>
  <c r="H1229" i="7"/>
  <c r="J1229" i="7" s="1"/>
  <c r="M1231" i="7"/>
  <c r="L1232" i="7"/>
  <c r="H1233" i="7"/>
  <c r="N1237" i="7"/>
  <c r="M1241" i="7"/>
  <c r="M1245" i="7"/>
  <c r="L1251" i="7"/>
  <c r="M1252" i="7"/>
  <c r="P1253" i="7"/>
  <c r="I1254" i="7"/>
  <c r="J1254" i="7" s="1"/>
  <c r="P1254" i="7"/>
  <c r="L1255" i="7"/>
  <c r="M1256" i="7"/>
  <c r="P1257" i="7"/>
  <c r="I1258" i="7"/>
  <c r="J1258" i="7" s="1"/>
  <c r="P1258" i="7"/>
  <c r="L1259" i="7"/>
  <c r="M1260" i="7"/>
  <c r="P1261" i="7"/>
  <c r="I1262" i="7"/>
  <c r="P1262" i="7"/>
  <c r="L1263" i="7"/>
  <c r="M1264" i="7"/>
  <c r="P1265" i="7"/>
  <c r="I1266" i="7"/>
  <c r="J1266" i="7" s="1"/>
  <c r="P1266" i="7"/>
  <c r="L1267" i="7"/>
  <c r="M1268" i="7"/>
  <c r="P1269" i="7"/>
  <c r="I1270" i="7"/>
  <c r="J1270" i="7" s="1"/>
  <c r="P1270" i="7"/>
  <c r="L1271" i="7"/>
  <c r="M1272" i="7"/>
  <c r="P1273" i="7"/>
  <c r="I1274" i="7"/>
  <c r="J1274" i="7" s="1"/>
  <c r="P1274" i="7"/>
  <c r="L1275" i="7"/>
  <c r="M1276" i="7"/>
  <c r="P1277" i="7"/>
  <c r="I1278" i="7"/>
  <c r="J1278" i="7" s="1"/>
  <c r="P1278" i="7"/>
  <c r="L1279" i="7"/>
  <c r="M1280" i="7"/>
  <c r="P1281" i="7"/>
  <c r="I1282" i="7"/>
  <c r="P1282" i="7"/>
  <c r="L1283" i="7"/>
  <c r="M1284" i="7"/>
  <c r="P1285" i="7"/>
  <c r="I1286" i="7"/>
  <c r="J1286" i="7" s="1"/>
  <c r="P1286" i="7"/>
  <c r="L1287" i="7"/>
  <c r="M1288" i="7"/>
  <c r="H1309" i="7"/>
  <c r="M1327" i="7"/>
  <c r="P1328" i="7"/>
  <c r="I1329" i="7"/>
  <c r="P1329" i="7"/>
  <c r="L1330" i="7"/>
  <c r="M1331" i="7"/>
  <c r="P1332" i="7"/>
  <c r="I1333" i="7"/>
  <c r="J1333" i="7" s="1"/>
  <c r="P1333" i="7"/>
  <c r="L1334" i="7"/>
  <c r="M1335" i="7"/>
  <c r="P1336" i="7"/>
  <c r="I1337" i="7"/>
  <c r="P1337" i="7"/>
  <c r="L1338" i="7"/>
  <c r="M1339" i="7"/>
  <c r="P1340" i="7"/>
  <c r="I1341" i="7"/>
  <c r="J1341" i="7" s="1"/>
  <c r="P1341" i="7"/>
  <c r="L1342" i="7"/>
  <c r="M1343" i="7"/>
  <c r="M1345" i="7"/>
  <c r="M1347" i="7"/>
  <c r="M1349" i="7"/>
  <c r="M1351" i="7"/>
  <c r="M1353" i="7"/>
  <c r="M1355" i="7"/>
  <c r="M1357" i="7"/>
  <c r="O1128" i="7"/>
  <c r="H1129" i="7"/>
  <c r="M1133" i="7"/>
  <c r="L1134" i="7"/>
  <c r="H1135" i="7"/>
  <c r="M1137" i="7"/>
  <c r="L1138" i="7"/>
  <c r="H1139" i="7"/>
  <c r="M1141" i="7"/>
  <c r="H1153" i="7"/>
  <c r="N1153" i="7"/>
  <c r="L1155" i="7"/>
  <c r="H1157" i="7"/>
  <c r="N1157" i="7"/>
  <c r="L1159" i="7"/>
  <c r="H1161" i="7"/>
  <c r="N1161" i="7"/>
  <c r="L1163" i="7"/>
  <c r="H1165" i="7"/>
  <c r="N1165" i="7"/>
  <c r="L1196" i="7"/>
  <c r="H1198" i="7"/>
  <c r="N1198" i="7"/>
  <c r="L1200" i="7"/>
  <c r="H1202" i="7"/>
  <c r="N1202" i="7"/>
  <c r="L1204" i="7"/>
  <c r="H1206" i="7"/>
  <c r="N1206" i="7"/>
  <c r="L1208" i="7"/>
  <c r="H1210" i="7"/>
  <c r="N1210" i="7"/>
  <c r="L1212" i="7"/>
  <c r="H1214" i="7"/>
  <c r="N1214" i="7"/>
  <c r="L1216" i="7"/>
  <c r="H1218" i="7"/>
  <c r="N1218" i="7"/>
  <c r="L1220" i="7"/>
  <c r="H1222" i="7"/>
  <c r="N1222" i="7"/>
  <c r="L1236" i="7"/>
  <c r="H1237" i="7"/>
  <c r="H1239" i="7"/>
  <c r="H1243" i="7"/>
  <c r="H1247" i="7"/>
  <c r="N1251" i="7"/>
  <c r="H1252" i="7"/>
  <c r="N1252" i="7"/>
  <c r="I1253" i="7"/>
  <c r="L1254" i="7"/>
  <c r="N1255" i="7"/>
  <c r="H1256" i="7"/>
  <c r="N1256" i="7"/>
  <c r="I1257" i="7"/>
  <c r="L1258" i="7"/>
  <c r="N1259" i="7"/>
  <c r="H1260" i="7"/>
  <c r="N1260" i="7"/>
  <c r="I1261" i="7"/>
  <c r="L1262" i="7"/>
  <c r="N1263" i="7"/>
  <c r="H1264" i="7"/>
  <c r="N1264" i="7"/>
  <c r="I1265" i="7"/>
  <c r="L1266" i="7"/>
  <c r="N1267" i="7"/>
  <c r="H1268" i="7"/>
  <c r="N1268" i="7"/>
  <c r="I1269" i="7"/>
  <c r="L1270" i="7"/>
  <c r="N1271" i="7"/>
  <c r="H1272" i="7"/>
  <c r="N1272" i="7"/>
  <c r="I1273" i="7"/>
  <c r="L1274" i="7"/>
  <c r="N1275" i="7"/>
  <c r="H1276" i="7"/>
  <c r="N1276" i="7"/>
  <c r="I1277" i="7"/>
  <c r="L1278" i="7"/>
  <c r="N1279" i="7"/>
  <c r="H1280" i="7"/>
  <c r="N1280" i="7"/>
  <c r="I1281" i="7"/>
  <c r="L1282" i="7"/>
  <c r="N1283" i="7"/>
  <c r="H1284" i="7"/>
  <c r="N1284" i="7"/>
  <c r="I1285" i="7"/>
  <c r="L1286" i="7"/>
  <c r="N1287" i="7"/>
  <c r="H1288" i="7"/>
  <c r="N1288" i="7"/>
  <c r="H1311" i="7"/>
  <c r="H1323" i="7"/>
  <c r="H1327" i="7"/>
  <c r="N1327" i="7"/>
  <c r="I1328" i="7"/>
  <c r="L1329" i="7"/>
  <c r="N1330" i="7"/>
  <c r="H1331" i="7"/>
  <c r="N1331" i="7"/>
  <c r="I1332" i="7"/>
  <c r="L1333" i="7"/>
  <c r="N1334" i="7"/>
  <c r="H1335" i="7"/>
  <c r="N1335" i="7"/>
  <c r="I1336" i="7"/>
  <c r="L1337" i="7"/>
  <c r="N1338" i="7"/>
  <c r="H1339" i="7"/>
  <c r="N1339" i="7"/>
  <c r="I1340" i="7"/>
  <c r="L1341" i="7"/>
  <c r="N1342" i="7"/>
  <c r="H1343" i="7"/>
  <c r="N1343" i="7"/>
  <c r="I1344" i="7"/>
  <c r="H1345" i="7"/>
  <c r="N1345" i="7"/>
  <c r="I1346" i="7"/>
  <c r="H1347" i="7"/>
  <c r="N1347" i="7"/>
  <c r="I1348" i="7"/>
  <c r="H1349" i="7"/>
  <c r="N1349" i="7"/>
  <c r="I1350" i="7"/>
  <c r="H1351" i="7"/>
  <c r="N1351" i="7"/>
  <c r="L1080" i="7"/>
  <c r="N1081" i="7"/>
  <c r="I1083" i="7"/>
  <c r="L1084" i="7"/>
  <c r="N1085" i="7"/>
  <c r="H1086" i="7"/>
  <c r="J1086" i="7" s="1"/>
  <c r="N1086" i="7"/>
  <c r="I1087" i="7"/>
  <c r="L1088" i="7"/>
  <c r="N1089" i="7"/>
  <c r="H1090" i="7"/>
  <c r="J1090" i="7" s="1"/>
  <c r="N1090" i="7"/>
  <c r="I1091" i="7"/>
  <c r="L1092" i="7"/>
  <c r="M1104" i="7"/>
  <c r="N1107" i="7"/>
  <c r="O1108" i="7"/>
  <c r="N1109" i="7"/>
  <c r="H1115" i="7"/>
  <c r="J1115" i="7" s="1"/>
  <c r="H1123" i="7"/>
  <c r="I1129" i="7"/>
  <c r="H1131" i="7"/>
  <c r="J1131" i="7" s="1"/>
  <c r="N1133" i="7"/>
  <c r="I1135" i="7"/>
  <c r="N1137" i="7"/>
  <c r="I1139" i="7"/>
  <c r="N1141" i="7"/>
  <c r="M1143" i="7"/>
  <c r="L1144" i="7"/>
  <c r="H1145" i="7"/>
  <c r="J1145" i="7" s="1"/>
  <c r="M1147" i="7"/>
  <c r="L1148" i="7"/>
  <c r="H1149" i="7"/>
  <c r="I1153" i="7"/>
  <c r="P1153" i="7"/>
  <c r="M1155" i="7"/>
  <c r="I1157" i="7"/>
  <c r="P1157" i="7"/>
  <c r="M1159" i="7"/>
  <c r="I1161" i="7"/>
  <c r="P1161" i="7"/>
  <c r="M1163" i="7"/>
  <c r="I1165" i="7"/>
  <c r="P1165" i="7"/>
  <c r="L1169" i="7"/>
  <c r="H1170" i="7"/>
  <c r="J1170" i="7" s="1"/>
  <c r="M1172" i="7"/>
  <c r="L1173" i="7"/>
  <c r="H1174" i="7"/>
  <c r="J1174" i="7" s="1"/>
  <c r="M1176" i="7"/>
  <c r="L1177" i="7"/>
  <c r="H1178" i="7"/>
  <c r="J1178" i="7" s="1"/>
  <c r="M1180" i="7"/>
  <c r="L1181" i="7"/>
  <c r="H1182" i="7"/>
  <c r="M1184" i="7"/>
  <c r="L1185" i="7"/>
  <c r="H1186" i="7"/>
  <c r="J1186" i="7" s="1"/>
  <c r="M1188" i="7"/>
  <c r="L1189" i="7"/>
  <c r="M1196" i="7"/>
  <c r="I1198" i="7"/>
  <c r="P1198" i="7"/>
  <c r="M1200" i="7"/>
  <c r="I1202" i="7"/>
  <c r="P1202" i="7"/>
  <c r="M1204" i="7"/>
  <c r="I1206" i="7"/>
  <c r="P1206" i="7"/>
  <c r="M1208" i="7"/>
  <c r="I1210" i="7"/>
  <c r="P1210" i="7"/>
  <c r="M1212" i="7"/>
  <c r="I1214" i="7"/>
  <c r="P1214" i="7"/>
  <c r="M1216" i="7"/>
  <c r="I1218" i="7"/>
  <c r="P1218" i="7"/>
  <c r="M1220" i="7"/>
  <c r="I1222" i="7"/>
  <c r="P1222" i="7"/>
  <c r="M1229" i="7"/>
  <c r="M1233" i="7"/>
  <c r="P1236" i="7"/>
  <c r="I1237" i="7"/>
  <c r="M1239" i="7"/>
  <c r="M1243" i="7"/>
  <c r="M1247" i="7"/>
  <c r="P1251" i="7"/>
  <c r="I1252" i="7"/>
  <c r="P1252" i="7"/>
  <c r="L1253" i="7"/>
  <c r="M1254" i="7"/>
  <c r="P1255" i="7"/>
  <c r="I1256" i="7"/>
  <c r="P1256" i="7"/>
  <c r="L1257" i="7"/>
  <c r="M1258" i="7"/>
  <c r="P1259" i="7"/>
  <c r="I1260" i="7"/>
  <c r="P1260" i="7"/>
  <c r="L1261" i="7"/>
  <c r="M1262" i="7"/>
  <c r="P1263" i="7"/>
  <c r="I1264" i="7"/>
  <c r="P1264" i="7"/>
  <c r="L1265" i="7"/>
  <c r="M1266" i="7"/>
  <c r="P1267" i="7"/>
  <c r="I1268" i="7"/>
  <c r="P1268" i="7"/>
  <c r="L1269" i="7"/>
  <c r="M1270" i="7"/>
  <c r="P1271" i="7"/>
  <c r="I1272" i="7"/>
  <c r="P1272" i="7"/>
  <c r="L1273" i="7"/>
  <c r="M1274" i="7"/>
  <c r="P1275" i="7"/>
  <c r="I1276" i="7"/>
  <c r="P1276" i="7"/>
  <c r="L1277" i="7"/>
  <c r="M1278" i="7"/>
  <c r="P1279" i="7"/>
  <c r="I1280" i="7"/>
  <c r="P1280" i="7"/>
  <c r="L1281" i="7"/>
  <c r="M1282" i="7"/>
  <c r="P1283" i="7"/>
  <c r="I1284" i="7"/>
  <c r="P1284" i="7"/>
  <c r="L1285" i="7"/>
  <c r="M1286" i="7"/>
  <c r="P1287" i="7"/>
  <c r="I1288" i="7"/>
  <c r="I1327" i="7"/>
  <c r="P1327" i="7"/>
  <c r="L1328" i="7"/>
  <c r="M1329" i="7"/>
  <c r="P1330" i="7"/>
  <c r="I1331" i="7"/>
  <c r="P1331" i="7"/>
  <c r="L1332" i="7"/>
  <c r="M1333" i="7"/>
  <c r="P1334" i="7"/>
  <c r="I1335" i="7"/>
  <c r="P1335" i="7"/>
  <c r="L1336" i="7"/>
  <c r="M1337" i="7"/>
  <c r="P1338" i="7"/>
  <c r="I1339" i="7"/>
  <c r="P1339" i="7"/>
  <c r="L1340" i="7"/>
  <c r="M1341" i="7"/>
  <c r="P1342" i="7"/>
  <c r="I1343" i="7"/>
  <c r="P1343" i="7"/>
  <c r="N1344" i="7"/>
  <c r="I1345" i="7"/>
  <c r="P1345" i="7"/>
  <c r="N1346" i="7"/>
  <c r="I1347" i="7"/>
  <c r="P1347" i="7"/>
  <c r="N1348" i="7"/>
  <c r="I1349" i="7"/>
  <c r="P1349" i="7"/>
  <c r="N1350" i="7"/>
  <c r="I1351" i="7"/>
  <c r="P1351" i="7"/>
  <c r="N1352" i="7"/>
  <c r="I1355" i="7"/>
  <c r="P1355" i="7"/>
  <c r="N1356" i="7"/>
  <c r="I1357" i="7"/>
  <c r="P1357" i="7"/>
  <c r="N1358" i="7"/>
  <c r="M1359" i="7"/>
  <c r="O1475" i="7"/>
  <c r="J73" i="7" s="1"/>
  <c r="M1432" i="7"/>
  <c r="M1436" i="7"/>
  <c r="P1438" i="7"/>
  <c r="L1441" i="7"/>
  <c r="H1442" i="7"/>
  <c r="N1442" i="7"/>
  <c r="L1443" i="7"/>
  <c r="H1444" i="7"/>
  <c r="J1444" i="7" s="1"/>
  <c r="N1444" i="7"/>
  <c r="L1445" i="7"/>
  <c r="H1446" i="7"/>
  <c r="J1446" i="7" s="1"/>
  <c r="N1446" i="7"/>
  <c r="L1447" i="7"/>
  <c r="H1448" i="7"/>
  <c r="J1448" i="7" s="1"/>
  <c r="N1448" i="7"/>
  <c r="L1449" i="7"/>
  <c r="M1455" i="7"/>
  <c r="M1459" i="7"/>
  <c r="N1463" i="7"/>
  <c r="I1464" i="7"/>
  <c r="P1464" i="7"/>
  <c r="L1465" i="7"/>
  <c r="I1468" i="7"/>
  <c r="P1468" i="7"/>
  <c r="L1469" i="7"/>
  <c r="L1472" i="7"/>
  <c r="M1476" i="7"/>
  <c r="N1484" i="7"/>
  <c r="L1487" i="7"/>
  <c r="N1488" i="7"/>
  <c r="L1491" i="7"/>
  <c r="N1492" i="7"/>
  <c r="L1495" i="7"/>
  <c r="N1496" i="7"/>
  <c r="M1501" i="7"/>
  <c r="M1505" i="7"/>
  <c r="M1509" i="7"/>
  <c r="I1513" i="7"/>
  <c r="P1513" i="7"/>
  <c r="I1517" i="7"/>
  <c r="P1517" i="7"/>
  <c r="I1521" i="7"/>
  <c r="P1521" i="7"/>
  <c r="I1525" i="7"/>
  <c r="P1525" i="7"/>
  <c r="I1528" i="7"/>
  <c r="P1528" i="7"/>
  <c r="O1529" i="7"/>
  <c r="P1545" i="7"/>
  <c r="I1546" i="7"/>
  <c r="P1549" i="7"/>
  <c r="I1550" i="7"/>
  <c r="P1553" i="7"/>
  <c r="I1554" i="7"/>
  <c r="P1557" i="7"/>
  <c r="I1558" i="7"/>
  <c r="P1561" i="7"/>
  <c r="I1562" i="7"/>
  <c r="P1565" i="7"/>
  <c r="I1566" i="7"/>
  <c r="L1573" i="7"/>
  <c r="L1577" i="7"/>
  <c r="L1581" i="7"/>
  <c r="L1585" i="7"/>
  <c r="L1589" i="7"/>
  <c r="L1593" i="7"/>
  <c r="L1597" i="7"/>
  <c r="P1609" i="7"/>
  <c r="I1609" i="7"/>
  <c r="H1609" i="7"/>
  <c r="O1612" i="7"/>
  <c r="P1612" i="7"/>
  <c r="L1612" i="7"/>
  <c r="P1617" i="7"/>
  <c r="I1617" i="7"/>
  <c r="H1617" i="7"/>
  <c r="O1620" i="7"/>
  <c r="P1620" i="7"/>
  <c r="L1620" i="7"/>
  <c r="I1360" i="7"/>
  <c r="M1372" i="7"/>
  <c r="M1376" i="7"/>
  <c r="M1380" i="7"/>
  <c r="M1384" i="7"/>
  <c r="M1388" i="7"/>
  <c r="M1392" i="7"/>
  <c r="L1408" i="7"/>
  <c r="L1410" i="7"/>
  <c r="L1412" i="7"/>
  <c r="L1414" i="7"/>
  <c r="L1416" i="7"/>
  <c r="L1418" i="7"/>
  <c r="L1464" i="7"/>
  <c r="N1465" i="7"/>
  <c r="L1468" i="7"/>
  <c r="N1469" i="7"/>
  <c r="N1472" i="7"/>
  <c r="L1513" i="7"/>
  <c r="L1517" i="7"/>
  <c r="L1521" i="7"/>
  <c r="L1525" i="7"/>
  <c r="L1528" i="7"/>
  <c r="P1529" i="7"/>
  <c r="M1546" i="7"/>
  <c r="M1550" i="7"/>
  <c r="M1554" i="7"/>
  <c r="M1558" i="7"/>
  <c r="M1562" i="7"/>
  <c r="M1566" i="7"/>
  <c r="P1603" i="7"/>
  <c r="N1603" i="7"/>
  <c r="M1603" i="7"/>
  <c r="P1605" i="7"/>
  <c r="I1605" i="7"/>
  <c r="N1605" i="7"/>
  <c r="O1626" i="7"/>
  <c r="N1626" i="7"/>
  <c r="H1626" i="7"/>
  <c r="M1626" i="7"/>
  <c r="P1626" i="7"/>
  <c r="O1630" i="7"/>
  <c r="N1630" i="7"/>
  <c r="H1630" i="7"/>
  <c r="M1630" i="7"/>
  <c r="P1630" i="7"/>
  <c r="O1634" i="7"/>
  <c r="N1634" i="7"/>
  <c r="H1634" i="7"/>
  <c r="M1634" i="7"/>
  <c r="P1634" i="7"/>
  <c r="O1638" i="7"/>
  <c r="N1638" i="7"/>
  <c r="H1638" i="7"/>
  <c r="M1638" i="7"/>
  <c r="P1638" i="7"/>
  <c r="M1414" i="7"/>
  <c r="M1416" i="7"/>
  <c r="M1418" i="7"/>
  <c r="M1422" i="7"/>
  <c r="L1442" i="7"/>
  <c r="L1444" i="7"/>
  <c r="L1446" i="7"/>
  <c r="L1448" i="7"/>
  <c r="L1450" i="7"/>
  <c r="M1464" i="7"/>
  <c r="P1465" i="7"/>
  <c r="M1468" i="7"/>
  <c r="P1469" i="7"/>
  <c r="P1472" i="7"/>
  <c r="H1478" i="7"/>
  <c r="I1484" i="7"/>
  <c r="L1485" i="7"/>
  <c r="N1486" i="7"/>
  <c r="H1487" i="7"/>
  <c r="N1487" i="7"/>
  <c r="I1488" i="7"/>
  <c r="L1489" i="7"/>
  <c r="N1490" i="7"/>
  <c r="H1491" i="7"/>
  <c r="N1491" i="7"/>
  <c r="I1492" i="7"/>
  <c r="L1493" i="7"/>
  <c r="N1494" i="7"/>
  <c r="H1495" i="7"/>
  <c r="N1495" i="7"/>
  <c r="I1496" i="7"/>
  <c r="L1497" i="7"/>
  <c r="M1499" i="7"/>
  <c r="I1500" i="7"/>
  <c r="H1501" i="7"/>
  <c r="M1503" i="7"/>
  <c r="I1504" i="7"/>
  <c r="H1505" i="7"/>
  <c r="M1507" i="7"/>
  <c r="I1508" i="7"/>
  <c r="H1509" i="7"/>
  <c r="M1513" i="7"/>
  <c r="J1515" i="7"/>
  <c r="M1517" i="7"/>
  <c r="J1519" i="7"/>
  <c r="M1521" i="7"/>
  <c r="M1525" i="7"/>
  <c r="M1528" i="7"/>
  <c r="M1539" i="7"/>
  <c r="O1542" i="7"/>
  <c r="N1546" i="7"/>
  <c r="N1550" i="7"/>
  <c r="N1554" i="7"/>
  <c r="N1558" i="7"/>
  <c r="N1562" i="7"/>
  <c r="J1564" i="7"/>
  <c r="N1566" i="7"/>
  <c r="L1571" i="7"/>
  <c r="H1573" i="7"/>
  <c r="N1573" i="7"/>
  <c r="L1575" i="7"/>
  <c r="H1577" i="7"/>
  <c r="N1577" i="7"/>
  <c r="L1579" i="7"/>
  <c r="H1581" i="7"/>
  <c r="N1581" i="7"/>
  <c r="L1583" i="7"/>
  <c r="H1585" i="7"/>
  <c r="N1585" i="7"/>
  <c r="L1587" i="7"/>
  <c r="H1589" i="7"/>
  <c r="N1589" i="7"/>
  <c r="L1591" i="7"/>
  <c r="H1593" i="7"/>
  <c r="N1593" i="7"/>
  <c r="L1595" i="7"/>
  <c r="H1597" i="7"/>
  <c r="N1597" i="7"/>
  <c r="L1599" i="7"/>
  <c r="O1604" i="7"/>
  <c r="P1604" i="7"/>
  <c r="P1607" i="7"/>
  <c r="N1607" i="7"/>
  <c r="M1607" i="7"/>
  <c r="O1608" i="7"/>
  <c r="P1608" i="7"/>
  <c r="L1608" i="7"/>
  <c r="M1609" i="7"/>
  <c r="P1613" i="7"/>
  <c r="I1613" i="7"/>
  <c r="H1613" i="7"/>
  <c r="O1616" i="7"/>
  <c r="P1616" i="7"/>
  <c r="L1616" i="7"/>
  <c r="M1617" i="7"/>
  <c r="P1621" i="7"/>
  <c r="I1621" i="7"/>
  <c r="H1621" i="7"/>
  <c r="L1361" i="7"/>
  <c r="L1363" i="7"/>
  <c r="L1365" i="7"/>
  <c r="J1368" i="7"/>
  <c r="M1370" i="7"/>
  <c r="I1371" i="7"/>
  <c r="H1372" i="7"/>
  <c r="M1374" i="7"/>
  <c r="I1375" i="7"/>
  <c r="H1376" i="7"/>
  <c r="M1378" i="7"/>
  <c r="I1379" i="7"/>
  <c r="H1380" i="7"/>
  <c r="M1382" i="7"/>
  <c r="I1383" i="7"/>
  <c r="H1384" i="7"/>
  <c r="M1386" i="7"/>
  <c r="I1387" i="7"/>
  <c r="H1388" i="7"/>
  <c r="M1390" i="7"/>
  <c r="I1391" i="7"/>
  <c r="H1392" i="7"/>
  <c r="M1394" i="7"/>
  <c r="M1396" i="7"/>
  <c r="M1398" i="7"/>
  <c r="M1400" i="7"/>
  <c r="M1402" i="7"/>
  <c r="J1404" i="7"/>
  <c r="L1407" i="7"/>
  <c r="H1408" i="7"/>
  <c r="J1408" i="7" s="1"/>
  <c r="N1408" i="7"/>
  <c r="L1409" i="7"/>
  <c r="H1410" i="7"/>
  <c r="J1410" i="7" s="1"/>
  <c r="N1410" i="7"/>
  <c r="L1411" i="7"/>
  <c r="H1412" i="7"/>
  <c r="J1412" i="7" s="1"/>
  <c r="N1412" i="7"/>
  <c r="L1413" i="7"/>
  <c r="H1414" i="7"/>
  <c r="J1414" i="7" s="1"/>
  <c r="N1414" i="7"/>
  <c r="L1415" i="7"/>
  <c r="H1416" i="7"/>
  <c r="N1416" i="7"/>
  <c r="L1417" i="7"/>
  <c r="H1418" i="7"/>
  <c r="J1418" i="7" s="1"/>
  <c r="N1418" i="7"/>
  <c r="H1424" i="7"/>
  <c r="H1428" i="7"/>
  <c r="H1432" i="7"/>
  <c r="H1436" i="7"/>
  <c r="M1438" i="7"/>
  <c r="M1442" i="7"/>
  <c r="M1444" i="7"/>
  <c r="M1446" i="7"/>
  <c r="M1448" i="7"/>
  <c r="M1450" i="7"/>
  <c r="H1455" i="7"/>
  <c r="H1459" i="7"/>
  <c r="H1463" i="7"/>
  <c r="H1464" i="7"/>
  <c r="N1464" i="7"/>
  <c r="I1465" i="7"/>
  <c r="L1466" i="7"/>
  <c r="N1467" i="7"/>
  <c r="H1468" i="7"/>
  <c r="N1468" i="7"/>
  <c r="I1469" i="7"/>
  <c r="L1470" i="7"/>
  <c r="N1471" i="7"/>
  <c r="I1472" i="7"/>
  <c r="L1473" i="7"/>
  <c r="H1476" i="7"/>
  <c r="M1478" i="7"/>
  <c r="L1484" i="7"/>
  <c r="M1485" i="7"/>
  <c r="P1486" i="7"/>
  <c r="I1487" i="7"/>
  <c r="P1487" i="7"/>
  <c r="L1488" i="7"/>
  <c r="M1489" i="7"/>
  <c r="P1490" i="7"/>
  <c r="I1491" i="7"/>
  <c r="P1491" i="7"/>
  <c r="L1492" i="7"/>
  <c r="M1493" i="7"/>
  <c r="P1494" i="7"/>
  <c r="I1495" i="7"/>
  <c r="P1495" i="7"/>
  <c r="L1496" i="7"/>
  <c r="M1497" i="7"/>
  <c r="P1499" i="7"/>
  <c r="N1500" i="7"/>
  <c r="L1501" i="7"/>
  <c r="P1503" i="7"/>
  <c r="N1504" i="7"/>
  <c r="L1505" i="7"/>
  <c r="P1507" i="7"/>
  <c r="N1508" i="7"/>
  <c r="L1509" i="7"/>
  <c r="H1513" i="7"/>
  <c r="N1513" i="7"/>
  <c r="L1515" i="7"/>
  <c r="H1517" i="7"/>
  <c r="N1517" i="7"/>
  <c r="L1519" i="7"/>
  <c r="H1521" i="7"/>
  <c r="N1521" i="7"/>
  <c r="L1523" i="7"/>
  <c r="H1525" i="7"/>
  <c r="N1525" i="7"/>
  <c r="H1528" i="7"/>
  <c r="N1528" i="7"/>
  <c r="M1538" i="7"/>
  <c r="M1544" i="7"/>
  <c r="L1545" i="7"/>
  <c r="H1546" i="7"/>
  <c r="M1548" i="7"/>
  <c r="L1549" i="7"/>
  <c r="H1550" i="7"/>
  <c r="M1552" i="7"/>
  <c r="L1553" i="7"/>
  <c r="H1554" i="7"/>
  <c r="M1556" i="7"/>
  <c r="L1557" i="7"/>
  <c r="H1558" i="7"/>
  <c r="M1560" i="7"/>
  <c r="L1561" i="7"/>
  <c r="H1562" i="7"/>
  <c r="M1564" i="7"/>
  <c r="L1565" i="7"/>
  <c r="H1566" i="7"/>
  <c r="M1568" i="7"/>
  <c r="M1571" i="7"/>
  <c r="I1573" i="7"/>
  <c r="P1573" i="7"/>
  <c r="M1575" i="7"/>
  <c r="I1577" i="7"/>
  <c r="P1577" i="7"/>
  <c r="M1579" i="7"/>
  <c r="I1581" i="7"/>
  <c r="P1581" i="7"/>
  <c r="M1583" i="7"/>
  <c r="I1585" i="7"/>
  <c r="P1585" i="7"/>
  <c r="M1587" i="7"/>
  <c r="I1589" i="7"/>
  <c r="P1589" i="7"/>
  <c r="M1591" i="7"/>
  <c r="I1593" i="7"/>
  <c r="P1593" i="7"/>
  <c r="M1595" i="7"/>
  <c r="I1597" i="7"/>
  <c r="P1597" i="7"/>
  <c r="M1599" i="7"/>
  <c r="H1603" i="7"/>
  <c r="J1603" i="7" s="1"/>
  <c r="H1605" i="7"/>
  <c r="N1609" i="7"/>
  <c r="N1617" i="7"/>
  <c r="J1619" i="7"/>
  <c r="I1626" i="7"/>
  <c r="I1630" i="7"/>
  <c r="I1634" i="7"/>
  <c r="M1658" i="7"/>
  <c r="M1662" i="7"/>
  <c r="M1666" i="7"/>
  <c r="M1670" i="7"/>
  <c r="M1674" i="7"/>
  <c r="M1678" i="7"/>
  <c r="M1682" i="7"/>
  <c r="M1686" i="7"/>
  <c r="M1690" i="7"/>
  <c r="M1694" i="7"/>
  <c r="P1698" i="7"/>
  <c r="M1731" i="7"/>
  <c r="M1739" i="7"/>
  <c r="L1742" i="7"/>
  <c r="O1750" i="7"/>
  <c r="N1750" i="7"/>
  <c r="H1750" i="7"/>
  <c r="M1750" i="7"/>
  <c r="O1752" i="7"/>
  <c r="P1752" i="7"/>
  <c r="I1752" i="7"/>
  <c r="M1752" i="7"/>
  <c r="O1783" i="7"/>
  <c r="N1783" i="7"/>
  <c r="H1783" i="7"/>
  <c r="M1783" i="7"/>
  <c r="P1783" i="7"/>
  <c r="I1857" i="7"/>
  <c r="H1857" i="7"/>
  <c r="I1864" i="7"/>
  <c r="H1864" i="7"/>
  <c r="L1642" i="7"/>
  <c r="L1646" i="7"/>
  <c r="L1650" i="7"/>
  <c r="L1654" i="7"/>
  <c r="N1658" i="7"/>
  <c r="N1662" i="7"/>
  <c r="N1666" i="7"/>
  <c r="N1670" i="7"/>
  <c r="N1674" i="7"/>
  <c r="N1678" i="7"/>
  <c r="N1682" i="7"/>
  <c r="N1686" i="7"/>
  <c r="N1690" i="7"/>
  <c r="N1694" i="7"/>
  <c r="L1714" i="7"/>
  <c r="L1716" i="7"/>
  <c r="L1718" i="7"/>
  <c r="M1720" i="7"/>
  <c r="P1731" i="7"/>
  <c r="M1733" i="7"/>
  <c r="N1739" i="7"/>
  <c r="M1742" i="7"/>
  <c r="P1750" i="7"/>
  <c r="N1752" i="7"/>
  <c r="N1760" i="7"/>
  <c r="O1771" i="7"/>
  <c r="N1771" i="7"/>
  <c r="H1771" i="7"/>
  <c r="M1771" i="7"/>
  <c r="H1840" i="7"/>
  <c r="I1840" i="7"/>
  <c r="I1929" i="7"/>
  <c r="H1929" i="7"/>
  <c r="I1944" i="7"/>
  <c r="H1944" i="7"/>
  <c r="M1611" i="7"/>
  <c r="M1615" i="7"/>
  <c r="M1619" i="7"/>
  <c r="J1636" i="7"/>
  <c r="J1640" i="7"/>
  <c r="M1642" i="7"/>
  <c r="M1646" i="7"/>
  <c r="M1650" i="7"/>
  <c r="M1654" i="7"/>
  <c r="H1658" i="7"/>
  <c r="M1660" i="7"/>
  <c r="L1661" i="7"/>
  <c r="H1662" i="7"/>
  <c r="M1664" i="7"/>
  <c r="L1665" i="7"/>
  <c r="H1666" i="7"/>
  <c r="M1668" i="7"/>
  <c r="L1669" i="7"/>
  <c r="H1670" i="7"/>
  <c r="M1672" i="7"/>
  <c r="L1673" i="7"/>
  <c r="H1674" i="7"/>
  <c r="M1676" i="7"/>
  <c r="L1677" i="7"/>
  <c r="H1678" i="7"/>
  <c r="M1680" i="7"/>
  <c r="L1681" i="7"/>
  <c r="H1682" i="7"/>
  <c r="M1684" i="7"/>
  <c r="L1685" i="7"/>
  <c r="H1686" i="7"/>
  <c r="M1688" i="7"/>
  <c r="L1689" i="7"/>
  <c r="H1690" i="7"/>
  <c r="M1692" i="7"/>
  <c r="L1693" i="7"/>
  <c r="H1694" i="7"/>
  <c r="M1696" i="7"/>
  <c r="L1697" i="7"/>
  <c r="H1698" i="7"/>
  <c r="H1700" i="7"/>
  <c r="H1704" i="7"/>
  <c r="H1708" i="7"/>
  <c r="M1714" i="7"/>
  <c r="M1716" i="7"/>
  <c r="M1718" i="7"/>
  <c r="N1720" i="7"/>
  <c r="M1725" i="7"/>
  <c r="M1727" i="7"/>
  <c r="H1731" i="7"/>
  <c r="P1733" i="7"/>
  <c r="L1735" i="7"/>
  <c r="H1739" i="7"/>
  <c r="H1742" i="7"/>
  <c r="N1742" i="7"/>
  <c r="N1743" i="7"/>
  <c r="O1748" i="7"/>
  <c r="M1748" i="7"/>
  <c r="L1748" i="7"/>
  <c r="I1750" i="7"/>
  <c r="P1751" i="7"/>
  <c r="N1751" i="7"/>
  <c r="H1752" i="7"/>
  <c r="O1762" i="7"/>
  <c r="P1771" i="7"/>
  <c r="O1775" i="7"/>
  <c r="N1775" i="7"/>
  <c r="H1775" i="7"/>
  <c r="J1775" i="7" s="1"/>
  <c r="M1775" i="7"/>
  <c r="I1783" i="7"/>
  <c r="I1856" i="7"/>
  <c r="H1856" i="7"/>
  <c r="I1863" i="7"/>
  <c r="H1863" i="7"/>
  <c r="N1611" i="7"/>
  <c r="N1615" i="7"/>
  <c r="N1619" i="7"/>
  <c r="L1628" i="7"/>
  <c r="L1632" i="7"/>
  <c r="L1636" i="7"/>
  <c r="L1640" i="7"/>
  <c r="H1642" i="7"/>
  <c r="J1642" i="7" s="1"/>
  <c r="N1642" i="7"/>
  <c r="L1644" i="7"/>
  <c r="H1646" i="7"/>
  <c r="J1646" i="7" s="1"/>
  <c r="N1646" i="7"/>
  <c r="L1648" i="7"/>
  <c r="H1650" i="7"/>
  <c r="J1650" i="7" s="1"/>
  <c r="N1650" i="7"/>
  <c r="L1652" i="7"/>
  <c r="H1654" i="7"/>
  <c r="J1654" i="7" s="1"/>
  <c r="N1654" i="7"/>
  <c r="I1658" i="7"/>
  <c r="N1660" i="7"/>
  <c r="P1661" i="7"/>
  <c r="I1662" i="7"/>
  <c r="N1664" i="7"/>
  <c r="P1665" i="7"/>
  <c r="I1666" i="7"/>
  <c r="N1668" i="7"/>
  <c r="P1669" i="7"/>
  <c r="I1670" i="7"/>
  <c r="N1672" i="7"/>
  <c r="P1673" i="7"/>
  <c r="I1674" i="7"/>
  <c r="N1676" i="7"/>
  <c r="P1677" i="7"/>
  <c r="I1678" i="7"/>
  <c r="N1680" i="7"/>
  <c r="P1681" i="7"/>
  <c r="I1682" i="7"/>
  <c r="N1684" i="7"/>
  <c r="P1685" i="7"/>
  <c r="I1686" i="7"/>
  <c r="N1688" i="7"/>
  <c r="P1689" i="7"/>
  <c r="I1690" i="7"/>
  <c r="N1692" i="7"/>
  <c r="P1693" i="7"/>
  <c r="I1694" i="7"/>
  <c r="N1696" i="7"/>
  <c r="P1697" i="7"/>
  <c r="M1700" i="7"/>
  <c r="M1704" i="7"/>
  <c r="M1708" i="7"/>
  <c r="H1714" i="7"/>
  <c r="N1714" i="7"/>
  <c r="L1715" i="7"/>
  <c r="H1716" i="7"/>
  <c r="N1716" i="7"/>
  <c r="L1717" i="7"/>
  <c r="H1718" i="7"/>
  <c r="J1718" i="7" s="1"/>
  <c r="N1718" i="7"/>
  <c r="L1719" i="7"/>
  <c r="H1720" i="7"/>
  <c r="M1722" i="7"/>
  <c r="P1725" i="7"/>
  <c r="P1727" i="7"/>
  <c r="M1729" i="7"/>
  <c r="L1731" i="7"/>
  <c r="H1733" i="7"/>
  <c r="M1735" i="7"/>
  <c r="I1739" i="7"/>
  <c r="N1741" i="7"/>
  <c r="I1742" i="7"/>
  <c r="P1742" i="7"/>
  <c r="O1744" i="7"/>
  <c r="P1744" i="7"/>
  <c r="I1744" i="7"/>
  <c r="J1744" i="7" s="1"/>
  <c r="M1744" i="7"/>
  <c r="N1745" i="7"/>
  <c r="N1748" i="7"/>
  <c r="N1749" i="7"/>
  <c r="L1750" i="7"/>
  <c r="L1752" i="7"/>
  <c r="O1759" i="7"/>
  <c r="H1760" i="7"/>
  <c r="O1764" i="7"/>
  <c r="O1769" i="7"/>
  <c r="M1769" i="7"/>
  <c r="L1769" i="7"/>
  <c r="I1771" i="7"/>
  <c r="P1775" i="7"/>
  <c r="O1779" i="7"/>
  <c r="N1779" i="7"/>
  <c r="H1779" i="7"/>
  <c r="M1779" i="7"/>
  <c r="L1783" i="7"/>
  <c r="H1846" i="7"/>
  <c r="I1846" i="7"/>
  <c r="I1928" i="7"/>
  <c r="H1928" i="7"/>
  <c r="I1945" i="7"/>
  <c r="H1945" i="7"/>
  <c r="I1977" i="7"/>
  <c r="H1977" i="7"/>
  <c r="H2042" i="7"/>
  <c r="I2042" i="7"/>
  <c r="H2144" i="7"/>
  <c r="I2144" i="7"/>
  <c r="H2176" i="7"/>
  <c r="I2176" i="7"/>
  <c r="I2185" i="7"/>
  <c r="H2185" i="7"/>
  <c r="H2192" i="7"/>
  <c r="I2192" i="7"/>
  <c r="I2209" i="7"/>
  <c r="H2209" i="7"/>
  <c r="J1788" i="7"/>
  <c r="J1800" i="7"/>
  <c r="J1801" i="7"/>
  <c r="J1805" i="7"/>
  <c r="J1813" i="7"/>
  <c r="J1817" i="7"/>
  <c r="J1820" i="7"/>
  <c r="J1821" i="7"/>
  <c r="J1832" i="7"/>
  <c r="J1837" i="7"/>
  <c r="H1841" i="7"/>
  <c r="J1841" i="7" s="1"/>
  <c r="J1845" i="7"/>
  <c r="H1847" i="7"/>
  <c r="J1847" i="7" s="1"/>
  <c r="H1848" i="7"/>
  <c r="J1848" i="7" s="1"/>
  <c r="I1858" i="7"/>
  <c r="J1858" i="7" s="1"/>
  <c r="J1877" i="7"/>
  <c r="J1881" i="7"/>
  <c r="I1895" i="7"/>
  <c r="J1895" i="7" s="1"/>
  <c r="J1896" i="7"/>
  <c r="I1899" i="7"/>
  <c r="I1903" i="7"/>
  <c r="J1903" i="7" s="1"/>
  <c r="J1904" i="7"/>
  <c r="I1907" i="7"/>
  <c r="J1907" i="7" s="1"/>
  <c r="I1911" i="7"/>
  <c r="J1911" i="7" s="1"/>
  <c r="I1915" i="7"/>
  <c r="J1915" i="7" s="1"/>
  <c r="I1919" i="7"/>
  <c r="J1919" i="7" s="1"/>
  <c r="H1932" i="7"/>
  <c r="J1932" i="7" s="1"/>
  <c r="H1933" i="7"/>
  <c r="J1933" i="7" s="1"/>
  <c r="J1941" i="7"/>
  <c r="H1948" i="7"/>
  <c r="J1948" i="7" s="1"/>
  <c r="H1949" i="7"/>
  <c r="H1988" i="7"/>
  <c r="J1988" i="7" s="1"/>
  <c r="H1989" i="7"/>
  <c r="J1989" i="7" s="1"/>
  <c r="I1993" i="7"/>
  <c r="H1993" i="7"/>
  <c r="H1996" i="7"/>
  <c r="J1996" i="7" s="1"/>
  <c r="I2008" i="7"/>
  <c r="J2008" i="7" s="1"/>
  <c r="H2013" i="7"/>
  <c r="J2013" i="7" s="1"/>
  <c r="H2027" i="7"/>
  <c r="J2027" i="7" s="1"/>
  <c r="J2031" i="7"/>
  <c r="J2063" i="7"/>
  <c r="H2077" i="7"/>
  <c r="I2077" i="7"/>
  <c r="H2079" i="7"/>
  <c r="I2079" i="7"/>
  <c r="H2083" i="7"/>
  <c r="I2083" i="7"/>
  <c r="H2087" i="7"/>
  <c r="I2087" i="7"/>
  <c r="H2091" i="7"/>
  <c r="I2091" i="7"/>
  <c r="H2095" i="7"/>
  <c r="I2095" i="7"/>
  <c r="H2099" i="7"/>
  <c r="I2099" i="7"/>
  <c r="H2103" i="7"/>
  <c r="I2103" i="7"/>
  <c r="H2107" i="7"/>
  <c r="I2107" i="7"/>
  <c r="H2111" i="7"/>
  <c r="I2111" i="7"/>
  <c r="H2115" i="7"/>
  <c r="I2115" i="7"/>
  <c r="H2119" i="7"/>
  <c r="I2119" i="7"/>
  <c r="H2123" i="7"/>
  <c r="I2123" i="7"/>
  <c r="H2127" i="7"/>
  <c r="I2127" i="7"/>
  <c r="I2133" i="7"/>
  <c r="H2133" i="7"/>
  <c r="H2135" i="7"/>
  <c r="I2135" i="7"/>
  <c r="I2137" i="7"/>
  <c r="H2137" i="7"/>
  <c r="H2156" i="7"/>
  <c r="I2156" i="7"/>
  <c r="J2156" i="7" s="1"/>
  <c r="I2165" i="7"/>
  <c r="H2165" i="7"/>
  <c r="H2167" i="7"/>
  <c r="I2167" i="7"/>
  <c r="I2169" i="7"/>
  <c r="H2169" i="7"/>
  <c r="H2200" i="7"/>
  <c r="I2200" i="7"/>
  <c r="I2217" i="7"/>
  <c r="H2217" i="7"/>
  <c r="L1746" i="7"/>
  <c r="L1754" i="7"/>
  <c r="L1767" i="7"/>
  <c r="L1773" i="7"/>
  <c r="L1777" i="7"/>
  <c r="L1781" i="7"/>
  <c r="J1901" i="7"/>
  <c r="J1909" i="7"/>
  <c r="I1960" i="7"/>
  <c r="J1960" i="7" s="1"/>
  <c r="H1965" i="7"/>
  <c r="J1965" i="7" s="1"/>
  <c r="J1973" i="7"/>
  <c r="H2004" i="7"/>
  <c r="J2004" i="7" s="1"/>
  <c r="H2005" i="7"/>
  <c r="J2005" i="7" s="1"/>
  <c r="I2009" i="7"/>
  <c r="H2009" i="7"/>
  <c r="H2012" i="7"/>
  <c r="J2012" i="7" s="1"/>
  <c r="I2024" i="7"/>
  <c r="J2024" i="7" s="1"/>
  <c r="H2034" i="7"/>
  <c r="J2034" i="7" s="1"/>
  <c r="H2041" i="7"/>
  <c r="I2041" i="7"/>
  <c r="H2043" i="7"/>
  <c r="I2043" i="7"/>
  <c r="J2062" i="7"/>
  <c r="I2177" i="7"/>
  <c r="H2177" i="7"/>
  <c r="H2184" i="7"/>
  <c r="J2184" i="7" s="1"/>
  <c r="I2184" i="7"/>
  <c r="I2193" i="7"/>
  <c r="H2193" i="7"/>
  <c r="H2208" i="7"/>
  <c r="I2208" i="7"/>
  <c r="J1949" i="7"/>
  <c r="I1961" i="7"/>
  <c r="H1961" i="7"/>
  <c r="I2025" i="7"/>
  <c r="H2025" i="7"/>
  <c r="H2057" i="7"/>
  <c r="I2057" i="7"/>
  <c r="H2078" i="7"/>
  <c r="I2078" i="7"/>
  <c r="H2082" i="7"/>
  <c r="I2082" i="7"/>
  <c r="H2086" i="7"/>
  <c r="I2086" i="7"/>
  <c r="H2090" i="7"/>
  <c r="I2090" i="7"/>
  <c r="H2094" i="7"/>
  <c r="I2094" i="7"/>
  <c r="H2098" i="7"/>
  <c r="I2098" i="7"/>
  <c r="H2102" i="7"/>
  <c r="I2102" i="7"/>
  <c r="H2106" i="7"/>
  <c r="I2106" i="7"/>
  <c r="H2110" i="7"/>
  <c r="I2110" i="7"/>
  <c r="H2114" i="7"/>
  <c r="I2114" i="7"/>
  <c r="H2118" i="7"/>
  <c r="I2118" i="7"/>
  <c r="H2122" i="7"/>
  <c r="I2122" i="7"/>
  <c r="H2126" i="7"/>
  <c r="I2126" i="7"/>
  <c r="H2132" i="7"/>
  <c r="I2132" i="7"/>
  <c r="H2134" i="7"/>
  <c r="I2134" i="7"/>
  <c r="H2136" i="7"/>
  <c r="I2136" i="7"/>
  <c r="H2155" i="7"/>
  <c r="I2155" i="7"/>
  <c r="H2164" i="7"/>
  <c r="I2164" i="7"/>
  <c r="H2166" i="7"/>
  <c r="I2166" i="7"/>
  <c r="H2168" i="7"/>
  <c r="I2168" i="7"/>
  <c r="I2201" i="7"/>
  <c r="H2201" i="7"/>
  <c r="H2216" i="7"/>
  <c r="I2216" i="7"/>
  <c r="I2061" i="7"/>
  <c r="J2061" i="7" s="1"/>
  <c r="I2154" i="7"/>
  <c r="J2154" i="7" s="1"/>
  <c r="I2179" i="7"/>
  <c r="J2179" i="7" s="1"/>
  <c r="H2181" i="7"/>
  <c r="J2181" i="7" s="1"/>
  <c r="I2187" i="7"/>
  <c r="J2187" i="7" s="1"/>
  <c r="H2189" i="7"/>
  <c r="J2046" i="7"/>
  <c r="J2139" i="7"/>
  <c r="J2148" i="7"/>
  <c r="J2160" i="7"/>
  <c r="J2001" i="7"/>
  <c r="J2017" i="7"/>
  <c r="H2225" i="7"/>
  <c r="J2225" i="7" s="1"/>
  <c r="AL661" i="2"/>
  <c r="AK1057" i="2"/>
  <c r="AL1057" i="2" s="1"/>
  <c r="AK1117" i="2"/>
  <c r="AL1117" i="2" s="1"/>
  <c r="AK1159" i="2"/>
  <c r="AL1159" i="2" s="1"/>
  <c r="AK1281" i="2"/>
  <c r="AL1281" i="2" s="1"/>
  <c r="AL624" i="2"/>
  <c r="I124" i="7"/>
  <c r="AL645" i="2"/>
  <c r="AL665" i="2"/>
  <c r="AK1067" i="2"/>
  <c r="AL1067" i="2" s="1"/>
  <c r="AK1097" i="2"/>
  <c r="AL1097" i="2" s="1"/>
  <c r="AK1219" i="2"/>
  <c r="AL1219" i="2" s="1"/>
  <c r="AK1223" i="2"/>
  <c r="AL1223" i="2" s="1"/>
  <c r="AK1292" i="2"/>
  <c r="AL1292" i="2" s="1"/>
  <c r="AK54" i="2"/>
  <c r="I142" i="7"/>
  <c r="J142" i="7" s="1"/>
  <c r="AL663" i="2"/>
  <c r="AK1115" i="2"/>
  <c r="AL1115" i="2" s="1"/>
  <c r="AK1146" i="2"/>
  <c r="AL1146" i="2" s="1"/>
  <c r="AK1308" i="2"/>
  <c r="AL1308" i="2" s="1"/>
  <c r="AK1352" i="2"/>
  <c r="AL1352" i="2" s="1"/>
  <c r="AK526" i="2"/>
  <c r="AL643" i="2"/>
  <c r="E49" i="1"/>
  <c r="AK1050" i="2"/>
  <c r="AJ869" i="2"/>
  <c r="AK869" i="2" s="1"/>
  <c r="AL869" i="2" s="1"/>
  <c r="AJ874" i="2"/>
  <c r="AK874" i="2" s="1"/>
  <c r="AL874" i="2" s="1"/>
  <c r="AJ878" i="2"/>
  <c r="AK878" i="2" s="1"/>
  <c r="AL878" i="2" s="1"/>
  <c r="AJ884" i="2"/>
  <c r="AK884" i="2" s="1"/>
  <c r="AJ885" i="2"/>
  <c r="AK885" i="2" s="1"/>
  <c r="AJ886" i="2"/>
  <c r="AK886" i="2" s="1"/>
  <c r="AL886" i="2" s="1"/>
  <c r="AJ890" i="2"/>
  <c r="AK890" i="2" s="1"/>
  <c r="AL890" i="2" s="1"/>
  <c r="AJ894" i="2"/>
  <c r="AK894" i="2" s="1"/>
  <c r="AL894" i="2" s="1"/>
  <c r="AJ899" i="2"/>
  <c r="AK899" i="2" s="1"/>
  <c r="AJ900" i="2"/>
  <c r="AK900" i="2" s="1"/>
  <c r="AL900" i="2" s="1"/>
  <c r="AJ904" i="2"/>
  <c r="AK904" i="2" s="1"/>
  <c r="AL904" i="2" s="1"/>
  <c r="AJ912" i="2"/>
  <c r="AK912" i="2" s="1"/>
  <c r="AJ913" i="2"/>
  <c r="AK913" i="2" s="1"/>
  <c r="AL913" i="2" s="1"/>
  <c r="AJ921" i="2"/>
  <c r="AK921" i="2" s="1"/>
  <c r="AL921" i="2" s="1"/>
  <c r="AJ926" i="2"/>
  <c r="AK926" i="2" s="1"/>
  <c r="AL926" i="2" s="1"/>
  <c r="AJ930" i="2"/>
  <c r="AK930" i="2" s="1"/>
  <c r="AL930" i="2" s="1"/>
  <c r="AJ938" i="2"/>
  <c r="AK938" i="2" s="1"/>
  <c r="AJ939" i="2"/>
  <c r="AK939" i="2" s="1"/>
  <c r="AL939" i="2" s="1"/>
  <c r="AJ946" i="2"/>
  <c r="AK946" i="2" s="1"/>
  <c r="AL946" i="2" s="1"/>
  <c r="AJ950" i="2"/>
  <c r="AK950" i="2" s="1"/>
  <c r="AL950" i="2" s="1"/>
  <c r="AJ955" i="2"/>
  <c r="AK955" i="2" s="1"/>
  <c r="AJ956" i="2"/>
  <c r="AK956" i="2" s="1"/>
  <c r="AL956" i="2" s="1"/>
  <c r="AJ965" i="2"/>
  <c r="AK965" i="2" s="1"/>
  <c r="AL965" i="2" s="1"/>
  <c r="AJ969" i="2"/>
  <c r="AK969" i="2" s="1"/>
  <c r="AL969" i="2" s="1"/>
  <c r="AJ976" i="2"/>
  <c r="AK976" i="2" s="1"/>
  <c r="AL976" i="2" s="1"/>
  <c r="AJ981" i="2"/>
  <c r="AK981" i="2" s="1"/>
  <c r="AL981" i="2" s="1"/>
  <c r="AJ985" i="2"/>
  <c r="AK985" i="2" s="1"/>
  <c r="AJ986" i="2"/>
  <c r="AK986" i="2" s="1"/>
  <c r="AJ989" i="2"/>
  <c r="AK989" i="2" s="1"/>
  <c r="AL989" i="2" s="1"/>
  <c r="AJ993" i="2"/>
  <c r="AK993" i="2" s="1"/>
  <c r="AL993" i="2" s="1"/>
  <c r="AJ999" i="2"/>
  <c r="AK999" i="2" s="1"/>
  <c r="AL999" i="2" s="1"/>
  <c r="AJ1020" i="2"/>
  <c r="AK1020" i="2" s="1"/>
  <c r="AL1020" i="2" s="1"/>
  <c r="AJ1131" i="2"/>
  <c r="AK1131" i="2" s="1"/>
  <c r="AL1131" i="2" s="1"/>
  <c r="AJ1141" i="2"/>
  <c r="AK1141" i="2" s="1"/>
  <c r="AL1141" i="2" s="1"/>
  <c r="AJ1143" i="2"/>
  <c r="AK1143" i="2" s="1"/>
  <c r="AL1143" i="2" s="1"/>
  <c r="AJ1150" i="2"/>
  <c r="AK1150" i="2" s="1"/>
  <c r="AL1150" i="2" s="1"/>
  <c r="AJ1156" i="2"/>
  <c r="AK1156" i="2" s="1"/>
  <c r="AL1156" i="2" s="1"/>
  <c r="AJ1171" i="2"/>
  <c r="AK1171" i="2" s="1"/>
  <c r="AL1171" i="2" s="1"/>
  <c r="AJ1201" i="2"/>
  <c r="AK1201" i="2" s="1"/>
  <c r="AL1201" i="2" s="1"/>
  <c r="AJ1208" i="2"/>
  <c r="AK1208" i="2" s="1"/>
  <c r="AL1208" i="2" s="1"/>
  <c r="AJ1212" i="2"/>
  <c r="AK1212" i="2" s="1"/>
  <c r="AL1212" i="2" s="1"/>
  <c r="AJ1227" i="2"/>
  <c r="AK1227" i="2" s="1"/>
  <c r="AJ1228" i="2"/>
  <c r="AK1228" i="2" s="1"/>
  <c r="AL1228" i="2" s="1"/>
  <c r="AJ1232" i="2"/>
  <c r="AK1232" i="2" s="1"/>
  <c r="AL1232" i="2" s="1"/>
  <c r="AJ1236" i="2"/>
  <c r="AK1236" i="2" s="1"/>
  <c r="AL1236" i="2" s="1"/>
  <c r="AJ1240" i="2"/>
  <c r="AK1240" i="2" s="1"/>
  <c r="AL1240" i="2" s="1"/>
  <c r="AJ1244" i="2"/>
  <c r="AK1244" i="2" s="1"/>
  <c r="AL1244" i="2" s="1"/>
  <c r="AJ1252" i="2"/>
  <c r="AK1252" i="2" s="1"/>
  <c r="AL1252" i="2" s="1"/>
  <c r="AJ1264" i="2"/>
  <c r="AK1264" i="2" s="1"/>
  <c r="AL1264" i="2" s="1"/>
  <c r="AJ1270" i="2"/>
  <c r="AK1270" i="2" s="1"/>
  <c r="AL1270" i="2" s="1"/>
  <c r="AJ1282" i="2"/>
  <c r="AK1282" i="2" s="1"/>
  <c r="AL1282" i="2" s="1"/>
  <c r="AJ1288" i="2"/>
  <c r="AK1288" i="2" s="1"/>
  <c r="AL1288" i="2" s="1"/>
  <c r="AJ1294" i="2"/>
  <c r="AK1294" i="2" s="1"/>
  <c r="AL1294" i="2" s="1"/>
  <c r="AJ1298" i="2"/>
  <c r="AK1298" i="2" s="1"/>
  <c r="AL1298" i="2" s="1"/>
  <c r="AJ1306" i="2"/>
  <c r="AK1306" i="2" s="1"/>
  <c r="AL1306" i="2" s="1"/>
  <c r="AJ1314" i="2"/>
  <c r="AK1314" i="2" s="1"/>
  <c r="AL1314" i="2" s="1"/>
  <c r="AJ1317" i="2"/>
  <c r="AK1317" i="2" s="1"/>
  <c r="AL1317" i="2" s="1"/>
  <c r="AJ1323" i="2"/>
  <c r="AJ1324" i="2"/>
  <c r="AK1324" i="2" s="1"/>
  <c r="AL1324" i="2" s="1"/>
  <c r="AJ1327" i="2"/>
  <c r="AK1327" i="2" s="1"/>
  <c r="AL1327" i="2" s="1"/>
  <c r="AJ1328" i="2"/>
  <c r="AK1328" i="2" s="1"/>
  <c r="AL1328" i="2" s="1"/>
  <c r="AJ1331" i="2"/>
  <c r="AK1331" i="2" s="1"/>
  <c r="AL1331" i="2" s="1"/>
  <c r="AJ1332" i="2"/>
  <c r="AK1332" i="2" s="1"/>
  <c r="AL1332" i="2" s="1"/>
  <c r="AJ1379" i="2"/>
  <c r="AK1379" i="2" s="1"/>
  <c r="AL1379" i="2" s="1"/>
  <c r="E25" i="1"/>
  <c r="AI553" i="2"/>
  <c r="AK553" i="2" s="1"/>
  <c r="AL632" i="2"/>
  <c r="AL636" i="2"/>
  <c r="AI1049" i="2"/>
  <c r="AK1049" i="2" s="1"/>
  <c r="AL1049" i="2" s="1"/>
  <c r="AI1051" i="2"/>
  <c r="AK1051" i="2" s="1"/>
  <c r="AL1051" i="2" s="1"/>
  <c r="AI1069" i="2"/>
  <c r="AK1069" i="2" s="1"/>
  <c r="AL1069" i="2" s="1"/>
  <c r="AI1099" i="2"/>
  <c r="AK1099" i="2" s="1"/>
  <c r="AL1099" i="2" s="1"/>
  <c r="AI1181" i="2"/>
  <c r="AK1181" i="2" s="1"/>
  <c r="AL1181" i="2" s="1"/>
  <c r="AI1183" i="2"/>
  <c r="AK1183" i="2" s="1"/>
  <c r="AL1183" i="2" s="1"/>
  <c r="AI1194" i="2"/>
  <c r="AK1194" i="2" s="1"/>
  <c r="AL1194" i="2" s="1"/>
  <c r="AI1196" i="2"/>
  <c r="AK1196" i="2" s="1"/>
  <c r="AL1196" i="2" s="1"/>
  <c r="AI1198" i="2"/>
  <c r="AK1198" i="2" s="1"/>
  <c r="AL1198" i="2" s="1"/>
  <c r="AI1205" i="2"/>
  <c r="AK1205" i="2" s="1"/>
  <c r="AI1206" i="2"/>
  <c r="AK1206" i="2" s="1"/>
  <c r="AL1206" i="2" s="1"/>
  <c r="AI1210" i="2"/>
  <c r="AK1210" i="2" s="1"/>
  <c r="AL1210" i="2" s="1"/>
  <c r="AI1216" i="2"/>
  <c r="AK1216" i="2" s="1"/>
  <c r="AL1216" i="2" s="1"/>
  <c r="AI1225" i="2"/>
  <c r="AK1225" i="2" s="1"/>
  <c r="AL1225" i="2" s="1"/>
  <c r="AI1234" i="2"/>
  <c r="AK1234" i="2" s="1"/>
  <c r="AL1234" i="2" s="1"/>
  <c r="AI1238" i="2"/>
  <c r="AK1238" i="2" s="1"/>
  <c r="AL1238" i="2" s="1"/>
  <c r="AI1242" i="2"/>
  <c r="AK1242" i="2" s="1"/>
  <c r="AL1242" i="2" s="1"/>
  <c r="AI1351" i="2"/>
  <c r="AK1351" i="2" s="1"/>
  <c r="AL1351" i="2" s="1"/>
  <c r="AI1355" i="2"/>
  <c r="AK1355" i="2" s="1"/>
  <c r="AL1355" i="2" s="1"/>
  <c r="AK1376" i="2"/>
  <c r="AL1376" i="2" s="1"/>
  <c r="AJ1383" i="2"/>
  <c r="AK1383" i="2" s="1"/>
  <c r="AL1383" i="2" s="1"/>
  <c r="E20" i="1"/>
  <c r="AI1393" i="2"/>
  <c r="E24" i="1" s="1"/>
  <c r="AK1406" i="2"/>
  <c r="AL1406" i="2" s="1"/>
  <c r="AJ1423" i="2"/>
  <c r="AK1423" i="2" s="1"/>
  <c r="AL1423" i="2" s="1"/>
  <c r="AK1428" i="2"/>
  <c r="AL1428" i="2" s="1"/>
  <c r="AK1434" i="2"/>
  <c r="AL1434" i="2" s="1"/>
  <c r="AK1442" i="2"/>
  <c r="AL1442" i="2" s="1"/>
  <c r="AJ1451" i="2"/>
  <c r="AK1451" i="2" s="1"/>
  <c r="AL1451" i="2" s="1"/>
  <c r="AK1460" i="2"/>
  <c r="AL1460" i="2" s="1"/>
  <c r="AJ1477" i="2"/>
  <c r="AK1477" i="2" s="1"/>
  <c r="AL1477" i="2" s="1"/>
  <c r="AK1484" i="2"/>
  <c r="AL1484" i="2" s="1"/>
  <c r="I175" i="7"/>
  <c r="J175" i="7" s="1"/>
  <c r="I183" i="7"/>
  <c r="J183" i="7" s="1"/>
  <c r="AI497" i="2"/>
  <c r="AK497" i="2" s="1"/>
  <c r="AI1054" i="2"/>
  <c r="AK1054" i="2" s="1"/>
  <c r="AL1054" i="2" s="1"/>
  <c r="AI1068" i="2"/>
  <c r="AK1068" i="2" s="1"/>
  <c r="AL1068" i="2" s="1"/>
  <c r="AI1072" i="2"/>
  <c r="AK1072" i="2" s="1"/>
  <c r="AL1072" i="2" s="1"/>
  <c r="AI1084" i="2"/>
  <c r="AK1084" i="2" s="1"/>
  <c r="AL1084" i="2" s="1"/>
  <c r="AI1090" i="2"/>
  <c r="AK1090" i="2" s="1"/>
  <c r="AL1090" i="2" s="1"/>
  <c r="AI1118" i="2"/>
  <c r="AK1118" i="2" s="1"/>
  <c r="AL1118" i="2" s="1"/>
  <c r="AK1387" i="2"/>
  <c r="AL1387" i="2" s="1"/>
  <c r="AI1389" i="2"/>
  <c r="AK1389" i="2" s="1"/>
  <c r="AL1389" i="2" s="1"/>
  <c r="AK1391" i="2"/>
  <c r="AL1391" i="2" s="1"/>
  <c r="AK1469" i="2"/>
  <c r="AL1469" i="2" s="1"/>
  <c r="I181" i="7"/>
  <c r="J181" i="7" s="1"/>
  <c r="AI1323" i="2"/>
  <c r="E38" i="17" s="1"/>
  <c r="AI1368" i="2"/>
  <c r="AI1377" i="2"/>
  <c r="AK1381" i="2"/>
  <c r="AL1381" i="2" s="1"/>
  <c r="AK1394" i="2"/>
  <c r="AL1394" i="2" s="1"/>
  <c r="AK1395" i="2"/>
  <c r="AL1395" i="2" s="1"/>
  <c r="AJ1403" i="2"/>
  <c r="AK1403" i="2" s="1"/>
  <c r="AL1403" i="2" s="1"/>
  <c r="AJ1405" i="2"/>
  <c r="AK1405" i="2" s="1"/>
  <c r="AL1405" i="2" s="1"/>
  <c r="AK1408" i="2"/>
  <c r="AL1408" i="2" s="1"/>
  <c r="AK1409" i="2"/>
  <c r="AL1409" i="2" s="1"/>
  <c r="AI1413" i="2"/>
  <c r="AK1413" i="2" s="1"/>
  <c r="AL1413" i="2" s="1"/>
  <c r="AJ1415" i="2"/>
  <c r="AK1415" i="2" s="1"/>
  <c r="AL1415" i="2" s="1"/>
  <c r="AK1426" i="2"/>
  <c r="AL1426" i="2" s="1"/>
  <c r="AK1438" i="2"/>
  <c r="AL1438" i="2" s="1"/>
  <c r="AI1443" i="2"/>
  <c r="AK1443" i="2" s="1"/>
  <c r="AL1443" i="2" s="1"/>
  <c r="AJ1467" i="2"/>
  <c r="AK1467" i="2" s="1"/>
  <c r="AL1467" i="2" s="1"/>
  <c r="AK1474" i="2"/>
  <c r="AL1474" i="2" s="1"/>
  <c r="AJ1487" i="2"/>
  <c r="AK1487" i="2" s="1"/>
  <c r="AL1487" i="2" s="1"/>
  <c r="AJ1493" i="2"/>
  <c r="AK1493" i="2" s="1"/>
  <c r="AL1493" i="2" s="1"/>
  <c r="I171" i="7"/>
  <c r="J171" i="7" s="1"/>
  <c r="AJ1675" i="2"/>
  <c r="AK1675" i="2" s="1"/>
  <c r="AL1675" i="2" s="1"/>
  <c r="AJ1681" i="2"/>
  <c r="AK1681" i="2" s="1"/>
  <c r="AL1681" i="2" s="1"/>
  <c r="AJ1683" i="2"/>
  <c r="AK1683" i="2" s="1"/>
  <c r="AL1683" i="2" s="1"/>
  <c r="AJ1765" i="2"/>
  <c r="AK1765" i="2" s="1"/>
  <c r="AL1765" i="2" s="1"/>
  <c r="AJ1819" i="2"/>
  <c r="AK1819" i="2" s="1"/>
  <c r="AL1819" i="2" s="1"/>
  <c r="AJ1883" i="2"/>
  <c r="AK1883" i="2" s="1"/>
  <c r="AL1883" i="2" s="1"/>
  <c r="AJ1933" i="2"/>
  <c r="AK1933" i="2" s="1"/>
  <c r="AL1933" i="2" s="1"/>
  <c r="AJ1941" i="2"/>
  <c r="AK1941" i="2" s="1"/>
  <c r="AL1941" i="2" s="1"/>
  <c r="AJ1943" i="2"/>
  <c r="AK1943" i="2" s="1"/>
  <c r="AL1943" i="2" s="1"/>
  <c r="AJ1991" i="2"/>
  <c r="AK1991" i="2" s="1"/>
  <c r="AL1991" i="2" s="1"/>
  <c r="AJ2027" i="2"/>
  <c r="AK2027" i="2" s="1"/>
  <c r="AL2027" i="2" s="1"/>
  <c r="AJ2291" i="2"/>
  <c r="AK2291" i="2" s="1"/>
  <c r="AL2291" i="2" s="1"/>
  <c r="AJ2292" i="2"/>
  <c r="AK2292" i="2" s="1"/>
  <c r="AL2292" i="2" s="1"/>
  <c r="N105" i="7"/>
  <c r="M105" i="7"/>
  <c r="H105" i="7"/>
  <c r="I105" i="7" s="1"/>
  <c r="J105" i="7" s="1"/>
  <c r="O105" i="7"/>
  <c r="M112" i="7"/>
  <c r="H112" i="7"/>
  <c r="I112" i="7" s="1"/>
  <c r="J112" i="7" s="1"/>
  <c r="P112" i="7"/>
  <c r="L112" i="7"/>
  <c r="N112" i="7"/>
  <c r="N117" i="7"/>
  <c r="M117" i="7"/>
  <c r="H117" i="7"/>
  <c r="I117" i="7" s="1"/>
  <c r="J117" i="7" s="1"/>
  <c r="O117" i="7"/>
  <c r="M127" i="7"/>
  <c r="H127" i="7"/>
  <c r="I127" i="7" s="1"/>
  <c r="J127" i="7" s="1"/>
  <c r="P127" i="7"/>
  <c r="L127" i="7"/>
  <c r="N127" i="7"/>
  <c r="M135" i="7"/>
  <c r="H135" i="7"/>
  <c r="I135" i="7" s="1"/>
  <c r="J135" i="7" s="1"/>
  <c r="P135" i="7"/>
  <c r="L135" i="7"/>
  <c r="N135" i="7"/>
  <c r="N139" i="7"/>
  <c r="M139" i="7"/>
  <c r="H139" i="7"/>
  <c r="I139" i="7" s="1"/>
  <c r="J139" i="7" s="1"/>
  <c r="O139" i="7"/>
  <c r="N141" i="7"/>
  <c r="M141" i="7"/>
  <c r="H141" i="7"/>
  <c r="I141" i="7" s="1"/>
  <c r="J141" i="7" s="1"/>
  <c r="O141" i="7"/>
  <c r="N143" i="7"/>
  <c r="M143" i="7"/>
  <c r="H143" i="7"/>
  <c r="I143" i="7" s="1"/>
  <c r="J143" i="7" s="1"/>
  <c r="O143" i="7"/>
  <c r="N145" i="7"/>
  <c r="M145" i="7"/>
  <c r="H145" i="7"/>
  <c r="I145" i="7" s="1"/>
  <c r="J145" i="7" s="1"/>
  <c r="O145" i="7"/>
  <c r="N147" i="7"/>
  <c r="M147" i="7"/>
  <c r="H147" i="7"/>
  <c r="I147" i="7" s="1"/>
  <c r="J147" i="7" s="1"/>
  <c r="O147" i="7"/>
  <c r="M154" i="7"/>
  <c r="H154" i="7"/>
  <c r="I154" i="7" s="1"/>
  <c r="J154" i="7" s="1"/>
  <c r="P154" i="7"/>
  <c r="L154" i="7"/>
  <c r="N154" i="7"/>
  <c r="M162" i="7"/>
  <c r="H162" i="7"/>
  <c r="I162" i="7" s="1"/>
  <c r="J162" i="7" s="1"/>
  <c r="P162" i="7"/>
  <c r="L162" i="7"/>
  <c r="N162" i="7"/>
  <c r="I163" i="7"/>
  <c r="J163" i="7" s="1"/>
  <c r="N172" i="7"/>
  <c r="M172" i="7"/>
  <c r="H172" i="7"/>
  <c r="I172" i="7" s="1"/>
  <c r="J172" i="7" s="1"/>
  <c r="O172" i="7"/>
  <c r="N174" i="7"/>
  <c r="M174" i="7"/>
  <c r="H174" i="7"/>
  <c r="I174" i="7" s="1"/>
  <c r="J174" i="7" s="1"/>
  <c r="O174" i="7"/>
  <c r="N176" i="7"/>
  <c r="M176" i="7"/>
  <c r="H176" i="7"/>
  <c r="I176" i="7" s="1"/>
  <c r="J176" i="7" s="1"/>
  <c r="O176" i="7"/>
  <c r="N178" i="7"/>
  <c r="M178" i="7"/>
  <c r="H178" i="7"/>
  <c r="I178" i="7" s="1"/>
  <c r="J178" i="7" s="1"/>
  <c r="O178" i="7"/>
  <c r="N180" i="7"/>
  <c r="M180" i="7"/>
  <c r="H180" i="7"/>
  <c r="I180" i="7" s="1"/>
  <c r="J180" i="7" s="1"/>
  <c r="O180" i="7"/>
  <c r="N182" i="7"/>
  <c r="M182" i="7"/>
  <c r="H182" i="7"/>
  <c r="I182" i="7" s="1"/>
  <c r="J182" i="7" s="1"/>
  <c r="O182" i="7"/>
  <c r="N184" i="7"/>
  <c r="M184" i="7"/>
  <c r="H184" i="7"/>
  <c r="I184" i="7" s="1"/>
  <c r="J184" i="7" s="1"/>
  <c r="O184" i="7"/>
  <c r="N186" i="7"/>
  <c r="M186" i="7"/>
  <c r="H186" i="7"/>
  <c r="I186" i="7" s="1"/>
  <c r="J186" i="7" s="1"/>
  <c r="O186" i="7"/>
  <c r="N188" i="7"/>
  <c r="M188" i="7"/>
  <c r="H188" i="7"/>
  <c r="I188" i="7" s="1"/>
  <c r="J188" i="7" s="1"/>
  <c r="O188" i="7"/>
  <c r="N190" i="7"/>
  <c r="M190" i="7"/>
  <c r="H190" i="7"/>
  <c r="I190" i="7" s="1"/>
  <c r="J190" i="7" s="1"/>
  <c r="O190" i="7"/>
  <c r="N192" i="7"/>
  <c r="M192" i="7"/>
  <c r="H192" i="7"/>
  <c r="I192" i="7" s="1"/>
  <c r="J192" i="7" s="1"/>
  <c r="P192" i="7"/>
  <c r="L192" i="7"/>
  <c r="I202" i="7"/>
  <c r="J202" i="7" s="1"/>
  <c r="I210" i="7"/>
  <c r="J210" i="7" s="1"/>
  <c r="N221" i="7"/>
  <c r="M221" i="7"/>
  <c r="H221" i="7"/>
  <c r="I221" i="7" s="1"/>
  <c r="J221" i="7" s="1"/>
  <c r="P221" i="7"/>
  <c r="L221" i="7"/>
  <c r="N240" i="7"/>
  <c r="M240" i="7"/>
  <c r="H240" i="7"/>
  <c r="I240" i="7" s="1"/>
  <c r="J240" i="7" s="1"/>
  <c r="P240" i="7"/>
  <c r="L240" i="7"/>
  <c r="N248" i="7"/>
  <c r="M248" i="7"/>
  <c r="H248" i="7"/>
  <c r="I248" i="7" s="1"/>
  <c r="J248" i="7" s="1"/>
  <c r="P248" i="7"/>
  <c r="L248" i="7"/>
  <c r="I270" i="7"/>
  <c r="J270" i="7" s="1"/>
  <c r="N275" i="7"/>
  <c r="M275" i="7"/>
  <c r="H275" i="7"/>
  <c r="I275" i="7" s="1"/>
  <c r="J275" i="7" s="1"/>
  <c r="P275" i="7"/>
  <c r="L275" i="7"/>
  <c r="N283" i="7"/>
  <c r="M283" i="7"/>
  <c r="H283" i="7"/>
  <c r="I283" i="7" s="1"/>
  <c r="J283" i="7" s="1"/>
  <c r="P283" i="7"/>
  <c r="L283" i="7"/>
  <c r="I291" i="7"/>
  <c r="J291" i="7" s="1"/>
  <c r="I307" i="7"/>
  <c r="J307" i="7" s="1"/>
  <c r="N318" i="7"/>
  <c r="M318" i="7"/>
  <c r="H318" i="7"/>
  <c r="I318" i="7" s="1"/>
  <c r="J318" i="7" s="1"/>
  <c r="P318" i="7"/>
  <c r="L318" i="7"/>
  <c r="N326" i="7"/>
  <c r="M326" i="7"/>
  <c r="H326" i="7"/>
  <c r="I326" i="7" s="1"/>
  <c r="J326" i="7" s="1"/>
  <c r="P326" i="7"/>
  <c r="L326" i="7"/>
  <c r="I332" i="7"/>
  <c r="J332" i="7" s="1"/>
  <c r="AI1475" i="2"/>
  <c r="AK1475" i="2" s="1"/>
  <c r="AL1475" i="2" s="1"/>
  <c r="AI1479" i="2"/>
  <c r="AK1479" i="2" s="1"/>
  <c r="AL1479" i="2" s="1"/>
  <c r="AI1485" i="2"/>
  <c r="AK1485" i="2" s="1"/>
  <c r="AL1485" i="2" s="1"/>
  <c r="AI1497" i="2"/>
  <c r="AK1497" i="2" s="1"/>
  <c r="AL1497" i="2" s="1"/>
  <c r="AI1779" i="2"/>
  <c r="AK1779" i="2" s="1"/>
  <c r="AL1779" i="2" s="1"/>
  <c r="AI1793" i="2"/>
  <c r="AK1793" i="2" s="1"/>
  <c r="AL1793" i="2" s="1"/>
  <c r="AI1847" i="2"/>
  <c r="AK1847" i="2" s="1"/>
  <c r="AL1847" i="2" s="1"/>
  <c r="AI1879" i="2"/>
  <c r="AK1879" i="2" s="1"/>
  <c r="AL1879" i="2" s="1"/>
  <c r="AI1887" i="2"/>
  <c r="AK1887" i="2" s="1"/>
  <c r="AL1887" i="2" s="1"/>
  <c r="AI1953" i="2"/>
  <c r="AK1953" i="2" s="1"/>
  <c r="AL1953" i="2" s="1"/>
  <c r="AI1963" i="2"/>
  <c r="AK1963" i="2" s="1"/>
  <c r="AL1963" i="2" s="1"/>
  <c r="AI1971" i="2"/>
  <c r="AK1971" i="2" s="1"/>
  <c r="AL1971" i="2" s="1"/>
  <c r="AI2051" i="2"/>
  <c r="AK2051" i="2" s="1"/>
  <c r="AL2051" i="2" s="1"/>
  <c r="P105" i="7"/>
  <c r="M108" i="7"/>
  <c r="H108" i="7"/>
  <c r="I108" i="7" s="1"/>
  <c r="J108" i="7" s="1"/>
  <c r="P108" i="7"/>
  <c r="L108" i="7"/>
  <c r="N108" i="7"/>
  <c r="M116" i="7"/>
  <c r="H116" i="7"/>
  <c r="I116" i="7" s="1"/>
  <c r="J116" i="7" s="1"/>
  <c r="P116" i="7"/>
  <c r="L116" i="7"/>
  <c r="N116" i="7"/>
  <c r="M129" i="7"/>
  <c r="H129" i="7"/>
  <c r="I129" i="7" s="1"/>
  <c r="J129" i="7" s="1"/>
  <c r="P129" i="7"/>
  <c r="L129" i="7"/>
  <c r="N129" i="7"/>
  <c r="M156" i="7"/>
  <c r="H156" i="7"/>
  <c r="I156" i="7" s="1"/>
  <c r="J156" i="7" s="1"/>
  <c r="P156" i="7"/>
  <c r="L156" i="7"/>
  <c r="N156" i="7"/>
  <c r="O162" i="7"/>
  <c r="M164" i="7"/>
  <c r="H164" i="7"/>
  <c r="I164" i="7" s="1"/>
  <c r="J164" i="7" s="1"/>
  <c r="P164" i="7"/>
  <c r="L164" i="7"/>
  <c r="N164" i="7"/>
  <c r="P172" i="7"/>
  <c r="P174" i="7"/>
  <c r="P176" i="7"/>
  <c r="P178" i="7"/>
  <c r="P180" i="7"/>
  <c r="P182" i="7"/>
  <c r="P184" i="7"/>
  <c r="P186" i="7"/>
  <c r="P188" i="7"/>
  <c r="P190" i="7"/>
  <c r="N194" i="7"/>
  <c r="M194" i="7"/>
  <c r="H194" i="7"/>
  <c r="I194" i="7" s="1"/>
  <c r="J194" i="7" s="1"/>
  <c r="P194" i="7"/>
  <c r="L194" i="7"/>
  <c r="I220" i="7"/>
  <c r="J220" i="7" s="1"/>
  <c r="N223" i="7"/>
  <c r="M223" i="7"/>
  <c r="H223" i="7"/>
  <c r="I223" i="7" s="1"/>
  <c r="J223" i="7" s="1"/>
  <c r="P223" i="7"/>
  <c r="L223" i="7"/>
  <c r="I229" i="7"/>
  <c r="J229" i="7" s="1"/>
  <c r="N242" i="7"/>
  <c r="M242" i="7"/>
  <c r="H242" i="7"/>
  <c r="I242" i="7" s="1"/>
  <c r="J242" i="7" s="1"/>
  <c r="P242" i="7"/>
  <c r="L242" i="7"/>
  <c r="I247" i="7"/>
  <c r="J247" i="7" s="1"/>
  <c r="N277" i="7"/>
  <c r="M277" i="7"/>
  <c r="H277" i="7"/>
  <c r="I277" i="7" s="1"/>
  <c r="J277" i="7" s="1"/>
  <c r="P277" i="7"/>
  <c r="L277" i="7"/>
  <c r="N285" i="7"/>
  <c r="M285" i="7"/>
  <c r="H285" i="7"/>
  <c r="I285" i="7" s="1"/>
  <c r="J285" i="7" s="1"/>
  <c r="P285" i="7"/>
  <c r="L285" i="7"/>
  <c r="N320" i="7"/>
  <c r="M320" i="7"/>
  <c r="H320" i="7"/>
  <c r="I320" i="7" s="1"/>
  <c r="J320" i="7" s="1"/>
  <c r="P320" i="7"/>
  <c r="L320" i="7"/>
  <c r="I336" i="7"/>
  <c r="J336" i="7" s="1"/>
  <c r="AK1888" i="2"/>
  <c r="M104" i="7"/>
  <c r="H104" i="7"/>
  <c r="I104" i="7" s="1"/>
  <c r="J104" i="7" s="1"/>
  <c r="P104" i="7"/>
  <c r="L104" i="7"/>
  <c r="N104" i="7"/>
  <c r="O108" i="7"/>
  <c r="O116" i="7"/>
  <c r="M120" i="7"/>
  <c r="H120" i="7"/>
  <c r="I120" i="7" s="1"/>
  <c r="J120" i="7" s="1"/>
  <c r="P120" i="7"/>
  <c r="L120" i="7"/>
  <c r="N120" i="7"/>
  <c r="I121" i="7"/>
  <c r="J121" i="7" s="1"/>
  <c r="N124" i="7"/>
  <c r="M124" i="7"/>
  <c r="H124" i="7"/>
  <c r="O124" i="7"/>
  <c r="O129" i="7"/>
  <c r="O126" i="7" s="1"/>
  <c r="I17" i="7" s="1"/>
  <c r="M131" i="7"/>
  <c r="H131" i="7"/>
  <c r="I131" i="7" s="1"/>
  <c r="J131" i="7" s="1"/>
  <c r="P131" i="7"/>
  <c r="L131" i="7"/>
  <c r="N131" i="7"/>
  <c r="I132" i="7"/>
  <c r="J132" i="7" s="1"/>
  <c r="O156" i="7"/>
  <c r="M158" i="7"/>
  <c r="H158" i="7"/>
  <c r="I158" i="7" s="1"/>
  <c r="J158" i="7" s="1"/>
  <c r="P158" i="7"/>
  <c r="L158" i="7"/>
  <c r="N158" i="7"/>
  <c r="I159" i="7"/>
  <c r="J159" i="7" s="1"/>
  <c r="O164" i="7"/>
  <c r="M166" i="7"/>
  <c r="H166" i="7"/>
  <c r="I166" i="7" s="1"/>
  <c r="J166" i="7" s="1"/>
  <c r="P166" i="7"/>
  <c r="L166" i="7"/>
  <c r="N166" i="7"/>
  <c r="I227" i="7"/>
  <c r="J227" i="7" s="1"/>
  <c r="I235" i="7"/>
  <c r="J235" i="7" s="1"/>
  <c r="N244" i="7"/>
  <c r="M244" i="7"/>
  <c r="H244" i="7"/>
  <c r="I244" i="7" s="1"/>
  <c r="J244" i="7" s="1"/>
  <c r="P244" i="7"/>
  <c r="L244" i="7"/>
  <c r="N279" i="7"/>
  <c r="M279" i="7"/>
  <c r="H279" i="7"/>
  <c r="I279" i="7" s="1"/>
  <c r="J279" i="7" s="1"/>
  <c r="P279" i="7"/>
  <c r="L279" i="7"/>
  <c r="N287" i="7"/>
  <c r="M287" i="7"/>
  <c r="H287" i="7"/>
  <c r="I287" i="7" s="1"/>
  <c r="J287" i="7" s="1"/>
  <c r="P287" i="7"/>
  <c r="L287" i="7"/>
  <c r="I295" i="7"/>
  <c r="J295" i="7" s="1"/>
  <c r="I303" i="7"/>
  <c r="J303" i="7" s="1"/>
  <c r="N322" i="7"/>
  <c r="M322" i="7"/>
  <c r="H322" i="7"/>
  <c r="I322" i="7" s="1"/>
  <c r="J322" i="7" s="1"/>
  <c r="P322" i="7"/>
  <c r="L322" i="7"/>
  <c r="AK1771" i="2"/>
  <c r="L105" i="7"/>
  <c r="N109" i="7"/>
  <c r="M109" i="7"/>
  <c r="H109" i="7"/>
  <c r="I109" i="7" s="1"/>
  <c r="J109" i="7" s="1"/>
  <c r="O109" i="7"/>
  <c r="I110" i="7"/>
  <c r="J110" i="7" s="1"/>
  <c r="N113" i="7"/>
  <c r="M113" i="7"/>
  <c r="H113" i="7"/>
  <c r="I113" i="7" s="1"/>
  <c r="J113" i="7" s="1"/>
  <c r="O113" i="7"/>
  <c r="L117" i="7"/>
  <c r="M123" i="7"/>
  <c r="H123" i="7"/>
  <c r="I123" i="7" s="1"/>
  <c r="J123" i="7" s="1"/>
  <c r="P123" i="7"/>
  <c r="L123" i="7"/>
  <c r="N123" i="7"/>
  <c r="M133" i="7"/>
  <c r="H133" i="7"/>
  <c r="I133" i="7" s="1"/>
  <c r="J133" i="7" s="1"/>
  <c r="P133" i="7"/>
  <c r="L133" i="7"/>
  <c r="N133" i="7"/>
  <c r="L139" i="7"/>
  <c r="L141" i="7"/>
  <c r="L143" i="7"/>
  <c r="L145" i="7"/>
  <c r="L147" i="7"/>
  <c r="M152" i="7"/>
  <c r="H152" i="7"/>
  <c r="I152" i="7" s="1"/>
  <c r="J152" i="7" s="1"/>
  <c r="P152" i="7"/>
  <c r="L152" i="7"/>
  <c r="N152" i="7"/>
  <c r="I153" i="7"/>
  <c r="J153" i="7" s="1"/>
  <c r="M160" i="7"/>
  <c r="H160" i="7"/>
  <c r="I160" i="7" s="1"/>
  <c r="J160" i="7" s="1"/>
  <c r="P160" i="7"/>
  <c r="L160" i="7"/>
  <c r="N160" i="7"/>
  <c r="M168" i="7"/>
  <c r="H168" i="7"/>
  <c r="I168" i="7" s="1"/>
  <c r="J168" i="7" s="1"/>
  <c r="P168" i="7"/>
  <c r="L168" i="7"/>
  <c r="N168" i="7"/>
  <c r="L172" i="7"/>
  <c r="L174" i="7"/>
  <c r="L176" i="7"/>
  <c r="L178" i="7"/>
  <c r="L180" i="7"/>
  <c r="L182" i="7"/>
  <c r="L184" i="7"/>
  <c r="L186" i="7"/>
  <c r="L188" i="7"/>
  <c r="L190" i="7"/>
  <c r="O192" i="7"/>
  <c r="I212" i="7"/>
  <c r="J212" i="7" s="1"/>
  <c r="N219" i="7"/>
  <c r="M219" i="7"/>
  <c r="H219" i="7"/>
  <c r="I219" i="7" s="1"/>
  <c r="J219" i="7" s="1"/>
  <c r="P219" i="7"/>
  <c r="L219" i="7"/>
  <c r="O221" i="7"/>
  <c r="O240" i="7"/>
  <c r="N246" i="7"/>
  <c r="M246" i="7"/>
  <c r="H246" i="7"/>
  <c r="I246" i="7" s="1"/>
  <c r="J246" i="7" s="1"/>
  <c r="P246" i="7"/>
  <c r="L246" i="7"/>
  <c r="O248" i="7"/>
  <c r="N273" i="7"/>
  <c r="M273" i="7"/>
  <c r="H273" i="7"/>
  <c r="I273" i="7" s="1"/>
  <c r="J273" i="7" s="1"/>
  <c r="P273" i="7"/>
  <c r="L273" i="7"/>
  <c r="I278" i="7"/>
  <c r="J278" i="7" s="1"/>
  <c r="N281" i="7"/>
  <c r="M281" i="7"/>
  <c r="H281" i="7"/>
  <c r="I281" i="7" s="1"/>
  <c r="J281" i="7" s="1"/>
  <c r="P281" i="7"/>
  <c r="L281" i="7"/>
  <c r="I286" i="7"/>
  <c r="J286" i="7" s="1"/>
  <c r="I293" i="7"/>
  <c r="J293" i="7" s="1"/>
  <c r="N316" i="7"/>
  <c r="M316" i="7"/>
  <c r="H316" i="7"/>
  <c r="I316" i="7" s="1"/>
  <c r="J316" i="7" s="1"/>
  <c r="P316" i="7"/>
  <c r="L316" i="7"/>
  <c r="N324" i="7"/>
  <c r="M324" i="7"/>
  <c r="H324" i="7"/>
  <c r="I324" i="7" s="1"/>
  <c r="J324" i="7" s="1"/>
  <c r="P324" i="7"/>
  <c r="L324" i="7"/>
  <c r="I334" i="7"/>
  <c r="J334" i="7" s="1"/>
  <c r="I342" i="7"/>
  <c r="J342" i="7" s="1"/>
  <c r="O347" i="7"/>
  <c r="O349" i="7"/>
  <c r="O351" i="7"/>
  <c r="O353" i="7"/>
  <c r="O355" i="7"/>
  <c r="O357" i="7"/>
  <c r="O359" i="7"/>
  <c r="O361" i="7"/>
  <c r="O363" i="7"/>
  <c r="O365" i="7"/>
  <c r="O367" i="7"/>
  <c r="O369" i="7"/>
  <c r="O371" i="7"/>
  <c r="O373" i="7"/>
  <c r="O375" i="7"/>
  <c r="O377" i="7"/>
  <c r="O379" i="7"/>
  <c r="O381" i="7"/>
  <c r="O396" i="7"/>
  <c r="O398" i="7"/>
  <c r="O400" i="7"/>
  <c r="O402" i="7"/>
  <c r="O404" i="7"/>
  <c r="O406" i="7"/>
  <c r="O408" i="7"/>
  <c r="O410" i="7"/>
  <c r="M412" i="7"/>
  <c r="H412" i="7"/>
  <c r="L412" i="7"/>
  <c r="M414" i="7"/>
  <c r="H414" i="7"/>
  <c r="L414" i="7"/>
  <c r="M416" i="7"/>
  <c r="H416" i="7"/>
  <c r="L416" i="7"/>
  <c r="M418" i="7"/>
  <c r="H418" i="7"/>
  <c r="L418" i="7"/>
  <c r="P433" i="7"/>
  <c r="L433" i="7"/>
  <c r="N433" i="7"/>
  <c r="I433" i="7"/>
  <c r="M433" i="7"/>
  <c r="P452" i="7"/>
  <c r="L452" i="7"/>
  <c r="N452" i="7"/>
  <c r="I452" i="7"/>
  <c r="M452" i="7"/>
  <c r="P454" i="7"/>
  <c r="L454" i="7"/>
  <c r="N454" i="7"/>
  <c r="I454" i="7"/>
  <c r="M454" i="7"/>
  <c r="P456" i="7"/>
  <c r="L456" i="7"/>
  <c r="N456" i="7"/>
  <c r="I456" i="7"/>
  <c r="M456" i="7"/>
  <c r="P458" i="7"/>
  <c r="L458" i="7"/>
  <c r="N458" i="7"/>
  <c r="I458" i="7"/>
  <c r="M458" i="7"/>
  <c r="O199" i="7"/>
  <c r="O201" i="7"/>
  <c r="O203" i="7"/>
  <c r="O205" i="7"/>
  <c r="O207" i="7"/>
  <c r="O209" i="7"/>
  <c r="O211" i="7"/>
  <c r="O213" i="7"/>
  <c r="O215" i="7"/>
  <c r="O228" i="7"/>
  <c r="O230" i="7"/>
  <c r="O232" i="7"/>
  <c r="O234" i="7"/>
  <c r="O236" i="7"/>
  <c r="O253" i="7"/>
  <c r="O255" i="7"/>
  <c r="O257" i="7"/>
  <c r="O259" i="7"/>
  <c r="O261" i="7"/>
  <c r="O263" i="7"/>
  <c r="O265" i="7"/>
  <c r="O267" i="7"/>
  <c r="O269" i="7"/>
  <c r="O292" i="7"/>
  <c r="O294" i="7"/>
  <c r="O296" i="7"/>
  <c r="O298" i="7"/>
  <c r="O300" i="7"/>
  <c r="O302" i="7"/>
  <c r="O304" i="7"/>
  <c r="O306" i="7"/>
  <c r="O308" i="7"/>
  <c r="O310" i="7"/>
  <c r="O312" i="7"/>
  <c r="O329" i="7"/>
  <c r="O331" i="7"/>
  <c r="O333" i="7"/>
  <c r="O335" i="7"/>
  <c r="O337" i="7"/>
  <c r="O339" i="7"/>
  <c r="O341" i="7"/>
  <c r="O343" i="7"/>
  <c r="L347" i="7"/>
  <c r="P347" i="7"/>
  <c r="L349" i="7"/>
  <c r="P349" i="7"/>
  <c r="L351" i="7"/>
  <c r="P351" i="7"/>
  <c r="L353" i="7"/>
  <c r="P353" i="7"/>
  <c r="L355" i="7"/>
  <c r="P355" i="7"/>
  <c r="L357" i="7"/>
  <c r="P357" i="7"/>
  <c r="L359" i="7"/>
  <c r="P359" i="7"/>
  <c r="L361" i="7"/>
  <c r="P361" i="7"/>
  <c r="L363" i="7"/>
  <c r="P363" i="7"/>
  <c r="L365" i="7"/>
  <c r="P365" i="7"/>
  <c r="L367" i="7"/>
  <c r="P367" i="7"/>
  <c r="L369" i="7"/>
  <c r="P369" i="7"/>
  <c r="L371" i="7"/>
  <c r="P371" i="7"/>
  <c r="L373" i="7"/>
  <c r="P373" i="7"/>
  <c r="L375" i="7"/>
  <c r="P375" i="7"/>
  <c r="L377" i="7"/>
  <c r="P377" i="7"/>
  <c r="L379" i="7"/>
  <c r="P379" i="7"/>
  <c r="L381" i="7"/>
  <c r="P381" i="7"/>
  <c r="O384" i="7"/>
  <c r="O386" i="7"/>
  <c r="O388" i="7"/>
  <c r="O390" i="7"/>
  <c r="O392" i="7"/>
  <c r="L396" i="7"/>
  <c r="P396" i="7"/>
  <c r="L398" i="7"/>
  <c r="P398" i="7"/>
  <c r="L400" i="7"/>
  <c r="P400" i="7"/>
  <c r="L402" i="7"/>
  <c r="P402" i="7"/>
  <c r="L404" i="7"/>
  <c r="P404" i="7"/>
  <c r="L406" i="7"/>
  <c r="P406" i="7"/>
  <c r="L408" i="7"/>
  <c r="P408" i="7"/>
  <c r="L410" i="7"/>
  <c r="P410" i="7"/>
  <c r="N412" i="7"/>
  <c r="N414" i="7"/>
  <c r="N416" i="7"/>
  <c r="N418" i="7"/>
  <c r="O433" i="7"/>
  <c r="O452" i="7"/>
  <c r="O454" i="7"/>
  <c r="O456" i="7"/>
  <c r="O458" i="7"/>
  <c r="O103" i="7"/>
  <c r="O107" i="7"/>
  <c r="O111" i="7"/>
  <c r="O115" i="7"/>
  <c r="O119" i="7"/>
  <c r="O122" i="7"/>
  <c r="O140" i="7"/>
  <c r="O142" i="7"/>
  <c r="O144" i="7"/>
  <c r="O146" i="7"/>
  <c r="O148" i="7"/>
  <c r="O171" i="7"/>
  <c r="O173" i="7"/>
  <c r="O175" i="7"/>
  <c r="O177" i="7"/>
  <c r="O179" i="7"/>
  <c r="O181" i="7"/>
  <c r="O183" i="7"/>
  <c r="O185" i="7"/>
  <c r="O187" i="7"/>
  <c r="O189" i="7"/>
  <c r="O191" i="7"/>
  <c r="O193" i="7"/>
  <c r="O195" i="7"/>
  <c r="L199" i="7"/>
  <c r="P199" i="7"/>
  <c r="L201" i="7"/>
  <c r="P201" i="7"/>
  <c r="L203" i="7"/>
  <c r="P203" i="7"/>
  <c r="L205" i="7"/>
  <c r="P205" i="7"/>
  <c r="L207" i="7"/>
  <c r="P207" i="7"/>
  <c r="L209" i="7"/>
  <c r="P209" i="7"/>
  <c r="L211" i="7"/>
  <c r="P211" i="7"/>
  <c r="L213" i="7"/>
  <c r="P213" i="7"/>
  <c r="L215" i="7"/>
  <c r="P215" i="7"/>
  <c r="O218" i="7"/>
  <c r="O220" i="7"/>
  <c r="O222" i="7"/>
  <c r="O224" i="7"/>
  <c r="L228" i="7"/>
  <c r="P228" i="7"/>
  <c r="L230" i="7"/>
  <c r="P230" i="7"/>
  <c r="L232" i="7"/>
  <c r="P232" i="7"/>
  <c r="L234" i="7"/>
  <c r="P234" i="7"/>
  <c r="L236" i="7"/>
  <c r="P236" i="7"/>
  <c r="O241" i="7"/>
  <c r="O243" i="7"/>
  <c r="O245" i="7"/>
  <c r="O247" i="7"/>
  <c r="O249" i="7"/>
  <c r="L253" i="7"/>
  <c r="P253" i="7"/>
  <c r="L255" i="7"/>
  <c r="P255" i="7"/>
  <c r="L257" i="7"/>
  <c r="P257" i="7"/>
  <c r="L259" i="7"/>
  <c r="P259" i="7"/>
  <c r="L261" i="7"/>
  <c r="P261" i="7"/>
  <c r="L263" i="7"/>
  <c r="P263" i="7"/>
  <c r="L265" i="7"/>
  <c r="P265" i="7"/>
  <c r="L267" i="7"/>
  <c r="P267" i="7"/>
  <c r="L269" i="7"/>
  <c r="P269" i="7"/>
  <c r="O274" i="7"/>
  <c r="O276" i="7"/>
  <c r="O278" i="7"/>
  <c r="O280" i="7"/>
  <c r="O282" i="7"/>
  <c r="O284" i="7"/>
  <c r="O286" i="7"/>
  <c r="O288" i="7"/>
  <c r="L292" i="7"/>
  <c r="P292" i="7"/>
  <c r="L294" i="7"/>
  <c r="P294" i="7"/>
  <c r="L296" i="7"/>
  <c r="P296" i="7"/>
  <c r="L298" i="7"/>
  <c r="P298" i="7"/>
  <c r="L300" i="7"/>
  <c r="P300" i="7"/>
  <c r="L302" i="7"/>
  <c r="P302" i="7"/>
  <c r="L304" i="7"/>
  <c r="P304" i="7"/>
  <c r="L306" i="7"/>
  <c r="P306" i="7"/>
  <c r="L308" i="7"/>
  <c r="P308" i="7"/>
  <c r="L310" i="7"/>
  <c r="P310" i="7"/>
  <c r="L312" i="7"/>
  <c r="P312" i="7"/>
  <c r="O315" i="7"/>
  <c r="O317" i="7"/>
  <c r="O319" i="7"/>
  <c r="O321" i="7"/>
  <c r="O323" i="7"/>
  <c r="O325" i="7"/>
  <c r="L329" i="7"/>
  <c r="P329" i="7"/>
  <c r="L331" i="7"/>
  <c r="P331" i="7"/>
  <c r="L333" i="7"/>
  <c r="P333" i="7"/>
  <c r="L335" i="7"/>
  <c r="P335" i="7"/>
  <c r="L337" i="7"/>
  <c r="P337" i="7"/>
  <c r="L339" i="7"/>
  <c r="P339" i="7"/>
  <c r="L341" i="7"/>
  <c r="P341" i="7"/>
  <c r="L343" i="7"/>
  <c r="P343" i="7"/>
  <c r="O346" i="7"/>
  <c r="H347" i="7"/>
  <c r="M347" i="7"/>
  <c r="O348" i="7"/>
  <c r="H349" i="7"/>
  <c r="M349" i="7"/>
  <c r="O350" i="7"/>
  <c r="H351" i="7"/>
  <c r="M351" i="7"/>
  <c r="O352" i="7"/>
  <c r="H353" i="7"/>
  <c r="M353" i="7"/>
  <c r="O354" i="7"/>
  <c r="H355" i="7"/>
  <c r="M355" i="7"/>
  <c r="O356" i="7"/>
  <c r="H357" i="7"/>
  <c r="M357" i="7"/>
  <c r="O358" i="7"/>
  <c r="H359" i="7"/>
  <c r="M359" i="7"/>
  <c r="O360" i="7"/>
  <c r="H361" i="7"/>
  <c r="M361" i="7"/>
  <c r="O362" i="7"/>
  <c r="H363" i="7"/>
  <c r="M363" i="7"/>
  <c r="O364" i="7"/>
  <c r="H365" i="7"/>
  <c r="M365" i="7"/>
  <c r="O366" i="7"/>
  <c r="H367" i="7"/>
  <c r="M367" i="7"/>
  <c r="O368" i="7"/>
  <c r="H369" i="7"/>
  <c r="M369" i="7"/>
  <c r="O370" i="7"/>
  <c r="H371" i="7"/>
  <c r="M371" i="7"/>
  <c r="O372" i="7"/>
  <c r="H373" i="7"/>
  <c r="M373" i="7"/>
  <c r="O374" i="7"/>
  <c r="H375" i="7"/>
  <c r="M375" i="7"/>
  <c r="O376" i="7"/>
  <c r="H377" i="7"/>
  <c r="M377" i="7"/>
  <c r="O378" i="7"/>
  <c r="H379" i="7"/>
  <c r="M379" i="7"/>
  <c r="O380" i="7"/>
  <c r="H381" i="7"/>
  <c r="M381" i="7"/>
  <c r="L384" i="7"/>
  <c r="P384" i="7"/>
  <c r="L386" i="7"/>
  <c r="P386" i="7"/>
  <c r="L388" i="7"/>
  <c r="P388" i="7"/>
  <c r="L390" i="7"/>
  <c r="P390" i="7"/>
  <c r="L392" i="7"/>
  <c r="P392" i="7"/>
  <c r="H396" i="7"/>
  <c r="M396" i="7"/>
  <c r="O397" i="7"/>
  <c r="H398" i="7"/>
  <c r="M398" i="7"/>
  <c r="O399" i="7"/>
  <c r="H400" i="7"/>
  <c r="M400" i="7"/>
  <c r="O401" i="7"/>
  <c r="H402" i="7"/>
  <c r="M402" i="7"/>
  <c r="O403" i="7"/>
  <c r="H404" i="7"/>
  <c r="M404" i="7"/>
  <c r="O405" i="7"/>
  <c r="H406" i="7"/>
  <c r="M406" i="7"/>
  <c r="O407" i="7"/>
  <c r="H408" i="7"/>
  <c r="M408" i="7"/>
  <c r="O409" i="7"/>
  <c r="H410" i="7"/>
  <c r="M410" i="7"/>
  <c r="O411" i="7"/>
  <c r="I412" i="7"/>
  <c r="O412" i="7"/>
  <c r="I414" i="7"/>
  <c r="O414" i="7"/>
  <c r="I416" i="7"/>
  <c r="O416" i="7"/>
  <c r="I418" i="7"/>
  <c r="O418" i="7"/>
  <c r="P421" i="7"/>
  <c r="L421" i="7"/>
  <c r="N422" i="7"/>
  <c r="I422" i="7"/>
  <c r="L422" i="7"/>
  <c r="P423" i="7"/>
  <c r="L423" i="7"/>
  <c r="N424" i="7"/>
  <c r="I424" i="7"/>
  <c r="L424" i="7"/>
  <c r="P425" i="7"/>
  <c r="L425" i="7"/>
  <c r="N426" i="7"/>
  <c r="I426" i="7"/>
  <c r="L426" i="7"/>
  <c r="P427" i="7"/>
  <c r="L427" i="7"/>
  <c r="N428" i="7"/>
  <c r="I428" i="7"/>
  <c r="J428" i="7" s="1"/>
  <c r="L428" i="7"/>
  <c r="P429" i="7"/>
  <c r="L429" i="7"/>
  <c r="N430" i="7"/>
  <c r="I430" i="7"/>
  <c r="L430" i="7"/>
  <c r="P431" i="7"/>
  <c r="L431" i="7"/>
  <c r="N432" i="7"/>
  <c r="I432" i="7"/>
  <c r="J432" i="7" s="1"/>
  <c r="P432" i="7"/>
  <c r="L432" i="7"/>
  <c r="M432" i="7"/>
  <c r="H433" i="7"/>
  <c r="H452" i="7"/>
  <c r="N453" i="7"/>
  <c r="I453" i="7"/>
  <c r="J453" i="7" s="1"/>
  <c r="P453" i="7"/>
  <c r="L453" i="7"/>
  <c r="M453" i="7"/>
  <c r="H454" i="7"/>
  <c r="N455" i="7"/>
  <c r="I455" i="7"/>
  <c r="J455" i="7" s="1"/>
  <c r="P455" i="7"/>
  <c r="L455" i="7"/>
  <c r="M455" i="7"/>
  <c r="H456" i="7"/>
  <c r="N457" i="7"/>
  <c r="I457" i="7"/>
  <c r="J457" i="7" s="1"/>
  <c r="P457" i="7"/>
  <c r="L457" i="7"/>
  <c r="M457" i="7"/>
  <c r="H458" i="7"/>
  <c r="N459" i="7"/>
  <c r="I459" i="7"/>
  <c r="M459" i="7"/>
  <c r="H459" i="7"/>
  <c r="P459" i="7"/>
  <c r="L459" i="7"/>
  <c r="N461" i="7"/>
  <c r="I461" i="7"/>
  <c r="M461" i="7"/>
  <c r="H461" i="7"/>
  <c r="P461" i="7"/>
  <c r="L461" i="7"/>
  <c r="N463" i="7"/>
  <c r="I463" i="7"/>
  <c r="M463" i="7"/>
  <c r="H463" i="7"/>
  <c r="P463" i="7"/>
  <c r="L463" i="7"/>
  <c r="N474" i="7"/>
  <c r="I474" i="7"/>
  <c r="M474" i="7"/>
  <c r="H474" i="7"/>
  <c r="P474" i="7"/>
  <c r="L474" i="7"/>
  <c r="N476" i="7"/>
  <c r="I476" i="7"/>
  <c r="M476" i="7"/>
  <c r="H476" i="7"/>
  <c r="P476" i="7"/>
  <c r="L476" i="7"/>
  <c r="N478" i="7"/>
  <c r="I478" i="7"/>
  <c r="M478" i="7"/>
  <c r="H478" i="7"/>
  <c r="P478" i="7"/>
  <c r="L478" i="7"/>
  <c r="N480" i="7"/>
  <c r="I480" i="7"/>
  <c r="M480" i="7"/>
  <c r="H480" i="7"/>
  <c r="P480" i="7"/>
  <c r="L480" i="7"/>
  <c r="N482" i="7"/>
  <c r="I482" i="7"/>
  <c r="M482" i="7"/>
  <c r="H482" i="7"/>
  <c r="P482" i="7"/>
  <c r="L482" i="7"/>
  <c r="N484" i="7"/>
  <c r="I484" i="7"/>
  <c r="M484" i="7"/>
  <c r="H484" i="7"/>
  <c r="P484" i="7"/>
  <c r="L484" i="7"/>
  <c r="N486" i="7"/>
  <c r="I486" i="7"/>
  <c r="M486" i="7"/>
  <c r="H486" i="7"/>
  <c r="P486" i="7"/>
  <c r="L486" i="7"/>
  <c r="N488" i="7"/>
  <c r="I488" i="7"/>
  <c r="M488" i="7"/>
  <c r="H488" i="7"/>
  <c r="P488" i="7"/>
  <c r="L488" i="7"/>
  <c r="L103" i="7"/>
  <c r="L107" i="7"/>
  <c r="L111" i="7"/>
  <c r="L115" i="7"/>
  <c r="L119" i="7"/>
  <c r="L122" i="7"/>
  <c r="L140" i="7"/>
  <c r="L142" i="7"/>
  <c r="L144" i="7"/>
  <c r="L146" i="7"/>
  <c r="L148" i="7"/>
  <c r="L171" i="7"/>
  <c r="L173" i="7"/>
  <c r="L175" i="7"/>
  <c r="L177" i="7"/>
  <c r="L179" i="7"/>
  <c r="L181" i="7"/>
  <c r="L183" i="7"/>
  <c r="L185" i="7"/>
  <c r="L187" i="7"/>
  <c r="L189" i="7"/>
  <c r="L191" i="7"/>
  <c r="L193" i="7"/>
  <c r="L195" i="7"/>
  <c r="H199" i="7"/>
  <c r="I199" i="7" s="1"/>
  <c r="J199" i="7" s="1"/>
  <c r="H201" i="7"/>
  <c r="I201" i="7" s="1"/>
  <c r="J201" i="7" s="1"/>
  <c r="H203" i="7"/>
  <c r="I203" i="7" s="1"/>
  <c r="J203" i="7" s="1"/>
  <c r="H205" i="7"/>
  <c r="I205" i="7" s="1"/>
  <c r="J205" i="7" s="1"/>
  <c r="H207" i="7"/>
  <c r="I207" i="7" s="1"/>
  <c r="J207" i="7" s="1"/>
  <c r="H209" i="7"/>
  <c r="I209" i="7" s="1"/>
  <c r="J209" i="7" s="1"/>
  <c r="H211" i="7"/>
  <c r="I211" i="7" s="1"/>
  <c r="J211" i="7" s="1"/>
  <c r="H213" i="7"/>
  <c r="I213" i="7" s="1"/>
  <c r="J213" i="7" s="1"/>
  <c r="H215" i="7"/>
  <c r="I215" i="7" s="1"/>
  <c r="J215" i="7" s="1"/>
  <c r="L218" i="7"/>
  <c r="L220" i="7"/>
  <c r="L222" i="7"/>
  <c r="L224" i="7"/>
  <c r="H228" i="7"/>
  <c r="I228" i="7" s="1"/>
  <c r="J228" i="7" s="1"/>
  <c r="H230" i="7"/>
  <c r="I230" i="7" s="1"/>
  <c r="J230" i="7" s="1"/>
  <c r="H232" i="7"/>
  <c r="I232" i="7" s="1"/>
  <c r="J232" i="7" s="1"/>
  <c r="H234" i="7"/>
  <c r="I234" i="7" s="1"/>
  <c r="J234" i="7" s="1"/>
  <c r="H236" i="7"/>
  <c r="I236" i="7" s="1"/>
  <c r="J236" i="7" s="1"/>
  <c r="L241" i="7"/>
  <c r="L243" i="7"/>
  <c r="L245" i="7"/>
  <c r="L247" i="7"/>
  <c r="L249" i="7"/>
  <c r="H253" i="7"/>
  <c r="I253" i="7" s="1"/>
  <c r="J253" i="7" s="1"/>
  <c r="H255" i="7"/>
  <c r="I255" i="7" s="1"/>
  <c r="J255" i="7" s="1"/>
  <c r="H257" i="7"/>
  <c r="I257" i="7" s="1"/>
  <c r="J257" i="7" s="1"/>
  <c r="H259" i="7"/>
  <c r="I259" i="7" s="1"/>
  <c r="J259" i="7" s="1"/>
  <c r="H261" i="7"/>
  <c r="I261" i="7" s="1"/>
  <c r="J261" i="7" s="1"/>
  <c r="H263" i="7"/>
  <c r="I263" i="7" s="1"/>
  <c r="J263" i="7" s="1"/>
  <c r="H265" i="7"/>
  <c r="I265" i="7" s="1"/>
  <c r="J265" i="7" s="1"/>
  <c r="H267" i="7"/>
  <c r="I267" i="7" s="1"/>
  <c r="J267" i="7" s="1"/>
  <c r="H269" i="7"/>
  <c r="I269" i="7" s="1"/>
  <c r="J269" i="7" s="1"/>
  <c r="L274" i="7"/>
  <c r="L276" i="7"/>
  <c r="L278" i="7"/>
  <c r="L280" i="7"/>
  <c r="L282" i="7"/>
  <c r="L284" i="7"/>
  <c r="L286" i="7"/>
  <c r="L288" i="7"/>
  <c r="H292" i="7"/>
  <c r="I292" i="7" s="1"/>
  <c r="J292" i="7" s="1"/>
  <c r="H294" i="7"/>
  <c r="I294" i="7" s="1"/>
  <c r="J294" i="7" s="1"/>
  <c r="H296" i="7"/>
  <c r="I296" i="7" s="1"/>
  <c r="J296" i="7" s="1"/>
  <c r="H298" i="7"/>
  <c r="I298" i="7" s="1"/>
  <c r="J298" i="7" s="1"/>
  <c r="H300" i="7"/>
  <c r="I300" i="7" s="1"/>
  <c r="J300" i="7" s="1"/>
  <c r="H302" i="7"/>
  <c r="I302" i="7" s="1"/>
  <c r="J302" i="7" s="1"/>
  <c r="H304" i="7"/>
  <c r="I304" i="7" s="1"/>
  <c r="J304" i="7" s="1"/>
  <c r="H306" i="7"/>
  <c r="I306" i="7" s="1"/>
  <c r="J306" i="7" s="1"/>
  <c r="H308" i="7"/>
  <c r="I308" i="7" s="1"/>
  <c r="J308" i="7" s="1"/>
  <c r="H310" i="7"/>
  <c r="I310" i="7" s="1"/>
  <c r="J310" i="7" s="1"/>
  <c r="H312" i="7"/>
  <c r="I312" i="7" s="1"/>
  <c r="J312" i="7" s="1"/>
  <c r="L315" i="7"/>
  <c r="L317" i="7"/>
  <c r="L319" i="7"/>
  <c r="L321" i="7"/>
  <c r="L323" i="7"/>
  <c r="L325" i="7"/>
  <c r="H329" i="7"/>
  <c r="I329" i="7" s="1"/>
  <c r="J329" i="7" s="1"/>
  <c r="H331" i="7"/>
  <c r="I331" i="7" s="1"/>
  <c r="J331" i="7" s="1"/>
  <c r="H333" i="7"/>
  <c r="I333" i="7" s="1"/>
  <c r="J333" i="7" s="1"/>
  <c r="H335" i="7"/>
  <c r="I335" i="7" s="1"/>
  <c r="J335" i="7" s="1"/>
  <c r="H337" i="7"/>
  <c r="I337" i="7" s="1"/>
  <c r="J337" i="7" s="1"/>
  <c r="H339" i="7"/>
  <c r="I339" i="7" s="1"/>
  <c r="J339" i="7" s="1"/>
  <c r="H341" i="7"/>
  <c r="I341" i="7" s="1"/>
  <c r="J341" i="7" s="1"/>
  <c r="H343" i="7"/>
  <c r="I343" i="7" s="1"/>
  <c r="J343" i="7" s="1"/>
  <c r="L346" i="7"/>
  <c r="I347" i="7"/>
  <c r="L348" i="7"/>
  <c r="I349" i="7"/>
  <c r="L350" i="7"/>
  <c r="I351" i="7"/>
  <c r="L352" i="7"/>
  <c r="I353" i="7"/>
  <c r="L354" i="7"/>
  <c r="I355" i="7"/>
  <c r="L356" i="7"/>
  <c r="I357" i="7"/>
  <c r="L358" i="7"/>
  <c r="I359" i="7"/>
  <c r="L360" i="7"/>
  <c r="I361" i="7"/>
  <c r="L362" i="7"/>
  <c r="I363" i="7"/>
  <c r="L364" i="7"/>
  <c r="I365" i="7"/>
  <c r="L366" i="7"/>
  <c r="I367" i="7"/>
  <c r="L368" i="7"/>
  <c r="I369" i="7"/>
  <c r="L370" i="7"/>
  <c r="I371" i="7"/>
  <c r="L372" i="7"/>
  <c r="I373" i="7"/>
  <c r="L374" i="7"/>
  <c r="I375" i="7"/>
  <c r="L376" i="7"/>
  <c r="I377" i="7"/>
  <c r="L378" i="7"/>
  <c r="I379" i="7"/>
  <c r="L380" i="7"/>
  <c r="I381" i="7"/>
  <c r="H384" i="7"/>
  <c r="H386" i="7"/>
  <c r="H388" i="7"/>
  <c r="H390" i="7"/>
  <c r="H392" i="7"/>
  <c r="J392" i="7" s="1"/>
  <c r="I396" i="7"/>
  <c r="L397" i="7"/>
  <c r="I398" i="7"/>
  <c r="L399" i="7"/>
  <c r="I400" i="7"/>
  <c r="L401" i="7"/>
  <c r="I402" i="7"/>
  <c r="L403" i="7"/>
  <c r="I404" i="7"/>
  <c r="L405" i="7"/>
  <c r="I406" i="7"/>
  <c r="L407" i="7"/>
  <c r="I408" i="7"/>
  <c r="L409" i="7"/>
  <c r="I410" i="7"/>
  <c r="L411" i="7"/>
  <c r="P412" i="7"/>
  <c r="J413" i="7"/>
  <c r="P414" i="7"/>
  <c r="P416" i="7"/>
  <c r="P418" i="7"/>
  <c r="M421" i="7"/>
  <c r="M422" i="7"/>
  <c r="M423" i="7"/>
  <c r="M424" i="7"/>
  <c r="M425" i="7"/>
  <c r="M426" i="7"/>
  <c r="M427" i="7"/>
  <c r="M428" i="7"/>
  <c r="M429" i="7"/>
  <c r="M430" i="7"/>
  <c r="M431" i="7"/>
  <c r="O432" i="7"/>
  <c r="O453" i="7"/>
  <c r="O455" i="7"/>
  <c r="O457" i="7"/>
  <c r="O490" i="7"/>
  <c r="O492" i="7"/>
  <c r="O494" i="7"/>
  <c r="O496" i="7"/>
  <c r="O498" i="7"/>
  <c r="O517" i="7"/>
  <c r="O519" i="7"/>
  <c r="O521" i="7"/>
  <c r="O523" i="7"/>
  <c r="O525" i="7"/>
  <c r="O527" i="7"/>
  <c r="O529" i="7"/>
  <c r="O531" i="7"/>
  <c r="O533" i="7"/>
  <c r="O566" i="7"/>
  <c r="O568" i="7"/>
  <c r="O570" i="7"/>
  <c r="O572" i="7"/>
  <c r="O574" i="7"/>
  <c r="O576" i="7"/>
  <c r="O578" i="7"/>
  <c r="O580" i="7"/>
  <c r="O582" i="7"/>
  <c r="O584" i="7"/>
  <c r="O586" i="7"/>
  <c r="O599" i="7"/>
  <c r="O601" i="7"/>
  <c r="O603" i="7"/>
  <c r="O605" i="7"/>
  <c r="O607" i="7"/>
  <c r="O609" i="7"/>
  <c r="O611" i="7"/>
  <c r="O613" i="7"/>
  <c r="O615" i="7"/>
  <c r="O617" i="7"/>
  <c r="O619" i="7"/>
  <c r="O621" i="7"/>
  <c r="O623" i="7"/>
  <c r="O625" i="7"/>
  <c r="O627" i="7"/>
  <c r="O629" i="7"/>
  <c r="O631" i="7"/>
  <c r="O633" i="7"/>
  <c r="O635" i="7"/>
  <c r="O637" i="7"/>
  <c r="O639" i="7"/>
  <c r="O641" i="7"/>
  <c r="O643" i="7"/>
  <c r="O645" i="7"/>
  <c r="O647" i="7"/>
  <c r="O670" i="7"/>
  <c r="O672" i="7"/>
  <c r="O674" i="7"/>
  <c r="O676" i="7"/>
  <c r="O678" i="7"/>
  <c r="O680" i="7"/>
  <c r="O682" i="7"/>
  <c r="O684" i="7"/>
  <c r="O686" i="7"/>
  <c r="O688" i="7"/>
  <c r="O690" i="7"/>
  <c r="O692" i="7"/>
  <c r="O694" i="7"/>
  <c r="O696" i="7"/>
  <c r="O698" i="7"/>
  <c r="O700" i="7"/>
  <c r="O702" i="7"/>
  <c r="O704" i="7"/>
  <c r="O725" i="7"/>
  <c r="O727" i="7"/>
  <c r="O729" i="7"/>
  <c r="N738" i="7"/>
  <c r="I738" i="7"/>
  <c r="L738" i="7"/>
  <c r="P739" i="7"/>
  <c r="L739" i="7"/>
  <c r="N740" i="7"/>
  <c r="I740" i="7"/>
  <c r="L740" i="7"/>
  <c r="P741" i="7"/>
  <c r="L741" i="7"/>
  <c r="N742" i="7"/>
  <c r="I742" i="7"/>
  <c r="L742" i="7"/>
  <c r="P743" i="7"/>
  <c r="L743" i="7"/>
  <c r="N744" i="7"/>
  <c r="I744" i="7"/>
  <c r="L744" i="7"/>
  <c r="P745" i="7"/>
  <c r="L745" i="7"/>
  <c r="N746" i="7"/>
  <c r="I746" i="7"/>
  <c r="L746" i="7"/>
  <c r="P747" i="7"/>
  <c r="L747" i="7"/>
  <c r="N748" i="7"/>
  <c r="I748" i="7"/>
  <c r="P748" i="7"/>
  <c r="L748" i="7"/>
  <c r="M748" i="7"/>
  <c r="N750" i="7"/>
  <c r="I750" i="7"/>
  <c r="P750" i="7"/>
  <c r="L750" i="7"/>
  <c r="M750" i="7"/>
  <c r="N752" i="7"/>
  <c r="I752" i="7"/>
  <c r="P752" i="7"/>
  <c r="L752" i="7"/>
  <c r="M752" i="7"/>
  <c r="N754" i="7"/>
  <c r="I754" i="7"/>
  <c r="P754" i="7"/>
  <c r="L754" i="7"/>
  <c r="M754" i="7"/>
  <c r="N756" i="7"/>
  <c r="I756" i="7"/>
  <c r="P756" i="7"/>
  <c r="L756" i="7"/>
  <c r="M756" i="7"/>
  <c r="N758" i="7"/>
  <c r="I758" i="7"/>
  <c r="P758" i="7"/>
  <c r="L758" i="7"/>
  <c r="M758" i="7"/>
  <c r="N760" i="7"/>
  <c r="I760" i="7"/>
  <c r="P760" i="7"/>
  <c r="L760" i="7"/>
  <c r="M760" i="7"/>
  <c r="N762" i="7"/>
  <c r="I762" i="7"/>
  <c r="P762" i="7"/>
  <c r="L762" i="7"/>
  <c r="M762" i="7"/>
  <c r="N764" i="7"/>
  <c r="I764" i="7"/>
  <c r="P764" i="7"/>
  <c r="L764" i="7"/>
  <c r="M764" i="7"/>
  <c r="N766" i="7"/>
  <c r="I766" i="7"/>
  <c r="P766" i="7"/>
  <c r="L766" i="7"/>
  <c r="M766" i="7"/>
  <c r="N768" i="7"/>
  <c r="I768" i="7"/>
  <c r="P768" i="7"/>
  <c r="L768" i="7"/>
  <c r="M768" i="7"/>
  <c r="N770" i="7"/>
  <c r="I770" i="7"/>
  <c r="P770" i="7"/>
  <c r="L770" i="7"/>
  <c r="M770" i="7"/>
  <c r="N772" i="7"/>
  <c r="I772" i="7"/>
  <c r="P772" i="7"/>
  <c r="L772" i="7"/>
  <c r="M772" i="7"/>
  <c r="N774" i="7"/>
  <c r="I774" i="7"/>
  <c r="P774" i="7"/>
  <c r="L774" i="7"/>
  <c r="M774" i="7"/>
  <c r="N776" i="7"/>
  <c r="I776" i="7"/>
  <c r="P776" i="7"/>
  <c r="L776" i="7"/>
  <c r="M776" i="7"/>
  <c r="N778" i="7"/>
  <c r="I778" i="7"/>
  <c r="P778" i="7"/>
  <c r="L778" i="7"/>
  <c r="M778" i="7"/>
  <c r="N780" i="7"/>
  <c r="I780" i="7"/>
  <c r="P780" i="7"/>
  <c r="L780" i="7"/>
  <c r="M780" i="7"/>
  <c r="N782" i="7"/>
  <c r="I782" i="7"/>
  <c r="P782" i="7"/>
  <c r="L782" i="7"/>
  <c r="M782" i="7"/>
  <c r="N784" i="7"/>
  <c r="I784" i="7"/>
  <c r="P784" i="7"/>
  <c r="L784" i="7"/>
  <c r="M784" i="7"/>
  <c r="O437" i="7"/>
  <c r="O439" i="7"/>
  <c r="O441" i="7"/>
  <c r="O443" i="7"/>
  <c r="O445" i="7"/>
  <c r="O447" i="7"/>
  <c r="O449" i="7"/>
  <c r="I460" i="7"/>
  <c r="N460" i="7"/>
  <c r="I462" i="7"/>
  <c r="N462" i="7"/>
  <c r="O466" i="7"/>
  <c r="O468" i="7"/>
  <c r="O470" i="7"/>
  <c r="I473" i="7"/>
  <c r="N473" i="7"/>
  <c r="I475" i="7"/>
  <c r="N475" i="7"/>
  <c r="I477" i="7"/>
  <c r="N477" i="7"/>
  <c r="I479" i="7"/>
  <c r="N479" i="7"/>
  <c r="I481" i="7"/>
  <c r="N481" i="7"/>
  <c r="I483" i="7"/>
  <c r="J483" i="7" s="1"/>
  <c r="N483" i="7"/>
  <c r="I485" i="7"/>
  <c r="N485" i="7"/>
  <c r="I487" i="7"/>
  <c r="N487" i="7"/>
  <c r="I489" i="7"/>
  <c r="N489" i="7"/>
  <c r="L490" i="7"/>
  <c r="P490" i="7"/>
  <c r="I491" i="7"/>
  <c r="N491" i="7"/>
  <c r="L492" i="7"/>
  <c r="P492" i="7"/>
  <c r="I493" i="7"/>
  <c r="J493" i="7" s="1"/>
  <c r="N493" i="7"/>
  <c r="L494" i="7"/>
  <c r="P494" i="7"/>
  <c r="I495" i="7"/>
  <c r="N495" i="7"/>
  <c r="L496" i="7"/>
  <c r="P496" i="7"/>
  <c r="I497" i="7"/>
  <c r="J497" i="7" s="1"/>
  <c r="N497" i="7"/>
  <c r="L498" i="7"/>
  <c r="P498" i="7"/>
  <c r="O501" i="7"/>
  <c r="O503" i="7"/>
  <c r="O505" i="7"/>
  <c r="O507" i="7"/>
  <c r="O509" i="7"/>
  <c r="O511" i="7"/>
  <c r="O513" i="7"/>
  <c r="I516" i="7"/>
  <c r="J516" i="7" s="1"/>
  <c r="N516" i="7"/>
  <c r="L517" i="7"/>
  <c r="P517" i="7"/>
  <c r="I518" i="7"/>
  <c r="N518" i="7"/>
  <c r="L519" i="7"/>
  <c r="P519" i="7"/>
  <c r="I520" i="7"/>
  <c r="N520" i="7"/>
  <c r="L521" i="7"/>
  <c r="P521" i="7"/>
  <c r="I522" i="7"/>
  <c r="N522" i="7"/>
  <c r="L523" i="7"/>
  <c r="P523" i="7"/>
  <c r="I524" i="7"/>
  <c r="N524" i="7"/>
  <c r="L525" i="7"/>
  <c r="P525" i="7"/>
  <c r="I526" i="7"/>
  <c r="J526" i="7" s="1"/>
  <c r="N526" i="7"/>
  <c r="L527" i="7"/>
  <c r="P527" i="7"/>
  <c r="I528" i="7"/>
  <c r="N528" i="7"/>
  <c r="L529" i="7"/>
  <c r="P529" i="7"/>
  <c r="I530" i="7"/>
  <c r="J530" i="7" s="1"/>
  <c r="N530" i="7"/>
  <c r="L531" i="7"/>
  <c r="P531" i="7"/>
  <c r="I532" i="7"/>
  <c r="N532" i="7"/>
  <c r="L533" i="7"/>
  <c r="P533" i="7"/>
  <c r="I534" i="7"/>
  <c r="J534" i="7" s="1"/>
  <c r="N534" i="7"/>
  <c r="O538" i="7"/>
  <c r="O540" i="7"/>
  <c r="O542" i="7"/>
  <c r="O544" i="7"/>
  <c r="O546" i="7"/>
  <c r="O548" i="7"/>
  <c r="O550" i="7"/>
  <c r="O552" i="7"/>
  <c r="O554" i="7"/>
  <c r="O556" i="7"/>
  <c r="O558" i="7"/>
  <c r="O560" i="7"/>
  <c r="O562" i="7"/>
  <c r="L566" i="7"/>
  <c r="P566" i="7"/>
  <c r="I567" i="7"/>
  <c r="N567" i="7"/>
  <c r="L568" i="7"/>
  <c r="P568" i="7"/>
  <c r="I569" i="7"/>
  <c r="J569" i="7" s="1"/>
  <c r="N569" i="7"/>
  <c r="L570" i="7"/>
  <c r="P570" i="7"/>
  <c r="I571" i="7"/>
  <c r="N571" i="7"/>
  <c r="L572" i="7"/>
  <c r="P572" i="7"/>
  <c r="I573" i="7"/>
  <c r="N573" i="7"/>
  <c r="L574" i="7"/>
  <c r="P574" i="7"/>
  <c r="I575" i="7"/>
  <c r="N575" i="7"/>
  <c r="L576" i="7"/>
  <c r="P576" i="7"/>
  <c r="I577" i="7"/>
  <c r="N577" i="7"/>
  <c r="L578" i="7"/>
  <c r="P578" i="7"/>
  <c r="I579" i="7"/>
  <c r="N579" i="7"/>
  <c r="L580" i="7"/>
  <c r="P580" i="7"/>
  <c r="I581" i="7"/>
  <c r="N581" i="7"/>
  <c r="L582" i="7"/>
  <c r="P582" i="7"/>
  <c r="I583" i="7"/>
  <c r="J583" i="7" s="1"/>
  <c r="N583" i="7"/>
  <c r="L584" i="7"/>
  <c r="P584" i="7"/>
  <c r="I585" i="7"/>
  <c r="N585" i="7"/>
  <c r="L586" i="7"/>
  <c r="P586" i="7"/>
  <c r="I587" i="7"/>
  <c r="N587" i="7"/>
  <c r="O591" i="7"/>
  <c r="O593" i="7"/>
  <c r="O595" i="7"/>
  <c r="L599" i="7"/>
  <c r="P599" i="7"/>
  <c r="I600" i="7"/>
  <c r="N600" i="7"/>
  <c r="L601" i="7"/>
  <c r="P601" i="7"/>
  <c r="I602" i="7"/>
  <c r="J602" i="7" s="1"/>
  <c r="N602" i="7"/>
  <c r="L603" i="7"/>
  <c r="P603" i="7"/>
  <c r="I604" i="7"/>
  <c r="N604" i="7"/>
  <c r="L605" i="7"/>
  <c r="P605" i="7"/>
  <c r="I606" i="7"/>
  <c r="J606" i="7" s="1"/>
  <c r="N606" i="7"/>
  <c r="L607" i="7"/>
  <c r="P607" i="7"/>
  <c r="L609" i="7"/>
  <c r="P609" i="7"/>
  <c r="L611" i="7"/>
  <c r="P611" i="7"/>
  <c r="L613" i="7"/>
  <c r="P613" i="7"/>
  <c r="L615" i="7"/>
  <c r="P615" i="7"/>
  <c r="L617" i="7"/>
  <c r="P617" i="7"/>
  <c r="L619" i="7"/>
  <c r="P619" i="7"/>
  <c r="L621" i="7"/>
  <c r="P621" i="7"/>
  <c r="L623" i="7"/>
  <c r="P623" i="7"/>
  <c r="L625" i="7"/>
  <c r="P625" i="7"/>
  <c r="L627" i="7"/>
  <c r="P627" i="7"/>
  <c r="L629" i="7"/>
  <c r="P629" i="7"/>
  <c r="L631" i="7"/>
  <c r="P631" i="7"/>
  <c r="L633" i="7"/>
  <c r="P633" i="7"/>
  <c r="L635" i="7"/>
  <c r="P635" i="7"/>
  <c r="L637" i="7"/>
  <c r="P637" i="7"/>
  <c r="L639" i="7"/>
  <c r="P639" i="7"/>
  <c r="L641" i="7"/>
  <c r="P641" i="7"/>
  <c r="L643" i="7"/>
  <c r="P643" i="7"/>
  <c r="L645" i="7"/>
  <c r="P645" i="7"/>
  <c r="L647" i="7"/>
  <c r="P647" i="7"/>
  <c r="O652" i="7"/>
  <c r="O654" i="7"/>
  <c r="O656" i="7"/>
  <c r="O658" i="7"/>
  <c r="O660" i="7"/>
  <c r="O662" i="7"/>
  <c r="O664" i="7"/>
  <c r="O666" i="7"/>
  <c r="L670" i="7"/>
  <c r="P670" i="7"/>
  <c r="L672" i="7"/>
  <c r="P672" i="7"/>
  <c r="L674" i="7"/>
  <c r="P674" i="7"/>
  <c r="L676" i="7"/>
  <c r="P676" i="7"/>
  <c r="L678" i="7"/>
  <c r="P678" i="7"/>
  <c r="L680" i="7"/>
  <c r="P680" i="7"/>
  <c r="L682" i="7"/>
  <c r="P682" i="7"/>
  <c r="L684" i="7"/>
  <c r="P684" i="7"/>
  <c r="L686" i="7"/>
  <c r="P686" i="7"/>
  <c r="L688" i="7"/>
  <c r="P688" i="7"/>
  <c r="L690" i="7"/>
  <c r="P690" i="7"/>
  <c r="L692" i="7"/>
  <c r="P692" i="7"/>
  <c r="L694" i="7"/>
  <c r="P694" i="7"/>
  <c r="L696" i="7"/>
  <c r="P696" i="7"/>
  <c r="L698" i="7"/>
  <c r="P698" i="7"/>
  <c r="L700" i="7"/>
  <c r="P700" i="7"/>
  <c r="L702" i="7"/>
  <c r="P702" i="7"/>
  <c r="L704" i="7"/>
  <c r="P704" i="7"/>
  <c r="O707" i="7"/>
  <c r="O709" i="7"/>
  <c r="O711" i="7"/>
  <c r="O713" i="7"/>
  <c r="O715" i="7"/>
  <c r="O717" i="7"/>
  <c r="O719" i="7"/>
  <c r="O721" i="7"/>
  <c r="L725" i="7"/>
  <c r="P725" i="7"/>
  <c r="L727" i="7"/>
  <c r="P727" i="7"/>
  <c r="L729" i="7"/>
  <c r="P729" i="7"/>
  <c r="O734" i="7"/>
  <c r="O736" i="7"/>
  <c r="M738" i="7"/>
  <c r="M739" i="7"/>
  <c r="M740" i="7"/>
  <c r="M741" i="7"/>
  <c r="M742" i="7"/>
  <c r="M743" i="7"/>
  <c r="M744" i="7"/>
  <c r="M745" i="7"/>
  <c r="M746" i="7"/>
  <c r="M747" i="7"/>
  <c r="O748" i="7"/>
  <c r="O750" i="7"/>
  <c r="O752" i="7"/>
  <c r="O754" i="7"/>
  <c r="O756" i="7"/>
  <c r="O758" i="7"/>
  <c r="O760" i="7"/>
  <c r="O762" i="7"/>
  <c r="O764" i="7"/>
  <c r="O766" i="7"/>
  <c r="O768" i="7"/>
  <c r="O770" i="7"/>
  <c r="O772" i="7"/>
  <c r="O774" i="7"/>
  <c r="O776" i="7"/>
  <c r="O778" i="7"/>
  <c r="N837" i="7"/>
  <c r="I837" i="7"/>
  <c r="M837" i="7"/>
  <c r="H837" i="7"/>
  <c r="P837" i="7"/>
  <c r="L837" i="7"/>
  <c r="N839" i="7"/>
  <c r="I839" i="7"/>
  <c r="M839" i="7"/>
  <c r="H839" i="7"/>
  <c r="P839" i="7"/>
  <c r="L839" i="7"/>
  <c r="N841" i="7"/>
  <c r="I841" i="7"/>
  <c r="M841" i="7"/>
  <c r="H841" i="7"/>
  <c r="P841" i="7"/>
  <c r="L841" i="7"/>
  <c r="N843" i="7"/>
  <c r="I843" i="7"/>
  <c r="M843" i="7"/>
  <c r="H843" i="7"/>
  <c r="P843" i="7"/>
  <c r="L843" i="7"/>
  <c r="N845" i="7"/>
  <c r="I845" i="7"/>
  <c r="M845" i="7"/>
  <c r="H845" i="7"/>
  <c r="P845" i="7"/>
  <c r="L845" i="7"/>
  <c r="N847" i="7"/>
  <c r="I847" i="7"/>
  <c r="M847" i="7"/>
  <c r="H847" i="7"/>
  <c r="P847" i="7"/>
  <c r="L847" i="7"/>
  <c r="N849" i="7"/>
  <c r="I849" i="7"/>
  <c r="M849" i="7"/>
  <c r="H849" i="7"/>
  <c r="P849" i="7"/>
  <c r="L849" i="7"/>
  <c r="N851" i="7"/>
  <c r="I851" i="7"/>
  <c r="M851" i="7"/>
  <c r="H851" i="7"/>
  <c r="P851" i="7"/>
  <c r="L851" i="7"/>
  <c r="N853" i="7"/>
  <c r="I853" i="7"/>
  <c r="M853" i="7"/>
  <c r="H853" i="7"/>
  <c r="P853" i="7"/>
  <c r="L853" i="7"/>
  <c r="N855" i="7"/>
  <c r="I855" i="7"/>
  <c r="M855" i="7"/>
  <c r="H855" i="7"/>
  <c r="P855" i="7"/>
  <c r="L855" i="7"/>
  <c r="N857" i="7"/>
  <c r="I857" i="7"/>
  <c r="M857" i="7"/>
  <c r="H857" i="7"/>
  <c r="P857" i="7"/>
  <c r="L857" i="7"/>
  <c r="N859" i="7"/>
  <c r="I859" i="7"/>
  <c r="M859" i="7"/>
  <c r="H859" i="7"/>
  <c r="P859" i="7"/>
  <c r="L859" i="7"/>
  <c r="N861" i="7"/>
  <c r="I861" i="7"/>
  <c r="M861" i="7"/>
  <c r="H861" i="7"/>
  <c r="P861" i="7"/>
  <c r="L861" i="7"/>
  <c r="N863" i="7"/>
  <c r="I863" i="7"/>
  <c r="M863" i="7"/>
  <c r="H863" i="7"/>
  <c r="P863" i="7"/>
  <c r="L863" i="7"/>
  <c r="N865" i="7"/>
  <c r="I865" i="7"/>
  <c r="M865" i="7"/>
  <c r="H865" i="7"/>
  <c r="P865" i="7"/>
  <c r="L865" i="7"/>
  <c r="N867" i="7"/>
  <c r="I867" i="7"/>
  <c r="M867" i="7"/>
  <c r="H867" i="7"/>
  <c r="P867" i="7"/>
  <c r="L867" i="7"/>
  <c r="N869" i="7"/>
  <c r="I869" i="7"/>
  <c r="M869" i="7"/>
  <c r="H869" i="7"/>
  <c r="P869" i="7"/>
  <c r="L869" i="7"/>
  <c r="N871" i="7"/>
  <c r="I871" i="7"/>
  <c r="M871" i="7"/>
  <c r="H871" i="7"/>
  <c r="P871" i="7"/>
  <c r="L871" i="7"/>
  <c r="N896" i="7"/>
  <c r="I896" i="7"/>
  <c r="M896" i="7"/>
  <c r="H896" i="7"/>
  <c r="P896" i="7"/>
  <c r="L896" i="7"/>
  <c r="N898" i="7"/>
  <c r="I898" i="7"/>
  <c r="M898" i="7"/>
  <c r="H898" i="7"/>
  <c r="P898" i="7"/>
  <c r="L898" i="7"/>
  <c r="N900" i="7"/>
  <c r="I900" i="7"/>
  <c r="M900" i="7"/>
  <c r="H900" i="7"/>
  <c r="P900" i="7"/>
  <c r="L900" i="7"/>
  <c r="N902" i="7"/>
  <c r="I902" i="7"/>
  <c r="M902" i="7"/>
  <c r="H902" i="7"/>
  <c r="P902" i="7"/>
  <c r="L902" i="7"/>
  <c r="N904" i="7"/>
  <c r="I904" i="7"/>
  <c r="M904" i="7"/>
  <c r="H904" i="7"/>
  <c r="P904" i="7"/>
  <c r="L904" i="7"/>
  <c r="N906" i="7"/>
  <c r="I906" i="7"/>
  <c r="M906" i="7"/>
  <c r="H906" i="7"/>
  <c r="P906" i="7"/>
  <c r="L906" i="7"/>
  <c r="O460" i="7"/>
  <c r="O462" i="7"/>
  <c r="O473" i="7"/>
  <c r="O475" i="7"/>
  <c r="O477" i="7"/>
  <c r="O479" i="7"/>
  <c r="O481" i="7"/>
  <c r="O483" i="7"/>
  <c r="O485" i="7"/>
  <c r="O487" i="7"/>
  <c r="O489" i="7"/>
  <c r="H490" i="7"/>
  <c r="M490" i="7"/>
  <c r="O491" i="7"/>
  <c r="H492" i="7"/>
  <c r="M492" i="7"/>
  <c r="O493" i="7"/>
  <c r="H494" i="7"/>
  <c r="M494" i="7"/>
  <c r="O495" i="7"/>
  <c r="H496" i="7"/>
  <c r="M496" i="7"/>
  <c r="O497" i="7"/>
  <c r="H498" i="7"/>
  <c r="M498" i="7"/>
  <c r="O516" i="7"/>
  <c r="H517" i="7"/>
  <c r="M517" i="7"/>
  <c r="O518" i="7"/>
  <c r="H519" i="7"/>
  <c r="M519" i="7"/>
  <c r="O520" i="7"/>
  <c r="H521" i="7"/>
  <c r="M521" i="7"/>
  <c r="O522" i="7"/>
  <c r="H523" i="7"/>
  <c r="M523" i="7"/>
  <c r="O524" i="7"/>
  <c r="H525" i="7"/>
  <c r="M525" i="7"/>
  <c r="O526" i="7"/>
  <c r="H527" i="7"/>
  <c r="M527" i="7"/>
  <c r="O528" i="7"/>
  <c r="H529" i="7"/>
  <c r="M529" i="7"/>
  <c r="O530" i="7"/>
  <c r="H531" i="7"/>
  <c r="M531" i="7"/>
  <c r="O532" i="7"/>
  <c r="H533" i="7"/>
  <c r="M533" i="7"/>
  <c r="O534" i="7"/>
  <c r="H566" i="7"/>
  <c r="M566" i="7"/>
  <c r="O567" i="7"/>
  <c r="H568" i="7"/>
  <c r="M568" i="7"/>
  <c r="O569" i="7"/>
  <c r="H570" i="7"/>
  <c r="M570" i="7"/>
  <c r="O571" i="7"/>
  <c r="H572" i="7"/>
  <c r="M572" i="7"/>
  <c r="O573" i="7"/>
  <c r="H574" i="7"/>
  <c r="M574" i="7"/>
  <c r="O575" i="7"/>
  <c r="H576" i="7"/>
  <c r="M576" i="7"/>
  <c r="O577" i="7"/>
  <c r="H578" i="7"/>
  <c r="M578" i="7"/>
  <c r="O579" i="7"/>
  <c r="H580" i="7"/>
  <c r="M580" i="7"/>
  <c r="O581" i="7"/>
  <c r="H582" i="7"/>
  <c r="M582" i="7"/>
  <c r="O583" i="7"/>
  <c r="H584" i="7"/>
  <c r="M584" i="7"/>
  <c r="O585" i="7"/>
  <c r="H586" i="7"/>
  <c r="M586" i="7"/>
  <c r="O587" i="7"/>
  <c r="L591" i="7"/>
  <c r="P591" i="7"/>
  <c r="L593" i="7"/>
  <c r="P593" i="7"/>
  <c r="L595" i="7"/>
  <c r="P595" i="7"/>
  <c r="H599" i="7"/>
  <c r="M599" i="7"/>
  <c r="O600" i="7"/>
  <c r="H601" i="7"/>
  <c r="M601" i="7"/>
  <c r="O602" i="7"/>
  <c r="H603" i="7"/>
  <c r="M603" i="7"/>
  <c r="O604" i="7"/>
  <c r="H605" i="7"/>
  <c r="M605" i="7"/>
  <c r="O606" i="7"/>
  <c r="H607" i="7"/>
  <c r="M607" i="7"/>
  <c r="O608" i="7"/>
  <c r="H609" i="7"/>
  <c r="M609" i="7"/>
  <c r="O610" i="7"/>
  <c r="H611" i="7"/>
  <c r="M611" i="7"/>
  <c r="O612" i="7"/>
  <c r="H613" i="7"/>
  <c r="M613" i="7"/>
  <c r="O614" i="7"/>
  <c r="H615" i="7"/>
  <c r="M615" i="7"/>
  <c r="O616" i="7"/>
  <c r="H617" i="7"/>
  <c r="M617" i="7"/>
  <c r="O618" i="7"/>
  <c r="H619" i="7"/>
  <c r="M619" i="7"/>
  <c r="O620" i="7"/>
  <c r="H621" i="7"/>
  <c r="M621" i="7"/>
  <c r="O622" i="7"/>
  <c r="H623" i="7"/>
  <c r="M623" i="7"/>
  <c r="O624" i="7"/>
  <c r="H625" i="7"/>
  <c r="M625" i="7"/>
  <c r="O626" i="7"/>
  <c r="H627" i="7"/>
  <c r="M627" i="7"/>
  <c r="O628" i="7"/>
  <c r="H629" i="7"/>
  <c r="M629" i="7"/>
  <c r="O630" i="7"/>
  <c r="H631" i="7"/>
  <c r="M631" i="7"/>
  <c r="O632" i="7"/>
  <c r="H633" i="7"/>
  <c r="M633" i="7"/>
  <c r="O634" i="7"/>
  <c r="H635" i="7"/>
  <c r="M635" i="7"/>
  <c r="O636" i="7"/>
  <c r="H637" i="7"/>
  <c r="M637" i="7"/>
  <c r="O638" i="7"/>
  <c r="H639" i="7"/>
  <c r="M639" i="7"/>
  <c r="O640" i="7"/>
  <c r="H641" i="7"/>
  <c r="M641" i="7"/>
  <c r="O642" i="7"/>
  <c r="H643" i="7"/>
  <c r="M643" i="7"/>
  <c r="O644" i="7"/>
  <c r="H645" i="7"/>
  <c r="M645" i="7"/>
  <c r="O646" i="7"/>
  <c r="H647" i="7"/>
  <c r="M647" i="7"/>
  <c r="O648" i="7"/>
  <c r="L652" i="7"/>
  <c r="P652" i="7"/>
  <c r="L654" i="7"/>
  <c r="P654" i="7"/>
  <c r="L656" i="7"/>
  <c r="P656" i="7"/>
  <c r="L658" i="7"/>
  <c r="P658" i="7"/>
  <c r="L660" i="7"/>
  <c r="P660" i="7"/>
  <c r="L662" i="7"/>
  <c r="P662" i="7"/>
  <c r="L664" i="7"/>
  <c r="P664" i="7"/>
  <c r="L666" i="7"/>
  <c r="P666" i="7"/>
  <c r="O669" i="7"/>
  <c r="H670" i="7"/>
  <c r="M670" i="7"/>
  <c r="O671" i="7"/>
  <c r="H672" i="7"/>
  <c r="M672" i="7"/>
  <c r="O673" i="7"/>
  <c r="H674" i="7"/>
  <c r="M674" i="7"/>
  <c r="O675" i="7"/>
  <c r="H676" i="7"/>
  <c r="M676" i="7"/>
  <c r="O677" i="7"/>
  <c r="H678" i="7"/>
  <c r="M678" i="7"/>
  <c r="O679" i="7"/>
  <c r="H680" i="7"/>
  <c r="M680" i="7"/>
  <c r="O681" i="7"/>
  <c r="H682" i="7"/>
  <c r="M682" i="7"/>
  <c r="O683" i="7"/>
  <c r="H684" i="7"/>
  <c r="M684" i="7"/>
  <c r="O685" i="7"/>
  <c r="H686" i="7"/>
  <c r="M686" i="7"/>
  <c r="O687" i="7"/>
  <c r="H688" i="7"/>
  <c r="M688" i="7"/>
  <c r="O689" i="7"/>
  <c r="H690" i="7"/>
  <c r="M690" i="7"/>
  <c r="O691" i="7"/>
  <c r="H692" i="7"/>
  <c r="M692" i="7"/>
  <c r="O693" i="7"/>
  <c r="H694" i="7"/>
  <c r="M694" i="7"/>
  <c r="O695" i="7"/>
  <c r="H696" i="7"/>
  <c r="M696" i="7"/>
  <c r="O697" i="7"/>
  <c r="H698" i="7"/>
  <c r="M698" i="7"/>
  <c r="O699" i="7"/>
  <c r="H700" i="7"/>
  <c r="M700" i="7"/>
  <c r="O701" i="7"/>
  <c r="H702" i="7"/>
  <c r="M702" i="7"/>
  <c r="O703" i="7"/>
  <c r="H704" i="7"/>
  <c r="M704" i="7"/>
  <c r="L707" i="7"/>
  <c r="P707" i="7"/>
  <c r="L709" i="7"/>
  <c r="P709" i="7"/>
  <c r="L711" i="7"/>
  <c r="P711" i="7"/>
  <c r="L713" i="7"/>
  <c r="P713" i="7"/>
  <c r="L715" i="7"/>
  <c r="P715" i="7"/>
  <c r="L717" i="7"/>
  <c r="P717" i="7"/>
  <c r="L719" i="7"/>
  <c r="P719" i="7"/>
  <c r="L721" i="7"/>
  <c r="P721" i="7"/>
  <c r="O724" i="7"/>
  <c r="H725" i="7"/>
  <c r="M725" i="7"/>
  <c r="O726" i="7"/>
  <c r="H727" i="7"/>
  <c r="M727" i="7"/>
  <c r="O728" i="7"/>
  <c r="H729" i="7"/>
  <c r="M729" i="7"/>
  <c r="O730" i="7"/>
  <c r="L734" i="7"/>
  <c r="P734" i="7"/>
  <c r="L736" i="7"/>
  <c r="P736" i="7"/>
  <c r="H738" i="7"/>
  <c r="O738" i="7"/>
  <c r="H739" i="7"/>
  <c r="N739" i="7"/>
  <c r="H740" i="7"/>
  <c r="O740" i="7"/>
  <c r="H741" i="7"/>
  <c r="N741" i="7"/>
  <c r="H742" i="7"/>
  <c r="O742" i="7"/>
  <c r="H743" i="7"/>
  <c r="N743" i="7"/>
  <c r="H744" i="7"/>
  <c r="O744" i="7"/>
  <c r="H745" i="7"/>
  <c r="N745" i="7"/>
  <c r="H746" i="7"/>
  <c r="O746" i="7"/>
  <c r="H747" i="7"/>
  <c r="N747" i="7"/>
  <c r="H748" i="7"/>
  <c r="P749" i="7"/>
  <c r="L749" i="7"/>
  <c r="N749" i="7"/>
  <c r="I749" i="7"/>
  <c r="J749" i="7" s="1"/>
  <c r="M749" i="7"/>
  <c r="H750" i="7"/>
  <c r="P751" i="7"/>
  <c r="L751" i="7"/>
  <c r="N751" i="7"/>
  <c r="I751" i="7"/>
  <c r="J751" i="7" s="1"/>
  <c r="M751" i="7"/>
  <c r="H752" i="7"/>
  <c r="P753" i="7"/>
  <c r="L753" i="7"/>
  <c r="N753" i="7"/>
  <c r="I753" i="7"/>
  <c r="J753" i="7" s="1"/>
  <c r="M753" i="7"/>
  <c r="H754" i="7"/>
  <c r="P755" i="7"/>
  <c r="L755" i="7"/>
  <c r="N755" i="7"/>
  <c r="I755" i="7"/>
  <c r="J755" i="7" s="1"/>
  <c r="M755" i="7"/>
  <c r="H756" i="7"/>
  <c r="P757" i="7"/>
  <c r="L757" i="7"/>
  <c r="N757" i="7"/>
  <c r="I757" i="7"/>
  <c r="M757" i="7"/>
  <c r="H758" i="7"/>
  <c r="P759" i="7"/>
  <c r="L759" i="7"/>
  <c r="N759" i="7"/>
  <c r="I759" i="7"/>
  <c r="J759" i="7" s="1"/>
  <c r="M759" i="7"/>
  <c r="H760" i="7"/>
  <c r="P761" i="7"/>
  <c r="L761" i="7"/>
  <c r="N761" i="7"/>
  <c r="I761" i="7"/>
  <c r="M761" i="7"/>
  <c r="H762" i="7"/>
  <c r="P763" i="7"/>
  <c r="L763" i="7"/>
  <c r="N763" i="7"/>
  <c r="I763" i="7"/>
  <c r="J763" i="7" s="1"/>
  <c r="M763" i="7"/>
  <c r="H764" i="7"/>
  <c r="P765" i="7"/>
  <c r="L765" i="7"/>
  <c r="N765" i="7"/>
  <c r="I765" i="7"/>
  <c r="J765" i="7" s="1"/>
  <c r="M765" i="7"/>
  <c r="H766" i="7"/>
  <c r="P767" i="7"/>
  <c r="L767" i="7"/>
  <c r="N767" i="7"/>
  <c r="I767" i="7"/>
  <c r="J767" i="7" s="1"/>
  <c r="M767" i="7"/>
  <c r="H768" i="7"/>
  <c r="P769" i="7"/>
  <c r="L769" i="7"/>
  <c r="N769" i="7"/>
  <c r="I769" i="7"/>
  <c r="M769" i="7"/>
  <c r="H770" i="7"/>
  <c r="P771" i="7"/>
  <c r="L771" i="7"/>
  <c r="N771" i="7"/>
  <c r="I771" i="7"/>
  <c r="J771" i="7" s="1"/>
  <c r="M771" i="7"/>
  <c r="H772" i="7"/>
  <c r="P773" i="7"/>
  <c r="L773" i="7"/>
  <c r="N773" i="7"/>
  <c r="I773" i="7"/>
  <c r="J773" i="7" s="1"/>
  <c r="M773" i="7"/>
  <c r="H774" i="7"/>
  <c r="P775" i="7"/>
  <c r="L775" i="7"/>
  <c r="N775" i="7"/>
  <c r="I775" i="7"/>
  <c r="J775" i="7" s="1"/>
  <c r="M775" i="7"/>
  <c r="H776" i="7"/>
  <c r="P777" i="7"/>
  <c r="L777" i="7"/>
  <c r="N777" i="7"/>
  <c r="I777" i="7"/>
  <c r="M777" i="7"/>
  <c r="H778" i="7"/>
  <c r="P779" i="7"/>
  <c r="L779" i="7"/>
  <c r="N779" i="7"/>
  <c r="I779" i="7"/>
  <c r="J779" i="7" s="1"/>
  <c r="M779" i="7"/>
  <c r="H780" i="7"/>
  <c r="P781" i="7"/>
  <c r="L781" i="7"/>
  <c r="N781" i="7"/>
  <c r="I781" i="7"/>
  <c r="M781" i="7"/>
  <c r="H782" i="7"/>
  <c r="P783" i="7"/>
  <c r="L783" i="7"/>
  <c r="N783" i="7"/>
  <c r="I783" i="7"/>
  <c r="J783" i="7" s="1"/>
  <c r="M783" i="7"/>
  <c r="H784" i="7"/>
  <c r="P785" i="7"/>
  <c r="L785" i="7"/>
  <c r="N785" i="7"/>
  <c r="I785" i="7"/>
  <c r="M785" i="7"/>
  <c r="H437" i="7"/>
  <c r="J437" i="7" s="1"/>
  <c r="H439" i="7"/>
  <c r="J439" i="7" s="1"/>
  <c r="H441" i="7"/>
  <c r="H443" i="7"/>
  <c r="H445" i="7"/>
  <c r="H447" i="7"/>
  <c r="J447" i="7" s="1"/>
  <c r="H449" i="7"/>
  <c r="J449" i="7" s="1"/>
  <c r="L460" i="7"/>
  <c r="L462" i="7"/>
  <c r="H466" i="7"/>
  <c r="H468" i="7"/>
  <c r="H470" i="7"/>
  <c r="L473" i="7"/>
  <c r="L475" i="7"/>
  <c r="L477" i="7"/>
  <c r="L479" i="7"/>
  <c r="L481" i="7"/>
  <c r="L483" i="7"/>
  <c r="L485" i="7"/>
  <c r="L487" i="7"/>
  <c r="L489" i="7"/>
  <c r="I490" i="7"/>
  <c r="L491" i="7"/>
  <c r="I492" i="7"/>
  <c r="L493" i="7"/>
  <c r="I494" i="7"/>
  <c r="L495" i="7"/>
  <c r="I496" i="7"/>
  <c r="L497" i="7"/>
  <c r="I498" i="7"/>
  <c r="H501" i="7"/>
  <c r="H503" i="7"/>
  <c r="H505" i="7"/>
  <c r="H507" i="7"/>
  <c r="H509" i="7"/>
  <c r="H511" i="7"/>
  <c r="H513" i="7"/>
  <c r="L516" i="7"/>
  <c r="I517" i="7"/>
  <c r="L518" i="7"/>
  <c r="I519" i="7"/>
  <c r="L520" i="7"/>
  <c r="I521" i="7"/>
  <c r="L522" i="7"/>
  <c r="I523" i="7"/>
  <c r="L524" i="7"/>
  <c r="I525" i="7"/>
  <c r="L526" i="7"/>
  <c r="I527" i="7"/>
  <c r="J527" i="7" s="1"/>
  <c r="L528" i="7"/>
  <c r="I529" i="7"/>
  <c r="L530" i="7"/>
  <c r="I531" i="7"/>
  <c r="L532" i="7"/>
  <c r="I533" i="7"/>
  <c r="L534" i="7"/>
  <c r="H538" i="7"/>
  <c r="J538" i="7" s="1"/>
  <c r="H540" i="7"/>
  <c r="H542" i="7"/>
  <c r="H544" i="7"/>
  <c r="J544" i="7" s="1"/>
  <c r="H546" i="7"/>
  <c r="J546" i="7" s="1"/>
  <c r="H548" i="7"/>
  <c r="H550" i="7"/>
  <c r="J550" i="7" s="1"/>
  <c r="H552" i="7"/>
  <c r="H554" i="7"/>
  <c r="H556" i="7"/>
  <c r="H558" i="7"/>
  <c r="H560" i="7"/>
  <c r="J560" i="7" s="1"/>
  <c r="H562" i="7"/>
  <c r="I566" i="7"/>
  <c r="L567" i="7"/>
  <c r="I568" i="7"/>
  <c r="L569" i="7"/>
  <c r="I570" i="7"/>
  <c r="L571" i="7"/>
  <c r="I572" i="7"/>
  <c r="L573" i="7"/>
  <c r="I574" i="7"/>
  <c r="L575" i="7"/>
  <c r="I576" i="7"/>
  <c r="L577" i="7"/>
  <c r="I578" i="7"/>
  <c r="L579" i="7"/>
  <c r="I580" i="7"/>
  <c r="L581" i="7"/>
  <c r="I582" i="7"/>
  <c r="L583" i="7"/>
  <c r="I584" i="7"/>
  <c r="L585" i="7"/>
  <c r="I586" i="7"/>
  <c r="L587" i="7"/>
  <c r="H591" i="7"/>
  <c r="J591" i="7" s="1"/>
  <c r="H593" i="7"/>
  <c r="H595" i="7"/>
  <c r="J595" i="7" s="1"/>
  <c r="I599" i="7"/>
  <c r="L600" i="7"/>
  <c r="I601" i="7"/>
  <c r="J601" i="7" s="1"/>
  <c r="L602" i="7"/>
  <c r="I603" i="7"/>
  <c r="L604" i="7"/>
  <c r="I605" i="7"/>
  <c r="L606" i="7"/>
  <c r="I607" i="7"/>
  <c r="L608" i="7"/>
  <c r="I609" i="7"/>
  <c r="L610" i="7"/>
  <c r="I611" i="7"/>
  <c r="L612" i="7"/>
  <c r="I613" i="7"/>
  <c r="J613" i="7" s="1"/>
  <c r="L614" i="7"/>
  <c r="I615" i="7"/>
  <c r="L616" i="7"/>
  <c r="I617" i="7"/>
  <c r="L618" i="7"/>
  <c r="I619" i="7"/>
  <c r="L620" i="7"/>
  <c r="I621" i="7"/>
  <c r="L622" i="7"/>
  <c r="I623" i="7"/>
  <c r="L624" i="7"/>
  <c r="I625" i="7"/>
  <c r="J625" i="7" s="1"/>
  <c r="L626" i="7"/>
  <c r="I627" i="7"/>
  <c r="L628" i="7"/>
  <c r="I629" i="7"/>
  <c r="L630" i="7"/>
  <c r="I631" i="7"/>
  <c r="L632" i="7"/>
  <c r="I633" i="7"/>
  <c r="L634" i="7"/>
  <c r="I635" i="7"/>
  <c r="L636" i="7"/>
  <c r="I637" i="7"/>
  <c r="J637" i="7" s="1"/>
  <c r="L638" i="7"/>
  <c r="I639" i="7"/>
  <c r="L640" i="7"/>
  <c r="I641" i="7"/>
  <c r="L642" i="7"/>
  <c r="I643" i="7"/>
  <c r="L644" i="7"/>
  <c r="I645" i="7"/>
  <c r="L646" i="7"/>
  <c r="I647" i="7"/>
  <c r="L648" i="7"/>
  <c r="H652" i="7"/>
  <c r="H654" i="7"/>
  <c r="J654" i="7" s="1"/>
  <c r="H656" i="7"/>
  <c r="H658" i="7"/>
  <c r="H660" i="7"/>
  <c r="H662" i="7"/>
  <c r="J662" i="7" s="1"/>
  <c r="H664" i="7"/>
  <c r="H666" i="7"/>
  <c r="J666" i="7" s="1"/>
  <c r="L669" i="7"/>
  <c r="I670" i="7"/>
  <c r="L671" i="7"/>
  <c r="I672" i="7"/>
  <c r="L673" i="7"/>
  <c r="I674" i="7"/>
  <c r="L675" i="7"/>
  <c r="I676" i="7"/>
  <c r="L677" i="7"/>
  <c r="I678" i="7"/>
  <c r="L679" i="7"/>
  <c r="I680" i="7"/>
  <c r="L681" i="7"/>
  <c r="I682" i="7"/>
  <c r="L683" i="7"/>
  <c r="I684" i="7"/>
  <c r="L685" i="7"/>
  <c r="I686" i="7"/>
  <c r="L687" i="7"/>
  <c r="I688" i="7"/>
  <c r="L689" i="7"/>
  <c r="I690" i="7"/>
  <c r="J690" i="7" s="1"/>
  <c r="L691" i="7"/>
  <c r="I692" i="7"/>
  <c r="L693" i="7"/>
  <c r="I694" i="7"/>
  <c r="L695" i="7"/>
  <c r="I696" i="7"/>
  <c r="L697" i="7"/>
  <c r="I698" i="7"/>
  <c r="L699" i="7"/>
  <c r="I700" i="7"/>
  <c r="L701" i="7"/>
  <c r="I702" i="7"/>
  <c r="L703" i="7"/>
  <c r="I704" i="7"/>
  <c r="H707" i="7"/>
  <c r="J707" i="7" s="1"/>
  <c r="H709" i="7"/>
  <c r="H711" i="7"/>
  <c r="J711" i="7" s="1"/>
  <c r="H713" i="7"/>
  <c r="H715" i="7"/>
  <c r="H717" i="7"/>
  <c r="H719" i="7"/>
  <c r="H721" i="7"/>
  <c r="J721" i="7" s="1"/>
  <c r="L724" i="7"/>
  <c r="I725" i="7"/>
  <c r="L726" i="7"/>
  <c r="I727" i="7"/>
  <c r="L728" i="7"/>
  <c r="I729" i="7"/>
  <c r="L730" i="7"/>
  <c r="H734" i="7"/>
  <c r="J734" i="7" s="1"/>
  <c r="H736" i="7"/>
  <c r="O737" i="7"/>
  <c r="P738" i="7"/>
  <c r="I739" i="7"/>
  <c r="O739" i="7"/>
  <c r="P740" i="7"/>
  <c r="I741" i="7"/>
  <c r="O741" i="7"/>
  <c r="P742" i="7"/>
  <c r="I743" i="7"/>
  <c r="O743" i="7"/>
  <c r="P744" i="7"/>
  <c r="I745" i="7"/>
  <c r="J745" i="7" s="1"/>
  <c r="O745" i="7"/>
  <c r="P746" i="7"/>
  <c r="I747" i="7"/>
  <c r="O747" i="7"/>
  <c r="O749" i="7"/>
  <c r="O751" i="7"/>
  <c r="O753" i="7"/>
  <c r="O755" i="7"/>
  <c r="O908" i="7"/>
  <c r="O910" i="7"/>
  <c r="O912" i="7"/>
  <c r="O914" i="7"/>
  <c r="O935" i="7"/>
  <c r="O937" i="7"/>
  <c r="O939" i="7"/>
  <c r="O941" i="7"/>
  <c r="M944" i="7"/>
  <c r="H944" i="7"/>
  <c r="L944" i="7"/>
  <c r="P950" i="7"/>
  <c r="L950" i="7"/>
  <c r="N950" i="7"/>
  <c r="I950" i="7"/>
  <c r="M950" i="7"/>
  <c r="H950" i="7"/>
  <c r="O789" i="7"/>
  <c r="O791" i="7"/>
  <c r="O793" i="7"/>
  <c r="O795" i="7"/>
  <c r="O797" i="7"/>
  <c r="O799" i="7"/>
  <c r="O801" i="7"/>
  <c r="O803" i="7"/>
  <c r="O805" i="7"/>
  <c r="O807" i="7"/>
  <c r="O809" i="7"/>
  <c r="O811" i="7"/>
  <c r="O813" i="7"/>
  <c r="O815" i="7"/>
  <c r="O817" i="7"/>
  <c r="O819" i="7"/>
  <c r="O821" i="7"/>
  <c r="O823" i="7"/>
  <c r="O825" i="7"/>
  <c r="O827" i="7"/>
  <c r="O829" i="7"/>
  <c r="O831" i="7"/>
  <c r="O833" i="7"/>
  <c r="I836" i="7"/>
  <c r="N836" i="7"/>
  <c r="I838" i="7"/>
  <c r="N838" i="7"/>
  <c r="I840" i="7"/>
  <c r="N840" i="7"/>
  <c r="I842" i="7"/>
  <c r="N842" i="7"/>
  <c r="I844" i="7"/>
  <c r="J844" i="7" s="1"/>
  <c r="N844" i="7"/>
  <c r="I846" i="7"/>
  <c r="N846" i="7"/>
  <c r="I848" i="7"/>
  <c r="N848" i="7"/>
  <c r="I850" i="7"/>
  <c r="N850" i="7"/>
  <c r="I852" i="7"/>
  <c r="J852" i="7" s="1"/>
  <c r="N852" i="7"/>
  <c r="I854" i="7"/>
  <c r="N854" i="7"/>
  <c r="I856" i="7"/>
  <c r="N856" i="7"/>
  <c r="I858" i="7"/>
  <c r="J858" i="7" s="1"/>
  <c r="N858" i="7"/>
  <c r="I860" i="7"/>
  <c r="N860" i="7"/>
  <c r="I862" i="7"/>
  <c r="N862" i="7"/>
  <c r="I864" i="7"/>
  <c r="N864" i="7"/>
  <c r="I866" i="7"/>
  <c r="N866" i="7"/>
  <c r="I868" i="7"/>
  <c r="J868" i="7" s="1"/>
  <c r="N868" i="7"/>
  <c r="I870" i="7"/>
  <c r="N870" i="7"/>
  <c r="I872" i="7"/>
  <c r="N872" i="7"/>
  <c r="H875" i="7"/>
  <c r="M875" i="7"/>
  <c r="H877" i="7"/>
  <c r="M877" i="7"/>
  <c r="H879" i="7"/>
  <c r="J879" i="7" s="1"/>
  <c r="M879" i="7"/>
  <c r="H881" i="7"/>
  <c r="J881" i="7" s="1"/>
  <c r="M881" i="7"/>
  <c r="O882" i="7"/>
  <c r="H883" i="7"/>
  <c r="M883" i="7"/>
  <c r="O884" i="7"/>
  <c r="H885" i="7"/>
  <c r="M885" i="7"/>
  <c r="O886" i="7"/>
  <c r="H887" i="7"/>
  <c r="M887" i="7"/>
  <c r="O888" i="7"/>
  <c r="H889" i="7"/>
  <c r="M889" i="7"/>
  <c r="O890" i="7"/>
  <c r="H891" i="7"/>
  <c r="M891" i="7"/>
  <c r="O892" i="7"/>
  <c r="H893" i="7"/>
  <c r="M893" i="7"/>
  <c r="L908" i="7"/>
  <c r="P908" i="7"/>
  <c r="L910" i="7"/>
  <c r="P910" i="7"/>
  <c r="L912" i="7"/>
  <c r="P912" i="7"/>
  <c r="L914" i="7"/>
  <c r="P914" i="7"/>
  <c r="H918" i="7"/>
  <c r="M918" i="7"/>
  <c r="O919" i="7"/>
  <c r="H920" i="7"/>
  <c r="M920" i="7"/>
  <c r="O921" i="7"/>
  <c r="H922" i="7"/>
  <c r="M922" i="7"/>
  <c r="O923" i="7"/>
  <c r="H924" i="7"/>
  <c r="M924" i="7"/>
  <c r="O925" i="7"/>
  <c r="H926" i="7"/>
  <c r="M926" i="7"/>
  <c r="O927" i="7"/>
  <c r="H928" i="7"/>
  <c r="M928" i="7"/>
  <c r="O929" i="7"/>
  <c r="H930" i="7"/>
  <c r="M930" i="7"/>
  <c r="O931" i="7"/>
  <c r="L935" i="7"/>
  <c r="P935" i="7"/>
  <c r="L937" i="7"/>
  <c r="P937" i="7"/>
  <c r="L939" i="7"/>
  <c r="P939" i="7"/>
  <c r="L941" i="7"/>
  <c r="P941" i="7"/>
  <c r="N944" i="7"/>
  <c r="O836" i="7"/>
  <c r="O838" i="7"/>
  <c r="O840" i="7"/>
  <c r="O842" i="7"/>
  <c r="O844" i="7"/>
  <c r="O846" i="7"/>
  <c r="O848" i="7"/>
  <c r="O850" i="7"/>
  <c r="O852" i="7"/>
  <c r="O854" i="7"/>
  <c r="O856" i="7"/>
  <c r="O858" i="7"/>
  <c r="O860" i="7"/>
  <c r="O862" i="7"/>
  <c r="O864" i="7"/>
  <c r="O866" i="7"/>
  <c r="O868" i="7"/>
  <c r="O870" i="7"/>
  <c r="O872" i="7"/>
  <c r="L882" i="7"/>
  <c r="I883" i="7"/>
  <c r="N883" i="7"/>
  <c r="L884" i="7"/>
  <c r="I885" i="7"/>
  <c r="N885" i="7"/>
  <c r="L886" i="7"/>
  <c r="I887" i="7"/>
  <c r="N887" i="7"/>
  <c r="L888" i="7"/>
  <c r="I889" i="7"/>
  <c r="N889" i="7"/>
  <c r="L890" i="7"/>
  <c r="I891" i="7"/>
  <c r="N891" i="7"/>
  <c r="L892" i="7"/>
  <c r="I893" i="7"/>
  <c r="N893" i="7"/>
  <c r="H908" i="7"/>
  <c r="M908" i="7"/>
  <c r="H910" i="7"/>
  <c r="M910" i="7"/>
  <c r="H912" i="7"/>
  <c r="M912" i="7"/>
  <c r="H914" i="7"/>
  <c r="M914" i="7"/>
  <c r="I918" i="7"/>
  <c r="N918" i="7"/>
  <c r="L919" i="7"/>
  <c r="I920" i="7"/>
  <c r="N920" i="7"/>
  <c r="L921" i="7"/>
  <c r="I922" i="7"/>
  <c r="N922" i="7"/>
  <c r="L923" i="7"/>
  <c r="I924" i="7"/>
  <c r="N924" i="7"/>
  <c r="L925" i="7"/>
  <c r="I926" i="7"/>
  <c r="N926" i="7"/>
  <c r="L927" i="7"/>
  <c r="I928" i="7"/>
  <c r="N928" i="7"/>
  <c r="L929" i="7"/>
  <c r="I930" i="7"/>
  <c r="N930" i="7"/>
  <c r="L931" i="7"/>
  <c r="H935" i="7"/>
  <c r="M935" i="7"/>
  <c r="H937" i="7"/>
  <c r="M937" i="7"/>
  <c r="H939" i="7"/>
  <c r="M939" i="7"/>
  <c r="H941" i="7"/>
  <c r="M941" i="7"/>
  <c r="I944" i="7"/>
  <c r="O944" i="7"/>
  <c r="H789" i="7"/>
  <c r="H791" i="7"/>
  <c r="J791" i="7" s="1"/>
  <c r="H793" i="7"/>
  <c r="J793" i="7" s="1"/>
  <c r="H795" i="7"/>
  <c r="H797" i="7"/>
  <c r="J797" i="7" s="1"/>
  <c r="H799" i="7"/>
  <c r="H801" i="7"/>
  <c r="H803" i="7"/>
  <c r="H805" i="7"/>
  <c r="J805" i="7" s="1"/>
  <c r="H807" i="7"/>
  <c r="J807" i="7" s="1"/>
  <c r="H809" i="7"/>
  <c r="H811" i="7"/>
  <c r="H813" i="7"/>
  <c r="H815" i="7"/>
  <c r="J815" i="7" s="1"/>
  <c r="H817" i="7"/>
  <c r="J817" i="7" s="1"/>
  <c r="H819" i="7"/>
  <c r="H821" i="7"/>
  <c r="H823" i="7"/>
  <c r="H825" i="7"/>
  <c r="J825" i="7" s="1"/>
  <c r="H827" i="7"/>
  <c r="H829" i="7"/>
  <c r="H831" i="7"/>
  <c r="J831" i="7" s="1"/>
  <c r="H833" i="7"/>
  <c r="L836" i="7"/>
  <c r="L838" i="7"/>
  <c r="L840" i="7"/>
  <c r="L842" i="7"/>
  <c r="L844" i="7"/>
  <c r="L846" i="7"/>
  <c r="L848" i="7"/>
  <c r="L850" i="7"/>
  <c r="L852" i="7"/>
  <c r="L854" i="7"/>
  <c r="L856" i="7"/>
  <c r="L858" i="7"/>
  <c r="L860" i="7"/>
  <c r="L862" i="7"/>
  <c r="L864" i="7"/>
  <c r="L866" i="7"/>
  <c r="L868" i="7"/>
  <c r="L870" i="7"/>
  <c r="L872" i="7"/>
  <c r="I908" i="7"/>
  <c r="I910" i="7"/>
  <c r="I912" i="7"/>
  <c r="I914" i="7"/>
  <c r="I935" i="7"/>
  <c r="I937" i="7"/>
  <c r="I939" i="7"/>
  <c r="I941" i="7"/>
  <c r="P944" i="7"/>
  <c r="O950" i="7"/>
  <c r="O951" i="7"/>
  <c r="H952" i="7"/>
  <c r="M952" i="7"/>
  <c r="O953" i="7"/>
  <c r="H954" i="7"/>
  <c r="M954" i="7"/>
  <c r="O955" i="7"/>
  <c r="H956" i="7"/>
  <c r="M956" i="7"/>
  <c r="O957" i="7"/>
  <c r="H958" i="7"/>
  <c r="M958" i="7"/>
  <c r="O959" i="7"/>
  <c r="H960" i="7"/>
  <c r="M960" i="7"/>
  <c r="O961" i="7"/>
  <c r="H962" i="7"/>
  <c r="M962" i="7"/>
  <c r="H983" i="7"/>
  <c r="M983" i="7"/>
  <c r="O984" i="7"/>
  <c r="H985" i="7"/>
  <c r="M985" i="7"/>
  <c r="O986" i="7"/>
  <c r="H987" i="7"/>
  <c r="M987" i="7"/>
  <c r="O988" i="7"/>
  <c r="H989" i="7"/>
  <c r="M989" i="7"/>
  <c r="O990" i="7"/>
  <c r="H991" i="7"/>
  <c r="M991" i="7"/>
  <c r="O992" i="7"/>
  <c r="H993" i="7"/>
  <c r="M993" i="7"/>
  <c r="O994" i="7"/>
  <c r="H995" i="7"/>
  <c r="M995" i="7"/>
  <c r="O996" i="7"/>
  <c r="H997" i="7"/>
  <c r="M997" i="7"/>
  <c r="O998" i="7"/>
  <c r="H999" i="7"/>
  <c r="M999" i="7"/>
  <c r="O1000" i="7"/>
  <c r="H1001" i="7"/>
  <c r="M1001" i="7"/>
  <c r="O1002" i="7"/>
  <c r="H1003" i="7"/>
  <c r="M1003" i="7"/>
  <c r="O1004" i="7"/>
  <c r="H1005" i="7"/>
  <c r="M1005" i="7"/>
  <c r="O1006" i="7"/>
  <c r="H1007" i="7"/>
  <c r="M1007" i="7"/>
  <c r="O1008" i="7"/>
  <c r="H1009" i="7"/>
  <c r="M1009" i="7"/>
  <c r="O1010" i="7"/>
  <c r="H1011" i="7"/>
  <c r="M1011" i="7"/>
  <c r="O1012" i="7"/>
  <c r="H1013" i="7"/>
  <c r="M1013" i="7"/>
  <c r="O1014" i="7"/>
  <c r="H1015" i="7"/>
  <c r="M1015" i="7"/>
  <c r="O1016" i="7"/>
  <c r="H1017" i="7"/>
  <c r="M1017" i="7"/>
  <c r="O1018" i="7"/>
  <c r="H1019" i="7"/>
  <c r="M1019" i="7"/>
  <c r="O1020" i="7"/>
  <c r="H1021" i="7"/>
  <c r="M1021" i="7"/>
  <c r="O1022" i="7"/>
  <c r="H1023" i="7"/>
  <c r="M1023" i="7"/>
  <c r="O1024" i="7"/>
  <c r="H1025" i="7"/>
  <c r="M1025" i="7"/>
  <c r="O1026" i="7"/>
  <c r="H1027" i="7"/>
  <c r="M1027" i="7"/>
  <c r="O1028" i="7"/>
  <c r="H1029" i="7"/>
  <c r="M1029" i="7"/>
  <c r="O1030" i="7"/>
  <c r="H1031" i="7"/>
  <c r="M1031" i="7"/>
  <c r="O1032" i="7"/>
  <c r="H1033" i="7"/>
  <c r="M1033" i="7"/>
  <c r="O1096" i="7"/>
  <c r="H1097" i="7"/>
  <c r="M1097" i="7"/>
  <c r="O1098" i="7"/>
  <c r="H1099" i="7"/>
  <c r="M1099" i="7"/>
  <c r="O1100" i="7"/>
  <c r="H1101" i="7"/>
  <c r="M1101" i="7"/>
  <c r="O1102" i="7"/>
  <c r="H1103" i="7"/>
  <c r="M1103" i="7"/>
  <c r="O1104" i="7"/>
  <c r="H1105" i="7"/>
  <c r="N1105" i="7"/>
  <c r="H1106" i="7"/>
  <c r="O1106" i="7"/>
  <c r="N1130" i="7"/>
  <c r="I1130" i="7"/>
  <c r="M1130" i="7"/>
  <c r="H1130" i="7"/>
  <c r="O1130" i="7"/>
  <c r="N1132" i="7"/>
  <c r="I1132" i="7"/>
  <c r="M1132" i="7"/>
  <c r="H1132" i="7"/>
  <c r="O1132" i="7"/>
  <c r="N1134" i="7"/>
  <c r="I1134" i="7"/>
  <c r="M1134" i="7"/>
  <c r="H1134" i="7"/>
  <c r="O1134" i="7"/>
  <c r="N1136" i="7"/>
  <c r="I1136" i="7"/>
  <c r="M1136" i="7"/>
  <c r="H1136" i="7"/>
  <c r="O1136" i="7"/>
  <c r="N1138" i="7"/>
  <c r="I1138" i="7"/>
  <c r="M1138" i="7"/>
  <c r="H1138" i="7"/>
  <c r="O1138" i="7"/>
  <c r="N1140" i="7"/>
  <c r="I1140" i="7"/>
  <c r="M1140" i="7"/>
  <c r="H1140" i="7"/>
  <c r="O1140" i="7"/>
  <c r="O1142" i="7"/>
  <c r="N1142" i="7"/>
  <c r="I1142" i="7"/>
  <c r="M1142" i="7"/>
  <c r="H1142" i="7"/>
  <c r="H946" i="7"/>
  <c r="J946" i="7" s="1"/>
  <c r="M946" i="7"/>
  <c r="L951" i="7"/>
  <c r="P951" i="7"/>
  <c r="I952" i="7"/>
  <c r="N952" i="7"/>
  <c r="L953" i="7"/>
  <c r="P953" i="7"/>
  <c r="I954" i="7"/>
  <c r="N954" i="7"/>
  <c r="L955" i="7"/>
  <c r="P955" i="7"/>
  <c r="I956" i="7"/>
  <c r="N956" i="7"/>
  <c r="L957" i="7"/>
  <c r="P957" i="7"/>
  <c r="I958" i="7"/>
  <c r="N958" i="7"/>
  <c r="L959" i="7"/>
  <c r="P959" i="7"/>
  <c r="I960" i="7"/>
  <c r="N960" i="7"/>
  <c r="L961" i="7"/>
  <c r="P961" i="7"/>
  <c r="I962" i="7"/>
  <c r="N962" i="7"/>
  <c r="H965" i="7"/>
  <c r="J965" i="7" s="1"/>
  <c r="M965" i="7"/>
  <c r="H967" i="7"/>
  <c r="J967" i="7" s="1"/>
  <c r="M967" i="7"/>
  <c r="H969" i="7"/>
  <c r="M969" i="7"/>
  <c r="H971" i="7"/>
  <c r="M971" i="7"/>
  <c r="H973" i="7"/>
  <c r="M973" i="7"/>
  <c r="H975" i="7"/>
  <c r="J975" i="7" s="1"/>
  <c r="M975" i="7"/>
  <c r="H977" i="7"/>
  <c r="M977" i="7"/>
  <c r="H979" i="7"/>
  <c r="M979" i="7"/>
  <c r="I983" i="7"/>
  <c r="N983" i="7"/>
  <c r="L984" i="7"/>
  <c r="P984" i="7"/>
  <c r="I985" i="7"/>
  <c r="N985" i="7"/>
  <c r="L986" i="7"/>
  <c r="P986" i="7"/>
  <c r="I987" i="7"/>
  <c r="N987" i="7"/>
  <c r="L988" i="7"/>
  <c r="P988" i="7"/>
  <c r="I989" i="7"/>
  <c r="J989" i="7" s="1"/>
  <c r="N989" i="7"/>
  <c r="L990" i="7"/>
  <c r="P990" i="7"/>
  <c r="I991" i="7"/>
  <c r="N991" i="7"/>
  <c r="L992" i="7"/>
  <c r="P992" i="7"/>
  <c r="I993" i="7"/>
  <c r="N993" i="7"/>
  <c r="L994" i="7"/>
  <c r="P994" i="7"/>
  <c r="I995" i="7"/>
  <c r="N995" i="7"/>
  <c r="L996" i="7"/>
  <c r="P996" i="7"/>
  <c r="I997" i="7"/>
  <c r="N997" i="7"/>
  <c r="L998" i="7"/>
  <c r="P998" i="7"/>
  <c r="I999" i="7"/>
  <c r="N999" i="7"/>
  <c r="L1000" i="7"/>
  <c r="P1000" i="7"/>
  <c r="I1001" i="7"/>
  <c r="N1001" i="7"/>
  <c r="L1002" i="7"/>
  <c r="P1002" i="7"/>
  <c r="I1003" i="7"/>
  <c r="N1003" i="7"/>
  <c r="L1004" i="7"/>
  <c r="P1004" i="7"/>
  <c r="I1005" i="7"/>
  <c r="N1005" i="7"/>
  <c r="L1006" i="7"/>
  <c r="P1006" i="7"/>
  <c r="I1007" i="7"/>
  <c r="N1007" i="7"/>
  <c r="L1008" i="7"/>
  <c r="P1008" i="7"/>
  <c r="I1009" i="7"/>
  <c r="N1009" i="7"/>
  <c r="L1010" i="7"/>
  <c r="P1010" i="7"/>
  <c r="I1011" i="7"/>
  <c r="N1011" i="7"/>
  <c r="L1012" i="7"/>
  <c r="P1012" i="7"/>
  <c r="I1013" i="7"/>
  <c r="J1013" i="7" s="1"/>
  <c r="N1013" i="7"/>
  <c r="L1014" i="7"/>
  <c r="P1014" i="7"/>
  <c r="I1015" i="7"/>
  <c r="N1015" i="7"/>
  <c r="L1016" i="7"/>
  <c r="P1016" i="7"/>
  <c r="I1017" i="7"/>
  <c r="N1017" i="7"/>
  <c r="L1018" i="7"/>
  <c r="P1018" i="7"/>
  <c r="I1019" i="7"/>
  <c r="N1019" i="7"/>
  <c r="L1020" i="7"/>
  <c r="P1020" i="7"/>
  <c r="I1021" i="7"/>
  <c r="N1021" i="7"/>
  <c r="L1022" i="7"/>
  <c r="P1022" i="7"/>
  <c r="I1023" i="7"/>
  <c r="N1023" i="7"/>
  <c r="L1024" i="7"/>
  <c r="P1024" i="7"/>
  <c r="I1025" i="7"/>
  <c r="N1025" i="7"/>
  <c r="L1026" i="7"/>
  <c r="P1026" i="7"/>
  <c r="I1027" i="7"/>
  <c r="N1027" i="7"/>
  <c r="L1028" i="7"/>
  <c r="P1028" i="7"/>
  <c r="I1029" i="7"/>
  <c r="N1029" i="7"/>
  <c r="L1030" i="7"/>
  <c r="P1030" i="7"/>
  <c r="I1031" i="7"/>
  <c r="N1031" i="7"/>
  <c r="L1032" i="7"/>
  <c r="P1032" i="7"/>
  <c r="I1033" i="7"/>
  <c r="N1033" i="7"/>
  <c r="O1037" i="7"/>
  <c r="O1039" i="7"/>
  <c r="O1041" i="7"/>
  <c r="O1043" i="7"/>
  <c r="O1045" i="7"/>
  <c r="O1047" i="7"/>
  <c r="O1049" i="7"/>
  <c r="O1051" i="7"/>
  <c r="O1053" i="7"/>
  <c r="O1055" i="7"/>
  <c r="O1057" i="7"/>
  <c r="O1059" i="7"/>
  <c r="O1061" i="7"/>
  <c r="O1063" i="7"/>
  <c r="O1065" i="7"/>
  <c r="O1067" i="7"/>
  <c r="O1069" i="7"/>
  <c r="O1071" i="7"/>
  <c r="O1073" i="7"/>
  <c r="O1075" i="7"/>
  <c r="O1077" i="7"/>
  <c r="O1079" i="7"/>
  <c r="O1081" i="7"/>
  <c r="O1083" i="7"/>
  <c r="O1085" i="7"/>
  <c r="O1087" i="7"/>
  <c r="O1089" i="7"/>
  <c r="O1091" i="7"/>
  <c r="L1096" i="7"/>
  <c r="P1096" i="7"/>
  <c r="I1097" i="7"/>
  <c r="N1097" i="7"/>
  <c r="L1098" i="7"/>
  <c r="P1098" i="7"/>
  <c r="I1099" i="7"/>
  <c r="N1099" i="7"/>
  <c r="L1100" i="7"/>
  <c r="P1100" i="7"/>
  <c r="I1101" i="7"/>
  <c r="N1101" i="7"/>
  <c r="L1102" i="7"/>
  <c r="P1102" i="7"/>
  <c r="I1103" i="7"/>
  <c r="N1103" i="7"/>
  <c r="L1104" i="7"/>
  <c r="P1104" i="7"/>
  <c r="I1105" i="7"/>
  <c r="I1107" i="7"/>
  <c r="I1109" i="7"/>
  <c r="O952" i="7"/>
  <c r="O954" i="7"/>
  <c r="O956" i="7"/>
  <c r="O958" i="7"/>
  <c r="O960" i="7"/>
  <c r="O962" i="7"/>
  <c r="O983" i="7"/>
  <c r="O985" i="7"/>
  <c r="O987" i="7"/>
  <c r="O989" i="7"/>
  <c r="O991" i="7"/>
  <c r="O993" i="7"/>
  <c r="O995" i="7"/>
  <c r="O997" i="7"/>
  <c r="O999" i="7"/>
  <c r="O1001" i="7"/>
  <c r="O1003" i="7"/>
  <c r="O1005" i="7"/>
  <c r="O1007" i="7"/>
  <c r="O1009" i="7"/>
  <c r="O1011" i="7"/>
  <c r="O1013" i="7"/>
  <c r="O1015" i="7"/>
  <c r="O1017" i="7"/>
  <c r="O1019" i="7"/>
  <c r="O1021" i="7"/>
  <c r="O1023" i="7"/>
  <c r="O1025" i="7"/>
  <c r="O1027" i="7"/>
  <c r="O1029" i="7"/>
  <c r="O1031" i="7"/>
  <c r="O1033" i="7"/>
  <c r="O1097" i="7"/>
  <c r="O1099" i="7"/>
  <c r="O1101" i="7"/>
  <c r="O1103" i="7"/>
  <c r="P1105" i="7"/>
  <c r="L1105" i="7"/>
  <c r="N1106" i="7"/>
  <c r="I1106" i="7"/>
  <c r="L1106" i="7"/>
  <c r="P1107" i="7"/>
  <c r="L1107" i="7"/>
  <c r="N1108" i="7"/>
  <c r="I1108" i="7"/>
  <c r="J1108" i="7" s="1"/>
  <c r="L1108" i="7"/>
  <c r="P1109" i="7"/>
  <c r="L1109" i="7"/>
  <c r="N1110" i="7"/>
  <c r="I1110" i="7"/>
  <c r="J1110" i="7" s="1"/>
  <c r="L1110" i="7"/>
  <c r="P1111" i="7"/>
  <c r="L1111" i="7"/>
  <c r="N1112" i="7"/>
  <c r="I1112" i="7"/>
  <c r="J1112" i="7" s="1"/>
  <c r="L1112" i="7"/>
  <c r="P1113" i="7"/>
  <c r="L1113" i="7"/>
  <c r="N1114" i="7"/>
  <c r="I1114" i="7"/>
  <c r="J1114" i="7" s="1"/>
  <c r="L1114" i="7"/>
  <c r="P1115" i="7"/>
  <c r="L1115" i="7"/>
  <c r="N1116" i="7"/>
  <c r="I1116" i="7"/>
  <c r="L1116" i="7"/>
  <c r="P1117" i="7"/>
  <c r="L1117" i="7"/>
  <c r="N1118" i="7"/>
  <c r="I1118" i="7"/>
  <c r="J1118" i="7" s="1"/>
  <c r="L1118" i="7"/>
  <c r="P1119" i="7"/>
  <c r="L1119" i="7"/>
  <c r="N1120" i="7"/>
  <c r="I1120" i="7"/>
  <c r="J1120" i="7" s="1"/>
  <c r="L1120" i="7"/>
  <c r="P1121" i="7"/>
  <c r="L1121" i="7"/>
  <c r="N1122" i="7"/>
  <c r="I1122" i="7"/>
  <c r="L1122" i="7"/>
  <c r="P1123" i="7"/>
  <c r="L1123" i="7"/>
  <c r="N1124" i="7"/>
  <c r="I1124" i="7"/>
  <c r="J1124" i="7" s="1"/>
  <c r="L1124" i="7"/>
  <c r="P1125" i="7"/>
  <c r="L1125" i="7"/>
  <c r="N1126" i="7"/>
  <c r="I1126" i="7"/>
  <c r="L1126" i="7"/>
  <c r="P1127" i="7"/>
  <c r="L1127" i="7"/>
  <c r="N1128" i="7"/>
  <c r="I1128" i="7"/>
  <c r="L1128" i="7"/>
  <c r="L1142" i="7"/>
  <c r="I951" i="7"/>
  <c r="L952" i="7"/>
  <c r="I953" i="7"/>
  <c r="L954" i="7"/>
  <c r="I955" i="7"/>
  <c r="J955" i="7" s="1"/>
  <c r="L956" i="7"/>
  <c r="I957" i="7"/>
  <c r="L958" i="7"/>
  <c r="I959" i="7"/>
  <c r="J959" i="7" s="1"/>
  <c r="L960" i="7"/>
  <c r="I961" i="7"/>
  <c r="J961" i="7" s="1"/>
  <c r="L962" i="7"/>
  <c r="L983" i="7"/>
  <c r="I984" i="7"/>
  <c r="J984" i="7" s="1"/>
  <c r="L985" i="7"/>
  <c r="I986" i="7"/>
  <c r="L987" i="7"/>
  <c r="I988" i="7"/>
  <c r="J988" i="7" s="1"/>
  <c r="L989" i="7"/>
  <c r="I990" i="7"/>
  <c r="L991" i="7"/>
  <c r="I992" i="7"/>
  <c r="L993" i="7"/>
  <c r="I994" i="7"/>
  <c r="J994" i="7" s="1"/>
  <c r="L995" i="7"/>
  <c r="I996" i="7"/>
  <c r="L997" i="7"/>
  <c r="I998" i="7"/>
  <c r="J998" i="7" s="1"/>
  <c r="L999" i="7"/>
  <c r="I1000" i="7"/>
  <c r="L1001" i="7"/>
  <c r="I1002" i="7"/>
  <c r="L1003" i="7"/>
  <c r="I1004" i="7"/>
  <c r="J1004" i="7" s="1"/>
  <c r="L1005" i="7"/>
  <c r="I1006" i="7"/>
  <c r="L1007" i="7"/>
  <c r="I1008" i="7"/>
  <c r="L1009" i="7"/>
  <c r="I1010" i="7"/>
  <c r="L1011" i="7"/>
  <c r="I1012" i="7"/>
  <c r="L1013" i="7"/>
  <c r="I1014" i="7"/>
  <c r="L1015" i="7"/>
  <c r="I1016" i="7"/>
  <c r="J1016" i="7" s="1"/>
  <c r="L1017" i="7"/>
  <c r="I1018" i="7"/>
  <c r="J1018" i="7" s="1"/>
  <c r="L1019" i="7"/>
  <c r="I1020" i="7"/>
  <c r="L1021" i="7"/>
  <c r="I1022" i="7"/>
  <c r="J1022" i="7" s="1"/>
  <c r="L1023" i="7"/>
  <c r="I1024" i="7"/>
  <c r="L1025" i="7"/>
  <c r="I1026" i="7"/>
  <c r="L1027" i="7"/>
  <c r="I1028" i="7"/>
  <c r="L1029" i="7"/>
  <c r="I1030" i="7"/>
  <c r="L1031" i="7"/>
  <c r="I1032" i="7"/>
  <c r="L1033" i="7"/>
  <c r="H1037" i="7"/>
  <c r="J1037" i="7" s="1"/>
  <c r="H1039" i="7"/>
  <c r="J1039" i="7" s="1"/>
  <c r="H1041" i="7"/>
  <c r="H1043" i="7"/>
  <c r="H1045" i="7"/>
  <c r="H1047" i="7"/>
  <c r="H1049" i="7"/>
  <c r="H1051" i="7"/>
  <c r="J1051" i="7" s="1"/>
  <c r="H1053" i="7"/>
  <c r="H1055" i="7"/>
  <c r="J1055" i="7" s="1"/>
  <c r="H1057" i="7"/>
  <c r="J1057" i="7" s="1"/>
  <c r="H1059" i="7"/>
  <c r="H1061" i="7"/>
  <c r="J1061" i="7" s="1"/>
  <c r="H1063" i="7"/>
  <c r="H1065" i="7"/>
  <c r="H1067" i="7"/>
  <c r="J1067" i="7" s="1"/>
  <c r="H1069" i="7"/>
  <c r="H1071" i="7"/>
  <c r="H1073" i="7"/>
  <c r="H1075" i="7"/>
  <c r="H1077" i="7"/>
  <c r="H1079" i="7"/>
  <c r="H1081" i="7"/>
  <c r="J1081" i="7" s="1"/>
  <c r="H1083" i="7"/>
  <c r="H1085" i="7"/>
  <c r="J1085" i="7" s="1"/>
  <c r="H1087" i="7"/>
  <c r="H1089" i="7"/>
  <c r="J1089" i="7" s="1"/>
  <c r="H1091" i="7"/>
  <c r="J1091" i="7" s="1"/>
  <c r="I1096" i="7"/>
  <c r="L1097" i="7"/>
  <c r="I1098" i="7"/>
  <c r="J1098" i="7" s="1"/>
  <c r="L1099" i="7"/>
  <c r="I1100" i="7"/>
  <c r="J1100" i="7" s="1"/>
  <c r="L1101" i="7"/>
  <c r="I1102" i="7"/>
  <c r="L1103" i="7"/>
  <c r="I1104" i="7"/>
  <c r="M1105" i="7"/>
  <c r="M1106" i="7"/>
  <c r="M1107" i="7"/>
  <c r="M1108" i="7"/>
  <c r="M1109" i="7"/>
  <c r="M1110" i="7"/>
  <c r="M1111" i="7"/>
  <c r="M1112" i="7"/>
  <c r="L1130" i="7"/>
  <c r="L1132" i="7"/>
  <c r="N1154" i="7"/>
  <c r="I1154" i="7"/>
  <c r="M1154" i="7"/>
  <c r="H1154" i="7"/>
  <c r="P1154" i="7"/>
  <c r="L1154" i="7"/>
  <c r="N1156" i="7"/>
  <c r="I1156" i="7"/>
  <c r="M1156" i="7"/>
  <c r="H1156" i="7"/>
  <c r="P1156" i="7"/>
  <c r="L1156" i="7"/>
  <c r="N1158" i="7"/>
  <c r="I1158" i="7"/>
  <c r="M1158" i="7"/>
  <c r="H1158" i="7"/>
  <c r="P1158" i="7"/>
  <c r="L1158" i="7"/>
  <c r="N1160" i="7"/>
  <c r="I1160" i="7"/>
  <c r="M1160" i="7"/>
  <c r="H1160" i="7"/>
  <c r="P1160" i="7"/>
  <c r="L1160" i="7"/>
  <c r="N1162" i="7"/>
  <c r="I1162" i="7"/>
  <c r="M1162" i="7"/>
  <c r="H1162" i="7"/>
  <c r="P1162" i="7"/>
  <c r="L1162" i="7"/>
  <c r="O1164" i="7"/>
  <c r="O1195" i="7"/>
  <c r="O1197" i="7"/>
  <c r="O1199" i="7"/>
  <c r="O1201" i="7"/>
  <c r="O1203" i="7"/>
  <c r="O1205" i="7"/>
  <c r="O1207" i="7"/>
  <c r="O1209" i="7"/>
  <c r="O1211" i="7"/>
  <c r="O1213" i="7"/>
  <c r="O1215" i="7"/>
  <c r="O1217" i="7"/>
  <c r="O1219" i="7"/>
  <c r="O1221" i="7"/>
  <c r="L1238" i="7"/>
  <c r="P1238" i="7"/>
  <c r="I1239" i="7"/>
  <c r="N1239" i="7"/>
  <c r="L1240" i="7"/>
  <c r="P1240" i="7"/>
  <c r="I1241" i="7"/>
  <c r="J1241" i="7" s="1"/>
  <c r="N1241" i="7"/>
  <c r="L1242" i="7"/>
  <c r="P1242" i="7"/>
  <c r="I1243" i="7"/>
  <c r="N1243" i="7"/>
  <c r="L1244" i="7"/>
  <c r="P1244" i="7"/>
  <c r="I1245" i="7"/>
  <c r="N1245" i="7"/>
  <c r="L1246" i="7"/>
  <c r="P1246" i="7"/>
  <c r="I1247" i="7"/>
  <c r="N1247" i="7"/>
  <c r="O1251" i="7"/>
  <c r="O1253" i="7"/>
  <c r="O1255" i="7"/>
  <c r="O1257" i="7"/>
  <c r="O1259" i="7"/>
  <c r="O1261" i="7"/>
  <c r="O1263" i="7"/>
  <c r="O1265" i="7"/>
  <c r="O1267" i="7"/>
  <c r="O1269" i="7"/>
  <c r="O1271" i="7"/>
  <c r="O1273" i="7"/>
  <c r="O1275" i="7"/>
  <c r="O1277" i="7"/>
  <c r="O1279" i="7"/>
  <c r="O1281" i="7"/>
  <c r="O1283" i="7"/>
  <c r="O1285" i="7"/>
  <c r="O1287" i="7"/>
  <c r="M1289" i="7"/>
  <c r="M1290" i="7"/>
  <c r="M1291" i="7"/>
  <c r="M1292" i="7"/>
  <c r="M1293" i="7"/>
  <c r="M1294" i="7"/>
  <c r="M1295" i="7"/>
  <c r="M1296" i="7"/>
  <c r="M1297" i="7"/>
  <c r="M1298" i="7"/>
  <c r="M1299" i="7"/>
  <c r="M1300" i="7"/>
  <c r="M1301" i="7"/>
  <c r="M1302" i="7"/>
  <c r="M1303" i="7"/>
  <c r="M1304" i="7"/>
  <c r="M1305" i="7"/>
  <c r="M1306" i="7"/>
  <c r="M1307" i="7"/>
  <c r="M1308" i="7"/>
  <c r="O1129" i="7"/>
  <c r="O1131" i="7"/>
  <c r="O1133" i="7"/>
  <c r="O1135" i="7"/>
  <c r="O1137" i="7"/>
  <c r="O1139" i="7"/>
  <c r="O1141" i="7"/>
  <c r="O1143" i="7"/>
  <c r="H1144" i="7"/>
  <c r="M1144" i="7"/>
  <c r="O1145" i="7"/>
  <c r="H1146" i="7"/>
  <c r="M1146" i="7"/>
  <c r="O1147" i="7"/>
  <c r="H1148" i="7"/>
  <c r="M1148" i="7"/>
  <c r="O1149" i="7"/>
  <c r="L1164" i="7"/>
  <c r="P1164" i="7"/>
  <c r="H1169" i="7"/>
  <c r="M1169" i="7"/>
  <c r="O1170" i="7"/>
  <c r="H1171" i="7"/>
  <c r="M1171" i="7"/>
  <c r="O1172" i="7"/>
  <c r="H1173" i="7"/>
  <c r="M1173" i="7"/>
  <c r="O1174" i="7"/>
  <c r="H1175" i="7"/>
  <c r="M1175" i="7"/>
  <c r="O1176" i="7"/>
  <c r="H1177" i="7"/>
  <c r="M1177" i="7"/>
  <c r="O1178" i="7"/>
  <c r="H1179" i="7"/>
  <c r="M1179" i="7"/>
  <c r="O1180" i="7"/>
  <c r="H1181" i="7"/>
  <c r="M1181" i="7"/>
  <c r="O1182" i="7"/>
  <c r="H1183" i="7"/>
  <c r="M1183" i="7"/>
  <c r="O1184" i="7"/>
  <c r="H1185" i="7"/>
  <c r="M1185" i="7"/>
  <c r="O1186" i="7"/>
  <c r="H1187" i="7"/>
  <c r="M1187" i="7"/>
  <c r="O1188" i="7"/>
  <c r="H1189" i="7"/>
  <c r="M1189" i="7"/>
  <c r="O1190" i="7"/>
  <c r="H1191" i="7"/>
  <c r="M1191" i="7"/>
  <c r="L1195" i="7"/>
  <c r="P1195" i="7"/>
  <c r="L1197" i="7"/>
  <c r="P1197" i="7"/>
  <c r="L1199" i="7"/>
  <c r="P1199" i="7"/>
  <c r="L1201" i="7"/>
  <c r="P1201" i="7"/>
  <c r="L1203" i="7"/>
  <c r="P1203" i="7"/>
  <c r="L1205" i="7"/>
  <c r="P1205" i="7"/>
  <c r="L1207" i="7"/>
  <c r="P1207" i="7"/>
  <c r="L1209" i="7"/>
  <c r="P1209" i="7"/>
  <c r="L1211" i="7"/>
  <c r="P1211" i="7"/>
  <c r="L1213" i="7"/>
  <c r="P1213" i="7"/>
  <c r="L1215" i="7"/>
  <c r="P1215" i="7"/>
  <c r="L1217" i="7"/>
  <c r="P1217" i="7"/>
  <c r="L1219" i="7"/>
  <c r="P1219" i="7"/>
  <c r="L1221" i="7"/>
  <c r="P1221" i="7"/>
  <c r="H1226" i="7"/>
  <c r="M1226" i="7"/>
  <c r="O1227" i="7"/>
  <c r="H1228" i="7"/>
  <c r="M1228" i="7"/>
  <c r="O1229" i="7"/>
  <c r="H1230" i="7"/>
  <c r="M1230" i="7"/>
  <c r="O1231" i="7"/>
  <c r="H1232" i="7"/>
  <c r="M1232" i="7"/>
  <c r="O1233" i="7"/>
  <c r="H1234" i="7"/>
  <c r="J1234" i="7" s="1"/>
  <c r="H1236" i="7"/>
  <c r="M1236" i="7"/>
  <c r="O1237" i="7"/>
  <c r="H1238" i="7"/>
  <c r="M1238" i="7"/>
  <c r="O1239" i="7"/>
  <c r="H1240" i="7"/>
  <c r="M1240" i="7"/>
  <c r="O1241" i="7"/>
  <c r="H1242" i="7"/>
  <c r="M1242" i="7"/>
  <c r="O1243" i="7"/>
  <c r="H1244" i="7"/>
  <c r="M1244" i="7"/>
  <c r="O1245" i="7"/>
  <c r="H1246" i="7"/>
  <c r="M1246" i="7"/>
  <c r="O1247" i="7"/>
  <c r="H1248" i="7"/>
  <c r="J1248" i="7" s="1"/>
  <c r="H1289" i="7"/>
  <c r="O1289" i="7"/>
  <c r="H1290" i="7"/>
  <c r="N1290" i="7"/>
  <c r="H1291" i="7"/>
  <c r="O1291" i="7"/>
  <c r="H1292" i="7"/>
  <c r="N1292" i="7"/>
  <c r="H1293" i="7"/>
  <c r="O1293" i="7"/>
  <c r="H1294" i="7"/>
  <c r="N1294" i="7"/>
  <c r="H1295" i="7"/>
  <c r="O1295" i="7"/>
  <c r="H1296" i="7"/>
  <c r="N1296" i="7"/>
  <c r="H1297" i="7"/>
  <c r="O1297" i="7"/>
  <c r="H1298" i="7"/>
  <c r="N1298" i="7"/>
  <c r="H1299" i="7"/>
  <c r="O1299" i="7"/>
  <c r="H1300" i="7"/>
  <c r="N1300" i="7"/>
  <c r="H1301" i="7"/>
  <c r="O1301" i="7"/>
  <c r="H1302" i="7"/>
  <c r="N1302" i="7"/>
  <c r="H1303" i="7"/>
  <c r="O1303" i="7"/>
  <c r="H1304" i="7"/>
  <c r="N1304" i="7"/>
  <c r="H1305" i="7"/>
  <c r="O1305" i="7"/>
  <c r="H1306" i="7"/>
  <c r="N1306" i="7"/>
  <c r="H1307" i="7"/>
  <c r="O1307" i="7"/>
  <c r="H1308" i="7"/>
  <c r="N1308" i="7"/>
  <c r="N1310" i="7"/>
  <c r="I1310" i="7"/>
  <c r="P1310" i="7"/>
  <c r="L1310" i="7"/>
  <c r="M1310" i="7"/>
  <c r="N1312" i="7"/>
  <c r="I1312" i="7"/>
  <c r="P1312" i="7"/>
  <c r="L1312" i="7"/>
  <c r="M1312" i="7"/>
  <c r="N1314" i="7"/>
  <c r="I1314" i="7"/>
  <c r="P1314" i="7"/>
  <c r="L1314" i="7"/>
  <c r="M1314" i="7"/>
  <c r="N1316" i="7"/>
  <c r="I1316" i="7"/>
  <c r="P1316" i="7"/>
  <c r="L1316" i="7"/>
  <c r="M1316" i="7"/>
  <c r="N1318" i="7"/>
  <c r="I1318" i="7"/>
  <c r="P1318" i="7"/>
  <c r="L1318" i="7"/>
  <c r="M1318" i="7"/>
  <c r="N1320" i="7"/>
  <c r="I1320" i="7"/>
  <c r="P1320" i="7"/>
  <c r="L1320" i="7"/>
  <c r="M1320" i="7"/>
  <c r="N1322" i="7"/>
  <c r="I1322" i="7"/>
  <c r="P1322" i="7"/>
  <c r="L1322" i="7"/>
  <c r="M1322" i="7"/>
  <c r="L1129" i="7"/>
  <c r="L1131" i="7"/>
  <c r="L1133" i="7"/>
  <c r="L1135" i="7"/>
  <c r="L1137" i="7"/>
  <c r="L1139" i="7"/>
  <c r="L1141" i="7"/>
  <c r="L1143" i="7"/>
  <c r="I1144" i="7"/>
  <c r="N1144" i="7"/>
  <c r="L1145" i="7"/>
  <c r="I1146" i="7"/>
  <c r="N1146" i="7"/>
  <c r="L1147" i="7"/>
  <c r="I1148" i="7"/>
  <c r="N1148" i="7"/>
  <c r="L1149" i="7"/>
  <c r="H1164" i="7"/>
  <c r="M1164" i="7"/>
  <c r="I1169" i="7"/>
  <c r="N1169" i="7"/>
  <c r="L1170" i="7"/>
  <c r="I1171" i="7"/>
  <c r="N1171" i="7"/>
  <c r="L1172" i="7"/>
  <c r="I1173" i="7"/>
  <c r="N1173" i="7"/>
  <c r="L1174" i="7"/>
  <c r="I1175" i="7"/>
  <c r="N1175" i="7"/>
  <c r="L1176" i="7"/>
  <c r="I1177" i="7"/>
  <c r="N1177" i="7"/>
  <c r="L1178" i="7"/>
  <c r="I1179" i="7"/>
  <c r="N1179" i="7"/>
  <c r="L1180" i="7"/>
  <c r="I1181" i="7"/>
  <c r="N1181" i="7"/>
  <c r="L1182" i="7"/>
  <c r="I1183" i="7"/>
  <c r="N1183" i="7"/>
  <c r="L1184" i="7"/>
  <c r="I1185" i="7"/>
  <c r="N1185" i="7"/>
  <c r="L1186" i="7"/>
  <c r="I1187" i="7"/>
  <c r="N1187" i="7"/>
  <c r="L1188" i="7"/>
  <c r="I1189" i="7"/>
  <c r="N1189" i="7"/>
  <c r="L1190" i="7"/>
  <c r="I1191" i="7"/>
  <c r="N1191" i="7"/>
  <c r="H1195" i="7"/>
  <c r="M1195" i="7"/>
  <c r="H1197" i="7"/>
  <c r="M1197" i="7"/>
  <c r="H1199" i="7"/>
  <c r="M1199" i="7"/>
  <c r="H1201" i="7"/>
  <c r="M1201" i="7"/>
  <c r="H1203" i="7"/>
  <c r="M1203" i="7"/>
  <c r="H1205" i="7"/>
  <c r="M1205" i="7"/>
  <c r="H1207" i="7"/>
  <c r="M1207" i="7"/>
  <c r="H1209" i="7"/>
  <c r="M1209" i="7"/>
  <c r="H1211" i="7"/>
  <c r="M1211" i="7"/>
  <c r="H1213" i="7"/>
  <c r="M1213" i="7"/>
  <c r="H1215" i="7"/>
  <c r="M1215" i="7"/>
  <c r="H1217" i="7"/>
  <c r="M1217" i="7"/>
  <c r="H1219" i="7"/>
  <c r="M1219" i="7"/>
  <c r="H1221" i="7"/>
  <c r="M1221" i="7"/>
  <c r="I1226" i="7"/>
  <c r="N1226" i="7"/>
  <c r="L1227" i="7"/>
  <c r="I1228" i="7"/>
  <c r="N1228" i="7"/>
  <c r="L1229" i="7"/>
  <c r="I1230" i="7"/>
  <c r="N1230" i="7"/>
  <c r="L1231" i="7"/>
  <c r="I1232" i="7"/>
  <c r="N1232" i="7"/>
  <c r="L1233" i="7"/>
  <c r="I1236" i="7"/>
  <c r="N1236" i="7"/>
  <c r="L1237" i="7"/>
  <c r="I1238" i="7"/>
  <c r="N1238" i="7"/>
  <c r="L1239" i="7"/>
  <c r="I1240" i="7"/>
  <c r="N1240" i="7"/>
  <c r="L1241" i="7"/>
  <c r="I1242" i="7"/>
  <c r="N1242" i="7"/>
  <c r="L1243" i="7"/>
  <c r="I1244" i="7"/>
  <c r="N1244" i="7"/>
  <c r="L1245" i="7"/>
  <c r="I1246" i="7"/>
  <c r="N1246" i="7"/>
  <c r="L1247" i="7"/>
  <c r="H1251" i="7"/>
  <c r="H1253" i="7"/>
  <c r="H1255" i="7"/>
  <c r="H1257" i="7"/>
  <c r="H1259" i="7"/>
  <c r="H1261" i="7"/>
  <c r="H1263" i="7"/>
  <c r="J1263" i="7" s="1"/>
  <c r="H1265" i="7"/>
  <c r="J1265" i="7" s="1"/>
  <c r="H1267" i="7"/>
  <c r="H1269" i="7"/>
  <c r="H1271" i="7"/>
  <c r="H1273" i="7"/>
  <c r="H1275" i="7"/>
  <c r="H1277" i="7"/>
  <c r="H1279" i="7"/>
  <c r="H1281" i="7"/>
  <c r="H1283" i="7"/>
  <c r="H1285" i="7"/>
  <c r="H1287" i="7"/>
  <c r="O1288" i="7"/>
  <c r="I1290" i="7"/>
  <c r="I1292" i="7"/>
  <c r="I1294" i="7"/>
  <c r="I1296" i="7"/>
  <c r="I1298" i="7"/>
  <c r="I1300" i="7"/>
  <c r="I1302" i="7"/>
  <c r="I1304" i="7"/>
  <c r="I1306" i="7"/>
  <c r="I1308" i="7"/>
  <c r="O1310" i="7"/>
  <c r="O1312" i="7"/>
  <c r="O1314" i="7"/>
  <c r="O1316" i="7"/>
  <c r="I1164" i="7"/>
  <c r="I1195" i="7"/>
  <c r="I1197" i="7"/>
  <c r="I1199" i="7"/>
  <c r="I1201" i="7"/>
  <c r="I1203" i="7"/>
  <c r="I1205" i="7"/>
  <c r="I1207" i="7"/>
  <c r="I1209" i="7"/>
  <c r="I1211" i="7"/>
  <c r="I1213" i="7"/>
  <c r="J1213" i="7" s="1"/>
  <c r="I1215" i="7"/>
  <c r="I1217" i="7"/>
  <c r="I1219" i="7"/>
  <c r="I1221" i="7"/>
  <c r="N1289" i="7"/>
  <c r="I1289" i="7"/>
  <c r="L1289" i="7"/>
  <c r="P1290" i="7"/>
  <c r="L1290" i="7"/>
  <c r="N1291" i="7"/>
  <c r="I1291" i="7"/>
  <c r="L1291" i="7"/>
  <c r="P1292" i="7"/>
  <c r="L1292" i="7"/>
  <c r="N1293" i="7"/>
  <c r="I1293" i="7"/>
  <c r="L1293" i="7"/>
  <c r="P1294" i="7"/>
  <c r="L1294" i="7"/>
  <c r="N1295" i="7"/>
  <c r="I1295" i="7"/>
  <c r="L1295" i="7"/>
  <c r="P1296" i="7"/>
  <c r="L1296" i="7"/>
  <c r="N1297" i="7"/>
  <c r="I1297" i="7"/>
  <c r="L1297" i="7"/>
  <c r="P1298" i="7"/>
  <c r="L1298" i="7"/>
  <c r="N1299" i="7"/>
  <c r="I1299" i="7"/>
  <c r="L1299" i="7"/>
  <c r="P1300" i="7"/>
  <c r="L1300" i="7"/>
  <c r="N1301" i="7"/>
  <c r="I1301" i="7"/>
  <c r="L1301" i="7"/>
  <c r="P1302" i="7"/>
  <c r="L1302" i="7"/>
  <c r="N1303" i="7"/>
  <c r="I1303" i="7"/>
  <c r="L1303" i="7"/>
  <c r="P1304" i="7"/>
  <c r="L1304" i="7"/>
  <c r="N1305" i="7"/>
  <c r="I1305" i="7"/>
  <c r="L1305" i="7"/>
  <c r="P1306" i="7"/>
  <c r="L1306" i="7"/>
  <c r="N1307" i="7"/>
  <c r="I1307" i="7"/>
  <c r="L1307" i="7"/>
  <c r="P1308" i="7"/>
  <c r="L1308" i="7"/>
  <c r="P1309" i="7"/>
  <c r="L1309" i="7"/>
  <c r="N1309" i="7"/>
  <c r="I1309" i="7"/>
  <c r="M1309" i="7"/>
  <c r="H1310" i="7"/>
  <c r="P1311" i="7"/>
  <c r="L1311" i="7"/>
  <c r="N1311" i="7"/>
  <c r="I1311" i="7"/>
  <c r="J1311" i="7" s="1"/>
  <c r="M1311" i="7"/>
  <c r="H1312" i="7"/>
  <c r="P1313" i="7"/>
  <c r="L1313" i="7"/>
  <c r="N1313" i="7"/>
  <c r="I1313" i="7"/>
  <c r="M1313" i="7"/>
  <c r="H1314" i="7"/>
  <c r="P1315" i="7"/>
  <c r="L1315" i="7"/>
  <c r="N1315" i="7"/>
  <c r="I1315" i="7"/>
  <c r="M1315" i="7"/>
  <c r="H1316" i="7"/>
  <c r="P1317" i="7"/>
  <c r="L1317" i="7"/>
  <c r="N1317" i="7"/>
  <c r="I1317" i="7"/>
  <c r="J1317" i="7" s="1"/>
  <c r="M1317" i="7"/>
  <c r="H1318" i="7"/>
  <c r="P1319" i="7"/>
  <c r="L1319" i="7"/>
  <c r="N1319" i="7"/>
  <c r="I1319" i="7"/>
  <c r="J1319" i="7" s="1"/>
  <c r="M1319" i="7"/>
  <c r="H1320" i="7"/>
  <c r="P1321" i="7"/>
  <c r="L1321" i="7"/>
  <c r="N1321" i="7"/>
  <c r="I1321" i="7"/>
  <c r="M1321" i="7"/>
  <c r="H1322" i="7"/>
  <c r="P1323" i="7"/>
  <c r="L1323" i="7"/>
  <c r="N1323" i="7"/>
  <c r="I1323" i="7"/>
  <c r="M1323" i="7"/>
  <c r="H1324" i="7"/>
  <c r="J1324" i="7" s="1"/>
  <c r="L1344" i="7"/>
  <c r="P1344" i="7"/>
  <c r="L1346" i="7"/>
  <c r="P1346" i="7"/>
  <c r="L1348" i="7"/>
  <c r="P1348" i="7"/>
  <c r="L1350" i="7"/>
  <c r="P1350" i="7"/>
  <c r="L1352" i="7"/>
  <c r="P1352" i="7"/>
  <c r="L1354" i="7"/>
  <c r="P1354" i="7"/>
  <c r="L1356" i="7"/>
  <c r="P1356" i="7"/>
  <c r="L1358" i="7"/>
  <c r="P1358" i="7"/>
  <c r="L1360" i="7"/>
  <c r="P1360" i="7"/>
  <c r="L1362" i="7"/>
  <c r="P1362" i="7"/>
  <c r="L1364" i="7"/>
  <c r="P1364" i="7"/>
  <c r="L1366" i="7"/>
  <c r="P1366" i="7"/>
  <c r="O1371" i="7"/>
  <c r="O1373" i="7"/>
  <c r="O1375" i="7"/>
  <c r="O1377" i="7"/>
  <c r="O1379" i="7"/>
  <c r="O1381" i="7"/>
  <c r="O1383" i="7"/>
  <c r="O1385" i="7"/>
  <c r="O1387" i="7"/>
  <c r="O1389" i="7"/>
  <c r="O1391" i="7"/>
  <c r="O1393" i="7"/>
  <c r="O1395" i="7"/>
  <c r="O1397" i="7"/>
  <c r="O1399" i="7"/>
  <c r="O1401" i="7"/>
  <c r="O1403" i="7"/>
  <c r="O1423" i="7"/>
  <c r="O1425" i="7"/>
  <c r="O1427" i="7"/>
  <c r="O1429" i="7"/>
  <c r="O1431" i="7"/>
  <c r="O1433" i="7"/>
  <c r="O1435" i="7"/>
  <c r="O1437" i="7"/>
  <c r="O1454" i="7"/>
  <c r="O1456" i="7"/>
  <c r="O1458" i="7"/>
  <c r="O1460" i="7"/>
  <c r="O1462" i="7"/>
  <c r="M1477" i="7"/>
  <c r="H1477" i="7"/>
  <c r="P1477" i="7"/>
  <c r="L1477" i="7"/>
  <c r="N1477" i="7"/>
  <c r="I1477" i="7"/>
  <c r="M1479" i="7"/>
  <c r="H1479" i="7"/>
  <c r="P1479" i="7"/>
  <c r="L1479" i="7"/>
  <c r="N1479" i="7"/>
  <c r="I1479" i="7"/>
  <c r="H1328" i="7"/>
  <c r="M1328" i="7"/>
  <c r="H1330" i="7"/>
  <c r="J1330" i="7" s="1"/>
  <c r="M1330" i="7"/>
  <c r="H1332" i="7"/>
  <c r="M1332" i="7"/>
  <c r="H1334" i="7"/>
  <c r="M1334" i="7"/>
  <c r="H1336" i="7"/>
  <c r="M1336" i="7"/>
  <c r="H1338" i="7"/>
  <c r="J1338" i="7" s="1"/>
  <c r="M1338" i="7"/>
  <c r="H1340" i="7"/>
  <c r="J1340" i="7" s="1"/>
  <c r="M1340" i="7"/>
  <c r="H1342" i="7"/>
  <c r="J1342" i="7" s="1"/>
  <c r="M1342" i="7"/>
  <c r="H1344" i="7"/>
  <c r="J1344" i="7" s="1"/>
  <c r="M1344" i="7"/>
  <c r="H1346" i="7"/>
  <c r="M1346" i="7"/>
  <c r="H1348" i="7"/>
  <c r="J1348" i="7" s="1"/>
  <c r="M1348" i="7"/>
  <c r="H1350" i="7"/>
  <c r="M1350" i="7"/>
  <c r="H1352" i="7"/>
  <c r="M1352" i="7"/>
  <c r="H1354" i="7"/>
  <c r="J1354" i="7" s="1"/>
  <c r="M1354" i="7"/>
  <c r="H1356" i="7"/>
  <c r="M1356" i="7"/>
  <c r="H1358" i="7"/>
  <c r="M1358" i="7"/>
  <c r="H1360" i="7"/>
  <c r="J1360" i="7" s="1"/>
  <c r="M1360" i="7"/>
  <c r="H1362" i="7"/>
  <c r="J1362" i="7" s="1"/>
  <c r="M1362" i="7"/>
  <c r="H1364" i="7"/>
  <c r="M1364" i="7"/>
  <c r="H1366" i="7"/>
  <c r="J1366" i="7" s="1"/>
  <c r="M1366" i="7"/>
  <c r="I1370" i="7"/>
  <c r="J1370" i="7" s="1"/>
  <c r="N1370" i="7"/>
  <c r="L1371" i="7"/>
  <c r="P1371" i="7"/>
  <c r="I1372" i="7"/>
  <c r="J1372" i="7" s="1"/>
  <c r="N1372" i="7"/>
  <c r="L1373" i="7"/>
  <c r="P1373" i="7"/>
  <c r="I1374" i="7"/>
  <c r="J1374" i="7" s="1"/>
  <c r="N1374" i="7"/>
  <c r="L1375" i="7"/>
  <c r="P1375" i="7"/>
  <c r="I1376" i="7"/>
  <c r="J1376" i="7" s="1"/>
  <c r="N1376" i="7"/>
  <c r="L1377" i="7"/>
  <c r="P1377" i="7"/>
  <c r="I1378" i="7"/>
  <c r="J1378" i="7" s="1"/>
  <c r="N1378" i="7"/>
  <c r="L1379" i="7"/>
  <c r="P1379" i="7"/>
  <c r="I1380" i="7"/>
  <c r="J1380" i="7" s="1"/>
  <c r="N1380" i="7"/>
  <c r="L1381" i="7"/>
  <c r="P1381" i="7"/>
  <c r="I1382" i="7"/>
  <c r="J1382" i="7" s="1"/>
  <c r="N1382" i="7"/>
  <c r="L1383" i="7"/>
  <c r="P1383" i="7"/>
  <c r="I1384" i="7"/>
  <c r="J1384" i="7" s="1"/>
  <c r="N1384" i="7"/>
  <c r="L1385" i="7"/>
  <c r="P1385" i="7"/>
  <c r="I1386" i="7"/>
  <c r="J1386" i="7" s="1"/>
  <c r="N1386" i="7"/>
  <c r="L1387" i="7"/>
  <c r="P1387" i="7"/>
  <c r="I1388" i="7"/>
  <c r="J1388" i="7" s="1"/>
  <c r="N1388" i="7"/>
  <c r="L1389" i="7"/>
  <c r="P1389" i="7"/>
  <c r="I1390" i="7"/>
  <c r="J1390" i="7" s="1"/>
  <c r="N1390" i="7"/>
  <c r="L1391" i="7"/>
  <c r="P1391" i="7"/>
  <c r="I1392" i="7"/>
  <c r="J1392" i="7" s="1"/>
  <c r="N1392" i="7"/>
  <c r="L1393" i="7"/>
  <c r="P1393" i="7"/>
  <c r="I1394" i="7"/>
  <c r="J1394" i="7" s="1"/>
  <c r="N1394" i="7"/>
  <c r="L1395" i="7"/>
  <c r="P1395" i="7"/>
  <c r="I1396" i="7"/>
  <c r="J1396" i="7" s="1"/>
  <c r="N1396" i="7"/>
  <c r="L1397" i="7"/>
  <c r="P1397" i="7"/>
  <c r="I1398" i="7"/>
  <c r="J1398" i="7" s="1"/>
  <c r="N1398" i="7"/>
  <c r="L1399" i="7"/>
  <c r="P1399" i="7"/>
  <c r="I1400" i="7"/>
  <c r="N1400" i="7"/>
  <c r="L1401" i="7"/>
  <c r="P1401" i="7"/>
  <c r="I1402" i="7"/>
  <c r="J1402" i="7" s="1"/>
  <c r="N1402" i="7"/>
  <c r="L1403" i="7"/>
  <c r="P1403" i="7"/>
  <c r="H1405" i="7"/>
  <c r="J1405" i="7" s="1"/>
  <c r="H1407" i="7"/>
  <c r="M1407" i="7"/>
  <c r="H1409" i="7"/>
  <c r="M1409" i="7"/>
  <c r="H1411" i="7"/>
  <c r="M1411" i="7"/>
  <c r="H1413" i="7"/>
  <c r="M1413" i="7"/>
  <c r="H1415" i="7"/>
  <c r="M1415" i="7"/>
  <c r="H1417" i="7"/>
  <c r="M1417" i="7"/>
  <c r="I1422" i="7"/>
  <c r="N1422" i="7"/>
  <c r="L1423" i="7"/>
  <c r="P1423" i="7"/>
  <c r="I1424" i="7"/>
  <c r="N1424" i="7"/>
  <c r="L1425" i="7"/>
  <c r="P1425" i="7"/>
  <c r="I1426" i="7"/>
  <c r="N1426" i="7"/>
  <c r="L1427" i="7"/>
  <c r="P1427" i="7"/>
  <c r="I1428" i="7"/>
  <c r="N1428" i="7"/>
  <c r="L1429" i="7"/>
  <c r="P1429" i="7"/>
  <c r="I1430" i="7"/>
  <c r="N1430" i="7"/>
  <c r="L1431" i="7"/>
  <c r="P1431" i="7"/>
  <c r="I1432" i="7"/>
  <c r="J1432" i="7" s="1"/>
  <c r="N1432" i="7"/>
  <c r="L1433" i="7"/>
  <c r="P1433" i="7"/>
  <c r="I1434" i="7"/>
  <c r="N1434" i="7"/>
  <c r="L1435" i="7"/>
  <c r="P1435" i="7"/>
  <c r="I1436" i="7"/>
  <c r="N1436" i="7"/>
  <c r="L1437" i="7"/>
  <c r="P1437" i="7"/>
  <c r="I1438" i="7"/>
  <c r="N1438" i="7"/>
  <c r="H1441" i="7"/>
  <c r="M1441" i="7"/>
  <c r="H1443" i="7"/>
  <c r="M1443" i="7"/>
  <c r="H1445" i="7"/>
  <c r="M1445" i="7"/>
  <c r="H1447" i="7"/>
  <c r="M1447" i="7"/>
  <c r="H1449" i="7"/>
  <c r="M1449" i="7"/>
  <c r="H1451" i="7"/>
  <c r="M1451" i="7"/>
  <c r="L1454" i="7"/>
  <c r="P1454" i="7"/>
  <c r="I1455" i="7"/>
  <c r="N1455" i="7"/>
  <c r="L1456" i="7"/>
  <c r="P1456" i="7"/>
  <c r="I1457" i="7"/>
  <c r="N1457" i="7"/>
  <c r="L1458" i="7"/>
  <c r="P1458" i="7"/>
  <c r="I1459" i="7"/>
  <c r="J1459" i="7" s="1"/>
  <c r="N1459" i="7"/>
  <c r="L1460" i="7"/>
  <c r="P1460" i="7"/>
  <c r="I1461" i="7"/>
  <c r="J1461" i="7" s="1"/>
  <c r="N1461" i="7"/>
  <c r="L1462" i="7"/>
  <c r="P1462" i="7"/>
  <c r="I1463" i="7"/>
  <c r="O1463" i="7"/>
  <c r="H1371" i="7"/>
  <c r="H1373" i="7"/>
  <c r="J1373" i="7" s="1"/>
  <c r="H1375" i="7"/>
  <c r="H1377" i="7"/>
  <c r="J1377" i="7" s="1"/>
  <c r="H1379" i="7"/>
  <c r="H1381" i="7"/>
  <c r="J1381" i="7" s="1"/>
  <c r="H1383" i="7"/>
  <c r="H1385" i="7"/>
  <c r="J1385" i="7" s="1"/>
  <c r="H1387" i="7"/>
  <c r="H1389" i="7"/>
  <c r="J1389" i="7" s="1"/>
  <c r="H1391" i="7"/>
  <c r="H1393" i="7"/>
  <c r="J1393" i="7" s="1"/>
  <c r="H1395" i="7"/>
  <c r="M1395" i="7"/>
  <c r="H1397" i="7"/>
  <c r="M1397" i="7"/>
  <c r="H1399" i="7"/>
  <c r="M1399" i="7"/>
  <c r="H1401" i="7"/>
  <c r="M1401" i="7"/>
  <c r="H1403" i="7"/>
  <c r="M1403" i="7"/>
  <c r="I1407" i="7"/>
  <c r="N1407" i="7"/>
  <c r="I1409" i="7"/>
  <c r="N1409" i="7"/>
  <c r="I1411" i="7"/>
  <c r="N1411" i="7"/>
  <c r="I1413" i="7"/>
  <c r="N1413" i="7"/>
  <c r="I1415" i="7"/>
  <c r="N1415" i="7"/>
  <c r="I1417" i="7"/>
  <c r="N1417" i="7"/>
  <c r="O1422" i="7"/>
  <c r="H1423" i="7"/>
  <c r="M1423" i="7"/>
  <c r="O1424" i="7"/>
  <c r="H1425" i="7"/>
  <c r="M1425" i="7"/>
  <c r="O1426" i="7"/>
  <c r="H1427" i="7"/>
  <c r="M1427" i="7"/>
  <c r="O1428" i="7"/>
  <c r="H1429" i="7"/>
  <c r="M1429" i="7"/>
  <c r="O1430" i="7"/>
  <c r="H1431" i="7"/>
  <c r="M1431" i="7"/>
  <c r="O1432" i="7"/>
  <c r="H1433" i="7"/>
  <c r="M1433" i="7"/>
  <c r="O1434" i="7"/>
  <c r="H1435" i="7"/>
  <c r="M1435" i="7"/>
  <c r="O1436" i="7"/>
  <c r="H1437" i="7"/>
  <c r="M1437" i="7"/>
  <c r="I1441" i="7"/>
  <c r="J1441" i="7" s="1"/>
  <c r="N1441" i="7"/>
  <c r="I1443" i="7"/>
  <c r="N1443" i="7"/>
  <c r="I1445" i="7"/>
  <c r="J1445" i="7" s="1"/>
  <c r="N1445" i="7"/>
  <c r="I1447" i="7"/>
  <c r="N1447" i="7"/>
  <c r="I1449" i="7"/>
  <c r="J1449" i="7" s="1"/>
  <c r="N1449" i="7"/>
  <c r="I1451" i="7"/>
  <c r="N1451" i="7"/>
  <c r="H1454" i="7"/>
  <c r="M1454" i="7"/>
  <c r="O1455" i="7"/>
  <c r="H1456" i="7"/>
  <c r="M1456" i="7"/>
  <c r="O1457" i="7"/>
  <c r="H1458" i="7"/>
  <c r="M1458" i="7"/>
  <c r="O1459" i="7"/>
  <c r="H1460" i="7"/>
  <c r="M1460" i="7"/>
  <c r="O1461" i="7"/>
  <c r="H1462" i="7"/>
  <c r="M1462" i="7"/>
  <c r="P1463" i="7"/>
  <c r="I1395" i="7"/>
  <c r="I1397" i="7"/>
  <c r="I1399" i="7"/>
  <c r="I1401" i="7"/>
  <c r="I1403" i="7"/>
  <c r="I1423" i="7"/>
  <c r="L1424" i="7"/>
  <c r="I1425" i="7"/>
  <c r="J1425" i="7" s="1"/>
  <c r="L1426" i="7"/>
  <c r="I1427" i="7"/>
  <c r="L1428" i="7"/>
  <c r="I1429" i="7"/>
  <c r="L1430" i="7"/>
  <c r="I1431" i="7"/>
  <c r="L1432" i="7"/>
  <c r="I1433" i="7"/>
  <c r="L1434" i="7"/>
  <c r="I1435" i="7"/>
  <c r="L1436" i="7"/>
  <c r="I1437" i="7"/>
  <c r="J1437" i="7" s="1"/>
  <c r="I1454" i="7"/>
  <c r="L1455" i="7"/>
  <c r="I1456" i="7"/>
  <c r="L1457" i="7"/>
  <c r="I1458" i="7"/>
  <c r="L1459" i="7"/>
  <c r="I1460" i="7"/>
  <c r="L1461" i="7"/>
  <c r="I1462" i="7"/>
  <c r="L1463" i="7"/>
  <c r="H1465" i="7"/>
  <c r="M1465" i="7"/>
  <c r="H1467" i="7"/>
  <c r="M1467" i="7"/>
  <c r="H1469" i="7"/>
  <c r="J1469" i="7" s="1"/>
  <c r="M1469" i="7"/>
  <c r="H1471" i="7"/>
  <c r="M1471" i="7"/>
  <c r="O1472" i="7"/>
  <c r="L1476" i="7"/>
  <c r="P1476" i="7"/>
  <c r="L1478" i="7"/>
  <c r="P1478" i="7"/>
  <c r="L1480" i="7"/>
  <c r="P1480" i="7"/>
  <c r="O1484" i="7"/>
  <c r="O1486" i="7"/>
  <c r="O1488" i="7"/>
  <c r="O1490" i="7"/>
  <c r="O1492" i="7"/>
  <c r="O1494" i="7"/>
  <c r="O1496" i="7"/>
  <c r="O1498" i="7"/>
  <c r="O1500" i="7"/>
  <c r="O1502" i="7"/>
  <c r="O1504" i="7"/>
  <c r="O1506" i="7"/>
  <c r="O1508" i="7"/>
  <c r="L1512" i="7"/>
  <c r="P1512" i="7"/>
  <c r="L1514" i="7"/>
  <c r="P1514" i="7"/>
  <c r="L1516" i="7"/>
  <c r="P1516" i="7"/>
  <c r="L1518" i="7"/>
  <c r="P1518" i="7"/>
  <c r="L1520" i="7"/>
  <c r="P1520" i="7"/>
  <c r="L1522" i="7"/>
  <c r="P1522" i="7"/>
  <c r="L1524" i="7"/>
  <c r="P1524" i="7"/>
  <c r="L1526" i="7"/>
  <c r="P1526" i="7"/>
  <c r="M1532" i="7"/>
  <c r="M1533" i="7"/>
  <c r="M1534" i="7"/>
  <c r="M1535" i="7"/>
  <c r="L1498" i="7"/>
  <c r="P1498" i="7"/>
  <c r="I1499" i="7"/>
  <c r="J1499" i="7" s="1"/>
  <c r="N1499" i="7"/>
  <c r="L1500" i="7"/>
  <c r="P1500" i="7"/>
  <c r="I1501" i="7"/>
  <c r="N1501" i="7"/>
  <c r="L1502" i="7"/>
  <c r="P1502" i="7"/>
  <c r="I1503" i="7"/>
  <c r="N1503" i="7"/>
  <c r="L1504" i="7"/>
  <c r="P1504" i="7"/>
  <c r="I1505" i="7"/>
  <c r="N1505" i="7"/>
  <c r="L1506" i="7"/>
  <c r="P1506" i="7"/>
  <c r="I1507" i="7"/>
  <c r="N1507" i="7"/>
  <c r="L1508" i="7"/>
  <c r="P1508" i="7"/>
  <c r="I1509" i="7"/>
  <c r="N1509" i="7"/>
  <c r="H1512" i="7"/>
  <c r="M1512" i="7"/>
  <c r="H1514" i="7"/>
  <c r="M1514" i="7"/>
  <c r="H1516" i="7"/>
  <c r="M1516" i="7"/>
  <c r="H1518" i="7"/>
  <c r="M1518" i="7"/>
  <c r="H1520" i="7"/>
  <c r="M1520" i="7"/>
  <c r="H1522" i="7"/>
  <c r="M1522" i="7"/>
  <c r="H1524" i="7"/>
  <c r="M1524" i="7"/>
  <c r="H1526" i="7"/>
  <c r="M1526" i="7"/>
  <c r="M1527" i="7"/>
  <c r="H1527" i="7"/>
  <c r="J1527" i="7" s="1"/>
  <c r="L1527" i="7"/>
  <c r="M1529" i="7"/>
  <c r="H1529" i="7"/>
  <c r="J1529" i="7" s="1"/>
  <c r="L1529" i="7"/>
  <c r="H1532" i="7"/>
  <c r="N1532" i="7"/>
  <c r="H1533" i="7"/>
  <c r="O1533" i="7"/>
  <c r="H1534" i="7"/>
  <c r="N1534" i="7"/>
  <c r="H1535" i="7"/>
  <c r="O1535" i="7"/>
  <c r="H1536" i="7"/>
  <c r="N1536" i="7"/>
  <c r="H1537" i="7"/>
  <c r="O1537" i="7"/>
  <c r="H1538" i="7"/>
  <c r="N1538" i="7"/>
  <c r="H1539" i="7"/>
  <c r="O1539" i="7"/>
  <c r="H1540" i="7"/>
  <c r="N1540" i="7"/>
  <c r="H1541" i="7"/>
  <c r="H1542" i="7"/>
  <c r="J1542" i="7" s="1"/>
  <c r="H1472" i="7"/>
  <c r="J1472" i="7" s="1"/>
  <c r="I1476" i="7"/>
  <c r="N1476" i="7"/>
  <c r="I1478" i="7"/>
  <c r="N1478" i="7"/>
  <c r="I1480" i="7"/>
  <c r="N1480" i="7"/>
  <c r="H1484" i="7"/>
  <c r="H1486" i="7"/>
  <c r="H1488" i="7"/>
  <c r="H1490" i="7"/>
  <c r="J1490" i="7" s="1"/>
  <c r="H1492" i="7"/>
  <c r="H1494" i="7"/>
  <c r="H1496" i="7"/>
  <c r="H1498" i="7"/>
  <c r="J1498" i="7" s="1"/>
  <c r="H1500" i="7"/>
  <c r="H1502" i="7"/>
  <c r="H1504" i="7"/>
  <c r="J1504" i="7" s="1"/>
  <c r="H1506" i="7"/>
  <c r="H1508" i="7"/>
  <c r="I1512" i="7"/>
  <c r="N1512" i="7"/>
  <c r="I1514" i="7"/>
  <c r="N1514" i="7"/>
  <c r="I1516" i="7"/>
  <c r="N1516" i="7"/>
  <c r="I1518" i="7"/>
  <c r="N1518" i="7"/>
  <c r="I1520" i="7"/>
  <c r="N1520" i="7"/>
  <c r="I1522" i="7"/>
  <c r="N1522" i="7"/>
  <c r="I1524" i="7"/>
  <c r="N1524" i="7"/>
  <c r="I1526" i="7"/>
  <c r="N1526" i="7"/>
  <c r="N1529" i="7"/>
  <c r="I1532" i="7"/>
  <c r="I1534" i="7"/>
  <c r="I1536" i="7"/>
  <c r="I1538" i="7"/>
  <c r="J1538" i="7" s="1"/>
  <c r="I1540" i="7"/>
  <c r="P1532" i="7"/>
  <c r="L1532" i="7"/>
  <c r="N1533" i="7"/>
  <c r="I1533" i="7"/>
  <c r="L1533" i="7"/>
  <c r="P1534" i="7"/>
  <c r="L1534" i="7"/>
  <c r="N1535" i="7"/>
  <c r="I1535" i="7"/>
  <c r="L1535" i="7"/>
  <c r="P1536" i="7"/>
  <c r="L1536" i="7"/>
  <c r="N1537" i="7"/>
  <c r="I1537" i="7"/>
  <c r="L1537" i="7"/>
  <c r="P1538" i="7"/>
  <c r="L1538" i="7"/>
  <c r="N1539" i="7"/>
  <c r="I1539" i="7"/>
  <c r="L1539" i="7"/>
  <c r="P1540" i="7"/>
  <c r="L1540" i="7"/>
  <c r="N1541" i="7"/>
  <c r="I1541" i="7"/>
  <c r="L1541" i="7"/>
  <c r="P1542" i="7"/>
  <c r="L1542" i="7"/>
  <c r="N1543" i="7"/>
  <c r="I1543" i="7"/>
  <c r="M1543" i="7"/>
  <c r="H1543" i="7"/>
  <c r="O1543" i="7"/>
  <c r="O1572" i="7"/>
  <c r="O1574" i="7"/>
  <c r="O1576" i="7"/>
  <c r="O1578" i="7"/>
  <c r="O1580" i="7"/>
  <c r="O1582" i="7"/>
  <c r="O1584" i="7"/>
  <c r="O1586" i="7"/>
  <c r="O1588" i="7"/>
  <c r="O1590" i="7"/>
  <c r="O1592" i="7"/>
  <c r="O1594" i="7"/>
  <c r="O1596" i="7"/>
  <c r="O1598" i="7"/>
  <c r="O1600" i="7"/>
  <c r="O1625" i="7"/>
  <c r="O1627" i="7"/>
  <c r="O1629" i="7"/>
  <c r="O1631" i="7"/>
  <c r="O1633" i="7"/>
  <c r="O1635" i="7"/>
  <c r="O1637" i="7"/>
  <c r="O1639" i="7"/>
  <c r="O1641" i="7"/>
  <c r="O1643" i="7"/>
  <c r="O1645" i="7"/>
  <c r="O1647" i="7"/>
  <c r="O1649" i="7"/>
  <c r="O1651" i="7"/>
  <c r="O1653" i="7"/>
  <c r="O1655" i="7"/>
  <c r="O1544" i="7"/>
  <c r="H1545" i="7"/>
  <c r="M1545" i="7"/>
  <c r="O1546" i="7"/>
  <c r="H1547" i="7"/>
  <c r="M1547" i="7"/>
  <c r="O1548" i="7"/>
  <c r="H1549" i="7"/>
  <c r="M1549" i="7"/>
  <c r="O1550" i="7"/>
  <c r="H1551" i="7"/>
  <c r="M1551" i="7"/>
  <c r="O1552" i="7"/>
  <c r="H1553" i="7"/>
  <c r="M1553" i="7"/>
  <c r="O1554" i="7"/>
  <c r="H1555" i="7"/>
  <c r="M1555" i="7"/>
  <c r="O1556" i="7"/>
  <c r="H1557" i="7"/>
  <c r="M1557" i="7"/>
  <c r="O1558" i="7"/>
  <c r="H1559" i="7"/>
  <c r="M1559" i="7"/>
  <c r="O1560" i="7"/>
  <c r="H1561" i="7"/>
  <c r="M1561" i="7"/>
  <c r="O1562" i="7"/>
  <c r="H1563" i="7"/>
  <c r="M1563" i="7"/>
  <c r="O1564" i="7"/>
  <c r="H1565" i="7"/>
  <c r="M1565" i="7"/>
  <c r="O1566" i="7"/>
  <c r="H1567" i="7"/>
  <c r="M1567" i="7"/>
  <c r="O1568" i="7"/>
  <c r="L1572" i="7"/>
  <c r="P1572" i="7"/>
  <c r="L1574" i="7"/>
  <c r="P1574" i="7"/>
  <c r="L1576" i="7"/>
  <c r="P1576" i="7"/>
  <c r="L1578" i="7"/>
  <c r="P1578" i="7"/>
  <c r="L1580" i="7"/>
  <c r="P1580" i="7"/>
  <c r="L1582" i="7"/>
  <c r="P1582" i="7"/>
  <c r="L1584" i="7"/>
  <c r="P1584" i="7"/>
  <c r="L1586" i="7"/>
  <c r="P1586" i="7"/>
  <c r="L1588" i="7"/>
  <c r="P1588" i="7"/>
  <c r="L1590" i="7"/>
  <c r="P1590" i="7"/>
  <c r="L1592" i="7"/>
  <c r="P1592" i="7"/>
  <c r="L1594" i="7"/>
  <c r="P1594" i="7"/>
  <c r="L1596" i="7"/>
  <c r="P1596" i="7"/>
  <c r="L1598" i="7"/>
  <c r="P1598" i="7"/>
  <c r="L1600" i="7"/>
  <c r="P1600" i="7"/>
  <c r="O1603" i="7"/>
  <c r="H1604" i="7"/>
  <c r="M1604" i="7"/>
  <c r="O1605" i="7"/>
  <c r="H1606" i="7"/>
  <c r="M1606" i="7"/>
  <c r="O1607" i="7"/>
  <c r="H1608" i="7"/>
  <c r="M1608" i="7"/>
  <c r="O1609" i="7"/>
  <c r="H1610" i="7"/>
  <c r="M1610" i="7"/>
  <c r="O1611" i="7"/>
  <c r="H1612" i="7"/>
  <c r="M1612" i="7"/>
  <c r="O1613" i="7"/>
  <c r="H1614" i="7"/>
  <c r="M1614" i="7"/>
  <c r="O1615" i="7"/>
  <c r="H1616" i="7"/>
  <c r="M1616" i="7"/>
  <c r="O1617" i="7"/>
  <c r="H1618" i="7"/>
  <c r="M1618" i="7"/>
  <c r="O1619" i="7"/>
  <c r="H1620" i="7"/>
  <c r="M1620" i="7"/>
  <c r="O1621" i="7"/>
  <c r="H1622" i="7"/>
  <c r="M1622" i="7"/>
  <c r="L1625" i="7"/>
  <c r="P1625" i="7"/>
  <c r="L1627" i="7"/>
  <c r="P1627" i="7"/>
  <c r="L1629" i="7"/>
  <c r="P1629" i="7"/>
  <c r="L1631" i="7"/>
  <c r="P1631" i="7"/>
  <c r="L1633" i="7"/>
  <c r="P1633" i="7"/>
  <c r="L1635" i="7"/>
  <c r="P1635" i="7"/>
  <c r="L1637" i="7"/>
  <c r="P1637" i="7"/>
  <c r="L1639" i="7"/>
  <c r="P1639" i="7"/>
  <c r="L1641" i="7"/>
  <c r="P1641" i="7"/>
  <c r="L1643" i="7"/>
  <c r="P1643" i="7"/>
  <c r="L1645" i="7"/>
  <c r="P1645" i="7"/>
  <c r="L1647" i="7"/>
  <c r="P1647" i="7"/>
  <c r="L1649" i="7"/>
  <c r="P1649" i="7"/>
  <c r="L1651" i="7"/>
  <c r="P1651" i="7"/>
  <c r="L1653" i="7"/>
  <c r="P1653" i="7"/>
  <c r="L1655" i="7"/>
  <c r="P1655" i="7"/>
  <c r="O1658" i="7"/>
  <c r="H1659" i="7"/>
  <c r="M1659" i="7"/>
  <c r="O1660" i="7"/>
  <c r="H1661" i="7"/>
  <c r="M1661" i="7"/>
  <c r="O1662" i="7"/>
  <c r="H1663" i="7"/>
  <c r="M1663" i="7"/>
  <c r="O1664" i="7"/>
  <c r="H1665" i="7"/>
  <c r="M1665" i="7"/>
  <c r="O1666" i="7"/>
  <c r="H1667" i="7"/>
  <c r="M1667" i="7"/>
  <c r="O1668" i="7"/>
  <c r="H1669" i="7"/>
  <c r="M1669" i="7"/>
  <c r="O1670" i="7"/>
  <c r="H1671" i="7"/>
  <c r="M1671" i="7"/>
  <c r="O1672" i="7"/>
  <c r="H1673" i="7"/>
  <c r="M1673" i="7"/>
  <c r="O1674" i="7"/>
  <c r="H1675" i="7"/>
  <c r="M1675" i="7"/>
  <c r="O1676" i="7"/>
  <c r="H1677" i="7"/>
  <c r="M1677" i="7"/>
  <c r="O1678" i="7"/>
  <c r="H1679" i="7"/>
  <c r="M1679" i="7"/>
  <c r="O1680" i="7"/>
  <c r="H1681" i="7"/>
  <c r="M1681" i="7"/>
  <c r="O1682" i="7"/>
  <c r="H1683" i="7"/>
  <c r="M1683" i="7"/>
  <c r="O1684" i="7"/>
  <c r="H1685" i="7"/>
  <c r="M1685" i="7"/>
  <c r="O1686" i="7"/>
  <c r="H1687" i="7"/>
  <c r="M1687" i="7"/>
  <c r="O1688" i="7"/>
  <c r="H1689" i="7"/>
  <c r="M1689" i="7"/>
  <c r="O1690" i="7"/>
  <c r="H1691" i="7"/>
  <c r="M1691" i="7"/>
  <c r="O1692" i="7"/>
  <c r="H1693" i="7"/>
  <c r="M1693" i="7"/>
  <c r="O1694" i="7"/>
  <c r="H1695" i="7"/>
  <c r="M1695" i="7"/>
  <c r="O1696" i="7"/>
  <c r="H1697" i="7"/>
  <c r="M1697" i="7"/>
  <c r="N1698" i="7"/>
  <c r="I1698" i="7"/>
  <c r="L1698" i="7"/>
  <c r="N1699" i="7"/>
  <c r="I1699" i="7"/>
  <c r="J1699" i="7" s="1"/>
  <c r="P1699" i="7"/>
  <c r="L1699" i="7"/>
  <c r="M1699" i="7"/>
  <c r="N1728" i="7"/>
  <c r="I1728" i="7"/>
  <c r="M1728" i="7"/>
  <c r="H1728" i="7"/>
  <c r="P1728" i="7"/>
  <c r="L1728" i="7"/>
  <c r="N1732" i="7"/>
  <c r="I1732" i="7"/>
  <c r="M1732" i="7"/>
  <c r="H1732" i="7"/>
  <c r="P1732" i="7"/>
  <c r="L1732" i="7"/>
  <c r="L1544" i="7"/>
  <c r="I1545" i="7"/>
  <c r="N1545" i="7"/>
  <c r="L1546" i="7"/>
  <c r="I1547" i="7"/>
  <c r="N1547" i="7"/>
  <c r="L1548" i="7"/>
  <c r="I1549" i="7"/>
  <c r="N1549" i="7"/>
  <c r="L1550" i="7"/>
  <c r="I1551" i="7"/>
  <c r="N1551" i="7"/>
  <c r="L1552" i="7"/>
  <c r="I1553" i="7"/>
  <c r="N1553" i="7"/>
  <c r="L1554" i="7"/>
  <c r="I1555" i="7"/>
  <c r="N1555" i="7"/>
  <c r="L1556" i="7"/>
  <c r="I1557" i="7"/>
  <c r="N1557" i="7"/>
  <c r="L1558" i="7"/>
  <c r="I1559" i="7"/>
  <c r="N1559" i="7"/>
  <c r="L1560" i="7"/>
  <c r="I1561" i="7"/>
  <c r="N1561" i="7"/>
  <c r="L1562" i="7"/>
  <c r="I1563" i="7"/>
  <c r="N1563" i="7"/>
  <c r="L1564" i="7"/>
  <c r="I1565" i="7"/>
  <c r="N1565" i="7"/>
  <c r="L1566" i="7"/>
  <c r="I1567" i="7"/>
  <c r="N1567" i="7"/>
  <c r="L1568" i="7"/>
  <c r="H1572" i="7"/>
  <c r="M1572" i="7"/>
  <c r="H1574" i="7"/>
  <c r="M1574" i="7"/>
  <c r="H1576" i="7"/>
  <c r="M1576" i="7"/>
  <c r="H1578" i="7"/>
  <c r="M1578" i="7"/>
  <c r="H1580" i="7"/>
  <c r="M1580" i="7"/>
  <c r="H1582" i="7"/>
  <c r="M1582" i="7"/>
  <c r="H1584" i="7"/>
  <c r="M1584" i="7"/>
  <c r="H1586" i="7"/>
  <c r="M1586" i="7"/>
  <c r="H1588" i="7"/>
  <c r="M1588" i="7"/>
  <c r="H1590" i="7"/>
  <c r="M1590" i="7"/>
  <c r="H1592" i="7"/>
  <c r="M1592" i="7"/>
  <c r="H1594" i="7"/>
  <c r="M1594" i="7"/>
  <c r="H1596" i="7"/>
  <c r="M1596" i="7"/>
  <c r="H1598" i="7"/>
  <c r="M1598" i="7"/>
  <c r="H1600" i="7"/>
  <c r="M1600" i="7"/>
  <c r="L1603" i="7"/>
  <c r="I1604" i="7"/>
  <c r="N1604" i="7"/>
  <c r="L1605" i="7"/>
  <c r="I1606" i="7"/>
  <c r="N1606" i="7"/>
  <c r="L1607" i="7"/>
  <c r="I1608" i="7"/>
  <c r="N1608" i="7"/>
  <c r="L1609" i="7"/>
  <c r="I1610" i="7"/>
  <c r="N1610" i="7"/>
  <c r="L1611" i="7"/>
  <c r="I1612" i="7"/>
  <c r="N1612" i="7"/>
  <c r="L1613" i="7"/>
  <c r="I1614" i="7"/>
  <c r="N1614" i="7"/>
  <c r="L1615" i="7"/>
  <c r="I1616" i="7"/>
  <c r="N1616" i="7"/>
  <c r="L1617" i="7"/>
  <c r="I1618" i="7"/>
  <c r="N1618" i="7"/>
  <c r="L1619" i="7"/>
  <c r="I1620" i="7"/>
  <c r="N1620" i="7"/>
  <c r="L1621" i="7"/>
  <c r="I1622" i="7"/>
  <c r="N1622" i="7"/>
  <c r="H1625" i="7"/>
  <c r="M1625" i="7"/>
  <c r="H1627" i="7"/>
  <c r="M1627" i="7"/>
  <c r="H1629" i="7"/>
  <c r="M1629" i="7"/>
  <c r="H1631" i="7"/>
  <c r="M1631" i="7"/>
  <c r="H1633" i="7"/>
  <c r="M1633" i="7"/>
  <c r="H1635" i="7"/>
  <c r="M1635" i="7"/>
  <c r="H1637" i="7"/>
  <c r="M1637" i="7"/>
  <c r="H1639" i="7"/>
  <c r="M1639" i="7"/>
  <c r="H1641" i="7"/>
  <c r="M1641" i="7"/>
  <c r="H1643" i="7"/>
  <c r="M1643" i="7"/>
  <c r="H1645" i="7"/>
  <c r="M1645" i="7"/>
  <c r="H1647" i="7"/>
  <c r="M1647" i="7"/>
  <c r="H1649" i="7"/>
  <c r="M1649" i="7"/>
  <c r="H1651" i="7"/>
  <c r="M1651" i="7"/>
  <c r="H1653" i="7"/>
  <c r="M1653" i="7"/>
  <c r="H1655" i="7"/>
  <c r="M1655" i="7"/>
  <c r="L1658" i="7"/>
  <c r="I1659" i="7"/>
  <c r="N1659" i="7"/>
  <c r="L1660" i="7"/>
  <c r="I1661" i="7"/>
  <c r="N1661" i="7"/>
  <c r="L1662" i="7"/>
  <c r="I1663" i="7"/>
  <c r="N1663" i="7"/>
  <c r="L1664" i="7"/>
  <c r="I1665" i="7"/>
  <c r="N1665" i="7"/>
  <c r="L1666" i="7"/>
  <c r="I1667" i="7"/>
  <c r="N1667" i="7"/>
  <c r="L1668" i="7"/>
  <c r="I1669" i="7"/>
  <c r="N1669" i="7"/>
  <c r="L1670" i="7"/>
  <c r="I1671" i="7"/>
  <c r="N1671" i="7"/>
  <c r="L1672" i="7"/>
  <c r="I1673" i="7"/>
  <c r="N1673" i="7"/>
  <c r="L1674" i="7"/>
  <c r="I1675" i="7"/>
  <c r="N1675" i="7"/>
  <c r="L1676" i="7"/>
  <c r="I1677" i="7"/>
  <c r="N1677" i="7"/>
  <c r="L1678" i="7"/>
  <c r="I1679" i="7"/>
  <c r="N1679" i="7"/>
  <c r="L1680" i="7"/>
  <c r="I1681" i="7"/>
  <c r="N1681" i="7"/>
  <c r="L1682" i="7"/>
  <c r="I1683" i="7"/>
  <c r="N1683" i="7"/>
  <c r="L1684" i="7"/>
  <c r="I1685" i="7"/>
  <c r="N1685" i="7"/>
  <c r="L1686" i="7"/>
  <c r="I1687" i="7"/>
  <c r="N1687" i="7"/>
  <c r="L1688" i="7"/>
  <c r="I1689" i="7"/>
  <c r="N1689" i="7"/>
  <c r="L1690" i="7"/>
  <c r="I1691" i="7"/>
  <c r="N1691" i="7"/>
  <c r="L1692" i="7"/>
  <c r="I1693" i="7"/>
  <c r="N1693" i="7"/>
  <c r="L1694" i="7"/>
  <c r="I1695" i="7"/>
  <c r="N1695" i="7"/>
  <c r="L1696" i="7"/>
  <c r="I1697" i="7"/>
  <c r="N1697" i="7"/>
  <c r="M1698" i="7"/>
  <c r="O1699" i="7"/>
  <c r="N1736" i="7"/>
  <c r="I1736" i="7"/>
  <c r="M1736" i="7"/>
  <c r="H1736" i="7"/>
  <c r="P1736" i="7"/>
  <c r="L1736" i="7"/>
  <c r="I1572" i="7"/>
  <c r="I1574" i="7"/>
  <c r="I1576" i="7"/>
  <c r="I1578" i="7"/>
  <c r="I1580" i="7"/>
  <c r="J1580" i="7" s="1"/>
  <c r="I1582" i="7"/>
  <c r="I1584" i="7"/>
  <c r="I1586" i="7"/>
  <c r="I1588" i="7"/>
  <c r="I1590" i="7"/>
  <c r="I1592" i="7"/>
  <c r="I1594" i="7"/>
  <c r="I1596" i="7"/>
  <c r="I1598" i="7"/>
  <c r="I1600" i="7"/>
  <c r="I1625" i="7"/>
  <c r="I1627" i="7"/>
  <c r="J1627" i="7" s="1"/>
  <c r="I1629" i="7"/>
  <c r="I1631" i="7"/>
  <c r="I1633" i="7"/>
  <c r="I1635" i="7"/>
  <c r="I1637" i="7"/>
  <c r="I1639" i="7"/>
  <c r="J1639" i="7" s="1"/>
  <c r="I1641" i="7"/>
  <c r="I1643" i="7"/>
  <c r="I1645" i="7"/>
  <c r="I1647" i="7"/>
  <c r="I1649" i="7"/>
  <c r="I1651" i="7"/>
  <c r="J1651" i="7" s="1"/>
  <c r="I1653" i="7"/>
  <c r="I1655" i="7"/>
  <c r="N1701" i="7"/>
  <c r="I1701" i="7"/>
  <c r="M1701" i="7"/>
  <c r="H1701" i="7"/>
  <c r="P1701" i="7"/>
  <c r="L1701" i="7"/>
  <c r="N1703" i="7"/>
  <c r="I1703" i="7"/>
  <c r="M1703" i="7"/>
  <c r="H1703" i="7"/>
  <c r="P1703" i="7"/>
  <c r="L1703" i="7"/>
  <c r="N1705" i="7"/>
  <c r="I1705" i="7"/>
  <c r="M1705" i="7"/>
  <c r="H1705" i="7"/>
  <c r="P1705" i="7"/>
  <c r="L1705" i="7"/>
  <c r="N1707" i="7"/>
  <c r="I1707" i="7"/>
  <c r="M1707" i="7"/>
  <c r="H1707" i="7"/>
  <c r="P1707" i="7"/>
  <c r="L1707" i="7"/>
  <c r="N1709" i="7"/>
  <c r="I1709" i="7"/>
  <c r="M1709" i="7"/>
  <c r="H1709" i="7"/>
  <c r="P1709" i="7"/>
  <c r="L1709" i="7"/>
  <c r="N1711" i="7"/>
  <c r="I1711" i="7"/>
  <c r="M1711" i="7"/>
  <c r="H1711" i="7"/>
  <c r="P1711" i="7"/>
  <c r="L1711" i="7"/>
  <c r="N1726" i="7"/>
  <c r="I1726" i="7"/>
  <c r="M1726" i="7"/>
  <c r="H1726" i="7"/>
  <c r="P1726" i="7"/>
  <c r="L1726" i="7"/>
  <c r="N1730" i="7"/>
  <c r="I1730" i="7"/>
  <c r="M1730" i="7"/>
  <c r="H1730" i="7"/>
  <c r="P1730" i="7"/>
  <c r="L1730" i="7"/>
  <c r="N1734" i="7"/>
  <c r="I1734" i="7"/>
  <c r="M1734" i="7"/>
  <c r="H1734" i="7"/>
  <c r="P1734" i="7"/>
  <c r="L1734" i="7"/>
  <c r="I1700" i="7"/>
  <c r="N1700" i="7"/>
  <c r="I1702" i="7"/>
  <c r="J1702" i="7" s="1"/>
  <c r="N1702" i="7"/>
  <c r="I1704" i="7"/>
  <c r="J1704" i="7" s="1"/>
  <c r="N1704" i="7"/>
  <c r="I1706" i="7"/>
  <c r="N1706" i="7"/>
  <c r="I1708" i="7"/>
  <c r="N1708" i="7"/>
  <c r="I1710" i="7"/>
  <c r="N1710" i="7"/>
  <c r="H1715" i="7"/>
  <c r="M1715" i="7"/>
  <c r="H1717" i="7"/>
  <c r="M1717" i="7"/>
  <c r="H1719" i="7"/>
  <c r="M1719" i="7"/>
  <c r="O1720" i="7"/>
  <c r="H1721" i="7"/>
  <c r="M1721" i="7"/>
  <c r="O1722" i="7"/>
  <c r="I1725" i="7"/>
  <c r="N1725" i="7"/>
  <c r="I1727" i="7"/>
  <c r="N1727" i="7"/>
  <c r="I1729" i="7"/>
  <c r="N1729" i="7"/>
  <c r="I1731" i="7"/>
  <c r="N1731" i="7"/>
  <c r="I1733" i="7"/>
  <c r="J1733" i="7" s="1"/>
  <c r="N1733" i="7"/>
  <c r="N1735" i="7"/>
  <c r="O1739" i="7"/>
  <c r="H1740" i="7"/>
  <c r="N1740" i="7"/>
  <c r="I1741" i="7"/>
  <c r="O1741" i="7"/>
  <c r="I1743" i="7"/>
  <c r="O1743" i="7"/>
  <c r="I1745" i="7"/>
  <c r="O1745" i="7"/>
  <c r="I1747" i="7"/>
  <c r="O1747" i="7"/>
  <c r="I1749" i="7"/>
  <c r="O1749" i="7"/>
  <c r="I1751" i="7"/>
  <c r="O1751" i="7"/>
  <c r="I1753" i="7"/>
  <c r="O1753" i="7"/>
  <c r="I1755" i="7"/>
  <c r="O1755" i="7"/>
  <c r="P1758" i="7"/>
  <c r="L1758" i="7"/>
  <c r="N1759" i="7"/>
  <c r="I1759" i="7"/>
  <c r="J1759" i="7" s="1"/>
  <c r="L1759" i="7"/>
  <c r="P1760" i="7"/>
  <c r="L1760" i="7"/>
  <c r="N1761" i="7"/>
  <c r="I1761" i="7"/>
  <c r="L1761" i="7"/>
  <c r="P1762" i="7"/>
  <c r="L1762" i="7"/>
  <c r="N1763" i="7"/>
  <c r="I1763" i="7"/>
  <c r="L1763" i="7"/>
  <c r="P1764" i="7"/>
  <c r="L1764" i="7"/>
  <c r="I1768" i="7"/>
  <c r="O1768" i="7"/>
  <c r="I1770" i="7"/>
  <c r="O1770" i="7"/>
  <c r="O1700" i="7"/>
  <c r="O1702" i="7"/>
  <c r="O1704" i="7"/>
  <c r="O1706" i="7"/>
  <c r="O1708" i="7"/>
  <c r="O1710" i="7"/>
  <c r="I1715" i="7"/>
  <c r="N1715" i="7"/>
  <c r="I1717" i="7"/>
  <c r="N1717" i="7"/>
  <c r="I1719" i="7"/>
  <c r="N1719" i="7"/>
  <c r="L1720" i="7"/>
  <c r="I1721" i="7"/>
  <c r="N1721" i="7"/>
  <c r="L1722" i="7"/>
  <c r="L1739" i="7"/>
  <c r="I1740" i="7"/>
  <c r="P1740" i="7"/>
  <c r="J1754" i="7"/>
  <c r="M1758" i="7"/>
  <c r="M1759" i="7"/>
  <c r="M1760" i="7"/>
  <c r="M1761" i="7"/>
  <c r="M1762" i="7"/>
  <c r="M1763" i="7"/>
  <c r="M1764" i="7"/>
  <c r="J1779" i="7"/>
  <c r="J1783" i="7"/>
  <c r="L1700" i="7"/>
  <c r="L1702" i="7"/>
  <c r="L1704" i="7"/>
  <c r="L1706" i="7"/>
  <c r="L1708" i="7"/>
  <c r="L1710" i="7"/>
  <c r="L1740" i="7"/>
  <c r="M1741" i="7"/>
  <c r="H1741" i="7"/>
  <c r="L1741" i="7"/>
  <c r="M1743" i="7"/>
  <c r="H1743" i="7"/>
  <c r="L1743" i="7"/>
  <c r="M1745" i="7"/>
  <c r="H1745" i="7"/>
  <c r="L1745" i="7"/>
  <c r="M1747" i="7"/>
  <c r="H1747" i="7"/>
  <c r="L1747" i="7"/>
  <c r="M1749" i="7"/>
  <c r="H1749" i="7"/>
  <c r="L1749" i="7"/>
  <c r="M1751" i="7"/>
  <c r="H1751" i="7"/>
  <c r="L1751" i="7"/>
  <c r="M1753" i="7"/>
  <c r="H1753" i="7"/>
  <c r="L1753" i="7"/>
  <c r="M1755" i="7"/>
  <c r="H1755" i="7"/>
  <c r="L1755" i="7"/>
  <c r="M1768" i="7"/>
  <c r="H1768" i="7"/>
  <c r="L1768" i="7"/>
  <c r="M1770" i="7"/>
  <c r="H1770" i="7"/>
  <c r="L1770" i="7"/>
  <c r="N1772" i="7"/>
  <c r="I1772" i="7"/>
  <c r="M1772" i="7"/>
  <c r="H1772" i="7"/>
  <c r="P1772" i="7"/>
  <c r="L1772" i="7"/>
  <c r="N1774" i="7"/>
  <c r="I1774" i="7"/>
  <c r="M1774" i="7"/>
  <c r="H1774" i="7"/>
  <c r="P1774" i="7"/>
  <c r="L1774" i="7"/>
  <c r="N1776" i="7"/>
  <c r="I1776" i="7"/>
  <c r="M1776" i="7"/>
  <c r="H1776" i="7"/>
  <c r="P1776" i="7"/>
  <c r="L1776" i="7"/>
  <c r="N1778" i="7"/>
  <c r="I1778" i="7"/>
  <c r="M1778" i="7"/>
  <c r="H1778" i="7"/>
  <c r="P1778" i="7"/>
  <c r="L1778" i="7"/>
  <c r="N1780" i="7"/>
  <c r="I1780" i="7"/>
  <c r="M1780" i="7"/>
  <c r="H1780" i="7"/>
  <c r="P1780" i="7"/>
  <c r="L1780" i="7"/>
  <c r="N1782" i="7"/>
  <c r="I1782" i="7"/>
  <c r="M1782" i="7"/>
  <c r="H1782" i="7"/>
  <c r="P1782" i="7"/>
  <c r="L1782" i="7"/>
  <c r="N1784" i="7"/>
  <c r="I1784" i="7"/>
  <c r="M1784" i="7"/>
  <c r="H1784" i="7"/>
  <c r="P1784" i="7"/>
  <c r="L1784" i="7"/>
  <c r="H1786" i="7"/>
  <c r="J1786" i="7" s="1"/>
  <c r="H1790" i="7"/>
  <c r="J1790" i="7" s="1"/>
  <c r="H1794" i="7"/>
  <c r="J1794" i="7" s="1"/>
  <c r="H1798" i="7"/>
  <c r="J1798" i="7" s="1"/>
  <c r="H1802" i="7"/>
  <c r="J1802" i="7" s="1"/>
  <c r="H1806" i="7"/>
  <c r="J1806" i="7" s="1"/>
  <c r="H1810" i="7"/>
  <c r="J1810" i="7" s="1"/>
  <c r="H1814" i="7"/>
  <c r="J1814" i="7" s="1"/>
  <c r="H1818" i="7"/>
  <c r="J1818" i="7" s="1"/>
  <c r="H1822" i="7"/>
  <c r="J1822" i="7" s="1"/>
  <c r="H1826" i="7"/>
  <c r="J1826" i="7" s="1"/>
  <c r="H1830" i="7"/>
  <c r="J1830" i="7" s="1"/>
  <c r="H1834" i="7"/>
  <c r="J1834" i="7" s="1"/>
  <c r="J1872" i="7"/>
  <c r="I1874" i="7"/>
  <c r="H1874" i="7"/>
  <c r="J1880" i="7"/>
  <c r="H1787" i="7"/>
  <c r="J1787" i="7" s="1"/>
  <c r="H1791" i="7"/>
  <c r="J1791" i="7" s="1"/>
  <c r="H1795" i="7"/>
  <c r="J1795" i="7" s="1"/>
  <c r="H1799" i="7"/>
  <c r="J1799" i="7" s="1"/>
  <c r="H1803" i="7"/>
  <c r="J1803" i="7" s="1"/>
  <c r="H1807" i="7"/>
  <c r="J1807" i="7" s="1"/>
  <c r="H1811" i="7"/>
  <c r="J1811" i="7" s="1"/>
  <c r="H1815" i="7"/>
  <c r="J1815" i="7" s="1"/>
  <c r="H1819" i="7"/>
  <c r="J1819" i="7" s="1"/>
  <c r="H1823" i="7"/>
  <c r="J1823" i="7" s="1"/>
  <c r="H1827" i="7"/>
  <c r="J1827" i="7" s="1"/>
  <c r="H1831" i="7"/>
  <c r="J1831" i="7" s="1"/>
  <c r="H1835" i="7"/>
  <c r="J1835" i="7" s="1"/>
  <c r="H1839" i="7"/>
  <c r="J1839" i="7" s="1"/>
  <c r="H1849" i="7"/>
  <c r="J1849" i="7" s="1"/>
  <c r="I1850" i="7"/>
  <c r="J1850" i="7" s="1"/>
  <c r="H1851" i="7"/>
  <c r="J1851" i="7" s="1"/>
  <c r="H1865" i="7"/>
  <c r="J1865" i="7" s="1"/>
  <c r="I1866" i="7"/>
  <c r="J1866" i="7" s="1"/>
  <c r="H1867" i="7"/>
  <c r="J1867" i="7" s="1"/>
  <c r="I1875" i="7"/>
  <c r="J1875" i="7" s="1"/>
  <c r="J1899" i="7"/>
  <c r="H1853" i="7"/>
  <c r="J1853" i="7" s="1"/>
  <c r="I1854" i="7"/>
  <c r="J1854" i="7" s="1"/>
  <c r="H1869" i="7"/>
  <c r="J1869" i="7" s="1"/>
  <c r="I1870" i="7"/>
  <c r="J1870" i="7" s="1"/>
  <c r="I1878" i="7"/>
  <c r="H1878" i="7"/>
  <c r="I2036" i="7"/>
  <c r="H2036" i="7"/>
  <c r="I2052" i="7"/>
  <c r="H2052" i="7"/>
  <c r="I2068" i="7"/>
  <c r="H2068" i="7"/>
  <c r="I2085" i="7"/>
  <c r="H2085" i="7"/>
  <c r="I2101" i="7"/>
  <c r="H2101" i="7"/>
  <c r="I2117" i="7"/>
  <c r="H2117" i="7"/>
  <c r="H2146" i="7"/>
  <c r="I2146" i="7"/>
  <c r="H1882" i="7"/>
  <c r="J1882" i="7" s="1"/>
  <c r="H1886" i="7"/>
  <c r="J1886" i="7" s="1"/>
  <c r="H1890" i="7"/>
  <c r="J1890" i="7" s="1"/>
  <c r="H1894" i="7"/>
  <c r="J1894" i="7" s="1"/>
  <c r="H1898" i="7"/>
  <c r="J1898" i="7" s="1"/>
  <c r="H1902" i="7"/>
  <c r="J1902" i="7" s="1"/>
  <c r="H1906" i="7"/>
  <c r="J1906" i="7" s="1"/>
  <c r="H1910" i="7"/>
  <c r="J1910" i="7" s="1"/>
  <c r="H1914" i="7"/>
  <c r="J1914" i="7" s="1"/>
  <c r="H1918" i="7"/>
  <c r="J1918" i="7" s="1"/>
  <c r="H1922" i="7"/>
  <c r="J1922" i="7" s="1"/>
  <c r="H1926" i="7"/>
  <c r="J1926" i="7" s="1"/>
  <c r="H1930" i="7"/>
  <c r="J1930" i="7" s="1"/>
  <c r="H1934" i="7"/>
  <c r="J1934" i="7" s="1"/>
  <c r="H1938" i="7"/>
  <c r="J1938" i="7" s="1"/>
  <c r="H1942" i="7"/>
  <c r="J1942" i="7" s="1"/>
  <c r="H1946" i="7"/>
  <c r="J1946" i="7" s="1"/>
  <c r="H1950" i="7"/>
  <c r="J1950" i="7" s="1"/>
  <c r="H1954" i="7"/>
  <c r="J1954" i="7" s="1"/>
  <c r="H1958" i="7"/>
  <c r="J1958" i="7" s="1"/>
  <c r="H1962" i="7"/>
  <c r="J1962" i="7" s="1"/>
  <c r="H1966" i="7"/>
  <c r="J1966" i="7" s="1"/>
  <c r="H1970" i="7"/>
  <c r="J1970" i="7" s="1"/>
  <c r="H1974" i="7"/>
  <c r="J1974" i="7" s="1"/>
  <c r="H1978" i="7"/>
  <c r="J1978" i="7" s="1"/>
  <c r="H1982" i="7"/>
  <c r="J1982" i="7" s="1"/>
  <c r="H1986" i="7"/>
  <c r="J1986" i="7" s="1"/>
  <c r="H1990" i="7"/>
  <c r="J1990" i="7" s="1"/>
  <c r="H1994" i="7"/>
  <c r="J1994" i="7" s="1"/>
  <c r="H1998" i="7"/>
  <c r="J1998" i="7" s="1"/>
  <c r="H2002" i="7"/>
  <c r="J2002" i="7" s="1"/>
  <c r="H2006" i="7"/>
  <c r="J2006" i="7" s="1"/>
  <c r="H2010" i="7"/>
  <c r="J2010" i="7" s="1"/>
  <c r="H2014" i="7"/>
  <c r="J2014" i="7" s="1"/>
  <c r="H2018" i="7"/>
  <c r="J2018" i="7" s="1"/>
  <c r="H2022" i="7"/>
  <c r="J2022" i="7" s="1"/>
  <c r="H2026" i="7"/>
  <c r="J2026" i="7" s="1"/>
  <c r="I2032" i="7"/>
  <c r="H2032" i="7"/>
  <c r="I2037" i="7"/>
  <c r="J2037" i="7" s="1"/>
  <c r="J2043" i="7"/>
  <c r="I2048" i="7"/>
  <c r="H2048" i="7"/>
  <c r="I2053" i="7"/>
  <c r="J2053" i="7" s="1"/>
  <c r="J2058" i="7"/>
  <c r="I2064" i="7"/>
  <c r="H2064" i="7"/>
  <c r="I2069" i="7"/>
  <c r="J2069" i="7" s="1"/>
  <c r="J2074" i="7"/>
  <c r="I2089" i="7"/>
  <c r="H2089" i="7"/>
  <c r="I2105" i="7"/>
  <c r="H2105" i="7"/>
  <c r="I2121" i="7"/>
  <c r="H2121" i="7"/>
  <c r="H2130" i="7"/>
  <c r="I2130" i="7"/>
  <c r="I2161" i="7"/>
  <c r="H2161" i="7"/>
  <c r="I2163" i="7"/>
  <c r="H2163" i="7"/>
  <c r="I2182" i="7"/>
  <c r="H2182" i="7"/>
  <c r="H1923" i="7"/>
  <c r="J1923" i="7" s="1"/>
  <c r="H1927" i="7"/>
  <c r="J1927" i="7" s="1"/>
  <c r="H1931" i="7"/>
  <c r="J1931" i="7" s="1"/>
  <c r="H1935" i="7"/>
  <c r="J1935" i="7" s="1"/>
  <c r="H1939" i="7"/>
  <c r="J1939" i="7" s="1"/>
  <c r="H1943" i="7"/>
  <c r="J1943" i="7" s="1"/>
  <c r="H1947" i="7"/>
  <c r="J1947" i="7" s="1"/>
  <c r="H1951" i="7"/>
  <c r="J1951" i="7" s="1"/>
  <c r="H1955" i="7"/>
  <c r="J1955" i="7" s="1"/>
  <c r="H1959" i="7"/>
  <c r="J1959" i="7" s="1"/>
  <c r="H1963" i="7"/>
  <c r="J1963" i="7" s="1"/>
  <c r="H1967" i="7"/>
  <c r="J1967" i="7" s="1"/>
  <c r="H1971" i="7"/>
  <c r="J1971" i="7" s="1"/>
  <c r="H1975" i="7"/>
  <c r="J1975" i="7" s="1"/>
  <c r="H1979" i="7"/>
  <c r="J1979" i="7" s="1"/>
  <c r="H1983" i="7"/>
  <c r="J1983" i="7" s="1"/>
  <c r="H1987" i="7"/>
  <c r="J1987" i="7" s="1"/>
  <c r="H1991" i="7"/>
  <c r="J1991" i="7" s="1"/>
  <c r="H1995" i="7"/>
  <c r="J1995" i="7" s="1"/>
  <c r="H1999" i="7"/>
  <c r="J1999" i="7" s="1"/>
  <c r="H2003" i="7"/>
  <c r="J2003" i="7" s="1"/>
  <c r="H2007" i="7"/>
  <c r="J2007" i="7" s="1"/>
  <c r="H2011" i="7"/>
  <c r="J2011" i="7" s="1"/>
  <c r="H2015" i="7"/>
  <c r="J2015" i="7" s="1"/>
  <c r="H2019" i="7"/>
  <c r="J2019" i="7" s="1"/>
  <c r="H2023" i="7"/>
  <c r="J2023" i="7" s="1"/>
  <c r="H2028" i="7"/>
  <c r="J2028" i="7" s="1"/>
  <c r="I2029" i="7"/>
  <c r="J2029" i="7" s="1"/>
  <c r="H2030" i="7"/>
  <c r="J2030" i="7" s="1"/>
  <c r="I2033" i="7"/>
  <c r="J2033" i="7" s="1"/>
  <c r="I2044" i="7"/>
  <c r="H2044" i="7"/>
  <c r="I2049" i="7"/>
  <c r="J2049" i="7" s="1"/>
  <c r="I2060" i="7"/>
  <c r="H2060" i="7"/>
  <c r="I2065" i="7"/>
  <c r="J2065" i="7" s="1"/>
  <c r="I2076" i="7"/>
  <c r="H2076" i="7"/>
  <c r="I2093" i="7"/>
  <c r="H2093" i="7"/>
  <c r="I2109" i="7"/>
  <c r="H2109" i="7"/>
  <c r="I2125" i="7"/>
  <c r="H2125" i="7"/>
  <c r="I2145" i="7"/>
  <c r="H2145" i="7"/>
  <c r="I2147" i="7"/>
  <c r="H2147" i="7"/>
  <c r="J2155" i="7"/>
  <c r="I2040" i="7"/>
  <c r="H2040" i="7"/>
  <c r="I2056" i="7"/>
  <c r="H2056" i="7"/>
  <c r="I2072" i="7"/>
  <c r="H2072" i="7"/>
  <c r="I2081" i="7"/>
  <c r="H2081" i="7"/>
  <c r="I2097" i="7"/>
  <c r="H2097" i="7"/>
  <c r="I2113" i="7"/>
  <c r="H2113" i="7"/>
  <c r="I2129" i="7"/>
  <c r="H2129" i="7"/>
  <c r="I2131" i="7"/>
  <c r="H2131" i="7"/>
  <c r="H2162" i="7"/>
  <c r="I2162" i="7"/>
  <c r="I2190" i="7"/>
  <c r="H2190" i="7"/>
  <c r="I2198" i="7"/>
  <c r="H2198" i="7"/>
  <c r="I2206" i="7"/>
  <c r="H2206" i="7"/>
  <c r="I2214" i="7"/>
  <c r="H2214" i="7"/>
  <c r="I2222" i="7"/>
  <c r="H2222" i="7"/>
  <c r="I2230" i="7"/>
  <c r="H2230" i="7"/>
  <c r="H2080" i="7"/>
  <c r="J2080" i="7" s="1"/>
  <c r="H2084" i="7"/>
  <c r="J2084" i="7" s="1"/>
  <c r="H2088" i="7"/>
  <c r="J2088" i="7" s="1"/>
  <c r="H2092" i="7"/>
  <c r="J2092" i="7" s="1"/>
  <c r="H2096" i="7"/>
  <c r="J2096" i="7" s="1"/>
  <c r="H2100" i="7"/>
  <c r="J2100" i="7" s="1"/>
  <c r="H2104" i="7"/>
  <c r="J2104" i="7" s="1"/>
  <c r="H2108" i="7"/>
  <c r="J2108" i="7" s="1"/>
  <c r="H2112" i="7"/>
  <c r="J2112" i="7" s="1"/>
  <c r="H2116" i="7"/>
  <c r="J2116" i="7" s="1"/>
  <c r="H2120" i="7"/>
  <c r="J2120" i="7" s="1"/>
  <c r="H2124" i="7"/>
  <c r="J2124" i="7" s="1"/>
  <c r="H2128" i="7"/>
  <c r="J2128" i="7" s="1"/>
  <c r="J2136" i="7"/>
  <c r="H2141" i="7"/>
  <c r="J2141" i="7" s="1"/>
  <c r="I2142" i="7"/>
  <c r="J2142" i="7" s="1"/>
  <c r="H2143" i="7"/>
  <c r="J2143" i="7" s="1"/>
  <c r="H2157" i="7"/>
  <c r="J2157" i="7" s="1"/>
  <c r="I2158" i="7"/>
  <c r="J2158" i="7" s="1"/>
  <c r="H2159" i="7"/>
  <c r="J2159" i="7" s="1"/>
  <c r="H2173" i="7"/>
  <c r="J2173" i="7" s="1"/>
  <c r="I2174" i="7"/>
  <c r="J2174" i="7" s="1"/>
  <c r="I2175" i="7"/>
  <c r="J2175" i="7" s="1"/>
  <c r="I2183" i="7"/>
  <c r="J2183" i="7" s="1"/>
  <c r="J2189" i="7"/>
  <c r="I2191" i="7"/>
  <c r="J2191" i="7" s="1"/>
  <c r="I2199" i="7"/>
  <c r="J2199" i="7" s="1"/>
  <c r="I2207" i="7"/>
  <c r="J2207" i="7" s="1"/>
  <c r="J2213" i="7"/>
  <c r="I2215" i="7"/>
  <c r="J2215" i="7" s="1"/>
  <c r="I2223" i="7"/>
  <c r="J2223" i="7" s="1"/>
  <c r="J2231" i="7"/>
  <c r="I2234" i="7"/>
  <c r="H2234" i="7"/>
  <c r="I2178" i="7"/>
  <c r="H2178" i="7"/>
  <c r="I2186" i="7"/>
  <c r="H2186" i="7"/>
  <c r="I2194" i="7"/>
  <c r="H2194" i="7"/>
  <c r="I2202" i="7"/>
  <c r="H2202" i="7"/>
  <c r="I2210" i="7"/>
  <c r="H2210" i="7"/>
  <c r="J2216" i="7"/>
  <c r="I2218" i="7"/>
  <c r="H2218" i="7"/>
  <c r="I2226" i="7"/>
  <c r="H2226" i="7"/>
  <c r="J1508" i="7" l="1"/>
  <c r="J1484" i="7"/>
  <c r="J1500" i="7"/>
  <c r="J1436" i="7"/>
  <c r="J443" i="7"/>
  <c r="J2009" i="7"/>
  <c r="J2176" i="7"/>
  <c r="J616" i="7"/>
  <c r="J557" i="7"/>
  <c r="M589" i="7"/>
  <c r="G58" i="7" s="1"/>
  <c r="J1473" i="7"/>
  <c r="J1544" i="7"/>
  <c r="J592" i="7"/>
  <c r="J1692" i="7"/>
  <c r="J892" i="7"/>
  <c r="J1426" i="7"/>
  <c r="J1275" i="7"/>
  <c r="J866" i="7"/>
  <c r="J854" i="7"/>
  <c r="J842" i="7"/>
  <c r="J406" i="7"/>
  <c r="J367" i="7"/>
  <c r="J1465" i="7"/>
  <c r="J513" i="7"/>
  <c r="J388" i="7"/>
  <c r="J1442" i="7"/>
  <c r="J1503" i="7"/>
  <c r="J1352" i="7"/>
  <c r="J973" i="7"/>
  <c r="J384" i="7"/>
  <c r="J1725" i="7"/>
  <c r="J1109" i="7"/>
  <c r="J827" i="7"/>
  <c r="J803" i="7"/>
  <c r="J929" i="7"/>
  <c r="J1480" i="7"/>
  <c r="J1116" i="7"/>
  <c r="J556" i="7"/>
  <c r="J511" i="7"/>
  <c r="J398" i="7"/>
  <c r="J359" i="7"/>
  <c r="J1180" i="7"/>
  <c r="J824" i="7"/>
  <c r="J792" i="7"/>
  <c r="J699" i="7"/>
  <c r="J403" i="7"/>
  <c r="J1071" i="7"/>
  <c r="J660" i="7"/>
  <c r="J934" i="7"/>
  <c r="J816" i="7"/>
  <c r="J620" i="7"/>
  <c r="J996" i="7"/>
  <c r="J875" i="7"/>
  <c r="J507" i="7"/>
  <c r="J460" i="7"/>
  <c r="J375" i="7"/>
  <c r="J351" i="7"/>
  <c r="J1153" i="7"/>
  <c r="J1262" i="7"/>
  <c r="J1159" i="7"/>
  <c r="J1038" i="7"/>
  <c r="J899" i="7"/>
  <c r="J446" i="7"/>
  <c r="J719" i="7"/>
  <c r="J587" i="7"/>
  <c r="J489" i="7"/>
  <c r="J1727" i="7"/>
  <c r="J1486" i="7"/>
  <c r="J1400" i="7"/>
  <c r="J1079" i="7"/>
  <c r="J554" i="7"/>
  <c r="J777" i="7"/>
  <c r="J473" i="7"/>
  <c r="J386" i="7"/>
  <c r="J2208" i="7"/>
  <c r="J543" i="7"/>
  <c r="J720" i="7"/>
  <c r="J681" i="7"/>
  <c r="J1952" i="7"/>
  <c r="J1876" i="7"/>
  <c r="J687" i="7"/>
  <c r="J1571" i="7"/>
  <c r="J808" i="7"/>
  <c r="J1313" i="7"/>
  <c r="J1251" i="7"/>
  <c r="J1247" i="7"/>
  <c r="J1161" i="7"/>
  <c r="J1149" i="7"/>
  <c r="J1575" i="7"/>
  <c r="J1188" i="7"/>
  <c r="J804" i="7"/>
  <c r="J1579" i="7"/>
  <c r="J1269" i="7"/>
  <c r="J1047" i="7"/>
  <c r="J577" i="7"/>
  <c r="J1720" i="7"/>
  <c r="J1329" i="7"/>
  <c r="J966" i="7"/>
  <c r="J657" i="7"/>
  <c r="J632" i="7"/>
  <c r="J448" i="7"/>
  <c r="J506" i="7"/>
  <c r="J1096" i="7"/>
  <c r="J1069" i="7"/>
  <c r="J1045" i="7"/>
  <c r="J1694" i="7"/>
  <c r="J1686" i="7"/>
  <c r="J1678" i="7"/>
  <c r="J1670" i="7"/>
  <c r="J1662" i="7"/>
  <c r="J1273" i="7"/>
  <c r="J505" i="7"/>
  <c r="J1243" i="7"/>
  <c r="J1010" i="7"/>
  <c r="J986" i="7"/>
  <c r="J1328" i="7"/>
  <c r="J953" i="7"/>
  <c r="J466" i="7"/>
  <c r="J1346" i="7"/>
  <c r="J424" i="7"/>
  <c r="J1163" i="7"/>
  <c r="J1239" i="7"/>
  <c r="J501" i="7"/>
  <c r="J1706" i="7"/>
  <c r="J1700" i="7"/>
  <c r="J1467" i="7"/>
  <c r="J1356" i="7"/>
  <c r="J1350" i="7"/>
  <c r="J1332" i="7"/>
  <c r="J1277" i="7"/>
  <c r="J1253" i="7"/>
  <c r="J1128" i="7"/>
  <c r="J801" i="7"/>
  <c r="J877" i="7"/>
  <c r="J713" i="7"/>
  <c r="J1496" i="7"/>
  <c r="J1309" i="7"/>
  <c r="J1287" i="7"/>
  <c r="J479" i="7"/>
  <c r="AK1368" i="2"/>
  <c r="AL1368" i="2" s="1"/>
  <c r="J671" i="7"/>
  <c r="J1552" i="7"/>
  <c r="J1773" i="7"/>
  <c r="J1722" i="7"/>
  <c r="J1672" i="7"/>
  <c r="J1684" i="7"/>
  <c r="J1680" i="7"/>
  <c r="J2042" i="7"/>
  <c r="J1682" i="7"/>
  <c r="J1666" i="7"/>
  <c r="J1267" i="7"/>
  <c r="J1020" i="7"/>
  <c r="J736" i="7"/>
  <c r="J664" i="7"/>
  <c r="J481" i="7"/>
  <c r="J642" i="7"/>
  <c r="J563" i="7"/>
  <c r="J539" i="7"/>
  <c r="J415" i="7"/>
  <c r="J665" i="7"/>
  <c r="J1000" i="7"/>
  <c r="J979" i="7"/>
  <c r="J823" i="7"/>
  <c r="J799" i="7"/>
  <c r="J542" i="7"/>
  <c r="J509" i="7"/>
  <c r="J1123" i="7"/>
  <c r="J1058" i="7"/>
  <c r="J1046" i="7"/>
  <c r="J800" i="7"/>
  <c r="J614" i="7"/>
  <c r="J561" i="7"/>
  <c r="J1936" i="7"/>
  <c r="J703" i="7"/>
  <c r="J440" i="7"/>
  <c r="J350" i="7"/>
  <c r="J809" i="7"/>
  <c r="J552" i="7"/>
  <c r="J524" i="7"/>
  <c r="J1282" i="7"/>
  <c r="J411" i="7"/>
  <c r="J1259" i="7"/>
  <c r="J1104" i="7"/>
  <c r="J1028" i="7"/>
  <c r="J992" i="7"/>
  <c r="J593" i="7"/>
  <c r="J589" i="7" s="1"/>
  <c r="J562" i="7"/>
  <c r="J441" i="7"/>
  <c r="J495" i="7"/>
  <c r="J477" i="7"/>
  <c r="J1714" i="7"/>
  <c r="J1638" i="7"/>
  <c r="J1062" i="7"/>
  <c r="J714" i="7"/>
  <c r="J901" i="7"/>
  <c r="J1334" i="7"/>
  <c r="J1059" i="7"/>
  <c r="J829" i="7"/>
  <c r="J860" i="7"/>
  <c r="J836" i="7"/>
  <c r="J608" i="7"/>
  <c r="J549" i="7"/>
  <c r="J362" i="7"/>
  <c r="J2168" i="7"/>
  <c r="J2200" i="7"/>
  <c r="J1157" i="7"/>
  <c r="J1781" i="7"/>
  <c r="J1864" i="7"/>
  <c r="J1746" i="7"/>
  <c r="J1365" i="7"/>
  <c r="J1752" i="7"/>
  <c r="J2164" i="7"/>
  <c r="J2134" i="7"/>
  <c r="J2122" i="7"/>
  <c r="J2110" i="7"/>
  <c r="J2098" i="7"/>
  <c r="J2086" i="7"/>
  <c r="J2057" i="7"/>
  <c r="J2041" i="7"/>
  <c r="J1856" i="7"/>
  <c r="J1750" i="7"/>
  <c r="J1548" i="7"/>
  <c r="J612" i="7"/>
  <c r="J1127" i="7"/>
  <c r="J1470" i="7"/>
  <c r="J697" i="7"/>
  <c r="J1375" i="7"/>
  <c r="J1030" i="7"/>
  <c r="J1012" i="7"/>
  <c r="J1391" i="7"/>
  <c r="J1102" i="7"/>
  <c r="J977" i="7"/>
  <c r="J819" i="7"/>
  <c r="J795" i="7"/>
  <c r="J656" i="7"/>
  <c r="J575" i="7"/>
  <c r="J1760" i="7"/>
  <c r="J1742" i="7"/>
  <c r="AK1388" i="2"/>
  <c r="AL1388" i="2" s="1"/>
  <c r="AK1157" i="2"/>
  <c r="AL1157" i="2" s="1"/>
  <c r="M706" i="7"/>
  <c r="G81" i="7" s="1"/>
  <c r="J1438" i="7"/>
  <c r="J1006" i="7"/>
  <c r="J491" i="7"/>
  <c r="J487" i="7"/>
  <c r="J2099" i="7"/>
  <c r="J2087" i="7"/>
  <c r="P1713" i="7"/>
  <c r="J62" i="7" s="1"/>
  <c r="J1710" i="7"/>
  <c r="J1507" i="7"/>
  <c r="J1501" i="7"/>
  <c r="J1107" i="7"/>
  <c r="J426" i="7"/>
  <c r="J1233" i="7"/>
  <c r="J812" i="7"/>
  <c r="J651" i="7"/>
  <c r="J547" i="7"/>
  <c r="J1485" i="7"/>
  <c r="J372" i="7"/>
  <c r="J407" i="7"/>
  <c r="J1688" i="7"/>
  <c r="J1321" i="7"/>
  <c r="J1126" i="7"/>
  <c r="J1383" i="7"/>
  <c r="J1455" i="7"/>
  <c r="J1434" i="7"/>
  <c r="J1283" i="7"/>
  <c r="J1271" i="7"/>
  <c r="J1073" i="7"/>
  <c r="J1049" i="7"/>
  <c r="J468" i="7"/>
  <c r="AK1377" i="2"/>
  <c r="AL1377" i="2" s="1"/>
  <c r="J1716" i="7"/>
  <c r="J1416" i="7"/>
  <c r="J735" i="7"/>
  <c r="J442" i="7"/>
  <c r="J370" i="7"/>
  <c r="J354" i="7"/>
  <c r="J1361" i="7"/>
  <c r="J1676" i="7"/>
  <c r="J1729" i="7"/>
  <c r="J1708" i="7"/>
  <c r="J1502" i="7"/>
  <c r="J1509" i="7"/>
  <c r="J1364" i="7"/>
  <c r="O1152" i="7"/>
  <c r="I33" i="7" s="1"/>
  <c r="J833" i="7"/>
  <c r="J850" i="7"/>
  <c r="J600" i="7"/>
  <c r="J518" i="7"/>
  <c r="J430" i="7"/>
  <c r="J1220" i="7"/>
  <c r="J1176" i="7"/>
  <c r="J1141" i="7"/>
  <c r="J634" i="7"/>
  <c r="J622" i="7"/>
  <c r="J610" i="7"/>
  <c r="J718" i="7"/>
  <c r="J585" i="7"/>
  <c r="J567" i="7"/>
  <c r="J1070" i="7"/>
  <c r="J624" i="7"/>
  <c r="J551" i="7"/>
  <c r="J541" i="7"/>
  <c r="J348" i="7"/>
  <c r="J1892" i="7"/>
  <c r="P1738" i="7"/>
  <c r="G74" i="7" s="1"/>
  <c r="J1026" i="7"/>
  <c r="J1002" i="7"/>
  <c r="J971" i="7"/>
  <c r="J581" i="7"/>
  <c r="J911" i="7"/>
  <c r="J594" i="7"/>
  <c r="J1043" i="7"/>
  <c r="J422" i="7"/>
  <c r="J788" i="7"/>
  <c r="J630" i="7"/>
  <c r="J356" i="7"/>
  <c r="J1323" i="7"/>
  <c r="J1077" i="7"/>
  <c r="J1053" i="7"/>
  <c r="J643" i="7"/>
  <c r="J619" i="7"/>
  <c r="J533" i="7"/>
  <c r="O1511" i="7"/>
  <c r="J92" i="7" s="1"/>
  <c r="J1337" i="7"/>
  <c r="J1184" i="7"/>
  <c r="J716" i="7"/>
  <c r="J502" i="7"/>
  <c r="J397" i="7"/>
  <c r="J1285" i="7"/>
  <c r="J1261" i="7"/>
  <c r="J1087" i="7"/>
  <c r="J864" i="7"/>
  <c r="J840" i="7"/>
  <c r="J725" i="7"/>
  <c r="J661" i="7"/>
  <c r="J679" i="7"/>
  <c r="J2132" i="7"/>
  <c r="J2118" i="7"/>
  <c r="J2106" i="7"/>
  <c r="J2094" i="7"/>
  <c r="J1147" i="7"/>
  <c r="J1597" i="7"/>
  <c r="J1589" i="7"/>
  <c r="J1581" i="7"/>
  <c r="J1573" i="7"/>
  <c r="J1099" i="7"/>
  <c r="J641" i="7"/>
  <c r="J635" i="7"/>
  <c r="J629" i="7"/>
  <c r="J617" i="7"/>
  <c r="J611" i="7"/>
  <c r="J605" i="7"/>
  <c r="J531" i="7"/>
  <c r="J525" i="7"/>
  <c r="J519" i="7"/>
  <c r="J1345" i="7"/>
  <c r="J1129" i="7"/>
  <c r="J701" i="7"/>
  <c r="J1836" i="7"/>
  <c r="P1225" i="7"/>
  <c r="J60" i="7" s="1"/>
  <c r="J820" i="7"/>
  <c r="J1587" i="7"/>
  <c r="J1736" i="7"/>
  <c r="P1168" i="7"/>
  <c r="J68" i="7" s="1"/>
  <c r="M435" i="7"/>
  <c r="G20" i="7" s="1"/>
  <c r="N345" i="7"/>
  <c r="H49" i="7" s="1"/>
  <c r="J1748" i="7"/>
  <c r="J1628" i="7"/>
  <c r="M1475" i="7"/>
  <c r="H73" i="7" s="1"/>
  <c r="J947" i="7"/>
  <c r="O1326" i="7"/>
  <c r="I13" i="7" s="1"/>
  <c r="J888" i="7"/>
  <c r="J675" i="7"/>
  <c r="O1406" i="7"/>
  <c r="I34" i="7" s="1"/>
  <c r="J1668" i="7"/>
  <c r="J1660" i="7"/>
  <c r="J673" i="7"/>
  <c r="J1652" i="7"/>
  <c r="J695" i="7"/>
  <c r="J1769" i="7"/>
  <c r="J1719" i="7"/>
  <c r="J2115" i="7"/>
  <c r="J2103" i="7"/>
  <c r="J905" i="7"/>
  <c r="O1724" i="7"/>
  <c r="I70" i="7" s="1"/>
  <c r="J925" i="7"/>
  <c r="J884" i="7"/>
  <c r="J2214" i="7"/>
  <c r="J2036" i="7"/>
  <c r="J1541" i="7"/>
  <c r="J1119" i="7"/>
  <c r="J1528" i="7"/>
  <c r="J1288" i="7"/>
  <c r="J1264" i="7"/>
  <c r="J1693" i="7"/>
  <c r="J1685" i="7"/>
  <c r="J1677" i="7"/>
  <c r="J1669" i="7"/>
  <c r="J1661" i="7"/>
  <c r="J1561" i="7"/>
  <c r="J1553" i="7"/>
  <c r="J1545" i="7"/>
  <c r="J1533" i="7"/>
  <c r="J1029" i="7"/>
  <c r="J1005" i="7"/>
  <c r="J645" i="7"/>
  <c r="J633" i="7"/>
  <c r="J627" i="7"/>
  <c r="J621" i="7"/>
  <c r="J609" i="7"/>
  <c r="J603" i="7"/>
  <c r="J523" i="7"/>
  <c r="J517" i="7"/>
  <c r="J1139" i="7"/>
  <c r="J2198" i="7"/>
  <c r="J1763" i="7"/>
  <c r="J1618" i="7"/>
  <c r="J1610" i="7"/>
  <c r="J1476" i="7"/>
  <c r="J1387" i="7"/>
  <c r="J1315" i="7"/>
  <c r="J1293" i="7"/>
  <c r="J1024" i="7"/>
  <c r="J717" i="7"/>
  <c r="J548" i="7"/>
  <c r="J520" i="7"/>
  <c r="J1630" i="7"/>
  <c r="J1585" i="7"/>
  <c r="J890" i="7"/>
  <c r="J907" i="7"/>
  <c r="P917" i="7"/>
  <c r="J22" i="7" s="1"/>
  <c r="J685" i="7"/>
  <c r="M1035" i="7"/>
  <c r="G52" i="7" s="1"/>
  <c r="J1731" i="7"/>
  <c r="J1506" i="7"/>
  <c r="J1075" i="7"/>
  <c r="J1063" i="7"/>
  <c r="J956" i="7"/>
  <c r="J652" i="7"/>
  <c r="J558" i="7"/>
  <c r="P217" i="7"/>
  <c r="J38" i="7" s="1"/>
  <c r="J1944" i="7"/>
  <c r="J976" i="7"/>
  <c r="J537" i="7"/>
  <c r="J436" i="7"/>
  <c r="J358" i="7"/>
  <c r="J1429" i="7"/>
  <c r="J1409" i="7"/>
  <c r="J1371" i="7"/>
  <c r="J1428" i="7"/>
  <c r="J1422" i="7"/>
  <c r="J1205" i="7"/>
  <c r="J813" i="7"/>
  <c r="J789" i="7"/>
  <c r="J604" i="7"/>
  <c r="J522" i="7"/>
  <c r="J462" i="7"/>
  <c r="J1216" i="7"/>
  <c r="J1172" i="7"/>
  <c r="M500" i="7"/>
  <c r="G79" i="7" s="1"/>
  <c r="J401" i="7"/>
  <c r="J1143" i="7"/>
  <c r="M536" i="7"/>
  <c r="G42" i="7" s="1"/>
  <c r="J2097" i="7"/>
  <c r="J1358" i="7"/>
  <c r="J1299" i="7"/>
  <c r="J445" i="7"/>
  <c r="J781" i="7"/>
  <c r="J400" i="7"/>
  <c r="J390" i="7"/>
  <c r="J361" i="7"/>
  <c r="J1218" i="7"/>
  <c r="J1210" i="7"/>
  <c r="J1202" i="7"/>
  <c r="J1133" i="7"/>
  <c r="J978" i="7"/>
  <c r="M650" i="7"/>
  <c r="G66" i="7" s="1"/>
  <c r="N328" i="7"/>
  <c r="H40" i="7" s="1"/>
  <c r="M290" i="7"/>
  <c r="G8" i="7" s="1"/>
  <c r="M170" i="7"/>
  <c r="G5" i="7" s="1"/>
  <c r="J2117" i="7"/>
  <c r="J2068" i="7"/>
  <c r="J1715" i="7"/>
  <c r="J1734" i="7"/>
  <c r="J1726" i="7"/>
  <c r="J1647" i="7"/>
  <c r="J1635" i="7"/>
  <c r="J1588" i="7"/>
  <c r="J1488" i="7"/>
  <c r="J1478" i="7"/>
  <c r="J1379" i="7"/>
  <c r="J1430" i="7"/>
  <c r="J1255" i="7"/>
  <c r="J1245" i="7"/>
  <c r="J1032" i="7"/>
  <c r="J821" i="7"/>
  <c r="J862" i="7"/>
  <c r="J856" i="7"/>
  <c r="J838" i="7"/>
  <c r="J709" i="7"/>
  <c r="J658" i="7"/>
  <c r="J414" i="7"/>
  <c r="J2119" i="7"/>
  <c r="J2083" i="7"/>
  <c r="J2192" i="7"/>
  <c r="J2144" i="7"/>
  <c r="J1771" i="7"/>
  <c r="J1284" i="7"/>
  <c r="J669" i="7"/>
  <c r="J1761" i="7"/>
  <c r="J1505" i="7"/>
  <c r="J1203" i="7"/>
  <c r="J1281" i="7"/>
  <c r="J1257" i="7"/>
  <c r="J969" i="7"/>
  <c r="J941" i="7"/>
  <c r="J872" i="7"/>
  <c r="J848" i="7"/>
  <c r="J704" i="7"/>
  <c r="J680" i="7"/>
  <c r="J582" i="7"/>
  <c r="J503" i="7"/>
  <c r="J494" i="7"/>
  <c r="O420" i="7"/>
  <c r="I41" i="7" s="1"/>
  <c r="J2137" i="7"/>
  <c r="J2091" i="7"/>
  <c r="J1491" i="7"/>
  <c r="J1214" i="7"/>
  <c r="J1198" i="7"/>
  <c r="J913" i="7"/>
  <c r="J559" i="7"/>
  <c r="J826" i="7"/>
  <c r="J794" i="7"/>
  <c r="N1738" i="7"/>
  <c r="I74" i="7" s="1"/>
  <c r="J1698" i="7"/>
  <c r="J1463" i="7"/>
  <c r="J1457" i="7"/>
  <c r="J1424" i="7"/>
  <c r="J1279" i="7"/>
  <c r="J1083" i="7"/>
  <c r="N933" i="7"/>
  <c r="H59" i="7" s="1"/>
  <c r="J715" i="7"/>
  <c r="J532" i="7"/>
  <c r="N170" i="7"/>
  <c r="H5" i="7" s="1"/>
  <c r="J1357" i="7"/>
  <c r="J1182" i="7"/>
  <c r="J1042" i="7"/>
  <c r="J618" i="7"/>
  <c r="J737" i="7"/>
  <c r="O964" i="7"/>
  <c r="I83" i="7" s="1"/>
  <c r="J1494" i="7"/>
  <c r="J1303" i="7"/>
  <c r="J1291" i="7"/>
  <c r="J1211" i="7"/>
  <c r="J1146" i="7"/>
  <c r="J1014" i="7"/>
  <c r="J1008" i="7"/>
  <c r="J990" i="7"/>
  <c r="J1122" i="7"/>
  <c r="J1021" i="7"/>
  <c r="J997" i="7"/>
  <c r="J937" i="7"/>
  <c r="J811" i="7"/>
  <c r="J870" i="7"/>
  <c r="J846" i="7"/>
  <c r="J696" i="7"/>
  <c r="J672" i="7"/>
  <c r="J574" i="7"/>
  <c r="J470" i="7"/>
  <c r="J571" i="7"/>
  <c r="J475" i="7"/>
  <c r="J377" i="7"/>
  <c r="J353" i="7"/>
  <c r="N395" i="7"/>
  <c r="H9" i="7" s="1"/>
  <c r="J1347" i="7"/>
  <c r="J1252" i="7"/>
  <c r="J1208" i="7"/>
  <c r="J980" i="7"/>
  <c r="J1074" i="7"/>
  <c r="J810" i="7"/>
  <c r="J708" i="7"/>
  <c r="J1227" i="7"/>
  <c r="J1190" i="7"/>
  <c r="J444" i="7"/>
  <c r="J1492" i="7"/>
  <c r="J1471" i="7"/>
  <c r="J1417" i="7"/>
  <c r="J957" i="7"/>
  <c r="J951" i="7"/>
  <c r="J785" i="7"/>
  <c r="J769" i="7"/>
  <c r="J761" i="7"/>
  <c r="J757" i="7"/>
  <c r="J528" i="7"/>
  <c r="N217" i="7"/>
  <c r="H38" i="7" s="1"/>
  <c r="J655" i="7"/>
  <c r="J421" i="7"/>
  <c r="N668" i="7"/>
  <c r="H10" i="7" s="1"/>
  <c r="J693" i="7"/>
  <c r="J1336" i="7"/>
  <c r="J1307" i="7"/>
  <c r="J1295" i="7"/>
  <c r="J1219" i="7"/>
  <c r="J1195" i="7"/>
  <c r="J1065" i="7"/>
  <c r="J1041" i="7"/>
  <c r="J743" i="7"/>
  <c r="J688" i="7"/>
  <c r="J566" i="7"/>
  <c r="J540" i="7"/>
  <c r="J579" i="7"/>
  <c r="J573" i="7"/>
  <c r="J485" i="7"/>
  <c r="J408" i="7"/>
  <c r="J369" i="7"/>
  <c r="J1355" i="7"/>
  <c r="J940" i="7"/>
  <c r="J882" i="7"/>
  <c r="J469" i="7"/>
  <c r="J1489" i="7"/>
  <c r="J376" i="7"/>
  <c r="O1713" i="7"/>
  <c r="I62" i="7" s="1"/>
  <c r="J1598" i="7"/>
  <c r="J1586" i="7"/>
  <c r="J1574" i="7"/>
  <c r="J1403" i="7"/>
  <c r="J924" i="7"/>
  <c r="J2025" i="7"/>
  <c r="J2217" i="7"/>
  <c r="J1945" i="7"/>
  <c r="J1613" i="7"/>
  <c r="J931" i="7"/>
  <c r="J814" i="7"/>
  <c r="J790" i="7"/>
  <c r="J352" i="7"/>
  <c r="J1655" i="7"/>
  <c r="J1643" i="7"/>
  <c r="J1631" i="7"/>
  <c r="J1596" i="7"/>
  <c r="J1572" i="7"/>
  <c r="J1433" i="7"/>
  <c r="J1401" i="7"/>
  <c r="J1413" i="7"/>
  <c r="J1479" i="7"/>
  <c r="J1477" i="7"/>
  <c r="J1232" i="7"/>
  <c r="J1185" i="7"/>
  <c r="J1177" i="7"/>
  <c r="J1169" i="7"/>
  <c r="J682" i="7"/>
  <c r="P723" i="7"/>
  <c r="J80" i="7" s="1"/>
  <c r="J2166" i="7"/>
  <c r="J2126" i="7"/>
  <c r="J2114" i="7"/>
  <c r="J2102" i="7"/>
  <c r="J2090" i="7"/>
  <c r="J2078" i="7"/>
  <c r="J1993" i="7"/>
  <c r="J1863" i="7"/>
  <c r="J1495" i="7"/>
  <c r="J1335" i="7"/>
  <c r="J1268" i="7"/>
  <c r="J730" i="7"/>
  <c r="M465" i="7"/>
  <c r="G65" i="7" s="1"/>
  <c r="J389" i="7"/>
  <c r="AK1768" i="2"/>
  <c r="AL1768" i="2" s="1"/>
  <c r="J409" i="7"/>
  <c r="P435" i="7"/>
  <c r="J20" i="7" s="1"/>
  <c r="J2230" i="7"/>
  <c r="J2060" i="7"/>
  <c r="J2121" i="7"/>
  <c r="J2064" i="7"/>
  <c r="O1766" i="7"/>
  <c r="J93" i="7" s="1"/>
  <c r="J1594" i="7"/>
  <c r="J1582" i="7"/>
  <c r="J1695" i="7"/>
  <c r="J1687" i="7"/>
  <c r="J1679" i="7"/>
  <c r="J1671" i="7"/>
  <c r="J1663" i="7"/>
  <c r="J1563" i="7"/>
  <c r="J1555" i="7"/>
  <c r="J1547" i="7"/>
  <c r="J1301" i="7"/>
  <c r="J908" i="7"/>
  <c r="J2123" i="7"/>
  <c r="J2077" i="7"/>
  <c r="J1739" i="7"/>
  <c r="J1634" i="7"/>
  <c r="J1339" i="7"/>
  <c r="J1272" i="7"/>
  <c r="J1237" i="7"/>
  <c r="J1165" i="7"/>
  <c r="J710" i="7"/>
  <c r="J1842" i="7"/>
  <c r="J368" i="7"/>
  <c r="J2219" i="7"/>
  <c r="J698" i="7"/>
  <c r="J674" i="7"/>
  <c r="J968" i="7"/>
  <c r="AK1404" i="2"/>
  <c r="AL1404" i="2" s="1"/>
  <c r="J974" i="7"/>
  <c r="J2145" i="7"/>
  <c r="J2161" i="7"/>
  <c r="J1721" i="7"/>
  <c r="J1590" i="7"/>
  <c r="J1578" i="7"/>
  <c r="J1620" i="7"/>
  <c r="J1612" i="7"/>
  <c r="J1604" i="7"/>
  <c r="J1458" i="7"/>
  <c r="J1395" i="7"/>
  <c r="J1221" i="7"/>
  <c r="J1197" i="7"/>
  <c r="J1244" i="7"/>
  <c r="J1240" i="7"/>
  <c r="J1236" i="7"/>
  <c r="J944" i="7"/>
  <c r="J887" i="7"/>
  <c r="J2201" i="7"/>
  <c r="J1961" i="7"/>
  <c r="J2169" i="7"/>
  <c r="J2107" i="7"/>
  <c r="J2209" i="7"/>
  <c r="J1626" i="7"/>
  <c r="J1280" i="7"/>
  <c r="J1256" i="7"/>
  <c r="J972" i="7"/>
  <c r="J724" i="7"/>
  <c r="J830" i="7"/>
  <c r="J391" i="7"/>
  <c r="J387" i="7"/>
  <c r="J429" i="7"/>
  <c r="J1363" i="7"/>
  <c r="J360" i="7"/>
  <c r="J2138" i="7"/>
  <c r="J399" i="7"/>
  <c r="J663" i="7"/>
  <c r="J2180" i="7"/>
  <c r="N589" i="7"/>
  <c r="H58" i="7" s="1"/>
  <c r="J366" i="7"/>
  <c r="J1092" i="7"/>
  <c r="M1724" i="7"/>
  <c r="G70" i="7" s="1"/>
  <c r="J1456" i="7"/>
  <c r="O1235" i="7"/>
  <c r="J1162" i="7"/>
  <c r="J1158" i="7"/>
  <c r="J1154" i="7"/>
  <c r="J962" i="7"/>
  <c r="J954" i="7"/>
  <c r="J910" i="7"/>
  <c r="J747" i="7"/>
  <c r="J739" i="7"/>
  <c r="J727" i="7"/>
  <c r="J700" i="7"/>
  <c r="J692" i="7"/>
  <c r="J684" i="7"/>
  <c r="J676" i="7"/>
  <c r="J580" i="7"/>
  <c r="J572" i="7"/>
  <c r="J492" i="7"/>
  <c r="J869" i="7"/>
  <c r="J865" i="7"/>
  <c r="J861" i="7"/>
  <c r="J857" i="7"/>
  <c r="J853" i="7"/>
  <c r="J849" i="7"/>
  <c r="J845" i="7"/>
  <c r="J841" i="7"/>
  <c r="J837" i="7"/>
  <c r="L217" i="7"/>
  <c r="F38" i="7" s="1"/>
  <c r="J416" i="7"/>
  <c r="L290" i="7"/>
  <c r="F8" i="7" s="1"/>
  <c r="O272" i="7"/>
  <c r="I29" i="7" s="1"/>
  <c r="J1558" i="7"/>
  <c r="J1525" i="7"/>
  <c r="L964" i="7"/>
  <c r="F83" i="7" s="1"/>
  <c r="J1064" i="7"/>
  <c r="J1048" i="7"/>
  <c r="P1406" i="7"/>
  <c r="J34" i="7" s="1"/>
  <c r="J1121" i="7"/>
  <c r="AK1439" i="2"/>
  <c r="AL1439" i="2" s="1"/>
  <c r="L1369" i="7"/>
  <c r="F45" i="7" s="1"/>
  <c r="O1369" i="7"/>
  <c r="I45" i="7" s="1"/>
  <c r="L1326" i="7"/>
  <c r="F13" i="7" s="1"/>
  <c r="J1246" i="7"/>
  <c r="J1238" i="7"/>
  <c r="J1320" i="7"/>
  <c r="J1312" i="7"/>
  <c r="G85" i="7"/>
  <c r="M723" i="7"/>
  <c r="G80" i="7" s="1"/>
  <c r="N565" i="7"/>
  <c r="H21" i="7" s="1"/>
  <c r="N314" i="7"/>
  <c r="H19" i="7" s="1"/>
  <c r="M1483" i="7"/>
  <c r="N1570" i="7"/>
  <c r="H25" i="7" s="1"/>
  <c r="N1757" i="7"/>
  <c r="H88" i="7" s="1"/>
  <c r="J1755" i="7"/>
  <c r="J1747" i="7"/>
  <c r="P1250" i="7"/>
  <c r="J53" i="7" s="1"/>
  <c r="L1225" i="7"/>
  <c r="F60" i="7" s="1"/>
  <c r="O1757" i="7"/>
  <c r="I88" i="7" s="1"/>
  <c r="N536" i="7"/>
  <c r="H42" i="7" s="1"/>
  <c r="J886" i="7"/>
  <c r="N251" i="7"/>
  <c r="H7" i="7" s="1"/>
  <c r="M328" i="7"/>
  <c r="G40" i="7" s="1"/>
  <c r="M383" i="7"/>
  <c r="G30" i="7" s="1"/>
  <c r="J2202" i="7"/>
  <c r="P1235" i="7"/>
  <c r="P1152" i="7"/>
  <c r="J33" i="7" s="1"/>
  <c r="O874" i="7"/>
  <c r="I67" i="7" s="1"/>
  <c r="O650" i="7"/>
  <c r="I66" i="7" s="1"/>
  <c r="O435" i="7"/>
  <c r="I20" i="7" s="1"/>
  <c r="O226" i="7"/>
  <c r="I39" i="7" s="1"/>
  <c r="J2082" i="7"/>
  <c r="J1977" i="7"/>
  <c r="N1624" i="7"/>
  <c r="H46" i="7" s="1"/>
  <c r="J1929" i="7"/>
  <c r="J1609" i="7"/>
  <c r="N1194" i="7"/>
  <c r="H23" i="7" s="1"/>
  <c r="J927" i="7"/>
  <c r="J1076" i="7"/>
  <c r="J1060" i="7"/>
  <c r="J1044" i="7"/>
  <c r="M787" i="7"/>
  <c r="G11" i="7" s="1"/>
  <c r="N500" i="7"/>
  <c r="H79" i="7" s="1"/>
  <c r="J512" i="7"/>
  <c r="P1440" i="7"/>
  <c r="J61" i="7" s="1"/>
  <c r="J1084" i="7"/>
  <c r="M1152" i="7"/>
  <c r="G33" i="7" s="1"/>
  <c r="M835" i="7"/>
  <c r="G43" i="7" s="1"/>
  <c r="P472" i="7"/>
  <c r="J78" i="7" s="1"/>
  <c r="L150" i="7"/>
  <c r="F4" i="7" s="1"/>
  <c r="J2193" i="7"/>
  <c r="J2177" i="7"/>
  <c r="J2165" i="7"/>
  <c r="J2133" i="7"/>
  <c r="J1928" i="7"/>
  <c r="J1593" i="7"/>
  <c r="J1577" i="7"/>
  <c r="J1621" i="7"/>
  <c r="J1617" i="7"/>
  <c r="J1464" i="7"/>
  <c r="L1440" i="7"/>
  <c r="F61" i="7" s="1"/>
  <c r="J1349" i="7"/>
  <c r="J1331" i="7"/>
  <c r="J1082" i="7"/>
  <c r="J919" i="7"/>
  <c r="J897" i="7"/>
  <c r="J1068" i="7"/>
  <c r="J1052" i="7"/>
  <c r="J1036" i="7"/>
  <c r="N964" i="7"/>
  <c r="H83" i="7" s="1"/>
  <c r="J880" i="7"/>
  <c r="J876" i="7"/>
  <c r="J728" i="7"/>
  <c r="J822" i="7"/>
  <c r="J806" i="7"/>
  <c r="P536" i="7"/>
  <c r="J42" i="7" s="1"/>
  <c r="L787" i="7"/>
  <c r="F11" i="7" s="1"/>
  <c r="J467" i="7"/>
  <c r="L465" i="7"/>
  <c r="F65" i="7" s="1"/>
  <c r="J508" i="7"/>
  <c r="P500" i="7"/>
  <c r="J79" i="7" s="1"/>
  <c r="J504" i="7"/>
  <c r="M226" i="7"/>
  <c r="G39" i="7" s="1"/>
  <c r="AK1784" i="2"/>
  <c r="AL1784" i="2" s="1"/>
  <c r="AK1291" i="2"/>
  <c r="AL1291" i="2" s="1"/>
  <c r="L1724" i="7"/>
  <c r="F70" i="7" s="1"/>
  <c r="P982" i="7"/>
  <c r="J12" i="7" s="1"/>
  <c r="P732" i="7"/>
  <c r="J51" i="7" s="1"/>
  <c r="P650" i="7"/>
  <c r="J66" i="7" s="1"/>
  <c r="M732" i="7"/>
  <c r="G51" i="7" s="1"/>
  <c r="M472" i="7"/>
  <c r="G78" i="7" s="1"/>
  <c r="P226" i="7"/>
  <c r="J39" i="7" s="1"/>
  <c r="J2190" i="7"/>
  <c r="J2085" i="7"/>
  <c r="M1713" i="7"/>
  <c r="G62" i="7" s="1"/>
  <c r="P1724" i="7"/>
  <c r="J70" i="7" s="1"/>
  <c r="J1649" i="7"/>
  <c r="J1641" i="7"/>
  <c r="J1633" i="7"/>
  <c r="J1625" i="7"/>
  <c r="P1657" i="7"/>
  <c r="J54" i="7" s="1"/>
  <c r="M1657" i="7"/>
  <c r="G54" i="7" s="1"/>
  <c r="P1570" i="7"/>
  <c r="J25" i="7" s="1"/>
  <c r="J1536" i="7"/>
  <c r="P1483" i="7"/>
  <c r="M1369" i="7"/>
  <c r="G45" i="7" s="1"/>
  <c r="P1421" i="7"/>
  <c r="J24" i="7" s="1"/>
  <c r="O1225" i="7"/>
  <c r="I60" i="7" s="1"/>
  <c r="L1152" i="7"/>
  <c r="F33" i="7" s="1"/>
  <c r="N1095" i="7"/>
  <c r="H44" i="7" s="1"/>
  <c r="O1035" i="7"/>
  <c r="I52" i="7" s="1"/>
  <c r="J960" i="7"/>
  <c r="J952" i="7"/>
  <c r="N874" i="7"/>
  <c r="H67" i="7" s="1"/>
  <c r="O787" i="7"/>
  <c r="I11" i="7" s="1"/>
  <c r="L732" i="7"/>
  <c r="F51" i="7" s="1"/>
  <c r="L650" i="7"/>
  <c r="F66" i="7" s="1"/>
  <c r="P589" i="7"/>
  <c r="J58" i="7" s="1"/>
  <c r="M515" i="7"/>
  <c r="G31" i="7" s="1"/>
  <c r="O589" i="7"/>
  <c r="I58" i="7" s="1"/>
  <c r="P515" i="7"/>
  <c r="J31" i="7" s="1"/>
  <c r="J381" i="7"/>
  <c r="J373" i="7"/>
  <c r="J365" i="7"/>
  <c r="J357" i="7"/>
  <c r="J349" i="7"/>
  <c r="P251" i="7"/>
  <c r="J7" i="7" s="1"/>
  <c r="L226" i="7"/>
  <c r="F39" i="7" s="1"/>
  <c r="O197" i="7"/>
  <c r="I6" i="7" s="1"/>
  <c r="M314" i="7"/>
  <c r="G19" i="7" s="1"/>
  <c r="P150" i="7"/>
  <c r="J4" i="7" s="1"/>
  <c r="J2167" i="7"/>
  <c r="J2135" i="7"/>
  <c r="J2127" i="7"/>
  <c r="J2111" i="7"/>
  <c r="J2095" i="7"/>
  <c r="J2079" i="7"/>
  <c r="J1846" i="7"/>
  <c r="J1690" i="7"/>
  <c r="J1674" i="7"/>
  <c r="J1658" i="7"/>
  <c r="J1840" i="7"/>
  <c r="J1487" i="7"/>
  <c r="L1406" i="7"/>
  <c r="F34" i="7" s="1"/>
  <c r="J1605" i="7"/>
  <c r="P1602" i="7"/>
  <c r="J35" i="7" s="1"/>
  <c r="J1562" i="7"/>
  <c r="J1554" i="7"/>
  <c r="J1546" i="7"/>
  <c r="J1521" i="7"/>
  <c r="J1513" i="7"/>
  <c r="J1468" i="7"/>
  <c r="J1351" i="7"/>
  <c r="J1343" i="7"/>
  <c r="J1327" i="7"/>
  <c r="J1276" i="7"/>
  <c r="J1260" i="7"/>
  <c r="J1222" i="7"/>
  <c r="J1206" i="7"/>
  <c r="J1135" i="7"/>
  <c r="J945" i="7"/>
  <c r="J909" i="7"/>
  <c r="J1125" i="7"/>
  <c r="J1117" i="7"/>
  <c r="J923" i="7"/>
  <c r="P964" i="7"/>
  <c r="J83" i="7" s="1"/>
  <c r="J1072" i="7"/>
  <c r="J1056" i="7"/>
  <c r="J1040" i="7"/>
  <c r="P874" i="7"/>
  <c r="J67" i="7" s="1"/>
  <c r="N650" i="7"/>
  <c r="H66" i="7" s="1"/>
  <c r="J878" i="7"/>
  <c r="J818" i="7"/>
  <c r="J802" i="7"/>
  <c r="P787" i="7"/>
  <c r="J11" i="7" s="1"/>
  <c r="P465" i="7"/>
  <c r="J65" i="7" s="1"/>
  <c r="J385" i="7"/>
  <c r="N290" i="7"/>
  <c r="H8" i="7" s="1"/>
  <c r="M197" i="7"/>
  <c r="G6" i="7" s="1"/>
  <c r="AK1265" i="2"/>
  <c r="AL1265" i="2" s="1"/>
  <c r="N1602" i="7"/>
  <c r="H35" i="7" s="1"/>
  <c r="O917" i="7"/>
  <c r="I22" i="7" s="1"/>
  <c r="J2222" i="7"/>
  <c r="J2131" i="7"/>
  <c r="J2056" i="7"/>
  <c r="J1878" i="7"/>
  <c r="J2226" i="7"/>
  <c r="J2194" i="7"/>
  <c r="J2234" i="7"/>
  <c r="J2163" i="7"/>
  <c r="J2089" i="7"/>
  <c r="J2032" i="7"/>
  <c r="J2101" i="7"/>
  <c r="M1766" i="7"/>
  <c r="H93" i="7" s="1"/>
  <c r="N1713" i="7"/>
  <c r="H62" i="7" s="1"/>
  <c r="J1711" i="7"/>
  <c r="J1707" i="7"/>
  <c r="J1703" i="7"/>
  <c r="J1600" i="7"/>
  <c r="J1592" i="7"/>
  <c r="J1584" i="7"/>
  <c r="J1576" i="7"/>
  <c r="J1697" i="7"/>
  <c r="J1689" i="7"/>
  <c r="J1681" i="7"/>
  <c r="J1673" i="7"/>
  <c r="J1665" i="7"/>
  <c r="J1622" i="7"/>
  <c r="J1614" i="7"/>
  <c r="J1606" i="7"/>
  <c r="J1565" i="7"/>
  <c r="J1557" i="7"/>
  <c r="J1549" i="7"/>
  <c r="J1732" i="7"/>
  <c r="M1602" i="7"/>
  <c r="G35" i="7" s="1"/>
  <c r="L1570" i="7"/>
  <c r="F25" i="7" s="1"/>
  <c r="O1570" i="7"/>
  <c r="I25" i="7" s="1"/>
  <c r="J1543" i="7"/>
  <c r="J1534" i="7"/>
  <c r="J1526" i="7"/>
  <c r="J1522" i="7"/>
  <c r="J1518" i="7"/>
  <c r="J1514" i="7"/>
  <c r="L1483" i="7"/>
  <c r="I87" i="7"/>
  <c r="J1435" i="7"/>
  <c r="J1427" i="7"/>
  <c r="J1397" i="7"/>
  <c r="J1451" i="7"/>
  <c r="J1447" i="7"/>
  <c r="J1443" i="7"/>
  <c r="M1421" i="7"/>
  <c r="G24" i="7" s="1"/>
  <c r="L1421" i="7"/>
  <c r="F24" i="7" s="1"/>
  <c r="P1369" i="7"/>
  <c r="J45" i="7" s="1"/>
  <c r="J1305" i="7"/>
  <c r="J1297" i="7"/>
  <c r="J1289" i="7"/>
  <c r="J1217" i="7"/>
  <c r="J1209" i="7"/>
  <c r="J1201" i="7"/>
  <c r="J1226" i="7"/>
  <c r="J1187" i="7"/>
  <c r="J1179" i="7"/>
  <c r="J1171" i="7"/>
  <c r="J1148" i="7"/>
  <c r="M1250" i="7"/>
  <c r="G53" i="7" s="1"/>
  <c r="J1134" i="7"/>
  <c r="J912" i="7"/>
  <c r="O933" i="7"/>
  <c r="I59" i="7" s="1"/>
  <c r="J741" i="7"/>
  <c r="L589" i="7"/>
  <c r="F58" i="7" s="1"/>
  <c r="J906" i="7"/>
  <c r="J902" i="7"/>
  <c r="J898" i="7"/>
  <c r="P835" i="7"/>
  <c r="J43" i="7" s="1"/>
  <c r="O732" i="7"/>
  <c r="I51" i="7" s="1"/>
  <c r="O536" i="7"/>
  <c r="I42" i="7" s="1"/>
  <c r="N420" i="7"/>
  <c r="H41" i="7" s="1"/>
  <c r="J418" i="7"/>
  <c r="M345" i="7"/>
  <c r="G49" i="7" s="1"/>
  <c r="L251" i="7"/>
  <c r="F7" i="7" s="1"/>
  <c r="P197" i="7"/>
  <c r="J6" i="7" s="1"/>
  <c r="P345" i="7"/>
  <c r="J49" i="7" s="1"/>
  <c r="O290" i="7"/>
  <c r="I8" i="7" s="1"/>
  <c r="M217" i="7"/>
  <c r="G38" i="7" s="1"/>
  <c r="O150" i="7"/>
  <c r="I4" i="7" s="1"/>
  <c r="J1857" i="7"/>
  <c r="N1326" i="7"/>
  <c r="H13" i="7" s="1"/>
  <c r="N1035" i="7"/>
  <c r="H52" i="7" s="1"/>
  <c r="L536" i="7"/>
  <c r="F42" i="7" s="1"/>
  <c r="N435" i="7"/>
  <c r="H20" i="7" s="1"/>
  <c r="N383" i="7"/>
  <c r="H30" i="7" s="1"/>
  <c r="N226" i="7"/>
  <c r="H39" i="7" s="1"/>
  <c r="N197" i="7"/>
  <c r="H6" i="7" s="1"/>
  <c r="M251" i="7"/>
  <c r="G7" i="7" s="1"/>
  <c r="AK1299" i="2"/>
  <c r="AL1299" i="2" s="1"/>
  <c r="P1766" i="7"/>
  <c r="G93" i="7" s="1"/>
  <c r="M1326" i="7"/>
  <c r="G13" i="7" s="1"/>
  <c r="O1168" i="7"/>
  <c r="I68" i="7" s="1"/>
  <c r="J2186" i="7"/>
  <c r="J2206" i="7"/>
  <c r="J2081" i="7"/>
  <c r="J2044" i="7"/>
  <c r="J2048" i="7"/>
  <c r="J2052" i="7"/>
  <c r="J2105" i="7"/>
  <c r="J1874" i="7"/>
  <c r="J1784" i="7"/>
  <c r="J1780" i="7"/>
  <c r="J1776" i="7"/>
  <c r="J1772" i="7"/>
  <c r="M1738" i="7"/>
  <c r="H74" i="7" s="1"/>
  <c r="M1757" i="7"/>
  <c r="G88" i="7" s="1"/>
  <c r="J1653" i="7"/>
  <c r="J1645" i="7"/>
  <c r="J1637" i="7"/>
  <c r="J1629" i="7"/>
  <c r="J1691" i="7"/>
  <c r="J1683" i="7"/>
  <c r="J1675" i="7"/>
  <c r="J1667" i="7"/>
  <c r="N1657" i="7"/>
  <c r="H54" i="7" s="1"/>
  <c r="J1659" i="7"/>
  <c r="J1616" i="7"/>
  <c r="J1608" i="7"/>
  <c r="M1570" i="7"/>
  <c r="G25" i="7" s="1"/>
  <c r="J1567" i="7"/>
  <c r="J1559" i="7"/>
  <c r="J1551" i="7"/>
  <c r="O1531" i="7"/>
  <c r="I14" i="7" s="1"/>
  <c r="J1540" i="7"/>
  <c r="J1532" i="7"/>
  <c r="J1462" i="7"/>
  <c r="J1454" i="7"/>
  <c r="N1453" i="7"/>
  <c r="H69" i="7" s="1"/>
  <c r="N1250" i="7"/>
  <c r="H53" i="7" s="1"/>
  <c r="J1308" i="7"/>
  <c r="J1300" i="7"/>
  <c r="J1292" i="7"/>
  <c r="J1228" i="7"/>
  <c r="J1189" i="7"/>
  <c r="J1181" i="7"/>
  <c r="J1173" i="7"/>
  <c r="L1168" i="7"/>
  <c r="F68" i="7" s="1"/>
  <c r="J1105" i="7"/>
  <c r="J1103" i="7"/>
  <c r="J1097" i="7"/>
  <c r="J1033" i="7"/>
  <c r="J1027" i="7"/>
  <c r="J1025" i="7"/>
  <c r="J1019" i="7"/>
  <c r="J1017" i="7"/>
  <c r="J1011" i="7"/>
  <c r="J1009" i="7"/>
  <c r="J1003" i="7"/>
  <c r="J1001" i="7"/>
  <c r="J995" i="7"/>
  <c r="J993" i="7"/>
  <c r="J987" i="7"/>
  <c r="J985" i="7"/>
  <c r="J1140" i="7"/>
  <c r="J1132" i="7"/>
  <c r="M933" i="7"/>
  <c r="G59" i="7" s="1"/>
  <c r="J930" i="7"/>
  <c r="J922" i="7"/>
  <c r="L917" i="7"/>
  <c r="F22" i="7" s="1"/>
  <c r="J893" i="7"/>
  <c r="J885" i="7"/>
  <c r="L874" i="7"/>
  <c r="F67" i="7" s="1"/>
  <c r="P949" i="7"/>
  <c r="J82" i="7" s="1"/>
  <c r="O895" i="7"/>
  <c r="I32" i="7" s="1"/>
  <c r="J586" i="7"/>
  <c r="J578" i="7"/>
  <c r="J570" i="7"/>
  <c r="J498" i="7"/>
  <c r="J490" i="7"/>
  <c r="M668" i="7"/>
  <c r="G10" i="7" s="1"/>
  <c r="P668" i="7"/>
  <c r="J10" i="7" s="1"/>
  <c r="N598" i="7"/>
  <c r="H50" i="7" s="1"/>
  <c r="J778" i="7"/>
  <c r="J770" i="7"/>
  <c r="J762" i="7"/>
  <c r="J754" i="7"/>
  <c r="J746" i="7"/>
  <c r="J738" i="7"/>
  <c r="J404" i="7"/>
  <c r="J396" i="7"/>
  <c r="J488" i="7"/>
  <c r="J484" i="7"/>
  <c r="J480" i="7"/>
  <c r="J476" i="7"/>
  <c r="J463" i="7"/>
  <c r="J459" i="7"/>
  <c r="P290" i="7"/>
  <c r="J8" i="7" s="1"/>
  <c r="L197" i="7"/>
  <c r="F6" i="7" s="1"/>
  <c r="O251" i="7"/>
  <c r="I7" i="7" s="1"/>
  <c r="P314" i="7"/>
  <c r="J19" i="7" s="1"/>
  <c r="J272" i="7"/>
  <c r="M150" i="7"/>
  <c r="G4" i="7" s="1"/>
  <c r="N102" i="7"/>
  <c r="H3" i="7" s="1"/>
  <c r="J2185" i="7"/>
  <c r="G86" i="7"/>
  <c r="J1566" i="7"/>
  <c r="J1550" i="7"/>
  <c r="J1517" i="7"/>
  <c r="G87" i="7"/>
  <c r="L1035" i="7"/>
  <c r="F52" i="7" s="1"/>
  <c r="P1035" i="7"/>
  <c r="J52" i="7" s="1"/>
  <c r="N706" i="7"/>
  <c r="H81" i="7" s="1"/>
  <c r="N787" i="7"/>
  <c r="H11" i="7" s="1"/>
  <c r="N723" i="7"/>
  <c r="H80" i="7" s="1"/>
  <c r="L500" i="7"/>
  <c r="F79" i="7" s="1"/>
  <c r="L435" i="7"/>
  <c r="F20" i="7" s="1"/>
  <c r="N465" i="7"/>
  <c r="H65" i="7" s="1"/>
  <c r="AK1866" i="2"/>
  <c r="AL1866" i="2" s="1"/>
  <c r="AK1674" i="2"/>
  <c r="AL1674" i="2" s="1"/>
  <c r="J2210" i="7"/>
  <c r="J2178" i="7"/>
  <c r="J2113" i="7"/>
  <c r="J2072" i="7"/>
  <c r="J2040" i="7"/>
  <c r="J2147" i="7"/>
  <c r="J2125" i="7"/>
  <c r="J2109" i="7"/>
  <c r="J2093" i="7"/>
  <c r="J2076" i="7"/>
  <c r="J2182" i="7"/>
  <c r="N1766" i="7"/>
  <c r="I93" i="7" s="1"/>
  <c r="L1766" i="7"/>
  <c r="F93" i="7" s="1"/>
  <c r="J1740" i="7"/>
  <c r="J1768" i="7"/>
  <c r="L1757" i="7"/>
  <c r="F88" i="7" s="1"/>
  <c r="O1738" i="7"/>
  <c r="J74" i="7" s="1"/>
  <c r="J76" i="7" s="1"/>
  <c r="J1709" i="7"/>
  <c r="J1705" i="7"/>
  <c r="J1701" i="7"/>
  <c r="L1657" i="7"/>
  <c r="F54" i="7" s="1"/>
  <c r="O1657" i="7"/>
  <c r="I54" i="7" s="1"/>
  <c r="L1624" i="7"/>
  <c r="F46" i="7" s="1"/>
  <c r="O1624" i="7"/>
  <c r="I46" i="7" s="1"/>
  <c r="J1539" i="7"/>
  <c r="N1475" i="7"/>
  <c r="I73" i="7" s="1"/>
  <c r="N1531" i="7"/>
  <c r="H14" i="7" s="1"/>
  <c r="H87" i="7"/>
  <c r="N1483" i="7"/>
  <c r="H86" i="7"/>
  <c r="O1483" i="7"/>
  <c r="I86" i="7"/>
  <c r="J1460" i="7"/>
  <c r="J1399" i="7"/>
  <c r="O1421" i="7"/>
  <c r="I24" i="7" s="1"/>
  <c r="J1415" i="7"/>
  <c r="J1411" i="7"/>
  <c r="J1407" i="7"/>
  <c r="L1453" i="7"/>
  <c r="F69" i="7" s="1"/>
  <c r="J1164" i="7"/>
  <c r="J1306" i="7"/>
  <c r="J1298" i="7"/>
  <c r="J1290" i="7"/>
  <c r="F84" i="7"/>
  <c r="J1230" i="7"/>
  <c r="J1191" i="7"/>
  <c r="J1183" i="7"/>
  <c r="J1175" i="7"/>
  <c r="N1168" i="7"/>
  <c r="H68" i="7" s="1"/>
  <c r="J1144" i="7"/>
  <c r="J1318" i="7"/>
  <c r="J1310" i="7"/>
  <c r="M1225" i="7"/>
  <c r="G60" i="7" s="1"/>
  <c r="P1194" i="7"/>
  <c r="J23" i="7" s="1"/>
  <c r="N1152" i="7"/>
  <c r="H33" i="7" s="1"/>
  <c r="L1095" i="7"/>
  <c r="F44" i="7" s="1"/>
  <c r="J958" i="7"/>
  <c r="J1138" i="7"/>
  <c r="J1130" i="7"/>
  <c r="M1095" i="7"/>
  <c r="G44" i="7" s="1"/>
  <c r="J935" i="7"/>
  <c r="J926" i="7"/>
  <c r="J918" i="7"/>
  <c r="J889" i="7"/>
  <c r="P933" i="7"/>
  <c r="J59" i="7" s="1"/>
  <c r="J950" i="7"/>
  <c r="J584" i="7"/>
  <c r="J576" i="7"/>
  <c r="J568" i="7"/>
  <c r="J496" i="7"/>
  <c r="O668" i="7"/>
  <c r="I10" i="7" s="1"/>
  <c r="M895" i="7"/>
  <c r="G32" i="7" s="1"/>
  <c r="P598" i="7"/>
  <c r="J50" i="7" s="1"/>
  <c r="L565" i="7"/>
  <c r="F21" i="7" s="1"/>
  <c r="J784" i="7"/>
  <c r="J776" i="7"/>
  <c r="J768" i="7"/>
  <c r="J760" i="7"/>
  <c r="J752" i="7"/>
  <c r="J744" i="7"/>
  <c r="N732" i="7"/>
  <c r="H51" i="7" s="1"/>
  <c r="J410" i="7"/>
  <c r="J402" i="7"/>
  <c r="L102" i="7"/>
  <c r="J486" i="7"/>
  <c r="J482" i="7"/>
  <c r="J478" i="7"/>
  <c r="J474" i="7"/>
  <c r="P420" i="7"/>
  <c r="J41" i="7" s="1"/>
  <c r="J412" i="7"/>
  <c r="O345" i="7"/>
  <c r="I49" i="7" s="1"/>
  <c r="L328" i="7"/>
  <c r="F40" i="7" s="1"/>
  <c r="O170" i="7"/>
  <c r="I5" i="7" s="1"/>
  <c r="P395" i="7"/>
  <c r="J9" i="7" s="1"/>
  <c r="J458" i="7"/>
  <c r="N451" i="7"/>
  <c r="H57" i="7" s="1"/>
  <c r="J433" i="7"/>
  <c r="O395" i="7"/>
  <c r="I9" i="7" s="1"/>
  <c r="M272" i="7"/>
  <c r="G29" i="7" s="1"/>
  <c r="O239" i="7"/>
  <c r="I18" i="7" s="1"/>
  <c r="L138" i="7"/>
  <c r="F28" i="7" s="1"/>
  <c r="M239" i="7"/>
  <c r="G18" i="7" s="1"/>
  <c r="J138" i="7"/>
  <c r="P126" i="7"/>
  <c r="J17" i="7" s="1"/>
  <c r="AK623" i="2"/>
  <c r="J1751" i="7"/>
  <c r="J2218" i="7"/>
  <c r="J2129" i="7"/>
  <c r="J2146" i="7"/>
  <c r="J1782" i="7"/>
  <c r="J1778" i="7"/>
  <c r="J1774" i="7"/>
  <c r="L1738" i="7"/>
  <c r="F74" i="7" s="1"/>
  <c r="L1713" i="7"/>
  <c r="F62" i="7" s="1"/>
  <c r="J1717" i="7"/>
  <c r="P1757" i="7"/>
  <c r="J88" i="7" s="1"/>
  <c r="J1753" i="7"/>
  <c r="J1749" i="7"/>
  <c r="J1745" i="7"/>
  <c r="J1741" i="7"/>
  <c r="J1730" i="7"/>
  <c r="J1728" i="7"/>
  <c r="J1537" i="7"/>
  <c r="L1531" i="7"/>
  <c r="F14" i="7" s="1"/>
  <c r="N1511" i="7"/>
  <c r="I92" i="7" s="1"/>
  <c r="P1475" i="7"/>
  <c r="G73" i="7" s="1"/>
  <c r="G76" i="7" s="1"/>
  <c r="J1431" i="7"/>
  <c r="J1423" i="7"/>
  <c r="N1421" i="7"/>
  <c r="H24" i="7" s="1"/>
  <c r="M1406" i="7"/>
  <c r="G34" i="7" s="1"/>
  <c r="J1215" i="7"/>
  <c r="J1207" i="7"/>
  <c r="J1199" i="7"/>
  <c r="J1304" i="7"/>
  <c r="J1296" i="7"/>
  <c r="H85" i="7"/>
  <c r="J1242" i="7"/>
  <c r="N1235" i="7"/>
  <c r="H84" i="7"/>
  <c r="N1225" i="7"/>
  <c r="H60" i="7" s="1"/>
  <c r="M1194" i="7"/>
  <c r="G23" i="7" s="1"/>
  <c r="J1316" i="7"/>
  <c r="L1194" i="7"/>
  <c r="F23" i="7" s="1"/>
  <c r="O1194" i="7"/>
  <c r="I23" i="7" s="1"/>
  <c r="J1160" i="7"/>
  <c r="J1156" i="7"/>
  <c r="N982" i="7"/>
  <c r="H12" i="7" s="1"/>
  <c r="M964" i="7"/>
  <c r="G83" i="7" s="1"/>
  <c r="J1142" i="7"/>
  <c r="J1136" i="7"/>
  <c r="J914" i="7"/>
  <c r="J928" i="7"/>
  <c r="J920" i="7"/>
  <c r="J891" i="7"/>
  <c r="J883" i="7"/>
  <c r="O835" i="7"/>
  <c r="I43" i="7" s="1"/>
  <c r="L933" i="7"/>
  <c r="F59" i="7" s="1"/>
  <c r="M917" i="7"/>
  <c r="G22" i="7" s="1"/>
  <c r="N835" i="7"/>
  <c r="H43" i="7" s="1"/>
  <c r="N949" i="7"/>
  <c r="H82" i="7" s="1"/>
  <c r="J647" i="7"/>
  <c r="J639" i="7"/>
  <c r="J631" i="7"/>
  <c r="J623" i="7"/>
  <c r="J615" i="7"/>
  <c r="J607" i="7"/>
  <c r="J599" i="7"/>
  <c r="J529" i="7"/>
  <c r="J521" i="7"/>
  <c r="P706" i="7"/>
  <c r="J81" i="7" s="1"/>
  <c r="M565" i="7"/>
  <c r="G21" i="7" s="1"/>
  <c r="O472" i="7"/>
  <c r="I78" i="7" s="1"/>
  <c r="J904" i="7"/>
  <c r="J900" i="7"/>
  <c r="L895" i="7"/>
  <c r="F32" i="7" s="1"/>
  <c r="J896" i="7"/>
  <c r="J871" i="7"/>
  <c r="J867" i="7"/>
  <c r="J863" i="7"/>
  <c r="J859" i="7"/>
  <c r="J855" i="7"/>
  <c r="J851" i="7"/>
  <c r="J847" i="7"/>
  <c r="J843" i="7"/>
  <c r="J839" i="7"/>
  <c r="L598" i="7"/>
  <c r="F50" i="7" s="1"/>
  <c r="N472" i="7"/>
  <c r="H78" i="7" s="1"/>
  <c r="O465" i="7"/>
  <c r="I65" i="7" s="1"/>
  <c r="J782" i="7"/>
  <c r="J774" i="7"/>
  <c r="J766" i="7"/>
  <c r="J758" i="7"/>
  <c r="J750" i="7"/>
  <c r="J742" i="7"/>
  <c r="O565" i="7"/>
  <c r="I21" i="7" s="1"/>
  <c r="L314" i="7"/>
  <c r="F19" i="7" s="1"/>
  <c r="L170" i="7"/>
  <c r="F5" i="7" s="1"/>
  <c r="J461" i="7"/>
  <c r="P383" i="7"/>
  <c r="J30" i="7" s="1"/>
  <c r="O217" i="7"/>
  <c r="I38" i="7" s="1"/>
  <c r="L395" i="7"/>
  <c r="F9" i="7" s="1"/>
  <c r="J456" i="7"/>
  <c r="L451" i="7"/>
  <c r="F57" i="7" s="1"/>
  <c r="L272" i="7"/>
  <c r="F29" i="7" s="1"/>
  <c r="N272" i="7"/>
  <c r="H29" i="7" s="1"/>
  <c r="E36" i="16"/>
  <c r="AL1771" i="2"/>
  <c r="J197" i="7"/>
  <c r="P102" i="7"/>
  <c r="J251" i="7"/>
  <c r="P170" i="7"/>
  <c r="J5" i="7" s="1"/>
  <c r="L239" i="7"/>
  <c r="F18" i="7" s="1"/>
  <c r="N239" i="7"/>
  <c r="H18" i="7" s="1"/>
  <c r="J217" i="7"/>
  <c r="M138" i="7"/>
  <c r="G28" i="7" s="1"/>
  <c r="J126" i="7"/>
  <c r="J170" i="7"/>
  <c r="AK1393" i="2"/>
  <c r="J1743" i="7"/>
  <c r="M1624" i="7"/>
  <c r="G46" i="7" s="1"/>
  <c r="J2162" i="7"/>
  <c r="J2130" i="7"/>
  <c r="J1770" i="7"/>
  <c r="N1724" i="7"/>
  <c r="H70" i="7" s="1"/>
  <c r="L1602" i="7"/>
  <c r="F35" i="7" s="1"/>
  <c r="O1602" i="7"/>
  <c r="I35" i="7" s="1"/>
  <c r="J1535" i="7"/>
  <c r="P1531" i="7"/>
  <c r="J14" i="7" s="1"/>
  <c r="J1524" i="7"/>
  <c r="J1520" i="7"/>
  <c r="J1516" i="7"/>
  <c r="J1512" i="7"/>
  <c r="M1511" i="7"/>
  <c r="H92" i="7" s="1"/>
  <c r="J87" i="7"/>
  <c r="J86" i="7"/>
  <c r="M1531" i="7"/>
  <c r="G14" i="7" s="1"/>
  <c r="P1511" i="7"/>
  <c r="G92" i="7" s="1"/>
  <c r="L1475" i="7"/>
  <c r="F73" i="7" s="1"/>
  <c r="N1369" i="7"/>
  <c r="H45" i="7" s="1"/>
  <c r="J1302" i="7"/>
  <c r="J1294" i="7"/>
  <c r="J1322" i="7"/>
  <c r="J1314" i="7"/>
  <c r="I85" i="7"/>
  <c r="I84" i="7"/>
  <c r="J85" i="7"/>
  <c r="J84" i="7"/>
  <c r="L1235" i="7"/>
  <c r="J1106" i="7"/>
  <c r="J1101" i="7"/>
  <c r="J1031" i="7"/>
  <c r="J1023" i="7"/>
  <c r="J1015" i="7"/>
  <c r="J1007" i="7"/>
  <c r="J999" i="7"/>
  <c r="J991" i="7"/>
  <c r="J983" i="7"/>
  <c r="O1095" i="7"/>
  <c r="I44" i="7" s="1"/>
  <c r="M982" i="7"/>
  <c r="G12" i="7" s="1"/>
  <c r="J939" i="7"/>
  <c r="L949" i="7"/>
  <c r="F82" i="7" s="1"/>
  <c r="J729" i="7"/>
  <c r="J702" i="7"/>
  <c r="J694" i="7"/>
  <c r="J686" i="7"/>
  <c r="J678" i="7"/>
  <c r="J670" i="7"/>
  <c r="L515" i="7"/>
  <c r="F31" i="7" s="1"/>
  <c r="O723" i="7"/>
  <c r="I80" i="7" s="1"/>
  <c r="L706" i="7"/>
  <c r="F81" i="7" s="1"/>
  <c r="M598" i="7"/>
  <c r="G50" i="7" s="1"/>
  <c r="O515" i="7"/>
  <c r="I31" i="7" s="1"/>
  <c r="P895" i="7"/>
  <c r="J32" i="7" s="1"/>
  <c r="N895" i="7"/>
  <c r="H32" i="7" s="1"/>
  <c r="N515" i="7"/>
  <c r="H31" i="7" s="1"/>
  <c r="O500" i="7"/>
  <c r="I79" i="7" s="1"/>
  <c r="J780" i="7"/>
  <c r="J772" i="7"/>
  <c r="J764" i="7"/>
  <c r="J756" i="7"/>
  <c r="J748" i="7"/>
  <c r="J740" i="7"/>
  <c r="O598" i="7"/>
  <c r="I50" i="7" s="1"/>
  <c r="J379" i="7"/>
  <c r="J371" i="7"/>
  <c r="J363" i="7"/>
  <c r="J355" i="7"/>
  <c r="J347" i="7"/>
  <c r="L383" i="7"/>
  <c r="F30" i="7" s="1"/>
  <c r="O314" i="7"/>
  <c r="I19" i="7" s="1"/>
  <c r="O383" i="7"/>
  <c r="I30" i="7" s="1"/>
  <c r="O328" i="7"/>
  <c r="I40" i="7" s="1"/>
  <c r="J454" i="7"/>
  <c r="M451" i="7"/>
  <c r="G57" i="7" s="1"/>
  <c r="P451" i="7"/>
  <c r="J57" i="7" s="1"/>
  <c r="P272" i="7"/>
  <c r="J29" i="7" s="1"/>
  <c r="N150" i="7"/>
  <c r="H4" i="7" s="1"/>
  <c r="J226" i="7"/>
  <c r="E47" i="19"/>
  <c r="AL1888" i="2"/>
  <c r="P239" i="7"/>
  <c r="J18" i="7" s="1"/>
  <c r="N138" i="7"/>
  <c r="H28" i="7" s="1"/>
  <c r="N126" i="7"/>
  <c r="H17" i="7" s="1"/>
  <c r="M126" i="7"/>
  <c r="G17" i="7" s="1"/>
  <c r="E39" i="17"/>
  <c r="AK1323" i="2"/>
  <c r="P1624" i="7"/>
  <c r="J46" i="7" s="1"/>
  <c r="F87" i="7"/>
  <c r="F86" i="7"/>
  <c r="L1511" i="7"/>
  <c r="F92" i="7" s="1"/>
  <c r="M1453" i="7"/>
  <c r="G69" i="7" s="1"/>
  <c r="N1440" i="7"/>
  <c r="H61" i="7" s="1"/>
  <c r="N1406" i="7"/>
  <c r="H34" i="7" s="1"/>
  <c r="P1453" i="7"/>
  <c r="J69" i="7" s="1"/>
  <c r="M1440" i="7"/>
  <c r="G61" i="7" s="1"/>
  <c r="O1453" i="7"/>
  <c r="I69" i="7" s="1"/>
  <c r="P1326" i="7"/>
  <c r="J13" i="7" s="1"/>
  <c r="L1250" i="7"/>
  <c r="F53" i="7" s="1"/>
  <c r="M1235" i="7"/>
  <c r="G84" i="7"/>
  <c r="M1168" i="7"/>
  <c r="G68" i="7" s="1"/>
  <c r="O1250" i="7"/>
  <c r="I53" i="7" s="1"/>
  <c r="F85" i="7"/>
  <c r="L982" i="7"/>
  <c r="F12" i="7" s="1"/>
  <c r="O982" i="7"/>
  <c r="I12" i="7" s="1"/>
  <c r="P1095" i="7"/>
  <c r="J44" i="7" s="1"/>
  <c r="O949" i="7"/>
  <c r="I82" i="7" s="1"/>
  <c r="L835" i="7"/>
  <c r="F43" i="7" s="1"/>
  <c r="N917" i="7"/>
  <c r="H22" i="7" s="1"/>
  <c r="M874" i="7"/>
  <c r="G67" i="7" s="1"/>
  <c r="M949" i="7"/>
  <c r="G82" i="7" s="1"/>
  <c r="L723" i="7"/>
  <c r="F80" i="7" s="1"/>
  <c r="L668" i="7"/>
  <c r="F10" i="7" s="1"/>
  <c r="L472" i="7"/>
  <c r="F78" i="7" s="1"/>
  <c r="O706" i="7"/>
  <c r="I81" i="7" s="1"/>
  <c r="P565" i="7"/>
  <c r="J21" i="7" s="1"/>
  <c r="M420" i="7"/>
  <c r="G41" i="7" s="1"/>
  <c r="L345" i="7"/>
  <c r="F49" i="7" s="1"/>
  <c r="J328" i="7"/>
  <c r="L420" i="7"/>
  <c r="F41" i="7" s="1"/>
  <c r="M395" i="7"/>
  <c r="G9" i="7" s="1"/>
  <c r="P328" i="7"/>
  <c r="J40" i="7" s="1"/>
  <c r="O102" i="7"/>
  <c r="O451" i="7"/>
  <c r="I57" i="7" s="1"/>
  <c r="J452" i="7"/>
  <c r="J150" i="7"/>
  <c r="M102" i="7"/>
  <c r="J314" i="7"/>
  <c r="J290" i="7"/>
  <c r="J239" i="7"/>
  <c r="O138" i="7"/>
  <c r="I28" i="7" s="1"/>
  <c r="L126" i="7"/>
  <c r="F17" i="7" s="1"/>
  <c r="E50" i="1"/>
  <c r="AL1050" i="2"/>
  <c r="J124" i="7"/>
  <c r="J102" i="7" s="1"/>
  <c r="H76" i="7" l="1"/>
  <c r="E20" i="7"/>
  <c r="J71" i="7"/>
  <c r="J95" i="7"/>
  <c r="E4" i="7"/>
  <c r="J650" i="7"/>
  <c r="J706" i="7"/>
  <c r="J465" i="7"/>
  <c r="J435" i="7"/>
  <c r="E52" i="7"/>
  <c r="J1035" i="7"/>
  <c r="E8" i="7"/>
  <c r="E74" i="7"/>
  <c r="E42" i="7"/>
  <c r="J787" i="7"/>
  <c r="J536" i="7"/>
  <c r="E6" i="7"/>
  <c r="E10" i="7"/>
  <c r="J1369" i="7"/>
  <c r="I63" i="7"/>
  <c r="E25" i="7"/>
  <c r="I76" i="7"/>
  <c r="H55" i="7"/>
  <c r="E58" i="7"/>
  <c r="J1483" i="7"/>
  <c r="G55" i="7"/>
  <c r="E70" i="7"/>
  <c r="E60" i="7"/>
  <c r="J1225" i="7"/>
  <c r="J1440" i="7"/>
  <c r="E39" i="7"/>
  <c r="E45" i="7"/>
  <c r="J1235" i="7"/>
  <c r="J1453" i="7"/>
  <c r="J1475" i="7"/>
  <c r="E67" i="7"/>
  <c r="J1766" i="7"/>
  <c r="J1757" i="7" s="1"/>
  <c r="J1738" i="7" s="1"/>
  <c r="J1724" i="7" s="1"/>
  <c r="J1713" i="7" s="1"/>
  <c r="J1657" i="7" s="1"/>
  <c r="J1624" i="7" s="1"/>
  <c r="J1602" i="7" s="1"/>
  <c r="E59" i="7"/>
  <c r="J420" i="7"/>
  <c r="J565" i="7"/>
  <c r="E62" i="7"/>
  <c r="E7" i="7"/>
  <c r="J1326" i="7"/>
  <c r="E66" i="7"/>
  <c r="J1570" i="7"/>
  <c r="E80" i="7"/>
  <c r="E13" i="7"/>
  <c r="E43" i="7"/>
  <c r="H95" i="7"/>
  <c r="G36" i="7"/>
  <c r="I95" i="7"/>
  <c r="J395" i="7"/>
  <c r="J472" i="7"/>
  <c r="J500" i="7"/>
  <c r="J383" i="7"/>
  <c r="J964" i="7"/>
  <c r="J515" i="7"/>
  <c r="J1194" i="7"/>
  <c r="J55" i="7"/>
  <c r="E79" i="7"/>
  <c r="J1531" i="7"/>
  <c r="E33" i="7"/>
  <c r="E68" i="7"/>
  <c r="E83" i="7"/>
  <c r="J47" i="7"/>
  <c r="J835" i="7"/>
  <c r="G95" i="7"/>
  <c r="E24" i="7"/>
  <c r="G26" i="7"/>
  <c r="I36" i="7"/>
  <c r="E41" i="7"/>
  <c r="E53" i="7"/>
  <c r="J63" i="7"/>
  <c r="J723" i="7"/>
  <c r="E38" i="7"/>
  <c r="J1421" i="7"/>
  <c r="E51" i="7"/>
  <c r="E18" i="7"/>
  <c r="E87" i="7"/>
  <c r="J36" i="7"/>
  <c r="J345" i="7"/>
  <c r="J668" i="7"/>
  <c r="J1152" i="7"/>
  <c r="E93" i="7"/>
  <c r="J451" i="7"/>
  <c r="G47" i="7"/>
  <c r="G89" i="7"/>
  <c r="G63" i="7"/>
  <c r="E81" i="7"/>
  <c r="J1095" i="7"/>
  <c r="J1250" i="7"/>
  <c r="H47" i="7"/>
  <c r="J874" i="7"/>
  <c r="I26" i="7"/>
  <c r="H71" i="7"/>
  <c r="J89" i="7"/>
  <c r="E22" i="7"/>
  <c r="E82" i="7"/>
  <c r="E30" i="7"/>
  <c r="J732" i="7"/>
  <c r="E35" i="7"/>
  <c r="J1168" i="7"/>
  <c r="E88" i="7"/>
  <c r="E11" i="7"/>
  <c r="F47" i="7"/>
  <c r="E78" i="7"/>
  <c r="F89" i="7"/>
  <c r="E85" i="7"/>
  <c r="E40" i="17"/>
  <c r="AL1323" i="2"/>
  <c r="E31" i="7"/>
  <c r="E29" i="7"/>
  <c r="I47" i="7"/>
  <c r="E19" i="7"/>
  <c r="I71" i="7"/>
  <c r="E65" i="7"/>
  <c r="J895" i="7"/>
  <c r="I89" i="7"/>
  <c r="J26" i="7"/>
  <c r="H63" i="7"/>
  <c r="E40" i="7"/>
  <c r="F3" i="7"/>
  <c r="L100" i="7"/>
  <c r="J933" i="7"/>
  <c r="E69" i="7"/>
  <c r="G71" i="7"/>
  <c r="H15" i="7"/>
  <c r="F55" i="7"/>
  <c r="E49" i="7"/>
  <c r="E92" i="7"/>
  <c r="F95" i="7"/>
  <c r="H36" i="7"/>
  <c r="E17" i="7"/>
  <c r="F26" i="7"/>
  <c r="E86" i="7"/>
  <c r="J982" i="7"/>
  <c r="F76" i="7"/>
  <c r="E73" i="7"/>
  <c r="F63" i="7"/>
  <c r="E57" i="7"/>
  <c r="H89" i="7"/>
  <c r="E32" i="7"/>
  <c r="J598" i="7"/>
  <c r="E23" i="7"/>
  <c r="I55" i="7"/>
  <c r="E44" i="7"/>
  <c r="J1406" i="7"/>
  <c r="E46" i="7"/>
  <c r="N100" i="7"/>
  <c r="E50" i="7"/>
  <c r="E21" i="7"/>
  <c r="J949" i="7"/>
  <c r="J917" i="7"/>
  <c r="F71" i="7"/>
  <c r="E26" i="1"/>
  <c r="AL1393" i="2"/>
  <c r="G3" i="7"/>
  <c r="G15" i="7" s="1"/>
  <c r="M100" i="7"/>
  <c r="O100" i="7"/>
  <c r="I3" i="7"/>
  <c r="I15" i="7" s="1"/>
  <c r="E12" i="7"/>
  <c r="E61" i="7"/>
  <c r="H26" i="7"/>
  <c r="J1511" i="7"/>
  <c r="P100" i="7"/>
  <c r="J3" i="7"/>
  <c r="J15" i="7" s="1"/>
  <c r="E9" i="7"/>
  <c r="E5" i="7"/>
  <c r="E34" i="7"/>
  <c r="E14" i="7"/>
  <c r="E28" i="7"/>
  <c r="F36" i="7"/>
  <c r="E84" i="7"/>
  <c r="E54" i="7"/>
  <c r="U109" i="7" l="1"/>
  <c r="E76" i="7"/>
  <c r="T107" i="7"/>
  <c r="T106" i="7"/>
  <c r="T103" i="7"/>
  <c r="T101" i="7"/>
  <c r="T104" i="7"/>
  <c r="E95" i="7"/>
  <c r="E90" i="7"/>
  <c r="G2" i="7"/>
  <c r="E47" i="7"/>
  <c r="T102" i="7"/>
  <c r="I2" i="7"/>
  <c r="J2" i="7"/>
  <c r="U108" i="7"/>
  <c r="U100" i="7" s="1"/>
  <c r="J101" i="7"/>
  <c r="E63" i="7"/>
  <c r="E26" i="7"/>
  <c r="T105" i="7"/>
  <c r="E3" i="7"/>
  <c r="E15" i="7" s="1"/>
  <c r="F15" i="7"/>
  <c r="E55" i="7"/>
  <c r="E89" i="7"/>
  <c r="H2" i="7"/>
  <c r="E36" i="7"/>
  <c r="E71" i="7"/>
  <c r="T100" i="7" l="1"/>
  <c r="W100" i="7" s="1"/>
  <c r="W99" i="7" s="1"/>
  <c r="W9" i="7"/>
  <c r="W8" i="7" s="1"/>
  <c r="F2" i="7"/>
  <c r="E2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Pascasarjana</author>
  </authors>
  <commentList>
    <comment ref="P1278" authorId="0" shapeId="0" xr:uid="{00000000-0006-0000-0000-000001000000}">
      <text>
        <r>
          <rPr>
            <b/>
            <sz val="9"/>
            <rFont val="Tahoma"/>
            <family val="2"/>
          </rPr>
          <t>Pascasarjana:</t>
        </r>
        <r>
          <rPr>
            <sz val="9"/>
            <rFont val="Tahoma"/>
            <family val="2"/>
          </rPr>
          <t xml:space="preserve">
2018-1 Di SIM Keuangan masih ada Tagihan
BPN 131</t>
        </r>
      </text>
    </comment>
    <comment ref="P1406" authorId="0" shapeId="0" xr:uid="{00000000-0006-0000-0000-000002000000}">
      <text>
        <r>
          <rPr>
            <b/>
            <sz val="9"/>
            <rFont val="Tahoma"/>
            <family val="2"/>
          </rPr>
          <t>Pascasarjana:</t>
        </r>
        <r>
          <rPr>
            <sz val="9"/>
            <rFont val="Tahoma"/>
            <family val="2"/>
          </rPr>
          <t xml:space="preserve">
Dibayar di BPN-131</t>
        </r>
      </text>
    </comment>
    <comment ref="N1417" authorId="0" shapeId="0" xr:uid="{00000000-0006-0000-0000-000003000000}">
      <text>
        <r>
          <rPr>
            <b/>
            <sz val="9"/>
            <rFont val="Tahoma"/>
            <family val="2"/>
          </rPr>
          <t>Pascasarjana:</t>
        </r>
        <r>
          <rPr>
            <sz val="9"/>
            <rFont val="Tahoma"/>
            <family val="2"/>
          </rPr>
          <t xml:space="preserve">
Bayar Di BRI, Bkn Di BNI SALAH REKENING</t>
        </r>
      </text>
    </comment>
    <comment ref="J1684" authorId="0" shapeId="0" xr:uid="{00000000-0006-0000-0000-000004000000}">
      <text>
        <r>
          <rPr>
            <b/>
            <sz val="9"/>
            <rFont val="Tahoma"/>
            <family val="2"/>
          </rPr>
          <t>Pascasarjana:</t>
        </r>
        <r>
          <rPr>
            <sz val="9"/>
            <rFont val="Tahoma"/>
            <family val="2"/>
          </rPr>
          <t xml:space="preserve">
Pascasarjana:
Tidak ter-rekam di SIM Keuangan Virtual Account</t>
        </r>
      </text>
    </comment>
    <comment ref="L1684" authorId="0" shapeId="0" xr:uid="{00000000-0006-0000-0000-000005000000}">
      <text>
        <r>
          <rPr>
            <b/>
            <sz val="9"/>
            <rFont val="Tahoma"/>
            <family val="2"/>
          </rPr>
          <t>Pascasarjana:</t>
        </r>
        <r>
          <rPr>
            <sz val="9"/>
            <rFont val="Tahoma"/>
            <family val="2"/>
          </rPr>
          <t xml:space="preserve">
Tidak ter-rekam di SIM Keuangan Virtual Account</t>
        </r>
      </text>
    </comment>
    <comment ref="N1755" authorId="0" shapeId="0" xr:uid="{00000000-0006-0000-0000-000006000000}">
      <text>
        <r>
          <rPr>
            <b/>
            <sz val="9"/>
            <rFont val="Tahoma"/>
            <family val="2"/>
          </rPr>
          <t>Pascasarjana:</t>
        </r>
        <r>
          <rPr>
            <sz val="9"/>
            <rFont val="Tahoma"/>
            <family val="2"/>
          </rPr>
          <t xml:space="preserve">
Settng Cuti Otomatis, tapi dibayar SPP-nya</t>
        </r>
      </text>
    </comment>
    <comment ref="Q1941" authorId="0" shapeId="0" xr:uid="{00000000-0006-0000-0000-000007000000}">
      <text>
        <r>
          <rPr>
            <b/>
            <sz val="9"/>
            <rFont val="Tahoma"/>
            <family val="2"/>
          </rPr>
          <t>Pascasarjana:</t>
        </r>
        <r>
          <rPr>
            <sz val="9"/>
            <rFont val="Tahoma"/>
            <family val="2"/>
          </rPr>
          <t xml:space="preserve">
Dilunaskan dari sistem, karena pembayaran tidak terekam di Sister, bukti transaksi asli sudah fix</t>
        </r>
      </text>
    </comment>
    <comment ref="Q2039" authorId="0" shapeId="0" xr:uid="{00000000-0006-0000-0000-000008000000}">
      <text>
        <r>
          <rPr>
            <b/>
            <sz val="9"/>
            <rFont val="Tahoma"/>
            <family val="2"/>
          </rPr>
          <t>Pascasarjana:</t>
        </r>
        <r>
          <rPr>
            <sz val="9"/>
            <rFont val="Tahoma"/>
            <family val="2"/>
          </rPr>
          <t xml:space="preserve">
Pembayaran tidak terekam di SIM Keuangan, dilunaskan oleh Operator</t>
        </r>
      </text>
    </comment>
  </commentList>
</comments>
</file>

<file path=xl/sharedStrings.xml><?xml version="1.0" encoding="utf-8"?>
<sst xmlns="http://schemas.openxmlformats.org/spreadsheetml/2006/main" count="26483" uniqueCount="4880">
  <si>
    <t>No</t>
  </si>
  <si>
    <t>NIM</t>
  </si>
  <si>
    <t>Nama Mahasiswa</t>
  </si>
  <si>
    <t>PRODI</t>
  </si>
  <si>
    <t>KLS</t>
  </si>
  <si>
    <t>Status</t>
  </si>
  <si>
    <t>Registrasi/Matrikulasi</t>
  </si>
  <si>
    <t>SPP-1</t>
  </si>
  <si>
    <t>SPP-2</t>
  </si>
  <si>
    <t>SPP-3</t>
  </si>
  <si>
    <t>SPP-4</t>
  </si>
  <si>
    <t>SPP-5</t>
  </si>
  <si>
    <t>SPP-6</t>
  </si>
  <si>
    <t>SPP-7</t>
  </si>
  <si>
    <t>SPP-8</t>
  </si>
  <si>
    <t>UJIAN
Kuning sementara</t>
  </si>
  <si>
    <t>SPP-9</t>
  </si>
  <si>
    <t>SPP-10</t>
  </si>
  <si>
    <t>REKAPAN</t>
  </si>
  <si>
    <t>Tahun</t>
  </si>
  <si>
    <t>Lulus</t>
  </si>
  <si>
    <t>Tanggal</t>
  </si>
  <si>
    <t>Wisuda</t>
  </si>
  <si>
    <t>Cek Slip MAT BTN</t>
  </si>
  <si>
    <t>Total Biaya
Masuk</t>
  </si>
  <si>
    <t>Jumlah Kewajiban</t>
  </si>
  <si>
    <t>Kekurangan/ Tanggungan</t>
  </si>
  <si>
    <t>Masuk</t>
  </si>
  <si>
    <t>PASIF</t>
  </si>
  <si>
    <t>Jumlah</t>
  </si>
  <si>
    <t>Tgl Bayar</t>
  </si>
  <si>
    <t>AHMAD HANAFI, S.Ag</t>
  </si>
  <si>
    <t>PI</t>
  </si>
  <si>
    <t>LULUS</t>
  </si>
  <si>
    <t>FEBRY SUPRAPTO, S.Ag</t>
  </si>
  <si>
    <t>IBRAHIM, S.Ag</t>
  </si>
  <si>
    <t>JUMADI TEGUH SEMBODO, S.Ag</t>
  </si>
  <si>
    <t>Drs. KHOLIS</t>
  </si>
  <si>
    <t>KUNADI,S.Pd.I</t>
  </si>
  <si>
    <t>KUSNO, S.Ag</t>
  </si>
  <si>
    <t>M. SHODIK AR., S.Pd.</t>
  </si>
  <si>
    <t>MOEHAMAD THAYYIB,S.Pd</t>
  </si>
  <si>
    <t>ARIFATUL MAANI,S.Ag</t>
  </si>
  <si>
    <t>EVA MAGHFIROH,S.Sos.I</t>
  </si>
  <si>
    <t>IFAWATI ASRI MAWADDAH, S.HI</t>
  </si>
  <si>
    <t>SITI FATIMAH, S.Pd.I</t>
  </si>
  <si>
    <t>Dra. Hj. MUKNIAH</t>
  </si>
  <si>
    <t>MOH. NUR HUDA, S.Ag</t>
  </si>
  <si>
    <t>MOHAMAD SOLEHAN,S.Pd.I</t>
  </si>
  <si>
    <t>MUHAMMAD NURUL HUDA, S.Pd.I</t>
  </si>
  <si>
    <t>PUTUT ARI BOWO, S.Ag</t>
  </si>
  <si>
    <t>RUSYDI BAYAQUB,S.Ag</t>
  </si>
  <si>
    <t>SAIFUL FAOZI, Drs</t>
  </si>
  <si>
    <t>#$#</t>
  </si>
  <si>
    <t>SAMINGAN, S.Ag.,A.Pd</t>
  </si>
  <si>
    <t>ZAINUDDIN AL-HAJ ZAINI, Lc</t>
  </si>
  <si>
    <t>ZAINUL MUSTOFA,S.Pd.I</t>
  </si>
  <si>
    <t>ZAINUL HAKIM, S.EI</t>
  </si>
  <si>
    <t>LULUK MASLUCHA, S.HI</t>
  </si>
  <si>
    <t>Nuruddin, S.PdI</t>
  </si>
  <si>
    <t>SITI HAINI MUSYAROFAH, S.Pd.I</t>
  </si>
  <si>
    <t>-</t>
  </si>
  <si>
    <t xml:space="preserve">A. MAHFUD, S.Ag </t>
  </si>
  <si>
    <t>ABDUS SUKKUR, S.Ag</t>
  </si>
  <si>
    <t>Drs. ANSORI</t>
  </si>
  <si>
    <t>FAUSI KARIM, S.Ag</t>
  </si>
  <si>
    <t>HARIS FATHONI MAKMUR,SS</t>
  </si>
  <si>
    <t>Drs. KHAIRIL ANWAR</t>
  </si>
  <si>
    <t xml:space="preserve">MAHMUD YUNUS IM, S.Ag </t>
  </si>
  <si>
    <t/>
  </si>
  <si>
    <t>IZZATUL MILLAH, S.Ag</t>
  </si>
  <si>
    <t>/CT</t>
  </si>
  <si>
    <t>MOKH. HADERI, S.Ag</t>
  </si>
  <si>
    <t>MUHTAR GOZALI, Drs</t>
  </si>
  <si>
    <t>MUZANNI, S.Ag</t>
  </si>
  <si>
    <t>NURHADI, S.Ag</t>
  </si>
  <si>
    <t>NURUL HASAN, S.Pd.I</t>
  </si>
  <si>
    <t>SAMSUL WAHID, Drs</t>
  </si>
  <si>
    <t>SUCIPTO, S.Pd.I</t>
  </si>
  <si>
    <t>SUNARSIH, Dra</t>
  </si>
  <si>
    <t xml:space="preserve">UMI FADLILLAH RINJANI,S.Ag </t>
  </si>
  <si>
    <t>UMI SHOLIHATI, S.Ag</t>
  </si>
  <si>
    <t>ZAYYINAH HARIRIN, S.Sos.I</t>
  </si>
  <si>
    <t>HIDAYATUL LUTIFIYAH, S.Pd.I</t>
  </si>
  <si>
    <t xml:space="preserve">MOH. DASUKI,S.Pd.I </t>
  </si>
  <si>
    <t xml:space="preserve">MUHAMMAD TANTOWI,S.Pd.I </t>
  </si>
  <si>
    <t>MOHAMAD ILHAM PRIBADI,S.Pd</t>
  </si>
  <si>
    <t xml:space="preserve">ABDUL MUJIB, Drs. </t>
  </si>
  <si>
    <t>M. SALEH, S.Pd.I</t>
  </si>
  <si>
    <t>AHMAD SYARONI,S.Ag</t>
  </si>
  <si>
    <t>31/7/2012</t>
  </si>
  <si>
    <t>BADRUN FAWAIDI,S.Fil.I</t>
  </si>
  <si>
    <t>HABIBUL MAKIR RIDHO, S.Sos.I</t>
  </si>
  <si>
    <t>24/2/2012</t>
  </si>
  <si>
    <t xml:space="preserve">HANAFI BAIHAQI, Drs </t>
  </si>
  <si>
    <t>HATTA,S.Pd.I</t>
  </si>
  <si>
    <t>IMAM GOJALI, S.Pd.I</t>
  </si>
  <si>
    <t>13/10/2012</t>
  </si>
  <si>
    <t>23/2/2012</t>
  </si>
  <si>
    <t>KHOIRUL ANWAR. S.Pd.I</t>
  </si>
  <si>
    <t>M. AL MUTAWAKKIL ALALLOH, S.Pd.I</t>
  </si>
  <si>
    <t>NUR SABAHA, S.Th.I</t>
  </si>
  <si>
    <t>NURUL HIDAYAT, S.Pd.I</t>
  </si>
  <si>
    <t>RIFAN HUMAIDI, S.Pd.I</t>
  </si>
  <si>
    <t>UMI ARSO,S.Pd.I</t>
  </si>
  <si>
    <t>UMI MASUDAH,S.Ag</t>
  </si>
  <si>
    <t>SUDIRMAN, SH</t>
  </si>
  <si>
    <t>AHMAD BURHAN</t>
  </si>
  <si>
    <t>INDAH LESTARI ASIH, S.Pd.I</t>
  </si>
  <si>
    <t>ANGKATAN II  2009/ 2010</t>
  </si>
  <si>
    <t>MOH. ITQON SYAUQI</t>
  </si>
  <si>
    <t>ABDUL BASID</t>
  </si>
  <si>
    <t>Najmatul Millah</t>
  </si>
  <si>
    <t>AGUS DJUMANTORO</t>
  </si>
  <si>
    <t>SUHERI</t>
  </si>
  <si>
    <t>24/9/2010</t>
  </si>
  <si>
    <t>AFIFAH ZAKIYAH DAROJAH</t>
  </si>
  <si>
    <t>15/2/2012</t>
  </si>
  <si>
    <t>MOH. FUDHOLI</t>
  </si>
  <si>
    <t>HEMAM</t>
  </si>
  <si>
    <t>SOFYAN TSAURI</t>
  </si>
  <si>
    <t>SITI MARDIYAH</t>
  </si>
  <si>
    <t>ALI HASAN</t>
  </si>
  <si>
    <t>SETIO BUDI NURJAYA</t>
  </si>
  <si>
    <t>13/8/2010</t>
  </si>
  <si>
    <t>17/2/2012</t>
  </si>
  <si>
    <t>MAHPUD</t>
  </si>
  <si>
    <t>14/5/2012</t>
  </si>
  <si>
    <t>16/1/2013</t>
  </si>
  <si>
    <t>BURHAN MAHBUB</t>
  </si>
  <si>
    <t xml:space="preserve">                   </t>
  </si>
  <si>
    <t>KHOIRUL ANAM</t>
  </si>
  <si>
    <t>FAIRY UMNIYATIN NISAK</t>
  </si>
  <si>
    <t>21/10/2010</t>
  </si>
  <si>
    <t>14/12/2012</t>
  </si>
  <si>
    <t>MASKURI HADI</t>
  </si>
  <si>
    <t>AMMAD NASIKHIN</t>
  </si>
  <si>
    <t>CT</t>
  </si>
  <si>
    <t>RIZA ZULKARNAIN</t>
  </si>
  <si>
    <t>ANIQOTUL KHOIROH</t>
  </si>
  <si>
    <t>MOH. ANSHORI M.ALI</t>
  </si>
  <si>
    <t>GUNAWAN</t>
  </si>
  <si>
    <t>30/10/2010</t>
  </si>
  <si>
    <t>HAFIDZUL KAIS</t>
  </si>
  <si>
    <t>HASAN JAZULI</t>
  </si>
  <si>
    <t>MASRUKAH</t>
  </si>
  <si>
    <t>15/09/2010</t>
  </si>
  <si>
    <t>MUHAMMAD NASIKHIN</t>
  </si>
  <si>
    <t>30/8/2010</t>
  </si>
  <si>
    <t>30/</t>
  </si>
  <si>
    <t>ABD. WAHAB HS</t>
  </si>
  <si>
    <t>FATIMATUS ZAHRA</t>
  </si>
  <si>
    <t>20/4/2011</t>
  </si>
  <si>
    <t>ABD. SALIM</t>
  </si>
  <si>
    <t>25/7/2011</t>
  </si>
  <si>
    <t>ANGKATAN III</t>
  </si>
  <si>
    <t>MOHAMMAD MASRURI</t>
  </si>
  <si>
    <t>14/6/2011</t>
  </si>
  <si>
    <t>THOHA FAUZI</t>
  </si>
  <si>
    <t>24/2/2011</t>
  </si>
  <si>
    <t xml:space="preserve"> ISMAIL ZULQORNAIN</t>
  </si>
  <si>
    <t>IMAM MUQOID</t>
  </si>
  <si>
    <t>SYAIFUL RIJAL</t>
  </si>
  <si>
    <t>AHMAD SAYADI</t>
  </si>
  <si>
    <t>28/9/2010</t>
  </si>
  <si>
    <t>13/5/2011</t>
  </si>
  <si>
    <t>MUHASIB</t>
  </si>
  <si>
    <t>ROBIT WAJDI</t>
  </si>
  <si>
    <t>HARI CAHYONO</t>
  </si>
  <si>
    <t>ALIF MAHSUN</t>
  </si>
  <si>
    <t>20/11/2011</t>
  </si>
  <si>
    <t>SHONI RAHMATULLAH</t>
  </si>
  <si>
    <t>SAMAN</t>
  </si>
  <si>
    <t>AHMAD HAFID</t>
  </si>
  <si>
    <t>26/1/2012</t>
  </si>
  <si>
    <t>KHOIRUN SHALEH</t>
  </si>
  <si>
    <t>LAILATUL MAFTUHAH</t>
  </si>
  <si>
    <t>HODAIFAH</t>
  </si>
  <si>
    <t>WIWIN WIJIASTUTIK</t>
  </si>
  <si>
    <t>SITI SOFIAH</t>
  </si>
  <si>
    <t>PUJI ASTUTI</t>
  </si>
  <si>
    <t>13/8/2013</t>
  </si>
  <si>
    <t>MOH. BADRUS SHOLEH</t>
  </si>
  <si>
    <t>18/2/2012</t>
  </si>
  <si>
    <t>23/7/2012</t>
  </si>
  <si>
    <t>ACH. FAUZAN</t>
  </si>
  <si>
    <t>ALI WAFI</t>
  </si>
  <si>
    <t>25/7/2012</t>
  </si>
  <si>
    <t>MUHAMMAD MUKHLIS</t>
  </si>
  <si>
    <t>ABDUL AZIZ</t>
  </si>
  <si>
    <t>24/7/2012</t>
  </si>
  <si>
    <t>ANTON NAWAWI</t>
  </si>
  <si>
    <t>MIFTAHUS SURUR</t>
  </si>
  <si>
    <t>SHALEHODDIN</t>
  </si>
  <si>
    <t>13/8/2012</t>
  </si>
  <si>
    <t>MUHAMMAD ISMAIL</t>
  </si>
  <si>
    <t>18/2/2011</t>
  </si>
  <si>
    <t>17/10/2011</t>
  </si>
  <si>
    <t>MAHMUD NAHROWI</t>
  </si>
  <si>
    <t>20/9/2011</t>
  </si>
  <si>
    <t>27/7/2012</t>
  </si>
  <si>
    <t>SULAIMAN</t>
  </si>
  <si>
    <t>HENDRA EKO PRASETYO</t>
  </si>
  <si>
    <t>RUSLANI</t>
  </si>
  <si>
    <t>16/8/2012</t>
  </si>
  <si>
    <t>SUNARINGTYAS WULANDARI</t>
  </si>
  <si>
    <t>MAZIYATUR ROFIAH</t>
  </si>
  <si>
    <t>27/7/2011</t>
  </si>
  <si>
    <t>AINI NURIYANTI</t>
  </si>
  <si>
    <t>INDAH ISWATI</t>
  </si>
  <si>
    <t>ERMA FATMAWATI</t>
  </si>
  <si>
    <t>AFRIDA NUR LAILI</t>
  </si>
  <si>
    <t>Angkatan IV TA. 2010/2012</t>
  </si>
  <si>
    <t>Mufida Ulfa</t>
  </si>
  <si>
    <t>Widodo</t>
  </si>
  <si>
    <t>22/7/2011</t>
  </si>
  <si>
    <t>Ahmad Ihwanul Muttaqin</t>
  </si>
  <si>
    <t>Yudi Ardian Rahman</t>
  </si>
  <si>
    <t>Siti Suhaemi</t>
  </si>
  <si>
    <t>27/1/2012</t>
  </si>
  <si>
    <t>Yeni Tri Nur Rahmawati</t>
  </si>
  <si>
    <t>20/7/2011</t>
  </si>
  <si>
    <t>Jadzibiyah Thoyyibah</t>
  </si>
  <si>
    <t>Imron Fauzi</t>
  </si>
  <si>
    <t>21/7/2011</t>
  </si>
  <si>
    <t>Ubaidillah</t>
  </si>
  <si>
    <t>Imam Wahyudi</t>
  </si>
  <si>
    <t>27/01/2012</t>
  </si>
  <si>
    <t>Imam Asyari</t>
  </si>
  <si>
    <t>14/8/2010</t>
  </si>
  <si>
    <t>M.Khoirul Anam Hasan</t>
  </si>
  <si>
    <t>17/11/2011</t>
  </si>
  <si>
    <t>Nasrullah</t>
  </si>
  <si>
    <t>15/1/2010</t>
  </si>
  <si>
    <t>Akhmad Zaini</t>
  </si>
  <si>
    <t>Nanang Budianto</t>
  </si>
  <si>
    <t>14/1/2010</t>
  </si>
  <si>
    <t>29/7/2011</t>
  </si>
  <si>
    <t>Ahmad Nur Mahfudz</t>
  </si>
  <si>
    <t>21/11/2011</t>
  </si>
  <si>
    <t>Husen</t>
  </si>
  <si>
    <t>19/7/2011</t>
  </si>
  <si>
    <t>20/12/2011</t>
  </si>
  <si>
    <t>M.Mustajib Anis</t>
  </si>
  <si>
    <t>Muhammad Thoyyib</t>
  </si>
  <si>
    <t>Izzat FahId</t>
  </si>
  <si>
    <t>13/1/2010</t>
  </si>
  <si>
    <t>19/8/2010</t>
  </si>
  <si>
    <t>18/4/2013</t>
  </si>
  <si>
    <t>20/4/2013</t>
  </si>
  <si>
    <t>Moh. Haidlor</t>
  </si>
  <si>
    <t>14/12/2009</t>
  </si>
  <si>
    <t>30/3/2012</t>
  </si>
  <si>
    <t>30/3/2014</t>
  </si>
  <si>
    <t>26/9/2014</t>
  </si>
  <si>
    <t>Ahmad</t>
  </si>
  <si>
    <t>25/4/2013</t>
  </si>
  <si>
    <t>25/9/2014</t>
  </si>
  <si>
    <t>Nur Ihwatin</t>
  </si>
  <si>
    <t>14/2/2011</t>
  </si>
  <si>
    <t>Dhevin M.Q. Agus Puspita W</t>
  </si>
  <si>
    <t>13/2/2011</t>
  </si>
  <si>
    <t xml:space="preserve"> </t>
  </si>
  <si>
    <t>Rizqin Handayani</t>
  </si>
  <si>
    <t>15/01/2010</t>
  </si>
  <si>
    <t>25/8/2011</t>
  </si>
  <si>
    <t>Mohammad Andi Susanto</t>
  </si>
  <si>
    <t>18/1/2010</t>
  </si>
  <si>
    <t>22/07/2011</t>
  </si>
  <si>
    <t>31/01/2012</t>
  </si>
  <si>
    <t>31/07/2015</t>
  </si>
  <si>
    <t>Mulyo Sujono</t>
  </si>
  <si>
    <t>20/3/2014</t>
  </si>
  <si>
    <t>Sofyan Rofi</t>
  </si>
  <si>
    <t>16/8/2011</t>
  </si>
  <si>
    <t>14/2/2012</t>
  </si>
  <si>
    <t>LS</t>
  </si>
  <si>
    <t>Taufiq Eko Nugroho</t>
  </si>
  <si>
    <t>28/1/2012</t>
  </si>
  <si>
    <t>27/5/2013</t>
  </si>
  <si>
    <t>18/12/2013</t>
  </si>
  <si>
    <t>Supardi</t>
  </si>
  <si>
    <t>19/2/2010</t>
  </si>
  <si>
    <t>Akhmad Faili</t>
  </si>
  <si>
    <t>16/8/2010</t>
  </si>
  <si>
    <t>18/3/2011</t>
  </si>
  <si>
    <t>19/7/2012</t>
  </si>
  <si>
    <t>ANGKATAN V</t>
  </si>
  <si>
    <t>Tri Yulianto Eko Saputro</t>
  </si>
  <si>
    <t>15/7/2010</t>
  </si>
  <si>
    <t>30/7/2012</t>
  </si>
  <si>
    <t>Ahmad Junaedi Effendi</t>
  </si>
  <si>
    <t>16/2/2012</t>
  </si>
  <si>
    <t>LS 2012</t>
  </si>
  <si>
    <t>Muhtar Zaini Dahlan</t>
  </si>
  <si>
    <t>14/6/2012</t>
  </si>
  <si>
    <t>Burhanuddin</t>
  </si>
  <si>
    <t>Imam Maliki</t>
  </si>
  <si>
    <t>26/7/2011</t>
  </si>
  <si>
    <t>Ainur Rofiq</t>
  </si>
  <si>
    <t>Nidaul Huriyah</t>
  </si>
  <si>
    <t>28/2/2013</t>
  </si>
  <si>
    <t>16/9/13</t>
  </si>
  <si>
    <t>26/06/2014</t>
  </si>
  <si>
    <t>Nurul Muhtar</t>
  </si>
  <si>
    <t>Vina Suroya</t>
  </si>
  <si>
    <t>Muhammad Robitho</t>
  </si>
  <si>
    <t>30/9/2011</t>
  </si>
  <si>
    <t>3/8/12 AKTIF KEMBALI</t>
  </si>
  <si>
    <t xml:space="preserve">08/06/15    </t>
  </si>
  <si>
    <t xml:space="preserve">08/06/15   </t>
  </si>
  <si>
    <t>Mohammad Iskandar</t>
  </si>
  <si>
    <t>18/7/2011</t>
  </si>
  <si>
    <t>15/5/2012</t>
  </si>
  <si>
    <t>Hamid</t>
  </si>
  <si>
    <t>Wardatul Jannah</t>
  </si>
  <si>
    <t>15/7/2011</t>
  </si>
  <si>
    <t>20/2/2012</t>
  </si>
  <si>
    <t>Imam Sujai</t>
  </si>
  <si>
    <t>Halili</t>
  </si>
  <si>
    <t>Ach. Fauzan Effendy</t>
  </si>
  <si>
    <t>27/9/2011</t>
  </si>
  <si>
    <t>17/10/2013</t>
  </si>
  <si>
    <t>25/6/2013</t>
  </si>
  <si>
    <t>Nuronieyah</t>
  </si>
  <si>
    <t>23/7/2010</t>
  </si>
  <si>
    <t>29/8/2012</t>
  </si>
  <si>
    <t>Saadah Zawawi</t>
  </si>
  <si>
    <t>30/7/2010</t>
  </si>
  <si>
    <t>Subariyanto</t>
  </si>
  <si>
    <t>24/8/2010</t>
  </si>
  <si>
    <t>28/8/2012</t>
  </si>
  <si>
    <t>Abdul Hamid</t>
  </si>
  <si>
    <t>16/7/2010</t>
  </si>
  <si>
    <t>Abdul Mukid</t>
  </si>
  <si>
    <t>26/7/2012</t>
  </si>
  <si>
    <t>Muhtaris Syafii</t>
  </si>
  <si>
    <t>15/1/2013</t>
  </si>
  <si>
    <t>Abd. Lathif Syafii</t>
  </si>
  <si>
    <t>18/5/2010</t>
  </si>
  <si>
    <t>21/1/2013</t>
  </si>
  <si>
    <t>21/7/2013</t>
  </si>
  <si>
    <t>Linda Wahyuni</t>
  </si>
  <si>
    <t>20/7/2012</t>
  </si>
  <si>
    <t>Jamiluddin Usman</t>
  </si>
  <si>
    <t>14/5/2010</t>
  </si>
  <si>
    <t>28/7/2011</t>
  </si>
  <si>
    <t>Khotim Ashom</t>
  </si>
  <si>
    <t>Zubaida</t>
  </si>
  <si>
    <t>13/4/2012</t>
  </si>
  <si>
    <t>I Gustin Fuji Alwaty Oktavia</t>
  </si>
  <si>
    <t>22/2/2012</t>
  </si>
  <si>
    <t>Mohammad Rofiq</t>
  </si>
  <si>
    <t>19/9/2011</t>
  </si>
  <si>
    <t>25/3/2013</t>
  </si>
  <si>
    <t>Nasiruddin.F</t>
  </si>
  <si>
    <t>Sudarsono</t>
  </si>
  <si>
    <t>23/8/2010</t>
  </si>
  <si>
    <t>Robby Sadha Siregar</t>
  </si>
  <si>
    <t>Manshur Musthofa</t>
  </si>
  <si>
    <t>31/8/2012</t>
  </si>
  <si>
    <t>Abdur Roziq</t>
  </si>
  <si>
    <t>21/9/2011</t>
  </si>
  <si>
    <t>Siti Rukayah</t>
  </si>
  <si>
    <t>Lailatul Usriyah</t>
  </si>
  <si>
    <t>21/2/2012</t>
  </si>
  <si>
    <t>Agus Fawait</t>
  </si>
  <si>
    <t>Mohammad Zaini</t>
  </si>
  <si>
    <t>26/4/2012</t>
  </si>
  <si>
    <t>Abdullah Murtadlo</t>
  </si>
  <si>
    <t>27/9/2012</t>
  </si>
  <si>
    <t>A. Muis Mubarok</t>
  </si>
  <si>
    <t>29/9/2011</t>
  </si>
  <si>
    <t>Haifur</t>
  </si>
  <si>
    <t>Mohammad Yahya</t>
  </si>
  <si>
    <t>27/8/2012</t>
  </si>
  <si>
    <t>Kholifah Nurisa Ariyanto</t>
  </si>
  <si>
    <t>Ina Husnatul Amalia</t>
  </si>
  <si>
    <t>Zainuddin Fanani</t>
  </si>
  <si>
    <t>Paijan</t>
  </si>
  <si>
    <t>29/11/2012</t>
  </si>
  <si>
    <t>28/5/2013</t>
  </si>
  <si>
    <t>Iin Nur Afifah</t>
  </si>
  <si>
    <t xml:space="preserve">        </t>
  </si>
  <si>
    <t>Abdul Halim</t>
  </si>
  <si>
    <t>Naillul Murom</t>
  </si>
  <si>
    <t>20/06/2014</t>
  </si>
  <si>
    <t>Ahmad Shidqi Dian Afandi</t>
  </si>
  <si>
    <t>Askhiyah Sholihati</t>
  </si>
  <si>
    <t>30/04/2013</t>
  </si>
  <si>
    <t>Siti Maria Ulfa</t>
  </si>
  <si>
    <t>30/8/2012</t>
  </si>
  <si>
    <t>Mohammad Ali Mudini</t>
  </si>
  <si>
    <t>Ikhwan Syarofi</t>
  </si>
  <si>
    <t>22/9/2011</t>
  </si>
  <si>
    <t>30/03/2015</t>
  </si>
  <si>
    <t>30/02/15</t>
  </si>
  <si>
    <t>Mustofa</t>
  </si>
  <si>
    <t xml:space="preserve"> (CT AKTIF KEMBALI</t>
  </si>
  <si>
    <t>19/4/2013</t>
  </si>
  <si>
    <t>Ahmad Winarno</t>
  </si>
  <si>
    <t>Ali Furqon</t>
  </si>
  <si>
    <t>Siti Afifah</t>
  </si>
  <si>
    <t>M. Sujari</t>
  </si>
  <si>
    <t>Siti Nur Hayati</t>
  </si>
  <si>
    <t>5/2/2013</t>
  </si>
  <si>
    <t>21/04/15</t>
  </si>
  <si>
    <t>21/4/2015</t>
  </si>
  <si>
    <t>21/04/2015</t>
  </si>
  <si>
    <t>HM. Adi Sucipto</t>
  </si>
  <si>
    <t>Aris Sulaiman</t>
  </si>
  <si>
    <t>A. Muiz Mubarok</t>
  </si>
  <si>
    <t>29/04/15</t>
  </si>
  <si>
    <t>29/4/2015</t>
  </si>
  <si>
    <t>29/04/2015</t>
  </si>
  <si>
    <t>Moh. Aspar</t>
  </si>
  <si>
    <t>19/4/2012</t>
  </si>
  <si>
    <t>ANGKATAN VI</t>
  </si>
  <si>
    <t>Abd. Aziz R</t>
  </si>
  <si>
    <t>Abdul Mufid</t>
  </si>
  <si>
    <t>Abdul Muni</t>
  </si>
  <si>
    <t>19/7/2013</t>
  </si>
  <si>
    <t>15/8/2013</t>
  </si>
  <si>
    <t>Adi Wijaya</t>
  </si>
  <si>
    <t>Amiruddin</t>
  </si>
  <si>
    <t>Ana Aniati</t>
  </si>
  <si>
    <t>29/5/2014</t>
  </si>
  <si>
    <t>13/11/2014</t>
  </si>
  <si>
    <t>29/5/2013</t>
  </si>
  <si>
    <t>Ana Lustiyowati</t>
  </si>
  <si>
    <t>Fitra Huda Hardiansyah</t>
  </si>
  <si>
    <t>Hafidz Iqbal Wira Damiri</t>
  </si>
  <si>
    <t>27/2/2014</t>
  </si>
  <si>
    <t>17/09/2015</t>
  </si>
  <si>
    <t>Hanik Murdlorini</t>
  </si>
  <si>
    <t>Irfa Asyat Firmansyah</t>
  </si>
  <si>
    <t>17/9/2012</t>
  </si>
  <si>
    <t>24/1/2014</t>
  </si>
  <si>
    <t>Jasuli</t>
  </si>
  <si>
    <t>M. Shoiful Muchlish A</t>
  </si>
  <si>
    <t>14/2/2013</t>
  </si>
  <si>
    <t>Mambaul Hikmah</t>
  </si>
  <si>
    <t>28/9/2012</t>
  </si>
  <si>
    <t>Marsudi</t>
  </si>
  <si>
    <t>24/8/2011</t>
  </si>
  <si>
    <t>Muh. Thoha</t>
  </si>
  <si>
    <t>18/2/2013</t>
  </si>
  <si>
    <t>Riyadlotun Maftuhah</t>
  </si>
  <si>
    <t>16/3/2012</t>
  </si>
  <si>
    <t>24/6/2013</t>
  </si>
  <si>
    <t>Sri Ilmiyati Zakiyah</t>
  </si>
  <si>
    <t>A. Mahdi</t>
  </si>
  <si>
    <t>23/4/2013</t>
  </si>
  <si>
    <t>16/7/2013</t>
  </si>
  <si>
    <t>Abdul Gafurur Rohim</t>
  </si>
  <si>
    <t>Afifatur Rohmah</t>
  </si>
  <si>
    <t>Badri Rofiki</t>
  </si>
  <si>
    <t>31/12/2013</t>
  </si>
  <si>
    <t>Fathor Rohman</t>
  </si>
  <si>
    <t>14/5/2013</t>
  </si>
  <si>
    <t>15/7/2013</t>
  </si>
  <si>
    <t>Hariyono</t>
  </si>
  <si>
    <t>Hasin</t>
  </si>
  <si>
    <t>25/10/2012</t>
  </si>
  <si>
    <t>M. Selvy Alamul Huda</t>
  </si>
  <si>
    <t>14/7/2011</t>
  </si>
  <si>
    <t>25/4/2012</t>
  </si>
  <si>
    <t>16/8/2013</t>
  </si>
  <si>
    <t>21/6/2013</t>
  </si>
  <si>
    <t>M. Sholeh Baidlawi</t>
  </si>
  <si>
    <t>22/8/2011</t>
  </si>
  <si>
    <t>Moh. Shohiful Hasan</t>
  </si>
  <si>
    <t>Mory ViCTor Febrianto</t>
  </si>
  <si>
    <t>19/9/2014</t>
  </si>
  <si>
    <t>Muhammad Ansori</t>
  </si>
  <si>
    <t>Beasiswa</t>
  </si>
  <si>
    <t>17/3/2012</t>
  </si>
  <si>
    <t>27/2/2013</t>
  </si>
  <si>
    <t>Nahliatul Uslah</t>
  </si>
  <si>
    <t>Rifatul Himmah</t>
  </si>
  <si>
    <t>22/10/2012</t>
  </si>
  <si>
    <t>31/5/2013</t>
  </si>
  <si>
    <t>Siti Nurfadilah</t>
  </si>
  <si>
    <t>Syamsul Bakori</t>
  </si>
  <si>
    <t>26/2/2014</t>
  </si>
  <si>
    <t>Zainal Anshari</t>
  </si>
  <si>
    <t>29/1/2013</t>
  </si>
  <si>
    <t>29/1/113</t>
  </si>
  <si>
    <t>Istifadah</t>
  </si>
  <si>
    <t>Joko Purnomo</t>
  </si>
  <si>
    <t>25/02/2014</t>
  </si>
  <si>
    <t>02/12/2015</t>
  </si>
  <si>
    <t>Ach. Fauzan Adimiah</t>
  </si>
  <si>
    <t>Ahmad Hamam Al-Fadil</t>
  </si>
  <si>
    <t>Himmatunnisak</t>
  </si>
  <si>
    <t>21/12/2012</t>
  </si>
  <si>
    <t>Kusuma Wardani</t>
  </si>
  <si>
    <t>30/7/2011</t>
  </si>
  <si>
    <t>19/2/2012</t>
  </si>
  <si>
    <t>38/12</t>
  </si>
  <si>
    <t>M. Agus Salim</t>
  </si>
  <si>
    <t>M. Umar Hasibullah</t>
  </si>
  <si>
    <t>17/5/2013</t>
  </si>
  <si>
    <t>17/5/013</t>
  </si>
  <si>
    <t>Minnaturrohma</t>
  </si>
  <si>
    <t>19/9/2012</t>
  </si>
  <si>
    <t>14-6/2013</t>
  </si>
  <si>
    <t>Moh.Ghandy Yudha</t>
  </si>
  <si>
    <t>Muhamad Suhadi</t>
  </si>
  <si>
    <t>Muhammad Umar</t>
  </si>
  <si>
    <t>14/1/2013</t>
  </si>
  <si>
    <t>RH. Mustofa Hisyam</t>
  </si>
  <si>
    <t>Sakinah</t>
  </si>
  <si>
    <t>14/11/2012</t>
  </si>
  <si>
    <t>26/4/2013</t>
  </si>
  <si>
    <t>Subakri</t>
  </si>
  <si>
    <t>Sulaiman</t>
  </si>
  <si>
    <t>29/7/2010</t>
  </si>
  <si>
    <t>23/11/2012</t>
  </si>
  <si>
    <t>Sulistiyani</t>
  </si>
  <si>
    <t>Syaroni</t>
  </si>
  <si>
    <t>Wafi Ali Hajjaj</t>
  </si>
  <si>
    <t>20/4/2012</t>
  </si>
  <si>
    <t>Nur Faizah</t>
  </si>
  <si>
    <t>18/7/2013</t>
  </si>
  <si>
    <t>Angkatan VII 2011/2012</t>
  </si>
  <si>
    <t>Moh. Sewi</t>
  </si>
  <si>
    <t>MPI</t>
  </si>
  <si>
    <t>15/2/2013</t>
  </si>
  <si>
    <t>17/7/2013</t>
  </si>
  <si>
    <t>Syarofah</t>
  </si>
  <si>
    <t>Ibrahim</t>
  </si>
  <si>
    <t>27/7/2013</t>
  </si>
  <si>
    <t>Indah Rohmatuz Zahro</t>
  </si>
  <si>
    <t>17/2/2013</t>
  </si>
  <si>
    <t>31/7/2013</t>
  </si>
  <si>
    <t>Muslim Al- Huda</t>
  </si>
  <si>
    <t>24/7/2013</t>
  </si>
  <si>
    <t>26/7/2013</t>
  </si>
  <si>
    <t>Abdul Goffar</t>
  </si>
  <si>
    <t>Idris Mahmudi</t>
  </si>
  <si>
    <t>Sunarji</t>
  </si>
  <si>
    <t>Supriyadi</t>
  </si>
  <si>
    <t>ST. MAIMUNAH UMAR</t>
  </si>
  <si>
    <t>28/1/2013</t>
  </si>
  <si>
    <t>Bakhrain Akhmad N.K</t>
  </si>
  <si>
    <t>28/2/2014</t>
  </si>
  <si>
    <t>M. Rizal Ferdiansyah</t>
  </si>
  <si>
    <t>2/8/2013</t>
  </si>
  <si>
    <t>Lukman Arif</t>
  </si>
  <si>
    <t>Ibnun Nasuha Thohir</t>
  </si>
  <si>
    <t>Ahmad Kamil</t>
  </si>
  <si>
    <t>Abdul Barhan</t>
  </si>
  <si>
    <t>21/1/2014</t>
  </si>
  <si>
    <t>Ahmad Ikhsan Dimyati</t>
  </si>
  <si>
    <t>13/1/2014</t>
  </si>
  <si>
    <t>Fikri Farihin</t>
  </si>
  <si>
    <t>30/5/2011</t>
  </si>
  <si>
    <t xml:space="preserve">                              U  </t>
  </si>
  <si>
    <t>22/2/2013</t>
  </si>
  <si>
    <t>30/5/2013</t>
  </si>
  <si>
    <t>Ida Rahmawati</t>
  </si>
  <si>
    <t>27/9/2013</t>
  </si>
  <si>
    <t>St. Muanifah</t>
  </si>
  <si>
    <t>Siti Roisah</t>
  </si>
  <si>
    <t>Moh. Sunarji</t>
  </si>
  <si>
    <t>23/02/2015</t>
  </si>
  <si>
    <t>Ita Dwi Wulandari</t>
  </si>
  <si>
    <t>Nurish Shufi</t>
  </si>
  <si>
    <t>30/10/2015</t>
  </si>
  <si>
    <t>farhadudin sholeh</t>
  </si>
  <si>
    <t>28/08/2015</t>
  </si>
  <si>
    <t>31/08/2015</t>
  </si>
  <si>
    <t>19/08/2015</t>
  </si>
  <si>
    <t>afandi</t>
  </si>
  <si>
    <t>belum</t>
  </si>
  <si>
    <t>LS tp ijazah tdk boleh di ambil</t>
  </si>
  <si>
    <t>Angkatan VII Beasiswa Supervisi (Full)</t>
  </si>
  <si>
    <t>Yuyun Isnawati</t>
  </si>
  <si>
    <t>SUPERVISI</t>
  </si>
  <si>
    <t>NK Zahroh</t>
  </si>
  <si>
    <t>Mustofa Zuhri</t>
  </si>
  <si>
    <t>Imron Rosady</t>
  </si>
  <si>
    <t>27/8/2013</t>
  </si>
  <si>
    <t>Seniwati</t>
  </si>
  <si>
    <t>Abd. Munif</t>
  </si>
  <si>
    <t>Zaenul Hadi</t>
  </si>
  <si>
    <t>Zainal Arifin</t>
  </si>
  <si>
    <t>24/01/2014</t>
  </si>
  <si>
    <t>24/04/2014</t>
  </si>
  <si>
    <t>SaIFUL Bahri</t>
  </si>
  <si>
    <t>Hamim Tohari</t>
  </si>
  <si>
    <t>Lina Tindarwati</t>
  </si>
  <si>
    <t>Zainuddin AM</t>
  </si>
  <si>
    <t>Moh. Syarifuddin</t>
  </si>
  <si>
    <t>Ofiq Dzulfiqor</t>
  </si>
  <si>
    <t>Kamilatul Badriyah</t>
  </si>
  <si>
    <t>Syamsun HS</t>
  </si>
  <si>
    <t>Mashudi</t>
  </si>
  <si>
    <t>Nur Hasyim</t>
  </si>
  <si>
    <t>Retno Wahyu Wardani</t>
  </si>
  <si>
    <t>Adam Hadi</t>
  </si>
  <si>
    <t>Ahmad Masduki</t>
  </si>
  <si>
    <t>Samsul Farit</t>
  </si>
  <si>
    <t>Ahmad Junaidi</t>
  </si>
  <si>
    <t>Kelas Beasiswa Lepas Angkatan VII Rp. 7000,0000</t>
  </si>
  <si>
    <t>Zainul Arifin</t>
  </si>
  <si>
    <t>15/5/2013</t>
  </si>
  <si>
    <t>Hosnati</t>
  </si>
  <si>
    <t>15/5/2014</t>
  </si>
  <si>
    <t>Ahmad Nuh</t>
  </si>
  <si>
    <t>Darmawan</t>
  </si>
  <si>
    <t>Mursidi</t>
  </si>
  <si>
    <t>Hatib</t>
  </si>
  <si>
    <t>M. Nur Rofiq</t>
  </si>
  <si>
    <t>Nurul Tjahjawati</t>
  </si>
  <si>
    <t>Sri Watinungrum</t>
  </si>
  <si>
    <t>Hulilatur Rahniah</t>
  </si>
  <si>
    <t>Masrur Baihaqi</t>
  </si>
  <si>
    <t>Muh. Hasim</t>
  </si>
  <si>
    <t>Suyatno</t>
  </si>
  <si>
    <t>23/8/2013</t>
  </si>
  <si>
    <t>Nasiruddin</t>
  </si>
  <si>
    <t>29/4/2013</t>
  </si>
  <si>
    <t>30/8/2013</t>
  </si>
  <si>
    <t>Munifah Rafiud Darajat</t>
  </si>
  <si>
    <t>19/8/2014</t>
  </si>
  <si>
    <t>19/08/2014</t>
  </si>
  <si>
    <t>LS  21/11/15</t>
  </si>
  <si>
    <t>Hariyanto</t>
  </si>
  <si>
    <t>Muslehuddin</t>
  </si>
  <si>
    <t>Suhairiyah</t>
  </si>
  <si>
    <t>Hasnatul</t>
  </si>
  <si>
    <t>Muhammad Slamet</t>
  </si>
  <si>
    <t>30/4/2013</t>
  </si>
  <si>
    <t>28/11/2013</t>
  </si>
  <si>
    <t>Mudaris</t>
  </si>
  <si>
    <t>14/6/2013</t>
  </si>
  <si>
    <t>Zainullah</t>
  </si>
  <si>
    <t>Abdul Latif Anwar</t>
  </si>
  <si>
    <t>Abd. Hamid</t>
  </si>
  <si>
    <t>27/12/2013</t>
  </si>
  <si>
    <t>23/11/2015</t>
  </si>
  <si>
    <t>Wahyu Nur Indah</t>
  </si>
  <si>
    <t>28/3/2013</t>
  </si>
  <si>
    <t>21/11/2013</t>
  </si>
  <si>
    <t>Siti Jahroh</t>
  </si>
  <si>
    <t>14/8/2012</t>
  </si>
  <si>
    <t>29/7/2013</t>
  </si>
  <si>
    <t>Imam Turmudi</t>
  </si>
  <si>
    <t xml:space="preserve">   </t>
  </si>
  <si>
    <t>Lutfianingsih</t>
  </si>
  <si>
    <t>25/7/2013</t>
  </si>
  <si>
    <t>Fiberti Dewi Safitri</t>
  </si>
  <si>
    <t>Nur Anisah</t>
  </si>
  <si>
    <t>22/7/2013</t>
  </si>
  <si>
    <t>Zaenal Muttaqin</t>
  </si>
  <si>
    <t>22/8/2013</t>
  </si>
  <si>
    <t>Abdi Munib</t>
  </si>
  <si>
    <t>22/11/2013</t>
  </si>
  <si>
    <t>Sunarto</t>
  </si>
  <si>
    <t>20/12/2013</t>
  </si>
  <si>
    <t>25/06/2016</t>
  </si>
  <si>
    <t>25/6/2014</t>
  </si>
  <si>
    <t xml:space="preserve">Holil </t>
  </si>
  <si>
    <t>27/2/2012</t>
  </si>
  <si>
    <t>M.Sadik</t>
  </si>
  <si>
    <t>Zuhri</t>
  </si>
  <si>
    <t>Madrai</t>
  </si>
  <si>
    <t>28/2/2012</t>
  </si>
  <si>
    <t>Ahmad Saidi</t>
  </si>
  <si>
    <t>14/9/2012</t>
  </si>
  <si>
    <t>Zuhrotul Munawaroh</t>
  </si>
  <si>
    <t>Beasiswa part time</t>
  </si>
  <si>
    <t>20/8/2014</t>
  </si>
  <si>
    <t>Hasanatul Aliah</t>
  </si>
  <si>
    <t>Ahmad Fauzi</t>
  </si>
  <si>
    <t>22/02/2012</t>
  </si>
  <si>
    <t>23/12/2013</t>
  </si>
  <si>
    <t>Abdul Afif</t>
  </si>
  <si>
    <t>17/9/2013</t>
  </si>
  <si>
    <t>19/9/2013</t>
  </si>
  <si>
    <t>Angkatan VIII</t>
  </si>
  <si>
    <t>Abd Rahiem</t>
  </si>
  <si>
    <t xml:space="preserve">CT </t>
  </si>
  <si>
    <t>Abdul Aziz Al Faqih</t>
  </si>
  <si>
    <t>Ach. Anwari</t>
  </si>
  <si>
    <t>Agus Rubiyanto</t>
  </si>
  <si>
    <t>Aksan Hudori</t>
  </si>
  <si>
    <t>31/1/2012</t>
  </si>
  <si>
    <t>25/3/2014</t>
  </si>
  <si>
    <t>27/6/2014</t>
  </si>
  <si>
    <t>Badrut Tamami</t>
  </si>
  <si>
    <t>31/1/2013</t>
  </si>
  <si>
    <t>Hijrah Isnaini</t>
  </si>
  <si>
    <t>30/1/2012</t>
  </si>
  <si>
    <t>Hudri</t>
  </si>
  <si>
    <t>23/7/2013</t>
  </si>
  <si>
    <t>Kurnaidi</t>
  </si>
  <si>
    <t>Maimunah Jauhari</t>
  </si>
  <si>
    <t>Moh Munawir</t>
  </si>
  <si>
    <t>30/1/2013</t>
  </si>
  <si>
    <t>Muhamad Rodhi</t>
  </si>
  <si>
    <t>Muhammad Fauzun</t>
  </si>
  <si>
    <t>27/1/2013</t>
  </si>
  <si>
    <t>24/6/2016</t>
  </si>
  <si>
    <t>24/2/2014</t>
  </si>
  <si>
    <t>Nasihin Bh</t>
  </si>
  <si>
    <t>27/1/2014</t>
  </si>
  <si>
    <t>Robiatul Adawiyah</t>
  </si>
  <si>
    <t>27/1/2015</t>
  </si>
  <si>
    <t>Safitri Zubaidah</t>
  </si>
  <si>
    <t>27/1/2016</t>
  </si>
  <si>
    <t>Umi KuLSum</t>
  </si>
  <si>
    <t>27/1/2017</t>
  </si>
  <si>
    <t>Zaenal Abidin</t>
  </si>
  <si>
    <t>27/1/2018</t>
  </si>
  <si>
    <t>Mochammad Holil Asyari</t>
  </si>
  <si>
    <t>30/1/2014</t>
  </si>
  <si>
    <t>6/2/2013</t>
  </si>
  <si>
    <t>30/1/2015</t>
  </si>
  <si>
    <t>Rohman</t>
  </si>
  <si>
    <t>Abdul Hadi</t>
  </si>
  <si>
    <t>24/6/2014</t>
  </si>
  <si>
    <t>Abdul HaQ AS</t>
  </si>
  <si>
    <t>23/5/2013</t>
  </si>
  <si>
    <t>Abu Aman Shiddiq Al-Ghofir</t>
  </si>
  <si>
    <t>Achmad Faisol</t>
  </si>
  <si>
    <t>17/3/2014</t>
  </si>
  <si>
    <t>20/5/2014</t>
  </si>
  <si>
    <t>Ahmad Fauzan</t>
  </si>
  <si>
    <t>20/05/2014</t>
  </si>
  <si>
    <t>14/8/2013</t>
  </si>
  <si>
    <t>Anjar Suthiatul Munawaroh</t>
  </si>
  <si>
    <t>Arifia Retna Yunita</t>
  </si>
  <si>
    <t>Asyhari Anwar</t>
  </si>
  <si>
    <t>Evi Resti Dianita</t>
  </si>
  <si>
    <t>25/1/2012</t>
  </si>
  <si>
    <t>Fatihatul Mubarokah</t>
  </si>
  <si>
    <t>16/02/2015</t>
  </si>
  <si>
    <t>19/11/2016</t>
  </si>
  <si>
    <t>Holid Batsal</t>
  </si>
  <si>
    <t>Imam Wahyono</t>
  </si>
  <si>
    <t>17/1/2014</t>
  </si>
  <si>
    <t>Muhammad Husnan Mubaroq</t>
  </si>
  <si>
    <t>Muhammad Ilyas</t>
  </si>
  <si>
    <t>20/9/2013</t>
  </si>
  <si>
    <t>Musayyidi</t>
  </si>
  <si>
    <t>Nasyiatul Kholisah</t>
  </si>
  <si>
    <t>22/3/2014</t>
  </si>
  <si>
    <t>27/11/2013</t>
  </si>
  <si>
    <t>Sugiarto</t>
  </si>
  <si>
    <t>22/3/2013</t>
  </si>
  <si>
    <t>22/1/2014</t>
  </si>
  <si>
    <t>Zainor Rahman</t>
  </si>
  <si>
    <t>Mohammad Nur Hidayatullah</t>
  </si>
  <si>
    <t>23/1/2013</t>
  </si>
  <si>
    <t>20/1/2014</t>
  </si>
  <si>
    <t>Suripto</t>
  </si>
  <si>
    <t>Ahmad Amin Sururi</t>
  </si>
  <si>
    <t>Ahmad Royani</t>
  </si>
  <si>
    <t>24/7/250</t>
  </si>
  <si>
    <t>Aniswatul Aidah</t>
  </si>
  <si>
    <t>Badruz Zahid</t>
  </si>
  <si>
    <t>Cipto</t>
  </si>
  <si>
    <t>Kusmiarseh</t>
  </si>
  <si>
    <t>Maslahatul Himmah</t>
  </si>
  <si>
    <t>28/8/2013</t>
  </si>
  <si>
    <t>Mochamad Zoedianto Martono</t>
  </si>
  <si>
    <t>29/1/2014</t>
  </si>
  <si>
    <t>Moh. Syaifulloh</t>
  </si>
  <si>
    <t>21/3/2014</t>
  </si>
  <si>
    <t>17/6/2014</t>
  </si>
  <si>
    <t>Mohammad Yazid Mubarok</t>
  </si>
  <si>
    <t>23/1/2014</t>
  </si>
  <si>
    <t>Muhammad Nasrudin</t>
  </si>
  <si>
    <t>26/04/2016</t>
  </si>
  <si>
    <t>Mukhammad Taufiqqur Rokhman</t>
  </si>
  <si>
    <t>28/3/2014</t>
  </si>
  <si>
    <t>Nur Cahya Hidayati</t>
  </si>
  <si>
    <t>20/4/2016</t>
  </si>
  <si>
    <t>20/07/2016</t>
  </si>
  <si>
    <t>Slamet Hariyadi</t>
  </si>
  <si>
    <t xml:space="preserve">  </t>
  </si>
  <si>
    <t>Slamet Priyanto</t>
  </si>
  <si>
    <t>Suhaeli</t>
  </si>
  <si>
    <t>Syamsul</t>
  </si>
  <si>
    <t>Umar</t>
  </si>
  <si>
    <t>Ahmad Abidi</t>
  </si>
  <si>
    <t xml:space="preserve">, </t>
  </si>
  <si>
    <t>M. Sahroni</t>
  </si>
  <si>
    <t>Rahmatika Martareda</t>
  </si>
  <si>
    <t>17/7/2012</t>
  </si>
  <si>
    <t>17/7/2014</t>
  </si>
  <si>
    <t>Agus Sadullah</t>
  </si>
  <si>
    <t>31/8/2014</t>
  </si>
  <si>
    <t>26/08/2014</t>
  </si>
  <si>
    <t>Agus Subur</t>
  </si>
  <si>
    <t>30/7/2013</t>
  </si>
  <si>
    <t>26/1/2014</t>
  </si>
  <si>
    <t>Atok Illa</t>
  </si>
  <si>
    <t>Hairul Huda</t>
  </si>
  <si>
    <t xml:space="preserve">                                 </t>
  </si>
  <si>
    <t>Irohan</t>
  </si>
  <si>
    <t>Khusnul Wafa</t>
  </si>
  <si>
    <t>Lukman Hadi</t>
  </si>
  <si>
    <t>Masykur</t>
  </si>
  <si>
    <t>16/6/2014</t>
  </si>
  <si>
    <t>Miftahul Arifin Hasan</t>
  </si>
  <si>
    <t>Moh. Dasuki</t>
  </si>
  <si>
    <t>13/3/2014</t>
  </si>
  <si>
    <t>23/10/2015</t>
  </si>
  <si>
    <t>Mohamad yusuf</t>
  </si>
  <si>
    <t>29/02/2012</t>
  </si>
  <si>
    <t>27/8/2017</t>
  </si>
  <si>
    <t>Muhamad Zulkifli</t>
  </si>
  <si>
    <t>15/1/2014</t>
  </si>
  <si>
    <t>Muhammad fadlilah</t>
  </si>
  <si>
    <t>25/1/2013</t>
  </si>
  <si>
    <t>18/7/2014</t>
  </si>
  <si>
    <t>Najmul Laili</t>
  </si>
  <si>
    <t>22/1/2013</t>
  </si>
  <si>
    <t>Nur Julia Putri Mandar</t>
  </si>
  <si>
    <t>Sofiah</t>
  </si>
  <si>
    <t>Tartimatus Sholehah</t>
  </si>
  <si>
    <t>26/9/2013</t>
  </si>
  <si>
    <t>ST. Anisa Subliyah asnoto</t>
  </si>
  <si>
    <t>Ahmad Rohmad</t>
  </si>
  <si>
    <t>Masyhuri Ayatulloh</t>
  </si>
  <si>
    <t>13/10/2014</t>
  </si>
  <si>
    <t>Muhammad Farich Makmur</t>
  </si>
  <si>
    <t>Arifah Jauhari Syam</t>
  </si>
  <si>
    <t>Muh. Mamun</t>
  </si>
  <si>
    <t>19/2/2014</t>
  </si>
  <si>
    <t>28/8/2014</t>
  </si>
  <si>
    <t>Hasinuddin</t>
  </si>
  <si>
    <t>16/5/2014</t>
  </si>
  <si>
    <t>Moch Ridawi</t>
  </si>
  <si>
    <t>28/1/2014</t>
  </si>
  <si>
    <t>Andriyanto</t>
  </si>
  <si>
    <t>26/06/2015</t>
  </si>
  <si>
    <t>Zaenal Arifin</t>
  </si>
  <si>
    <t>24/12/2013</t>
  </si>
  <si>
    <t>Imam Bukhori</t>
  </si>
  <si>
    <t>18/01/2012</t>
  </si>
  <si>
    <t>13/2/2013</t>
  </si>
  <si>
    <t>21/8/2013</t>
  </si>
  <si>
    <t>QO'IDUD DUWAL</t>
  </si>
  <si>
    <t>HK</t>
  </si>
  <si>
    <t>16/01/2017</t>
  </si>
  <si>
    <t>Abdul Ghofur</t>
  </si>
  <si>
    <t>Mujib Iriyanto</t>
  </si>
  <si>
    <t>15/0114</t>
  </si>
  <si>
    <t>15/01/2014</t>
  </si>
  <si>
    <t>15/02/2015</t>
  </si>
  <si>
    <t>Tatag Saifullah</t>
  </si>
  <si>
    <t>Muhammad Muslim</t>
  </si>
  <si>
    <t>Yapan</t>
  </si>
  <si>
    <t>Subhan</t>
  </si>
  <si>
    <t>Slamet</t>
  </si>
  <si>
    <t>Wildana Setia Warga Dinata</t>
  </si>
  <si>
    <t>Abdul Khamid</t>
  </si>
  <si>
    <t>Ikmal Muntador</t>
  </si>
  <si>
    <t>21/05/2014</t>
  </si>
  <si>
    <t>21/5/2014</t>
  </si>
  <si>
    <t>Rina Suryanti</t>
  </si>
  <si>
    <t>Kiki Sunarjat Basuki</t>
  </si>
  <si>
    <t>Cholil</t>
  </si>
  <si>
    <t>Muhammad Saiful Hadi</t>
  </si>
  <si>
    <t>Nur Lina</t>
  </si>
  <si>
    <t>22/05/2014</t>
  </si>
  <si>
    <t>22/5/2014</t>
  </si>
  <si>
    <t>Bambang Suharto</t>
  </si>
  <si>
    <t>Atikurrahman</t>
  </si>
  <si>
    <t>Sayid Aziz Ghaffar</t>
  </si>
  <si>
    <t>27/3/2013</t>
  </si>
  <si>
    <t>Muh. Limdatul F</t>
  </si>
  <si>
    <t>Muhammad Syaiin</t>
  </si>
  <si>
    <t>19/8/2013</t>
  </si>
  <si>
    <t>17/03/2016</t>
  </si>
  <si>
    <t>15/08/2016</t>
  </si>
  <si>
    <t>15/08/16</t>
  </si>
  <si>
    <t>Qurrotul aini</t>
  </si>
  <si>
    <t>PRODI PI ANGKATAN IX</t>
  </si>
  <si>
    <t>Achmad Faruq</t>
  </si>
  <si>
    <t>Agus Purnomo</t>
  </si>
  <si>
    <t>13/08/2015</t>
  </si>
  <si>
    <t>Ari Dwi Widodo</t>
  </si>
  <si>
    <t>16/7/2012</t>
  </si>
  <si>
    <t>21/2/2014</t>
  </si>
  <si>
    <t>Imam Fathollah</t>
  </si>
  <si>
    <t>26/7/2014</t>
  </si>
  <si>
    <t>21/2/2015</t>
  </si>
  <si>
    <t>Imam Huzaeni</t>
  </si>
  <si>
    <t>TDK JELAS</t>
  </si>
  <si>
    <t>Mahfudz Sidiq</t>
  </si>
  <si>
    <t>Mohamad Sholeh</t>
  </si>
  <si>
    <t>23/1/2015</t>
  </si>
  <si>
    <t>Mohammad Maulana Yatim Zaeni</t>
  </si>
  <si>
    <t>Muhammad Mudhofir</t>
  </si>
  <si>
    <t>Muhammad Muzayyin</t>
  </si>
  <si>
    <t>Muruatul Afifah</t>
  </si>
  <si>
    <t>Nanda Nur Ekowanti</t>
  </si>
  <si>
    <t>29/9/2014</t>
  </si>
  <si>
    <t>25/02/2015</t>
  </si>
  <si>
    <t>26/02/2016</t>
  </si>
  <si>
    <t>31/10/201</t>
  </si>
  <si>
    <t xml:space="preserve">LS </t>
  </si>
  <si>
    <t>Nawawi</t>
  </si>
  <si>
    <t>20/8/2013</t>
  </si>
  <si>
    <t>28/03/2014</t>
  </si>
  <si>
    <t>LS 19/11/16</t>
  </si>
  <si>
    <t>Rima Puspita Perdanasari</t>
  </si>
  <si>
    <t>Rista Dian Andini</t>
  </si>
  <si>
    <t>20/01/2016</t>
  </si>
  <si>
    <t>Sulasih</t>
  </si>
  <si>
    <t>Abdul Muis</t>
  </si>
  <si>
    <t>Dardiri</t>
  </si>
  <si>
    <t>26/6/2014</t>
  </si>
  <si>
    <t>Fatlawi Al Haddad</t>
  </si>
  <si>
    <t>Fitri Nur Hidayat</t>
  </si>
  <si>
    <t>Halifah</t>
  </si>
  <si>
    <t>19/7/2008</t>
  </si>
  <si>
    <t>Hasan Basri</t>
  </si>
  <si>
    <t>Hokimah</t>
  </si>
  <si>
    <t>Imam Mohtarom</t>
  </si>
  <si>
    <t>13/7/2012</t>
  </si>
  <si>
    <t>Mohamad Ahyar Maarif</t>
  </si>
  <si>
    <t>Mohammad Ali</t>
  </si>
  <si>
    <t>18/1/2013</t>
  </si>
  <si>
    <t>Muhammad Abi Sholeh</t>
  </si>
  <si>
    <t>Muhammad Akbar Hariadi</t>
  </si>
  <si>
    <t>Siti Azaroh</t>
  </si>
  <si>
    <t>Siti Nur Rohmah</t>
  </si>
  <si>
    <t>Sofyan Hadi Romadlon</t>
  </si>
  <si>
    <t>Uswatun Hasanah</t>
  </si>
  <si>
    <t>23/6/2014</t>
  </si>
  <si>
    <t>Yudy Herdianto</t>
  </si>
  <si>
    <t>Ahmad Nasrulloh</t>
  </si>
  <si>
    <t>Meninggal</t>
  </si>
  <si>
    <t>18/05/2015</t>
  </si>
  <si>
    <t>Maria Ulfa</t>
  </si>
  <si>
    <t>17/6/2013</t>
  </si>
  <si>
    <t>CT 21/09/2015</t>
  </si>
  <si>
    <t>CT / 21/09/2015</t>
  </si>
  <si>
    <t>Ririn Darmawati</t>
  </si>
  <si>
    <t>ROHMAD AGUS SOLIHIN</t>
  </si>
  <si>
    <t>sdh daftar ujian</t>
  </si>
  <si>
    <t>Moh. Natsir</t>
  </si>
  <si>
    <t>Badrut Tamam</t>
  </si>
  <si>
    <t>16/1/2014</t>
  </si>
  <si>
    <t>Rita Rudiyani</t>
  </si>
  <si>
    <t>31/10/14</t>
  </si>
  <si>
    <t>26/11/15</t>
  </si>
  <si>
    <t>Berhrnti</t>
  </si>
  <si>
    <t>27/02/2014</t>
  </si>
  <si>
    <t>DEVI MARIATUL QIPTIAH</t>
  </si>
  <si>
    <t>Abd. Khobir aly</t>
  </si>
  <si>
    <t>23/5/2014</t>
  </si>
  <si>
    <t>14/4/2014</t>
  </si>
  <si>
    <t>Sunaryo</t>
  </si>
  <si>
    <t>20/2/2014</t>
  </si>
  <si>
    <t>Ahmad Murrobi</t>
  </si>
  <si>
    <t>25/2/2014</t>
  </si>
  <si>
    <t>Ahmad Sundari</t>
  </si>
  <si>
    <t>Akhmad Rudi Masrukhin</t>
  </si>
  <si>
    <t>17,500,000</t>
  </si>
  <si>
    <t>ANGKATAN IX PROGRAM Beasiswa SUPERVISI 2012/2013</t>
  </si>
  <si>
    <t>Maimunah</t>
  </si>
  <si>
    <t>28/12/2012</t>
  </si>
  <si>
    <t>19/09/2014</t>
  </si>
  <si>
    <t>19/9/2015</t>
  </si>
  <si>
    <t>Khulashah</t>
  </si>
  <si>
    <t>27/12/2012</t>
  </si>
  <si>
    <t>Istiqomah</t>
  </si>
  <si>
    <t>Siti NurJannah</t>
  </si>
  <si>
    <t>Ahmad Mawardi</t>
  </si>
  <si>
    <t>22/10/2013</t>
  </si>
  <si>
    <t>Rohim Z</t>
  </si>
  <si>
    <t>16/10/2013</t>
  </si>
  <si>
    <t>Walidah</t>
  </si>
  <si>
    <t>Kuswati</t>
  </si>
  <si>
    <t>24/10/2013</t>
  </si>
  <si>
    <t>24/0/13</t>
  </si>
  <si>
    <t>ABD Aziz Hs</t>
  </si>
  <si>
    <t xml:space="preserve">Abd. Hadi </t>
  </si>
  <si>
    <t>Nurul Hasan</t>
  </si>
  <si>
    <t>Ummi Salamah</t>
  </si>
  <si>
    <t>ida holida</t>
  </si>
  <si>
    <t>Moh. Hasyin Hs</t>
  </si>
  <si>
    <t>Indah Hayati</t>
  </si>
  <si>
    <t>18/10/2013</t>
  </si>
  <si>
    <t>Jumaii</t>
  </si>
  <si>
    <t>Nuril Latif</t>
  </si>
  <si>
    <t>Anwar Hidayat</t>
  </si>
  <si>
    <t xml:space="preserve">Farida </t>
  </si>
  <si>
    <t>Khoirun Nadiroh</t>
  </si>
  <si>
    <t>Ifa Dalila</t>
  </si>
  <si>
    <t>Zubaidah</t>
  </si>
  <si>
    <t>A'YUNIL HISBIYAH</t>
  </si>
  <si>
    <t>ANGKATAN IX PROGRAM Beasiswa Pergunu</t>
  </si>
  <si>
    <t>2012/2013</t>
  </si>
  <si>
    <t>Subibar Rohmah</t>
  </si>
  <si>
    <t>PERGUNU</t>
  </si>
  <si>
    <t>19/3/2013</t>
  </si>
  <si>
    <t>26/8/2013</t>
  </si>
  <si>
    <t>14/2/2014</t>
  </si>
  <si>
    <t>Mahalli</t>
  </si>
  <si>
    <t>18/3/2013</t>
  </si>
  <si>
    <t>HASANATUL KHALIDIYAH</t>
  </si>
  <si>
    <t>24/3/2014</t>
  </si>
  <si>
    <t>26/08/2015</t>
  </si>
  <si>
    <t>10/12</t>
  </si>
  <si>
    <t xml:space="preserve">Fuadun Nafa </t>
  </si>
  <si>
    <t>Sayidah Fauziyah</t>
  </si>
  <si>
    <t>Risba yeni Akida</t>
  </si>
  <si>
    <t>30/10/2013</t>
  </si>
  <si>
    <t>Ubaidil Baidlowi</t>
  </si>
  <si>
    <t>30/10/2012</t>
  </si>
  <si>
    <t>Riza Ningrum</t>
  </si>
  <si>
    <t>20/11/2012</t>
  </si>
  <si>
    <t xml:space="preserve">Lailun Nazilah </t>
  </si>
  <si>
    <t xml:space="preserve">Muhammad Taufik </t>
  </si>
  <si>
    <t>13/2/2014</t>
  </si>
  <si>
    <t>Saefullah</t>
  </si>
  <si>
    <t>lunas</t>
  </si>
  <si>
    <t xml:space="preserve">M.Yahya </t>
  </si>
  <si>
    <t>2/2013</t>
  </si>
  <si>
    <t>Siti Maisaroh</t>
  </si>
  <si>
    <t>17/2/2014</t>
  </si>
  <si>
    <t xml:space="preserve">Masturi </t>
  </si>
  <si>
    <t>kekurangan smt 1</t>
  </si>
  <si>
    <t>Ahmad Junaidi Gazali.SP</t>
  </si>
  <si>
    <t>14/7/2014</t>
  </si>
  <si>
    <t>Muhammad junaidi</t>
  </si>
  <si>
    <t>23/9/2014</t>
  </si>
  <si>
    <t>IlhamiyAtul Ilahiyah</t>
  </si>
  <si>
    <t>Fadlillah</t>
  </si>
  <si>
    <t>15/1/2015</t>
  </si>
  <si>
    <t>Agus Rofiqi</t>
  </si>
  <si>
    <t>14/5/2014</t>
  </si>
  <si>
    <t>Moh. Anas</t>
  </si>
  <si>
    <t>Endah Prasetyaningtiyas</t>
  </si>
  <si>
    <t>Hosyairi</t>
  </si>
  <si>
    <t>13/11/2015</t>
  </si>
  <si>
    <t>2013-2014</t>
  </si>
  <si>
    <t>###START</t>
  </si>
  <si>
    <t>###</t>
  </si>
  <si>
    <t>S2-MPI 2013/2014</t>
  </si>
  <si>
    <t xml:space="preserve"> Sms 1 </t>
  </si>
  <si>
    <t>2013-1</t>
  </si>
  <si>
    <t xml:space="preserve"> Sms 2 </t>
  </si>
  <si>
    <t>2013-2</t>
  </si>
  <si>
    <t xml:space="preserve"> Sms 3 </t>
  </si>
  <si>
    <t>2014-1</t>
  </si>
  <si>
    <t xml:space="preserve"> Sms 4 </t>
  </si>
  <si>
    <t>2014-2</t>
  </si>
  <si>
    <t xml:space="preserve"> Sms 5 </t>
  </si>
  <si>
    <t>2015-1</t>
  </si>
  <si>
    <t xml:space="preserve"> Sms 6 </t>
  </si>
  <si>
    <t>2015-2</t>
  </si>
  <si>
    <t xml:space="preserve"> Sms 7 </t>
  </si>
  <si>
    <t>2016-1</t>
  </si>
  <si>
    <t xml:space="preserve"> Sms 8 </t>
  </si>
  <si>
    <t>2016-2</t>
  </si>
  <si>
    <t xml:space="preserve"> Sms 9 </t>
  </si>
  <si>
    <t>2017-1</t>
  </si>
  <si>
    <t xml:space="preserve"> Sms 10 </t>
  </si>
  <si>
    <t>2017-2</t>
  </si>
  <si>
    <t>Kukuh Ahmad P</t>
  </si>
  <si>
    <t>MPI-S2</t>
  </si>
  <si>
    <t>Miftahul Hidayat</t>
  </si>
  <si>
    <t>Ahmad Yusron Arafat</t>
  </si>
  <si>
    <t>Mukhtar Fitriawan Bilawal</t>
  </si>
  <si>
    <t>Lailatul Hasanah</t>
  </si>
  <si>
    <t>Ahmad Dhiyaa Ul Haqq</t>
  </si>
  <si>
    <t>Andi Amin</t>
  </si>
  <si>
    <t>DROP OUT</t>
  </si>
  <si>
    <t xml:space="preserve"> CT </t>
  </si>
  <si>
    <t>Moh. Hafid</t>
  </si>
  <si>
    <t xml:space="preserve"> LS </t>
  </si>
  <si>
    <t>Mohammad Masfur Rahman</t>
  </si>
  <si>
    <t>Fadhullah</t>
  </si>
  <si>
    <t>Elok Indriyani</t>
  </si>
  <si>
    <t>Moh. Ba'its Sulthon</t>
  </si>
  <si>
    <t>Rista Eko Muji Lestari Ningsih</t>
  </si>
  <si>
    <t>Agus Arifandi</t>
  </si>
  <si>
    <t>Mawaddah Yayang Efendi</t>
  </si>
  <si>
    <t>Nur Ittihadul Ummah</t>
  </si>
  <si>
    <t>Achmad Karimulah</t>
  </si>
  <si>
    <t>Siti Aisyah</t>
  </si>
  <si>
    <t>Hana Sa'diyah</t>
  </si>
  <si>
    <t>Mokhammad Khosim</t>
  </si>
  <si>
    <t>Helmi A. Khalili</t>
  </si>
  <si>
    <t>Mohammad Faris</t>
  </si>
  <si>
    <t>S2-HK 2013/2014</t>
  </si>
  <si>
    <t>#</t>
  </si>
  <si>
    <t>Ahmad Zuhairuz Zaman</t>
  </si>
  <si>
    <t>Robiyatul Lailiyah</t>
  </si>
  <si>
    <t xml:space="preserve"> Beasiswa </t>
  </si>
  <si>
    <t>Sa'adatu Mukarromatil Arifah</t>
  </si>
  <si>
    <t>Wildany El Kautsar</t>
  </si>
  <si>
    <t>Ahmad Mubarok</t>
  </si>
  <si>
    <t>Nibrosatul Hana</t>
  </si>
  <si>
    <t>Shalihin</t>
  </si>
  <si>
    <t>Syihabul Muttaqin</t>
  </si>
  <si>
    <t>Muhammad Mugfis Naufal</t>
  </si>
  <si>
    <t>Tranfer/sby</t>
  </si>
  <si>
    <t>S2-PBA 2013/2014 - (GEL II)</t>
  </si>
  <si>
    <t>Ahmad Yanil Falahi</t>
  </si>
  <si>
    <t>PBA</t>
  </si>
  <si>
    <t>Armie setia gani</t>
  </si>
  <si>
    <t xml:space="preserve"> CT  </t>
  </si>
  <si>
    <t>Devi Suci Windariyah</t>
  </si>
  <si>
    <t>Elok Rufaiqoh</t>
  </si>
  <si>
    <t>Ufrotul Hasanah</t>
  </si>
  <si>
    <t>Muhammad Shahibusy Syafaat</t>
  </si>
  <si>
    <t>Ni'matul Mukharomah</t>
  </si>
  <si>
    <t>Rahmatilla</t>
  </si>
  <si>
    <t xml:space="preserve">Zaimatil Asfiya </t>
  </si>
  <si>
    <t>Zen Alfan</t>
  </si>
  <si>
    <t xml:space="preserve"> - </t>
  </si>
  <si>
    <t>S2-MPI 2013/2014 (GEL II)</t>
  </si>
  <si>
    <t>Ahmadi</t>
  </si>
  <si>
    <t>Ifa Kristiani</t>
  </si>
  <si>
    <t>Amila Sholihah</t>
  </si>
  <si>
    <t>Bahrudin Agung Rosi Iswanto</t>
  </si>
  <si>
    <t>Dhian Wahana Putra</t>
  </si>
  <si>
    <t>Emsikhu Ira Gunawan</t>
  </si>
  <si>
    <t>Erlina Aniata Sari</t>
  </si>
  <si>
    <t>Faqih Yahullahbi</t>
  </si>
  <si>
    <t xml:space="preserve"> CT</t>
  </si>
  <si>
    <t>Fathor Rosi</t>
  </si>
  <si>
    <t>Kurdianto Al Laily</t>
  </si>
  <si>
    <t>Nadhirotus Suhriyah</t>
  </si>
  <si>
    <t>Nur Khovivah</t>
  </si>
  <si>
    <t>Nurul Iflaha</t>
  </si>
  <si>
    <t>Rofiq Hidayat</t>
  </si>
  <si>
    <t>Septian Faizal Mista</t>
  </si>
  <si>
    <t>Susi Handayani</t>
  </si>
  <si>
    <t>Suyanto</t>
  </si>
  <si>
    <t>2018-1</t>
  </si>
  <si>
    <t xml:space="preserve">Husbadiatul Husna </t>
  </si>
  <si>
    <t>2013-</t>
  </si>
  <si>
    <t xml:space="preserve">Ikhwan Nur Huda </t>
  </si>
  <si>
    <t>Luthfiyatun Nawiroh</t>
  </si>
  <si>
    <t>26/01 2016</t>
  </si>
  <si>
    <t>Muhamad Rofiqi</t>
  </si>
  <si>
    <t xml:space="preserve">Bambang Eko Aditia </t>
  </si>
  <si>
    <t>Fitratul Laili</t>
  </si>
  <si>
    <t>Sri Winarni</t>
  </si>
  <si>
    <t xml:space="preserve">M. Hudaifa Salim </t>
  </si>
  <si>
    <t>Luluk Fajriah Izzah Maulidah</t>
  </si>
  <si>
    <t xml:space="preserve">Ahmad Fais Ali </t>
  </si>
  <si>
    <t xml:space="preserve">Zainuddin </t>
  </si>
  <si>
    <t xml:space="preserve">Moh. Sugeng </t>
  </si>
  <si>
    <t>Yuli Anista Marwindah</t>
  </si>
  <si>
    <t xml:space="preserve">Rohillah Birriyah </t>
  </si>
  <si>
    <t xml:space="preserve"> (Beasiswa spp 2 smt)] </t>
  </si>
  <si>
    <t>Achmad Rastiadi</t>
  </si>
  <si>
    <t xml:space="preserve">Anisatur Rahmah </t>
  </si>
  <si>
    <t xml:space="preserve">Leny Marinda </t>
  </si>
  <si>
    <t xml:space="preserve"> BERHENTI </t>
  </si>
  <si>
    <t xml:space="preserve">Syamsul Arifin </t>
  </si>
  <si>
    <t>Didit Ghozali</t>
  </si>
  <si>
    <t>Nur Alifah Yudianingsih</t>
  </si>
  <si>
    <t xml:space="preserve"> 1250000 kekurangan msh nunggu konfirmasi dari keu pusat krn skripsi terbaik </t>
  </si>
  <si>
    <t xml:space="preserve">Muthiah </t>
  </si>
  <si>
    <t xml:space="preserve">meninggal dunia </t>
  </si>
  <si>
    <t>Muflikhah</t>
  </si>
  <si>
    <t>Siti Wahyuni</t>
  </si>
  <si>
    <t xml:space="preserve">Nito Subroto </t>
  </si>
  <si>
    <t>Ardiyan Firdausiyah</t>
  </si>
  <si>
    <t>S2-PI 2013/2014 (GEL II)</t>
  </si>
  <si>
    <t xml:space="preserve">Nurhidayati </t>
  </si>
  <si>
    <t>Tolib Bur Rozak</t>
  </si>
  <si>
    <t xml:space="preserve"> 19/11/2016 </t>
  </si>
  <si>
    <t>Siti mawadah AR</t>
  </si>
  <si>
    <t xml:space="preserve">Fina Alvi Farihah </t>
  </si>
  <si>
    <t xml:space="preserve">Husni Mubarok </t>
  </si>
  <si>
    <t xml:space="preserve">Mokhamad Farid </t>
  </si>
  <si>
    <t>Hatman Hadib</t>
  </si>
  <si>
    <t>Ahmat Safiudin</t>
  </si>
  <si>
    <t xml:space="preserve">Eko Mulyadi </t>
  </si>
  <si>
    <t xml:space="preserve">Muhammad Hasim </t>
  </si>
  <si>
    <t>Hodriansah</t>
  </si>
  <si>
    <t xml:space="preserve">Misbahul Munir </t>
  </si>
  <si>
    <t xml:space="preserve">Mashuri </t>
  </si>
  <si>
    <t>Dzulqornain</t>
  </si>
  <si>
    <t>Zainul Hasan</t>
  </si>
  <si>
    <t>Woro Fatmawati</t>
  </si>
  <si>
    <t>Ja'far Sodiq</t>
  </si>
  <si>
    <t>Umi Nur Hayati</t>
  </si>
  <si>
    <t>S2-ES 2013/2014 (GEL I)</t>
  </si>
  <si>
    <t>Imroatus Sholiha</t>
  </si>
  <si>
    <t>ES</t>
  </si>
  <si>
    <t xml:space="preserve"> Beasiswa  </t>
  </si>
  <si>
    <t>Uliyyatul Muawwanah</t>
  </si>
  <si>
    <t>Siti Khaisyatuzahro Nur</t>
  </si>
  <si>
    <t>Inud Danis Ikhwan Merati</t>
  </si>
  <si>
    <t>Mu'awanah</t>
  </si>
  <si>
    <t>Nani Hanifah</t>
  </si>
  <si>
    <t>Miftahul Hasanah</t>
  </si>
  <si>
    <t>S2-ES 2013/2014 (GEL II)</t>
  </si>
  <si>
    <t>Abd. Rohman Fahruddin</t>
  </si>
  <si>
    <t>Siti Alfiyah</t>
  </si>
  <si>
    <t>Muhammad Syafi</t>
  </si>
  <si>
    <t>M. Daud Rosyidy</t>
  </si>
  <si>
    <t>Muhammad Jauzi</t>
  </si>
  <si>
    <t>Jannatin Kholidah</t>
  </si>
  <si>
    <t>Muzayyin</t>
  </si>
  <si>
    <t>Abd. Ghafur</t>
  </si>
  <si>
    <t>Ainul Yaqin</t>
  </si>
  <si>
    <t>Arief Nazar</t>
  </si>
  <si>
    <t xml:space="preserve"> Beasis 2 smt) </t>
  </si>
  <si>
    <t>S2-HK 2013/2014 (GEL II)</t>
  </si>
  <si>
    <t>Ahmad Hoiri</t>
  </si>
  <si>
    <t>Andika Ronggo Gumuruh</t>
  </si>
  <si>
    <t>As'ari</t>
  </si>
  <si>
    <t>sdh proposal</t>
  </si>
  <si>
    <t>Erlinawati</t>
  </si>
  <si>
    <t>hamid salama</t>
  </si>
  <si>
    <t xml:space="preserve"> 14/05/2016 </t>
  </si>
  <si>
    <t>khoirun Nasikhin</t>
  </si>
  <si>
    <t>Muhammad Zainuddin Sunarto</t>
  </si>
  <si>
    <t>Nur Yasin</t>
  </si>
  <si>
    <t>Purwadi</t>
  </si>
  <si>
    <t>Riza Amalia</t>
  </si>
  <si>
    <t>#2014-2015</t>
  </si>
  <si>
    <t>S2-PI 2014/2015 (GEL I)</t>
  </si>
  <si>
    <t>Moh. Hasan Al- Basri</t>
  </si>
  <si>
    <t>Mengajukan RENIM - 085257350648</t>
  </si>
  <si>
    <t>Yonansari Fitrotiningrum Muyasaroh</t>
  </si>
  <si>
    <t>------------------------------------------------------------------------------</t>
  </si>
  <si>
    <t>Moh. Nahrowi</t>
  </si>
  <si>
    <t>Nurul Millah</t>
  </si>
  <si>
    <t>Ivana Septia Maharani</t>
  </si>
  <si>
    <t>Atiqoh</t>
  </si>
  <si>
    <t>Hanip</t>
  </si>
  <si>
    <t>Malihatil Uyun</t>
  </si>
  <si>
    <t>M.Ridwan Al - Amin</t>
  </si>
  <si>
    <t>Zamilul Mas'ad</t>
  </si>
  <si>
    <t xml:space="preserve">MPI-S2 </t>
  </si>
  <si>
    <t>Wasito</t>
  </si>
  <si>
    <t>Bel'it Kiadi</t>
  </si>
  <si>
    <t>Dluha Muthiatul Amroini</t>
  </si>
  <si>
    <t>Abdul AziS</t>
  </si>
  <si>
    <t>Abdul Hamid BasHori</t>
  </si>
  <si>
    <t>Mohammad Zakki Nur Fahmi</t>
  </si>
  <si>
    <t>Fuad Abdul Baqie Masrur</t>
  </si>
  <si>
    <t>M. Kanzul Fikri</t>
  </si>
  <si>
    <t xml:space="preserve">S2-PBA 2014/2015 </t>
  </si>
  <si>
    <t>Achmad Syaiful Amin</t>
  </si>
  <si>
    <t>Aan Andriana</t>
  </si>
  <si>
    <t>Afifah</t>
  </si>
  <si>
    <t>Hosi'in Zailani</t>
  </si>
  <si>
    <t>Hidayatul Laili</t>
  </si>
  <si>
    <t>Lutvatul Vaicko</t>
  </si>
  <si>
    <t>Masul Latif</t>
  </si>
  <si>
    <t>MUHAMAD BISRI IHWAN</t>
  </si>
  <si>
    <t>Muklasin</t>
  </si>
  <si>
    <t>Qurrotul A'yun</t>
  </si>
  <si>
    <t>SUDAH UJIAN TESIS</t>
  </si>
  <si>
    <t>SITI MUDMA'INAH</t>
  </si>
  <si>
    <t>So'im</t>
  </si>
  <si>
    <t>Zainuri</t>
  </si>
  <si>
    <t>Zidni Ilma</t>
  </si>
  <si>
    <t>Indayani</t>
  </si>
  <si>
    <t>Renim 20181 atau 20191</t>
  </si>
  <si>
    <t>Hosni tamrin</t>
  </si>
  <si>
    <t>S2-MPI ANGK XII 2014/2015 (GEL II)</t>
  </si>
  <si>
    <t>Khoirus Solihin</t>
  </si>
  <si>
    <t>Khadiq Kharisma</t>
  </si>
  <si>
    <t>Andriati Komala</t>
  </si>
  <si>
    <t>Nur Azizatul Fitriyah</t>
  </si>
  <si>
    <t>Lilik Nur Hariyani</t>
  </si>
  <si>
    <t>Santono</t>
  </si>
  <si>
    <t>30/2/2017</t>
  </si>
  <si>
    <t>Subaidi</t>
  </si>
  <si>
    <t>Fahim Abu Romadlan</t>
  </si>
  <si>
    <t>Sulaeman Kurdi</t>
  </si>
  <si>
    <t>Sholihah</t>
  </si>
  <si>
    <t>Achmad Lutfi</t>
  </si>
  <si>
    <t>Amalia</t>
  </si>
  <si>
    <t>Hadi Basuni</t>
  </si>
  <si>
    <t>Saptono</t>
  </si>
  <si>
    <t>Taufik</t>
  </si>
  <si>
    <t>Thohari</t>
  </si>
  <si>
    <t>Robith Fahmi</t>
  </si>
  <si>
    <t>Evi Widiastuti</t>
  </si>
  <si>
    <t>Lailatuz Zakiah Darajat</t>
  </si>
  <si>
    <t>Nurul Lathifah</t>
  </si>
  <si>
    <t>Imroatussholihah</t>
  </si>
  <si>
    <t>Yusuf</t>
  </si>
  <si>
    <t>S2-HK 2014/2015</t>
  </si>
  <si>
    <t>Kamaludin</t>
  </si>
  <si>
    <t>Mohsi</t>
  </si>
  <si>
    <t>Moh. Nur Fauzi</t>
  </si>
  <si>
    <t>Sholeh Ibrahim</t>
  </si>
  <si>
    <t>M. Romadhanul Akhir</t>
  </si>
  <si>
    <t>Muhammad Yassir</t>
  </si>
  <si>
    <t>Abd. Wafi</t>
  </si>
  <si>
    <t>Adib Mamduh</t>
  </si>
  <si>
    <t>Ahmad Ainul Yaqin Assalam</t>
  </si>
  <si>
    <t>Mohammad Faizin</t>
  </si>
  <si>
    <t>Saiful Bahri</t>
  </si>
  <si>
    <t>S2-ES 2014/2015</t>
  </si>
  <si>
    <t>Achmad Fawaid</t>
  </si>
  <si>
    <t>Arif Muntholib</t>
  </si>
  <si>
    <t>Aula Izatul Aini</t>
  </si>
  <si>
    <t>Ayyu Ainin Mustafidah</t>
  </si>
  <si>
    <t>Basuki Ali Sutaman</t>
  </si>
  <si>
    <t>Dimas Herliandis Shodiqin</t>
  </si>
  <si>
    <t>Habibullah</t>
  </si>
  <si>
    <t>Lutfi</t>
  </si>
  <si>
    <t>M. Zainal Abidin</t>
  </si>
  <si>
    <t>Moh.Irham Maulana</t>
  </si>
  <si>
    <t>Mursidah</t>
  </si>
  <si>
    <t>Sukardi</t>
  </si>
  <si>
    <t>Suwarno</t>
  </si>
  <si>
    <t>Maula Nasrifah</t>
  </si>
  <si>
    <t>Tri Nadhirotur Roifah</t>
  </si>
  <si>
    <t>#2015</t>
  </si>
  <si>
    <t>##Start 19</t>
  </si>
  <si>
    <t>S2-PAI 2015/2016</t>
  </si>
  <si>
    <t>2018-2</t>
  </si>
  <si>
    <t>Uji Tesis</t>
  </si>
  <si>
    <t>Safi'i</t>
  </si>
  <si>
    <t>PAI</t>
  </si>
  <si>
    <t>------------------------------</t>
  </si>
  <si>
    <t>Fakhriyatus Shofa Alawiyah</t>
  </si>
  <si>
    <t xml:space="preserve"> Beasis2 Smtr </t>
  </si>
  <si>
    <t>Nur Wahidah</t>
  </si>
  <si>
    <t>Ahmad Hasyim As'yari</t>
  </si>
  <si>
    <t>Dropout</t>
  </si>
  <si>
    <t>Faridatul Husnah</t>
  </si>
  <si>
    <t>Nur Faiz Habibah</t>
  </si>
  <si>
    <t>Mohammad Fatoni</t>
  </si>
  <si>
    <t>Anisatun Ni'mah M.S</t>
  </si>
  <si>
    <t>M. Fika Afton</t>
  </si>
  <si>
    <t>Nanik Mahmuda</t>
  </si>
  <si>
    <t>Alifa Nurnaufal Fawarih</t>
  </si>
  <si>
    <t>ATIK TAQIYATUL ABADIYAH</t>
  </si>
  <si>
    <t>Nailul Abror</t>
  </si>
  <si>
    <t xml:space="preserve">Syaiful Bahri </t>
  </si>
  <si>
    <t>Siti Mardiyyani</t>
  </si>
  <si>
    <t>Ahmad Bashari</t>
  </si>
  <si>
    <t>Noor Muhammad</t>
  </si>
  <si>
    <t>LAILLATUL KAMALIAH</t>
  </si>
  <si>
    <t>Madlubur Rhisky</t>
  </si>
  <si>
    <t>Didik Hariadi</t>
  </si>
  <si>
    <t>Mudrikah</t>
  </si>
  <si>
    <t>Arif Wicaksono</t>
  </si>
  <si>
    <t>Muhammad Rafiq Kurniawan</t>
  </si>
  <si>
    <t>Siti Nur Hasanah</t>
  </si>
  <si>
    <t>Misbahul Munir</t>
  </si>
  <si>
    <t>Moh. Ali Wafa</t>
  </si>
  <si>
    <t>Mufidah</t>
  </si>
  <si>
    <t>Taufiqoh Rahma</t>
  </si>
  <si>
    <t>Vika Nur Yulia Imami</t>
  </si>
  <si>
    <t>Moh. Iffan</t>
  </si>
  <si>
    <t>Eltafiyanal Haqqo</t>
  </si>
  <si>
    <t>Siti Zulfa Agustin</t>
  </si>
  <si>
    <t>Ahmad Fadil</t>
  </si>
  <si>
    <t>Bambang Wahyudi</t>
  </si>
  <si>
    <t>Sulfiah</t>
  </si>
  <si>
    <t xml:space="preserve">S2-PBA 2015/2016 </t>
  </si>
  <si>
    <t>Muh. Dimyati</t>
  </si>
  <si>
    <t>16/07/2019</t>
  </si>
  <si>
    <t>Samsia</t>
  </si>
  <si>
    <t>21/007/17</t>
  </si>
  <si>
    <t>Nur Maya Badriyatul Jamroh</t>
  </si>
  <si>
    <t>Sri Taqwiyati</t>
  </si>
  <si>
    <t>Ainur Rofiq Sofa</t>
  </si>
  <si>
    <t>Ina Muhrika</t>
  </si>
  <si>
    <t>Moch. Khoirul Anwar</t>
  </si>
  <si>
    <t>aktif senin 16</t>
  </si>
  <si>
    <t>Muhammad Habibi Hamzah</t>
  </si>
  <si>
    <t>Muryanto</t>
  </si>
  <si>
    <t>Tanthowi Jauhari</t>
  </si>
  <si>
    <t xml:space="preserve">S2-MPI 2015/2016 </t>
  </si>
  <si>
    <t>As'ad Daroini</t>
  </si>
  <si>
    <t>Beasiswa 2 Smtr</t>
  </si>
  <si>
    <t>Mukhamad Aris Habibi</t>
  </si>
  <si>
    <t>Faiz Azizi</t>
  </si>
  <si>
    <t>Ufik Husaini</t>
  </si>
  <si>
    <t>Imro'atus Sholihah</t>
  </si>
  <si>
    <t>Nurul Hasanah</t>
  </si>
  <si>
    <t>Muhammad Izza Fawaid Dardiri</t>
  </si>
  <si>
    <t>Zainur Rahman</t>
  </si>
  <si>
    <t>Nurul Huda</t>
  </si>
  <si>
    <t>Eko Sukmawanto</t>
  </si>
  <si>
    <t>Mohammad Nasihuddin</t>
  </si>
  <si>
    <t>Nur Kholis</t>
  </si>
  <si>
    <t>Aida Lutfiah</t>
  </si>
  <si>
    <t>M. Syafiul Anam</t>
  </si>
  <si>
    <t>Kunti Suroya</t>
  </si>
  <si>
    <t>Syahroni Romadhon</t>
  </si>
  <si>
    <t>Efa Ifda Rofaillah</t>
  </si>
  <si>
    <t>Hendro Hariyanto</t>
  </si>
  <si>
    <t>Mustofa Efendi</t>
  </si>
  <si>
    <t>Najmi Faza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</si>
  <si>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</si>
  <si>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Ahmad Nadif</t>
  </si>
  <si>
    <t>Elly Nuzulianti</t>
  </si>
  <si>
    <t xml:space="preserve">S2-ES 2015/2016 </t>
  </si>
  <si>
    <t>Putri Kamilatul Rohmi</t>
  </si>
  <si>
    <t>Ahmad Fathoni Musleh</t>
  </si>
  <si>
    <t>CEK</t>
  </si>
  <si>
    <t>Azy Athoillah Yazid</t>
  </si>
  <si>
    <t>CEK BTN</t>
  </si>
  <si>
    <t>Muhammad Syaifur Rijal</t>
  </si>
  <si>
    <t>Hikmatul Hasanah</t>
  </si>
  <si>
    <t>Laily Hidayati Rosyidi</t>
  </si>
  <si>
    <t>Siti Nur Latifah</t>
  </si>
  <si>
    <t>Muhammad Shalahuddin Al-Ayyuby</t>
  </si>
  <si>
    <t>Rusmini</t>
  </si>
  <si>
    <t>Diah Rizki Pratiwi</t>
  </si>
  <si>
    <t>Abdul Mun'im</t>
  </si>
  <si>
    <t>Chairul Bhakti</t>
  </si>
  <si>
    <t>Alfian Izzat El Rahman</t>
  </si>
  <si>
    <t xml:space="preserve"> 23/07/2015</t>
  </si>
  <si>
    <t>S2-HK 2015/2016</t>
  </si>
  <si>
    <t>Alfina Wildah</t>
  </si>
  <si>
    <t>Umar Faruq</t>
  </si>
  <si>
    <t>Saiful Badri</t>
  </si>
  <si>
    <t>Anwar Nuris</t>
  </si>
  <si>
    <t>Nur Komala</t>
  </si>
  <si>
    <t>Fawait Syaiful Rahman</t>
  </si>
  <si>
    <t>Minhajul Abidah</t>
  </si>
  <si>
    <t>Moh Hanif Lutfi</t>
  </si>
  <si>
    <t>Mohamad Hoirul Anam</t>
  </si>
  <si>
    <t>21/07/2017</t>
  </si>
  <si>
    <t>Ahmad Zubadul Afiq</t>
  </si>
  <si>
    <t>Beni Ashari</t>
  </si>
  <si>
    <t>Erwin Setyo Nugroho</t>
  </si>
  <si>
    <t>08/07/2019</t>
  </si>
  <si>
    <t>Tamaji</t>
  </si>
  <si>
    <t>Hana Nurul Khoironi Andritama</t>
  </si>
  <si>
    <t>S2-KPI 2015/2016</t>
  </si>
  <si>
    <t>Abdi Fauji Hadiono</t>
  </si>
  <si>
    <t>KPI</t>
  </si>
  <si>
    <t>Nur Hafifah</t>
  </si>
  <si>
    <t>Agung Obianto</t>
  </si>
  <si>
    <t>Moh. Abd. Halik</t>
  </si>
  <si>
    <t>sdh byr tp blm menyerahkan slip</t>
  </si>
  <si>
    <t>Wisri</t>
  </si>
  <si>
    <t>Adi Susianto</t>
  </si>
  <si>
    <t>Aminul 'Alimin</t>
  </si>
  <si>
    <t>Yohandi</t>
  </si>
  <si>
    <t>Yuli Nur Kholidah</t>
  </si>
  <si>
    <t>25/06/2019</t>
  </si>
  <si>
    <t>Edy Supriyono</t>
  </si>
  <si>
    <t>Anang Lukman Afandi</t>
  </si>
  <si>
    <t>Abdul Qodir Lutfi</t>
  </si>
  <si>
    <t xml:space="preserve">S2-IPDI 2015/2016 </t>
  </si>
  <si>
    <t>Susi Qory Utami</t>
  </si>
  <si>
    <t>IPDI</t>
  </si>
  <si>
    <t>Putri Maja Mulia Kulzum</t>
  </si>
  <si>
    <t>Rizqiyah Ratu Balqis</t>
  </si>
  <si>
    <t>Syaifudin Zuhri</t>
  </si>
  <si>
    <t>Fajar Abdillah</t>
  </si>
  <si>
    <t>S3-MPI 2015/2016 - Reg</t>
  </si>
  <si>
    <t>2019-1</t>
  </si>
  <si>
    <t>2019-2</t>
  </si>
  <si>
    <t xml:space="preserve"> Sms 11</t>
  </si>
  <si>
    <t>2020-1</t>
  </si>
  <si>
    <t xml:space="preserve"> Sms 12</t>
  </si>
  <si>
    <t>2020-2</t>
  </si>
  <si>
    <t xml:space="preserve"> Sms 13</t>
  </si>
  <si>
    <t>2021-1</t>
  </si>
  <si>
    <t xml:space="preserve"> Kualifikasi </t>
  </si>
  <si>
    <t xml:space="preserve"> Sem. Prop </t>
  </si>
  <si>
    <t xml:space="preserve"> Sem. Hasil </t>
  </si>
  <si>
    <t xml:space="preserve"> Tertutup </t>
  </si>
  <si>
    <t xml:space="preserve"> Terbuka </t>
  </si>
  <si>
    <t>AMINATUZ ZAHROH</t>
  </si>
  <si>
    <t>MPI-S3</t>
  </si>
  <si>
    <t>TOHARI</t>
  </si>
  <si>
    <t>YAYOK WAHYUDI</t>
  </si>
  <si>
    <t>YUNUS</t>
  </si>
  <si>
    <t>HAYA</t>
  </si>
  <si>
    <t>MOH. ANWAR</t>
  </si>
  <si>
    <t>AKTIF</t>
  </si>
  <si>
    <t>KHOLILUR RAHMAN</t>
  </si>
  <si>
    <t>HARTONO</t>
  </si>
  <si>
    <t>SYAMSUL BAHRI</t>
  </si>
  <si>
    <t>MOCH.HOLIL. A</t>
  </si>
  <si>
    <t>MARKHABAN</t>
  </si>
  <si>
    <t>IMRON FAUZI</t>
  </si>
  <si>
    <t>IRFAN AFANDI</t>
  </si>
  <si>
    <t>MOHAMAD YAHYA</t>
  </si>
  <si>
    <t>ABDUL MUIS</t>
  </si>
  <si>
    <t>ROSYADI BR.</t>
  </si>
  <si>
    <t>UMMI MAHMUDAH</t>
  </si>
  <si>
    <t>NUZZULUL ULUM</t>
  </si>
  <si>
    <t>NURUL HUDA</t>
  </si>
  <si>
    <t>AKHMADI</t>
  </si>
  <si>
    <t>MOH.NUR ROHMAN</t>
  </si>
  <si>
    <t>ILYAS</t>
  </si>
  <si>
    <t>FATHUR RAHIM</t>
  </si>
  <si>
    <t>NURHADI</t>
  </si>
  <si>
    <t>MOH. QURTUBI</t>
  </si>
  <si>
    <t>SUPRIADI</t>
  </si>
  <si>
    <t>S3-MPI 2015/2016 - Bea 5000 Dok (I)</t>
  </si>
  <si>
    <t>SYUHUD</t>
  </si>
  <si>
    <t>5000 Dok</t>
  </si>
  <si>
    <t>Bea</t>
  </si>
  <si>
    <t>SITI AIMAH</t>
  </si>
  <si>
    <t>AHMADI</t>
  </si>
  <si>
    <t>Bea 17-1</t>
  </si>
  <si>
    <t>Bea 18-1</t>
  </si>
  <si>
    <t>WAFI ALI HAJJAJ</t>
  </si>
  <si>
    <t>MUHAMMAD IMAM KHAUDLI</t>
  </si>
  <si>
    <t>ALI WAFA</t>
  </si>
  <si>
    <t>ERIYANTO</t>
  </si>
  <si>
    <t>AHMAD AZIZ FANANI</t>
  </si>
  <si>
    <t>TOHEDI</t>
  </si>
  <si>
    <t>ARFANDI</t>
  </si>
  <si>
    <t>ABDUL AZIS</t>
  </si>
  <si>
    <t>JASULI</t>
  </si>
  <si>
    <t>Bea 17-2</t>
  </si>
  <si>
    <t>MOH. MAHRUS HASAN</t>
  </si>
  <si>
    <t>#2016/2017</t>
  </si>
  <si>
    <t>S2-PBA 2016/2017</t>
  </si>
  <si>
    <t>YUSNITA ZAKIYAH</t>
  </si>
  <si>
    <t>KHOIRU MAHMUD AG</t>
  </si>
  <si>
    <t>HUSNUL FADILATUS S</t>
  </si>
  <si>
    <t>M. ROISUL IKHWAN</t>
  </si>
  <si>
    <t>NOR HOLIS IBN NAFSAH</t>
  </si>
  <si>
    <t>IMMATUL KHOIROH</t>
  </si>
  <si>
    <t>IMAM WAHYUDI</t>
  </si>
  <si>
    <t>HOMAIDI</t>
  </si>
  <si>
    <t>SOFIATUS SOBRIYAH</t>
  </si>
  <si>
    <t>MAULA MINHATUL FARIDA</t>
  </si>
  <si>
    <t>DANI FIRDAUS</t>
  </si>
  <si>
    <t>BASUKI ROHMAT</t>
  </si>
  <si>
    <t>MUHYI ABDURROHIM</t>
  </si>
  <si>
    <t>ACHMAD SAFIUDIN</t>
  </si>
  <si>
    <t>AZISI</t>
  </si>
  <si>
    <t>22/02.18</t>
  </si>
  <si>
    <t>UMMU IMAROH</t>
  </si>
  <si>
    <t xml:space="preserve">                 -</t>
  </si>
  <si>
    <t>* Titip</t>
  </si>
  <si>
    <t>RIFQIATUL MAWADAH</t>
  </si>
  <si>
    <t>SITI NURJANAH</t>
  </si>
  <si>
    <t>S2-ES 2016/2017</t>
  </si>
  <si>
    <t>M. ICHWANUS SURUR</t>
  </si>
  <si>
    <t>YUNUS ZAMROJI</t>
  </si>
  <si>
    <t>DOVI IWAN M.H</t>
  </si>
  <si>
    <t>ZAINUL ANWAR</t>
  </si>
  <si>
    <t>ZAINUR RAFIK</t>
  </si>
  <si>
    <t>MUHTAR HIDAYAT</t>
  </si>
  <si>
    <t>ALI MUHTAR BAEHAKI,SP</t>
  </si>
  <si>
    <t>QOMARUDDIN HAMDI</t>
  </si>
  <si>
    <t>ASMITO</t>
  </si>
  <si>
    <t>NAILUL MAROM</t>
  </si>
  <si>
    <t>SUPRIYANTO</t>
  </si>
  <si>
    <t>IMAM GHOZALI</t>
  </si>
  <si>
    <t>HOIRUL ICHFAN</t>
  </si>
  <si>
    <t>AKHMAD WASIK</t>
  </si>
  <si>
    <t xml:space="preserve">HOLIL NAWAWI </t>
  </si>
  <si>
    <t>VILLATUS SHOLIKHAH</t>
  </si>
  <si>
    <t xml:space="preserve"> , </t>
  </si>
  <si>
    <t>AHMAD MUHYIDIN</t>
  </si>
  <si>
    <t>FATMAWATI</t>
  </si>
  <si>
    <t>MUHAMAD HAMDI</t>
  </si>
  <si>
    <t>LILIK FATHANI</t>
  </si>
  <si>
    <t>ANWAR SYADDAD</t>
  </si>
  <si>
    <t>ALI BAHRON</t>
  </si>
  <si>
    <t>HIKMATUL MAZIDAH</t>
  </si>
  <si>
    <t>IMRON ROSYIDI</t>
  </si>
  <si>
    <t>IMAM KOMARUDIN</t>
  </si>
  <si>
    <t>MUCHTAR</t>
  </si>
  <si>
    <t>CUT ALFIT NAFI'ATUSSALAMAH</t>
  </si>
  <si>
    <t>S2-HK 2016/2017</t>
  </si>
  <si>
    <t>AHMAD AMIN</t>
  </si>
  <si>
    <t>WAHID AHTAR BAIHAQI</t>
  </si>
  <si>
    <t>BAGUS WASIL HAMDI</t>
  </si>
  <si>
    <t>KHOIRUS SHOLEH</t>
  </si>
  <si>
    <t>MOH.HARI</t>
  </si>
  <si>
    <t xml:space="preserve">INV/20172/0004335 </t>
  </si>
  <si>
    <t>ROBIATUS SIDDIGIYAH</t>
  </si>
  <si>
    <t>MOH.FAIZ KURNIA HADI</t>
  </si>
  <si>
    <t>ILZAM GAZALI MULYO</t>
  </si>
  <si>
    <t>ABDUL GHOFI DWI SETIAWAN</t>
  </si>
  <si>
    <t>AHMAD MUDATSIR</t>
  </si>
  <si>
    <t>NURUL ASTITIN</t>
  </si>
  <si>
    <t>MUHAMMAD FAISOL</t>
  </si>
  <si>
    <t>USWATUN HASANAH</t>
  </si>
  <si>
    <t>ACH.HIDAYATULLAH YUNUS</t>
  </si>
  <si>
    <t>IMAM SUPRIYADI</t>
  </si>
  <si>
    <t>DODIK PUJI BASUKI</t>
  </si>
  <si>
    <t>ALBAR FIRDAUS</t>
  </si>
  <si>
    <t>KAMMIA RIZQA AMALIA</t>
  </si>
  <si>
    <t>ZULFA INSIYAH</t>
  </si>
  <si>
    <t>ZAHRA</t>
  </si>
  <si>
    <t>MALIHATUS SYAFIYAH</t>
  </si>
  <si>
    <t>MUHAMMAD BAHRUL ULUM MUBAROK</t>
  </si>
  <si>
    <t>S2-KPI 2016/2017</t>
  </si>
  <si>
    <t>NADA HINDAWIYAH</t>
  </si>
  <si>
    <t>KHOIRUDDIN</t>
  </si>
  <si>
    <t>DIANA</t>
  </si>
  <si>
    <t>MEILY YANTI</t>
  </si>
  <si>
    <t>RIFQI BAHARUDIN EL MULAZ</t>
  </si>
  <si>
    <t>AINUR ROFIQ</t>
  </si>
  <si>
    <t xml:space="preserve">INV/20181/0002337 </t>
  </si>
  <si>
    <t xml:space="preserve">INV/20172/0004358 </t>
  </si>
  <si>
    <t>MOH. HUSNI MUBAROK</t>
  </si>
  <si>
    <t>sdh konfirmasi P. Halim</t>
  </si>
  <si>
    <t>S2-PAI 2016/2017</t>
  </si>
  <si>
    <t>FATIMAH AZZAHRO</t>
  </si>
  <si>
    <t>LAILATUN NAFILAH KAMIL</t>
  </si>
  <si>
    <t>MUHAMMAD WAZIR ILAHI</t>
  </si>
  <si>
    <t>DURRATUL MUNIRAH ARROFIQOH</t>
  </si>
  <si>
    <t>IRFA UMAROH ISLAMIYAH</t>
  </si>
  <si>
    <t>MAR'AH NAILUL FAROH</t>
  </si>
  <si>
    <t>HASAN TAMIMI</t>
  </si>
  <si>
    <t>USLIFATUL IZA</t>
  </si>
  <si>
    <t>MUHAMMAD AIN</t>
  </si>
  <si>
    <t>MOHAMAD READUS SHOLIHIN</t>
  </si>
  <si>
    <t>SITI MUNIROTUL HIMMAH</t>
  </si>
  <si>
    <t>ROBITOTUL FAIZIYAH</t>
  </si>
  <si>
    <t>MOH ISOMUDDIN</t>
  </si>
  <si>
    <t>AGUS SUPRIYADI</t>
  </si>
  <si>
    <t>NEMAN AGUSTONO</t>
  </si>
  <si>
    <t>MOHAMMAD MUSLEH</t>
  </si>
  <si>
    <t>AHMAD MUZAKKI IMRON</t>
  </si>
  <si>
    <t>MUHAMMAD NASIH</t>
  </si>
  <si>
    <t>LUKMAN HAKIM</t>
  </si>
  <si>
    <t>NUR IKA OKTAFIATUL J</t>
  </si>
  <si>
    <t>INV/20181/0002464</t>
  </si>
  <si>
    <t>HADI AGUS MIFTAHUL U</t>
  </si>
  <si>
    <t>ULFA DINA NOVIENDA</t>
  </si>
  <si>
    <t>TUTHIUR RIZQIAH</t>
  </si>
  <si>
    <t>ZULAIKHAH</t>
  </si>
  <si>
    <t>FAHHUR ROZI</t>
  </si>
  <si>
    <t>RIDWAN EFENDI</t>
  </si>
  <si>
    <t>IRFAD FAIQ ABDILLAH</t>
  </si>
  <si>
    <t>HUDZAIFAH AL-AYYUBI</t>
  </si>
  <si>
    <t>RAUDATUL JANNAH F</t>
  </si>
  <si>
    <t>SYIFAUL UMAMI ZUHRO</t>
  </si>
  <si>
    <t>MUHAMMAD KHOLIL</t>
  </si>
  <si>
    <t>HABIBATUL JANNAH</t>
  </si>
  <si>
    <t>13/072017</t>
  </si>
  <si>
    <t>SUDAWI</t>
  </si>
  <si>
    <t>AKHMAD BAEDOWI</t>
  </si>
  <si>
    <t>FAIZATUN NURANIYAH</t>
  </si>
  <si>
    <t>M.FAJAR ROCHMAD I</t>
  </si>
  <si>
    <t>AHMAD ZAINI</t>
  </si>
  <si>
    <t>NURIL KHOLILATUL H</t>
  </si>
  <si>
    <t>INDAH FEBRIANTI</t>
  </si>
  <si>
    <t>27/06/2019</t>
  </si>
  <si>
    <t>MIQDAD AFIF</t>
  </si>
  <si>
    <t>ALEK EFENDI</t>
  </si>
  <si>
    <t>RUDI HARTONO</t>
  </si>
  <si>
    <t>AHMAD MUSTANGIN</t>
  </si>
  <si>
    <t>ACHMAD IMAM HAIRONI</t>
  </si>
  <si>
    <t>ZAINAL ABIDIN</t>
  </si>
  <si>
    <t>ST NUR SAIDAH</t>
  </si>
  <si>
    <t>MUSRIFAH</t>
  </si>
  <si>
    <t>SYAIFUL ARIF</t>
  </si>
  <si>
    <t>FARUQ MUHAMMAD</t>
  </si>
  <si>
    <t>S2-PGMI 2016/2017</t>
  </si>
  <si>
    <t>IKA IRWANIYATI</t>
  </si>
  <si>
    <t>PGMI</t>
  </si>
  <si>
    <t>ROCHMAD BAITULLAH</t>
  </si>
  <si>
    <t>MOH. MAULIDIN ALIF U.</t>
  </si>
  <si>
    <t>JAMILATUN NAFI'AH</t>
  </si>
  <si>
    <t>IDA ANDRIYANI</t>
  </si>
  <si>
    <t>VERA FERYYAL</t>
  </si>
  <si>
    <t>NUSA SETIYADI</t>
  </si>
  <si>
    <t>ELOK AINI SULTHON</t>
  </si>
  <si>
    <t>ABDUL LATIF</t>
  </si>
  <si>
    <t>DUKAN JAUHARI FARUQ</t>
  </si>
  <si>
    <t>MASRUKHIN</t>
  </si>
  <si>
    <t>SANUSI</t>
  </si>
  <si>
    <t>NUR MAHMUDAH</t>
  </si>
  <si>
    <t>ACHMAD NURUDDIN</t>
  </si>
  <si>
    <t>NURHABI</t>
  </si>
  <si>
    <t>S2-MPI 2016/2017</t>
  </si>
  <si>
    <t>RIAYATUL HUSNAN</t>
  </si>
  <si>
    <t>FATHUR ROZI</t>
  </si>
  <si>
    <t>AINUR ROFIQ AZIZ</t>
  </si>
  <si>
    <t>SUBHAN</t>
  </si>
  <si>
    <t>NUR MUHLAS</t>
  </si>
  <si>
    <t>AHMAD MUNAWIR</t>
  </si>
  <si>
    <t>ABDUL HALIM</t>
  </si>
  <si>
    <t>SYARIF ALI AL QADRIE</t>
  </si>
  <si>
    <t>MOHAMMAD ERWAN</t>
  </si>
  <si>
    <t>MUNDZAR RAHMAN</t>
  </si>
  <si>
    <t>MUHAMMAD ZAINAL ABIDIN</t>
  </si>
  <si>
    <t>JAMALUDDIN</t>
  </si>
  <si>
    <t>NUR ROCHID</t>
  </si>
  <si>
    <t>NUR KHOLIS</t>
  </si>
  <si>
    <t>NURUL HIDAYAH</t>
  </si>
  <si>
    <t>BUKADIN</t>
  </si>
  <si>
    <t>JUHROWIYAH</t>
  </si>
  <si>
    <t>FITRIA DESIANA F</t>
  </si>
  <si>
    <t>M.SHOLEHUDIN</t>
  </si>
  <si>
    <t>LUDY FITRIANDILA</t>
  </si>
  <si>
    <t>19//01/17</t>
  </si>
  <si>
    <t>BADRUS SOLEH</t>
  </si>
  <si>
    <t>M RIZA AL AMIN</t>
  </si>
  <si>
    <t>NUR EFDELI PUTRI MANDAR</t>
  </si>
  <si>
    <t>ITA NOVITARINI</t>
  </si>
  <si>
    <t>MUHAMMAD SALIH</t>
  </si>
  <si>
    <t xml:space="preserve">MUHAMMAD MISBAH </t>
  </si>
  <si>
    <t>MISBAHUL MUNIR</t>
  </si>
  <si>
    <t>NUR ASIYAH</t>
  </si>
  <si>
    <t>UBAIDILLAH</t>
  </si>
  <si>
    <t>MOH.LUTHFI KURNIA ARROZAQ</t>
  </si>
  <si>
    <t>BETRI SUSANTI</t>
  </si>
  <si>
    <t>DEWI NITA UTAMI</t>
  </si>
  <si>
    <t>HAYI ABDUS SUKUR</t>
  </si>
  <si>
    <t>ISMAIL ZULQORNAIN</t>
  </si>
  <si>
    <t>SUPARJO ADI SUWARNO</t>
  </si>
  <si>
    <t>S3-MPI 2016/2017 - Bea 5000 Dok (II)</t>
  </si>
  <si>
    <t>2021-2</t>
  </si>
  <si>
    <t>2022-1</t>
  </si>
  <si>
    <t>ATMARI</t>
  </si>
  <si>
    <t>ABDUL HAQ AS</t>
  </si>
  <si>
    <t>Bea-17-2</t>
  </si>
  <si>
    <t>Bea 19-2</t>
  </si>
  <si>
    <t>ABU HASAN AGUS R</t>
  </si>
  <si>
    <t>AHMAD IHWANUL MUTTAQIN</t>
  </si>
  <si>
    <t>AHMAD TA'RIFIN</t>
  </si>
  <si>
    <t>ANA ANIATI</t>
  </si>
  <si>
    <t>DEDE HUSNI MUBAROK</t>
  </si>
  <si>
    <t>MOHAMMAD FAWAID</t>
  </si>
  <si>
    <t>SITI NURSYAMSIYAH</t>
  </si>
  <si>
    <t>SITI QOMALA KHAYATI</t>
  </si>
  <si>
    <t>AHMAD KHALID</t>
  </si>
  <si>
    <t>SHINTA NENTO</t>
  </si>
  <si>
    <t>bea</t>
  </si>
  <si>
    <t>ABD. HAYYI AKROM</t>
  </si>
  <si>
    <t>SYAMSUL ARIFIN</t>
  </si>
  <si>
    <t>SYARIFATUL MARWIYAH</t>
  </si>
  <si>
    <t>S3-MPI ANGK II 2016/2017</t>
  </si>
  <si>
    <t xml:space="preserve"> Sms 2</t>
  </si>
  <si>
    <t xml:space="preserve"> Sms 3</t>
  </si>
  <si>
    <t xml:space="preserve"> Sms 4</t>
  </si>
  <si>
    <t xml:space="preserve"> Sms 5</t>
  </si>
  <si>
    <t xml:space="preserve"> Sms 6</t>
  </si>
  <si>
    <t>EMSIKHU IRA GUNAWAN</t>
  </si>
  <si>
    <t>MUHAMAD UMAR HASIBULLAH</t>
  </si>
  <si>
    <t>MOHAMMAD FARIS</t>
  </si>
  <si>
    <t>NUR ALI</t>
  </si>
  <si>
    <t>AHMAD YUSTRU DASWARA</t>
  </si>
  <si>
    <t>IFA KRISTIANI</t>
  </si>
  <si>
    <t>MOHAMMAD AFIYANTO</t>
  </si>
  <si>
    <t>#2017</t>
  </si>
  <si>
    <t>S2-PAI 2017/2018</t>
  </si>
  <si>
    <t>Tarif--&gt;</t>
  </si>
  <si>
    <t xml:space="preserve"> Matrikulasi</t>
  </si>
  <si>
    <t>ABD. WARIS</t>
  </si>
  <si>
    <t>ABDUL FATTAH</t>
  </si>
  <si>
    <t>ABDUL MUFID ROBIBY</t>
  </si>
  <si>
    <t>ABDUL MUNIP</t>
  </si>
  <si>
    <t>ABDURRASHID</t>
  </si>
  <si>
    <t>ACHMAD FAUZI UMAR ARRAHMANI</t>
  </si>
  <si>
    <t>AHMAD HAMIM ZAENULLAH</t>
  </si>
  <si>
    <t>AHMAD MUZAQQI</t>
  </si>
  <si>
    <t>AMALIA AISYAH RAHMI</t>
  </si>
  <si>
    <t>ATIK NIHAYATUS SHOLIHA AMINA</t>
  </si>
  <si>
    <t>ATIQ KHURUL 'AIN</t>
  </si>
  <si>
    <t>AWANG DARMAWAN</t>
  </si>
  <si>
    <t>BAGUS SUPRIADI</t>
  </si>
  <si>
    <t>DEBBIY NURFAIDAH</t>
  </si>
  <si>
    <t>DEFTOASRI PUDYSATRIA PRATAMA</t>
  </si>
  <si>
    <t>DIANITA ELOK AMALIYAH</t>
  </si>
  <si>
    <t>EMI MASRUROH</t>
  </si>
  <si>
    <t>ERFAN SUMANTRI</t>
  </si>
  <si>
    <t>EVI KRISDAYANTI</t>
  </si>
  <si>
    <t>FATIMATUR ROSYIDAH</t>
  </si>
  <si>
    <t>FITRIYA KUSUMA FARDANI</t>
  </si>
  <si>
    <t>HARIS BUDI UTOMO</t>
  </si>
  <si>
    <t>IKHWAN HAKIKI</t>
  </si>
  <si>
    <t>LAILY MUNTAHA</t>
  </si>
  <si>
    <t>LILIK ARIFAH JUNAIDI</t>
  </si>
  <si>
    <t>LILIKH MASLIKAH</t>
  </si>
  <si>
    <t xml:space="preserve">INV/20181/0002520 </t>
  </si>
  <si>
    <t>M. ARIF</t>
  </si>
  <si>
    <t>M. FATKHIS SUUD</t>
  </si>
  <si>
    <t>M. HASAN SABILIL MAULA</t>
  </si>
  <si>
    <t>M. BARIK BAWAFI</t>
  </si>
  <si>
    <t>MAHRUS FIRDAUS</t>
  </si>
  <si>
    <t>MAHRUS ZAINUL UMAM</t>
  </si>
  <si>
    <t>MIFTA AYUDYAS MAHANANI</t>
  </si>
  <si>
    <t>MOHAMMAD FIRMAN MUSTHOFA HADI</t>
  </si>
  <si>
    <t>MOHAMMAD NIAM MULLOH</t>
  </si>
  <si>
    <t>MOHAMMAD SYAMSUD DHUHA</t>
  </si>
  <si>
    <t>MUHAMMAD NUR FADLI</t>
  </si>
  <si>
    <t>MULAJIMATUL FITRIA</t>
  </si>
  <si>
    <t>NASRODIN</t>
  </si>
  <si>
    <t>NURUL LUTFIAH</t>
  </si>
  <si>
    <t>PENI CATUR RENANINGTYAS</t>
  </si>
  <si>
    <t>RAHMI M T</t>
  </si>
  <si>
    <t>RISKIAH FITRA LESTARI</t>
  </si>
  <si>
    <t>ROUDLOTUL JANNAH</t>
  </si>
  <si>
    <t>RUKAYAH</t>
  </si>
  <si>
    <t>SAIFUL MUARIF</t>
  </si>
  <si>
    <t>5//5/2020</t>
  </si>
  <si>
    <t>SAMSUL ARIF</t>
  </si>
  <si>
    <t>SITI ROBIATUL ADAWIYAH</t>
  </si>
  <si>
    <t>SLAMET WAHYU DWI LAK</t>
  </si>
  <si>
    <t>SUHARTATIK</t>
  </si>
  <si>
    <t>VITA EMIL MUTAMHIDA</t>
  </si>
  <si>
    <t>YUNI FIRDAUSI NUZULA</t>
  </si>
  <si>
    <t>YUNI PUSPITALIA</t>
  </si>
  <si>
    <t>S2-MPI 2017/2018</t>
  </si>
  <si>
    <t>AAN DWI ARDIYANTO</t>
  </si>
  <si>
    <t>ABD MUIS ZAINI</t>
  </si>
  <si>
    <t>ACHMAD MOHTAR</t>
  </si>
  <si>
    <t>AHMAD FAIQ FAZAUDIN</t>
  </si>
  <si>
    <t>AHMAD FAUZAN</t>
  </si>
  <si>
    <t>AKHMAD SURURI</t>
  </si>
  <si>
    <t>ALI KHUSNAN</t>
  </si>
  <si>
    <t>31/1/2020</t>
  </si>
  <si>
    <t>AMIRUDIN</t>
  </si>
  <si>
    <t>BARLIAN QODARSA</t>
  </si>
  <si>
    <t>EVI NURHAYATI</t>
  </si>
  <si>
    <t>FAIKATUL WARDA</t>
  </si>
  <si>
    <t>FARID ROSYIDI</t>
  </si>
  <si>
    <t>HASAN MUDZAKKIR</t>
  </si>
  <si>
    <t>HEVI HEKAYANTI</t>
  </si>
  <si>
    <t>IMAM HANAFI</t>
  </si>
  <si>
    <t>IZZATUL MASY'UNAH</t>
  </si>
  <si>
    <t>LAILIA MUFIDA</t>
  </si>
  <si>
    <t>LISBINANTIN</t>
  </si>
  <si>
    <t>LUKMAN HAQIQI</t>
  </si>
  <si>
    <t>LUTFI WAKHID</t>
  </si>
  <si>
    <t>M KHOTIB FIRDAUS</t>
  </si>
  <si>
    <t>CUTI</t>
  </si>
  <si>
    <t>M. ADIB BARIZA MAULANA</t>
  </si>
  <si>
    <t>MASHLAHATUS SALAMAH</t>
  </si>
  <si>
    <t>MIARTI</t>
  </si>
  <si>
    <t>BPN 131</t>
  </si>
  <si>
    <t>MOH. TSABIT</t>
  </si>
  <si>
    <t>MOHAMMAD HAMDI</t>
  </si>
  <si>
    <t>MUHAMAD NURUL HUDA</t>
  </si>
  <si>
    <t>MUHAMMAD</t>
  </si>
  <si>
    <t xml:space="preserve"> CT Oto </t>
  </si>
  <si>
    <t>MUHAMMAD AFFANDI</t>
  </si>
  <si>
    <t>MUHAMMAD KHOLIDI</t>
  </si>
  <si>
    <t>MUHAMMAD RAHMAN HIDAYAT</t>
  </si>
  <si>
    <t>###########</t>
  </si>
  <si>
    <t>MUHAMMAD SHABIBUR RAHMAT</t>
  </si>
  <si>
    <t>NIMATUL HIDAYATI</t>
  </si>
  <si>
    <t>NUR HIDAYATI</t>
  </si>
  <si>
    <t>NUR ROHIM</t>
  </si>
  <si>
    <t>NUR SARI AS'ADIYAH</t>
  </si>
  <si>
    <t>NUR SLAMET RIYADI</t>
  </si>
  <si>
    <t>SAMSUL ARIFIN</t>
  </si>
  <si>
    <t>SILFIYAH AISYATUL MAZIYAH</t>
  </si>
  <si>
    <t>SITI AFIFATUL MUTMAINAH</t>
  </si>
  <si>
    <t>SULIYANI</t>
  </si>
  <si>
    <t>SUSI SUSILAWATI</t>
  </si>
  <si>
    <t>TOTOK SUDARMANTO</t>
  </si>
  <si>
    <t>TRIANA SUPRIHASTINI</t>
  </si>
  <si>
    <t>TUTIK SRI UTAMI</t>
  </si>
  <si>
    <t>S2-ES 2017/2018</t>
  </si>
  <si>
    <t>ABD. GHOFUR AR-ROZI</t>
  </si>
  <si>
    <t>ABDUL HAFID</t>
  </si>
  <si>
    <t>ACH TOYYIBUR ROHMAN</t>
  </si>
  <si>
    <t>ACHMAD MAS UDI</t>
  </si>
  <si>
    <t>AFIF AMRULLAH</t>
  </si>
  <si>
    <t>AHMAD KUSAIRI</t>
  </si>
  <si>
    <t>AKRIM BILLAH</t>
  </si>
  <si>
    <t>ANANG ASARI</t>
  </si>
  <si>
    <t>ANDI RAHMAD HIDAYAT</t>
  </si>
  <si>
    <t>ARIF HUMAIDI</t>
  </si>
  <si>
    <t>ARIF RAHMAN HAKIM</t>
  </si>
  <si>
    <t>AZIZ ABDILLAH</t>
  </si>
  <si>
    <t>DWI SISWANTO</t>
  </si>
  <si>
    <t>FENDI PRADANA</t>
  </si>
  <si>
    <t>ISTIADAH</t>
  </si>
  <si>
    <t>LAILI MUNIKA</t>
  </si>
  <si>
    <t>M. KHANIF ARDZANI</t>
  </si>
  <si>
    <t>MAHFIYAH</t>
  </si>
  <si>
    <t>MALIKUL IRFAN</t>
  </si>
  <si>
    <t>MIFTAKHUL JANNAH</t>
  </si>
  <si>
    <t>MOCH. FUAD HASYIM</t>
  </si>
  <si>
    <t>MOHAMMAD IQBAL BAIDOWI</t>
  </si>
  <si>
    <t>MOHAMMAD MUZAKI</t>
  </si>
  <si>
    <t>MUHAMAD YUSRI HUBIL</t>
  </si>
  <si>
    <t xml:space="preserve">         </t>
  </si>
  <si>
    <t>MUHAMMAD ALY HUSAIN</t>
  </si>
  <si>
    <t>MUHAMMAD FAIZIN ADI PERMANA</t>
  </si>
  <si>
    <t>MUHAMMAD SYAROFI</t>
  </si>
  <si>
    <t>MUKHTAR ROSYADI</t>
  </si>
  <si>
    <t>MUTMAINNAH</t>
  </si>
  <si>
    <t>RINDA QURATUL A'YUN</t>
  </si>
  <si>
    <t>ROBBY REZA ZULFIKRI</t>
  </si>
  <si>
    <t>SHOHIBUL ULUM</t>
  </si>
  <si>
    <t>SITI WAQIAH</t>
  </si>
  <si>
    <t>14/11/2019</t>
  </si>
  <si>
    <t>SRI WAHYUNITA</t>
  </si>
  <si>
    <t>SUAYROH TRI DAMAYANTI</t>
  </si>
  <si>
    <t>ULUL MA'RIFAH</t>
  </si>
  <si>
    <t>WIWIT MUSTAFIDAH</t>
  </si>
  <si>
    <t>S2-PGMI 2017/2018</t>
  </si>
  <si>
    <t>ACH. NUR FUAD ALFAJRI</t>
  </si>
  <si>
    <t>ACHMAD SOFYAN SAURI</t>
  </si>
  <si>
    <t>AGUS RIYADI</t>
  </si>
  <si>
    <t>AHMAD FADLU ROHMAN</t>
  </si>
  <si>
    <t>HADI HUSEN NURROHMAN</t>
  </si>
  <si>
    <t>IMAM BAEDLOWI</t>
  </si>
  <si>
    <t>INDAH FARIDA</t>
  </si>
  <si>
    <t>INDRI WIJAYANTI NINGSIH</t>
  </si>
  <si>
    <t>LILIS ISNAINI</t>
  </si>
  <si>
    <t>LULUK SULTHONIYAH</t>
  </si>
  <si>
    <t>M SHOLEH HUDDIN</t>
  </si>
  <si>
    <t>MOH IRSAD</t>
  </si>
  <si>
    <t>MUHAMMAD MUSOFFA</t>
  </si>
  <si>
    <t>MUHAMMAD SALIM</t>
  </si>
  <si>
    <t>MULTAZEM AJI BUSONO</t>
  </si>
  <si>
    <t>NASILAH</t>
  </si>
  <si>
    <t>NUR INDAH SARI</t>
  </si>
  <si>
    <t>SAMSURI</t>
  </si>
  <si>
    <t>SOFI RATIH KUMALA</t>
  </si>
  <si>
    <t>Bayar Di BRI, Bkn Di BNI SALAH REKENING</t>
  </si>
  <si>
    <t>15//09/2020  12.05.41</t>
  </si>
  <si>
    <t>S2-PBA 2017/2018</t>
  </si>
  <si>
    <t>ABDUL BASITH</t>
  </si>
  <si>
    <t>AGUSTRI RAY MURTI HIDAYAH SHALEH</t>
  </si>
  <si>
    <t>AHYAT HABIBI</t>
  </si>
  <si>
    <t>ALI ROSYADI</t>
  </si>
  <si>
    <t>ANSORI</t>
  </si>
  <si>
    <t>AULIYAH HASANAH</t>
  </si>
  <si>
    <t>FEBRIAN FIRMANTO</t>
  </si>
  <si>
    <t>KHUROTUL AINI</t>
  </si>
  <si>
    <t>LUKMAN SYAH</t>
  </si>
  <si>
    <t>M. FAHRUR ROJI</t>
  </si>
  <si>
    <t>MINANUR ROHMAN</t>
  </si>
  <si>
    <t xml:space="preserve"> CT oto </t>
  </si>
  <si>
    <t>MOHAMMAD DLOIFULLAH</t>
  </si>
  <si>
    <t>MUHAMMAD ZAINUDDIN</t>
  </si>
  <si>
    <t>MUHYIDIN</t>
  </si>
  <si>
    <t>NOOR ZINATUL H</t>
  </si>
  <si>
    <t>NURFAIZA</t>
  </si>
  <si>
    <t>NUR IMAMATUN NISA</t>
  </si>
  <si>
    <t>NURI FIRDAUSIAH</t>
  </si>
  <si>
    <t>RUSYAIFAH</t>
  </si>
  <si>
    <t>SYAFIUDIN</t>
  </si>
  <si>
    <t>S2-HK 2017/2018</t>
  </si>
  <si>
    <t>ACHMAD FAUZAN</t>
  </si>
  <si>
    <t>BADRUT TAMAM</t>
  </si>
  <si>
    <t>BURHANUDDIN</t>
  </si>
  <si>
    <t>EKTI OKTAVIANA</t>
  </si>
  <si>
    <t>FAHMI RIDLOL U</t>
  </si>
  <si>
    <t>KHOTIBUL UMAM</t>
  </si>
  <si>
    <t>M KHOIRUL BASHOR</t>
  </si>
  <si>
    <t>,</t>
  </si>
  <si>
    <t>MUHAMMAD SULAHAK</t>
  </si>
  <si>
    <t>NUR LATIFAH</t>
  </si>
  <si>
    <t>NUR WAKHIDAH</t>
  </si>
  <si>
    <t>NURKAFIDZ NIZAM FAHMI</t>
  </si>
  <si>
    <t>RUDI ADI</t>
  </si>
  <si>
    <t>YANTO HASYIM</t>
  </si>
  <si>
    <t xml:space="preserve"> CT Oto</t>
  </si>
  <si>
    <t>YAUMIL HIKMAH</t>
  </si>
  <si>
    <t>S2-KPI 2017/2018</t>
  </si>
  <si>
    <t>ABDUL WAHET</t>
  </si>
  <si>
    <t>AFIF MAHMUDI</t>
  </si>
  <si>
    <t>ATIYATUL MAWADDAH</t>
  </si>
  <si>
    <t>BUNGA SURAWIJAYA NINGSIH</t>
  </si>
  <si>
    <t>CLARA SINTA PRATIWI</t>
  </si>
  <si>
    <t>KARTIKA BINA KASIH</t>
  </si>
  <si>
    <t>M. SOFIATUL IMAN</t>
  </si>
  <si>
    <t>MOH SYARIF HIDAYAT</t>
  </si>
  <si>
    <t>NURUL LAILA HIDAYAT</t>
  </si>
  <si>
    <t>ROBIATUL ADAWIYAH</t>
  </si>
  <si>
    <t>SUYITNO</t>
  </si>
  <si>
    <t>SY ARIFIN</t>
  </si>
  <si>
    <t>YULIS SRI WAHYUNINGSIH</t>
  </si>
  <si>
    <t>ZAKIA ULFI MU'MININ</t>
  </si>
  <si>
    <t>28/01/2019</t>
  </si>
  <si>
    <t>S3-MPI 2017/2018</t>
  </si>
  <si>
    <t xml:space="preserve"> Sms 1</t>
  </si>
  <si>
    <t>2022-2</t>
  </si>
  <si>
    <t>2023-1</t>
  </si>
  <si>
    <t>ARINI SADIYAH</t>
  </si>
  <si>
    <t>BADRUL MUDARRIS</t>
  </si>
  <si>
    <t>BAMBANG EKO ADITIA</t>
  </si>
  <si>
    <t>ESIN</t>
  </si>
  <si>
    <t>FINADATUL WAHIDAH</t>
  </si>
  <si>
    <t>GHUFRON</t>
  </si>
  <si>
    <t>MOH BAITS SULTHON</t>
  </si>
  <si>
    <t>MORY VICTOR FEBRIANTO</t>
  </si>
  <si>
    <t>GELOMBANG II 2017/2018</t>
  </si>
  <si>
    <t>AHMAD ROYANI</t>
  </si>
  <si>
    <t>RASYID</t>
  </si>
  <si>
    <t xml:space="preserve">    </t>
  </si>
  <si>
    <t>FAISOL ABRARI</t>
  </si>
  <si>
    <t>MOH. DASUKI</t>
  </si>
  <si>
    <t>SAIFUL ASYARI</t>
  </si>
  <si>
    <t>S3-MPI 2017/2018 - Bea 5000 Dok (III)</t>
  </si>
  <si>
    <t>ABDULLAH</t>
  </si>
  <si>
    <t>ACH ROFIQ</t>
  </si>
  <si>
    <t>AGUS SALIM SALABI</t>
  </si>
  <si>
    <t>AHMAD MUADIN</t>
  </si>
  <si>
    <t>AHMAD MUSADDAD</t>
  </si>
  <si>
    <t>BADRUN FAWAIDI</t>
  </si>
  <si>
    <t>FATHORRAHMAN</t>
  </si>
  <si>
    <t>HERMANTO HALIL</t>
  </si>
  <si>
    <t>IMAM WAHYONO</t>
  </si>
  <si>
    <t>MOH. HAMZAH</t>
  </si>
  <si>
    <t>MUHAMAD ARIFIN</t>
  </si>
  <si>
    <t>NAWAWI</t>
  </si>
  <si>
    <t>SUDARSONO</t>
  </si>
  <si>
    <t>YUDI ARDIAN RAHMAN</t>
  </si>
  <si>
    <t>ZAENALFANANI</t>
  </si>
  <si>
    <t>#2018</t>
  </si>
  <si>
    <t>S2-MPI 2018/2019</t>
  </si>
  <si>
    <t>Proposal</t>
  </si>
  <si>
    <t>SEMPRO</t>
  </si>
  <si>
    <t>Agus Firmanto</t>
  </si>
  <si>
    <t>MPI-3A</t>
  </si>
  <si>
    <t>Muhammad Sidiq Purnomo</t>
  </si>
  <si>
    <t>Taufiqurrahman</t>
  </si>
  <si>
    <t>Abdul Karim Amrulloh</t>
  </si>
  <si>
    <t>Slamet Riadi</t>
  </si>
  <si>
    <t>Abdurrahman</t>
  </si>
  <si>
    <t>Dian Purnama</t>
  </si>
  <si>
    <t>Ahsan Saiful Rijal</t>
  </si>
  <si>
    <t>Ismi Noerul Izzah</t>
  </si>
  <si>
    <t>MPI-3B</t>
  </si>
  <si>
    <t>Fathorrozi</t>
  </si>
  <si>
    <t>Latifatul Muniroh</t>
  </si>
  <si>
    <t>Elin Ida Sabti</t>
  </si>
  <si>
    <t>Siti Khomariyah</t>
  </si>
  <si>
    <t>Vina Zuhria</t>
  </si>
  <si>
    <t>Ahmad Zainul Hasan</t>
  </si>
  <si>
    <t>Musrifah</t>
  </si>
  <si>
    <t>Haskil Khorimah</t>
  </si>
  <si>
    <t>Sukandar</t>
  </si>
  <si>
    <t>Linda Rusiana</t>
  </si>
  <si>
    <t xml:space="preserve">Winning Son Ashari </t>
  </si>
  <si>
    <t>M. Kholiful Ma'sum</t>
  </si>
  <si>
    <t>Khoirul Anam</t>
  </si>
  <si>
    <t>Abdul Fatahilah</t>
  </si>
  <si>
    <t>Mulyadi</t>
  </si>
  <si>
    <t>Kholilur Rohman</t>
  </si>
  <si>
    <t>Afthon Sholeh</t>
  </si>
  <si>
    <t>Masfufah</t>
  </si>
  <si>
    <t>MPI-3C</t>
  </si>
  <si>
    <t>Miftakhudin Munir</t>
  </si>
  <si>
    <t>Entin Rusmartiningsih</t>
  </si>
  <si>
    <t>Achmad Zainur Roziqin</t>
  </si>
  <si>
    <t>Fina Inayawati</t>
  </si>
  <si>
    <t>Muhammad Sihabuddin Nasrulloh</t>
  </si>
  <si>
    <t>Hafidatul Mufasiroh</t>
  </si>
  <si>
    <t>Samsul Arifin</t>
  </si>
  <si>
    <t>Achmad Edris</t>
  </si>
  <si>
    <t>Fadil Abdullah</t>
  </si>
  <si>
    <t>Didik Purwanto</t>
  </si>
  <si>
    <t>Age Juhdi Alfani</t>
  </si>
  <si>
    <t>Abdul Syakur Musawiru</t>
  </si>
  <si>
    <t>Sudahri</t>
  </si>
  <si>
    <t>Riadi Hartono</t>
  </si>
  <si>
    <t>Hasyim Mahmud</t>
  </si>
  <si>
    <t>Sutali</t>
  </si>
  <si>
    <t>Muhammad Romli</t>
  </si>
  <si>
    <t>ZAINOR RAHMAN</t>
  </si>
  <si>
    <t>Renim</t>
  </si>
  <si>
    <t>AFIFAH ZAKIYAH DORAJAH</t>
  </si>
  <si>
    <t>MUHAMMAD ITQON SYAUQI</t>
  </si>
  <si>
    <t>HATMAN HADIB</t>
  </si>
  <si>
    <t>AINI NURIYATI</t>
  </si>
  <si>
    <t>S2-PAI 2018/2019</t>
  </si>
  <si>
    <t>SEMHAS</t>
  </si>
  <si>
    <t>TESIS</t>
  </si>
  <si>
    <t>Rizky Alfiyan</t>
  </si>
  <si>
    <t>PAI-3A</t>
  </si>
  <si>
    <t>Nasihatus Silmiyah</t>
  </si>
  <si>
    <t>Moh. Hafid Baihaqi</t>
  </si>
  <si>
    <t>Safaruddin Ridwan</t>
  </si>
  <si>
    <t>Zubairi</t>
  </si>
  <si>
    <t xml:space="preserve">Hariska </t>
  </si>
  <si>
    <t>Wildan Hadi Rochmanu</t>
  </si>
  <si>
    <t>Akhmad Syaiho</t>
  </si>
  <si>
    <t>Bambang Sutrisno Akhmad Mudakir</t>
  </si>
  <si>
    <t>Elok Bariyatul Hasanah</t>
  </si>
  <si>
    <t>Fitriatul Munawaroh</t>
  </si>
  <si>
    <t>Riza Nur Hidayat</t>
  </si>
  <si>
    <t>Rizka Dwi Aryani</t>
  </si>
  <si>
    <t>Muhammad Jaelani</t>
  </si>
  <si>
    <t>Roviani Darojah</t>
  </si>
  <si>
    <t>PAI-3B</t>
  </si>
  <si>
    <t>Muhammad Hilali</t>
  </si>
  <si>
    <t>Retno Damayanti</t>
  </si>
  <si>
    <t>Ahmad Amiruddin</t>
  </si>
  <si>
    <t xml:space="preserve">Indah Wahyuni </t>
  </si>
  <si>
    <t>Muhammad Adib Ali Muchtar</t>
  </si>
  <si>
    <t>Khotib</t>
  </si>
  <si>
    <t>Hanif Muqorrobin</t>
  </si>
  <si>
    <t>Riski Husniah Nurjannah</t>
  </si>
  <si>
    <t>Riski Yulia Anggraeni</t>
  </si>
  <si>
    <t>Alifan Abiyu</t>
  </si>
  <si>
    <t>Nurul Hikmah</t>
  </si>
  <si>
    <t>Syurayyah Hijrin</t>
  </si>
  <si>
    <t>Sulissatul Hasanah</t>
  </si>
  <si>
    <t>Jamilah</t>
  </si>
  <si>
    <t>Muhammad Usman</t>
  </si>
  <si>
    <t>Muhammad Emzet</t>
  </si>
  <si>
    <t>Sil Silatil Isro'iyah</t>
  </si>
  <si>
    <t>Yuli Nur Komariah</t>
  </si>
  <si>
    <t>Aminatul Fikriyah</t>
  </si>
  <si>
    <t>Silent Normalina Supraba</t>
  </si>
  <si>
    <t>Khuril Aini</t>
  </si>
  <si>
    <t>PAI-3C</t>
  </si>
  <si>
    <t xml:space="preserve">Hikmah Firdausi Nuzula </t>
  </si>
  <si>
    <t>Hasiburrohman</t>
  </si>
  <si>
    <t>Dewi Khumairoh</t>
  </si>
  <si>
    <t>Nurul Lailiyatis Sa'adah</t>
  </si>
  <si>
    <t>Arif Rahman Hakim</t>
  </si>
  <si>
    <t>Nur Azizatun Nisya'</t>
  </si>
  <si>
    <t>Faruq Abdillah</t>
  </si>
  <si>
    <t>Hayyus Shomad Az</t>
  </si>
  <si>
    <t>Luthfan Bahsyirudin</t>
  </si>
  <si>
    <t>Fajar Hidayat</t>
  </si>
  <si>
    <t>Muhammad Shohibul Izar</t>
  </si>
  <si>
    <t>Dana Nuril Ibad</t>
  </si>
  <si>
    <t>Ahmad Ardiyanto</t>
  </si>
  <si>
    <t>Toyibatus Zahro</t>
  </si>
  <si>
    <t>Widia Mirantika</t>
  </si>
  <si>
    <t>Naila Rizka Ainurfiya</t>
  </si>
  <si>
    <t>Muhammad Andi Pranoto</t>
  </si>
  <si>
    <t>Ali Mursafa</t>
  </si>
  <si>
    <t>Wulidatul Aminah</t>
  </si>
  <si>
    <t>S2-ES 2018/2019</t>
  </si>
  <si>
    <t>Umi Faizatud Daroini</t>
  </si>
  <si>
    <t>ES-3A</t>
  </si>
  <si>
    <t>Bambang Irawan</t>
  </si>
  <si>
    <t>Mashur Imam</t>
  </si>
  <si>
    <t>Halimatussa'diyah</t>
  </si>
  <si>
    <t>Faikatul Ummah</t>
  </si>
  <si>
    <t>Abdul Mujib</t>
  </si>
  <si>
    <t>Syaiful Anam</t>
  </si>
  <si>
    <t>Sochibah Istiqomah</t>
  </si>
  <si>
    <t>Afrila Mu'arrofah</t>
  </si>
  <si>
    <t>Shahnaz Aisyah Arifiah</t>
  </si>
  <si>
    <t>Achmad Taufik</t>
  </si>
  <si>
    <t>Muzeqqi Madhani</t>
  </si>
  <si>
    <t>Armawi</t>
  </si>
  <si>
    <t>31/8/20</t>
  </si>
  <si>
    <t>Syaifuddin Yahya</t>
  </si>
  <si>
    <t>Achmad Farid</t>
  </si>
  <si>
    <t>ES-3B</t>
  </si>
  <si>
    <t>Muzanni</t>
  </si>
  <si>
    <t>F.I. Januarum Sari</t>
  </si>
  <si>
    <t>Aditya Rizki Wicaksono</t>
  </si>
  <si>
    <t>Wiwik Nur Cahyani</t>
  </si>
  <si>
    <t>Habib Sirojul Munir</t>
  </si>
  <si>
    <t>Andiono Putra</t>
  </si>
  <si>
    <t>Muh. Khoiruddin</t>
  </si>
  <si>
    <t>Niesfi Laily Rahman</t>
  </si>
  <si>
    <t>Ahmad Ficky Rozaqi</t>
  </si>
  <si>
    <t>Zaini Miftah</t>
  </si>
  <si>
    <t>Muhammad Husen</t>
  </si>
  <si>
    <t>Mahmudi</t>
  </si>
  <si>
    <t>M. Ja'far Shodiq R</t>
  </si>
  <si>
    <t>Syarifah Aini</t>
  </si>
  <si>
    <t>Heriyanto</t>
  </si>
  <si>
    <t>Nur Muhammad</t>
  </si>
  <si>
    <t>Mohamad Romli Firdaus</t>
  </si>
  <si>
    <t>Muh. Kanzul Fikri</t>
  </si>
  <si>
    <t>ES-3C</t>
  </si>
  <si>
    <t>Nofaldy Hasbulah Al Madani</t>
  </si>
  <si>
    <t>Munifa</t>
  </si>
  <si>
    <t>Mohammad Sholehuddin</t>
  </si>
  <si>
    <t>Ahmad Munir</t>
  </si>
  <si>
    <t>Nur Muhammad Anuroin</t>
  </si>
  <si>
    <t>Fikri Hidayatullah</t>
  </si>
  <si>
    <t>Mahyudi</t>
  </si>
  <si>
    <t xml:space="preserve">Sri Yuniati </t>
  </si>
  <si>
    <t>Nor Khalis</t>
  </si>
  <si>
    <t>Basriyanto</t>
  </si>
  <si>
    <t>Imam Muslih</t>
  </si>
  <si>
    <t>Nur Hakim.</t>
  </si>
  <si>
    <t>Andika</t>
  </si>
  <si>
    <t>M. Ilham Zainullah</t>
  </si>
  <si>
    <t>Moh. Yanuar Rifky</t>
  </si>
  <si>
    <t>Alimuddin</t>
  </si>
  <si>
    <t>M. Isbullah</t>
  </si>
  <si>
    <t>Ahmad Bisri</t>
  </si>
  <si>
    <t>AINUL YAQIN</t>
  </si>
  <si>
    <t>SUWARNO</t>
  </si>
  <si>
    <t>S2-PBA 2018/2019</t>
  </si>
  <si>
    <t>Zulfa Mukarromah</t>
  </si>
  <si>
    <t>PBA-3</t>
  </si>
  <si>
    <t>Muhammad Haekal Abdun</t>
  </si>
  <si>
    <t>Endang Oktavia Arida</t>
  </si>
  <si>
    <t>Kholil Imam</t>
  </si>
  <si>
    <t>Qurrotul Aini</t>
  </si>
  <si>
    <t>Zainur Roziqin</t>
  </si>
  <si>
    <t>Yusri</t>
  </si>
  <si>
    <t>Achmad Bastomi</t>
  </si>
  <si>
    <t>Anshori</t>
  </si>
  <si>
    <t>Khoiril Akhbar</t>
  </si>
  <si>
    <t>Idris Efendi</t>
  </si>
  <si>
    <t>Abdul Mu'iz</t>
  </si>
  <si>
    <t>S2-PGMI 2018/2019</t>
  </si>
  <si>
    <t>Leny Marinda</t>
  </si>
  <si>
    <t>PGMI-3</t>
  </si>
  <si>
    <t>Siti Hamidatur Rofi'ah</t>
  </si>
  <si>
    <t>Ahmad Syaekhoni</t>
  </si>
  <si>
    <t>Wilda Alufia Rahmi</t>
  </si>
  <si>
    <t>Didik Fermansah</t>
  </si>
  <si>
    <t>Mochamad Farouk</t>
  </si>
  <si>
    <t>Ana Nur Lailatul Fitriani</t>
  </si>
  <si>
    <t>Nika Hadiya Rahmawati</t>
  </si>
  <si>
    <t>Yatik Septi Wulandari</t>
  </si>
  <si>
    <t>Fandrik Hs Putra</t>
  </si>
  <si>
    <t>Moh Asy'ari</t>
  </si>
  <si>
    <t>Muhammad Muslih</t>
  </si>
  <si>
    <t>Intan Hosniati</t>
  </si>
  <si>
    <t>Dewi Retnosari</t>
  </si>
  <si>
    <t>Nailul Izzah</t>
  </si>
  <si>
    <t>Laela Fitriani</t>
  </si>
  <si>
    <t>Maliana Muhimma</t>
  </si>
  <si>
    <t>Moh. Mahbub Junaidi</t>
  </si>
  <si>
    <t>Jumari</t>
  </si>
  <si>
    <t>Suhadi</t>
  </si>
  <si>
    <t>Alfiah</t>
  </si>
  <si>
    <t>Sumining</t>
  </si>
  <si>
    <t>S2-HK 2018/2019</t>
  </si>
  <si>
    <t>Muhammad Soleh</t>
  </si>
  <si>
    <t>HK-3A</t>
  </si>
  <si>
    <t>Sulthon Umar</t>
  </si>
  <si>
    <t xml:space="preserve">Fatmawati </t>
  </si>
  <si>
    <t>Siti Nurholilah</t>
  </si>
  <si>
    <t>Edi Purwanto</t>
  </si>
  <si>
    <t>Moh. Jeweherul Kalamiah</t>
  </si>
  <si>
    <t>Malik Ibrohim</t>
  </si>
  <si>
    <t>Mohamad Sholeh Maulana</t>
  </si>
  <si>
    <t>Moh. Ali Maksum</t>
  </si>
  <si>
    <t>Salma Mufidah</t>
  </si>
  <si>
    <t>Moh Imam Haroqi</t>
  </si>
  <si>
    <t>05/10/2020</t>
  </si>
  <si>
    <t>3/02/2021</t>
  </si>
  <si>
    <t>Azmil Wafi</t>
  </si>
  <si>
    <t>HK-3B</t>
  </si>
  <si>
    <t>Junaidi Ali</t>
  </si>
  <si>
    <t>Moh. Afif Zahirul Alam</t>
  </si>
  <si>
    <t>Izzuddin</t>
  </si>
  <si>
    <t>Mursyid Madani</t>
  </si>
  <si>
    <t>Efan Chairul Abdi</t>
  </si>
  <si>
    <t>Muhammad Fauzan</t>
  </si>
  <si>
    <t>Arief Maulana Asy Ari</t>
  </si>
  <si>
    <t>Muhammad Choriri</t>
  </si>
  <si>
    <t>Moh. Kholil Arrosyid</t>
  </si>
  <si>
    <t>Akhmad Husaini</t>
  </si>
  <si>
    <t>Khoirul Ahsan</t>
  </si>
  <si>
    <t>Ahmad Muhammad Naseh</t>
  </si>
  <si>
    <t>ABDUL KHAMID</t>
  </si>
  <si>
    <t>HK-Ren</t>
  </si>
  <si>
    <t>S2-KPI 2018/2019</t>
  </si>
  <si>
    <t>Robith Abdillah Al Hadi</t>
  </si>
  <si>
    <t>KPI-3</t>
  </si>
  <si>
    <t>Ade Nurwahyudi</t>
  </si>
  <si>
    <t>Ahmad Rojikin</t>
  </si>
  <si>
    <t>Nila Noer Karisna</t>
  </si>
  <si>
    <t>Nova Saha Fasadena</t>
  </si>
  <si>
    <t>Fahrur Rozi</t>
  </si>
  <si>
    <t>ABDUL QODIR LUTFI</t>
  </si>
  <si>
    <t>MOH. ABD. HALIK</t>
  </si>
  <si>
    <t>S3-MPI 2018/2019</t>
  </si>
  <si>
    <t>2023-2</t>
  </si>
  <si>
    <t>2024-1</t>
  </si>
  <si>
    <t>MPI3-1</t>
  </si>
  <si>
    <t>Mohamad Solehan</t>
  </si>
  <si>
    <t>Muhammad Holid</t>
  </si>
  <si>
    <t>Akhmad Munir</t>
  </si>
  <si>
    <t>Fauzan Ahmad Siregar</t>
  </si>
  <si>
    <t>Miftahol Arifin</t>
  </si>
  <si>
    <t>Sarkowi</t>
  </si>
  <si>
    <t>#2019</t>
  </si>
  <si>
    <t>S2-PAI 2019/2020</t>
  </si>
  <si>
    <t>ENDRI</t>
  </si>
  <si>
    <t>FENY DYAH APRILLIA</t>
  </si>
  <si>
    <t>FITRIYANI</t>
  </si>
  <si>
    <t>FITRIA NUR JAYANTI</t>
  </si>
  <si>
    <t>HAMIDATUR RIZQI</t>
  </si>
  <si>
    <t>HARIS ABDUL QODIR</t>
  </si>
  <si>
    <t>KHAIRIYATUL JANNAH</t>
  </si>
  <si>
    <t>LIA ZULFATUL MUHASANAH</t>
  </si>
  <si>
    <t>MISBAKHUDDIN KHASAN</t>
  </si>
  <si>
    <t>MOH BARIRUL UMAM</t>
  </si>
  <si>
    <t>MOHAMAD RULI KURNIAWAN</t>
  </si>
  <si>
    <t>MOHAMMAD ROBITH ALHASANY</t>
  </si>
  <si>
    <t>SULTON HAJI BAHRUDDIN</t>
  </si>
  <si>
    <t>ULIN NUHA NATIKA</t>
  </si>
  <si>
    <t>UMI ALFIATI</t>
  </si>
  <si>
    <t>ZAINUN NASIH</t>
  </si>
  <si>
    <t>ZULFA KAMILATUN NAFILAH</t>
  </si>
  <si>
    <t>AHMAD SANUSI</t>
  </si>
  <si>
    <t>Madin</t>
  </si>
  <si>
    <t>HOTIP</t>
  </si>
  <si>
    <t>IMADUDDIN</t>
  </si>
  <si>
    <t>IMAM MAS'UD</t>
  </si>
  <si>
    <t>KHOLILATUL IZZAH</t>
  </si>
  <si>
    <t>KHOLIS HUDIN</t>
  </si>
  <si>
    <t>M. ARIS FAHRUDDIN</t>
  </si>
  <si>
    <t>MAHMUD IHSAN</t>
  </si>
  <si>
    <t>MOHAMMAD ANIS</t>
  </si>
  <si>
    <t>MOHAMMAD FIRMANSYAH</t>
  </si>
  <si>
    <t>MUCHAMMAD FADLLIN ALI RIDLO</t>
  </si>
  <si>
    <t>MUHAMMAD AINUL FATA AL KIROMI</t>
  </si>
  <si>
    <t>MUNAWWAROH</t>
  </si>
  <si>
    <t>NANIK PURNANINGSIH</t>
  </si>
  <si>
    <t>SUDUS AFNANI</t>
  </si>
  <si>
    <t>SUNANDI</t>
  </si>
  <si>
    <t>SUUDI</t>
  </si>
  <si>
    <t>TATIK MUTI'AH</t>
  </si>
  <si>
    <t>ZAINUL ARIFIN</t>
  </si>
  <si>
    <t>ANGGA MAHARDIKA</t>
  </si>
  <si>
    <t>ARIF PRASTYO HUZAERI</t>
  </si>
  <si>
    <t>DIANITA MUNA ZAHIRAH</t>
  </si>
  <si>
    <t>DIMAS AHMAD ZAKI</t>
  </si>
  <si>
    <t>DIYAH AYU NUR AGUSTIN</t>
  </si>
  <si>
    <t>HANIPA</t>
  </si>
  <si>
    <t>LUQMANUL HAKIM</t>
  </si>
  <si>
    <t>M ZAINURI MUNIM</t>
  </si>
  <si>
    <t>MOH. FAHIM AMRULLAH</t>
  </si>
  <si>
    <t>MOHAMAD BAIHAQI</t>
  </si>
  <si>
    <t>MOHAMMAD SOFIYAN SAHURI</t>
  </si>
  <si>
    <t>MUH ABDUL HAMID</t>
  </si>
  <si>
    <t>MUSFIQURROHMAN</t>
  </si>
  <si>
    <t>NURIN AL FAIDAH</t>
  </si>
  <si>
    <t>OLIVIA AGNESTI PUTRI BAKRIYAN</t>
  </si>
  <si>
    <t>QONITATUN NISA'</t>
  </si>
  <si>
    <t>ROSI AFIANINGSIH</t>
  </si>
  <si>
    <t>ROSIDUL ABROR</t>
  </si>
  <si>
    <t>SUJI ASHARI</t>
  </si>
  <si>
    <t>AGUS WAHYUDI AZIZ</t>
  </si>
  <si>
    <t>PAI-3D</t>
  </si>
  <si>
    <t>AHMAD SHAFWUR RAMADHANY</t>
  </si>
  <si>
    <t>DIFAKHRIZANI LAILY PERTIWI</t>
  </si>
  <si>
    <t>DIONG LIONG AKBAR</t>
  </si>
  <si>
    <t>FATHIMAH MAHSYARIYAH</t>
  </si>
  <si>
    <t>GHONIUL HUSNA</t>
  </si>
  <si>
    <t>HAYU MAFATILLAH</t>
  </si>
  <si>
    <t>LAILATUN NIMAH</t>
  </si>
  <si>
    <t>MOHAMAD HAMZAH</t>
  </si>
  <si>
    <t>MUHAMMAD NURUL HIDAYAT</t>
  </si>
  <si>
    <t>NILATUN NAFISAH</t>
  </si>
  <si>
    <t>NOVINDA ROUDHOTUL JANNAH</t>
  </si>
  <si>
    <t>NUR MUHAMMAD</t>
  </si>
  <si>
    <t>SUCIATI RAHMATILLAH</t>
  </si>
  <si>
    <t>WAHYU ANGGRAENI</t>
  </si>
  <si>
    <t>WAWAN PRISTIAWAN</t>
  </si>
  <si>
    <t>VIVIN HERMAWATI</t>
  </si>
  <si>
    <t>S2-MPI 2019/2020</t>
  </si>
  <si>
    <t>ABDUL GANI</t>
  </si>
  <si>
    <t>ACHMAD ARIF MUBAROK</t>
  </si>
  <si>
    <t>ADI PURWANTO</t>
  </si>
  <si>
    <t>AHMAD MUHTAWI HIKAM</t>
  </si>
  <si>
    <t>AHMAD YAZID AL BUSTHAMY</t>
  </si>
  <si>
    <t>AHMAD ZUHRI</t>
  </si>
  <si>
    <t>ARIFATUS SHOLIHAH</t>
  </si>
  <si>
    <t>ARVETA UFLIHATUL AFIFAH</t>
  </si>
  <si>
    <t>FATHOR ROSI</t>
  </si>
  <si>
    <t>FAUZAN AL FAURI</t>
  </si>
  <si>
    <t>KHOIRUN NISAK</t>
  </si>
  <si>
    <t>KURROTA A'YUN</t>
  </si>
  <si>
    <t>LAILATUR ROHMAH</t>
  </si>
  <si>
    <t>M ZAINUL FUAD</t>
  </si>
  <si>
    <t>MUSTABSYIROH</t>
  </si>
  <si>
    <t>NAHDLIYATUS SHOLIHAH</t>
  </si>
  <si>
    <t>SAIFUL AYAT</t>
  </si>
  <si>
    <t>SITI ROHMAH</t>
  </si>
  <si>
    <t>SYAHRONI ROMADHON</t>
  </si>
  <si>
    <t>YULI ARAHMAT</t>
  </si>
  <si>
    <t>ANDI AHMAD BADRUSSALAM</t>
  </si>
  <si>
    <t>ARISKA AGUSTINI</t>
  </si>
  <si>
    <t>AYOEB TAUFANI ZAMAN</t>
  </si>
  <si>
    <t>DANI AINURROFIQ NS.</t>
  </si>
  <si>
    <t>HUMAIROUL MUHLISHOH</t>
  </si>
  <si>
    <t>M. IRFAN MALIK</t>
  </si>
  <si>
    <t>M. MAWARID FIRDAUS</t>
  </si>
  <si>
    <t>M. RIZAL FANANI</t>
  </si>
  <si>
    <t>MAID ALY AINUL GHURRI</t>
  </si>
  <si>
    <t>MOH. AWANG NURYADDIN</t>
  </si>
  <si>
    <t>MOH. SYAIFUDDIN</t>
  </si>
  <si>
    <t>MOHAMAD SYAMSURI</t>
  </si>
  <si>
    <t>MUHLISIN</t>
  </si>
  <si>
    <t>NEILY SHOFIA ARDY</t>
  </si>
  <si>
    <t>NOVIA BADIATUN NAFIAH</t>
  </si>
  <si>
    <t>NURUL ASYIFA'</t>
  </si>
  <si>
    <t>SAYYID BERRYL MUSTHOFA</t>
  </si>
  <si>
    <t>SITI HANIFAH</t>
  </si>
  <si>
    <t>ZAENAL ABIDIN</t>
  </si>
  <si>
    <t>S2-ES 2019/2020</t>
  </si>
  <si>
    <t>AHMAD FAIZAL</t>
  </si>
  <si>
    <t>AINIYATUL FITRIYAH</t>
  </si>
  <si>
    <t>BAIJURI</t>
  </si>
  <si>
    <t>DAWIMATUS SHOLIHAH</t>
  </si>
  <si>
    <t>DIANIDZA ARODHA</t>
  </si>
  <si>
    <t>ELA NUR RAHMAWATI</t>
  </si>
  <si>
    <t>FAIS FAIZUL HANNAN</t>
  </si>
  <si>
    <t>IKA SUSANTI</t>
  </si>
  <si>
    <t>KURNIAWAN RAMADHANI</t>
  </si>
  <si>
    <t>M. RIZA AZIZI</t>
  </si>
  <si>
    <t>MOHAMMAD ZAINUL AZIZI</t>
  </si>
  <si>
    <t>MUTHI'ATUR ROFI'AH</t>
  </si>
  <si>
    <t>NOVILIA AISAH</t>
  </si>
  <si>
    <t>SITI MASUDAH</t>
  </si>
  <si>
    <t>ACHMAD HADI MUBAROK</t>
  </si>
  <si>
    <t>AFNAS FAHRURRASI</t>
  </si>
  <si>
    <t>AGUS ZAINAL ABIDIN</t>
  </si>
  <si>
    <t>AH. AINUR ROFIQ</t>
  </si>
  <si>
    <t>AHMAD BAISUNI</t>
  </si>
  <si>
    <t>AKHYAR SYAFAAT</t>
  </si>
  <si>
    <t>FAIQOTUL HIMA</t>
  </si>
  <si>
    <t>FATHURRAHMAN AZIZ</t>
  </si>
  <si>
    <t>FEBY NURJANNAH</t>
  </si>
  <si>
    <t>IDA JUNAIDA</t>
  </si>
  <si>
    <t>IIS SRI RATNAWATI</t>
  </si>
  <si>
    <t>MIFTAHUL MUNIR</t>
  </si>
  <si>
    <t>MUHAMMAD DANIL</t>
  </si>
  <si>
    <t>MUHAMMAD RAHEL</t>
  </si>
  <si>
    <t>NAILIL HUFRON</t>
  </si>
  <si>
    <t>NURUL FADILA</t>
  </si>
  <si>
    <t>RIFA KOMSATUN</t>
  </si>
  <si>
    <t>SOPIYATUN</t>
  </si>
  <si>
    <t>YENI DWI WULANDARI</t>
  </si>
  <si>
    <t>S2-PBA 2019/2020</t>
  </si>
  <si>
    <t>ACHMAD MUHDOR</t>
  </si>
  <si>
    <t>AHMAD YASIR AMRULLOH</t>
  </si>
  <si>
    <t>ANA NURJANNAH</t>
  </si>
  <si>
    <t>FARIS MATUREDY</t>
  </si>
  <si>
    <t>FATHONI ARIFANDI</t>
  </si>
  <si>
    <t>IFTITAHATUS SA'ADAH</t>
  </si>
  <si>
    <t>ISMA NURHASANAH</t>
  </si>
  <si>
    <t>NAHDLIATUN NAFISA</t>
  </si>
  <si>
    <t>NILA HANIFIYAH HAFID</t>
  </si>
  <si>
    <t>NURDIANA QUDSIYAH</t>
  </si>
  <si>
    <t>UMI ROBIK HIMMATUL F</t>
  </si>
  <si>
    <t>S2-HK 2019/2020</t>
  </si>
  <si>
    <t>ALFIAH</t>
  </si>
  <si>
    <t>HK-3</t>
  </si>
  <si>
    <t>HERMANTO</t>
  </si>
  <si>
    <t>KURNIAWAN NOVANDY</t>
  </si>
  <si>
    <t>LAILIYATUR ROHMAH</t>
  </si>
  <si>
    <t>M. SHOLEH EVENDI</t>
  </si>
  <si>
    <t>M.HELI ABRORI LUTFI</t>
  </si>
  <si>
    <t>MAULANA ZUKHRUFIN</t>
  </si>
  <si>
    <t>MUHAMMAD FAHMI ILLAVY</t>
  </si>
  <si>
    <t>No Tgl</t>
  </si>
  <si>
    <t>MUHAMMAD NURUL BAHREFI</t>
  </si>
  <si>
    <t>NUR BUZAIRI</t>
  </si>
  <si>
    <t>RENIYADUS SHOLEHAH</t>
  </si>
  <si>
    <t>ISWANTO MALIK</t>
  </si>
  <si>
    <t>RIZKI ASHARUL FAHRISI</t>
  </si>
  <si>
    <t>ROSIDASARI</t>
  </si>
  <si>
    <t>SITI ROIFFATUL JANNAH</t>
  </si>
  <si>
    <t>TAUFIK ALFIAN</t>
  </si>
  <si>
    <t>RESMA TIARA</t>
  </si>
  <si>
    <t>S2-KPI 2019/2020</t>
  </si>
  <si>
    <t>ABDUR ROIS</t>
  </si>
  <si>
    <t>ACH. WAHIDI</t>
  </si>
  <si>
    <t>ACHMAD ZADUL MAAD</t>
  </si>
  <si>
    <t>ADWIN HAKIM WALI'ULHAQ</t>
  </si>
  <si>
    <t>AGUS ANGGA RIZKY</t>
  </si>
  <si>
    <t>INDRA WAHYU RADHITO</t>
  </si>
  <si>
    <t>MAULYDIA ALVIAH</t>
  </si>
  <si>
    <t>MOHAMMAD IRCHAMUL HUDA</t>
  </si>
  <si>
    <t>NURUL KHASANAH</t>
  </si>
  <si>
    <t>RISZALATUL KHASANAH</t>
  </si>
  <si>
    <t>WAHYUDI</t>
  </si>
  <si>
    <t>S2-PGMI 2019/2020</t>
  </si>
  <si>
    <t>ARIN LEVI WIJAYA</t>
  </si>
  <si>
    <t>BAGUS ALIMUDIN</t>
  </si>
  <si>
    <t>DIANA HALAWATAL ZANNAH</t>
  </si>
  <si>
    <t>DWI FITRIA RISKA</t>
  </si>
  <si>
    <t>HAMDAN KHOIRON</t>
  </si>
  <si>
    <t>IIN NUROHMAH</t>
  </si>
  <si>
    <t>KHUSNUL KHOVIA</t>
  </si>
  <si>
    <t>LILIS SEPTI UMAMI</t>
  </si>
  <si>
    <t>MEGA SHOLIHATUL FITHRI</t>
  </si>
  <si>
    <t>MUHAMMAD DLABITH</t>
  </si>
  <si>
    <t>MUSYAROFAH</t>
  </si>
  <si>
    <t>NAILY WAHIDATUL MUNIROH</t>
  </si>
  <si>
    <t>NUR YASIN</t>
  </si>
  <si>
    <t>NURUL LAILATUL HIDAYAH</t>
  </si>
  <si>
    <t>ROKHMAWATI</t>
  </si>
  <si>
    <t>SITI SHOFIYAH</t>
  </si>
  <si>
    <t>TITIN MARIATUL QIPTIYAH</t>
  </si>
  <si>
    <t>WIKE SILFIA</t>
  </si>
  <si>
    <t>WIWIT EKA WINARSIH</t>
  </si>
  <si>
    <t>S2-SI 2019/2020</t>
  </si>
  <si>
    <t>MUHAMAD ALI MUHTAR</t>
  </si>
  <si>
    <t>MUHAMMAD ALI HAROZIM</t>
  </si>
  <si>
    <t>WARDATUL ASFIYAH</t>
  </si>
  <si>
    <t>ADI PURWANTO.</t>
  </si>
  <si>
    <t>ANNISA</t>
  </si>
  <si>
    <t>S3-MPI 2019/2020</t>
  </si>
  <si>
    <t>2024-2</t>
  </si>
  <si>
    <t>2025-1</t>
  </si>
  <si>
    <t>MPI3-3B</t>
  </si>
  <si>
    <t>ACH. SYAIHO</t>
  </si>
  <si>
    <t>CHAIRONI HIDAYAT</t>
  </si>
  <si>
    <t>DHIAN WAHANA PUTRA</t>
  </si>
  <si>
    <t>FEBRY SUPRAPTO</t>
  </si>
  <si>
    <t>H. SUDIRMAN</t>
  </si>
  <si>
    <t>IMAM SYAFI'I</t>
  </si>
  <si>
    <t>ISTIFADAH</t>
  </si>
  <si>
    <t>IVANA SEPTIA MAHARANI</t>
  </si>
  <si>
    <t>JAMILUDIN USMAN</t>
  </si>
  <si>
    <t>M. ATOK ILLAH NAS</t>
  </si>
  <si>
    <t>M. KHOIRI</t>
  </si>
  <si>
    <t>MOH. ISOMUDDIN</t>
  </si>
  <si>
    <t>MUHAMMAD TOYYIB</t>
  </si>
  <si>
    <t>RIF'AN JUNAIDI</t>
  </si>
  <si>
    <t>SAIFUL BADRI</t>
  </si>
  <si>
    <t>SANDIKO</t>
  </si>
  <si>
    <t>SUGIANTO</t>
  </si>
  <si>
    <t>SUNARJI</t>
  </si>
  <si>
    <t>UMAR HASAN</t>
  </si>
  <si>
    <t>ABDUL GOFFAR</t>
  </si>
  <si>
    <t>MPI3-3A</t>
  </si>
  <si>
    <t>5000 D</t>
  </si>
  <si>
    <t>HARIYANTO</t>
  </si>
  <si>
    <t>KURNIYATUL FAIZAH</t>
  </si>
  <si>
    <t>LULUK MAKTUMAH</t>
  </si>
  <si>
    <t>SITI HALIMAH</t>
  </si>
  <si>
    <t>S3-PAI 2019/2020</t>
  </si>
  <si>
    <t>IMRON ROSADY</t>
  </si>
  <si>
    <t>PAI3-3</t>
  </si>
  <si>
    <t>NURUDDIN</t>
  </si>
  <si>
    <t>MOHAMMAD TAUFIK</t>
  </si>
  <si>
    <t>YUYUN ISNAWATI</t>
  </si>
  <si>
    <t>MUHAMMAD SAIFUL ANAM</t>
  </si>
  <si>
    <t>MUHAMMAD SYAFII</t>
  </si>
  <si>
    <t>ASTONO</t>
  </si>
  <si>
    <t>MUHAMMAD ABDUL ARIF WIJAYA</t>
  </si>
  <si>
    <t>RIZQIYAH RATU BALQIS</t>
  </si>
  <si>
    <t>AHMAD THOLABI</t>
  </si>
  <si>
    <t>RIZA NINGRUM</t>
  </si>
  <si>
    <t>SANTOSO</t>
  </si>
  <si>
    <t>SITI MASYARAFATUL MANNA WASSALWA</t>
  </si>
  <si>
    <t>SARWAN</t>
  </si>
  <si>
    <t>D. FAJAR AHWA</t>
  </si>
  <si>
    <t>AINUR RAFIK</t>
  </si>
  <si>
    <t>Rumus Pembayaran SPP</t>
  </si>
  <si>
    <t>#2020</t>
  </si>
  <si>
    <t>S2-MPI 2020/2021</t>
  </si>
  <si>
    <t>ABDUL MU'IS</t>
  </si>
  <si>
    <t>MPI-1A</t>
  </si>
  <si>
    <t>JS</t>
  </si>
  <si>
    <t>VKRS</t>
  </si>
  <si>
    <t>FEBY RIMANINGTYAS</t>
  </si>
  <si>
    <t>FITRIYATUN HASANAH</t>
  </si>
  <si>
    <t>M. HAMDANI SAHULIKA</t>
  </si>
  <si>
    <t>MIFTAHUL HUDA</t>
  </si>
  <si>
    <t>QURROTU AYUN</t>
  </si>
  <si>
    <t>AHMAD KHOIRI</t>
  </si>
  <si>
    <t>AHMAD MASHDUQI</t>
  </si>
  <si>
    <t>AINUL MAGHFIROH</t>
  </si>
  <si>
    <t>AISYATUL ILMI ALIFAH FIRDAUS</t>
  </si>
  <si>
    <t>ANGGA YOGA PRATAMA</t>
  </si>
  <si>
    <t>BINTANA ALIN HILWAH</t>
  </si>
  <si>
    <t>DWI ARIESATY HANDAYANI</t>
  </si>
  <si>
    <t>DZAKI MAHDI ALFA'IZI</t>
  </si>
  <si>
    <t>EDI WIRA SAPUTRA</t>
  </si>
  <si>
    <t>FITRIA MANDASYAHRI</t>
  </si>
  <si>
    <t>HANIFUL UMAM</t>
  </si>
  <si>
    <t>KAMILA PUTRI FAWAIZ</t>
  </si>
  <si>
    <t>M ALI ROSYADI</t>
  </si>
  <si>
    <t>M. ALI MAKHRUS</t>
  </si>
  <si>
    <t>MPI-1B</t>
  </si>
  <si>
    <t>MUHAMMAD RIFQI SOVI'TUNNIZAR</t>
  </si>
  <si>
    <t>MUHAMMAD SADID GUFRON</t>
  </si>
  <si>
    <t>MUSLEH HAMDANI</t>
  </si>
  <si>
    <t>MUSTOFA NUR HIDAYAH</t>
  </si>
  <si>
    <t>NAIMUR ROHMAN</t>
  </si>
  <si>
    <t>NANING MARYANA</t>
  </si>
  <si>
    <t>NURIYAH FIKRI WAHYUNI</t>
  </si>
  <si>
    <t>RIZKI SYIAM SAPUTRA</t>
  </si>
  <si>
    <t>ROHMATULLOH</t>
  </si>
  <si>
    <t>ROKHMAD</t>
  </si>
  <si>
    <t>SAIFAN SHODIQ</t>
  </si>
  <si>
    <t>SITI FATIKHAH NUR AINI</t>
  </si>
  <si>
    <t>SUSNIATI</t>
  </si>
  <si>
    <t>UBAYDILLAH ARIFIN</t>
  </si>
  <si>
    <t>UMUL ULFA MUFIDA</t>
  </si>
  <si>
    <t>YANTI RAUDATUL JANNAH</t>
  </si>
  <si>
    <t>Muh Rifa'al</t>
  </si>
  <si>
    <t>S2-HK 2020/2021</t>
  </si>
  <si>
    <t>ABD LATIF</t>
  </si>
  <si>
    <t>HK-1A</t>
  </si>
  <si>
    <t>ABDUL HANIP</t>
  </si>
  <si>
    <t>ABD WAHAB HIDAYATULLOH</t>
  </si>
  <si>
    <t>AFIVANI HILDA DINURIA</t>
  </si>
  <si>
    <t>AGUSTIN IKA MAUFIROH</t>
  </si>
  <si>
    <t>AMAM SAUKI, S.H</t>
  </si>
  <si>
    <t>AMRAN KHALIQURRAHMAN</t>
  </si>
  <si>
    <t>ANIS ROHMATULLAH</t>
  </si>
  <si>
    <t>BADRUDIN ZAMRONI</t>
  </si>
  <si>
    <t>CHOLIS ROSYIDATUL HUSNAH</t>
  </si>
  <si>
    <t>ELFA FIIDINILLAH PUTRI</t>
  </si>
  <si>
    <t>ERNI NOVIANTI</t>
  </si>
  <si>
    <t>IZZAH AFKARINA</t>
  </si>
  <si>
    <t>KHOIRUL ANWARI</t>
  </si>
  <si>
    <t>KHUSNUL KHOTIMAH</t>
  </si>
  <si>
    <t>LAILATUS SAIDAH</t>
  </si>
  <si>
    <t>HK-1B</t>
  </si>
  <si>
    <t>LAILI SALIMAH</t>
  </si>
  <si>
    <t>MAHMUD WILMAR SHIDDIQ</t>
  </si>
  <si>
    <t>MIFTAHUL ICHSAN</t>
  </si>
  <si>
    <t>MIFTAHUL QODRIL RAMADHAN</t>
  </si>
  <si>
    <t>MISNANTO</t>
  </si>
  <si>
    <t>MOH. ALVIYAN</t>
  </si>
  <si>
    <t>MOH. WASIK</t>
  </si>
  <si>
    <t>MUHAMMAD JUHARIYANTO</t>
  </si>
  <si>
    <t>M. ZAINURI ARHAM</t>
  </si>
  <si>
    <t>NUR AINI AWALIYAH</t>
  </si>
  <si>
    <t>NUR MUHAMMAD FIRDAUS FIRMANSYAH</t>
  </si>
  <si>
    <t>NURUL AINIYAH</t>
  </si>
  <si>
    <t>RIDHO SYAHBIBI</t>
  </si>
  <si>
    <t>SEJA BINTANG FAHLEVI</t>
  </si>
  <si>
    <t>S2-PBA 2020/2021</t>
  </si>
  <si>
    <t>ABDILLAH AS'AD</t>
  </si>
  <si>
    <t>PBA-1</t>
  </si>
  <si>
    <t>AHMAD HAFIDZ ABDULLAH</t>
  </si>
  <si>
    <t>AHMAD WILDAN FAHMI</t>
  </si>
  <si>
    <t>AL FAHRUR ROZI</t>
  </si>
  <si>
    <t>ALFIAN FUTUHUL HADI</t>
  </si>
  <si>
    <t>ANA FITRIYANA</t>
  </si>
  <si>
    <t>ANIS FATUS SHOLEKHAH</t>
  </si>
  <si>
    <t>DZAWIL ALBAB</t>
  </si>
  <si>
    <t>ITA NUR ISTIQOMAH</t>
  </si>
  <si>
    <t>MIFTAHUS SA'DIYAH</t>
  </si>
  <si>
    <t>MOH. ALI MAHDI ILMI</t>
  </si>
  <si>
    <t>MUHAMMAD SOFANUDIN TOHIR</t>
  </si>
  <si>
    <t>RIA SAFITRI</t>
  </si>
  <si>
    <t>ROSYID RIDHO</t>
  </si>
  <si>
    <t>SITI GHITSNA NAILY NASYITHOH</t>
  </si>
  <si>
    <t>SITI MASRIFAH NUR AINI</t>
  </si>
  <si>
    <t>THOYIB</t>
  </si>
  <si>
    <t>ZULFA NUR IKHWAN</t>
  </si>
  <si>
    <t>ACHMAD SYAIFUJI</t>
  </si>
  <si>
    <t>AHMAD SYAHID ARIFIN</t>
  </si>
  <si>
    <t>S2-ES 2020/2021</t>
  </si>
  <si>
    <t>ABDUL KHOLIQ</t>
  </si>
  <si>
    <t>ES-1A</t>
  </si>
  <si>
    <t>ABU YAZID AL BASTOMI</t>
  </si>
  <si>
    <t>AFRILA SHOLIHAH</t>
  </si>
  <si>
    <t>AHMAD MISBAKHUL MUNIR</t>
  </si>
  <si>
    <t>AHMAD RAZIQI</t>
  </si>
  <si>
    <t>AUSHOFUN NIHA</t>
  </si>
  <si>
    <t>BIBIT WAHYUDI</t>
  </si>
  <si>
    <t>DHIASTI EKA WULANDARI</t>
  </si>
  <si>
    <t>DINY DURATUL UMMAH</t>
  </si>
  <si>
    <t>FAIKOTUL KHOIRIYAH</t>
  </si>
  <si>
    <t>FIKA HIDAYATUL MAULA</t>
  </si>
  <si>
    <t>HAMIM</t>
  </si>
  <si>
    <t>INDAH ROHMATILLAH</t>
  </si>
  <si>
    <t>JIHAN AMIR</t>
  </si>
  <si>
    <t>JOHARUL FATHONI</t>
  </si>
  <si>
    <t>M. HASIB ABDULLAH</t>
  </si>
  <si>
    <t>ES-1B</t>
  </si>
  <si>
    <t>MUHAMMAD FAISOL ABDA'</t>
  </si>
  <si>
    <t>MUHAMMAD FIKRI SYAIFULLOH</t>
  </si>
  <si>
    <t>MUHAMMAD KAMALUDDIN</t>
  </si>
  <si>
    <t>MUHAMMAD RIDHO</t>
  </si>
  <si>
    <t>NADIAH SABRINA HIMAM</t>
  </si>
  <si>
    <t>NAILUL ABROR</t>
  </si>
  <si>
    <t>NURINA NURJUNDINI</t>
  </si>
  <si>
    <t>RISA OKTAVIA</t>
  </si>
  <si>
    <t>SITI AZIZATUL KHALIMATUS SHOMAD</t>
  </si>
  <si>
    <t>SITI HABIBATUR RAHMA</t>
  </si>
  <si>
    <t>SITI NUR AZIZATUL LUTHFIYAH</t>
  </si>
  <si>
    <t>SITI NUR HALIMAH</t>
  </si>
  <si>
    <t>SITI SHOIMATUL AZIZAH</t>
  </si>
  <si>
    <t>SYUKRAN MAS'UDI</t>
  </si>
  <si>
    <t xml:space="preserve">Nita Andriani </t>
  </si>
  <si>
    <t>S2-PAI 2020/2021</t>
  </si>
  <si>
    <t>ABDIL GUFRON ANSHORULLAH</t>
  </si>
  <si>
    <t>PAI-1A</t>
  </si>
  <si>
    <t>SK</t>
  </si>
  <si>
    <t>AHMAD ALFARIZY ASLAM</t>
  </si>
  <si>
    <t>FARIZ SALMAN AL FARIZY</t>
  </si>
  <si>
    <t>FATHULLOHU AINI</t>
  </si>
  <si>
    <t>HAKIMATUL KARIMAH</t>
  </si>
  <si>
    <t>JUMHERI</t>
  </si>
  <si>
    <t>MEGAWATI</t>
  </si>
  <si>
    <t>MOH AZWAR ANAS</t>
  </si>
  <si>
    <t>SITI NAFISAH</t>
  </si>
  <si>
    <t>YUSUF MUFTI FIKRI</t>
  </si>
  <si>
    <t>ZULFA YAZID</t>
  </si>
  <si>
    <t>A. AFLACH WILDANI</t>
  </si>
  <si>
    <t>PAI-1B</t>
  </si>
  <si>
    <t>ABDUL JALIL</t>
  </si>
  <si>
    <t>AHMAD FUAD AFIFI</t>
  </si>
  <si>
    <t>ANA SILVI AINIYAH</t>
  </si>
  <si>
    <t>ANDRI TANIA INDRA FATHUR ROHMAN</t>
  </si>
  <si>
    <t>ANGGA MUWAFIQURRAHMAN</t>
  </si>
  <si>
    <t>AS'AD SAMSUL ARIFIN</t>
  </si>
  <si>
    <t>DESI AMBARWATI</t>
  </si>
  <si>
    <t>FATMALA BALULU</t>
  </si>
  <si>
    <t>FIRDA SARI</t>
  </si>
  <si>
    <t>HUSNUL MAULIDIYAH</t>
  </si>
  <si>
    <t>IBNU JIHAD AL ADZIM</t>
  </si>
  <si>
    <t>IHWAN NUR HUDA</t>
  </si>
  <si>
    <t>IMELITA EKA ROSITA</t>
  </si>
  <si>
    <t>KHAIRI</t>
  </si>
  <si>
    <t>KHITTOTUN NAHIDIN</t>
  </si>
  <si>
    <t>KONITATUS SAJIAH</t>
  </si>
  <si>
    <t>LULUK MUKARROMAH</t>
  </si>
  <si>
    <t>MADALIATUL JANNAH</t>
  </si>
  <si>
    <t>MAULANA ISHAQ</t>
  </si>
  <si>
    <t>MEDIA ASNI FUROIDA</t>
  </si>
  <si>
    <t>MOCHAMAD ZAIMUN NADZOR</t>
  </si>
  <si>
    <t>MOCHAMMAD IQBAL HAMZAH FANZURI</t>
  </si>
  <si>
    <t>PAI-1C</t>
  </si>
  <si>
    <t>MOHAMAD CHANIF</t>
  </si>
  <si>
    <t>MUCH FAHMI ILMAN</t>
  </si>
  <si>
    <t>MUHAMMAD QURROTUL AYNAN</t>
  </si>
  <si>
    <t>MUHAMMAD RIFAN FAHRURROZI</t>
  </si>
  <si>
    <t>MUHAMMAD SOLIHIN</t>
  </si>
  <si>
    <t>NALA IZZATUL FARDANA ARWI</t>
  </si>
  <si>
    <t>NIBROS NAZILIYA</t>
  </si>
  <si>
    <t>NIDAUL HASANAH SAFITRI</t>
  </si>
  <si>
    <t>NINGSIH MS</t>
  </si>
  <si>
    <t>NISAUL HUSNIYAH MS</t>
  </si>
  <si>
    <t>NOVI HARDANING TIYAS</t>
  </si>
  <si>
    <t>RI'AYATUN NAFISAH</t>
  </si>
  <si>
    <t>RIF'ATUS SHOLEHAH</t>
  </si>
  <si>
    <t>SHIFATUL ULYA</t>
  </si>
  <si>
    <t>SITI LULUK MUKAROMAH</t>
  </si>
  <si>
    <t>SYARIFUL HIMAM</t>
  </si>
  <si>
    <t>ZUBAIDI</t>
  </si>
  <si>
    <t>MUHAMMAD DHIYAUR RAHMAN</t>
  </si>
  <si>
    <t>MUHAMMAD ABDUL BASIT</t>
  </si>
  <si>
    <t>S2-KPI 2020/2021</t>
  </si>
  <si>
    <t>ABU YASID</t>
  </si>
  <si>
    <t>KPI-1</t>
  </si>
  <si>
    <t>ACHMAD WILDAN NAUFAL HAIS</t>
  </si>
  <si>
    <t>IRFAN AINURROFIQ</t>
  </si>
  <si>
    <t>MEGAWATI SYAMSIYA EMYUS</t>
  </si>
  <si>
    <t>MOH. MIFTAH FARID</t>
  </si>
  <si>
    <t>M.ZAKARIA HUSNI</t>
  </si>
  <si>
    <t>MOHAMMAD RIFKY REZA SALIM</t>
  </si>
  <si>
    <t>ZAHROTUL FARODIS DIANA</t>
  </si>
  <si>
    <t>Abdul Karim Amrullah</t>
  </si>
  <si>
    <t>S2-PGMI 2020/2021</t>
  </si>
  <si>
    <t>AHMAD ROFIQI</t>
  </si>
  <si>
    <t>PGMI-1</t>
  </si>
  <si>
    <t>FATIMA ZAHRO</t>
  </si>
  <si>
    <t>IMAM SANUSI</t>
  </si>
  <si>
    <t>MEI IIN DAWATI</t>
  </si>
  <si>
    <t>NUNUNG HARNANI S.PD</t>
  </si>
  <si>
    <t>NURIL MAR'ATUS SHOLIHAH</t>
  </si>
  <si>
    <t>NUR ITA</t>
  </si>
  <si>
    <t>SINAR ROSIDAH ZIDNI</t>
  </si>
  <si>
    <t>SINTA YULIS PRATIWI</t>
  </si>
  <si>
    <t>SITI AMINAH</t>
  </si>
  <si>
    <t>WINARTIK SUSANTININGSIH</t>
  </si>
  <si>
    <t>Dzaqi Hijrotin</t>
  </si>
  <si>
    <t>S2-SI 2020/2021</t>
  </si>
  <si>
    <t>ACH BADRUS SHOLEH</t>
  </si>
  <si>
    <t>SI-1</t>
  </si>
  <si>
    <t>ACH DIMYATI MUSTOFA</t>
  </si>
  <si>
    <t>ASMUL WAKIL</t>
  </si>
  <si>
    <t>FIKRI AMIL MUTTAQIN</t>
  </si>
  <si>
    <t>KHAIRUNNISA SAFITRI</t>
  </si>
  <si>
    <t>KHALISOH QADRUNNADA</t>
  </si>
  <si>
    <t>MIFTAHUL JANNAH</t>
  </si>
  <si>
    <t>MOCHAMMAD NOR ZUBAIDI BAHARUN</t>
  </si>
  <si>
    <t>MOH CHOIRUL ANAM</t>
  </si>
  <si>
    <t>MOH ZAINAL</t>
  </si>
  <si>
    <t>SAYIDATUL UMMAH</t>
  </si>
  <si>
    <t>UMI LATIFATUN NIHAYAH</t>
  </si>
  <si>
    <t>URWATUL WUSKO</t>
  </si>
  <si>
    <t>Ahmad Fuad Anwar</t>
  </si>
  <si>
    <t>Mohammad mahdi Khered</t>
  </si>
  <si>
    <t>Mohammad Nur Hassan</t>
  </si>
  <si>
    <t>M. Syafiq Syauqi</t>
  </si>
  <si>
    <t>S3-MPI 2020/2021</t>
  </si>
  <si>
    <t>Abd. Rozzaq</t>
  </si>
  <si>
    <t>AHMAD KHUZA'I FARUQ</t>
  </si>
  <si>
    <t>Elis Nursetialloh</t>
  </si>
  <si>
    <t>Riayatul Husnan</t>
  </si>
  <si>
    <t>Mawardi</t>
  </si>
  <si>
    <t>Buyung Syukron</t>
  </si>
  <si>
    <t>MPI3-M</t>
  </si>
  <si>
    <t>S3-PAI 2020/2021</t>
  </si>
  <si>
    <t>PAI3-1</t>
  </si>
  <si>
    <t>HUDZAIFAH AL AYYUBI</t>
  </si>
  <si>
    <t>MOH. ALI MASUD</t>
  </si>
  <si>
    <t>MUHAMMAD RUSYDI</t>
  </si>
  <si>
    <t>Habib Anwar Al Anshori</t>
  </si>
  <si>
    <t>Hesthi Priyambodo</t>
  </si>
  <si>
    <t>Misbakhus Sururi</t>
  </si>
  <si>
    <t>Moh Mundzir</t>
  </si>
  <si>
    <t>Muhammad Sali</t>
  </si>
  <si>
    <t>Sabran</t>
  </si>
  <si>
    <t>Sri Susmiyati</t>
  </si>
  <si>
    <t>HJ. TITI KADI M.PDI</t>
  </si>
  <si>
    <t>Mahrus</t>
  </si>
  <si>
    <t>W21/11/15</t>
  </si>
  <si>
    <t>ELOK INDRIYANI</t>
  </si>
  <si>
    <t>SUSI HANDAYANI</t>
  </si>
  <si>
    <t>AMILA SHOLIHAH</t>
  </si>
  <si>
    <t>Erlina Anitasari</t>
  </si>
  <si>
    <t xml:space="preserve"> Supardi</t>
  </si>
  <si>
    <t xml:space="preserve"> Taufiq Eko Nugroho</t>
  </si>
  <si>
    <t>Nur Ittihdatul Ummah</t>
  </si>
  <si>
    <t>data di File reg tidak ada</t>
  </si>
  <si>
    <t>Sya'roni</t>
  </si>
  <si>
    <t>W14/05/15</t>
  </si>
  <si>
    <t>ABD. ROHMAN FAHRUDDIN</t>
  </si>
  <si>
    <t>SITI KHAYISATUZAHRO NUR</t>
  </si>
  <si>
    <t>BAHRUDIN AGUNG ROSI ISWANTO</t>
  </si>
  <si>
    <t>ABD. GHAFUR</t>
  </si>
  <si>
    <t>IMROATUS SHOLIHA</t>
  </si>
  <si>
    <t>MUHAMMAD ZAINUDDIN SUNARTO</t>
  </si>
  <si>
    <t>NURHIDAYATI</t>
  </si>
  <si>
    <t>HUSBADIATUL HUSNA</t>
  </si>
  <si>
    <t>SYIHABUL MUTTAQIN</t>
  </si>
  <si>
    <t>RISTA EKO MUJI LESTARI NINGSIH</t>
  </si>
  <si>
    <t>NANI HANIFAH</t>
  </si>
  <si>
    <t>ULIYATUL MU'AWWANAH</t>
  </si>
  <si>
    <t>MOHAMMAD ANDI SUSANTO</t>
  </si>
  <si>
    <t>RISTA DIAN ANDINI</t>
  </si>
  <si>
    <t>MOHSI</t>
  </si>
  <si>
    <t>MUHAMMAD SYAFI'I</t>
  </si>
  <si>
    <t>MUHAMMAD MASRURI</t>
  </si>
  <si>
    <t>ABD. HAMID</t>
  </si>
  <si>
    <t>JOKO PURNOMO</t>
  </si>
  <si>
    <t>MUJIB IRIYANTO</t>
  </si>
  <si>
    <t>W19/11/16</t>
  </si>
  <si>
    <t>MOH. NAHROWI</t>
  </si>
  <si>
    <t>AHMAD DHIYAA UL HAQQ</t>
  </si>
  <si>
    <t>INUD DANIS IKHWAN MERANTI</t>
  </si>
  <si>
    <t>MAULA NASRIFAH</t>
  </si>
  <si>
    <t>LULUK FAJRIYAH IZZAH MAULIDA</t>
  </si>
  <si>
    <t>LUTHFIYATUN NAWIROH</t>
  </si>
  <si>
    <t>SRI WINARNI</t>
  </si>
  <si>
    <t>FATIHATUL MUBAROKAH</t>
  </si>
  <si>
    <t>SITI WAHYUNI</t>
  </si>
  <si>
    <t>S O F I A H</t>
  </si>
  <si>
    <t>AAN ANDRIANA</t>
  </si>
  <si>
    <t>TOLIB BUR ROZAK</t>
  </si>
  <si>
    <t>YULI ANISTA MARWINDAH</t>
  </si>
  <si>
    <t>AFIFAH</t>
  </si>
  <si>
    <t>MAS'UL LATIF</t>
  </si>
  <si>
    <t>IKHWAN NUR HUDA</t>
  </si>
  <si>
    <t>AHMAD FAIS ALI</t>
  </si>
  <si>
    <t>M. HUDAIFA SALIM</t>
  </si>
  <si>
    <t>MOH. SUGENG</t>
  </si>
  <si>
    <t>MUZAYYIN</t>
  </si>
  <si>
    <t>L U T F I</t>
  </si>
  <si>
    <t>AYYU AININ MUSTAFIDAH</t>
  </si>
  <si>
    <t>TRI NADHIROTUR ROIFAH</t>
  </si>
  <si>
    <t>MUHAMMAD SYAI'IN</t>
  </si>
  <si>
    <t>SITI MAWADAH AINUR ROHMAH</t>
  </si>
  <si>
    <t>RIZA AMALIA</t>
  </si>
  <si>
    <t>IMROATUSSHOLIHAH</t>
  </si>
  <si>
    <t>ROHILLAH BIRRIYAH</t>
  </si>
  <si>
    <t>UMI NUR HAYATI</t>
  </si>
  <si>
    <t>ZAINUL HASAN</t>
  </si>
  <si>
    <t>MASYHURI AYATULLOH</t>
  </si>
  <si>
    <t>HODRIANSAH</t>
  </si>
  <si>
    <t>W6/5/2017</t>
  </si>
  <si>
    <t>HABIBULLOH</t>
  </si>
  <si>
    <t>MURSIDAH</t>
  </si>
  <si>
    <t>MASHURI</t>
  </si>
  <si>
    <t>AULA IZATUL AINI</t>
  </si>
  <si>
    <t>MUFLIKHAH</t>
  </si>
  <si>
    <t>BEL'IT KIADI</t>
  </si>
  <si>
    <t>NANDA NUR EKOWANTI</t>
  </si>
  <si>
    <t>MALIHATIL UYUN</t>
  </si>
  <si>
    <t>M. RIDWAN AL AMIN</t>
  </si>
  <si>
    <t>SUBAIDI</t>
  </si>
  <si>
    <t>SAIFUL BAHRI</t>
  </si>
  <si>
    <t>ROFIQ HIDAYAT</t>
  </si>
  <si>
    <t>MOHAMMAD FA'IZIN</t>
  </si>
  <si>
    <t>QURROTUL A'YUN</t>
  </si>
  <si>
    <t>ZIDNI ILMA</t>
  </si>
  <si>
    <t>SITI MUDMAINAH</t>
  </si>
  <si>
    <t>NURUL MILLAH</t>
  </si>
  <si>
    <t>LAILATUZ ZAKIAH DARAJAT</t>
  </si>
  <si>
    <t>PURWADI</t>
  </si>
  <si>
    <t>HIKMATUL HASANAH</t>
  </si>
  <si>
    <t>MUHAMMAD JAUZI</t>
  </si>
  <si>
    <t>QOIDUD DUWAL</t>
  </si>
  <si>
    <t>RAHMAD AGUS SOLIHIN</t>
  </si>
  <si>
    <t>SITI NUR LATIFAH</t>
  </si>
  <si>
    <t>NUR KOMALA</t>
  </si>
  <si>
    <t>ALFIAN IZZAT EL RAHMAN</t>
  </si>
  <si>
    <t>MOH. IRHAM MAULANA</t>
  </si>
  <si>
    <t>ARIF MUNTHOLIB</t>
  </si>
  <si>
    <t>DIMAS HERLIANDIS SHODIQIN</t>
  </si>
  <si>
    <t>MUHAMMAD NASRUDIN</t>
  </si>
  <si>
    <t>ACHMAD LUTFI</t>
  </si>
  <si>
    <t>SHOLIHAH</t>
  </si>
  <si>
    <t>SO'IM</t>
  </si>
  <si>
    <t>ZAINURI</t>
  </si>
  <si>
    <t>ABDUL HAMID BASHORI</t>
  </si>
  <si>
    <t>HOSYAIRI</t>
  </si>
  <si>
    <t>ARDIYAN FIRDAUSIYAH</t>
  </si>
  <si>
    <t>MOHAMMAD BISRI IHWAN</t>
  </si>
  <si>
    <t>KUKUH AHMAD PRASETYO</t>
  </si>
  <si>
    <t>ACHMAD FARUQ</t>
  </si>
  <si>
    <t>BENI ASHARI</t>
  </si>
  <si>
    <t>UFROTUL HASANAH</t>
  </si>
  <si>
    <t>MUHAMMAD SYAIFUR RIJAL</t>
  </si>
  <si>
    <t>ALFINA WILDAH</t>
  </si>
  <si>
    <t>TAMAJI</t>
  </si>
  <si>
    <t>MUDRIKAH</t>
  </si>
  <si>
    <t>NUR FAIZ HABIBAH</t>
  </si>
  <si>
    <t>FAWAIT SYAIFUL RAHMAN</t>
  </si>
  <si>
    <t>M. DAUD RHOSYIDY</t>
  </si>
  <si>
    <t>PUTRI KAMILATUL ROHMI</t>
  </si>
  <si>
    <t>MUHAMAD HOIRUL ANAM</t>
  </si>
  <si>
    <t>SITI ALFIYAH</t>
  </si>
  <si>
    <t>AKHMAD RUDI MASRUKHIN</t>
  </si>
  <si>
    <t>ZYAIFUDIN ZUHRI</t>
  </si>
  <si>
    <t>NAJMI FAZA</t>
  </si>
  <si>
    <t>NURUL LATHIFAH</t>
  </si>
  <si>
    <t>LAILY HIDAYATI ROSYIDI</t>
  </si>
  <si>
    <t>TAUFIQOH RAHMA</t>
  </si>
  <si>
    <t>NI'MATUL MUKHAROMAH</t>
  </si>
  <si>
    <t>HIDAYATUL LAILI</t>
  </si>
  <si>
    <t>FAKHRIYATUS SHOFA ALAWIYAH</t>
  </si>
  <si>
    <t>MUHAMMAD RAFIQ KURNIAWAN</t>
  </si>
  <si>
    <t>FAIZ AZIZI</t>
  </si>
  <si>
    <t xml:space="preserve">NO </t>
  </si>
  <si>
    <t xml:space="preserve">NIM </t>
  </si>
  <si>
    <t xml:space="preserve">NAMA MAHASISWA </t>
  </si>
  <si>
    <t>Tgl Lulus</t>
  </si>
  <si>
    <t>Angkt</t>
  </si>
  <si>
    <t xml:space="preserve">NUR HAFIFAH </t>
  </si>
  <si>
    <t xml:space="preserve">ABDI FAUJI HADIONO </t>
  </si>
  <si>
    <t xml:space="preserve">AGUNG OBIANTO </t>
  </si>
  <si>
    <t xml:space="preserve">WISRI </t>
  </si>
  <si>
    <t xml:space="preserve">YOHANDI </t>
  </si>
  <si>
    <t xml:space="preserve">EDY SUPRIYONO </t>
  </si>
  <si>
    <t>ADI SUSIANTO</t>
  </si>
  <si>
    <t>Nada Hindawiyah</t>
  </si>
  <si>
    <t xml:space="preserve">DIANA </t>
  </si>
  <si>
    <t>SHOLEH IBRAHIM</t>
  </si>
  <si>
    <t>MOHAMMAD FAIZIN</t>
  </si>
  <si>
    <t xml:space="preserve">MOH. HANIF LUTFI </t>
  </si>
  <si>
    <t xml:space="preserve">ERWIN SETYO NUGROHO </t>
  </si>
  <si>
    <t xml:space="preserve">MOH. HARI </t>
  </si>
  <si>
    <t xml:space="preserve">Robiatus Siddigiyah </t>
  </si>
  <si>
    <t xml:space="preserve">MOH. FAIZ KURNIA HADI </t>
  </si>
  <si>
    <t xml:space="preserve">MUHAMMAD FAISOL </t>
  </si>
  <si>
    <t xml:space="preserve">IMAM SUPRIYADI </t>
  </si>
  <si>
    <t>Albar Firdaus</t>
  </si>
  <si>
    <t xml:space="preserve">ZULFA INSIYAH </t>
  </si>
  <si>
    <t xml:space="preserve">BADRUT TAMAM </t>
  </si>
  <si>
    <t xml:space="preserve">FAHMI RIDLOL UYUN </t>
  </si>
  <si>
    <t xml:space="preserve">NURLATIFAH </t>
  </si>
  <si>
    <t>Ahmad Zuhairuzzaman</t>
  </si>
  <si>
    <t>M. Daud Rhosyidi</t>
  </si>
  <si>
    <t xml:space="preserve">MU'AWANAH </t>
  </si>
  <si>
    <t xml:space="preserve">Muhammad Ichwanus Surur </t>
  </si>
  <si>
    <t xml:space="preserve">YUNUS ZAMROJI </t>
  </si>
  <si>
    <t xml:space="preserve">Dovi Iwan Musthofa Habibillah </t>
  </si>
  <si>
    <t xml:space="preserve">Supriyanto </t>
  </si>
  <si>
    <t>Hoirul Ichfan</t>
  </si>
  <si>
    <t xml:space="preserve">AKHMAD WASIK </t>
  </si>
  <si>
    <t>Holil Nawawi</t>
  </si>
  <si>
    <t>Villatus Sholikhah</t>
  </si>
  <si>
    <t>Ahmad Muhyidin</t>
  </si>
  <si>
    <t xml:space="preserve">Muhammad Hamdi </t>
  </si>
  <si>
    <t xml:space="preserve">Hikmatul Mazidah </t>
  </si>
  <si>
    <t xml:space="preserve">Imam Komarudin </t>
  </si>
  <si>
    <t xml:space="preserve">AKRIM BILLAH </t>
  </si>
  <si>
    <t>ANDI RAHMAT HIDAYAT</t>
  </si>
  <si>
    <t xml:space="preserve">ISTIADAH </t>
  </si>
  <si>
    <t xml:space="preserve">MAHFIYAH </t>
  </si>
  <si>
    <t xml:space="preserve">MIFTAKHUL JANNAH </t>
  </si>
  <si>
    <t xml:space="preserve">Muhammad Syarofi </t>
  </si>
  <si>
    <t xml:space="preserve">MUTMAINNAH </t>
  </si>
  <si>
    <t xml:space="preserve">RINDA QURATUL A'YUN </t>
  </si>
  <si>
    <t xml:space="preserve">Ardiyan Firdausiyah </t>
  </si>
  <si>
    <t>Kholilur Rahman</t>
  </si>
  <si>
    <t xml:space="preserve">ARFANDI </t>
  </si>
  <si>
    <t xml:space="preserve">AHMAD HALID </t>
  </si>
  <si>
    <t xml:space="preserve">Kukuh Ahmad Prasetyo </t>
  </si>
  <si>
    <t xml:space="preserve">Moh. Hafid </t>
  </si>
  <si>
    <t>ANISATUR RAHMAH</t>
  </si>
  <si>
    <t>AHMAT SAFIUDIN</t>
  </si>
  <si>
    <t>Eko Mulyadi</t>
  </si>
  <si>
    <t>ZAINUDDIN</t>
  </si>
  <si>
    <t xml:space="preserve">Atiqoh </t>
  </si>
  <si>
    <t xml:space="preserve">Saptono </t>
  </si>
  <si>
    <t xml:space="preserve">Achmad Luthfi </t>
  </si>
  <si>
    <t>Muhammad Kanzul Fikri</t>
  </si>
  <si>
    <t xml:space="preserve">Lailatuz Zakiah Darajat </t>
  </si>
  <si>
    <t>SANTONO</t>
  </si>
  <si>
    <t xml:space="preserve">As'ad Daroini </t>
  </si>
  <si>
    <t>Mukhammad Aris Habibi</t>
  </si>
  <si>
    <t xml:space="preserve">M. Izza Fawaid Dariri </t>
  </si>
  <si>
    <t xml:space="preserve">AIDA LUTFIAH </t>
  </si>
  <si>
    <t>EFA IFDA ROFAILLAH</t>
  </si>
  <si>
    <t>HENDRO HARIYANTO</t>
  </si>
  <si>
    <t xml:space="preserve">AHMAD NADIF </t>
  </si>
  <si>
    <t>MOHAMMAD NASIHUDDIN</t>
  </si>
  <si>
    <t xml:space="preserve">Zainur Rahman </t>
  </si>
  <si>
    <t xml:space="preserve">Fathur Rozi </t>
  </si>
  <si>
    <t xml:space="preserve">Subhan </t>
  </si>
  <si>
    <t xml:space="preserve">Syarif Ali Al Qadrie </t>
  </si>
  <si>
    <t xml:space="preserve">MUNDZAR RAHMAN </t>
  </si>
  <si>
    <t xml:space="preserve">JAMALUDDIN </t>
  </si>
  <si>
    <t>M. SHOLEHUDIN</t>
  </si>
  <si>
    <t>Ludy Fitriandila</t>
  </si>
  <si>
    <t>MUHAMMAD MISBAH</t>
  </si>
  <si>
    <t xml:space="preserve">BETRI SUSANTI </t>
  </si>
  <si>
    <t>ABD. MUIS ZAINI</t>
  </si>
  <si>
    <t xml:space="preserve">IZZATUL MASY'UNAH </t>
  </si>
  <si>
    <t xml:space="preserve">SILFIYAH AISYATUL MAZIYAH </t>
  </si>
  <si>
    <t xml:space="preserve">SULIYANI </t>
  </si>
  <si>
    <t>Totok Sudarmanto</t>
  </si>
  <si>
    <t xml:space="preserve">TUTIK SRI UTAMI </t>
  </si>
  <si>
    <t xml:space="preserve"> Akhmad Rudi Masrukhin </t>
  </si>
  <si>
    <t>Armie Setia Gani</t>
  </si>
  <si>
    <t>Qurrotul A’yun</t>
  </si>
  <si>
    <t>So’im</t>
  </si>
  <si>
    <t>INDAYANI</t>
  </si>
  <si>
    <t xml:space="preserve">MUH DIMYATI </t>
  </si>
  <si>
    <t>SAMSIA</t>
  </si>
  <si>
    <t xml:space="preserve">MOCH. KHOIRUL ANWAR </t>
  </si>
  <si>
    <t xml:space="preserve">MUHAMMAD HABIBI HAMZAH </t>
  </si>
  <si>
    <t>Yusnita Zakiyah</t>
  </si>
  <si>
    <t>Khoiru Mahmud AG</t>
  </si>
  <si>
    <t>Husnul Fadilatus Syarafah</t>
  </si>
  <si>
    <t>Muhammad Roisul Ikhwan</t>
  </si>
  <si>
    <t>Nor Holis Bin Nafsah</t>
  </si>
  <si>
    <t xml:space="preserve">IMMATUL KHOIROH </t>
  </si>
  <si>
    <t>Homaidi</t>
  </si>
  <si>
    <t>Sofiatus Sobriyah</t>
  </si>
  <si>
    <t xml:space="preserve">AZISI </t>
  </si>
  <si>
    <t>Siti Nurjanah</t>
  </si>
  <si>
    <t xml:space="preserve">AHYAT HABIBI </t>
  </si>
  <si>
    <t xml:space="preserve">KHUROTUL AINI </t>
  </si>
  <si>
    <t xml:space="preserve">SYAFIUDIN </t>
  </si>
  <si>
    <t xml:space="preserve"> Safi'i</t>
  </si>
  <si>
    <t xml:space="preserve">Nur Faiz Habibah </t>
  </si>
  <si>
    <t>Anisatun Ni'mah Mar'atus Sholihah</t>
  </si>
  <si>
    <t xml:space="preserve">NAILUL ABROR </t>
  </si>
  <si>
    <t>DIDIK HARIADI</t>
  </si>
  <si>
    <t xml:space="preserve">Mudrikah </t>
  </si>
  <si>
    <t>MUFIDAH</t>
  </si>
  <si>
    <t>Vika Nuryulia Imami</t>
  </si>
  <si>
    <t xml:space="preserve">Eltafiyanal Haqqo </t>
  </si>
  <si>
    <t xml:space="preserve">MADLUBUR RHISKY </t>
  </si>
  <si>
    <t xml:space="preserve">ISTIQOMAH  </t>
  </si>
  <si>
    <t>SITI NUR HASANAH</t>
  </si>
  <si>
    <t>Fatimah Azzahro</t>
  </si>
  <si>
    <t xml:space="preserve">IRFA UMAROH ISLAMIAH </t>
  </si>
  <si>
    <t>Mar'ah Nailul Faroh</t>
  </si>
  <si>
    <t>USLI FATUL IZA</t>
  </si>
  <si>
    <t>Muhammad Ain</t>
  </si>
  <si>
    <t xml:space="preserve">ROBITOTUL FAIZIYAH </t>
  </si>
  <si>
    <t>Neman Agustono</t>
  </si>
  <si>
    <t xml:space="preserve">MOHAMMAD MUSLEH </t>
  </si>
  <si>
    <t>Lukman Hakim</t>
  </si>
  <si>
    <t xml:space="preserve">TUTHIUR RIZQIAH </t>
  </si>
  <si>
    <t xml:space="preserve">HUDZAIFAH AL AYYUBI </t>
  </si>
  <si>
    <t>Habibatul Jannah</t>
  </si>
  <si>
    <t xml:space="preserve">AKHMAD BAEDOWI </t>
  </si>
  <si>
    <t xml:space="preserve">M. FAJAR ROCHMAD ILYASSIQIN </t>
  </si>
  <si>
    <t>Alek Efendi</t>
  </si>
  <si>
    <t>Siti Nur Saidah</t>
  </si>
  <si>
    <t>Ikhwan Hakiki</t>
  </si>
  <si>
    <t xml:space="preserve">M. ARIF </t>
  </si>
  <si>
    <t xml:space="preserve">MAHRUS ZAINUL UMAM </t>
  </si>
  <si>
    <t xml:space="preserve">MOHAMMAD SYAMSUD DHUHA </t>
  </si>
  <si>
    <t xml:space="preserve">MUHAMMAD NUR FADLI </t>
  </si>
  <si>
    <t xml:space="preserve">RAHMI M.T </t>
  </si>
  <si>
    <t xml:space="preserve">SAMSUL ARIF </t>
  </si>
  <si>
    <t xml:space="preserve">YUNI FIRDAUSI NUZULA </t>
  </si>
  <si>
    <t xml:space="preserve">SUSI QORY UTAMI </t>
  </si>
  <si>
    <t>PUTRI MAJA MULIA KULZUM</t>
  </si>
  <si>
    <t>Ika Irwaniyati</t>
  </si>
  <si>
    <t xml:space="preserve">RACHMAD BAITULLAH </t>
  </si>
  <si>
    <t>M. Maulidin Alif. U</t>
  </si>
  <si>
    <t xml:space="preserve">JAMILATUN NAFI'AH </t>
  </si>
  <si>
    <t xml:space="preserve">ELOK AINI SULTHON </t>
  </si>
  <si>
    <t xml:space="preserve">AGUS RIYADI </t>
  </si>
  <si>
    <t xml:space="preserve">IMAM BAEDLOWI </t>
  </si>
  <si>
    <t xml:space="preserve">INDRI WIJAYANTI NINGSIH </t>
  </si>
  <si>
    <t xml:space="preserve">LULUK SULTHONIYAH </t>
  </si>
  <si>
    <t xml:space="preserve">MULTAZEM AJI BUSONO </t>
  </si>
  <si>
    <t xml:space="preserve">NASILAH </t>
  </si>
  <si>
    <t>Badrus Soleh</t>
  </si>
  <si>
    <t>MOH. NI'AM MULLOH</t>
  </si>
  <si>
    <t xml:space="preserve">MALIKUL IRFAN </t>
  </si>
  <si>
    <t>DEBBY NURFAIDAH</t>
  </si>
  <si>
    <t>SLAMET WAHYU DWI LAKSONO</t>
  </si>
  <si>
    <t>Suyitno</t>
  </si>
  <si>
    <t>Muhammad Wazir Ilahi</t>
  </si>
  <si>
    <t>Mulajimatul Fitria</t>
  </si>
  <si>
    <t>Nurhabi</t>
  </si>
  <si>
    <t xml:space="preserve">Muhammad Sidiq Purnomo </t>
  </si>
  <si>
    <t>Mifta Ayudias Mahanani</t>
  </si>
  <si>
    <t>Ni`matul Hidayati</t>
  </si>
  <si>
    <t>Moh. Khoruddin</t>
  </si>
  <si>
    <t>Atiq Khurul `Ain</t>
  </si>
  <si>
    <t>Samsul Mu`arif</t>
  </si>
  <si>
    <t>Nurul Hikamh</t>
  </si>
  <si>
    <t>Khoirus Sholeh</t>
  </si>
  <si>
    <t>Achmad Nuruddin</t>
  </si>
  <si>
    <t>Muhamad Erwan</t>
  </si>
  <si>
    <t>Nurul Laila Hidayat</t>
  </si>
  <si>
    <t>Nailul Marom</t>
  </si>
  <si>
    <t>Afrila Mu`arrofah</t>
  </si>
  <si>
    <t>Nur Hakim</t>
  </si>
  <si>
    <t>Zainul Anwar</t>
  </si>
  <si>
    <t>Yulis Sri Wahyuningsih</t>
  </si>
  <si>
    <t>Akhmad  Muadin</t>
  </si>
  <si>
    <t>Siti Aimah</t>
  </si>
  <si>
    <t>Siti Nursyamsiyah</t>
  </si>
  <si>
    <t xml:space="preserve">Shinta Nento </t>
  </si>
  <si>
    <t>Syarifatul Marwiyah</t>
  </si>
  <si>
    <t>Ahmad Aziz Fanani</t>
  </si>
  <si>
    <t>Faikatul Warda</t>
  </si>
  <si>
    <t>Faizatun Nuraniyah</t>
  </si>
  <si>
    <t>Ahmad Kusairi</t>
  </si>
  <si>
    <t>Clara Sinta Pratiwi</t>
  </si>
  <si>
    <t>Rudi hartono</t>
  </si>
  <si>
    <t>Bunga Surawijaya Ningsih</t>
  </si>
  <si>
    <t>Mashlahatus  Salamah</t>
  </si>
  <si>
    <t>Miqdad Afif</t>
  </si>
  <si>
    <t>Lisbinantin</t>
  </si>
  <si>
    <t>Hadi Agus Miftahul Ulum</t>
  </si>
  <si>
    <t>Muhammad Fahrur Roji</t>
  </si>
  <si>
    <t>Triana Suprihastini</t>
  </si>
  <si>
    <t>Siti Hamidahtur Rofi'ah</t>
  </si>
  <si>
    <t>Suayroh Tri Damayanti</t>
  </si>
  <si>
    <t>Moh. Tsabit</t>
  </si>
  <si>
    <t>Nur Slamet Riyadi</t>
  </si>
  <si>
    <t>Nur Asiyah</t>
  </si>
  <si>
    <t>Nur Moh. Annurroin</t>
  </si>
  <si>
    <t>Yanto Hasyim</t>
  </si>
  <si>
    <t>Muhammad Barik Bawafi</t>
  </si>
  <si>
    <t>Moch Fuad Hasyim</t>
  </si>
  <si>
    <t>Ridwan Efendi</t>
  </si>
  <si>
    <t>Dodik Puji Basuki</t>
  </si>
  <si>
    <t>Nur Ika Oktafiatul Jannah</t>
  </si>
  <si>
    <t>Hariska</t>
  </si>
  <si>
    <t>Akhmad Sururi</t>
  </si>
  <si>
    <t>Nur Imamatun Nisa`</t>
  </si>
  <si>
    <t>Agus Salim Salabi</t>
  </si>
  <si>
    <t>Fatmawati</t>
  </si>
  <si>
    <t>Wiwit Mustafidah</t>
  </si>
  <si>
    <t>Nur Indah Sari</t>
  </si>
  <si>
    <t>Muhammad Rahman Hidayat</t>
  </si>
  <si>
    <t>Muhammad Nasih</t>
  </si>
  <si>
    <t>Zaenal Fanani</t>
  </si>
  <si>
    <t>Zainal Abidin</t>
  </si>
  <si>
    <t>Cek SKL</t>
  </si>
  <si>
    <t>Nur Mahmudah</t>
  </si>
  <si>
    <t>Sudawi</t>
  </si>
  <si>
    <t>LULUK FAJRIYAH IZZA MAULIDA</t>
  </si>
  <si>
    <t>UMI NURHAYATI</t>
  </si>
  <si>
    <t>MUHAMMAD SYAIIN</t>
  </si>
  <si>
    <t>SOFIAH</t>
  </si>
  <si>
    <t>LUTFI</t>
  </si>
  <si>
    <t>NURUL HASANAH</t>
  </si>
  <si>
    <t>AHMAD FADIL</t>
  </si>
  <si>
    <t>SULFIAH</t>
  </si>
  <si>
    <t>FARIDATUL HUSNAH</t>
  </si>
  <si>
    <t>SULAEMAN KURDI</t>
  </si>
  <si>
    <t>NUR MAYA BADRIYATUL JAMROH</t>
  </si>
  <si>
    <t>NANIK MAHMUDA</t>
  </si>
  <si>
    <t>BAMBANG WAHYUDI</t>
  </si>
  <si>
    <t>KEMENTERIAN AGAMA REPUBLIK INDONESIA</t>
  </si>
  <si>
    <t>INSTITUT AGAMA ISLAM NEGERI JEMBER</t>
  </si>
  <si>
    <t>PASCASARJANA</t>
  </si>
  <si>
    <t>Jl. Mataram No. 01 Mangli. Telp.(0331) 428104 Fax. (0331) 427005 Kode Pos: 68136</t>
  </si>
  <si>
    <t>Website: www.pasca.iain-jember.ac.id - Email: pps.iainjbr@gmail.com</t>
  </si>
  <si>
    <t>Nomor</t>
  </si>
  <si>
    <t>:</t>
  </si>
  <si>
    <t>B.1815/In.20/PP.00.9/PS/II/2020</t>
  </si>
  <si>
    <t>Lampiran</t>
  </si>
  <si>
    <t>----</t>
  </si>
  <si>
    <t>Perihal</t>
  </si>
  <si>
    <t>Tagihan dan Peringatan Pembayaran SPP</t>
  </si>
  <si>
    <t xml:space="preserve">Kepada </t>
  </si>
  <si>
    <t>Di Tempat</t>
  </si>
  <si>
    <t>Assalamu’alaikum, Wr. Wb</t>
  </si>
  <si>
    <t>Sehubungan dengan batas akhir Pembayaran SPP Semester Genap 2019/2020 pada tanggal 31 Januari 2020,</t>
  </si>
  <si>
    <t xml:space="preserve">dengan ini kami sampaikan rekap pembayaran yang telah dilakukan oleh mahasiswa Pascasarjana IAIN Jember </t>
  </si>
  <si>
    <t>sebagai berikut :</t>
  </si>
  <si>
    <t>Mahasiswa</t>
  </si>
  <si>
    <t>Prog. Studi</t>
  </si>
  <si>
    <t>STATUS</t>
  </si>
  <si>
    <t>Jenis Pembayaran</t>
  </si>
  <si>
    <t xml:space="preserve">Ket </t>
  </si>
  <si>
    <t>Lunas</t>
  </si>
  <si>
    <t>SPP Semester 1 (2117-1)</t>
  </si>
  <si>
    <t>SPP Semester 2 (2117-2)</t>
  </si>
  <si>
    <t>SPP Semester 3 (2118-1)</t>
  </si>
  <si>
    <t>SPP Semester 4 (2118-2)</t>
  </si>
  <si>
    <t>SPP Semester 5 (2119-1)</t>
  </si>
  <si>
    <t>Tagihan 2019-1</t>
  </si>
  <si>
    <t>SPP Semester 6 (2119-2)</t>
  </si>
  <si>
    <t>Tagihan 2019-2</t>
  </si>
  <si>
    <t>SPP Semester 7 (2120-1)</t>
  </si>
  <si>
    <t>Tagihan 2020-1</t>
  </si>
  <si>
    <t>SPP Semester 8 (2120-2)</t>
  </si>
  <si>
    <t>Seminar Hasil</t>
  </si>
  <si>
    <t>Ujian Tesis</t>
  </si>
  <si>
    <t>Total Biaya Masukan</t>
  </si>
  <si>
    <t>Kekurangan/Tanggungan</t>
  </si>
  <si>
    <r>
      <rPr>
        <sz val="11"/>
        <color theme="1"/>
        <rFont val="Calibri"/>
        <family val="2"/>
        <scheme val="minor"/>
      </rPr>
      <t xml:space="preserve">Berdasarkan data tersebut, Saudara/i diharap segera melunasi pembayaran tersebut pada tanggl </t>
    </r>
    <r>
      <rPr>
        <b/>
        <sz val="11"/>
        <color theme="1"/>
        <rFont val="Calibri"/>
        <family val="2"/>
        <scheme val="minor"/>
      </rPr>
      <t>4 September 2020</t>
    </r>
  </si>
  <si>
    <t xml:space="preserve">Apabila sampai tanggal tersebut belum melunasi, maka Saudara tidak berhak untuk mendapatkan pelayanan </t>
  </si>
  <si>
    <t xml:space="preserve">akademik dan jika sudah melewati dari semester VIII anda dinyatakan Drop Out (DO). </t>
  </si>
  <si>
    <t>Demikian, Atas perhatiannya disampaikan terima kasih.</t>
  </si>
  <si>
    <t>Direktur,</t>
  </si>
  <si>
    <t>Abd. Halim Soebahar</t>
  </si>
  <si>
    <t>DATA REKAP MAHASISWA PASCASARJANA</t>
  </si>
  <si>
    <t>S</t>
  </si>
  <si>
    <t>Daya</t>
  </si>
  <si>
    <t>PMB</t>
  </si>
  <si>
    <t>Lampiran  : Surat Keputusan Rektor IAIN Jember</t>
  </si>
  <si>
    <t xml:space="preserve">RENCANA ANGGARAN BIAYA </t>
  </si>
  <si>
    <t>TAHUN AKADEMIK 2013-2019</t>
  </si>
  <si>
    <t>Tampung</t>
  </si>
  <si>
    <t>Daftar</t>
  </si>
  <si>
    <t>Nomor      :457/In.20/PP.00.9/SK/2017</t>
  </si>
  <si>
    <t>PROGRAM BEASISWA STUDI DIREKTORAT PENDIDIKAN TINGGI ISLAM DIT PENDIS</t>
  </si>
  <si>
    <t>PI/MPI</t>
  </si>
  <si>
    <t>Tanggal    : 19 Juli 2017</t>
  </si>
  <si>
    <t>KERJASAMA PASCASARJANA IAIN JEMBER</t>
  </si>
  <si>
    <t>Tentang    : Tarip dan Jenis Biaya Pendidikan  Pascasarjana</t>
  </si>
  <si>
    <t>PROGRAM DOKTOR S3  TAHUN  2017-2018</t>
  </si>
  <si>
    <t xml:space="preserve">        Institut Agama Islam Negeri (IAIN) Jember Tahun 2017</t>
  </si>
  <si>
    <t>Jenis Penerimaan</t>
  </si>
  <si>
    <t>JENJANG</t>
  </si>
  <si>
    <t>Ket</t>
  </si>
  <si>
    <t>Nilai BIAYA MASUK</t>
  </si>
  <si>
    <t>NO</t>
  </si>
  <si>
    <t>KEGIATAN</t>
  </si>
  <si>
    <t>URAIAN VOLUME</t>
  </si>
  <si>
    <t>Total Volume</t>
  </si>
  <si>
    <t>HARGA SATUAN</t>
  </si>
  <si>
    <t>JUMLAH</t>
  </si>
  <si>
    <t>S2</t>
  </si>
  <si>
    <t>S3 Reg</t>
  </si>
  <si>
    <t>SPP</t>
  </si>
  <si>
    <t>Total SPP</t>
  </si>
  <si>
    <t>A</t>
  </si>
  <si>
    <t xml:space="preserve">Rekruitmen &amp; Seleksi </t>
  </si>
  <si>
    <t xml:space="preserve">Pendaftaran  Gel. I </t>
  </si>
  <si>
    <t>01</t>
  </si>
  <si>
    <t>Biaya Pendaftaran</t>
  </si>
  <si>
    <t xml:space="preserve">keg </t>
  </si>
  <si>
    <t>x</t>
  </si>
  <si>
    <t>mhs</t>
  </si>
  <si>
    <t xml:space="preserve">Pendaftaran Gel. II </t>
  </si>
  <si>
    <t>Matrikulasi*</t>
  </si>
  <si>
    <t>Per Mata Kuliah</t>
  </si>
  <si>
    <t>Ujian Kualifkasi</t>
  </si>
  <si>
    <t>Ujian Kualifkasi Ulang</t>
  </si>
  <si>
    <t>B</t>
  </si>
  <si>
    <t xml:space="preserve">Biaya Pendidikan </t>
  </si>
  <si>
    <t>Ujian Proposal</t>
  </si>
  <si>
    <t xml:space="preserve"> smt</t>
  </si>
  <si>
    <t xml:space="preserve"> mhs</t>
  </si>
  <si>
    <t>Ujian Ulang Proposal</t>
  </si>
  <si>
    <t>02</t>
  </si>
  <si>
    <t>Herregistrasi</t>
  </si>
  <si>
    <t>Seminar Hasil / Ujian Kelayakan</t>
  </si>
  <si>
    <t>03</t>
  </si>
  <si>
    <t>Orientasi mahasiswa baru</t>
  </si>
  <si>
    <t xml:space="preserve"> keg</t>
  </si>
  <si>
    <t>Seminar Hasil / Ujian Kelayakan Ulang</t>
  </si>
  <si>
    <t>04</t>
  </si>
  <si>
    <t>Stadium General</t>
  </si>
  <si>
    <t>keg</t>
  </si>
  <si>
    <t>pkt</t>
  </si>
  <si>
    <t xml:space="preserve">Ujian Tesis / Disertasi </t>
  </si>
  <si>
    <t>05</t>
  </si>
  <si>
    <t>Layanan Perpustakaan</t>
  </si>
  <si>
    <t>Ujian Ulang Tesis/ Disertasi</t>
  </si>
  <si>
    <t>06</t>
  </si>
  <si>
    <t>KTM (Kartu Tanda Mahasiswa)</t>
  </si>
  <si>
    <t>Ujian Terbuka Disertasi</t>
  </si>
  <si>
    <t>07</t>
  </si>
  <si>
    <t>Layanan Perawatan Kesehatan</t>
  </si>
  <si>
    <t>Layanan Akademik &amp; Perpustakaan</t>
  </si>
  <si>
    <t>A. Legalisir Ijazah &amp; Transkrip</t>
  </si>
  <si>
    <t>Per Lembar</t>
  </si>
  <si>
    <t>B. Layanan Perpustakaan</t>
  </si>
  <si>
    <t>Per Mahasiswa Baru</t>
  </si>
  <si>
    <t>08</t>
  </si>
  <si>
    <t>Layanan Resiko Kesehatan</t>
  </si>
  <si>
    <t>C. Denda Keterlambatan Pengembalian</t>
  </si>
  <si>
    <t>Per Buku / Per Hari</t>
  </si>
  <si>
    <t>09</t>
  </si>
  <si>
    <t>Akses Sistem Informasi</t>
  </si>
  <si>
    <t>10</t>
  </si>
  <si>
    <t>Ujian Kualifikasi</t>
  </si>
  <si>
    <t>11</t>
  </si>
  <si>
    <t>Ujian Proposal Disertasi</t>
  </si>
  <si>
    <t>12</t>
  </si>
  <si>
    <t>Ujian Seminar Hasil Penelitian</t>
  </si>
  <si>
    <t>13</t>
  </si>
  <si>
    <t>Ujian Disertasi pendahuluan</t>
  </si>
  <si>
    <t>14</t>
  </si>
  <si>
    <t>Ujian Disertasi Akhir</t>
  </si>
  <si>
    <t>Ujian Tesis / Disertasi tertutup</t>
  </si>
  <si>
    <t>Ujian Ulang Tesis/ Disertasi tertutup</t>
  </si>
  <si>
    <t>15</t>
  </si>
  <si>
    <t>Yudisium dan Wisuda</t>
  </si>
  <si>
    <t>Ujian Disertasi Terbuka</t>
  </si>
  <si>
    <t>16</t>
  </si>
  <si>
    <t>Bimbingan Akademik</t>
  </si>
  <si>
    <t>17</t>
  </si>
  <si>
    <t>Matrikulasi</t>
  </si>
  <si>
    <t>18</t>
  </si>
  <si>
    <t>Bimtek Penulisan Disertasi</t>
  </si>
  <si>
    <t>IPDI/PGMI</t>
  </si>
  <si>
    <t>SI</t>
  </si>
  <si>
    <t>REKAP SPP PASCASARJANA TAHUN 2018</t>
  </si>
  <si>
    <t>S3-MPI 2018/2019 - Bea 5000 Dok (IV)</t>
  </si>
  <si>
    <t>S3-MPI 2019/2020 - Bea 5000 Dok (V)</t>
  </si>
  <si>
    <t>Reg</t>
  </si>
  <si>
    <t>PAI-S3</t>
  </si>
  <si>
    <t>S3</t>
  </si>
  <si>
    <t>Kode</t>
  </si>
  <si>
    <t>SPP
2020-1</t>
  </si>
  <si>
    <t>13-14 Max
15-17 SPP</t>
  </si>
  <si>
    <t>TOTAL MASUKAN</t>
  </si>
  <si>
    <t>Total Tagihan</t>
  </si>
  <si>
    <t>Aktif</t>
  </si>
  <si>
    <t>Cuti</t>
  </si>
  <si>
    <t>DO</t>
  </si>
  <si>
    <t>Pasif</t>
  </si>
  <si>
    <t>- S2-Manajemen Pendidikan Islam</t>
  </si>
  <si>
    <t>SPP per Prodi</t>
  </si>
  <si>
    <t>SPP 2020-1</t>
  </si>
  <si>
    <t>JML Tagih</t>
  </si>
  <si>
    <t>- S2-Hukum Keluarga</t>
  </si>
  <si>
    <t>- S2-Pendidikan Bahasa Arab</t>
  </si>
  <si>
    <t>- S2-Ekonomi Syariah</t>
  </si>
  <si>
    <t>- S2-Pendidikan Agama Islam</t>
  </si>
  <si>
    <t>- S2-Komunikasi dan Penyiaran Islam</t>
  </si>
  <si>
    <t>- S2-Pend Guru Madrasah Ibtidaiyah</t>
  </si>
  <si>
    <t>- S3-Manajemen Pendidikan Islam (Reg)</t>
  </si>
  <si>
    <t>- S3-Manajemen Pendidikan Islam (beasiswa)</t>
  </si>
  <si>
    <t>Pendaftaran  Mahasiswa baru</t>
  </si>
  <si>
    <t>S2=300, S3=50</t>
  </si>
  <si>
    <t>Orientasi Mahasiswa</t>
  </si>
  <si>
    <t>S2=250, S3=30</t>
  </si>
  <si>
    <t>S2=100, S3=20</t>
  </si>
  <si>
    <t>S2=100, S3=30</t>
  </si>
  <si>
    <t>S3=5</t>
  </si>
  <si>
    <t>Per Buku/Per Hari</t>
  </si>
  <si>
    <t>Wakil Direktur</t>
  </si>
  <si>
    <t>MOCH. IMAM MACHFUDI, S.S., M.Pd. Ph.D.</t>
  </si>
  <si>
    <t>NIP. 197001262000031002</t>
  </si>
  <si>
    <t>SPP 2019-1</t>
  </si>
  <si>
    <t>SPP 2019-2</t>
  </si>
  <si>
    <t>##</t>
  </si>
  <si>
    <t>MAHASISWA</t>
  </si>
  <si>
    <t>Prodi</t>
  </si>
  <si>
    <t>tgl. Lulus</t>
  </si>
  <si>
    <t>Cek NIM/ NAMA</t>
  </si>
  <si>
    <t>NO IJAZAH KIRI</t>
  </si>
  <si>
    <t>NO KANAN</t>
  </si>
  <si>
    <t>DUPLIKAT NO KANAN</t>
  </si>
  <si>
    <t>TMP LHR</t>
  </si>
  <si>
    <t>TGLLHR</t>
  </si>
  <si>
    <t>TGL LULUS</t>
  </si>
  <si>
    <t>GELAR</t>
  </si>
  <si>
    <t>ABD. WAHHAB HS</t>
  </si>
  <si>
    <t>ABDUL MUJIB</t>
  </si>
  <si>
    <t>KHAIRIL ANWAR</t>
  </si>
  <si>
    <t>NURUL HASAN</t>
  </si>
  <si>
    <t>NUR SABAHA</t>
  </si>
  <si>
    <t>FATIMATUS ZAHRO</t>
  </si>
  <si>
    <t>SOFYAN SAURI</t>
  </si>
  <si>
    <t>SHONI RAHMATULLAH AMROSI</t>
  </si>
  <si>
    <t>NAJMATUL MILLAH</t>
  </si>
  <si>
    <t>AHMAD HANAFI</t>
  </si>
  <si>
    <t>ABDUS SUKKUR</t>
  </si>
  <si>
    <t>MOKH. HADERI</t>
  </si>
  <si>
    <t>MUHAMMAD FUDHOLI</t>
  </si>
  <si>
    <t>KHOIRUN SHOLEH</t>
  </si>
  <si>
    <t>INDAH LESTARIASIH</t>
  </si>
  <si>
    <t>MUHAMMAD TANTOWI</t>
  </si>
  <si>
    <t>MUZANNI</t>
  </si>
  <si>
    <t>MAHMUD YUNUS IM</t>
  </si>
  <si>
    <t>MAZIYATUR ROFI’AH</t>
  </si>
  <si>
    <t>IZZATUL MILLAH</t>
  </si>
  <si>
    <t>HASIN</t>
  </si>
  <si>
    <t>MUHAMMAD UMAR</t>
  </si>
  <si>
    <t>MUHTARIS SYAFI’I</t>
  </si>
  <si>
    <t>IZZAT FAHD</t>
  </si>
  <si>
    <t>MOHAMMAD ROFIQ</t>
  </si>
  <si>
    <t>MUSTOFA</t>
  </si>
  <si>
    <t>MUHAMMAD ANSORI</t>
  </si>
  <si>
    <t>ABD. LATHIF SYAFI’I</t>
  </si>
  <si>
    <t>PAIJAN</t>
  </si>
  <si>
    <t>SUBAKRI</t>
  </si>
  <si>
    <t>FATHOR RAHMAN</t>
  </si>
  <si>
    <t>A MAHDI</t>
  </si>
  <si>
    <t>OFIQ DZULFIQOR</t>
  </si>
  <si>
    <t>ACHMAD MASDUKI</t>
  </si>
  <si>
    <t>ZAENUL HADI</t>
  </si>
  <si>
    <t>MASHUDI</t>
  </si>
  <si>
    <t>AHMAD JUNAIDI</t>
  </si>
  <si>
    <t>MOHAMMAD SYARIFUDIN</t>
  </si>
  <si>
    <t>HAMIM TOHARI</t>
  </si>
  <si>
    <t>SAMSUL FARIT</t>
  </si>
  <si>
    <t>ZAINUDDIN AM</t>
  </si>
  <si>
    <t>NUR HASYIM</t>
  </si>
  <si>
    <t>M. NUR ROFIQ</t>
  </si>
  <si>
    <t>MOH. SHOHIFUL HASAN</t>
  </si>
  <si>
    <t>ABDUL MUNI</t>
  </si>
  <si>
    <t>ADAM HADI</t>
  </si>
  <si>
    <t>ZAINAL ANSHARI</t>
  </si>
  <si>
    <t>ZAENAL MUTTAQIN</t>
  </si>
  <si>
    <t>MARSUDI</t>
  </si>
  <si>
    <t>SUYATNO</t>
  </si>
  <si>
    <t>ABD MUNIF</t>
  </si>
  <si>
    <t>I. MUSTOFA ZUHRI</t>
  </si>
  <si>
    <t>M. HOLIL ASYARI</t>
  </si>
  <si>
    <t>SYAMSUN HS</t>
  </si>
  <si>
    <t>HOLID BATSAL</t>
  </si>
  <si>
    <t>ABDUL AZIZ AL FAQIH</t>
  </si>
  <si>
    <t>PUTUT ARIBOWO</t>
  </si>
  <si>
    <t>SITI MARIA ULFA</t>
  </si>
  <si>
    <t>KUSUMA WARDANI</t>
  </si>
  <si>
    <t>MAMBAUL HIKMAH</t>
  </si>
  <si>
    <t>SITI SUHAEMI</t>
  </si>
  <si>
    <t>SAKINAH</t>
  </si>
  <si>
    <t>RIYADLOTUN MAFTUHAH</t>
  </si>
  <si>
    <t>RIF’ATUL HIMMAH</t>
  </si>
  <si>
    <t>MINATUR ROHMAH</t>
  </si>
  <si>
    <t>SRI ILMIYATI ZAKIYAH</t>
  </si>
  <si>
    <t>AFIFATUR ROHMAH</t>
  </si>
  <si>
    <t>NUR FAISAH</t>
  </si>
  <si>
    <t>NAHLIYATUL USLAH</t>
  </si>
  <si>
    <t>SYAROFAH</t>
  </si>
  <si>
    <t>ST. MUANIFAH</t>
  </si>
  <si>
    <t>HOSNATI</t>
  </si>
  <si>
    <t>KAMILATUL BADRIYAH</t>
  </si>
  <si>
    <t>SRI WATININGRUM</t>
  </si>
  <si>
    <t>RETNO WAHYU WARDANI</t>
  </si>
  <si>
    <t>LINA TINDARWATI</t>
  </si>
  <si>
    <t>NK ZAHROH</t>
  </si>
  <si>
    <t>NUR ANISAH</t>
  </si>
  <si>
    <t>SITI JAHROH</t>
  </si>
  <si>
    <t>ST. ROISAH</t>
  </si>
  <si>
    <t>SULISTYANI</t>
  </si>
  <si>
    <t>FIBERTI DEWI SAFITRI</t>
  </si>
  <si>
    <t>MASLAHATUL HIMMAH</t>
  </si>
  <si>
    <t>KUSMIARSEH</t>
  </si>
  <si>
    <t>ANJAR SUTHIATUL MUNAWAROH</t>
  </si>
  <si>
    <t>LUTHFIANINGSIH</t>
  </si>
  <si>
    <t>SENIWATI</t>
  </si>
  <si>
    <t>Muhammad Nur Hidayatullah</t>
  </si>
  <si>
    <t>Irfa' Asy'at Firmansyah</t>
  </si>
  <si>
    <t>Muhammad Zulkifli</t>
  </si>
  <si>
    <t>BadrutTamami</t>
  </si>
  <si>
    <t>Moh. Munawir</t>
  </si>
  <si>
    <t>Ahmad Fauzan Effendi</t>
  </si>
  <si>
    <t>Abd. Khobir Aly</t>
  </si>
  <si>
    <t>Moch. Zoedianto Amrtono</t>
  </si>
  <si>
    <t>Khomaruddin</t>
  </si>
  <si>
    <t>Abdul Mu'is</t>
  </si>
  <si>
    <t>Abdul Haq AS</t>
  </si>
  <si>
    <t>Mohammad Rodhi</t>
  </si>
  <si>
    <t>Nailul Murom</t>
  </si>
  <si>
    <t>Abu Aman Shidiq Al Ghafir</t>
  </si>
  <si>
    <t>Muhammad Yahya</t>
  </si>
  <si>
    <t>Mohammad Ahyar MA'arif</t>
  </si>
  <si>
    <t>Mohammad Taufik</t>
  </si>
  <si>
    <t>Abd. Aziz HS</t>
  </si>
  <si>
    <t>Muhammad Junaidi</t>
  </si>
  <si>
    <t>Fuadun Naffa</t>
  </si>
  <si>
    <t>Moh. Hasyin AS</t>
  </si>
  <si>
    <t>Muhammad Fadlillah</t>
  </si>
  <si>
    <t>Ahmad Junaidi Ghazali</t>
  </si>
  <si>
    <t>Masturi</t>
  </si>
  <si>
    <t>Juma'i</t>
  </si>
  <si>
    <t>Abd. Hadi</t>
  </si>
  <si>
    <t>Mory Victor Febrianto</t>
  </si>
  <si>
    <t>Mohammad Sholeh</t>
  </si>
  <si>
    <t>Siti Mardiyah</t>
  </si>
  <si>
    <t>Tartimatus Sholihah</t>
  </si>
  <si>
    <t>Nasiyatul Kholisah</t>
  </si>
  <si>
    <t>ST Anisa Subliyah Asnoto</t>
  </si>
  <si>
    <t>Khairun Nadhiroh</t>
  </si>
  <si>
    <t>ST Maimunah Umar</t>
  </si>
  <si>
    <t>Devi Mariatul Qibthiyah</t>
  </si>
  <si>
    <t>Umi Kulsum</t>
  </si>
  <si>
    <t>Siti Nurjannah</t>
  </si>
  <si>
    <t>Ashkiyah Sholihati</t>
  </si>
  <si>
    <t>Nidaul huriyah</t>
  </si>
  <si>
    <t>Ida Holida</t>
  </si>
  <si>
    <t>A'yunil Hisbiyah</t>
  </si>
  <si>
    <t>Farida</t>
  </si>
  <si>
    <t>Ifa Dalila Ula Banati</t>
  </si>
  <si>
    <t>Ummi Slaamah</t>
  </si>
  <si>
    <t>Endah Prasetyaningtyas</t>
  </si>
  <si>
    <t>Waildah</t>
  </si>
  <si>
    <t>Wildana Setya Warga Dinata</t>
  </si>
  <si>
    <t>Moch. Ridawi</t>
  </si>
  <si>
    <t>Kiki Sunarjat</t>
  </si>
  <si>
    <t>Ikmal Muntadhor</t>
  </si>
  <si>
    <t>Imam bukhori</t>
  </si>
  <si>
    <t>Muhammad MA'mun</t>
  </si>
  <si>
    <t>Arifah Jauhari Syams</t>
  </si>
  <si>
    <t>INDAH ROHMATUZ ZAHRO</t>
  </si>
  <si>
    <t>MOH. SUNARJI</t>
  </si>
  <si>
    <t>AGUS SA’DULLAH</t>
  </si>
  <si>
    <t>MUHAMMAD ABI SHOLEH</t>
  </si>
  <si>
    <t>MURU’ATUL AFIFAH</t>
  </si>
  <si>
    <t>AGUS ROFIQI</t>
  </si>
  <si>
    <t>ILHAMIYATUL ILAHIYAH</t>
  </si>
  <si>
    <t>LAILUN NAZILAH</t>
  </si>
  <si>
    <t>FADLILLAH</t>
  </si>
  <si>
    <t>AHMAD</t>
  </si>
  <si>
    <t xml:space="preserve">Tatag Saifullah </t>
  </si>
  <si>
    <t xml:space="preserve">Muhammad Robitho </t>
  </si>
  <si>
    <t xml:space="preserve">Sya'roni </t>
  </si>
  <si>
    <t>Moh. Nor Afandi</t>
  </si>
  <si>
    <t xml:space="preserve">Farhanudin Sholeh </t>
  </si>
  <si>
    <t xml:space="preserve">Masrur Baihaqi </t>
  </si>
  <si>
    <t>Munifah Rofiul Darajat</t>
  </si>
  <si>
    <t>Moh Dasuki</t>
  </si>
  <si>
    <t xml:space="preserve">Achmad Karimullah </t>
  </si>
  <si>
    <t xml:space="preserve">Agus Arifandi </t>
  </si>
  <si>
    <t xml:space="preserve">Mohammad Faris </t>
  </si>
  <si>
    <t xml:space="preserve">Ahmadi </t>
  </si>
  <si>
    <t xml:space="preserve">Elok Indriyani </t>
  </si>
  <si>
    <t xml:space="preserve">Fadhullah </t>
  </si>
  <si>
    <t xml:space="preserve">Moh. Baits Sulthon </t>
  </si>
  <si>
    <t xml:space="preserve">Muhammad Masfur Rahman </t>
  </si>
  <si>
    <t xml:space="preserve">Nur Ittihatul Ummah </t>
  </si>
  <si>
    <t xml:space="preserve">Siti Aisyah </t>
  </si>
  <si>
    <t xml:space="preserve">Miftahul Hidayat </t>
  </si>
  <si>
    <t xml:space="preserve">Mukhtar Fitriawan Bilawal </t>
  </si>
  <si>
    <t xml:space="preserve">Amila Sholihah </t>
  </si>
  <si>
    <t xml:space="preserve">Emsikhu Ira Gunawan </t>
  </si>
  <si>
    <t xml:space="preserve">Erlina Anitasari </t>
  </si>
  <si>
    <t xml:space="preserve">Fathor Rosi </t>
  </si>
  <si>
    <t xml:space="preserve">Nurul Iflaha </t>
  </si>
  <si>
    <t xml:space="preserve">Septian Faizal Musta </t>
  </si>
  <si>
    <t xml:space="preserve">Sudarsono </t>
  </si>
  <si>
    <t xml:space="preserve">Susi Handayani </t>
  </si>
  <si>
    <t xml:space="preserve">Muhammad Haidllor </t>
  </si>
  <si>
    <t xml:space="preserve">Mulyo Sujono </t>
  </si>
  <si>
    <t xml:space="preserve">Taufiq Eko Nugroho </t>
  </si>
  <si>
    <t xml:space="preserve">Supardi </t>
  </si>
  <si>
    <t xml:space="preserve">Ahmad Yanil Falahi </t>
  </si>
  <si>
    <t xml:space="preserve">Devi Suci Windariyah </t>
  </si>
  <si>
    <t xml:space="preserve">Nur Khovivah </t>
  </si>
  <si>
    <t>SA'ADATUL MUKARROMAH ARIFAH</t>
  </si>
  <si>
    <t>M O H S I</t>
  </si>
  <si>
    <t>AHMAD HOIRI</t>
  </si>
  <si>
    <t>HAMID SALAMA</t>
  </si>
  <si>
    <t>MIFTAHUL HASANAH</t>
  </si>
  <si>
    <t>HAFIDZ IQBAL WIRA DAMIRI</t>
  </si>
  <si>
    <t>AHMAD YUSRON ARAFAT</t>
  </si>
  <si>
    <t>9.01.1.085017</t>
  </si>
  <si>
    <t>005111</t>
  </si>
  <si>
    <t>IAIN.005111</t>
  </si>
  <si>
    <t>Jember</t>
  </si>
  <si>
    <t>MAGISTER PENDIDIKAN (M.Pd.)</t>
  </si>
  <si>
    <t>9.01.1.086017</t>
  </si>
  <si>
    <t>005112</t>
  </si>
  <si>
    <t>IAIN.005112</t>
  </si>
  <si>
    <t>Bondowoso</t>
  </si>
  <si>
    <t>9.01.1.087017</t>
  </si>
  <si>
    <t>005113</t>
  </si>
  <si>
    <t>IAIN.005113</t>
  </si>
  <si>
    <t>9.01.1.088017</t>
  </si>
  <si>
    <t>005114</t>
  </si>
  <si>
    <t>IAIN.005114</t>
  </si>
  <si>
    <t>9.01.1.089017</t>
  </si>
  <si>
    <t>005115</t>
  </si>
  <si>
    <t>IAIN.005115</t>
  </si>
  <si>
    <t>9.01.1.090017</t>
  </si>
  <si>
    <t>005116</t>
  </si>
  <si>
    <t>IAIN.005116</t>
  </si>
  <si>
    <t>Lumajang</t>
  </si>
  <si>
    <t>9.01.1.091017</t>
  </si>
  <si>
    <t>005117</t>
  </si>
  <si>
    <t>IAIN.005117</t>
  </si>
  <si>
    <t>Pamekasan</t>
  </si>
  <si>
    <t>9.01.1.092017</t>
  </si>
  <si>
    <t>005118</t>
  </si>
  <si>
    <t>IAIN.005118</t>
  </si>
  <si>
    <t>9.01.1.093017</t>
  </si>
  <si>
    <t>005119</t>
  </si>
  <si>
    <t>IAIN.005119</t>
  </si>
  <si>
    <t>9.01.1.094017</t>
  </si>
  <si>
    <t>005120</t>
  </si>
  <si>
    <t>IAIN.005120</t>
  </si>
  <si>
    <t>9.01.1.095017</t>
  </si>
  <si>
    <t>005121</t>
  </si>
  <si>
    <t>IAIN.005121</t>
  </si>
  <si>
    <t>9.01.1.096017</t>
  </si>
  <si>
    <t>005122</t>
  </si>
  <si>
    <t>IAIN.005122</t>
  </si>
  <si>
    <t>9.01.1.097017</t>
  </si>
  <si>
    <t>005123</t>
  </si>
  <si>
    <t>IAIN.005123</t>
  </si>
  <si>
    <t>9.01.1.098017</t>
  </si>
  <si>
    <t>005124</t>
  </si>
  <si>
    <t>IAIN.005124</t>
  </si>
  <si>
    <t>9.01.1.099017</t>
  </si>
  <si>
    <t>005125</t>
  </si>
  <si>
    <t>IAIN.005125</t>
  </si>
  <si>
    <t>9.02.1.015017</t>
  </si>
  <si>
    <t>005126</t>
  </si>
  <si>
    <t>IAIN.005126</t>
  </si>
  <si>
    <t>Situbondo</t>
  </si>
  <si>
    <t>MAGISTER HUKUM (M.H.)</t>
  </si>
  <si>
    <t>9.02.1.016017</t>
  </si>
  <si>
    <t>005127</t>
  </si>
  <si>
    <t>IAIN.005127</t>
  </si>
  <si>
    <t>9.02.1.017017</t>
  </si>
  <si>
    <t>005128</t>
  </si>
  <si>
    <t>IAIN.005128</t>
  </si>
  <si>
    <t>9.02.1.018017</t>
  </si>
  <si>
    <t>005129</t>
  </si>
  <si>
    <t>IAIN.005129</t>
  </si>
  <si>
    <t>9.02.1.019017</t>
  </si>
  <si>
    <t>005130</t>
  </si>
  <si>
    <t>IAIN.005130</t>
  </si>
  <si>
    <t>9.02.1.020017</t>
  </si>
  <si>
    <t>005131</t>
  </si>
  <si>
    <t>IAIN.005131</t>
  </si>
  <si>
    <t>9.02.2.016017</t>
  </si>
  <si>
    <t>005132</t>
  </si>
  <si>
    <t>IAIN.005132</t>
  </si>
  <si>
    <t>Banyuwangi</t>
  </si>
  <si>
    <t>MAGISTER EKONOMI (M.E.)</t>
  </si>
  <si>
    <t>9.02.2.017017</t>
  </si>
  <si>
    <t>005133</t>
  </si>
  <si>
    <t>IAIN.005133</t>
  </si>
  <si>
    <t>9.02.2.018017</t>
  </si>
  <si>
    <t>005134</t>
  </si>
  <si>
    <t>IAIN.005134</t>
  </si>
  <si>
    <t>Pekalongan</t>
  </si>
  <si>
    <t>9.02.2.019017</t>
  </si>
  <si>
    <t>005135</t>
  </si>
  <si>
    <t>IAIN.005135</t>
  </si>
  <si>
    <t>9.02.2.020017</t>
  </si>
  <si>
    <t>005136</t>
  </si>
  <si>
    <t>IAIN.005136</t>
  </si>
  <si>
    <t>9.02.2.021017</t>
  </si>
  <si>
    <t>005137</t>
  </si>
  <si>
    <t>IAIN.005137</t>
  </si>
  <si>
    <t>9.02.2.022017</t>
  </si>
  <si>
    <t>005138</t>
  </si>
  <si>
    <t>IAIN.005138</t>
  </si>
  <si>
    <t>9.02.2.023017</t>
  </si>
  <si>
    <t>005139</t>
  </si>
  <si>
    <t>IAIN.005139</t>
  </si>
  <si>
    <t>9.02.2.024017</t>
  </si>
  <si>
    <t>005140</t>
  </si>
  <si>
    <t>IAIN.005140</t>
  </si>
  <si>
    <t>Waenetat</t>
  </si>
  <si>
    <t>9.02.2.025017</t>
  </si>
  <si>
    <t>005141</t>
  </si>
  <si>
    <t>IAIN.005141</t>
  </si>
  <si>
    <t>9.01.2.004017</t>
  </si>
  <si>
    <t>005142</t>
  </si>
  <si>
    <t>IAIN.005142</t>
  </si>
  <si>
    <t>9.01.2.005017</t>
  </si>
  <si>
    <t>005143</t>
  </si>
  <si>
    <t>IAIN.005143</t>
  </si>
  <si>
    <t>9.01.2.006017</t>
  </si>
  <si>
    <t>005144</t>
  </si>
  <si>
    <t>IAIN.005144</t>
  </si>
  <si>
    <t>9.01.1.100017</t>
  </si>
  <si>
    <t>005783</t>
  </si>
  <si>
    <t>IAIN.005783</t>
  </si>
  <si>
    <t>9.01.1.101017</t>
  </si>
  <si>
    <t>005784</t>
  </si>
  <si>
    <t>IAIN.005784</t>
  </si>
  <si>
    <t>9.01.1.102017</t>
  </si>
  <si>
    <t>005785</t>
  </si>
  <si>
    <t>IAIN.005785</t>
  </si>
  <si>
    <t>9.01.1.103017</t>
  </si>
  <si>
    <t>005786</t>
  </si>
  <si>
    <t>IAIN.005786</t>
  </si>
  <si>
    <t>KUKUH AHMAD PRASETIYO</t>
  </si>
  <si>
    <t>9.01.1.104017</t>
  </si>
  <si>
    <t>005787</t>
  </si>
  <si>
    <t>IAIN.005787</t>
  </si>
  <si>
    <t>9.01.1.105017</t>
  </si>
  <si>
    <t>005788</t>
  </si>
  <si>
    <t>IAIN.005788</t>
  </si>
  <si>
    <t>9.01.1.106017</t>
  </si>
  <si>
    <t>005789</t>
  </si>
  <si>
    <t>IAIN.005789</t>
  </si>
  <si>
    <t>9.01.1.107017</t>
  </si>
  <si>
    <t>005790</t>
  </si>
  <si>
    <t>IAIN.005790</t>
  </si>
  <si>
    <t>Sumenep</t>
  </si>
  <si>
    <t>9.01.1.108017</t>
  </si>
  <si>
    <t>005791</t>
  </si>
  <si>
    <t>IAIN.005791</t>
  </si>
  <si>
    <t>9.01.1.109017</t>
  </si>
  <si>
    <t>005792</t>
  </si>
  <si>
    <t>IAIN.005792</t>
  </si>
  <si>
    <t>9.01.2.007017</t>
  </si>
  <si>
    <t>005793</t>
  </si>
  <si>
    <t>IAIN.005793</t>
  </si>
  <si>
    <t>9.01.2.008017</t>
  </si>
  <si>
    <t>005794</t>
  </si>
  <si>
    <t>IAIN.005794</t>
  </si>
  <si>
    <t>9.01.2.009017</t>
  </si>
  <si>
    <t>005795</t>
  </si>
  <si>
    <t>IAIN.005795</t>
  </si>
  <si>
    <t>9.01.2.010017</t>
  </si>
  <si>
    <t>005796</t>
  </si>
  <si>
    <t>IAIN.005796</t>
  </si>
  <si>
    <t>9.01.2.011017</t>
  </si>
  <si>
    <t>005797</t>
  </si>
  <si>
    <t>IAIN.005797</t>
  </si>
  <si>
    <t>9.01.2.012017</t>
  </si>
  <si>
    <t>005798</t>
  </si>
  <si>
    <t>IAIN.005798</t>
  </si>
  <si>
    <t>9.01.3.001017</t>
  </si>
  <si>
    <t>005799</t>
  </si>
  <si>
    <t>IAIN.005799</t>
  </si>
  <si>
    <t>Demak</t>
  </si>
  <si>
    <t>9.01.3.002017</t>
  </si>
  <si>
    <t>005800</t>
  </si>
  <si>
    <t>IAIN.005800</t>
  </si>
  <si>
    <t>9.01.3.003017</t>
  </si>
  <si>
    <t>005801</t>
  </si>
  <si>
    <t>IAIN.005801</t>
  </si>
  <si>
    <t>9.01.3.004017</t>
  </si>
  <si>
    <t>005802</t>
  </si>
  <si>
    <t>IAIN.005802</t>
  </si>
  <si>
    <t>9.01.3.005017</t>
  </si>
  <si>
    <t>005803</t>
  </si>
  <si>
    <t>IAIN.005803</t>
  </si>
  <si>
    <t>9.01.3.006017</t>
  </si>
  <si>
    <t>005804</t>
  </si>
  <si>
    <t>IAIN.005804</t>
  </si>
  <si>
    <t>SYAIFUDIN ZUHRI</t>
  </si>
  <si>
    <t>9.01.4.001017</t>
  </si>
  <si>
    <t>005805</t>
  </si>
  <si>
    <t>IAIN.005805</t>
  </si>
  <si>
    <t>9.02.1.021017</t>
  </si>
  <si>
    <t>005806</t>
  </si>
  <si>
    <t>IAIN.005806</t>
  </si>
  <si>
    <t>9.02.1.022017</t>
  </si>
  <si>
    <t>005807</t>
  </si>
  <si>
    <t>IAIN.005807</t>
  </si>
  <si>
    <t>9.02.1.023017</t>
  </si>
  <si>
    <t>005808</t>
  </si>
  <si>
    <t>IAIN.005808</t>
  </si>
  <si>
    <t>Bojonegoro</t>
  </si>
  <si>
    <t>9.02.1.024017</t>
  </si>
  <si>
    <t>005809</t>
  </si>
  <si>
    <t>IAIN.005809</t>
  </si>
  <si>
    <t>MOHAMAD HOIRUL ANAM</t>
  </si>
  <si>
    <t>9.02.1.025017</t>
  </si>
  <si>
    <t>005810</t>
  </si>
  <si>
    <t>IAIN.005810</t>
  </si>
  <si>
    <t>9.02.2.026017</t>
  </si>
  <si>
    <t>005811</t>
  </si>
  <si>
    <t>IAIN.005811</t>
  </si>
  <si>
    <t>9.02.2.027017</t>
  </si>
  <si>
    <t>005812</t>
  </si>
  <si>
    <t>IAIN.005812</t>
  </si>
  <si>
    <t>Pasuruan</t>
  </si>
  <si>
    <t>9.02.2.028017</t>
  </si>
  <si>
    <t>005813</t>
  </si>
  <si>
    <t>IAIN.005813</t>
  </si>
  <si>
    <t>9.02.2.029017</t>
  </si>
  <si>
    <t>005814</t>
  </si>
  <si>
    <t>IAIN.005814</t>
  </si>
  <si>
    <t>9.02.2.030017</t>
  </si>
  <si>
    <t>005815</t>
  </si>
  <si>
    <t>IAIN.005815</t>
  </si>
  <si>
    <t>YUSUF</t>
  </si>
  <si>
    <t>9.01.1.110018</t>
  </si>
  <si>
    <t>006105</t>
  </si>
  <si>
    <t>IAIN.006105</t>
  </si>
  <si>
    <t>EKO MULYADI</t>
  </si>
  <si>
    <t>9.01.1.111018</t>
  </si>
  <si>
    <t>006106</t>
  </si>
  <si>
    <t>IAIN.006106</t>
  </si>
  <si>
    <t>9.01.1.112018</t>
  </si>
  <si>
    <t>006107</t>
  </si>
  <si>
    <t>IAIN.006107</t>
  </si>
  <si>
    <t>ZAMILUL MAS'AD</t>
  </si>
  <si>
    <t>9.01.1.113018</t>
  </si>
  <si>
    <t>006108</t>
  </si>
  <si>
    <t>IAIN.006108</t>
  </si>
  <si>
    <t>EKO SUKMAWANTO</t>
  </si>
  <si>
    <t>9.01.1.114018</t>
  </si>
  <si>
    <t>006109</t>
  </si>
  <si>
    <t>IAIN.006109</t>
  </si>
  <si>
    <t>Pontianak</t>
  </si>
  <si>
    <t>MUKHAMAD ARIS HABIBI</t>
  </si>
  <si>
    <t>9.01.1.115018</t>
  </si>
  <si>
    <t>006110</t>
  </si>
  <si>
    <t>IAIN.006110</t>
  </si>
  <si>
    <t>9.01.1.116018</t>
  </si>
  <si>
    <t>006111</t>
  </si>
  <si>
    <t>IAIN.006111</t>
  </si>
  <si>
    <t>9.01.1.117018</t>
  </si>
  <si>
    <t>006112</t>
  </si>
  <si>
    <t>IAIN.006112</t>
  </si>
  <si>
    <t>IMRO'ATUS SHOLIHAH</t>
  </si>
  <si>
    <t>9.01.1.118018</t>
  </si>
  <si>
    <t>006113</t>
  </si>
  <si>
    <t>IAIN.006113</t>
  </si>
  <si>
    <t>9.01.3.007018</t>
  </si>
  <si>
    <t>006131</t>
  </si>
  <si>
    <t>IAIN.006131</t>
  </si>
  <si>
    <t>NUR WAHIDAH</t>
  </si>
  <si>
    <t>9.01.3.008018</t>
  </si>
  <si>
    <t>006115</t>
  </si>
  <si>
    <t>IAIN.006115</t>
  </si>
  <si>
    <t>Wonoagung</t>
  </si>
  <si>
    <t>9.01.3.009018</t>
  </si>
  <si>
    <t>006116</t>
  </si>
  <si>
    <t>IAIN.006116</t>
  </si>
  <si>
    <t>SAFI'I</t>
  </si>
  <si>
    <t>9.01.3.010018</t>
  </si>
  <si>
    <t>006117</t>
  </si>
  <si>
    <t>IAIN.006117</t>
  </si>
  <si>
    <t>ARIF WICAKSONO</t>
  </si>
  <si>
    <t>9.01.3.011018</t>
  </si>
  <si>
    <t>006118</t>
  </si>
  <si>
    <t>IAIN.006118</t>
  </si>
  <si>
    <t>MOHAMMAD FATONI</t>
  </si>
  <si>
    <t>9.01.3.012018</t>
  </si>
  <si>
    <t>006119</t>
  </si>
  <si>
    <t>IAIN.006119</t>
  </si>
  <si>
    <t>M. FIKA AFTON</t>
  </si>
  <si>
    <t>9.01.3.013018</t>
  </si>
  <si>
    <t>006132</t>
  </si>
  <si>
    <t>IAIN.006132</t>
  </si>
  <si>
    <t>9.01.3.014018</t>
  </si>
  <si>
    <t>006121</t>
  </si>
  <si>
    <t>IAIN.006121</t>
  </si>
  <si>
    <t>9.01.3.015018</t>
  </si>
  <si>
    <t>006122</t>
  </si>
  <si>
    <t>IAIN.006122</t>
  </si>
  <si>
    <t>FAJAR ABDILLAH</t>
  </si>
  <si>
    <t>9.01.4.002018</t>
  </si>
  <si>
    <t>006123</t>
  </si>
  <si>
    <t>IAIN.006123</t>
  </si>
  <si>
    <t>ANDIKA RONGGO GUMURUH</t>
  </si>
  <si>
    <t>9.02.1.026018</t>
  </si>
  <si>
    <t>006133</t>
  </si>
  <si>
    <t>IAIN.006133</t>
  </si>
  <si>
    <t>Malang</t>
  </si>
  <si>
    <t>UMAR FARUQ</t>
  </si>
  <si>
    <t>9.02.1.027018</t>
  </si>
  <si>
    <t>006134</t>
  </si>
  <si>
    <t>IAIN.006134</t>
  </si>
  <si>
    <t>AHMAD ZUBADUL AFIQ</t>
  </si>
  <si>
    <t>9.02.1.028018</t>
  </si>
  <si>
    <t>006135</t>
  </si>
  <si>
    <t>IAIN.006135</t>
  </si>
  <si>
    <t>AZY ATHO'ILLAH YAZID</t>
  </si>
  <si>
    <t>9.02.2.031018</t>
  </si>
  <si>
    <t>006127</t>
  </si>
  <si>
    <t>IAIN.006127</t>
  </si>
  <si>
    <t>ABDUL MUN'IM</t>
  </si>
  <si>
    <t>9.02.2.032018</t>
  </si>
  <si>
    <t>006128</t>
  </si>
  <si>
    <t>IAIN.006128</t>
  </si>
  <si>
    <t>9.02.2.033018</t>
  </si>
  <si>
    <t>006129</t>
  </si>
  <si>
    <t>IAIN.006129</t>
  </si>
  <si>
    <t>AGUNG OBIANTO</t>
  </si>
  <si>
    <t>9.03.1.001018</t>
  </si>
  <si>
    <t>006130</t>
  </si>
  <si>
    <t>IAIN.006130</t>
  </si>
  <si>
    <t>Gresik</t>
  </si>
  <si>
    <t>MAGISTER SOSIAL (M.Sos.)</t>
  </si>
  <si>
    <t>9.01.1.119018</t>
  </si>
  <si>
    <t>006470</t>
  </si>
  <si>
    <t>IAIN.006470</t>
  </si>
  <si>
    <t>9.01.1.120018</t>
  </si>
  <si>
    <t>006488</t>
  </si>
  <si>
    <t>IAIN.006488</t>
  </si>
  <si>
    <t>HUSNUL FADILATUS SYARAFAH</t>
  </si>
  <si>
    <t>9.01.2.013018</t>
  </si>
  <si>
    <t>006472</t>
  </si>
  <si>
    <t>IAIN.006472</t>
  </si>
  <si>
    <t>NOR HOLIS BIN NAFSAH</t>
  </si>
  <si>
    <t>9.01.2.014018</t>
  </si>
  <si>
    <t>006473</t>
  </si>
  <si>
    <t>IAIN.006473</t>
  </si>
  <si>
    <t>9.01.2.015018</t>
  </si>
  <si>
    <t>006474</t>
  </si>
  <si>
    <t>IAIN.006474</t>
  </si>
  <si>
    <t>9.01.3.016018</t>
  </si>
  <si>
    <t>006475</t>
  </si>
  <si>
    <t>IAIN.006475</t>
  </si>
  <si>
    <t>Probolinggo</t>
  </si>
  <si>
    <t>SITI NUR SA'IDAH</t>
  </si>
  <si>
    <t>9.01.3.017018</t>
  </si>
  <si>
    <t>006476</t>
  </si>
  <si>
    <t>IAIN.006476</t>
  </si>
  <si>
    <t>VIKA NURYULIA IMAMI</t>
  </si>
  <si>
    <t>9.01.3.018018</t>
  </si>
  <si>
    <t>006477</t>
  </si>
  <si>
    <t>IAIN.006477</t>
  </si>
  <si>
    <t>9.01.3.019018</t>
  </si>
  <si>
    <t>006478</t>
  </si>
  <si>
    <t>IAIN.006478</t>
  </si>
  <si>
    <t>9.02.1.029018</t>
  </si>
  <si>
    <t>006479</t>
  </si>
  <si>
    <t>IAIN.006479</t>
  </si>
  <si>
    <t>MINHAJUL ABIDAH</t>
  </si>
  <si>
    <t>9.02.1.030018</t>
  </si>
  <si>
    <t>006480</t>
  </si>
  <si>
    <t>IAIN.006480</t>
  </si>
  <si>
    <t>ACHMAD FAWAID</t>
  </si>
  <si>
    <t>9.02.2.034018</t>
  </si>
  <si>
    <t>006481</t>
  </si>
  <si>
    <t>IAIN.006481</t>
  </si>
  <si>
    <t>9.02.2.035018</t>
  </si>
  <si>
    <t>006482</t>
  </si>
  <si>
    <t>IAIN.006482</t>
  </si>
  <si>
    <t>RUSMINI</t>
  </si>
  <si>
    <t>9.02.2.036018</t>
  </si>
  <si>
    <t>006483</t>
  </si>
  <si>
    <t>IAIN.006483</t>
  </si>
  <si>
    <t>9.02.2.037018</t>
  </si>
  <si>
    <t>006484</t>
  </si>
  <si>
    <t>IAIN.006484</t>
  </si>
  <si>
    <t>SUKARDI</t>
  </si>
  <si>
    <t>9.02.2.038018</t>
  </si>
  <si>
    <t>006487</t>
  </si>
  <si>
    <t>IAIN.006487</t>
  </si>
  <si>
    <t>Magetan</t>
  </si>
  <si>
    <t>9.01.1.121018</t>
  </si>
  <si>
    <t>006965</t>
  </si>
  <si>
    <t>IAIN.006965</t>
  </si>
  <si>
    <t>9.01.1.122018</t>
  </si>
  <si>
    <t>006966</t>
  </si>
  <si>
    <t>IAIN.006966</t>
  </si>
  <si>
    <t>9.01.1.123018</t>
  </si>
  <si>
    <t>006967</t>
  </si>
  <si>
    <t>IAIN.006967</t>
  </si>
  <si>
    <t>SAPTONO</t>
  </si>
  <si>
    <t>9.01.1.124018</t>
  </si>
  <si>
    <t>006968</t>
  </si>
  <si>
    <t>IAIN.006968</t>
  </si>
  <si>
    <t>YONANSARI FITROTININGRUM MUYASAROH</t>
  </si>
  <si>
    <t>9.01.1.125018</t>
  </si>
  <si>
    <t>006969</t>
  </si>
  <si>
    <t>IAIN.006969</t>
  </si>
  <si>
    <t>9.01.1.126018</t>
  </si>
  <si>
    <t>006970</t>
  </si>
  <si>
    <t>IAIN.006970</t>
  </si>
  <si>
    <t>9.01.1.127018</t>
  </si>
  <si>
    <t>006971</t>
  </si>
  <si>
    <t>IAIN.006971</t>
  </si>
  <si>
    <t>9.01.1.128018</t>
  </si>
  <si>
    <t>006995</t>
  </si>
  <si>
    <t>IAIN.006995</t>
  </si>
  <si>
    <t>Surabaya, Indonesia</t>
  </si>
  <si>
    <t>HANIP</t>
  </si>
  <si>
    <t>9.01.1.129018</t>
  </si>
  <si>
    <t>006973</t>
  </si>
  <si>
    <t>IAIN.006973</t>
  </si>
  <si>
    <t>ZAINUR RAHMAN</t>
  </si>
  <si>
    <t>9.01.1.130018</t>
  </si>
  <si>
    <t>006974</t>
  </si>
  <si>
    <t>IAIN.006974</t>
  </si>
  <si>
    <t>MUHAMMAD IZZA FAWAID DARDIRI</t>
  </si>
  <si>
    <t>9.01.1.131018</t>
  </si>
  <si>
    <t>006975</t>
  </si>
  <si>
    <t>IAIN.006975</t>
  </si>
  <si>
    <t>ATIQOH</t>
  </si>
  <si>
    <t>9.01.1.132018</t>
  </si>
  <si>
    <t>006976</t>
  </si>
  <si>
    <t>IAIN.006976</t>
  </si>
  <si>
    <t>ROBITH FAHMI</t>
  </si>
  <si>
    <t>9.01.1.133018</t>
  </si>
  <si>
    <t>006977</t>
  </si>
  <si>
    <t>IAIN.006977</t>
  </si>
  <si>
    <t>9.01.1.134018</t>
  </si>
  <si>
    <t>006978</t>
  </si>
  <si>
    <t>IAIN.006978</t>
  </si>
  <si>
    <t>9.01.2.016018</t>
  </si>
  <si>
    <t>006979</t>
  </si>
  <si>
    <t>IAIN.006979</t>
  </si>
  <si>
    <t>MUHAMMAD SHAHIBUSY SYAFAAT</t>
  </si>
  <si>
    <t>9.01.2.017018</t>
  </si>
  <si>
    <t>006980</t>
  </si>
  <si>
    <t>IAIN.006980</t>
  </si>
  <si>
    <t>9.01.2.018018</t>
  </si>
  <si>
    <t>006981</t>
  </si>
  <si>
    <t>IAIN.006981</t>
  </si>
  <si>
    <t>MUHAMMAD ROISUL IKHWAN</t>
  </si>
  <si>
    <t>9.01.2.019018</t>
  </si>
  <si>
    <t>006982</t>
  </si>
  <si>
    <t>IAIN.006982</t>
  </si>
  <si>
    <t>AINUR ROFIQ SOFA</t>
  </si>
  <si>
    <t>9.01.2.020018</t>
  </si>
  <si>
    <t>006983</t>
  </si>
  <si>
    <t>IAIN.006983</t>
  </si>
  <si>
    <t>9.01.2.021018</t>
  </si>
  <si>
    <t>006984</t>
  </si>
  <si>
    <t>IAIN.006984</t>
  </si>
  <si>
    <t>9.01.2.022018</t>
  </si>
  <si>
    <t>006985</t>
  </si>
  <si>
    <t>IAIN.006985</t>
  </si>
  <si>
    <t>LUTVATUL VAICKO</t>
  </si>
  <si>
    <t>9.01.2.023018</t>
  </si>
  <si>
    <t>006986</t>
  </si>
  <si>
    <t>IAIN.006986</t>
  </si>
  <si>
    <t>Marga Baru</t>
  </si>
  <si>
    <t>ARMIE SETIA GANI</t>
  </si>
  <si>
    <t>9.01.2.024018</t>
  </si>
  <si>
    <t>006987</t>
  </si>
  <si>
    <t>IAIN.006987</t>
  </si>
  <si>
    <t>9.01.2.025018</t>
  </si>
  <si>
    <t>006988</t>
  </si>
  <si>
    <t>IAIN.006988</t>
  </si>
  <si>
    <t>Sampang</t>
  </si>
  <si>
    <t>9.01.3.020018</t>
  </si>
  <si>
    <t>006989</t>
  </si>
  <si>
    <t>IAIN.006989</t>
  </si>
  <si>
    <t>9.01.3.021018</t>
  </si>
  <si>
    <t>006990</t>
  </si>
  <si>
    <t>IAIN.006990</t>
  </si>
  <si>
    <t>SITI ZULFA AGUSTIN</t>
  </si>
  <si>
    <t>9.01.3.022018</t>
  </si>
  <si>
    <t>006991</t>
  </si>
  <si>
    <t>IAIN.006991</t>
  </si>
  <si>
    <t>Payolebar</t>
  </si>
  <si>
    <t>9.01.3.023018</t>
  </si>
  <si>
    <t>006992</t>
  </si>
  <si>
    <t>IAIN.006992</t>
  </si>
  <si>
    <t>Tuban</t>
  </si>
  <si>
    <t>9.01.3.024018</t>
  </si>
  <si>
    <t>006993</t>
  </si>
  <si>
    <t>IAIN.006993</t>
  </si>
  <si>
    <t>9.01.3.025018</t>
  </si>
  <si>
    <t>006994</t>
  </si>
  <si>
    <t>IAIN.006994</t>
  </si>
  <si>
    <t>9.01.3.026018</t>
  </si>
  <si>
    <t>007016</t>
  </si>
  <si>
    <t>IAIN.007016</t>
  </si>
  <si>
    <t>9.01.3.027018</t>
  </si>
  <si>
    <t>006996</t>
  </si>
  <si>
    <t>IAIN.006996</t>
  </si>
  <si>
    <t>SITI MARDIYYANI</t>
  </si>
  <si>
    <t>9.01.3.028018</t>
  </si>
  <si>
    <t>006997</t>
  </si>
  <si>
    <t>IAIN.006997</t>
  </si>
  <si>
    <t>ELTAFIYANAL HAQQO</t>
  </si>
  <si>
    <t>9.01.3.029018</t>
  </si>
  <si>
    <t>006998</t>
  </si>
  <si>
    <t>IAIN.006998</t>
  </si>
  <si>
    <t>9.01.4.004018</t>
  </si>
  <si>
    <t>006999</t>
  </si>
  <si>
    <t>IAIN.006999</t>
  </si>
  <si>
    <t>Singaraja</t>
  </si>
  <si>
    <t>9.01.4.005018</t>
  </si>
  <si>
    <t>007000</t>
  </si>
  <si>
    <t>IAIN.007000</t>
  </si>
  <si>
    <t>MOHAMAD MAULIDIN ALIF UTAMA</t>
  </si>
  <si>
    <t>9.01.4.006018</t>
  </si>
  <si>
    <t>007001</t>
  </si>
  <si>
    <t>IAIN.007001</t>
  </si>
  <si>
    <t>9.01.4.007018</t>
  </si>
  <si>
    <t>007002</t>
  </si>
  <si>
    <t>IAIN.007002</t>
  </si>
  <si>
    <t>9.02.1.031018</t>
  </si>
  <si>
    <t>007003</t>
  </si>
  <si>
    <t>IAIN.007003</t>
  </si>
  <si>
    <t>9.02.1.032018</t>
  </si>
  <si>
    <t>007004</t>
  </si>
  <si>
    <t>IAIN.007004</t>
  </si>
  <si>
    <t>MOH NUR FAUZI</t>
  </si>
  <si>
    <t>9.02.1.033018</t>
  </si>
  <si>
    <t>007005</t>
  </si>
  <si>
    <t>IAIN.007005</t>
  </si>
  <si>
    <t>AHMAD ZUHAIRUZ ZAMAN</t>
  </si>
  <si>
    <t>9.02.1.034018</t>
  </si>
  <si>
    <t>007006</t>
  </si>
  <si>
    <t>IAIN.007006</t>
  </si>
  <si>
    <t>MUHAMMAD YASSIR</t>
  </si>
  <si>
    <t>9.02.1.035018</t>
  </si>
  <si>
    <t>007007</t>
  </si>
  <si>
    <t>IAIN.007007</t>
  </si>
  <si>
    <t>Kota Bakti</t>
  </si>
  <si>
    <t>DOVI IWAN MUSTHOFA HABIBILLAH</t>
  </si>
  <si>
    <t>9.02.2.039018</t>
  </si>
  <si>
    <t>007008</t>
  </si>
  <si>
    <t>IAIN.007008</t>
  </si>
  <si>
    <t>MUHAMMAD ICHWANUS SURUR</t>
  </si>
  <si>
    <t>9.02.2.040018</t>
  </si>
  <si>
    <t>007009</t>
  </si>
  <si>
    <t>IAIN.007009</t>
  </si>
  <si>
    <t>9.02.2.041018</t>
  </si>
  <si>
    <t>007010</t>
  </si>
  <si>
    <t>IAIN.007010</t>
  </si>
  <si>
    <t>HOLIL NAWAWI</t>
  </si>
  <si>
    <t>9.02.2.042018</t>
  </si>
  <si>
    <t>007011</t>
  </si>
  <si>
    <t>IAIN.007011</t>
  </si>
  <si>
    <t>9.02.2.043018</t>
  </si>
  <si>
    <t>007012</t>
  </si>
  <si>
    <t>IAIN.007012</t>
  </si>
  <si>
    <t>9.02.2.044018</t>
  </si>
  <si>
    <t>007013</t>
  </si>
  <si>
    <t>IAIN.007013</t>
  </si>
  <si>
    <t>9.01.1.135019</t>
  </si>
  <si>
    <t>007378</t>
  </si>
  <si>
    <t>IAIN.007378</t>
  </si>
  <si>
    <t>Kendari</t>
  </si>
  <si>
    <t>9.01.1.136019</t>
  </si>
  <si>
    <t>007380</t>
  </si>
  <si>
    <t>IAIN.007380</t>
  </si>
  <si>
    <t>KHADIQ KHARISMA</t>
  </si>
  <si>
    <t>9.01.1.137019</t>
  </si>
  <si>
    <t>007381</t>
  </si>
  <si>
    <t>IAIN.007381</t>
  </si>
  <si>
    <t>AS'AD DAROINI</t>
  </si>
  <si>
    <t>9.01.1.138019</t>
  </si>
  <si>
    <t>007382</t>
  </si>
  <si>
    <t>IAIN.007382</t>
  </si>
  <si>
    <t>Nganjuk</t>
  </si>
  <si>
    <t>9.01.1.139019</t>
  </si>
  <si>
    <t>007383</t>
  </si>
  <si>
    <t>IAIN.007383</t>
  </si>
  <si>
    <t>9.01.1.140019</t>
  </si>
  <si>
    <t>007384</t>
  </si>
  <si>
    <t>IAIN.007384</t>
  </si>
  <si>
    <t>Karya Usaha</t>
  </si>
  <si>
    <t>9.01.1.141019</t>
  </si>
  <si>
    <t>007385</t>
  </si>
  <si>
    <t>IAIN.007385</t>
  </si>
  <si>
    <t>9.01.1.142019</t>
  </si>
  <si>
    <t>007386</t>
  </si>
  <si>
    <t>IAIN.007386</t>
  </si>
  <si>
    <t>9.01.1.143019</t>
  </si>
  <si>
    <t>007387</t>
  </si>
  <si>
    <t>IAIN.007387</t>
  </si>
  <si>
    <t>25 Pebruari 1990</t>
  </si>
  <si>
    <t>9.01.1.144019</t>
  </si>
  <si>
    <t>007388</t>
  </si>
  <si>
    <t>IAIN.007388</t>
  </si>
  <si>
    <t>9.01.1.145019</t>
  </si>
  <si>
    <t>007389</t>
  </si>
  <si>
    <t>IAIN.007389</t>
  </si>
  <si>
    <t>9.01.1.146019</t>
  </si>
  <si>
    <t>007390</t>
  </si>
  <si>
    <t>IAIN.007390</t>
  </si>
  <si>
    <t>Pasir Sakti</t>
  </si>
  <si>
    <t>MUH. KANZUL FIKRI</t>
  </si>
  <si>
    <t>9.01.1.147019</t>
  </si>
  <si>
    <t>007391</t>
  </si>
  <si>
    <t>IAIN.007391</t>
  </si>
  <si>
    <t xml:space="preserve">Jember </t>
  </si>
  <si>
    <t>HELMI A. KHALILI</t>
  </si>
  <si>
    <t>9.01.1.148019</t>
  </si>
  <si>
    <t>007392</t>
  </si>
  <si>
    <t>IAIN.007392</t>
  </si>
  <si>
    <t>9.01.2.026019</t>
  </si>
  <si>
    <t>007393</t>
  </si>
  <si>
    <t>IAIN.007393</t>
  </si>
  <si>
    <t>9.01.2.027019</t>
  </si>
  <si>
    <t>007394</t>
  </si>
  <si>
    <t>IAIN.007394</t>
  </si>
  <si>
    <t>9.01.2.028019</t>
  </si>
  <si>
    <t>007395</t>
  </si>
  <si>
    <t>IAIN.007395</t>
  </si>
  <si>
    <t>ANISATUN NI'MAH MAR'ATUS SHOLIHAH</t>
  </si>
  <si>
    <t>9.01.3.030019</t>
  </si>
  <si>
    <t>007396</t>
  </si>
  <si>
    <t>IAIN.007396</t>
  </si>
  <si>
    <t>9.01.3.031019</t>
  </si>
  <si>
    <t>007397</t>
  </si>
  <si>
    <t>IAIN.007397</t>
  </si>
  <si>
    <t>9.01.3.032019</t>
  </si>
  <si>
    <t>007398</t>
  </si>
  <si>
    <t>IAIN.007398</t>
  </si>
  <si>
    <t>9.01.3.033019</t>
  </si>
  <si>
    <t>007399</t>
  </si>
  <si>
    <t>IAIN.007399</t>
  </si>
  <si>
    <t>9.01.3.034019</t>
  </si>
  <si>
    <t>007400</t>
  </si>
  <si>
    <t>IAIN.007400</t>
  </si>
  <si>
    <t>9.01.3.035019</t>
  </si>
  <si>
    <t>007401</t>
  </si>
  <si>
    <t>IAIN.007401</t>
  </si>
  <si>
    <t>9.01.3.036019</t>
  </si>
  <si>
    <t>007402</t>
  </si>
  <si>
    <t>IAIN.007402</t>
  </si>
  <si>
    <t>9.01.4.008019</t>
  </si>
  <si>
    <t>007403</t>
  </si>
  <si>
    <t>IAIN.007403</t>
  </si>
  <si>
    <t>9.01.4.009019</t>
  </si>
  <si>
    <t>007404</t>
  </si>
  <si>
    <t>IAIN.007404</t>
  </si>
  <si>
    <t>9.02.2.045019</t>
  </si>
  <si>
    <t>007405</t>
  </si>
  <si>
    <t>IAIN.007405</t>
  </si>
  <si>
    <t>MUHAMMAD HAMDI</t>
  </si>
  <si>
    <t>9.02.2.046019</t>
  </si>
  <si>
    <t>007406</t>
  </si>
  <si>
    <t>IAIN.007406</t>
  </si>
  <si>
    <t>MU'AWANAH</t>
  </si>
  <si>
    <t>9.02.2.047019</t>
  </si>
  <si>
    <t>007407</t>
  </si>
  <si>
    <t>IAIN.007407</t>
  </si>
  <si>
    <t>9.03.1.002019</t>
  </si>
  <si>
    <t>007408</t>
  </si>
  <si>
    <t>IAIN.007408</t>
  </si>
  <si>
    <t>Hindawiyah</t>
  </si>
  <si>
    <t>MPI (S3)</t>
  </si>
  <si>
    <t>9.11.1.001019</t>
  </si>
  <si>
    <t>007409</t>
  </si>
  <si>
    <t>IAIN.007409</t>
  </si>
  <si>
    <t>DOKTOR (Dr.)</t>
  </si>
  <si>
    <t>ALIWAFA</t>
  </si>
  <si>
    <t>9.11.1.002019</t>
  </si>
  <si>
    <t>007410</t>
  </si>
  <si>
    <t>IAIN.007410</t>
  </si>
  <si>
    <t>9.11.1.003019</t>
  </si>
  <si>
    <t>007411</t>
  </si>
  <si>
    <t>IAIN.007411</t>
  </si>
  <si>
    <t>Negara</t>
  </si>
  <si>
    <t>9.01.1.149019</t>
  </si>
  <si>
    <t>007805</t>
  </si>
  <si>
    <t>IAIN.007805</t>
  </si>
  <si>
    <t>9.01.1.150019</t>
  </si>
  <si>
    <t>007779</t>
  </si>
  <si>
    <t>IAIN.007779</t>
  </si>
  <si>
    <t>Nilo Dingin</t>
  </si>
  <si>
    <t>MundzaR RAHMAN</t>
  </si>
  <si>
    <t>9.01.1.151019</t>
  </si>
  <si>
    <t>007780</t>
  </si>
  <si>
    <t>IAIN.007780</t>
  </si>
  <si>
    <t>9.01.1.152019</t>
  </si>
  <si>
    <t>007781</t>
  </si>
  <si>
    <t>IAIN.007781</t>
  </si>
  <si>
    <t>9.01.1.153019</t>
  </si>
  <si>
    <t>007782</t>
  </si>
  <si>
    <t>IAIN.007782</t>
  </si>
  <si>
    <t>9.01.1.154019</t>
  </si>
  <si>
    <t>007783</t>
  </si>
  <si>
    <t>IAIN.007783</t>
  </si>
  <si>
    <t>9.01.1.155019</t>
  </si>
  <si>
    <t>007784</t>
  </si>
  <si>
    <t>IAIN.007784</t>
  </si>
  <si>
    <t>MOCH. KHOIRUL ANWAR</t>
  </si>
  <si>
    <t>9.01.2.029019</t>
  </si>
  <si>
    <t>007785</t>
  </si>
  <si>
    <t>IAIN.007785</t>
  </si>
  <si>
    <t>MUHAMMAD HABIBI HAMZAH</t>
  </si>
  <si>
    <t>9.01.2.030019</t>
  </si>
  <si>
    <t>007786</t>
  </si>
  <si>
    <t>IAIN.007786</t>
  </si>
  <si>
    <t>IRFA UMAROH ISLAMIAH</t>
  </si>
  <si>
    <t>9.01.3.037019</t>
  </si>
  <si>
    <t>007787</t>
  </si>
  <si>
    <t>IAIN.007787</t>
  </si>
  <si>
    <t>9.01.3.038019</t>
  </si>
  <si>
    <t>007788</t>
  </si>
  <si>
    <t>IAIN.007788</t>
  </si>
  <si>
    <t>9.01.3.039019</t>
  </si>
  <si>
    <t>007789</t>
  </si>
  <si>
    <t>IAIN.007789</t>
  </si>
  <si>
    <t>9.01.3.040019</t>
  </si>
  <si>
    <t>007790</t>
  </si>
  <si>
    <t>IAIN.007790</t>
  </si>
  <si>
    <t>9.01.4.010019</t>
  </si>
  <si>
    <t>007791</t>
  </si>
  <si>
    <t>IAIN.007791</t>
  </si>
  <si>
    <t>RACHMAD BAITULLAH</t>
  </si>
  <si>
    <t>9.01.4.011019</t>
  </si>
  <si>
    <t>007792</t>
  </si>
  <si>
    <t>IAIN.007792</t>
  </si>
  <si>
    <t>9.01.4.012019</t>
  </si>
  <si>
    <t>007793</t>
  </si>
  <si>
    <t>IAIN.007793</t>
  </si>
  <si>
    <t>9.01.4.013019</t>
  </si>
  <si>
    <t>007794</t>
  </si>
  <si>
    <t>IAIN.007794</t>
  </si>
  <si>
    <t>9.02.1.036019</t>
  </si>
  <si>
    <t>007806</t>
  </si>
  <si>
    <t>IAIN.007806</t>
  </si>
  <si>
    <t>Singkawang</t>
  </si>
  <si>
    <t>9.02.1.037019</t>
  </si>
  <si>
    <t>007796</t>
  </si>
  <si>
    <t>IAIN.007796</t>
  </si>
  <si>
    <t>9.02.2.048019</t>
  </si>
  <si>
    <t>007797</t>
  </si>
  <si>
    <t>IAIN.007797</t>
  </si>
  <si>
    <t>9.02.2.049019</t>
  </si>
  <si>
    <t>007798</t>
  </si>
  <si>
    <t>IAIN.007798</t>
  </si>
  <si>
    <t>9.02.2.050019</t>
  </si>
  <si>
    <t>007807</t>
  </si>
  <si>
    <t>IAIN.007807</t>
  </si>
  <si>
    <t>SY. ARIFIN</t>
  </si>
  <si>
    <t>9.03.1.003019</t>
  </si>
  <si>
    <t>007800</t>
  </si>
  <si>
    <t>IAIN.007800</t>
  </si>
  <si>
    <t xml:space="preserve">Ahmad Zuhairuz Zaman </t>
  </si>
  <si>
    <t>9.01.1.156019</t>
  </si>
  <si>
    <t>008170</t>
  </si>
  <si>
    <t>IAIN.008170</t>
  </si>
  <si>
    <t>9.01.1.157019</t>
  </si>
  <si>
    <t>008171</t>
  </si>
  <si>
    <t>IAIN.008171</t>
  </si>
  <si>
    <t>9.01.1.158019</t>
  </si>
  <si>
    <t>008172</t>
  </si>
  <si>
    <t>IAIN.008172</t>
  </si>
  <si>
    <t>AIDA LUTFIAH</t>
  </si>
  <si>
    <t>9.01.1.159019</t>
  </si>
  <si>
    <t>008173</t>
  </si>
  <si>
    <t>IAIN.008173</t>
  </si>
  <si>
    <t>MOH. HAFID</t>
  </si>
  <si>
    <t>9.01.1.160019</t>
  </si>
  <si>
    <t>008174</t>
  </si>
  <si>
    <t>IAIN.008174</t>
  </si>
  <si>
    <t>9.01.2.031019</t>
  </si>
  <si>
    <t>008209</t>
  </si>
  <si>
    <t>IAIN.008209</t>
  </si>
  <si>
    <t>MUH. DIMYATI</t>
  </si>
  <si>
    <t>9.01.2.032019</t>
  </si>
  <si>
    <t>008176</t>
  </si>
  <si>
    <t>IAIN.008176</t>
  </si>
  <si>
    <t>9.01.2.033019</t>
  </si>
  <si>
    <t>008177</t>
  </si>
  <si>
    <t>IAIN.008177</t>
  </si>
  <si>
    <t>9.01.2.034019</t>
  </si>
  <si>
    <t>008178</t>
  </si>
  <si>
    <t>IAIN.008178</t>
  </si>
  <si>
    <t>9.01.2.035019</t>
  </si>
  <si>
    <t>008179</t>
  </si>
  <si>
    <t>IAIN.008179</t>
  </si>
  <si>
    <t>9.01.3.041019</t>
  </si>
  <si>
    <t>008180</t>
  </si>
  <si>
    <t>IAIN.008180</t>
  </si>
  <si>
    <t>9.01.3.042019</t>
  </si>
  <si>
    <t>008181</t>
  </si>
  <si>
    <t>IAIN.008181</t>
  </si>
  <si>
    <t>9.01.3.043019</t>
  </si>
  <si>
    <t>008182</t>
  </si>
  <si>
    <t>IAIN.008182</t>
  </si>
  <si>
    <t>9.01.3.044019</t>
  </si>
  <si>
    <t>008183</t>
  </si>
  <si>
    <t>IAIN.008183</t>
  </si>
  <si>
    <t>9.01.3.045019</t>
  </si>
  <si>
    <t>008184</t>
  </si>
  <si>
    <t>IAIN.008184</t>
  </si>
  <si>
    <t>9.01.3.046019</t>
  </si>
  <si>
    <t>008185</t>
  </si>
  <si>
    <t>IAIN.008185</t>
  </si>
  <si>
    <t>9.01.3.047019</t>
  </si>
  <si>
    <t>008186</t>
  </si>
  <si>
    <t>IAIN.008186</t>
  </si>
  <si>
    <t>M. FAJAR ROCHMAD ILYASSIQIN</t>
  </si>
  <si>
    <t>9.01.3.048019</t>
  </si>
  <si>
    <t>008215</t>
  </si>
  <si>
    <t>IAIN.008215</t>
  </si>
  <si>
    <t>9.01.3.049019</t>
  </si>
  <si>
    <t>008210</t>
  </si>
  <si>
    <t>IAIN.008210</t>
  </si>
  <si>
    <t>9.01.3.050019</t>
  </si>
  <si>
    <t>008211</t>
  </si>
  <si>
    <t>IAIN.008211</t>
  </si>
  <si>
    <t>Depok</t>
  </si>
  <si>
    <t>MADLUBUR RHISKY</t>
  </si>
  <si>
    <t>9.01.3.051019</t>
  </si>
  <si>
    <t>008190</t>
  </si>
  <si>
    <t>IAIN.008190</t>
  </si>
  <si>
    <t>9.01.3.052019</t>
  </si>
  <si>
    <t>008191</t>
  </si>
  <si>
    <t>IAIN.008191</t>
  </si>
  <si>
    <t>Sidoarjo</t>
  </si>
  <si>
    <t>ISTIQOMAH</t>
  </si>
  <si>
    <t>9.01.3.053019</t>
  </si>
  <si>
    <t>008212</t>
  </si>
  <si>
    <t>IAIN.008212</t>
  </si>
  <si>
    <t>9.01.4.014019</t>
  </si>
  <si>
    <t>008193</t>
  </si>
  <si>
    <t>IAIN.008193</t>
  </si>
  <si>
    <t>9.01.4.015019</t>
  </si>
  <si>
    <t>008194</t>
  </si>
  <si>
    <t>IAIN.008194</t>
  </si>
  <si>
    <t>9.01.4.016019</t>
  </si>
  <si>
    <t>008195</t>
  </si>
  <si>
    <t>IAIN.008195</t>
  </si>
  <si>
    <t>SUSI QORY UTAMI</t>
  </si>
  <si>
    <t>9.01.4.017019</t>
  </si>
  <si>
    <t>008196</t>
  </si>
  <si>
    <t>IAIN.008196</t>
  </si>
  <si>
    <t>9.01.4.018019</t>
  </si>
  <si>
    <t>008197</t>
  </si>
  <si>
    <t>IAIN.008197</t>
  </si>
  <si>
    <t>MOH FAIZ KURNIA HADI</t>
  </si>
  <si>
    <t>9.02.1.038019</t>
  </si>
  <si>
    <t>008198</t>
  </si>
  <si>
    <t>IAIN.008198</t>
  </si>
  <si>
    <t>9.02.1.039019</t>
  </si>
  <si>
    <t>008199</t>
  </si>
  <si>
    <t>IAIN.008199</t>
  </si>
  <si>
    <t>Makkah</t>
  </si>
  <si>
    <t>9.02.1.040019</t>
  </si>
  <si>
    <t>008200</t>
  </si>
  <si>
    <t>IAIN.008200</t>
  </si>
  <si>
    <t>9.02.1.041019</t>
  </si>
  <si>
    <t>008201</t>
  </si>
  <si>
    <t>IAIN.008201</t>
  </si>
  <si>
    <t>9.02.1.042019</t>
  </si>
  <si>
    <t>008202</t>
  </si>
  <si>
    <t>IAIN.008202</t>
  </si>
  <si>
    <t>MOH. HANIF LUTFI</t>
  </si>
  <si>
    <t>9.02.1.043019</t>
  </si>
  <si>
    <t>008203</t>
  </si>
  <si>
    <t>IAIN.008203</t>
  </si>
  <si>
    <t>FAHMI RIDLOL UYUN</t>
  </si>
  <si>
    <t>9.02.1.044019</t>
  </si>
  <si>
    <t>008204</t>
  </si>
  <si>
    <t>IAIN.008204</t>
  </si>
  <si>
    <t>9.02.2.051019</t>
  </si>
  <si>
    <t>008205</t>
  </si>
  <si>
    <t>IAIN.008205</t>
  </si>
  <si>
    <t xml:space="preserve">Sumenep </t>
  </si>
  <si>
    <t>9.02.2.052019</t>
  </si>
  <si>
    <t>008206</t>
  </si>
  <si>
    <t>IAIN.008206</t>
  </si>
  <si>
    <t>9.02.2.053019</t>
  </si>
  <si>
    <t>008207</t>
  </si>
  <si>
    <t>IAIN.008207</t>
  </si>
  <si>
    <t xml:space="preserve">Bondowoso </t>
  </si>
  <si>
    <t>9.02.2.054019</t>
  </si>
  <si>
    <t>008208</t>
  </si>
  <si>
    <t>IAIN.008208</t>
  </si>
  <si>
    <t>AHMAD NADIF</t>
  </si>
  <si>
    <t>9.01.1.161019</t>
  </si>
  <si>
    <t>008617</t>
  </si>
  <si>
    <t>IAIN.008617</t>
  </si>
  <si>
    <t>9.01.1.162019</t>
  </si>
  <si>
    <t>008638</t>
  </si>
  <si>
    <t>IAIN.008638</t>
  </si>
  <si>
    <t>9.01.2.036019</t>
  </si>
  <si>
    <t>008619</t>
  </si>
  <si>
    <t>IAIN.008619</t>
  </si>
  <si>
    <t>9.01.3.054019</t>
  </si>
  <si>
    <t>008620</t>
  </si>
  <si>
    <t>IAIN.008620</t>
  </si>
  <si>
    <t>9.01.3.055019</t>
  </si>
  <si>
    <t>008621</t>
  </si>
  <si>
    <t>IAIN.008621</t>
  </si>
  <si>
    <t>9.01.3.056019</t>
  </si>
  <si>
    <t>008622</t>
  </si>
  <si>
    <t>IAIN.008622</t>
  </si>
  <si>
    <t>9.01.3.057019</t>
  </si>
  <si>
    <t>008623</t>
  </si>
  <si>
    <t>IAIN.008623</t>
  </si>
  <si>
    <t>9.01.4.019019</t>
  </si>
  <si>
    <t>008624</t>
  </si>
  <si>
    <t>IAIN.008624</t>
  </si>
  <si>
    <t>MOH. HARI</t>
  </si>
  <si>
    <t>9.02.1.045019</t>
  </si>
  <si>
    <t>008625</t>
  </si>
  <si>
    <t>IAIN.008625</t>
  </si>
  <si>
    <t>9.02.1.046019</t>
  </si>
  <si>
    <t>008626</t>
  </si>
  <si>
    <t>IAIN.008626</t>
  </si>
  <si>
    <t>ERWIN SETYO NUGROHO</t>
  </si>
  <si>
    <t>9.02.1.047019</t>
  </si>
  <si>
    <t>008639</t>
  </si>
  <si>
    <t>IAIN.008639</t>
  </si>
  <si>
    <t>Miftakhul Jannah</t>
  </si>
  <si>
    <t>9.02.2.055019</t>
  </si>
  <si>
    <t>008628</t>
  </si>
  <si>
    <t>IAIN.008628</t>
  </si>
  <si>
    <t>9.03.1.004019</t>
  </si>
  <si>
    <t>008629</t>
  </si>
  <si>
    <t>IAIN.008629</t>
  </si>
  <si>
    <t>ABDI FAUJI HADIONO</t>
  </si>
  <si>
    <t>9.03.1.005019</t>
  </si>
  <si>
    <t>008630</t>
  </si>
  <si>
    <t>IAIN.008630</t>
  </si>
  <si>
    <t>WISRI</t>
  </si>
  <si>
    <t>9.03.1.006019</t>
  </si>
  <si>
    <t>008631</t>
  </si>
  <si>
    <t>IAIN.008631</t>
  </si>
  <si>
    <t>AMINUL `ALIMIN</t>
  </si>
  <si>
    <t>9.03.1.007019</t>
  </si>
  <si>
    <t>008632</t>
  </si>
  <si>
    <t>IAIN.008632</t>
  </si>
  <si>
    <t>NUR HAFIFAH</t>
  </si>
  <si>
    <t>9.03.1.008019</t>
  </si>
  <si>
    <t>008633</t>
  </si>
  <si>
    <t>IAIN.008633</t>
  </si>
  <si>
    <t>YOHANDI</t>
  </si>
  <si>
    <t>9.03.1.009019</t>
  </si>
  <si>
    <t>008634</t>
  </si>
  <si>
    <t>IAIN.008634</t>
  </si>
  <si>
    <t>Kab. Sumenep</t>
  </si>
  <si>
    <t>9.03.1.010019</t>
  </si>
  <si>
    <t>008635</t>
  </si>
  <si>
    <t>IAIN.008635</t>
  </si>
  <si>
    <t>AHMAD HALID</t>
  </si>
  <si>
    <t>nasrodin</t>
  </si>
  <si>
    <t>Ekti oktaviana</t>
  </si>
  <si>
    <t>Riskiah fitra lestari</t>
  </si>
  <si>
    <t>ATIQ KHURUL `AIN</t>
  </si>
  <si>
    <t>NUR SARI AS`ADIYAH</t>
  </si>
  <si>
    <t>MUHAMMAD KANZUL FIKRI</t>
  </si>
  <si>
    <t>NURLATIFAH</t>
  </si>
  <si>
    <t>ni'matul hidayati</t>
  </si>
  <si>
    <t>lailia mufida</t>
  </si>
  <si>
    <t>Lilis Isnaini</t>
  </si>
  <si>
    <t>yuni firdausi nuzula</t>
  </si>
  <si>
    <t>edy supriyono</t>
  </si>
  <si>
    <t>Robby Reza Zulfikri</t>
  </si>
  <si>
    <t>mulajimatul fitria</t>
  </si>
  <si>
    <t>Nasilah</t>
  </si>
  <si>
    <t>Atiyatul Mawaddah</t>
  </si>
  <si>
    <t>Neman agustono</t>
  </si>
  <si>
    <t>Hevi hekayanti</t>
  </si>
  <si>
    <t>Miarti</t>
  </si>
  <si>
    <t>Nurul astitin</t>
  </si>
  <si>
    <t>Slamet Wahyu Dwi Laksono</t>
  </si>
  <si>
    <t>Achmad fauzan</t>
  </si>
  <si>
    <t>ABDUL MU`IS</t>
  </si>
  <si>
    <t>Malihatus syafiyah</t>
  </si>
  <si>
    <t>Muhammad misbah</t>
  </si>
  <si>
    <t>Hikmatul Mazidah</t>
  </si>
  <si>
    <t>Ahyat habibi</t>
  </si>
  <si>
    <t>Abdul Basith</t>
  </si>
  <si>
    <t>MUHAMMAD SIDIQ PURNOMO</t>
  </si>
  <si>
    <t>ABDUL SYAKUR MUSAWIRU</t>
  </si>
  <si>
    <t>RAHMI MT.</t>
  </si>
  <si>
    <t>MOHAMMAD NI'AM MULLOH</t>
  </si>
  <si>
    <t>DEWI KHUMAIROH</t>
  </si>
  <si>
    <t>SAIFUL MU'ARIF</t>
  </si>
  <si>
    <t>HADI AGUS MIFTAHUL ULUM</t>
  </si>
  <si>
    <t>NURUL HIKMAH</t>
  </si>
  <si>
    <t>MUHAMMAD MUSLIH</t>
  </si>
  <si>
    <t>SUMINING</t>
  </si>
  <si>
    <t>MUHAMMAD HUSEN</t>
  </si>
  <si>
    <t>NUR HAKIM</t>
  </si>
  <si>
    <t>AFRILA MU'ARROFAH</t>
  </si>
  <si>
    <t>MUH. KHOIRUDDIN</t>
  </si>
  <si>
    <t>MAHYUDI</t>
  </si>
  <si>
    <t>ADE NURWAHYUDI</t>
  </si>
  <si>
    <t>NOVA SAHA FASADENA</t>
  </si>
  <si>
    <t>IMAM MUSLIH</t>
  </si>
  <si>
    <t>NUR MOH. ANNURROIN</t>
  </si>
  <si>
    <t>ZAINI MIFTAH</t>
  </si>
  <si>
    <t>AKHMAD HUSAINI</t>
  </si>
  <si>
    <t>MUHAMMAD SOLEH</t>
  </si>
  <si>
    <t>SULTHON UMAR</t>
  </si>
  <si>
    <t>SITI NURHOLILAH</t>
  </si>
  <si>
    <t>MUHAMMAD CHORIRI</t>
  </si>
  <si>
    <t>NILA NOER KARISNA</t>
  </si>
  <si>
    <t>ROBITH ABDILLAH AL HADI</t>
  </si>
  <si>
    <t>ENTIN RUSMARTININGSIH</t>
  </si>
  <si>
    <t>FINA INAYAWATI</t>
  </si>
  <si>
    <t>HARISKA</t>
  </si>
  <si>
    <t>MUHAMMAD HILALI</t>
  </si>
  <si>
    <t>NUR IKA OKTAFIATUL JANNAH</t>
  </si>
  <si>
    <t>MUHAMMAD BARIK BAWAFI</t>
  </si>
  <si>
    <t>SITI HAMIDAHTUR ROFI`AH</t>
  </si>
  <si>
    <t>LAILATUL USRIYAH</t>
  </si>
  <si>
    <t>AKHMAD MUADIN</t>
  </si>
  <si>
    <t>ZAENAL FANANI</t>
  </si>
  <si>
    <t>DATA PEMBAYARAN MAHASISWA S-2</t>
  </si>
  <si>
    <t>=OFFSET('Rekap Pembayaran'!$A$1;MATCH($D$10;'Rekap Pembayaran'!$C:$C;)-1;MATCH($D$15;'Rekap Pembayaran'!$3:$3;)+MATCH($D25;'Rekap Pembayaran'!$H$4:$AK$4;)-2)</t>
  </si>
  <si>
    <t>IAIN JEMBER</t>
  </si>
  <si>
    <t>Pembayaran</t>
  </si>
  <si>
    <t>SPP-11</t>
  </si>
  <si>
    <t>SPP-12</t>
  </si>
  <si>
    <t>SPP-13</t>
  </si>
  <si>
    <t>SPP-14</t>
  </si>
  <si>
    <t xml:space="preserve">Disertasi </t>
  </si>
  <si>
    <t xml:space="preserve">Ujian Kualifikasi </t>
  </si>
  <si>
    <t>Seminar Proposal</t>
  </si>
  <si>
    <t xml:space="preserve">Seminar  Hasil </t>
  </si>
  <si>
    <t xml:space="preserve">Ujian Tertutup </t>
  </si>
  <si>
    <t xml:space="preserve">Ujian Terbuka </t>
  </si>
  <si>
    <t>Masih belum lulus</t>
  </si>
  <si>
    <t>Semua warna ini berarti Lulus</t>
  </si>
  <si>
    <t>Keluar</t>
  </si>
  <si>
    <t>Cek di status di siakad</t>
  </si>
  <si>
    <t>Habis Masa Studi</t>
  </si>
  <si>
    <t>=IF(LEN(VLOOKUP(A4;DB;28;FALSE))=0;" ";(VLOOKUP(A4;DB;28;FALSE)))</t>
  </si>
  <si>
    <t>B.710/In.20/PP.00.9/PS/II/2020</t>
  </si>
  <si>
    <t>SPP Semester 7 (2020-1)</t>
  </si>
  <si>
    <t>SPP Semester 8 (2020-2)</t>
  </si>
  <si>
    <t>SPP Semester 9 (2021-1)</t>
  </si>
  <si>
    <t>SPP Semester 10 (2021-2)</t>
  </si>
  <si>
    <t>SPP Semester 11</t>
  </si>
  <si>
    <t>SPP Semester 12</t>
  </si>
  <si>
    <r>
      <rPr>
        <sz val="11"/>
        <color theme="1"/>
        <rFont val="Calibri"/>
        <family val="2"/>
        <scheme val="minor"/>
      </rPr>
      <t xml:space="preserve">Berdasarkan data tersebut, Saudara/i diharap segera melunasi pembayaran tersebut pada tanggl </t>
    </r>
    <r>
      <rPr>
        <b/>
        <sz val="11"/>
        <color theme="1"/>
        <rFont val="Calibri"/>
        <family val="2"/>
        <scheme val="minor"/>
      </rPr>
      <t>9 - 21 Maret 2020</t>
    </r>
  </si>
  <si>
    <t xml:space="preserve">akademik dan jika sudah melewati dari semester XIV anda dinyatakan Drop Out (DO). </t>
  </si>
  <si>
    <t>PMB 2019</t>
  </si>
  <si>
    <t>No/Jml</t>
  </si>
  <si>
    <t>No Pendaftaran</t>
  </si>
  <si>
    <t>Nama Pendaftar</t>
  </si>
  <si>
    <t>JK</t>
  </si>
  <si>
    <t>Tgl. Ujian</t>
  </si>
  <si>
    <t>L1 - TL2</t>
  </si>
  <si>
    <t>Pil 1</t>
  </si>
  <si>
    <t>Pil 2</t>
  </si>
  <si>
    <t>Pil 3</t>
  </si>
  <si>
    <t>Pro 1</t>
  </si>
  <si>
    <t>Pro 2</t>
  </si>
  <si>
    <t>Pro 3</t>
  </si>
  <si>
    <t>P</t>
  </si>
  <si>
    <t>L</t>
  </si>
  <si>
    <t>IMAM KHOIRI</t>
  </si>
  <si>
    <t>HANIYAH</t>
  </si>
  <si>
    <t>MAKSUM</t>
  </si>
  <si>
    <t>ABDUL BASIT</t>
  </si>
  <si>
    <t>NOER CHOLIS</t>
  </si>
  <si>
    <t>ASMONI</t>
  </si>
  <si>
    <t>ABDUR ROHMAN</t>
  </si>
  <si>
    <t>EFENDI</t>
  </si>
  <si>
    <t>MOH. MUGHNI LABIB</t>
  </si>
  <si>
    <t>NANANG KOSIM</t>
  </si>
  <si>
    <t>SRI WAHYUNI</t>
  </si>
  <si>
    <t>FAISOL AZIZ</t>
  </si>
  <si>
    <t>IMAM NAWAWI</t>
  </si>
  <si>
    <t>ABD. MUIS</t>
  </si>
  <si>
    <t>ADY IRAWAN</t>
  </si>
  <si>
    <t>NURUL AZIZAH</t>
  </si>
  <si>
    <t>ACHMAD FAIRUZI</t>
  </si>
  <si>
    <t>ASTUTIK MAIMUNA</t>
  </si>
  <si>
    <t>MIFTAHUL HASAN</t>
  </si>
  <si>
    <t>AFANY ZAKARIA</t>
  </si>
  <si>
    <t>MUHAMMAD MUSTAFA</t>
  </si>
  <si>
    <t>RATIH ALIMATUL MUSLIMAH</t>
  </si>
  <si>
    <t>IMAMUL KHAIR</t>
  </si>
  <si>
    <t>YASIN</t>
  </si>
  <si>
    <t>MUHAMMAD TOHA</t>
  </si>
  <si>
    <t>BADRUS SALAM</t>
  </si>
  <si>
    <t>ABDULLAH MUALIF</t>
  </si>
  <si>
    <t>NILA HANIFIYAH HAFIDZ</t>
  </si>
  <si>
    <t>MOHAMMAD FIKRI SYAIFULLOH</t>
  </si>
  <si>
    <t>MUZAMMIL</t>
  </si>
  <si>
    <t>MISBAHUL MUSLIH, S.PD.I</t>
  </si>
  <si>
    <t>AHMAD TAUFIQ</t>
  </si>
  <si>
    <t>SUSI FEBRIYANTI</t>
  </si>
  <si>
    <t>SITI ROFIAH</t>
  </si>
  <si>
    <t>AHMAD SYAUQI</t>
  </si>
  <si>
    <t>FAHMI IMRON</t>
  </si>
  <si>
    <t>SAIFUDIN</t>
  </si>
  <si>
    <t>SAMSUL HADI</t>
  </si>
  <si>
    <t>ABDUL QADIR JAILANI</t>
  </si>
  <si>
    <t>NUR HOLIS MALIK</t>
  </si>
  <si>
    <t>AINUR RIDA</t>
  </si>
  <si>
    <t>SITI ARBAIYAH</t>
  </si>
  <si>
    <t>ARIFATUL HASANAH</t>
  </si>
  <si>
    <t>MUHAMMAD NURHADI ALI</t>
  </si>
  <si>
    <t>MUHAMMAD ZUHRI YAQIN</t>
  </si>
  <si>
    <t>EKA ISLAMIATUL CHAYAT</t>
  </si>
  <si>
    <t>SUFYAN ARIF</t>
  </si>
  <si>
    <t>TAMIM ZUHRI</t>
  </si>
  <si>
    <t>SAFII</t>
  </si>
  <si>
    <t>IMAM TAUFIQ AKBAR</t>
  </si>
  <si>
    <t>SARUJI</t>
  </si>
  <si>
    <t>BAIHAKI IRAWAN</t>
  </si>
  <si>
    <t>SYAMSURI</t>
  </si>
  <si>
    <t>SRINANTI</t>
  </si>
  <si>
    <t>MOH. RIDUWAN</t>
  </si>
  <si>
    <t>ZAINUT TOFA</t>
  </si>
  <si>
    <t>IMRON CHOLIFURRAHMAN</t>
  </si>
  <si>
    <t>BAHRUL ULUM</t>
  </si>
  <si>
    <t>AKNANI</t>
  </si>
  <si>
    <t>ABDUL WAFI YAZID DAHLAN</t>
  </si>
  <si>
    <t>IMROH CHOLIFURRAHMAN</t>
  </si>
  <si>
    <t>MISNAWAR</t>
  </si>
  <si>
    <t>SYAUQI ABDILLAH</t>
  </si>
  <si>
    <t>MUHAMAD KHAIRUL UMAM</t>
  </si>
  <si>
    <t>MUNIR</t>
  </si>
  <si>
    <t>MUHAMMAD SYAFRIL</t>
  </si>
  <si>
    <t>ABDUL ROKIB</t>
  </si>
  <si>
    <t>ADHI JATMIKO</t>
  </si>
  <si>
    <t>ACH. ZAQQI HAMDANI</t>
  </si>
  <si>
    <t>ABU SIRI</t>
  </si>
  <si>
    <t>MOCH. FADIL AZIZI</t>
  </si>
  <si>
    <t>AHMAD SADID</t>
  </si>
  <si>
    <t>ABDUL RO'UF</t>
  </si>
  <si>
    <t>JUARDI</t>
  </si>
  <si>
    <t>ACHMAD HUSAERI</t>
  </si>
  <si>
    <t>SHOHIBUL BADRI, S.PD</t>
  </si>
  <si>
    <t>AKHMAD SLAMET</t>
  </si>
  <si>
    <t>SIDIK MURSIDI</t>
  </si>
  <si>
    <t>TITIN MASLIHAH</t>
  </si>
  <si>
    <t>MUHAMMAD ROFI'I</t>
  </si>
  <si>
    <t>SUHARTONO</t>
  </si>
  <si>
    <t>SYUKRIYANTO</t>
  </si>
  <si>
    <t>ROFIQ</t>
  </si>
  <si>
    <t>MUHAMMAD MUHYI</t>
  </si>
  <si>
    <t>INDRA KURNIA</t>
  </si>
  <si>
    <t>HILMI SHOFYAN</t>
  </si>
  <si>
    <t>AHMAD DHOIFI IBROHIM</t>
  </si>
  <si>
    <t>FAUZI PRIBADI</t>
  </si>
  <si>
    <t>SUGIYONO</t>
  </si>
  <si>
    <t>SULTON HAJI BAHARUDDIN</t>
  </si>
  <si>
    <t>M. FARUQ</t>
  </si>
  <si>
    <t>AMPUH HERMANTO</t>
  </si>
  <si>
    <t>SHIDIQ</t>
  </si>
  <si>
    <t>MUHAMMAD HAFID</t>
  </si>
  <si>
    <t>MASRUROH</t>
  </si>
  <si>
    <t>FATHONI</t>
  </si>
  <si>
    <t>SARIPUN</t>
  </si>
  <si>
    <t>ANISATUL MUSRIFAH M.</t>
  </si>
  <si>
    <t>LIYA YULIANI</t>
  </si>
  <si>
    <t>MUHAMMAD HUSNAN MUBAROQ</t>
  </si>
  <si>
    <t>MADINATUL MUNAWAROH</t>
  </si>
  <si>
    <t>KHAIRUL ANAM</t>
  </si>
  <si>
    <t>AHMAD DIANTO</t>
  </si>
  <si>
    <t>JAILANI ZAINULLOH</t>
  </si>
  <si>
    <t>MUHAMMAD NURHIDAYATULLAH</t>
  </si>
  <si>
    <t>MUTAMMIMATUL WIDADAH</t>
  </si>
  <si>
    <t>YUNI ULFATUN INAYAH</t>
  </si>
  <si>
    <t>SOLEHAN</t>
  </si>
  <si>
    <t>LAILATUL QOMARIYAH</t>
  </si>
  <si>
    <t>MUH. MASDUQI</t>
  </si>
  <si>
    <t>MUHAMMAD FAUZAN</t>
  </si>
  <si>
    <t>ABD HAMID</t>
  </si>
  <si>
    <t>IMAM MUHTADIN</t>
  </si>
  <si>
    <t>BAHRUL HUDA</t>
  </si>
  <si>
    <t>HILDA HOIRUNNISA</t>
  </si>
  <si>
    <t>HABIBULLAHIR RIDLO</t>
  </si>
  <si>
    <t>ARIYANTI NINGSIH</t>
  </si>
  <si>
    <t>MUHAMMAD FADLI ARIFIN</t>
  </si>
  <si>
    <t>HAFID ABDULLAH</t>
  </si>
  <si>
    <t>NUR FAIZAH</t>
  </si>
  <si>
    <t>ACH ROZZI</t>
  </si>
  <si>
    <t>MUHAMMAD NURKHOLES</t>
  </si>
  <si>
    <t>HASAN ASY'ARI</t>
  </si>
  <si>
    <t>KHABIB ARWANI</t>
  </si>
  <si>
    <t>HAMDUN</t>
  </si>
  <si>
    <t>HIDAYATUS SOFYAN</t>
  </si>
  <si>
    <t>MOH MAKI</t>
  </si>
  <si>
    <t>M KAMILUDDIN</t>
  </si>
  <si>
    <t>AZHAR MUHAMMAD NASHRULLAH TAMAMI</t>
  </si>
  <si>
    <t>AZKAL ANAM</t>
  </si>
  <si>
    <t>AHMAD ZAYYINUL MUSHOFA</t>
  </si>
  <si>
    <t>SYUKKRON MA'MUN HAKIM</t>
  </si>
  <si>
    <t>MUHAMMAD FAHMI</t>
  </si>
  <si>
    <t>KHOLIL SYAMSUL</t>
  </si>
  <si>
    <t>RUSTAM</t>
  </si>
  <si>
    <t>AFIAD ABADIAH</t>
  </si>
  <si>
    <t>ABDURROZI HS</t>
  </si>
  <si>
    <t>HAIRUL</t>
  </si>
  <si>
    <t>ABDUL KARIM</t>
  </si>
  <si>
    <t>ROBI'ATUL ADAWIYAH</t>
  </si>
  <si>
    <t>MUHAMMAD SIRUL ATOK</t>
  </si>
  <si>
    <t>AVAV MASRUROH</t>
  </si>
  <si>
    <t>MASRURI ZAIN</t>
  </si>
  <si>
    <t>ACHMAD FATHUR RIZQI ALFIAN JAMIL</t>
  </si>
  <si>
    <t>HOFI RAHMAN</t>
  </si>
  <si>
    <t>IFADATUR RAHMAH</t>
  </si>
  <si>
    <t>MOHAMMAD ZAKARIA</t>
  </si>
  <si>
    <t>MUSYAFAK AINUL YAQIN</t>
  </si>
  <si>
    <t>CIPTO</t>
  </si>
  <si>
    <t>IFA AFIDA NAILIL FAIZA</t>
  </si>
  <si>
    <t>EDI HERYANTO</t>
  </si>
  <si>
    <t>SAIDATUL MARDIYAH</t>
  </si>
  <si>
    <t>MUHAMMAD IQBAL HARIMI</t>
  </si>
  <si>
    <t>FATIMATUZ ZAHRO</t>
  </si>
  <si>
    <t>ALIF KAMALAH</t>
  </si>
  <si>
    <t>HELMIE HAMDANY</t>
  </si>
  <si>
    <t>KHOLILATUZ ZAHRO</t>
  </si>
  <si>
    <t>AHMAD RIADI</t>
  </si>
  <si>
    <t>MALIK ISKANDAR</t>
  </si>
  <si>
    <t>A. ROFIQUL AMIN</t>
  </si>
  <si>
    <t>MUTHI`ATUR ROFI`AH</t>
  </si>
  <si>
    <t>ANDI NURUL ISLAMIAH.AM</t>
  </si>
  <si>
    <t>ACH. HAIRUS SALEH</t>
  </si>
  <si>
    <t>NAFIATUL KHUSNAH</t>
  </si>
  <si>
    <t>ABDUL ROUF</t>
  </si>
  <si>
    <t>BINTI ZUHROTUL KHILMI</t>
  </si>
  <si>
    <t>SITI JUHAIRIYAH</t>
  </si>
  <si>
    <t>MOHDAR AJI SANTOSO</t>
  </si>
  <si>
    <t>MEGAWATI SYAMSIYAH EMYUS</t>
  </si>
  <si>
    <t>RIF'AL ANSORY</t>
  </si>
  <si>
    <t>ALFI FATIN NABILAH</t>
  </si>
  <si>
    <t>AINUN NAJIB AZHARI</t>
  </si>
  <si>
    <t>NUR KAMILIA</t>
  </si>
  <si>
    <t>DANI AINURROFIQ NS, S. PD</t>
  </si>
  <si>
    <t>ERLINE ROFIATUR RAHMAH</t>
  </si>
  <si>
    <t>NURUL AZIZATUL FADILAH</t>
  </si>
  <si>
    <t>UFIQ AMALIA</t>
  </si>
  <si>
    <t>MOCH. HIFNI DOMIR SAAN</t>
  </si>
  <si>
    <t>AGUS RISYONO</t>
  </si>
  <si>
    <t>MOHAMAD RULI KURNIAWAN, S.PD</t>
  </si>
  <si>
    <t>SITI QOMARIYAH</t>
  </si>
  <si>
    <t>SITI USWATUN HASANAH</t>
  </si>
  <si>
    <t>M. AS ADI SHODIQIN</t>
  </si>
  <si>
    <t>FENDI FERDIANSYAH</t>
  </si>
  <si>
    <t>HAIRUL,S.PD</t>
  </si>
  <si>
    <t>FATHUR TAUFIK</t>
  </si>
  <si>
    <t>KUNI BARIDAH AINI</t>
  </si>
  <si>
    <t>EKA ISNAIYAH</t>
  </si>
  <si>
    <t>BADRUT TAMAM.</t>
  </si>
  <si>
    <t>ULYA MAULANI SUBHAN</t>
  </si>
  <si>
    <t>SOFIATIL ALIYAH</t>
  </si>
  <si>
    <t>SUJI ASHARI,</t>
  </si>
  <si>
    <t>GALIH ANGGA PERMANA</t>
  </si>
  <si>
    <t>SAHNAWI, S.PD, M.PD</t>
  </si>
  <si>
    <t>YUYUN ISMAWATI</t>
  </si>
  <si>
    <t>Pendidikan Agama Islam (S2)</t>
  </si>
  <si>
    <t>Pendidikan Bahasa Arab (S2)</t>
  </si>
  <si>
    <t>Hukum Keluarga (Akhwal Syahsiyyah) (S2)</t>
  </si>
  <si>
    <t>Komunikasi dan Penyiaran Islam (S2)</t>
  </si>
  <si>
    <t>Manajemen Pendidikan Islam (S2)</t>
  </si>
  <si>
    <t>Ekonomi Syariah (S2)</t>
  </si>
  <si>
    <t>NUR FAIZA</t>
  </si>
  <si>
    <t>Pendidikan Agama Islam (S3)</t>
  </si>
  <si>
    <t>Pendidikan Guru Madrasah Ibtidaiyah (S2)</t>
  </si>
  <si>
    <t>Manajemen Pendidikan Islam (S3)</t>
  </si>
  <si>
    <t>Fandrik Haris Setia Putra</t>
  </si>
  <si>
    <t>Abdul Muiz</t>
  </si>
  <si>
    <t>Winning Son Ashari</t>
  </si>
  <si>
    <t>MOHAMAD NUR ROHMAN</t>
  </si>
  <si>
    <t>MUHAMMAD HAFID BAIHAQI</t>
  </si>
  <si>
    <t>Studi Islam (S2)</t>
  </si>
  <si>
    <t>YAUMIL HIKMAH SY</t>
  </si>
  <si>
    <t>Indah Wahyuni</t>
  </si>
  <si>
    <t>M.A. Arif Wijaya MS</t>
  </si>
  <si>
    <t>KHAIRUDDIN</t>
  </si>
  <si>
    <t>SUDIRMAN</t>
  </si>
  <si>
    <t>Sri Yuniati</t>
  </si>
  <si>
    <t>MOHAMMAD SYAFII</t>
  </si>
  <si>
    <t>M.SOFIATUL IMAN</t>
  </si>
  <si>
    <t>ABD.ROZZAQ</t>
  </si>
  <si>
    <t>ELIS NURSETIALLOH</t>
  </si>
  <si>
    <t>AHMAD WINARNO</t>
  </si>
  <si>
    <t>HABIB ANWAR AL ANSHORI</t>
  </si>
  <si>
    <t>HESTHI PRIYAMBODO</t>
  </si>
  <si>
    <t>MISBAKHUS SURURI</t>
  </si>
  <si>
    <t>MOH MUNDZIR</t>
  </si>
  <si>
    <t>MUHAMMAD SALI</t>
  </si>
  <si>
    <t>SABRAN</t>
  </si>
  <si>
    <t>MUH RIFA'AL</t>
  </si>
  <si>
    <t>ABD. LATIF</t>
  </si>
  <si>
    <t>ACH. BADRUS SHOLEH</t>
  </si>
  <si>
    <t>DZAQI HIJROTIN</t>
  </si>
  <si>
    <t>ABDUL KARIM AMRULLAH</t>
  </si>
  <si>
    <t>AHMAD FUAD ANWAR</t>
  </si>
  <si>
    <t>MOHAMMAD NUR HASSAN</t>
  </si>
  <si>
    <t>SRI SUSMIYATI</t>
  </si>
  <si>
    <t>S2-PAI</t>
  </si>
  <si>
    <t>PAI-1D</t>
  </si>
  <si>
    <t>S2-MPI</t>
  </si>
  <si>
    <t>S2-ES</t>
  </si>
  <si>
    <t>S2-PBA</t>
  </si>
  <si>
    <t>HK-1</t>
  </si>
  <si>
    <t>S2-iK</t>
  </si>
  <si>
    <t>S2-HK</t>
  </si>
  <si>
    <t>S2-KPI</t>
  </si>
  <si>
    <t>S2-PGMI</t>
  </si>
  <si>
    <t>MPI3-1B</t>
  </si>
  <si>
    <t>S3-MPI</t>
  </si>
  <si>
    <t>MPI3-1A</t>
  </si>
  <si>
    <t>S3-PAI</t>
  </si>
  <si>
    <t>2-4-2021</t>
  </si>
  <si>
    <t>SRI TAQWIYATI</t>
  </si>
  <si>
    <t>PBA-2</t>
  </si>
  <si>
    <t>11-02-2021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</si>
</sst>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_);_(* \(#,##0\);_(* &quot;-&quot;_);_(@_)"/>
    <numFmt numFmtId="165" formatCode="mm/yy"/>
    <numFmt numFmtId="166" formatCode="_(* #,##0.00_);_(* \(#,##0.00\);_(* &quot;-&quot;??_);_(@_)"/>
    <numFmt numFmtId="167" formatCode="[$-F800]dddd\,\ mmmm\ dd\,\ yyyy"/>
    <numFmt numFmtId="168" formatCode="_(&quot;Rp&quot;* #,##0_);_(&quot;Rp&quot;* \(#,##0\);_(&quot;Rp&quot;* &quot;-&quot;_);_(@_)"/>
    <numFmt numFmtId="169" formatCode="d/m/yyyy"/>
    <numFmt numFmtId="170" formatCode="yyyy/mm/dd;@"/>
    <numFmt numFmtId="171" formatCode="d/m/yy"/>
    <numFmt numFmtId="172" formatCode="_(* #,##0_);_(* \(#,##0\);_(* &quot;-&quot;??_);_(@_)"/>
    <numFmt numFmtId="173" formatCode="m/yy"/>
    <numFmt numFmtId="174" formatCode="_(* #,##0.00_);_(* \(#,##0.00\);_(* &quot;-&quot;_);_(@_)"/>
    <numFmt numFmtId="175" formatCode="dd/mm/yy"/>
  </numFmts>
  <fonts count="113" x14ac:knownFonts="1">
    <font>
      <sz val="11"/>
      <color theme="1"/>
      <name val="Calibri"/>
      <charset val="1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8"/>
      <color rgb="FFFF0000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rgb="FF00B050"/>
      <name val="Calibri"/>
      <family val="2"/>
      <scheme val="minor"/>
    </font>
    <font>
      <sz val="8"/>
      <name val="Calibri"/>
      <family val="2"/>
      <scheme val="minor"/>
    </font>
    <font>
      <b/>
      <sz val="9"/>
      <color rgb="FF000000"/>
      <name val="Calibri"/>
      <family val="2"/>
      <scheme val="minor"/>
    </font>
    <font>
      <b/>
      <sz val="9"/>
      <color rgb="FFFFFFFF"/>
      <name val="Calibri"/>
      <family val="2"/>
      <scheme val="minor"/>
    </font>
    <font>
      <sz val="9"/>
      <color rgb="FFFFFFFF"/>
      <name val="Calibri"/>
      <family val="2"/>
      <scheme val="minor"/>
    </font>
    <font>
      <sz val="9"/>
      <color rgb="FF000000"/>
      <name val="Calibri"/>
      <family val="2"/>
      <scheme val="minor"/>
    </font>
    <font>
      <sz val="9"/>
      <color theme="4" tint="-0.249977111117893"/>
      <name val="Calibri"/>
      <family val="2"/>
      <scheme val="minor"/>
    </font>
    <font>
      <u/>
      <sz val="9"/>
      <name val="Calibri"/>
      <family val="2"/>
      <scheme val="minor"/>
    </font>
    <font>
      <sz val="9"/>
      <color rgb="FFFF0000"/>
      <name val="Calibri"/>
      <family val="2"/>
      <scheme val="minor"/>
    </font>
    <font>
      <strike/>
      <sz val="9"/>
      <name val="Calibri"/>
      <family val="2"/>
      <scheme val="minor"/>
    </font>
    <font>
      <u/>
      <sz val="9"/>
      <color rgb="FF000000"/>
      <name val="Calibri"/>
      <family val="2"/>
      <scheme val="minor"/>
    </font>
    <font>
      <sz val="8"/>
      <color rgb="FF7030A0"/>
      <name val="Calibri"/>
      <family val="2"/>
      <scheme val="minor"/>
    </font>
    <font>
      <b/>
      <sz val="9"/>
      <color rgb="FF17375D"/>
      <name val="Calibri"/>
      <family val="2"/>
      <scheme val="minor"/>
    </font>
    <font>
      <b/>
      <sz val="9"/>
      <color rgb="FF7030A0"/>
      <name val="Calibri"/>
      <family val="2"/>
      <scheme val="minor"/>
    </font>
    <font>
      <strike/>
      <sz val="9"/>
      <color rgb="FF000000"/>
      <name val="Calibri"/>
      <family val="2"/>
      <scheme val="minor"/>
    </font>
    <font>
      <b/>
      <sz val="9"/>
      <color rgb="FF215867"/>
      <name val="Calibri"/>
      <family val="2"/>
      <scheme val="minor"/>
    </font>
    <font>
      <i/>
      <sz val="9"/>
      <name val="Calibri"/>
      <family val="2"/>
      <scheme val="minor"/>
    </font>
    <font>
      <i/>
      <sz val="9"/>
      <color rgb="FF000000"/>
      <name val="Calibri"/>
      <family val="2"/>
      <scheme val="minor"/>
    </font>
    <font>
      <i/>
      <sz val="9"/>
      <color rgb="FFFF0000"/>
      <name val="Calibri"/>
      <family val="2"/>
      <scheme val="minor"/>
    </font>
    <font>
      <i/>
      <u/>
      <sz val="9"/>
      <name val="Calibri"/>
      <family val="2"/>
      <scheme val="minor"/>
    </font>
    <font>
      <sz val="9"/>
      <color rgb="FF215867"/>
      <name val="Calibri"/>
      <family val="2"/>
      <scheme val="minor"/>
    </font>
    <font>
      <i/>
      <strike/>
      <sz val="9"/>
      <name val="Calibri"/>
      <family val="2"/>
      <scheme val="minor"/>
    </font>
    <font>
      <i/>
      <strike/>
      <sz val="9"/>
      <color rgb="FFFF0000"/>
      <name val="Calibri"/>
      <family val="2"/>
      <scheme val="minor"/>
    </font>
    <font>
      <strike/>
      <sz val="9"/>
      <color rgb="FFFF0000"/>
      <name val="Calibri"/>
      <family val="2"/>
      <scheme val="minor"/>
    </font>
    <font>
      <b/>
      <strike/>
      <sz val="9"/>
      <color rgb="FFFF0000"/>
      <name val="Calibri"/>
      <family val="2"/>
      <scheme val="minor"/>
    </font>
    <font>
      <b/>
      <strike/>
      <sz val="9"/>
      <name val="Calibri"/>
      <family val="2"/>
      <scheme val="minor"/>
    </font>
    <font>
      <strike/>
      <sz val="9"/>
      <color rgb="FFFF5D5D"/>
      <name val="Calibri"/>
      <family val="2"/>
      <scheme val="minor"/>
    </font>
    <font>
      <sz val="9"/>
      <color rgb="FF002060"/>
      <name val="Calibri"/>
      <family val="2"/>
      <scheme val="minor"/>
    </font>
    <font>
      <sz val="9"/>
      <color theme="5" tint="-0.499984740745262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8" tint="-0.249977111117893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9" tint="-0.499984740745262"/>
      <name val="Calibri"/>
      <family val="2"/>
      <scheme val="minor"/>
    </font>
    <font>
      <u val="singleAccounting"/>
      <sz val="10"/>
      <color theme="1"/>
      <name val="Calibri"/>
      <family val="2"/>
      <scheme val="minor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9"/>
      <color theme="1"/>
      <name val="Symbol"/>
      <family val="1"/>
      <charset val="2"/>
    </font>
    <font>
      <i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indexed="8"/>
      <name val="Cambria"/>
      <family val="1"/>
      <scheme val="major"/>
    </font>
    <font>
      <sz val="10"/>
      <color indexed="8"/>
      <name val="Cambria"/>
      <family val="1"/>
      <scheme val="major"/>
    </font>
    <font>
      <sz val="10"/>
      <color theme="1"/>
      <name val="Cambria"/>
      <family val="1"/>
      <scheme val="major"/>
    </font>
    <font>
      <b/>
      <sz val="10"/>
      <color theme="1"/>
      <name val="Cambria"/>
      <family val="1"/>
      <scheme val="major"/>
    </font>
    <font>
      <b/>
      <sz val="9"/>
      <color theme="5" tint="-0.24997711111789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9"/>
      <color theme="1"/>
      <name val="Calibri"/>
      <family val="2"/>
      <scheme val="minor"/>
    </font>
    <font>
      <strike/>
      <sz val="10"/>
      <name val="Calibri"/>
      <family val="2"/>
      <scheme val="minor"/>
    </font>
    <font>
      <b/>
      <sz val="8"/>
      <color rgb="FF7030A0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color theme="7" tint="0.7993408001953185"/>
      <name val="Calibri"/>
      <family val="2"/>
      <scheme val="minor"/>
    </font>
    <font>
      <sz val="9"/>
      <color theme="7" tint="0.7993408001953185"/>
      <name val="Calibri"/>
      <family val="2"/>
      <scheme val="minor"/>
    </font>
    <font>
      <sz val="11"/>
      <color theme="7" tint="0.7993408001953185"/>
      <name val="Calibri"/>
      <family val="2"/>
      <scheme val="minor"/>
    </font>
    <font>
      <sz val="7"/>
      <color theme="1"/>
      <name val="Calibri"/>
      <family val="2"/>
      <scheme val="minor"/>
    </font>
    <font>
      <sz val="8"/>
      <color rgb="FF00B050"/>
      <name val="Calibri"/>
      <family val="2"/>
      <scheme val="minor"/>
    </font>
    <font>
      <b/>
      <sz val="8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theme="7" tint="0.7993408001953185"/>
      <name val="Calibri"/>
      <family val="2"/>
      <scheme val="minor"/>
    </font>
    <font>
      <b/>
      <sz val="8"/>
      <color rgb="FF000000"/>
      <name val="Calibri"/>
      <family val="2"/>
      <scheme val="minor"/>
    </font>
    <font>
      <b/>
      <sz val="8"/>
      <color rgb="FFFFFFFF"/>
      <name val="Calibri"/>
      <family val="2"/>
      <scheme val="minor"/>
    </font>
    <font>
      <sz val="8"/>
      <color rgb="FF000000"/>
      <name val="Calibri"/>
      <family val="2"/>
      <scheme val="minor"/>
    </font>
    <font>
      <sz val="8"/>
      <color rgb="FFFFFFFF"/>
      <name val="Calibri"/>
      <family val="2"/>
      <scheme val="minor"/>
    </font>
    <font>
      <sz val="8"/>
      <color rgb="FF0070C0"/>
      <name val="Calibri"/>
      <family val="2"/>
      <scheme val="minor"/>
    </font>
    <font>
      <u val="double"/>
      <sz val="8"/>
      <color rgb="FFFF0000"/>
      <name val="Calibri"/>
      <family val="2"/>
      <scheme val="minor"/>
    </font>
    <font>
      <sz val="7"/>
      <color rgb="FF7030A0"/>
      <name val="Calibri"/>
      <family val="2"/>
      <scheme val="minor"/>
    </font>
    <font>
      <sz val="7"/>
      <color rgb="FFFF0000"/>
      <name val="Calibri"/>
      <family val="2"/>
      <scheme val="minor"/>
    </font>
    <font>
      <sz val="9"/>
      <color rgb="FFFF5D5D"/>
      <name val="Calibri"/>
      <family val="2"/>
      <scheme val="minor"/>
    </font>
    <font>
      <u val="singleAccounting"/>
      <sz val="8"/>
      <name val="Calibri"/>
      <family val="2"/>
      <scheme val="minor"/>
    </font>
    <font>
      <i/>
      <u/>
      <sz val="8"/>
      <color rgb="FF7030A0"/>
      <name val="Calibri"/>
      <family val="2"/>
      <scheme val="minor"/>
    </font>
    <font>
      <b/>
      <u/>
      <sz val="8"/>
      <color rgb="FF7030A0"/>
      <name val="Calibri"/>
      <family val="2"/>
      <scheme val="minor"/>
    </font>
    <font>
      <u val="singleAccounting"/>
      <sz val="8"/>
      <color rgb="FF7030A0"/>
      <name val="Calibri"/>
      <family val="2"/>
      <scheme val="minor"/>
    </font>
    <font>
      <u/>
      <sz val="8"/>
      <color rgb="FF000000"/>
      <name val="Calibri"/>
      <family val="2"/>
      <scheme val="minor"/>
    </font>
    <font>
      <u/>
      <sz val="8"/>
      <color rgb="FF7030A0"/>
      <name val="Calibri"/>
      <family val="2"/>
      <scheme val="minor"/>
    </font>
    <font>
      <u val="singleAccounting"/>
      <sz val="8"/>
      <color rgb="FF000000"/>
      <name val="Calibri"/>
      <family val="2"/>
      <scheme val="minor"/>
    </font>
    <font>
      <u/>
      <sz val="8"/>
      <name val="Calibri"/>
      <family val="2"/>
      <scheme val="minor"/>
    </font>
    <font>
      <b/>
      <sz val="7"/>
      <color rgb="FF7030A0"/>
      <name val="Calibri"/>
      <family val="2"/>
      <scheme val="minor"/>
    </font>
    <font>
      <b/>
      <u/>
      <sz val="8"/>
      <name val="Calibri"/>
      <family val="2"/>
      <scheme val="minor"/>
    </font>
    <font>
      <b/>
      <sz val="7.5"/>
      <name val="Calibri"/>
      <family val="2"/>
      <scheme val="minor"/>
    </font>
    <font>
      <sz val="7.5"/>
      <name val="Calibri"/>
      <family val="2"/>
      <scheme val="minor"/>
    </font>
    <font>
      <u val="singleAccounting"/>
      <sz val="7.5"/>
      <name val="Calibri"/>
      <family val="2"/>
      <scheme val="minor"/>
    </font>
    <font>
      <u/>
      <sz val="7.5"/>
      <name val="Calibri"/>
      <family val="2"/>
      <scheme val="minor"/>
    </font>
    <font>
      <sz val="9"/>
      <color rgb="FF7030A0"/>
      <name val="Calibri"/>
      <family val="2"/>
      <scheme val="minor"/>
    </font>
    <font>
      <sz val="8"/>
      <color rgb="FFFF0000"/>
      <name val="Arial"/>
      <family val="2"/>
    </font>
    <font>
      <u/>
      <sz val="9.15"/>
      <color theme="10"/>
      <name val="Calibri"/>
      <family val="2"/>
    </font>
    <font>
      <sz val="9"/>
      <color rgb="FF17375D"/>
      <name val="Calibri"/>
      <family val="2"/>
      <scheme val="minor"/>
    </font>
    <font>
      <b/>
      <i/>
      <sz val="9"/>
      <name val="Calibri"/>
      <family val="2"/>
      <scheme val="minor"/>
    </font>
    <font>
      <strike/>
      <sz val="8"/>
      <name val="Calibri"/>
      <family val="2"/>
      <scheme val="minor"/>
    </font>
    <font>
      <strike/>
      <sz val="8"/>
      <color rgb="FF7030A0"/>
      <name val="Calibri"/>
      <family val="2"/>
      <scheme val="minor"/>
    </font>
    <font>
      <sz val="7"/>
      <name val="Calibri"/>
      <family val="2"/>
      <scheme val="minor"/>
    </font>
    <font>
      <b/>
      <sz val="9"/>
      <color rgb="FF002060"/>
      <name val="Calibri"/>
      <family val="2"/>
      <scheme val="minor"/>
    </font>
    <font>
      <sz val="8"/>
      <color rgb="FFFF6600"/>
      <name val="Calibri"/>
      <family val="2"/>
      <scheme val="minor"/>
    </font>
    <font>
      <sz val="9"/>
      <color rgb="FF333333"/>
      <name val="Calibri"/>
      <family val="2"/>
      <scheme val="minor"/>
    </font>
    <font>
      <sz val="9"/>
      <name val="Tahoma"/>
      <family val="2"/>
    </font>
    <font>
      <b/>
      <sz val="9"/>
      <name val="Tahoma"/>
      <family val="2"/>
    </font>
    <font>
      <sz val="11"/>
      <color rgb="FF333333"/>
      <name val="Source Sans Pro"/>
      <family val="2"/>
    </font>
  </fonts>
  <fills count="61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34080019531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6600"/>
        <bgColor rgb="FF000000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33CC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33CC"/>
        <bgColor rgb="FF000000"/>
      </patternFill>
    </fill>
    <fill>
      <patternFill patternType="solid">
        <fgColor rgb="FF0D0D0D"/>
        <bgColor rgb="FF000000"/>
      </patternFill>
    </fill>
    <fill>
      <patternFill patternType="solid">
        <fgColor rgb="FF00B0F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theme="9" tint="0.7993408001953185"/>
        <bgColor rgb="FF000000"/>
      </patternFill>
    </fill>
    <fill>
      <patternFill patternType="solid">
        <fgColor theme="9" tint="0.7993408001953185"/>
        <bgColor indexed="64"/>
      </patternFill>
    </fill>
    <fill>
      <patternFill patternType="solid">
        <fgColor rgb="FFFFC000"/>
        <bgColor rgb="FF000000"/>
      </patternFill>
    </fill>
    <fill>
      <patternFill patternType="solid">
        <fgColor rgb="FFB8CCE4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CCC0DA"/>
        <bgColor rgb="FF000000"/>
      </patternFill>
    </fill>
    <fill>
      <patternFill patternType="solid">
        <fgColor rgb="FF0070C0"/>
        <bgColor rgb="FF000000"/>
      </patternFill>
    </fill>
    <fill>
      <patternFill patternType="solid">
        <fgColor theme="6" tint="0.3989989928891872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3408001953185"/>
        <bgColor indexed="64"/>
      </patternFill>
    </fill>
    <fill>
      <patternFill patternType="solid">
        <fgColor theme="4" tint="0.39899899288918728"/>
        <bgColor indexed="64"/>
      </patternFill>
    </fill>
    <fill>
      <patternFill patternType="solid">
        <fgColor rgb="FFFF5D5D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6" tint="0.7993408001953185"/>
        <bgColor indexed="64"/>
      </patternFill>
    </fill>
    <fill>
      <patternFill patternType="solid">
        <fgColor theme="7" tint="0.7993408001953185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9" tint="0.39902951139866327"/>
        <bgColor indexed="64"/>
      </patternFill>
    </fill>
    <fill>
      <patternFill patternType="solid">
        <fgColor theme="9" tint="0.39976195562608724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39899899288918728"/>
        <bgColor indexed="64"/>
      </patternFill>
    </fill>
    <fill>
      <patternFill patternType="solid">
        <fgColor theme="8" tint="0.79934080019531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42625202185128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5D5D"/>
        <bgColor rgb="FF000000"/>
      </patternFill>
    </fill>
    <fill>
      <patternFill patternType="solid">
        <fgColor rgb="FFC00000"/>
        <bgColor rgb="FF000000"/>
      </patternFill>
    </fill>
    <fill>
      <patternFill patternType="solid">
        <fgColor rgb="FF00B050"/>
        <bgColor rgb="FF000000"/>
      </patternFill>
    </fill>
    <fill>
      <patternFill patternType="solid">
        <fgColor theme="8" tint="0.7993408001953185"/>
        <bgColor rgb="FF000000"/>
      </patternFill>
    </fill>
    <fill>
      <patternFill patternType="solid">
        <fgColor theme="9" tint="0.39930417798394724"/>
        <bgColor indexed="64"/>
      </patternFill>
    </fill>
    <fill>
      <patternFill patternType="solid">
        <fgColor theme="5" tint="0.39973143711661124"/>
        <bgColor indexed="64"/>
      </patternFill>
    </fill>
    <fill>
      <patternFill patternType="solid">
        <fgColor rgb="FF75923C"/>
        <bgColor rgb="FF000000"/>
      </patternFill>
    </fill>
    <fill>
      <patternFill patternType="solid">
        <fgColor rgb="FF60497B"/>
        <bgColor rgb="FF000000"/>
      </patternFill>
    </fill>
    <fill>
      <patternFill patternType="solid">
        <fgColor theme="8" tint="-0.249977111117893"/>
        <bgColor rgb="FF000000"/>
      </patternFill>
    </fill>
    <fill>
      <patternFill patternType="solid">
        <fgColor rgb="FF000000"/>
        <bgColor rgb="FF000000"/>
      </patternFill>
    </fill>
    <fill>
      <patternFill patternType="solid">
        <fgColor rgb="FFF2DDDC"/>
        <bgColor rgb="FF000000"/>
      </patternFill>
    </fill>
    <fill>
      <patternFill patternType="solid">
        <fgColor theme="9" tint="0.39930417798394724"/>
        <bgColor rgb="FF000000"/>
      </patternFill>
    </fill>
    <fill>
      <patternFill patternType="solid">
        <fgColor theme="9" tint="-0.249977111117893"/>
        <bgColor rgb="FF000000"/>
      </patternFill>
    </fill>
  </fills>
  <borders count="13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dotted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theme="0"/>
      </left>
      <right style="thin">
        <color theme="0"/>
      </right>
      <top style="hair">
        <color auto="1"/>
      </top>
      <bottom style="hair">
        <color auto="1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 style="dashed">
        <color auto="1"/>
      </bottom>
      <diagonal/>
    </border>
    <border>
      <left style="thin">
        <color auto="1"/>
      </left>
      <right style="thin">
        <color auto="1"/>
      </right>
      <top style="dashed">
        <color auto="1"/>
      </top>
      <bottom style="dotted">
        <color auto="1"/>
      </bottom>
      <diagonal/>
    </border>
    <border>
      <left style="medium">
        <color auto="1"/>
      </left>
      <right/>
      <top style="medium">
        <color auto="1"/>
      </top>
      <bottom style="dotted">
        <color auto="1"/>
      </bottom>
      <diagonal/>
    </border>
    <border>
      <left/>
      <right/>
      <top style="medium">
        <color auto="1"/>
      </top>
      <bottom style="dott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 style="dotted">
        <color auto="1"/>
      </right>
      <top style="medium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medium">
        <color auto="1"/>
      </top>
      <bottom style="dotted">
        <color auto="1"/>
      </bottom>
      <diagonal/>
    </border>
    <border>
      <left style="medium">
        <color auto="1"/>
      </left>
      <right/>
      <top style="dotted">
        <color auto="1"/>
      </top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medium">
        <color auto="1"/>
      </left>
      <right/>
      <top style="dotted">
        <color auto="1"/>
      </top>
      <bottom style="medium">
        <color auto="1"/>
      </bottom>
      <diagonal/>
    </border>
    <border>
      <left/>
      <right/>
      <top style="dotted">
        <color auto="1"/>
      </top>
      <bottom style="medium">
        <color auto="1"/>
      </bottom>
      <diagonal/>
    </border>
    <border>
      <left/>
      <right style="dotted">
        <color auto="1"/>
      </right>
      <top style="dotted">
        <color auto="1"/>
      </top>
      <bottom style="medium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dotted">
        <color auto="1"/>
      </left>
      <right style="medium">
        <color auto="1"/>
      </right>
      <top style="medium">
        <color auto="1"/>
      </top>
      <bottom style="dotted">
        <color auto="1"/>
      </bottom>
      <diagonal/>
    </border>
    <border>
      <left style="dotted">
        <color auto="1"/>
      </left>
      <right style="medium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medium">
        <color auto="1"/>
      </right>
      <top style="dotted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dott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/>
      <top/>
      <bottom/>
      <diagonal/>
    </border>
    <border>
      <left style="dotted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 style="thin">
        <color auto="1"/>
      </top>
      <bottom style="hair">
        <color auto="1"/>
      </bottom>
      <diagonal/>
    </border>
    <border>
      <left style="dotted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dotted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dotted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dotted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tted">
        <color auto="1"/>
      </right>
      <top style="thin">
        <color auto="1"/>
      </top>
      <bottom style="hair">
        <color auto="1"/>
      </bottom>
      <diagonal/>
    </border>
    <border>
      <left style="dotted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tted">
        <color auto="1"/>
      </right>
      <top style="hair">
        <color auto="1"/>
      </top>
      <bottom style="hair">
        <color auto="1"/>
      </bottom>
      <diagonal/>
    </border>
    <border>
      <left style="dotted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dotted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dotted">
        <color auto="1"/>
      </left>
      <right style="thin">
        <color auto="1"/>
      </right>
      <top/>
      <bottom style="hair">
        <color auto="1"/>
      </bottom>
      <diagonal/>
    </border>
    <border>
      <left style="hair">
        <color auto="1"/>
      </left>
      <right style="dotted">
        <color auto="1"/>
      </right>
      <top style="hair">
        <color auto="1"/>
      </top>
      <bottom style="thin">
        <color auto="1"/>
      </bottom>
      <diagonal/>
    </border>
    <border>
      <left style="dotted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dotted">
        <color auto="1"/>
      </left>
      <right style="dashed">
        <color auto="1"/>
      </right>
      <top style="thin">
        <color auto="1"/>
      </top>
      <bottom style="hair">
        <color auto="1"/>
      </bottom>
      <diagonal/>
    </border>
    <border>
      <left/>
      <right style="dashed">
        <color auto="1"/>
      </right>
      <top style="hair">
        <color auto="1"/>
      </top>
      <bottom style="hair">
        <color auto="1"/>
      </bottom>
      <diagonal/>
    </border>
    <border>
      <left style="dotted">
        <color auto="1"/>
      </left>
      <right style="dashed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 style="thin">
        <color auto="1"/>
      </left>
      <right/>
      <top/>
      <bottom style="hair">
        <color auto="1"/>
      </bottom>
      <diagonal/>
    </border>
    <border>
      <left style="dotted">
        <color auto="1"/>
      </left>
      <right/>
      <top/>
      <bottom style="hair">
        <color auto="1"/>
      </bottom>
      <diagonal/>
    </border>
    <border>
      <left style="thin">
        <color auto="1"/>
      </left>
      <right style="dotted">
        <color auto="1"/>
      </right>
      <top/>
      <bottom style="hair">
        <color auto="1"/>
      </bottom>
      <diagonal/>
    </border>
    <border>
      <left style="dotted">
        <color auto="1"/>
      </left>
      <right/>
      <top style="hair">
        <color auto="1"/>
      </top>
      <bottom style="thin">
        <color auto="1"/>
      </bottom>
      <diagonal/>
    </border>
    <border>
      <left style="dotted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dotted">
        <color auto="1"/>
      </right>
      <top/>
      <bottom style="thin">
        <color auto="1"/>
      </bottom>
      <diagonal/>
    </border>
    <border>
      <left style="dotted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/>
      <right style="dotted">
        <color auto="1"/>
      </right>
      <top style="hair">
        <color auto="1"/>
      </top>
      <bottom style="hair">
        <color auto="1"/>
      </bottom>
      <diagonal/>
    </border>
    <border>
      <left/>
      <right style="dotted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dotted">
        <color auto="1"/>
      </right>
      <top style="thin">
        <color auto="1"/>
      </top>
      <bottom style="hair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hair">
        <color auto="1"/>
      </bottom>
      <diagonal/>
    </border>
    <border>
      <left style="dotted">
        <color auto="1"/>
      </left>
      <right style="dotted">
        <color auto="1"/>
      </right>
      <top style="hair">
        <color auto="1"/>
      </top>
      <bottom style="hair">
        <color auto="1"/>
      </bottom>
      <diagonal/>
    </border>
    <border>
      <left/>
      <right style="dotted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dotted">
        <color auto="1"/>
      </right>
      <top style="hair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hair">
        <color auto="1"/>
      </top>
      <bottom style="thin">
        <color auto="1"/>
      </bottom>
      <diagonal/>
    </border>
    <border>
      <left/>
      <right style="dotted">
        <color auto="1"/>
      </right>
      <top/>
      <bottom style="hair">
        <color auto="1"/>
      </bottom>
      <diagonal/>
    </border>
    <border>
      <left style="hair">
        <color auto="1"/>
      </left>
      <right style="dotted">
        <color auto="1"/>
      </right>
      <top/>
      <bottom style="hair">
        <color auto="1"/>
      </bottom>
      <diagonal/>
    </border>
    <border>
      <left/>
      <right style="dotted">
        <color auto="1"/>
      </right>
      <top/>
      <bottom style="thin">
        <color auto="1"/>
      </bottom>
      <diagonal/>
    </border>
    <border>
      <left style="dotted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dotted">
        <color auto="1"/>
      </right>
      <top style="hair">
        <color auto="1"/>
      </top>
      <bottom/>
      <diagonal/>
    </border>
  </borders>
  <cellStyleXfs count="7">
    <xf numFmtId="167" fontId="0" fillId="0" borderId="0"/>
    <xf numFmtId="166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0" fontId="101" fillId="0" borderId="0" applyNumberFormat="0" applyFill="0" applyBorder="0" applyAlignment="0" applyProtection="0">
      <alignment vertical="top"/>
      <protection locked="0"/>
    </xf>
    <xf numFmtId="167" fontId="51" fillId="0" borderId="0"/>
    <xf numFmtId="166" fontId="51" fillId="0" borderId="0" applyFont="0" applyFill="0" applyBorder="0" applyAlignment="0" applyProtection="0"/>
  </cellStyleXfs>
  <cellXfs count="2372">
    <xf numFmtId="167" fontId="0" fillId="0" borderId="0" xfId="0"/>
    <xf numFmtId="1" fontId="1" fillId="0" borderId="0" xfId="0" applyNumberFormat="1" applyFont="1" applyAlignment="1">
      <alignment horizontal="center" vertical="center"/>
    </xf>
    <xf numFmtId="167" fontId="0" fillId="0" borderId="0" xfId="0" applyAlignment="1">
      <alignment vertical="center"/>
    </xf>
    <xf numFmtId="167" fontId="0" fillId="0" borderId="0" xfId="0" applyAlignment="1">
      <alignment horizontal="center" vertical="center"/>
    </xf>
    <xf numFmtId="167" fontId="0" fillId="0" borderId="0" xfId="0" applyBorder="1" applyAlignment="1">
      <alignment vertical="center"/>
    </xf>
    <xf numFmtId="167" fontId="0" fillId="0" borderId="0" xfId="0" applyFill="1" applyAlignment="1">
      <alignment vertical="center"/>
    </xf>
    <xf numFmtId="167" fontId="0" fillId="0" borderId="0" xfId="0" applyBorder="1"/>
    <xf numFmtId="167" fontId="2" fillId="0" borderId="0" xfId="0" applyFont="1" applyAlignment="1">
      <alignment vertical="center"/>
    </xf>
    <xf numFmtId="167" fontId="0" fillId="0" borderId="1" xfId="0" applyBorder="1" applyAlignment="1">
      <alignment vertical="center"/>
    </xf>
    <xf numFmtId="167" fontId="3" fillId="0" borderId="0" xfId="0" applyFont="1"/>
    <xf numFmtId="1" fontId="4" fillId="0" borderId="0" xfId="0" applyNumberFormat="1" applyFont="1" applyAlignment="1">
      <alignment horizontal="center" vertical="center"/>
    </xf>
    <xf numFmtId="167" fontId="5" fillId="2" borderId="2" xfId="0" applyFont="1" applyFill="1" applyBorder="1" applyAlignment="1">
      <alignment horizontal="center" vertical="center" wrapText="1"/>
    </xf>
    <xf numFmtId="169" fontId="7" fillId="3" borderId="3" xfId="0" applyNumberFormat="1" applyFont="1" applyFill="1" applyBorder="1" applyAlignment="1" applyProtection="1">
      <alignment horizontal="center" vertical="center"/>
    </xf>
    <xf numFmtId="165" fontId="2" fillId="2" borderId="2" xfId="0" applyNumberFormat="1" applyFont="1" applyFill="1" applyBorder="1" applyAlignment="1">
      <alignment horizontal="center" vertical="center" wrapText="1"/>
    </xf>
    <xf numFmtId="0" fontId="5" fillId="2" borderId="4" xfId="0" applyNumberFormat="1" applyFont="1" applyFill="1" applyBorder="1" applyAlignment="1">
      <alignment horizontal="center" vertical="center" wrapText="1"/>
    </xf>
    <xf numFmtId="167" fontId="5" fillId="4" borderId="4" xfId="0" applyFont="1" applyFill="1" applyBorder="1" applyAlignment="1">
      <alignment horizontal="center" vertical="center" wrapText="1"/>
    </xf>
    <xf numFmtId="165" fontId="2" fillId="2" borderId="4" xfId="0" applyNumberFormat="1" applyFont="1" applyFill="1" applyBorder="1" applyAlignment="1">
      <alignment horizontal="center" vertical="center" wrapText="1"/>
    </xf>
    <xf numFmtId="167" fontId="5" fillId="5" borderId="5" xfId="0" applyFont="1" applyFill="1" applyBorder="1" applyAlignment="1">
      <alignment horizontal="center" vertical="center" wrapText="1"/>
    </xf>
    <xf numFmtId="165" fontId="2" fillId="2" borderId="5" xfId="0" applyNumberFormat="1" applyFont="1" applyFill="1" applyBorder="1" applyAlignment="1">
      <alignment horizontal="center" vertical="center" wrapText="1"/>
    </xf>
    <xf numFmtId="0" fontId="4" fillId="6" borderId="3" xfId="0" applyNumberFormat="1" applyFont="1" applyFill="1" applyBorder="1" applyAlignment="1">
      <alignment horizontal="center" vertical="center"/>
    </xf>
    <xf numFmtId="0" fontId="2" fillId="4" borderId="3" xfId="0" applyNumberFormat="1" applyFont="1" applyFill="1" applyBorder="1" applyAlignment="1">
      <alignment horizontal="center" vertical="center"/>
    </xf>
    <xf numFmtId="167" fontId="2" fillId="4" borderId="3" xfId="0" applyFont="1" applyFill="1" applyBorder="1" applyAlignment="1">
      <alignment vertical="center"/>
    </xf>
    <xf numFmtId="1" fontId="2" fillId="4" borderId="3" xfId="0" applyNumberFormat="1" applyFont="1" applyFill="1" applyBorder="1" applyAlignment="1">
      <alignment vertical="center"/>
    </xf>
    <xf numFmtId="167" fontId="8" fillId="4" borderId="3" xfId="0" applyFont="1" applyFill="1" applyBorder="1" applyAlignment="1">
      <alignment horizontal="center" vertical="center"/>
    </xf>
    <xf numFmtId="165" fontId="2" fillId="4" borderId="3" xfId="0" applyNumberFormat="1" applyFont="1" applyFill="1" applyBorder="1" applyAlignment="1">
      <alignment horizontal="center" vertical="center"/>
    </xf>
    <xf numFmtId="0" fontId="2" fillId="0" borderId="3" xfId="0" applyNumberFormat="1" applyFont="1" applyFill="1" applyBorder="1" applyAlignment="1">
      <alignment horizontal="center" vertical="center"/>
    </xf>
    <xf numFmtId="167" fontId="2" fillId="0" borderId="3" xfId="0" applyFont="1" applyFill="1" applyBorder="1" applyAlignment="1">
      <alignment vertical="center"/>
    </xf>
    <xf numFmtId="1" fontId="2" fillId="0" borderId="3" xfId="0" applyNumberFormat="1" applyFont="1" applyFill="1" applyBorder="1" applyAlignment="1">
      <alignment vertical="center"/>
    </xf>
    <xf numFmtId="167" fontId="8" fillId="0" borderId="3" xfId="0" applyFont="1" applyFill="1" applyBorder="1" applyAlignment="1">
      <alignment horizontal="center" vertical="center"/>
    </xf>
    <xf numFmtId="167" fontId="2" fillId="0" borderId="3" xfId="0" applyFont="1" applyFill="1" applyBorder="1" applyAlignment="1">
      <alignment horizontal="center" vertical="center"/>
    </xf>
    <xf numFmtId="165" fontId="2" fillId="0" borderId="3" xfId="0" applyNumberFormat="1" applyFont="1" applyFill="1" applyBorder="1" applyAlignment="1">
      <alignment horizontal="center" vertical="center"/>
    </xf>
    <xf numFmtId="167" fontId="2" fillId="4" borderId="3" xfId="0" applyFont="1" applyFill="1" applyBorder="1" applyAlignment="1">
      <alignment horizontal="center" vertical="center"/>
    </xf>
    <xf numFmtId="0" fontId="0" fillId="0" borderId="0" xfId="0" applyNumberFormat="1" applyAlignment="1">
      <alignment vertical="center"/>
    </xf>
    <xf numFmtId="1" fontId="2" fillId="0" borderId="0" xfId="0" applyNumberFormat="1" applyFont="1" applyAlignment="1">
      <alignment vertical="center"/>
    </xf>
    <xf numFmtId="167" fontId="9" fillId="0" borderId="0" xfId="0" applyFont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167" fontId="8" fillId="0" borderId="3" xfId="0" applyFont="1" applyFill="1" applyBorder="1" applyAlignment="1">
      <alignment vertical="center"/>
    </xf>
    <xf numFmtId="1" fontId="8" fillId="0" borderId="3" xfId="0" applyNumberFormat="1" applyFont="1" applyFill="1" applyBorder="1" applyAlignment="1">
      <alignment vertical="center"/>
    </xf>
    <xf numFmtId="167" fontId="8" fillId="4" borderId="3" xfId="0" applyFont="1" applyFill="1" applyBorder="1" applyAlignment="1">
      <alignment vertical="center"/>
    </xf>
    <xf numFmtId="1" fontId="8" fillId="4" borderId="3" xfId="0" applyNumberFormat="1" applyFont="1" applyFill="1" applyBorder="1" applyAlignment="1">
      <alignment vertical="center"/>
    </xf>
    <xf numFmtId="0" fontId="6" fillId="7" borderId="3" xfId="0" applyNumberFormat="1" applyFont="1" applyFill="1" applyBorder="1" applyAlignment="1">
      <alignment vertical="center"/>
    </xf>
    <xf numFmtId="0" fontId="2" fillId="8" borderId="3" xfId="0" applyNumberFormat="1" applyFont="1" applyFill="1" applyBorder="1" applyAlignment="1">
      <alignment horizontal="center" vertical="center"/>
    </xf>
    <xf numFmtId="167" fontId="8" fillId="8" borderId="3" xfId="0" applyFont="1" applyFill="1" applyBorder="1" applyAlignment="1">
      <alignment vertical="center"/>
    </xf>
    <xf numFmtId="1" fontId="8" fillId="8" borderId="3" xfId="0" applyNumberFormat="1" applyFont="1" applyFill="1" applyBorder="1" applyAlignment="1">
      <alignment vertical="center"/>
    </xf>
    <xf numFmtId="167" fontId="8" fillId="8" borderId="3" xfId="0" applyFont="1" applyFill="1" applyBorder="1" applyAlignment="1">
      <alignment horizontal="center" vertical="center"/>
    </xf>
    <xf numFmtId="167" fontId="2" fillId="8" borderId="3" xfId="0" applyFont="1" applyFill="1" applyBorder="1" applyAlignment="1">
      <alignment horizontal="center" vertical="center"/>
    </xf>
    <xf numFmtId="165" fontId="2" fillId="8" borderId="3" xfId="0" applyNumberFormat="1" applyFont="1" applyFill="1" applyBorder="1" applyAlignment="1">
      <alignment horizontal="center" vertical="center"/>
    </xf>
    <xf numFmtId="167" fontId="6" fillId="7" borderId="1" xfId="0" applyFont="1" applyFill="1" applyBorder="1" applyAlignment="1">
      <alignment vertical="center"/>
    </xf>
    <xf numFmtId="1" fontId="8" fillId="0" borderId="1" xfId="0" applyNumberFormat="1" applyFont="1" applyFill="1" applyBorder="1" applyAlignment="1">
      <alignment vertical="center"/>
    </xf>
    <xf numFmtId="167" fontId="8" fillId="0" borderId="1" xfId="0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167" fontId="2" fillId="0" borderId="1" xfId="0" applyFont="1" applyFill="1" applyBorder="1" applyAlignment="1">
      <alignment horizontal="center" vertical="center"/>
    </xf>
    <xf numFmtId="165" fontId="2" fillId="0" borderId="1" xfId="0" applyNumberFormat="1" applyFont="1" applyFill="1" applyBorder="1" applyAlignment="1">
      <alignment horizontal="center" vertical="center"/>
    </xf>
    <xf numFmtId="0" fontId="6" fillId="7" borderId="1" xfId="0" applyNumberFormat="1" applyFont="1" applyFill="1" applyBorder="1" applyAlignment="1">
      <alignment vertical="center"/>
    </xf>
    <xf numFmtId="167" fontId="2" fillId="7" borderId="1" xfId="0" applyFont="1" applyFill="1" applyBorder="1" applyAlignment="1">
      <alignment vertical="center"/>
    </xf>
    <xf numFmtId="1" fontId="6" fillId="0" borderId="1" xfId="0" applyNumberFormat="1" applyFont="1" applyFill="1" applyBorder="1" applyAlignment="1">
      <alignment vertical="center"/>
    </xf>
    <xf numFmtId="0" fontId="8" fillId="0" borderId="3" xfId="0" applyNumberFormat="1" applyFont="1" applyFill="1" applyBorder="1" applyAlignment="1">
      <alignment horizontal="center" vertical="center"/>
    </xf>
    <xf numFmtId="165" fontId="8" fillId="0" borderId="3" xfId="0" applyNumberFormat="1" applyFont="1" applyFill="1" applyBorder="1" applyAlignment="1">
      <alignment horizontal="center" vertical="center"/>
    </xf>
    <xf numFmtId="0" fontId="8" fillId="4" borderId="3" xfId="0" applyNumberFormat="1" applyFont="1" applyFill="1" applyBorder="1" applyAlignment="1">
      <alignment horizontal="center" vertical="center"/>
    </xf>
    <xf numFmtId="165" fontId="8" fillId="4" borderId="3" xfId="0" applyNumberFormat="1" applyFont="1" applyFill="1" applyBorder="1" applyAlignment="1">
      <alignment horizontal="center" vertical="center"/>
    </xf>
    <xf numFmtId="167" fontId="8" fillId="0" borderId="6" xfId="0" applyFont="1" applyFill="1" applyBorder="1" applyAlignment="1">
      <alignment vertical="center"/>
    </xf>
    <xf numFmtId="1" fontId="8" fillId="0" borderId="0" xfId="0" applyNumberFormat="1" applyFont="1" applyFill="1" applyAlignment="1">
      <alignment vertical="center"/>
    </xf>
    <xf numFmtId="167" fontId="8" fillId="0" borderId="0" xfId="0" applyFont="1" applyFill="1" applyAlignment="1">
      <alignment horizontal="center" vertical="center"/>
    </xf>
    <xf numFmtId="0" fontId="8" fillId="0" borderId="0" xfId="0" applyNumberFormat="1" applyFont="1" applyFill="1" applyAlignment="1">
      <alignment horizontal="center" vertical="center"/>
    </xf>
    <xf numFmtId="165" fontId="8" fillId="0" borderId="0" xfId="0" applyNumberFormat="1" applyFont="1" applyFill="1" applyAlignment="1">
      <alignment horizontal="center" vertical="center"/>
    </xf>
    <xf numFmtId="167" fontId="8" fillId="7" borderId="1" xfId="0" applyFont="1" applyFill="1" applyBorder="1" applyAlignment="1">
      <alignment vertical="center"/>
    </xf>
    <xf numFmtId="0" fontId="8" fillId="8" borderId="3" xfId="0" applyNumberFormat="1" applyFont="1" applyFill="1" applyBorder="1" applyAlignment="1">
      <alignment horizontal="center" vertical="center"/>
    </xf>
    <xf numFmtId="165" fontId="8" fillId="8" borderId="3" xfId="0" applyNumberFormat="1" applyFont="1" applyFill="1" applyBorder="1" applyAlignment="1">
      <alignment horizontal="center" vertical="center"/>
    </xf>
    <xf numFmtId="0" fontId="8" fillId="8" borderId="3" xfId="0" applyNumberFormat="1" applyFont="1" applyFill="1" applyBorder="1" applyAlignment="1">
      <alignment vertical="center"/>
    </xf>
    <xf numFmtId="0" fontId="8" fillId="4" borderId="3" xfId="0" applyNumberFormat="1" applyFont="1" applyFill="1" applyBorder="1" applyAlignment="1">
      <alignment vertical="center"/>
    </xf>
    <xf numFmtId="0" fontId="8" fillId="0" borderId="3" xfId="0" applyNumberFormat="1" applyFont="1" applyFill="1" applyBorder="1" applyAlignment="1">
      <alignment vertical="center"/>
    </xf>
    <xf numFmtId="0" fontId="8" fillId="0" borderId="0" xfId="0" applyNumberFormat="1" applyFont="1" applyFill="1" applyAlignment="1">
      <alignment vertical="center"/>
    </xf>
    <xf numFmtId="167" fontId="8" fillId="0" borderId="0" xfId="0" applyFont="1" applyFill="1" applyAlignment="1">
      <alignment vertical="center"/>
    </xf>
    <xf numFmtId="167" fontId="8" fillId="7" borderId="0" xfId="0" applyFont="1" applyFill="1" applyAlignment="1">
      <alignment vertical="center"/>
    </xf>
    <xf numFmtId="1" fontId="6" fillId="4" borderId="3" xfId="0" applyNumberFormat="1" applyFont="1" applyFill="1" applyBorder="1" applyAlignment="1">
      <alignment vertical="center"/>
    </xf>
    <xf numFmtId="167" fontId="6" fillId="4" borderId="3" xfId="0" applyFont="1" applyFill="1" applyBorder="1" applyAlignment="1">
      <alignment horizontal="center" vertical="center"/>
    </xf>
    <xf numFmtId="0" fontId="6" fillId="4" borderId="3" xfId="0" applyNumberFormat="1" applyFont="1" applyFill="1" applyBorder="1" applyAlignment="1">
      <alignment horizontal="center" vertical="center"/>
    </xf>
    <xf numFmtId="1" fontId="11" fillId="4" borderId="3" xfId="0" applyNumberFormat="1" applyFont="1" applyFill="1" applyBorder="1" applyAlignment="1">
      <alignment vertical="center"/>
    </xf>
    <xf numFmtId="1" fontId="11" fillId="0" borderId="3" xfId="0" applyNumberFormat="1" applyFont="1" applyFill="1" applyBorder="1" applyAlignment="1">
      <alignment vertical="center"/>
    </xf>
    <xf numFmtId="0" fontId="8" fillId="9" borderId="3" xfId="0" applyNumberFormat="1" applyFont="1" applyFill="1" applyBorder="1" applyAlignment="1">
      <alignment horizontal="center" vertical="center"/>
    </xf>
    <xf numFmtId="169" fontId="12" fillId="10" borderId="1" xfId="0" applyNumberFormat="1" applyFont="1" applyFill="1" applyBorder="1" applyAlignment="1" applyProtection="1">
      <alignment horizontal="left" vertical="center"/>
    </xf>
    <xf numFmtId="167" fontId="6" fillId="0" borderId="1" xfId="0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165" fontId="8" fillId="0" borderId="1" xfId="0" applyNumberFormat="1" applyFont="1" applyFill="1" applyBorder="1" applyAlignment="1">
      <alignment horizontal="center" vertical="center"/>
    </xf>
    <xf numFmtId="167" fontId="12" fillId="4" borderId="3" xfId="0" applyFont="1" applyFill="1" applyBorder="1" applyAlignment="1">
      <alignment horizontal="center" vertical="center"/>
    </xf>
    <xf numFmtId="0" fontId="8" fillId="0" borderId="0" xfId="2" applyNumberFormat="1" applyFont="1" applyFill="1" applyAlignment="1">
      <alignment vertical="center"/>
    </xf>
    <xf numFmtId="164" fontId="8" fillId="0" borderId="0" xfId="2" applyFont="1" applyFill="1" applyAlignment="1">
      <alignment vertical="center"/>
    </xf>
    <xf numFmtId="1" fontId="8" fillId="0" borderId="0" xfId="2" applyNumberFormat="1" applyFont="1" applyFill="1" applyAlignment="1">
      <alignment vertical="center"/>
    </xf>
    <xf numFmtId="164" fontId="8" fillId="0" borderId="0" xfId="2" applyFont="1" applyFill="1" applyAlignment="1">
      <alignment horizontal="center" vertical="center"/>
    </xf>
    <xf numFmtId="0" fontId="8" fillId="0" borderId="0" xfId="2" applyNumberFormat="1" applyFont="1" applyFill="1" applyAlignment="1">
      <alignment horizontal="center" vertical="center"/>
    </xf>
    <xf numFmtId="165" fontId="8" fillId="0" borderId="0" xfId="2" applyNumberFormat="1" applyFont="1" applyFill="1" applyAlignment="1">
      <alignment horizontal="center" vertical="center"/>
    </xf>
    <xf numFmtId="169" fontId="12" fillId="10" borderId="3" xfId="0" applyNumberFormat="1" applyFont="1" applyFill="1" applyBorder="1" applyAlignment="1" applyProtection="1">
      <alignment horizontal="left" vertical="center"/>
    </xf>
    <xf numFmtId="1" fontId="8" fillId="11" borderId="3" xfId="0" applyNumberFormat="1" applyFont="1" applyFill="1" applyBorder="1" applyAlignment="1">
      <alignment vertical="center"/>
    </xf>
    <xf numFmtId="1" fontId="6" fillId="0" borderId="3" xfId="0" applyNumberFormat="1" applyFont="1" applyFill="1" applyBorder="1" applyAlignment="1">
      <alignment vertical="center"/>
    </xf>
    <xf numFmtId="1" fontId="8" fillId="9" borderId="3" xfId="0" applyNumberFormat="1" applyFont="1" applyFill="1" applyBorder="1" applyAlignment="1">
      <alignment vertical="center"/>
    </xf>
    <xf numFmtId="170" fontId="8" fillId="4" borderId="3" xfId="0" applyNumberFormat="1" applyFont="1" applyFill="1" applyBorder="1" applyAlignment="1">
      <alignment vertical="center"/>
    </xf>
    <xf numFmtId="167" fontId="6" fillId="4" borderId="3" xfId="0" applyFont="1" applyFill="1" applyBorder="1" applyAlignment="1">
      <alignment vertical="center"/>
    </xf>
    <xf numFmtId="167" fontId="8" fillId="9" borderId="3" xfId="0" applyFont="1" applyFill="1" applyBorder="1" applyAlignment="1">
      <alignment vertical="center"/>
    </xf>
    <xf numFmtId="167" fontId="8" fillId="9" borderId="3" xfId="0" applyFont="1" applyFill="1" applyBorder="1" applyAlignment="1">
      <alignment horizontal="center" vertical="center"/>
    </xf>
    <xf numFmtId="165" fontId="8" fillId="9" borderId="3" xfId="0" applyNumberFormat="1" applyFont="1" applyFill="1" applyBorder="1" applyAlignment="1">
      <alignment horizontal="center" vertical="center"/>
    </xf>
    <xf numFmtId="0" fontId="8" fillId="11" borderId="3" xfId="0" applyNumberFormat="1" applyFont="1" applyFill="1" applyBorder="1" applyAlignment="1">
      <alignment horizontal="center" vertical="center"/>
    </xf>
    <xf numFmtId="167" fontId="8" fillId="11" borderId="3" xfId="0" applyFont="1" applyFill="1" applyBorder="1" applyAlignment="1">
      <alignment vertical="center"/>
    </xf>
    <xf numFmtId="0" fontId="8" fillId="11" borderId="3" xfId="0" applyNumberFormat="1" applyFont="1" applyFill="1" applyBorder="1" applyAlignment="1">
      <alignment vertical="center"/>
    </xf>
    <xf numFmtId="167" fontId="8" fillId="11" borderId="3" xfId="0" applyFont="1" applyFill="1" applyBorder="1" applyAlignment="1">
      <alignment horizontal="center" vertical="center"/>
    </xf>
    <xf numFmtId="165" fontId="8" fillId="11" borderId="3" xfId="0" applyNumberFormat="1" applyFont="1" applyFill="1" applyBorder="1" applyAlignment="1">
      <alignment horizontal="center" vertical="center"/>
    </xf>
    <xf numFmtId="0" fontId="8" fillId="9" borderId="3" xfId="0" applyNumberFormat="1" applyFont="1" applyFill="1" applyBorder="1" applyAlignment="1">
      <alignment vertical="center"/>
    </xf>
    <xf numFmtId="0" fontId="2" fillId="0" borderId="0" xfId="0" applyNumberFormat="1" applyFont="1" applyFill="1" applyAlignment="1">
      <alignment vertical="center"/>
    </xf>
    <xf numFmtId="0" fontId="2" fillId="0" borderId="1" xfId="0" applyNumberFormat="1" applyFont="1" applyFill="1" applyBorder="1" applyAlignment="1">
      <alignment vertical="center"/>
    </xf>
    <xf numFmtId="0" fontId="2" fillId="7" borderId="1" xfId="0" applyNumberFormat="1" applyFont="1" applyFill="1" applyBorder="1" applyAlignment="1">
      <alignment vertical="center"/>
    </xf>
    <xf numFmtId="169" fontId="6" fillId="7" borderId="1" xfId="0" applyNumberFormat="1" applyFont="1" applyFill="1" applyBorder="1" applyAlignment="1">
      <alignment vertical="center"/>
    </xf>
    <xf numFmtId="169" fontId="6" fillId="0" borderId="1" xfId="0" applyNumberFormat="1" applyFont="1" applyFill="1" applyBorder="1" applyAlignment="1">
      <alignment horizontal="center" vertical="center"/>
    </xf>
    <xf numFmtId="0" fontId="6" fillId="8" borderId="3" xfId="0" applyNumberFormat="1" applyFont="1" applyFill="1" applyBorder="1" applyAlignment="1">
      <alignment horizontal="center" vertical="center"/>
    </xf>
    <xf numFmtId="167" fontId="6" fillId="8" borderId="3" xfId="0" applyFont="1" applyFill="1" applyBorder="1" applyAlignment="1">
      <alignment vertical="center"/>
    </xf>
    <xf numFmtId="0" fontId="6" fillId="8" borderId="3" xfId="0" applyNumberFormat="1" applyFont="1" applyFill="1" applyBorder="1" applyAlignment="1">
      <alignment vertical="center"/>
    </xf>
    <xf numFmtId="167" fontId="6" fillId="8" borderId="3" xfId="0" applyFont="1" applyFill="1" applyBorder="1" applyAlignment="1">
      <alignment horizontal="center" vertical="center"/>
    </xf>
    <xf numFmtId="169" fontId="12" fillId="10" borderId="7" xfId="0" applyNumberFormat="1" applyFont="1" applyFill="1" applyBorder="1" applyAlignment="1" applyProtection="1">
      <alignment horizontal="left" vertical="center"/>
    </xf>
    <xf numFmtId="167" fontId="6" fillId="0" borderId="1" xfId="0" applyFont="1" applyFill="1" applyBorder="1" applyAlignment="1">
      <alignment horizontal="left" vertical="center"/>
    </xf>
    <xf numFmtId="0" fontId="8" fillId="12" borderId="3" xfId="0" applyNumberFormat="1" applyFont="1" applyFill="1" applyBorder="1" applyAlignment="1">
      <alignment vertical="center"/>
    </xf>
    <xf numFmtId="1" fontId="8" fillId="12" borderId="3" xfId="0" applyNumberFormat="1" applyFont="1" applyFill="1" applyBorder="1" applyAlignment="1">
      <alignment vertical="center"/>
    </xf>
    <xf numFmtId="0" fontId="8" fillId="9" borderId="0" xfId="0" applyNumberFormat="1" applyFont="1" applyFill="1" applyAlignment="1">
      <alignment horizontal="center" vertical="center"/>
    </xf>
    <xf numFmtId="167" fontId="8" fillId="9" borderId="0" xfId="0" applyFont="1" applyFill="1" applyAlignment="1">
      <alignment vertical="center"/>
    </xf>
    <xf numFmtId="1" fontId="8" fillId="9" borderId="0" xfId="0" applyNumberFormat="1" applyFont="1" applyFill="1" applyAlignment="1">
      <alignment vertical="center"/>
    </xf>
    <xf numFmtId="167" fontId="8" fillId="9" borderId="0" xfId="0" applyFont="1" applyFill="1" applyAlignment="1">
      <alignment horizontal="center" vertical="center"/>
    </xf>
    <xf numFmtId="165" fontId="8" fillId="9" borderId="0" xfId="0" applyNumberFormat="1" applyFont="1" applyFill="1" applyAlignment="1">
      <alignment horizontal="center" vertical="center"/>
    </xf>
    <xf numFmtId="169" fontId="12" fillId="10" borderId="3" xfId="0" applyNumberFormat="1" applyFont="1" applyFill="1" applyBorder="1" applyAlignment="1" applyProtection="1">
      <alignment horizontal="center" vertical="center"/>
    </xf>
    <xf numFmtId="0" fontId="8" fillId="13" borderId="3" xfId="0" applyNumberFormat="1" applyFont="1" applyFill="1" applyBorder="1" applyAlignment="1">
      <alignment vertical="center"/>
    </xf>
    <xf numFmtId="167" fontId="8" fillId="13" borderId="0" xfId="0" applyFont="1" applyFill="1" applyAlignment="1">
      <alignment vertical="center"/>
    </xf>
    <xf numFmtId="1" fontId="8" fillId="13" borderId="0" xfId="0" applyNumberFormat="1" applyFont="1" applyFill="1" applyAlignment="1">
      <alignment vertical="center"/>
    </xf>
    <xf numFmtId="167" fontId="8" fillId="13" borderId="0" xfId="0" applyFont="1" applyFill="1" applyAlignment="1">
      <alignment horizontal="center" vertical="center"/>
    </xf>
    <xf numFmtId="0" fontId="8" fillId="13" borderId="0" xfId="0" applyNumberFormat="1" applyFont="1" applyFill="1" applyAlignment="1">
      <alignment horizontal="center" vertical="center"/>
    </xf>
    <xf numFmtId="165" fontId="8" fillId="13" borderId="0" xfId="0" applyNumberFormat="1" applyFont="1" applyFill="1" applyAlignment="1">
      <alignment horizontal="center" vertical="center"/>
    </xf>
    <xf numFmtId="0" fontId="2" fillId="14" borderId="3" xfId="0" applyNumberFormat="1" applyFont="1" applyFill="1" applyBorder="1" applyAlignment="1">
      <alignment horizontal="center" vertical="center"/>
    </xf>
    <xf numFmtId="0" fontId="13" fillId="0" borderId="0" xfId="0" applyNumberFormat="1" applyFont="1" applyAlignment="1">
      <alignment vertical="center"/>
    </xf>
    <xf numFmtId="0" fontId="6" fillId="15" borderId="0" xfId="0" applyNumberFormat="1" applyFont="1" applyFill="1" applyAlignment="1">
      <alignment vertical="center"/>
    </xf>
    <xf numFmtId="167" fontId="6" fillId="0" borderId="0" xfId="0" applyNumberFormat="1" applyFont="1" applyAlignment="1">
      <alignment horizontal="center" vertical="center"/>
    </xf>
    <xf numFmtId="1" fontId="6" fillId="15" borderId="0" xfId="0" applyNumberFormat="1" applyFont="1" applyFill="1" applyAlignment="1">
      <alignment vertical="center"/>
    </xf>
    <xf numFmtId="167" fontId="6" fillId="15" borderId="0" xfId="0" applyNumberFormat="1" applyFont="1" applyFill="1" applyAlignment="1">
      <alignment horizontal="center" vertical="center"/>
    </xf>
    <xf numFmtId="0" fontId="6" fillId="0" borderId="0" xfId="0" applyNumberFormat="1" applyFont="1" applyAlignment="1">
      <alignment horizontal="center" vertical="center"/>
    </xf>
    <xf numFmtId="165" fontId="8" fillId="0" borderId="0" xfId="0" applyNumberFormat="1" applyFont="1" applyAlignment="1">
      <alignment horizontal="center" vertical="center"/>
    </xf>
    <xf numFmtId="0" fontId="6" fillId="16" borderId="8" xfId="0" applyNumberFormat="1" applyFont="1" applyFill="1" applyBorder="1" applyAlignment="1">
      <alignment vertical="center"/>
    </xf>
    <xf numFmtId="0" fontId="6" fillId="16" borderId="9" xfId="0" applyNumberFormat="1" applyFont="1" applyFill="1" applyBorder="1" applyAlignment="1">
      <alignment vertical="center"/>
    </xf>
    <xf numFmtId="167" fontId="13" fillId="16" borderId="0" xfId="0" applyNumberFormat="1" applyFont="1" applyFill="1" applyAlignment="1">
      <alignment vertical="center"/>
    </xf>
    <xf numFmtId="1" fontId="6" fillId="16" borderId="0" xfId="0" applyNumberFormat="1" applyFont="1" applyFill="1" applyAlignment="1">
      <alignment vertical="center"/>
    </xf>
    <xf numFmtId="167" fontId="6" fillId="16" borderId="0" xfId="0" applyNumberFormat="1" applyFont="1" applyFill="1" applyAlignment="1">
      <alignment horizontal="center" vertical="center"/>
    </xf>
    <xf numFmtId="0" fontId="6" fillId="16" borderId="0" xfId="0" applyNumberFormat="1" applyFont="1" applyFill="1" applyAlignment="1">
      <alignment horizontal="center" vertical="center"/>
    </xf>
    <xf numFmtId="164" fontId="14" fillId="17" borderId="3" xfId="2" applyFont="1" applyFill="1" applyBorder="1" applyAlignment="1">
      <alignment vertical="center"/>
    </xf>
    <xf numFmtId="165" fontId="15" fillId="17" borderId="0" xfId="2" applyNumberFormat="1" applyFont="1" applyFill="1" applyAlignment="1">
      <alignment vertical="center"/>
    </xf>
    <xf numFmtId="0" fontId="16" fillId="3" borderId="10" xfId="0" applyNumberFormat="1" applyFont="1" applyFill="1" applyBorder="1" applyAlignment="1">
      <alignment horizontal="center" vertical="center"/>
    </xf>
    <xf numFmtId="0" fontId="8" fillId="3" borderId="11" xfId="0" applyNumberFormat="1" applyFont="1" applyFill="1" applyBorder="1" applyAlignment="1">
      <alignment horizontal="center" vertical="center"/>
    </xf>
    <xf numFmtId="167" fontId="8" fillId="3" borderId="12" xfId="0" applyNumberFormat="1" applyFont="1" applyFill="1" applyBorder="1" applyAlignment="1">
      <alignment vertical="center"/>
    </xf>
    <xf numFmtId="1" fontId="8" fillId="3" borderId="13" xfId="0" applyNumberFormat="1" applyFont="1" applyFill="1" applyBorder="1" applyAlignment="1">
      <alignment vertical="center"/>
    </xf>
    <xf numFmtId="167" fontId="8" fillId="3" borderId="14" xfId="0" applyNumberFormat="1" applyFont="1" applyFill="1" applyBorder="1" applyAlignment="1">
      <alignment horizontal="center" vertical="center"/>
    </xf>
    <xf numFmtId="0" fontId="8" fillId="3" borderId="14" xfId="0" applyNumberFormat="1" applyFont="1" applyFill="1" applyBorder="1" applyAlignment="1">
      <alignment horizontal="center" vertical="center"/>
    </xf>
    <xf numFmtId="167" fontId="16" fillId="3" borderId="14" xfId="0" applyNumberFormat="1" applyFont="1" applyFill="1" applyBorder="1" applyAlignment="1">
      <alignment horizontal="center" vertical="center"/>
    </xf>
    <xf numFmtId="165" fontId="17" fillId="3" borderId="14" xfId="0" applyNumberFormat="1" applyFont="1" applyFill="1" applyBorder="1" applyAlignment="1">
      <alignment horizontal="center" vertical="center"/>
    </xf>
    <xf numFmtId="0" fontId="16" fillId="3" borderId="15" xfId="0" applyNumberFormat="1" applyFont="1" applyFill="1" applyBorder="1" applyAlignment="1">
      <alignment horizontal="center" vertical="center"/>
    </xf>
    <xf numFmtId="0" fontId="8" fillId="3" borderId="16" xfId="0" applyNumberFormat="1" applyFont="1" applyFill="1" applyBorder="1" applyAlignment="1">
      <alignment horizontal="center" vertical="center"/>
    </xf>
    <xf numFmtId="167" fontId="8" fillId="3" borderId="17" xfId="0" applyNumberFormat="1" applyFont="1" applyFill="1" applyBorder="1" applyAlignment="1">
      <alignment vertical="center"/>
    </xf>
    <xf numFmtId="1" fontId="8" fillId="3" borderId="18" xfId="0" applyNumberFormat="1" applyFont="1" applyFill="1" applyBorder="1" applyAlignment="1">
      <alignment vertical="center"/>
    </xf>
    <xf numFmtId="167" fontId="8" fillId="3" borderId="19" xfId="0" applyNumberFormat="1" applyFont="1" applyFill="1" applyBorder="1" applyAlignment="1">
      <alignment horizontal="center" vertical="center"/>
    </xf>
    <xf numFmtId="0" fontId="8" fillId="3" borderId="19" xfId="0" applyNumberFormat="1" applyFont="1" applyFill="1" applyBorder="1" applyAlignment="1">
      <alignment horizontal="center" vertical="center"/>
    </xf>
    <xf numFmtId="167" fontId="16" fillId="3" borderId="19" xfId="0" applyNumberFormat="1" applyFont="1" applyFill="1" applyBorder="1" applyAlignment="1">
      <alignment horizontal="center" vertical="center"/>
    </xf>
    <xf numFmtId="165" fontId="17" fillId="3" borderId="19" xfId="0" applyNumberFormat="1" applyFont="1" applyFill="1" applyBorder="1" applyAlignment="1">
      <alignment horizontal="center" vertical="center"/>
    </xf>
    <xf numFmtId="0" fontId="16" fillId="18" borderId="15" xfId="0" applyNumberFormat="1" applyFont="1" applyFill="1" applyBorder="1" applyAlignment="1">
      <alignment horizontal="center" vertical="center"/>
    </xf>
    <xf numFmtId="0" fontId="8" fillId="0" borderId="16" xfId="0" applyNumberFormat="1" applyFont="1" applyBorder="1" applyAlignment="1">
      <alignment horizontal="center" vertical="center"/>
    </xf>
    <xf numFmtId="167" fontId="8" fillId="0" borderId="17" xfId="0" applyNumberFormat="1" applyFont="1" applyBorder="1" applyAlignment="1">
      <alignment vertical="center"/>
    </xf>
    <xf numFmtId="1" fontId="8" fillId="0" borderId="18" xfId="0" applyNumberFormat="1" applyFont="1" applyFill="1" applyBorder="1" applyAlignment="1">
      <alignment vertical="center"/>
    </xf>
    <xf numFmtId="167" fontId="8" fillId="0" borderId="19" xfId="0" applyNumberFormat="1" applyFont="1" applyBorder="1" applyAlignment="1">
      <alignment horizontal="center" vertical="center"/>
    </xf>
    <xf numFmtId="0" fontId="8" fillId="0" borderId="19" xfId="0" applyNumberFormat="1" applyFont="1" applyBorder="1" applyAlignment="1">
      <alignment horizontal="center" vertical="center"/>
    </xf>
    <xf numFmtId="167" fontId="16" fillId="19" borderId="20" xfId="0" applyNumberFormat="1" applyFont="1" applyFill="1" applyBorder="1" applyAlignment="1">
      <alignment horizontal="center" vertical="center"/>
    </xf>
    <xf numFmtId="165" fontId="17" fillId="0" borderId="19" xfId="0" applyNumberFormat="1" applyFont="1" applyFill="1" applyBorder="1" applyAlignment="1">
      <alignment horizontal="center" vertical="center"/>
    </xf>
    <xf numFmtId="0" fontId="8" fillId="3" borderId="15" xfId="0" applyNumberFormat="1" applyFont="1" applyFill="1" applyBorder="1" applyAlignment="1">
      <alignment horizontal="center" vertical="center"/>
    </xf>
    <xf numFmtId="167" fontId="8" fillId="15" borderId="17" xfId="0" applyNumberFormat="1" applyFont="1" applyFill="1" applyBorder="1" applyAlignment="1">
      <alignment vertical="center"/>
    </xf>
    <xf numFmtId="1" fontId="8" fillId="0" borderId="18" xfId="0" applyNumberFormat="1" applyFont="1" applyBorder="1" applyAlignment="1">
      <alignment vertical="center"/>
    </xf>
    <xf numFmtId="0" fontId="8" fillId="15" borderId="19" xfId="0" applyNumberFormat="1" applyFont="1" applyFill="1" applyBorder="1" applyAlignment="1">
      <alignment horizontal="center" vertical="center"/>
    </xf>
    <xf numFmtId="0" fontId="8" fillId="4" borderId="16" xfId="0" applyNumberFormat="1" applyFont="1" applyFill="1" applyBorder="1" applyAlignment="1">
      <alignment horizontal="center" vertical="center"/>
    </xf>
    <xf numFmtId="167" fontId="8" fillId="4" borderId="17" xfId="0" applyNumberFormat="1" applyFont="1" applyFill="1" applyBorder="1" applyAlignment="1">
      <alignment vertical="center"/>
    </xf>
    <xf numFmtId="1" fontId="8" fillId="4" borderId="18" xfId="0" applyNumberFormat="1" applyFont="1" applyFill="1" applyBorder="1" applyAlignment="1">
      <alignment vertical="center"/>
    </xf>
    <xf numFmtId="167" fontId="18" fillId="3" borderId="19" xfId="0" applyNumberFormat="1" applyFont="1" applyFill="1" applyBorder="1" applyAlignment="1">
      <alignment horizontal="center" vertical="center"/>
    </xf>
    <xf numFmtId="0" fontId="16" fillId="3" borderId="21" xfId="0" applyNumberFormat="1" applyFont="1" applyFill="1" applyBorder="1" applyAlignment="1">
      <alignment horizontal="center" vertical="center"/>
    </xf>
    <xf numFmtId="0" fontId="8" fillId="3" borderId="22" xfId="0" applyNumberFormat="1" applyFont="1" applyFill="1" applyBorder="1" applyAlignment="1">
      <alignment horizontal="center" vertical="center"/>
    </xf>
    <xf numFmtId="167" fontId="8" fillId="3" borderId="23" xfId="0" applyNumberFormat="1" applyFont="1" applyFill="1" applyBorder="1" applyAlignment="1">
      <alignment vertical="center"/>
    </xf>
    <xf numFmtId="1" fontId="8" fillId="3" borderId="24" xfId="0" applyNumberFormat="1" applyFont="1" applyFill="1" applyBorder="1" applyAlignment="1">
      <alignment vertical="center"/>
    </xf>
    <xf numFmtId="167" fontId="8" fillId="3" borderId="20" xfId="0" applyNumberFormat="1" applyFont="1" applyFill="1" applyBorder="1" applyAlignment="1">
      <alignment horizontal="center" vertical="center"/>
    </xf>
    <xf numFmtId="0" fontId="8" fillId="3" borderId="20" xfId="0" applyNumberFormat="1" applyFont="1" applyFill="1" applyBorder="1" applyAlignment="1">
      <alignment horizontal="center" vertical="center"/>
    </xf>
    <xf numFmtId="167" fontId="16" fillId="3" borderId="20" xfId="0" applyNumberFormat="1" applyFont="1" applyFill="1" applyBorder="1" applyAlignment="1">
      <alignment horizontal="center" vertical="center"/>
    </xf>
    <xf numFmtId="167" fontId="0" fillId="0" borderId="0" xfId="0" applyNumberFormat="1" applyFont="1" applyBorder="1" applyAlignment="1">
      <alignment vertical="center"/>
    </xf>
    <xf numFmtId="0" fontId="8" fillId="0" borderId="0" xfId="0" applyNumberFormat="1" applyFont="1" applyBorder="1" applyAlignment="1">
      <alignment vertical="center"/>
    </xf>
    <xf numFmtId="167" fontId="8" fillId="0" borderId="0" xfId="0" applyNumberFormat="1" applyFont="1" applyBorder="1" applyAlignment="1">
      <alignment vertical="center"/>
    </xf>
    <xf numFmtId="1" fontId="8" fillId="0" borderId="0" xfId="0" applyNumberFormat="1" applyFont="1" applyBorder="1" applyAlignment="1">
      <alignment vertical="center"/>
    </xf>
    <xf numFmtId="167" fontId="8" fillId="0" borderId="0" xfId="0" applyNumberFormat="1" applyFont="1" applyBorder="1" applyAlignment="1">
      <alignment horizontal="center" vertical="center"/>
    </xf>
    <xf numFmtId="0" fontId="8" fillId="0" borderId="0" xfId="0" applyNumberFormat="1" applyFont="1" applyBorder="1" applyAlignment="1">
      <alignment horizontal="center" vertical="center"/>
    </xf>
    <xf numFmtId="165" fontId="10" fillId="0" borderId="0" xfId="0" applyNumberFormat="1" applyFont="1" applyBorder="1" applyAlignment="1">
      <alignment horizontal="center" vertical="center"/>
    </xf>
    <xf numFmtId="0" fontId="6" fillId="16" borderId="3" xfId="0" applyNumberFormat="1" applyFont="1" applyFill="1" applyBorder="1" applyAlignment="1">
      <alignment vertical="center"/>
    </xf>
    <xf numFmtId="0" fontId="8" fillId="16" borderId="0" xfId="2" applyNumberFormat="1" applyFont="1" applyFill="1" applyAlignment="1">
      <alignment vertical="center"/>
    </xf>
    <xf numFmtId="164" fontId="8" fillId="16" borderId="0" xfId="2" applyFont="1" applyFill="1" applyAlignment="1">
      <alignment vertical="center"/>
    </xf>
    <xf numFmtId="1" fontId="8" fillId="16" borderId="0" xfId="2" applyNumberFormat="1" applyFont="1" applyFill="1" applyAlignment="1">
      <alignment vertical="center"/>
    </xf>
    <xf numFmtId="13" fontId="8" fillId="16" borderId="0" xfId="2" applyNumberFormat="1" applyFont="1" applyFill="1" applyAlignment="1">
      <alignment horizontal="center" vertical="center"/>
    </xf>
    <xf numFmtId="0" fontId="8" fillId="16" borderId="0" xfId="2" applyNumberFormat="1" applyFont="1" applyFill="1" applyAlignment="1">
      <alignment horizontal="center" vertical="center"/>
    </xf>
    <xf numFmtId="0" fontId="16" fillId="3" borderId="25" xfId="0" applyNumberFormat="1" applyFont="1" applyFill="1" applyBorder="1" applyAlignment="1">
      <alignment horizontal="center" vertical="center"/>
    </xf>
    <xf numFmtId="167" fontId="8" fillId="3" borderId="26" xfId="0" applyNumberFormat="1" applyFont="1" applyFill="1" applyBorder="1" applyAlignment="1">
      <alignment vertical="center"/>
    </xf>
    <xf numFmtId="167" fontId="18" fillId="3" borderId="27" xfId="0" applyNumberFormat="1" applyFont="1" applyFill="1" applyBorder="1" applyAlignment="1">
      <alignment horizontal="center" vertical="center"/>
    </xf>
    <xf numFmtId="0" fontId="8" fillId="3" borderId="27" xfId="0" applyNumberFormat="1" applyFont="1" applyFill="1" applyBorder="1" applyAlignment="1">
      <alignment horizontal="center" vertical="center"/>
    </xf>
    <xf numFmtId="167" fontId="16" fillId="3" borderId="28" xfId="0" applyNumberFormat="1" applyFont="1" applyFill="1" applyBorder="1" applyAlignment="1">
      <alignment horizontal="center" vertical="center"/>
    </xf>
    <xf numFmtId="165" fontId="17" fillId="3" borderId="29" xfId="0" applyNumberFormat="1" applyFont="1" applyFill="1" applyBorder="1" applyAlignment="1">
      <alignment horizontal="center" vertical="center"/>
    </xf>
    <xf numFmtId="167" fontId="8" fillId="0" borderId="30" xfId="0" applyNumberFormat="1" applyFont="1" applyBorder="1" applyAlignment="1">
      <alignment vertical="center"/>
    </xf>
    <xf numFmtId="167" fontId="8" fillId="0" borderId="31" xfId="0" applyNumberFormat="1" applyFont="1" applyBorder="1" applyAlignment="1">
      <alignment horizontal="center" vertical="center"/>
    </xf>
    <xf numFmtId="0" fontId="8" fillId="0" borderId="31" xfId="0" applyNumberFormat="1" applyFont="1" applyBorder="1" applyAlignment="1">
      <alignment horizontal="center" vertical="center"/>
    </xf>
    <xf numFmtId="167" fontId="16" fillId="19" borderId="31" xfId="0" applyNumberFormat="1" applyFont="1" applyFill="1" applyBorder="1" applyAlignment="1">
      <alignment horizontal="center" vertical="center"/>
    </xf>
    <xf numFmtId="165" fontId="16" fillId="0" borderId="31" xfId="0" applyNumberFormat="1" applyFont="1" applyBorder="1" applyAlignment="1">
      <alignment horizontal="center" vertical="center"/>
    </xf>
    <xf numFmtId="167" fontId="16" fillId="3" borderId="17" xfId="0" applyNumberFormat="1" applyFont="1" applyFill="1" applyBorder="1" applyAlignment="1">
      <alignment vertical="center"/>
    </xf>
    <xf numFmtId="1" fontId="16" fillId="3" borderId="18" xfId="0" applyNumberFormat="1" applyFont="1" applyFill="1" applyBorder="1" applyAlignment="1">
      <alignment vertical="center"/>
    </xf>
    <xf numFmtId="0" fontId="16" fillId="3" borderId="19" xfId="0" applyNumberFormat="1" applyFont="1" applyFill="1" applyBorder="1" applyAlignment="1">
      <alignment horizontal="center" vertical="center"/>
    </xf>
    <xf numFmtId="167" fontId="16" fillId="19" borderId="19" xfId="0" applyNumberFormat="1" applyFont="1" applyFill="1" applyBorder="1" applyAlignment="1">
      <alignment horizontal="center" vertical="center"/>
    </xf>
    <xf numFmtId="165" fontId="16" fillId="0" borderId="19" xfId="0" applyNumberFormat="1" applyFont="1" applyBorder="1" applyAlignment="1">
      <alignment horizontal="center" vertical="center"/>
    </xf>
    <xf numFmtId="0" fontId="16" fillId="18" borderId="21" xfId="0" applyNumberFormat="1" applyFont="1" applyFill="1" applyBorder="1" applyAlignment="1">
      <alignment horizontal="center" vertical="center"/>
    </xf>
    <xf numFmtId="0" fontId="8" fillId="0" borderId="22" xfId="0" applyNumberFormat="1" applyFont="1" applyBorder="1" applyAlignment="1">
      <alignment horizontal="center" vertical="center"/>
    </xf>
    <xf numFmtId="167" fontId="8" fillId="15" borderId="23" xfId="0" applyNumberFormat="1" applyFont="1" applyFill="1" applyBorder="1" applyAlignment="1">
      <alignment vertical="center"/>
    </xf>
    <xf numFmtId="1" fontId="8" fillId="0" borderId="24" xfId="0" applyNumberFormat="1" applyFont="1" applyBorder="1" applyAlignment="1">
      <alignment vertical="center"/>
    </xf>
    <xf numFmtId="167" fontId="8" fillId="0" borderId="20" xfId="0" applyNumberFormat="1" applyFont="1" applyBorder="1" applyAlignment="1">
      <alignment horizontal="center" vertical="center"/>
    </xf>
    <xf numFmtId="0" fontId="8" fillId="15" borderId="20" xfId="0" applyNumberFormat="1" applyFont="1" applyFill="1" applyBorder="1" applyAlignment="1">
      <alignment horizontal="center" vertical="center"/>
    </xf>
    <xf numFmtId="165" fontId="16" fillId="0" borderId="20" xfId="0" applyNumberFormat="1" applyFont="1" applyBorder="1" applyAlignment="1">
      <alignment horizontal="center" vertical="center"/>
    </xf>
    <xf numFmtId="167" fontId="0" fillId="0" borderId="0" xfId="0" applyNumberFormat="1" applyFont="1" applyAlignment="1">
      <alignment vertical="center"/>
    </xf>
    <xf numFmtId="0" fontId="8" fillId="0" borderId="0" xfId="0" applyNumberFormat="1" applyFont="1" applyAlignment="1">
      <alignment vertical="center"/>
    </xf>
    <xf numFmtId="167" fontId="8" fillId="0" borderId="0" xfId="0" applyNumberFormat="1" applyFont="1" applyAlignment="1">
      <alignment vertical="center"/>
    </xf>
    <xf numFmtId="167" fontId="0" fillId="0" borderId="0" xfId="0" applyNumberFormat="1" applyFont="1" applyAlignment="1">
      <alignment horizontal="center" vertical="center"/>
    </xf>
    <xf numFmtId="167" fontId="8" fillId="0" borderId="0" xfId="0" applyNumberFormat="1" applyFont="1" applyAlignment="1">
      <alignment horizontal="center" vertical="center"/>
    </xf>
    <xf numFmtId="0" fontId="8" fillId="0" borderId="0" xfId="0" applyNumberFormat="1" applyFont="1" applyAlignment="1">
      <alignment horizontal="center" vertical="center"/>
    </xf>
    <xf numFmtId="0" fontId="8" fillId="16" borderId="32" xfId="2" applyNumberFormat="1" applyFont="1" applyFill="1" applyBorder="1" applyAlignment="1">
      <alignment vertical="center"/>
    </xf>
    <xf numFmtId="164" fontId="8" fillId="16" borderId="32" xfId="2" applyFont="1" applyFill="1" applyBorder="1" applyAlignment="1">
      <alignment vertical="center"/>
    </xf>
    <xf numFmtId="1" fontId="8" fillId="16" borderId="32" xfId="2" applyNumberFormat="1" applyFont="1" applyFill="1" applyBorder="1" applyAlignment="1">
      <alignment vertical="center"/>
    </xf>
    <xf numFmtId="165" fontId="15" fillId="17" borderId="32" xfId="2" applyNumberFormat="1" applyFont="1" applyFill="1" applyBorder="1" applyAlignment="1">
      <alignment vertical="center"/>
    </xf>
    <xf numFmtId="167" fontId="8" fillId="19" borderId="17" xfId="0" applyNumberFormat="1" applyFont="1" applyFill="1" applyBorder="1" applyAlignment="1">
      <alignment vertical="center"/>
    </xf>
    <xf numFmtId="0" fontId="16" fillId="19" borderId="15" xfId="0" applyNumberFormat="1" applyFont="1" applyFill="1" applyBorder="1" applyAlignment="1">
      <alignment horizontal="center" vertical="center"/>
    </xf>
    <xf numFmtId="0" fontId="8" fillId="19" borderId="16" xfId="0" applyNumberFormat="1" applyFont="1" applyFill="1" applyBorder="1" applyAlignment="1">
      <alignment horizontal="center" vertical="center"/>
    </xf>
    <xf numFmtId="1" fontId="8" fillId="19" borderId="18" xfId="0" applyNumberFormat="1" applyFont="1" applyFill="1" applyBorder="1" applyAlignment="1">
      <alignment vertical="center"/>
    </xf>
    <xf numFmtId="167" fontId="8" fillId="19" borderId="19" xfId="0" applyNumberFormat="1" applyFont="1" applyFill="1" applyBorder="1" applyAlignment="1">
      <alignment horizontal="center" vertical="center"/>
    </xf>
    <xf numFmtId="0" fontId="8" fillId="19" borderId="19" xfId="0" applyNumberFormat="1" applyFont="1" applyFill="1" applyBorder="1" applyAlignment="1">
      <alignment horizontal="center" vertical="center"/>
    </xf>
    <xf numFmtId="165" fontId="16" fillId="19" borderId="19" xfId="0" applyNumberFormat="1" applyFont="1" applyFill="1" applyBorder="1" applyAlignment="1">
      <alignment horizontal="center" vertical="center"/>
    </xf>
    <xf numFmtId="0" fontId="16" fillId="19" borderId="21" xfId="0" applyNumberFormat="1" applyFont="1" applyFill="1" applyBorder="1" applyAlignment="1">
      <alignment horizontal="center" vertical="center"/>
    </xf>
    <xf numFmtId="0" fontId="8" fillId="19" borderId="22" xfId="0" applyNumberFormat="1" applyFont="1" applyFill="1" applyBorder="1" applyAlignment="1">
      <alignment horizontal="center" vertical="center"/>
    </xf>
    <xf numFmtId="167" fontId="16" fillId="19" borderId="23" xfId="0" applyNumberFormat="1" applyFont="1" applyFill="1" applyBorder="1" applyAlignment="1">
      <alignment horizontal="left" vertical="center"/>
    </xf>
    <xf numFmtId="1" fontId="8" fillId="19" borderId="24" xfId="0" applyNumberFormat="1" applyFont="1" applyFill="1" applyBorder="1" applyAlignment="1">
      <alignment vertical="center"/>
    </xf>
    <xf numFmtId="167" fontId="8" fillId="19" borderId="20" xfId="0" applyNumberFormat="1" applyFont="1" applyFill="1" applyBorder="1" applyAlignment="1">
      <alignment horizontal="center" vertical="center"/>
    </xf>
    <xf numFmtId="0" fontId="8" fillId="19" borderId="20" xfId="0" applyNumberFormat="1" applyFont="1" applyFill="1" applyBorder="1" applyAlignment="1">
      <alignment horizontal="center" vertical="center"/>
    </xf>
    <xf numFmtId="165" fontId="16" fillId="19" borderId="20" xfId="0" applyNumberFormat="1" applyFont="1" applyFill="1" applyBorder="1" applyAlignment="1">
      <alignment horizontal="center" vertical="center"/>
    </xf>
    <xf numFmtId="168" fontId="8" fillId="0" borderId="0" xfId="0" applyNumberFormat="1" applyFont="1" applyBorder="1" applyAlignment="1">
      <alignment vertical="center"/>
    </xf>
    <xf numFmtId="168" fontId="8" fillId="0" borderId="0" xfId="0" applyNumberFormat="1" applyFont="1" applyBorder="1" applyAlignment="1">
      <alignment horizontal="center" vertical="center"/>
    </xf>
    <xf numFmtId="0" fontId="6" fillId="16" borderId="3" xfId="0" applyNumberFormat="1" applyFont="1" applyFill="1" applyBorder="1" applyAlignment="1">
      <alignment horizontal="left" vertical="center"/>
    </xf>
    <xf numFmtId="0" fontId="6" fillId="16" borderId="32" xfId="0" applyNumberFormat="1" applyFont="1" applyFill="1" applyBorder="1" applyAlignment="1">
      <alignment vertical="center"/>
    </xf>
    <xf numFmtId="167" fontId="6" fillId="16" borderId="32" xfId="0" applyNumberFormat="1" applyFont="1" applyFill="1" applyBorder="1" applyAlignment="1">
      <alignment vertical="center"/>
    </xf>
    <xf numFmtId="1" fontId="6" fillId="16" borderId="32" xfId="0" applyNumberFormat="1" applyFont="1" applyFill="1" applyBorder="1" applyAlignment="1">
      <alignment vertical="center"/>
    </xf>
    <xf numFmtId="0" fontId="8" fillId="15" borderId="16" xfId="0" applyNumberFormat="1" applyFont="1" applyFill="1" applyBorder="1" applyAlignment="1">
      <alignment horizontal="center" vertical="center"/>
    </xf>
    <xf numFmtId="165" fontId="19" fillId="3" borderId="19" xfId="0" applyNumberFormat="1" applyFont="1" applyFill="1" applyBorder="1" applyAlignment="1">
      <alignment horizontal="center" vertical="center"/>
    </xf>
    <xf numFmtId="0" fontId="16" fillId="19" borderId="22" xfId="0" applyNumberFormat="1" applyFont="1" applyFill="1" applyBorder="1" applyAlignment="1">
      <alignment horizontal="center" vertical="center"/>
    </xf>
    <xf numFmtId="167" fontId="16" fillId="19" borderId="23" xfId="0" applyNumberFormat="1" applyFont="1" applyFill="1" applyBorder="1" applyAlignment="1">
      <alignment vertical="center"/>
    </xf>
    <xf numFmtId="1" fontId="16" fillId="19" borderId="24" xfId="0" applyNumberFormat="1" applyFont="1" applyFill="1" applyBorder="1" applyAlignment="1">
      <alignment vertical="center"/>
    </xf>
    <xf numFmtId="0" fontId="16" fillId="19" borderId="20" xfId="0" applyNumberFormat="1" applyFont="1" applyFill="1" applyBorder="1" applyAlignment="1">
      <alignment horizontal="center" vertical="center"/>
    </xf>
    <xf numFmtId="0" fontId="8" fillId="16" borderId="32" xfId="0" applyNumberFormat="1" applyFont="1" applyFill="1" applyBorder="1" applyAlignment="1">
      <alignment vertical="center"/>
    </xf>
    <xf numFmtId="169" fontId="8" fillId="16" borderId="32" xfId="0" applyNumberFormat="1" applyFont="1" applyFill="1" applyBorder="1" applyAlignment="1">
      <alignment vertical="center"/>
    </xf>
    <xf numFmtId="1" fontId="8" fillId="16" borderId="32" xfId="0" applyNumberFormat="1" applyFont="1" applyFill="1" applyBorder="1" applyAlignment="1">
      <alignment vertical="center"/>
    </xf>
    <xf numFmtId="0" fontId="8" fillId="3" borderId="33" xfId="0" applyNumberFormat="1" applyFont="1" applyFill="1" applyBorder="1" applyAlignment="1">
      <alignment horizontal="center" vertical="center"/>
    </xf>
    <xf numFmtId="1" fontId="8" fillId="15" borderId="18" xfId="0" applyNumberFormat="1" applyFont="1" applyFill="1" applyBorder="1" applyAlignment="1">
      <alignment vertical="center"/>
    </xf>
    <xf numFmtId="167" fontId="8" fillId="15" borderId="19" xfId="0" applyNumberFormat="1" applyFont="1" applyFill="1" applyBorder="1" applyAlignment="1">
      <alignment horizontal="center" vertical="center"/>
    </xf>
    <xf numFmtId="165" fontId="10" fillId="0" borderId="19" xfId="0" applyNumberFormat="1" applyFont="1" applyBorder="1" applyAlignment="1">
      <alignment vertical="center"/>
    </xf>
    <xf numFmtId="165" fontId="10" fillId="4" borderId="19" xfId="0" applyNumberFormat="1" applyFont="1" applyFill="1" applyBorder="1" applyAlignment="1">
      <alignment vertical="center"/>
    </xf>
    <xf numFmtId="0" fontId="8" fillId="15" borderId="0" xfId="0" applyNumberFormat="1" applyFont="1" applyFill="1" applyBorder="1" applyAlignment="1">
      <alignment horizontal="center" vertical="center"/>
    </xf>
    <xf numFmtId="167" fontId="8" fillId="15" borderId="0" xfId="0" applyNumberFormat="1" applyFont="1" applyFill="1" applyBorder="1" applyAlignment="1">
      <alignment vertical="center"/>
    </xf>
    <xf numFmtId="1" fontId="8" fillId="15" borderId="0" xfId="0" applyNumberFormat="1" applyFont="1" applyFill="1" applyBorder="1" applyAlignment="1">
      <alignment vertical="center"/>
    </xf>
    <xf numFmtId="167" fontId="8" fillId="15" borderId="0" xfId="0" applyNumberFormat="1" applyFont="1" applyFill="1" applyBorder="1" applyAlignment="1">
      <alignment horizontal="center" vertical="center"/>
    </xf>
    <xf numFmtId="167" fontId="16" fillId="16" borderId="32" xfId="0" applyNumberFormat="1" applyFont="1" applyFill="1" applyBorder="1" applyAlignment="1">
      <alignment vertical="center"/>
    </xf>
    <xf numFmtId="167" fontId="16" fillId="4" borderId="19" xfId="0" applyNumberFormat="1" applyFont="1" applyFill="1" applyBorder="1" applyAlignment="1">
      <alignment horizontal="center" vertical="center"/>
    </xf>
    <xf numFmtId="165" fontId="16" fillId="4" borderId="19" xfId="0" applyNumberFormat="1" applyFont="1" applyFill="1" applyBorder="1" applyAlignment="1">
      <alignment horizontal="center" vertical="center"/>
    </xf>
    <xf numFmtId="1" fontId="16" fillId="16" borderId="32" xfId="0" applyNumberFormat="1" applyFont="1" applyFill="1" applyBorder="1" applyAlignment="1">
      <alignment vertical="center"/>
    </xf>
    <xf numFmtId="167" fontId="18" fillId="4" borderId="19" xfId="0" applyNumberFormat="1" applyFont="1" applyFill="1" applyBorder="1" applyAlignment="1">
      <alignment horizontal="center" vertical="center"/>
    </xf>
    <xf numFmtId="0" fontId="8" fillId="15" borderId="0" xfId="0" applyNumberFormat="1" applyFont="1" applyFill="1" applyBorder="1" applyAlignment="1">
      <alignment vertical="center"/>
    </xf>
    <xf numFmtId="165" fontId="10" fillId="0" borderId="0" xfId="0" applyNumberFormat="1" applyFont="1" applyBorder="1" applyAlignment="1">
      <alignment vertical="center"/>
    </xf>
    <xf numFmtId="0" fontId="13" fillId="16" borderId="3" xfId="0" applyNumberFormat="1" applyFont="1" applyFill="1" applyBorder="1" applyAlignment="1">
      <alignment vertical="center"/>
    </xf>
    <xf numFmtId="167" fontId="8" fillId="0" borderId="19" xfId="0" applyNumberFormat="1" applyFont="1" applyFill="1" applyBorder="1" applyAlignment="1">
      <alignment horizontal="center" vertical="center"/>
    </xf>
    <xf numFmtId="0" fontId="8" fillId="0" borderId="19" xfId="0" applyNumberFormat="1" applyFont="1" applyFill="1" applyBorder="1" applyAlignment="1">
      <alignment horizontal="center" vertical="center"/>
    </xf>
    <xf numFmtId="0" fontId="8" fillId="0" borderId="16" xfId="0" applyNumberFormat="1" applyFont="1" applyFill="1" applyBorder="1" applyAlignment="1">
      <alignment horizontal="center" vertical="center"/>
    </xf>
    <xf numFmtId="167" fontId="8" fillId="0" borderId="17" xfId="0" applyNumberFormat="1" applyFont="1" applyFill="1" applyBorder="1" applyAlignment="1">
      <alignment vertical="center"/>
    </xf>
    <xf numFmtId="165" fontId="10" fillId="0" borderId="19" xfId="0" applyNumberFormat="1" applyFont="1" applyFill="1" applyBorder="1" applyAlignment="1">
      <alignment vertical="center"/>
    </xf>
    <xf numFmtId="165" fontId="17" fillId="3" borderId="20" xfId="0" applyNumberFormat="1" applyFont="1" applyFill="1" applyBorder="1" applyAlignment="1">
      <alignment horizontal="center" vertical="center"/>
    </xf>
    <xf numFmtId="0" fontId="16" fillId="16" borderId="32" xfId="0" applyNumberFormat="1" applyFont="1" applyFill="1" applyBorder="1" applyAlignment="1">
      <alignment vertical="center"/>
    </xf>
    <xf numFmtId="169" fontId="13" fillId="16" borderId="32" xfId="0" applyNumberFormat="1" applyFont="1" applyFill="1" applyBorder="1" applyAlignment="1">
      <alignment vertical="center"/>
    </xf>
    <xf numFmtId="165" fontId="16" fillId="3" borderId="19" xfId="0" applyNumberFormat="1" applyFont="1" applyFill="1" applyBorder="1" applyAlignment="1">
      <alignment horizontal="center" vertical="center"/>
    </xf>
    <xf numFmtId="167" fontId="16" fillId="3" borderId="29" xfId="0" applyNumberFormat="1" applyFont="1" applyFill="1" applyBorder="1" applyAlignment="1">
      <alignment horizontal="center" vertical="center"/>
    </xf>
    <xf numFmtId="167" fontId="9" fillId="0" borderId="0" xfId="0" applyFont="1" applyBorder="1"/>
    <xf numFmtId="0" fontId="16" fillId="0" borderId="0" xfId="0" applyNumberFormat="1" applyFont="1" applyBorder="1" applyAlignment="1">
      <alignment vertical="center"/>
    </xf>
    <xf numFmtId="0" fontId="13" fillId="16" borderId="32" xfId="0" applyNumberFormat="1" applyFont="1" applyFill="1" applyBorder="1" applyAlignment="1">
      <alignment horizontal="center" vertical="center"/>
    </xf>
    <xf numFmtId="167" fontId="13" fillId="16" borderId="32" xfId="0" applyNumberFormat="1" applyFont="1" applyFill="1" applyBorder="1" applyAlignment="1">
      <alignment vertical="center"/>
    </xf>
    <xf numFmtId="1" fontId="13" fillId="16" borderId="32" xfId="0" applyNumberFormat="1" applyFont="1" applyFill="1" applyBorder="1" applyAlignment="1">
      <alignment vertical="center"/>
    </xf>
    <xf numFmtId="0" fontId="16" fillId="20" borderId="25" xfId="0" applyNumberFormat="1" applyFont="1" applyFill="1" applyBorder="1" applyAlignment="1">
      <alignment horizontal="center" vertical="center"/>
    </xf>
    <xf numFmtId="0" fontId="8" fillId="20" borderId="33" xfId="0" applyNumberFormat="1" applyFont="1" applyFill="1" applyBorder="1" applyAlignment="1">
      <alignment horizontal="center" vertical="center"/>
    </xf>
    <xf numFmtId="167" fontId="8" fillId="20" borderId="12" xfId="0" applyNumberFormat="1" applyFont="1" applyFill="1" applyBorder="1" applyAlignment="1">
      <alignment vertical="center"/>
    </xf>
    <xf numFmtId="1" fontId="8" fillId="20" borderId="13" xfId="0" applyNumberFormat="1" applyFont="1" applyFill="1" applyBorder="1" applyAlignment="1">
      <alignment vertical="center"/>
    </xf>
    <xf numFmtId="167" fontId="8" fillId="8" borderId="19" xfId="0" applyNumberFormat="1" applyFont="1" applyFill="1" applyBorder="1" applyAlignment="1">
      <alignment horizontal="center" vertical="center"/>
    </xf>
    <xf numFmtId="0" fontId="8" fillId="8" borderId="19" xfId="0" applyNumberFormat="1" applyFont="1" applyFill="1" applyBorder="1" applyAlignment="1">
      <alignment horizontal="center" vertical="center"/>
    </xf>
    <xf numFmtId="165" fontId="10" fillId="21" borderId="14" xfId="0" applyNumberFormat="1" applyFont="1" applyFill="1" applyBorder="1" applyAlignment="1">
      <alignment vertical="center"/>
    </xf>
    <xf numFmtId="167" fontId="8" fillId="8" borderId="17" xfId="0" applyNumberFormat="1" applyFont="1" applyFill="1" applyBorder="1" applyAlignment="1">
      <alignment vertical="center"/>
    </xf>
    <xf numFmtId="1" fontId="20" fillId="8" borderId="18" xfId="0" applyNumberFormat="1" applyFont="1" applyFill="1" applyBorder="1" applyAlignment="1">
      <alignment vertical="center"/>
    </xf>
    <xf numFmtId="165" fontId="10" fillId="8" borderId="19" xfId="0" applyNumberFormat="1" applyFont="1" applyFill="1" applyBorder="1" applyAlignment="1">
      <alignment vertical="center"/>
    </xf>
    <xf numFmtId="1" fontId="8" fillId="8" borderId="18" xfId="0" applyNumberFormat="1" applyFont="1" applyFill="1" applyBorder="1" applyAlignment="1">
      <alignment vertical="center"/>
    </xf>
    <xf numFmtId="0" fontId="8" fillId="8" borderId="16" xfId="0" applyNumberFormat="1" applyFont="1" applyFill="1" applyBorder="1" applyAlignment="1">
      <alignment horizontal="center" vertical="center"/>
    </xf>
    <xf numFmtId="0" fontId="8" fillId="4" borderId="22" xfId="0" applyNumberFormat="1" applyFont="1" applyFill="1" applyBorder="1" applyAlignment="1">
      <alignment horizontal="center" vertical="center"/>
    </xf>
    <xf numFmtId="1" fontId="8" fillId="4" borderId="24" xfId="0" applyNumberFormat="1" applyFont="1" applyFill="1" applyBorder="1" applyAlignment="1">
      <alignment vertical="center"/>
    </xf>
    <xf numFmtId="167" fontId="18" fillId="4" borderId="20" xfId="0" applyNumberFormat="1" applyFont="1" applyFill="1" applyBorder="1" applyAlignment="1">
      <alignment horizontal="center" vertical="center"/>
    </xf>
    <xf numFmtId="0" fontId="8" fillId="4" borderId="20" xfId="0" applyNumberFormat="1" applyFont="1" applyFill="1" applyBorder="1" applyAlignment="1">
      <alignment horizontal="center" vertical="center"/>
    </xf>
    <xf numFmtId="0" fontId="6" fillId="16" borderId="32" xfId="0" applyNumberFormat="1" applyFont="1" applyFill="1" applyBorder="1" applyAlignment="1">
      <alignment horizontal="center" vertical="center"/>
    </xf>
    <xf numFmtId="167" fontId="18" fillId="3" borderId="14" xfId="0" applyNumberFormat="1" applyFont="1" applyFill="1" applyBorder="1" applyAlignment="1">
      <alignment horizontal="center" vertical="center"/>
    </xf>
    <xf numFmtId="165" fontId="16" fillId="3" borderId="14" xfId="0" applyNumberFormat="1" applyFont="1" applyFill="1" applyBorder="1" applyAlignment="1">
      <alignment horizontal="center" vertical="center"/>
    </xf>
    <xf numFmtId="167" fontId="16" fillId="19" borderId="17" xfId="0" applyNumberFormat="1" applyFont="1" applyFill="1" applyBorder="1" applyAlignment="1">
      <alignment vertical="center"/>
    </xf>
    <xf numFmtId="1" fontId="16" fillId="19" borderId="18" xfId="0" applyNumberFormat="1" applyFont="1" applyFill="1" applyBorder="1" applyAlignment="1">
      <alignment vertical="center"/>
    </xf>
    <xf numFmtId="0" fontId="16" fillId="19" borderId="19" xfId="0" applyNumberFormat="1" applyFont="1" applyFill="1" applyBorder="1" applyAlignment="1">
      <alignment horizontal="center" vertical="center"/>
    </xf>
    <xf numFmtId="0" fontId="16" fillId="4" borderId="15" xfId="0" applyNumberFormat="1" applyFont="1" applyFill="1" applyBorder="1" applyAlignment="1">
      <alignment horizontal="center" vertical="center"/>
    </xf>
    <xf numFmtId="0" fontId="8" fillId="4" borderId="19" xfId="0" applyNumberFormat="1" applyFont="1" applyFill="1" applyBorder="1" applyAlignment="1">
      <alignment horizontal="center" vertical="center"/>
    </xf>
    <xf numFmtId="167" fontId="8" fillId="19" borderId="23" xfId="0" applyNumberFormat="1" applyFont="1" applyFill="1" applyBorder="1" applyAlignment="1">
      <alignment vertical="center"/>
    </xf>
    <xf numFmtId="1" fontId="16" fillId="0" borderId="0" xfId="0" applyNumberFormat="1" applyFont="1" applyBorder="1" applyAlignment="1">
      <alignment vertical="center"/>
    </xf>
    <xf numFmtId="0" fontId="16" fillId="0" borderId="0" xfId="0" applyNumberFormat="1" applyFont="1" applyBorder="1" applyAlignment="1">
      <alignment horizontal="center" vertical="center"/>
    </xf>
    <xf numFmtId="0" fontId="16" fillId="16" borderId="3" xfId="0" applyNumberFormat="1" applyFont="1" applyFill="1" applyBorder="1" applyAlignment="1">
      <alignment vertical="center"/>
    </xf>
    <xf numFmtId="0" fontId="16" fillId="18" borderId="25" xfId="0" applyNumberFormat="1" applyFont="1" applyFill="1" applyBorder="1" applyAlignment="1">
      <alignment horizontal="center" vertical="center"/>
    </xf>
    <xf numFmtId="0" fontId="8" fillId="15" borderId="33" xfId="0" applyNumberFormat="1" applyFont="1" applyFill="1" applyBorder="1" applyAlignment="1">
      <alignment horizontal="center" vertical="center"/>
    </xf>
    <xf numFmtId="167" fontId="8" fillId="15" borderId="12" xfId="0" applyNumberFormat="1" applyFont="1" applyFill="1" applyBorder="1" applyAlignment="1">
      <alignment vertical="center"/>
    </xf>
    <xf numFmtId="1" fontId="8" fillId="15" borderId="13" xfId="0" applyNumberFormat="1" applyFont="1" applyFill="1" applyBorder="1" applyAlignment="1">
      <alignment vertical="center"/>
    </xf>
    <xf numFmtId="167" fontId="8" fillId="15" borderId="14" xfId="0" applyNumberFormat="1" applyFont="1" applyFill="1" applyBorder="1" applyAlignment="1">
      <alignment horizontal="center" vertical="center"/>
    </xf>
    <xf numFmtId="0" fontId="8" fillId="15" borderId="14" xfId="0" applyNumberFormat="1" applyFont="1" applyFill="1" applyBorder="1" applyAlignment="1">
      <alignment horizontal="center" vertical="center"/>
    </xf>
    <xf numFmtId="165" fontId="10" fillId="0" borderId="14" xfId="0" applyNumberFormat="1" applyFont="1" applyBorder="1" applyAlignment="1">
      <alignment vertical="center"/>
    </xf>
    <xf numFmtId="167" fontId="20" fillId="19" borderId="19" xfId="0" applyNumberFormat="1" applyFont="1" applyFill="1" applyBorder="1" applyAlignment="1">
      <alignment horizontal="center" vertical="center"/>
    </xf>
    <xf numFmtId="0" fontId="20" fillId="19" borderId="19" xfId="0" applyNumberFormat="1" applyFont="1" applyFill="1" applyBorder="1" applyAlignment="1">
      <alignment horizontal="center" vertical="center"/>
    </xf>
    <xf numFmtId="0" fontId="16" fillId="0" borderId="0" xfId="2" applyNumberFormat="1" applyFont="1" applyBorder="1" applyAlignment="1">
      <alignment vertical="center"/>
    </xf>
    <xf numFmtId="0" fontId="8" fillId="15" borderId="1" xfId="0" applyNumberFormat="1" applyFont="1" applyFill="1" applyBorder="1" applyAlignment="1">
      <alignment vertical="center"/>
    </xf>
    <xf numFmtId="167" fontId="16" fillId="15" borderId="0" xfId="0" applyNumberFormat="1" applyFont="1" applyFill="1" applyBorder="1" applyAlignment="1">
      <alignment vertical="center"/>
    </xf>
    <xf numFmtId="1" fontId="16" fillId="0" borderId="0" xfId="2" applyNumberFormat="1" applyFont="1" applyBorder="1" applyAlignment="1">
      <alignment vertical="center"/>
    </xf>
    <xf numFmtId="164" fontId="8" fillId="0" borderId="0" xfId="2" applyFont="1" applyBorder="1" applyAlignment="1">
      <alignment horizontal="center" vertical="center"/>
    </xf>
    <xf numFmtId="0" fontId="16" fillId="0" borderId="0" xfId="2" applyNumberFormat="1" applyFont="1" applyBorder="1" applyAlignment="1">
      <alignment horizontal="center" vertical="center"/>
    </xf>
    <xf numFmtId="0" fontId="6" fillId="16" borderId="34" xfId="0" applyNumberFormat="1" applyFont="1" applyFill="1" applyBorder="1" applyAlignment="1">
      <alignment vertical="center"/>
    </xf>
    <xf numFmtId="167" fontId="13" fillId="0" borderId="0" xfId="2" applyNumberFormat="1" applyFont="1" applyBorder="1" applyAlignment="1">
      <alignment vertical="center"/>
    </xf>
    <xf numFmtId="167" fontId="6" fillId="16" borderId="9" xfId="0" applyNumberFormat="1" applyFont="1" applyFill="1" applyBorder="1" applyAlignment="1">
      <alignment vertical="center"/>
    </xf>
    <xf numFmtId="1" fontId="16" fillId="16" borderId="0" xfId="0" applyNumberFormat="1" applyFont="1" applyFill="1" applyAlignment="1">
      <alignment vertical="center"/>
    </xf>
    <xf numFmtId="0" fontId="8" fillId="3" borderId="25" xfId="0" applyNumberFormat="1" applyFont="1" applyFill="1" applyBorder="1" applyAlignment="1">
      <alignment horizontal="center" vertical="center"/>
    </xf>
    <xf numFmtId="167" fontId="16" fillId="3" borderId="31" xfId="0" applyNumberFormat="1" applyFont="1" applyFill="1" applyBorder="1" applyAlignment="1">
      <alignment horizontal="center" vertical="center"/>
    </xf>
    <xf numFmtId="0" fontId="8" fillId="15" borderId="15" xfId="0" applyNumberFormat="1" applyFont="1" applyFill="1" applyBorder="1" applyAlignment="1">
      <alignment horizontal="center" vertical="center"/>
    </xf>
    <xf numFmtId="0" fontId="8" fillId="4" borderId="15" xfId="0" applyNumberFormat="1" applyFont="1" applyFill="1" applyBorder="1" applyAlignment="1">
      <alignment horizontal="center" vertical="center"/>
    </xf>
    <xf numFmtId="0" fontId="8" fillId="0" borderId="15" xfId="0" applyNumberFormat="1" applyFont="1" applyBorder="1" applyAlignment="1">
      <alignment horizontal="center" vertical="center"/>
    </xf>
    <xf numFmtId="167" fontId="8" fillId="4" borderId="19" xfId="0" applyNumberFormat="1" applyFont="1" applyFill="1" applyBorder="1" applyAlignment="1">
      <alignment horizontal="center" vertical="center"/>
    </xf>
    <xf numFmtId="0" fontId="8" fillId="19" borderId="15" xfId="0" applyNumberFormat="1" applyFont="1" applyFill="1" applyBorder="1" applyAlignment="1">
      <alignment horizontal="center" vertical="center"/>
    </xf>
    <xf numFmtId="0" fontId="8" fillId="3" borderId="21" xfId="0" applyNumberFormat="1" applyFont="1" applyFill="1" applyBorder="1" applyAlignment="1">
      <alignment horizontal="center" vertical="center"/>
    </xf>
    <xf numFmtId="0" fontId="0" fillId="15" borderId="0" xfId="0" applyNumberFormat="1" applyFont="1" applyFill="1" applyBorder="1" applyAlignment="1">
      <alignment vertical="center"/>
    </xf>
    <xf numFmtId="0" fontId="0" fillId="0" borderId="0" xfId="0" applyNumberFormat="1" applyFont="1" applyBorder="1" applyAlignment="1">
      <alignment vertical="center"/>
    </xf>
    <xf numFmtId="1" fontId="0" fillId="0" borderId="0" xfId="0" applyNumberFormat="1" applyFont="1" applyBorder="1" applyAlignment="1">
      <alignment vertical="center"/>
    </xf>
    <xf numFmtId="167" fontId="9" fillId="0" borderId="0" xfId="0" applyNumberFormat="1" applyFont="1" applyBorder="1" applyAlignment="1">
      <alignment horizontal="center" vertical="center"/>
    </xf>
    <xf numFmtId="0" fontId="0" fillId="0" borderId="0" xfId="0" applyNumberFormat="1" applyFont="1" applyBorder="1" applyAlignment="1">
      <alignment horizontal="center" vertical="center"/>
    </xf>
    <xf numFmtId="167" fontId="0" fillId="16" borderId="32" xfId="0" applyNumberFormat="1" applyFont="1" applyFill="1" applyBorder="1" applyAlignment="1">
      <alignment vertical="center"/>
    </xf>
    <xf numFmtId="0" fontId="8" fillId="4" borderId="25" xfId="0" applyNumberFormat="1" applyFont="1" applyFill="1" applyBorder="1" applyAlignment="1">
      <alignment horizontal="center" vertical="center"/>
    </xf>
    <xf numFmtId="167" fontId="8" fillId="4" borderId="12" xfId="0" applyNumberFormat="1" applyFont="1" applyFill="1" applyBorder="1" applyAlignment="1">
      <alignment vertical="center"/>
    </xf>
    <xf numFmtId="1" fontId="8" fillId="4" borderId="13" xfId="0" applyNumberFormat="1" applyFont="1" applyFill="1" applyBorder="1" applyAlignment="1">
      <alignment vertical="center"/>
    </xf>
    <xf numFmtId="167" fontId="8" fillId="4" borderId="14" xfId="0" applyNumberFormat="1" applyFont="1" applyFill="1" applyBorder="1" applyAlignment="1">
      <alignment horizontal="center" vertical="center"/>
    </xf>
    <xf numFmtId="0" fontId="8" fillId="4" borderId="14" xfId="0" applyNumberFormat="1" applyFont="1" applyFill="1" applyBorder="1" applyAlignment="1">
      <alignment horizontal="center" vertical="center"/>
    </xf>
    <xf numFmtId="167" fontId="16" fillId="0" borderId="19" xfId="0" applyNumberFormat="1" applyFont="1" applyBorder="1" applyAlignment="1">
      <alignment horizontal="center" vertical="center"/>
    </xf>
    <xf numFmtId="0" fontId="8" fillId="0" borderId="21" xfId="0" applyNumberFormat="1" applyFont="1" applyBorder="1" applyAlignment="1">
      <alignment horizontal="center" vertical="center"/>
    </xf>
    <xf numFmtId="167" fontId="8" fillId="0" borderId="23" xfId="0" applyNumberFormat="1" applyFont="1" applyBorder="1" applyAlignment="1">
      <alignment vertical="center"/>
    </xf>
    <xf numFmtId="0" fontId="8" fillId="0" borderId="20" xfId="0" applyNumberFormat="1" applyFont="1" applyBorder="1" applyAlignment="1">
      <alignment horizontal="center" vertical="center"/>
    </xf>
    <xf numFmtId="165" fontId="10" fillId="0" borderId="20" xfId="0" applyNumberFormat="1" applyFont="1" applyBorder="1" applyAlignment="1">
      <alignment vertical="center"/>
    </xf>
    <xf numFmtId="0" fontId="6" fillId="16" borderId="0" xfId="0" applyNumberFormat="1" applyFont="1" applyFill="1" applyAlignment="1">
      <alignment vertical="center"/>
    </xf>
    <xf numFmtId="1" fontId="8" fillId="16" borderId="0" xfId="0" applyNumberFormat="1" applyFont="1" applyFill="1" applyAlignment="1">
      <alignment vertical="center"/>
    </xf>
    <xf numFmtId="0" fontId="8" fillId="3" borderId="10" xfId="0" applyNumberFormat="1" applyFont="1" applyFill="1" applyBorder="1" applyAlignment="1">
      <alignment horizontal="center" vertical="center"/>
    </xf>
    <xf numFmtId="0" fontId="8" fillId="19" borderId="21" xfId="0" applyNumberFormat="1" applyFont="1" applyFill="1" applyBorder="1" applyAlignment="1">
      <alignment horizontal="center" vertical="center"/>
    </xf>
    <xf numFmtId="0" fontId="6" fillId="16" borderId="7" xfId="0" applyNumberFormat="1" applyFont="1" applyFill="1" applyBorder="1" applyAlignment="1">
      <alignment horizontal="left" vertical="center"/>
    </xf>
    <xf numFmtId="1" fontId="8" fillId="16" borderId="9" xfId="0" applyNumberFormat="1" applyFont="1" applyFill="1" applyBorder="1" applyAlignment="1">
      <alignment vertical="center"/>
    </xf>
    <xf numFmtId="165" fontId="15" fillId="17" borderId="9" xfId="2" applyNumberFormat="1" applyFont="1" applyFill="1" applyBorder="1" applyAlignment="1">
      <alignment vertical="center"/>
    </xf>
    <xf numFmtId="0" fontId="8" fillId="16" borderId="0" xfId="0" applyNumberFormat="1" applyFont="1" applyFill="1" applyAlignment="1">
      <alignment vertical="center"/>
    </xf>
    <xf numFmtId="167" fontId="16" fillId="16" borderId="0" xfId="0" applyNumberFormat="1" applyFont="1" applyFill="1" applyAlignment="1">
      <alignment vertical="center"/>
    </xf>
    <xf numFmtId="1" fontId="16" fillId="4" borderId="18" xfId="0" applyNumberFormat="1" applyFont="1" applyFill="1" applyBorder="1" applyAlignment="1">
      <alignment vertical="center"/>
    </xf>
    <xf numFmtId="0" fontId="8" fillId="16" borderId="9" xfId="0" applyNumberFormat="1" applyFont="1" applyFill="1" applyBorder="1" applyAlignment="1">
      <alignment vertical="center"/>
    </xf>
    <xf numFmtId="0" fontId="8" fillId="4" borderId="11" xfId="0" applyNumberFormat="1" applyFont="1" applyFill="1" applyBorder="1" applyAlignment="1">
      <alignment horizontal="center" vertical="center"/>
    </xf>
    <xf numFmtId="167" fontId="18" fillId="0" borderId="19" xfId="0" applyNumberFormat="1" applyFont="1" applyFill="1" applyBorder="1" applyAlignment="1">
      <alignment horizontal="center" vertical="center"/>
    </xf>
    <xf numFmtId="167" fontId="18" fillId="0" borderId="20" xfId="0" applyNumberFormat="1" applyFont="1" applyFill="1" applyBorder="1" applyAlignment="1">
      <alignment horizontal="center" vertical="center"/>
    </xf>
    <xf numFmtId="0" fontId="8" fillId="0" borderId="20" xfId="0" applyNumberFormat="1" applyFont="1" applyFill="1" applyBorder="1" applyAlignment="1">
      <alignment horizontal="center" vertical="center"/>
    </xf>
    <xf numFmtId="0" fontId="16" fillId="4" borderId="25" xfId="0" applyNumberFormat="1" applyFont="1" applyFill="1" applyBorder="1" applyAlignment="1">
      <alignment horizontal="center" vertical="center"/>
    </xf>
    <xf numFmtId="0" fontId="8" fillId="4" borderId="10" xfId="0" applyNumberFormat="1" applyFont="1" applyFill="1" applyBorder="1" applyAlignment="1">
      <alignment horizontal="center" vertical="center"/>
    </xf>
    <xf numFmtId="167" fontId="18" fillId="4" borderId="14" xfId="0" applyNumberFormat="1" applyFont="1" applyFill="1" applyBorder="1" applyAlignment="1">
      <alignment horizontal="center" vertical="center"/>
    </xf>
    <xf numFmtId="0" fontId="16" fillId="0" borderId="0" xfId="0" applyNumberFormat="1" applyFont="1" applyAlignment="1">
      <alignment vertical="center"/>
    </xf>
    <xf numFmtId="169" fontId="16" fillId="0" borderId="0" xfId="0" applyNumberFormat="1" applyFont="1" applyAlignment="1">
      <alignment vertical="center"/>
    </xf>
    <xf numFmtId="1" fontId="16" fillId="0" borderId="0" xfId="0" applyNumberFormat="1" applyFont="1" applyAlignment="1">
      <alignment vertical="center"/>
    </xf>
    <xf numFmtId="169" fontId="8" fillId="0" borderId="0" xfId="0" applyNumberFormat="1" applyFont="1" applyAlignment="1">
      <alignment horizontal="center" vertical="center"/>
    </xf>
    <xf numFmtId="0" fontId="16" fillId="0" borderId="0" xfId="0" applyNumberFormat="1" applyFont="1" applyAlignment="1">
      <alignment horizontal="center" vertical="center"/>
    </xf>
    <xf numFmtId="0" fontId="6" fillId="22" borderId="0" xfId="0" applyNumberFormat="1" applyFont="1" applyFill="1" applyAlignment="1">
      <alignment horizontal="left" vertical="center"/>
    </xf>
    <xf numFmtId="0" fontId="8" fillId="22" borderId="8" xfId="0" applyNumberFormat="1" applyFont="1" applyFill="1" applyBorder="1" applyAlignment="1">
      <alignment vertical="center"/>
    </xf>
    <xf numFmtId="167" fontId="8" fillId="22" borderId="9" xfId="0" applyNumberFormat="1" applyFont="1" applyFill="1" applyBorder="1" applyAlignment="1">
      <alignment vertical="center"/>
    </xf>
    <xf numFmtId="1" fontId="8" fillId="22" borderId="9" xfId="0" applyNumberFormat="1" applyFont="1" applyFill="1" applyBorder="1" applyAlignment="1">
      <alignment vertical="center"/>
    </xf>
    <xf numFmtId="167" fontId="8" fillId="22" borderId="9" xfId="0" applyNumberFormat="1" applyFont="1" applyFill="1" applyBorder="1" applyAlignment="1">
      <alignment horizontal="center" vertical="center"/>
    </xf>
    <xf numFmtId="0" fontId="8" fillId="22" borderId="9" xfId="0" applyNumberFormat="1" applyFont="1" applyFill="1" applyBorder="1" applyAlignment="1">
      <alignment horizontal="center" vertical="center"/>
    </xf>
    <xf numFmtId="164" fontId="14" fillId="17" borderId="32" xfId="2" applyFont="1" applyFill="1" applyBorder="1" applyAlignment="1">
      <alignment vertical="center"/>
    </xf>
    <xf numFmtId="0" fontId="16" fillId="3" borderId="10" xfId="0" applyNumberFormat="1" applyFont="1" applyFill="1" applyBorder="1" applyAlignment="1">
      <alignment horizontal="center" vertical="center" wrapText="1"/>
    </xf>
    <xf numFmtId="167" fontId="16" fillId="3" borderId="12" xfId="0" applyNumberFormat="1" applyFont="1" applyFill="1" applyBorder="1" applyAlignment="1">
      <alignment vertical="center"/>
    </xf>
    <xf numFmtId="0" fontId="16" fillId="3" borderId="14" xfId="0" applyNumberFormat="1" applyFont="1" applyFill="1" applyBorder="1" applyAlignment="1">
      <alignment horizontal="center" vertical="center"/>
    </xf>
    <xf numFmtId="167" fontId="16" fillId="4" borderId="31" xfId="0" applyNumberFormat="1" applyFont="1" applyFill="1" applyBorder="1" applyAlignment="1">
      <alignment horizontal="center" vertical="center"/>
    </xf>
    <xf numFmtId="0" fontId="16" fillId="19" borderId="15" xfId="0" applyNumberFormat="1" applyFont="1" applyFill="1" applyBorder="1" applyAlignment="1">
      <alignment horizontal="center" vertical="center" wrapText="1"/>
    </xf>
    <xf numFmtId="0" fontId="16" fillId="15" borderId="15" xfId="0" applyNumberFormat="1" applyFont="1" applyFill="1" applyBorder="1" applyAlignment="1">
      <alignment horizontal="center" vertical="center" wrapText="1"/>
    </xf>
    <xf numFmtId="167" fontId="16" fillId="15" borderId="17" xfId="0" applyNumberFormat="1" applyFont="1" applyFill="1" applyBorder="1" applyAlignment="1">
      <alignment vertical="center"/>
    </xf>
    <xf numFmtId="167" fontId="8" fillId="23" borderId="19" xfId="0" applyNumberFormat="1" applyFont="1" applyFill="1" applyBorder="1" applyAlignment="1">
      <alignment horizontal="center" vertical="center"/>
    </xf>
    <xf numFmtId="0" fontId="16" fillId="23" borderId="19" xfId="0" applyNumberFormat="1" applyFont="1" applyFill="1" applyBorder="1" applyAlignment="1">
      <alignment horizontal="center" vertical="center"/>
    </xf>
    <xf numFmtId="167" fontId="21" fillId="24" borderId="19" xfId="0" applyNumberFormat="1" applyFont="1" applyFill="1" applyBorder="1" applyAlignment="1">
      <alignment horizontal="center" vertical="center"/>
    </xf>
    <xf numFmtId="0" fontId="22" fillId="0" borderId="35" xfId="2" applyNumberFormat="1" applyFont="1" applyBorder="1" applyAlignment="1">
      <alignment vertical="center"/>
    </xf>
    <xf numFmtId="0" fontId="16" fillId="3" borderId="15" xfId="0" applyNumberFormat="1" applyFont="1" applyFill="1" applyBorder="1" applyAlignment="1">
      <alignment horizontal="center" vertical="center" wrapText="1"/>
    </xf>
    <xf numFmtId="167" fontId="18" fillId="23" borderId="19" xfId="0" applyNumberFormat="1" applyFont="1" applyFill="1" applyBorder="1" applyAlignment="1">
      <alignment horizontal="center" vertical="center"/>
    </xf>
    <xf numFmtId="165" fontId="10" fillId="0" borderId="31" xfId="0" applyNumberFormat="1" applyFont="1" applyBorder="1" applyAlignment="1">
      <alignment vertical="center"/>
    </xf>
    <xf numFmtId="0" fontId="16" fillId="15" borderId="21" xfId="0" applyNumberFormat="1" applyFont="1" applyFill="1" applyBorder="1" applyAlignment="1">
      <alignment horizontal="center" vertical="center" wrapText="1"/>
    </xf>
    <xf numFmtId="167" fontId="8" fillId="15" borderId="23" xfId="0" applyNumberFormat="1" applyFont="1" applyFill="1" applyBorder="1" applyAlignment="1">
      <alignment horizontal="justify" vertical="center" wrapText="1"/>
    </xf>
    <xf numFmtId="167" fontId="8" fillId="23" borderId="20" xfId="0" applyNumberFormat="1" applyFont="1" applyFill="1" applyBorder="1" applyAlignment="1">
      <alignment horizontal="center" vertical="center"/>
    </xf>
    <xf numFmtId="0" fontId="8" fillId="23" borderId="20" xfId="0" applyNumberFormat="1" applyFont="1" applyFill="1" applyBorder="1" applyAlignment="1">
      <alignment horizontal="center" vertical="center" wrapText="1"/>
    </xf>
    <xf numFmtId="167" fontId="16" fillId="0" borderId="20" xfId="0" applyNumberFormat="1" applyFont="1" applyBorder="1" applyAlignment="1">
      <alignment horizontal="center" vertical="center"/>
    </xf>
    <xf numFmtId="169" fontId="12" fillId="0" borderId="0" xfId="2" applyNumberFormat="1" applyFont="1" applyBorder="1" applyAlignment="1">
      <alignment vertical="center"/>
    </xf>
    <xf numFmtId="0" fontId="13" fillId="22" borderId="3" xfId="0" applyNumberFormat="1" applyFont="1" applyFill="1" applyBorder="1" applyAlignment="1">
      <alignment horizontal="left" vertical="center"/>
    </xf>
    <xf numFmtId="167" fontId="0" fillId="22" borderId="0" xfId="0" applyNumberFormat="1" applyFont="1" applyFill="1" applyAlignment="1">
      <alignment vertical="center"/>
    </xf>
    <xf numFmtId="1" fontId="16" fillId="22" borderId="0" xfId="0" applyNumberFormat="1" applyFont="1" applyFill="1" applyAlignment="1">
      <alignment vertical="center"/>
    </xf>
    <xf numFmtId="167" fontId="9" fillId="22" borderId="0" xfId="0" applyNumberFormat="1" applyFont="1" applyFill="1" applyAlignment="1">
      <alignment vertical="center"/>
    </xf>
    <xf numFmtId="0" fontId="0" fillId="22" borderId="0" xfId="0" applyNumberFormat="1" applyFont="1" applyFill="1" applyAlignment="1">
      <alignment vertical="center"/>
    </xf>
    <xf numFmtId="164" fontId="2" fillId="22" borderId="0" xfId="2" applyFont="1" applyFill="1" applyAlignment="1">
      <alignment vertical="center"/>
    </xf>
    <xf numFmtId="165" fontId="10" fillId="22" borderId="0" xfId="0" applyNumberFormat="1" applyFont="1" applyFill="1" applyAlignment="1">
      <alignment vertical="center"/>
    </xf>
    <xf numFmtId="0" fontId="16" fillId="15" borderId="11" xfId="0" applyNumberFormat="1" applyFont="1" applyFill="1" applyBorder="1" applyAlignment="1">
      <alignment horizontal="center" vertical="center" wrapText="1"/>
    </xf>
    <xf numFmtId="167" fontId="8" fillId="3" borderId="12" xfId="0" applyNumberFormat="1" applyFont="1" applyFill="1" applyBorder="1" applyAlignment="1">
      <alignment horizontal="justify" vertical="center" wrapText="1"/>
    </xf>
    <xf numFmtId="1" fontId="8" fillId="0" borderId="13" xfId="0" applyNumberFormat="1" applyFont="1" applyBorder="1" applyAlignment="1">
      <alignment vertical="center"/>
    </xf>
    <xf numFmtId="167" fontId="8" fillId="23" borderId="14" xfId="0" applyNumberFormat="1" applyFont="1" applyFill="1" applyBorder="1" applyAlignment="1">
      <alignment horizontal="center" vertical="center"/>
    </xf>
    <xf numFmtId="0" fontId="8" fillId="23" borderId="14" xfId="0" applyNumberFormat="1" applyFont="1" applyFill="1" applyBorder="1" applyAlignment="1">
      <alignment horizontal="center" vertical="center" wrapText="1"/>
    </xf>
    <xf numFmtId="0" fontId="16" fillId="15" borderId="16" xfId="0" applyNumberFormat="1" applyFont="1" applyFill="1" applyBorder="1" applyAlignment="1">
      <alignment horizontal="center" vertical="center" wrapText="1"/>
    </xf>
    <xf numFmtId="167" fontId="8" fillId="15" borderId="17" xfId="0" applyNumberFormat="1" applyFont="1" applyFill="1" applyBorder="1" applyAlignment="1">
      <alignment horizontal="justify" vertical="center" wrapText="1"/>
    </xf>
    <xf numFmtId="0" fontId="8" fillId="23" borderId="19" xfId="0" applyNumberFormat="1" applyFont="1" applyFill="1" applyBorder="1" applyAlignment="1">
      <alignment horizontal="center" vertical="center" wrapText="1"/>
    </xf>
    <xf numFmtId="167" fontId="8" fillId="3" borderId="17" xfId="0" applyNumberFormat="1" applyFont="1" applyFill="1" applyBorder="1" applyAlignment="1">
      <alignment horizontal="justify" vertical="center" wrapText="1"/>
    </xf>
    <xf numFmtId="0" fontId="16" fillId="15" borderId="22" xfId="0" applyNumberFormat="1" applyFont="1" applyFill="1" applyBorder="1" applyAlignment="1">
      <alignment horizontal="center" vertical="center" wrapText="1"/>
    </xf>
    <xf numFmtId="167" fontId="16" fillId="15" borderId="23" xfId="0" applyNumberFormat="1" applyFont="1" applyFill="1" applyBorder="1" applyAlignment="1">
      <alignment vertical="center"/>
    </xf>
    <xf numFmtId="0" fontId="16" fillId="23" borderId="20" xfId="0" applyNumberFormat="1" applyFont="1" applyFill="1" applyBorder="1" applyAlignment="1">
      <alignment horizontal="center" vertical="center"/>
    </xf>
    <xf numFmtId="0" fontId="8" fillId="15" borderId="0" xfId="0" applyNumberFormat="1" applyFont="1" applyFill="1" applyAlignment="1">
      <alignment vertical="center"/>
    </xf>
    <xf numFmtId="167" fontId="8" fillId="15" borderId="0" xfId="0" applyNumberFormat="1" applyFont="1" applyFill="1" applyAlignment="1">
      <alignment vertical="center"/>
    </xf>
    <xf numFmtId="1" fontId="8" fillId="15" borderId="0" xfId="0" applyNumberFormat="1" applyFont="1" applyFill="1" applyAlignment="1">
      <alignment vertical="center"/>
    </xf>
    <xf numFmtId="167" fontId="8" fillId="15" borderId="0" xfId="0" applyNumberFormat="1" applyFont="1" applyFill="1" applyAlignment="1">
      <alignment horizontal="center" vertical="center"/>
    </xf>
    <xf numFmtId="0" fontId="8" fillId="15" borderId="0" xfId="0" applyNumberFormat="1" applyFont="1" applyFill="1" applyAlignment="1">
      <alignment horizontal="center" vertical="center"/>
    </xf>
    <xf numFmtId="165" fontId="10" fillId="0" borderId="0" xfId="0" applyNumberFormat="1" applyFont="1" applyAlignment="1">
      <alignment vertical="center"/>
    </xf>
    <xf numFmtId="0" fontId="23" fillId="0" borderId="0" xfId="0" applyNumberFormat="1" applyFont="1" applyAlignment="1">
      <alignment horizontal="left" vertical="center"/>
    </xf>
    <xf numFmtId="167" fontId="18" fillId="15" borderId="19" xfId="0" applyNumberFormat="1" applyFont="1" applyFill="1" applyBorder="1" applyAlignment="1">
      <alignment horizontal="center" vertical="center"/>
    </xf>
    <xf numFmtId="167" fontId="8" fillId="22" borderId="17" xfId="0" applyNumberFormat="1" applyFont="1" applyFill="1" applyBorder="1" applyAlignment="1">
      <alignment vertical="center"/>
    </xf>
    <xf numFmtId="1" fontId="8" fillId="25" borderId="18" xfId="0" applyNumberFormat="1" applyFont="1" applyFill="1" applyBorder="1" applyAlignment="1">
      <alignment vertical="center"/>
    </xf>
    <xf numFmtId="167" fontId="8" fillId="22" borderId="19" xfId="0" applyNumberFormat="1" applyFont="1" applyFill="1" applyBorder="1" applyAlignment="1">
      <alignment horizontal="center" vertical="center"/>
    </xf>
    <xf numFmtId="0" fontId="8" fillId="22" borderId="19" xfId="0" applyNumberFormat="1" applyFont="1" applyFill="1" applyBorder="1" applyAlignment="1">
      <alignment horizontal="center" vertical="center"/>
    </xf>
    <xf numFmtId="165" fontId="16" fillId="25" borderId="19" xfId="0" applyNumberFormat="1" applyFont="1" applyFill="1" applyBorder="1" applyAlignment="1">
      <alignment horizontal="center" vertical="center"/>
    </xf>
    <xf numFmtId="1" fontId="24" fillId="0" borderId="0" xfId="0" applyNumberFormat="1" applyFont="1" applyAlignment="1">
      <alignment vertical="center"/>
    </xf>
    <xf numFmtId="0" fontId="16" fillId="15" borderId="15" xfId="0" applyNumberFormat="1" applyFont="1" applyFill="1" applyBorder="1" applyAlignment="1">
      <alignment horizontal="center" vertical="center"/>
    </xf>
    <xf numFmtId="167" fontId="18" fillId="0" borderId="19" xfId="0" applyNumberFormat="1" applyFont="1" applyBorder="1" applyAlignment="1">
      <alignment horizontal="center" vertical="center"/>
    </xf>
    <xf numFmtId="0" fontId="16" fillId="15" borderId="19" xfId="0" applyNumberFormat="1" applyFont="1" applyFill="1" applyBorder="1" applyAlignment="1">
      <alignment horizontal="center" vertical="center"/>
    </xf>
    <xf numFmtId="167" fontId="19" fillId="15" borderId="23" xfId="0" applyNumberFormat="1" applyFont="1" applyFill="1" applyBorder="1" applyAlignment="1">
      <alignment vertical="center"/>
    </xf>
    <xf numFmtId="1" fontId="8" fillId="15" borderId="24" xfId="0" applyNumberFormat="1" applyFont="1" applyFill="1" applyBorder="1" applyAlignment="1">
      <alignment vertical="center"/>
    </xf>
    <xf numFmtId="0" fontId="16" fillId="15" borderId="20" xfId="0" applyNumberFormat="1" applyFont="1" applyFill="1" applyBorder="1" applyAlignment="1">
      <alignment horizontal="center" vertical="center"/>
    </xf>
    <xf numFmtId="0" fontId="16" fillId="15" borderId="0" xfId="0" applyNumberFormat="1" applyFont="1" applyFill="1" applyBorder="1" applyAlignment="1">
      <alignment horizontal="center" vertical="center" wrapText="1"/>
    </xf>
    <xf numFmtId="1" fontId="24" fillId="0" borderId="0" xfId="0" applyNumberFormat="1" applyFont="1" applyBorder="1" applyAlignment="1">
      <alignment vertical="center"/>
    </xf>
    <xf numFmtId="0" fontId="13" fillId="16" borderId="0" xfId="0" applyNumberFormat="1" applyFont="1" applyFill="1" applyAlignment="1">
      <alignment vertical="center"/>
    </xf>
    <xf numFmtId="0" fontId="16" fillId="18" borderId="10" xfId="0" applyNumberFormat="1" applyFont="1" applyFill="1" applyBorder="1" applyAlignment="1">
      <alignment horizontal="center" vertical="center"/>
    </xf>
    <xf numFmtId="0" fontId="8" fillId="0" borderId="10" xfId="0" applyNumberFormat="1" applyFont="1" applyBorder="1" applyAlignment="1">
      <alignment horizontal="center" vertical="center"/>
    </xf>
    <xf numFmtId="167" fontId="16" fillId="15" borderId="12" xfId="0" applyNumberFormat="1" applyFont="1" applyFill="1" applyBorder="1" applyAlignment="1">
      <alignment vertical="center"/>
    </xf>
    <xf numFmtId="167" fontId="18" fillId="0" borderId="20" xfId="0" applyNumberFormat="1" applyFont="1" applyBorder="1" applyAlignment="1">
      <alignment horizontal="center" vertical="center"/>
    </xf>
    <xf numFmtId="167" fontId="6" fillId="3" borderId="12" xfId="0" applyNumberFormat="1" applyFont="1" applyFill="1" applyBorder="1" applyAlignment="1">
      <alignment vertical="center"/>
    </xf>
    <xf numFmtId="1" fontId="6" fillId="3" borderId="13" xfId="0" applyNumberFormat="1" applyFont="1" applyFill="1" applyBorder="1" applyAlignment="1">
      <alignment vertical="center"/>
    </xf>
    <xf numFmtId="167" fontId="6" fillId="15" borderId="17" xfId="0" applyNumberFormat="1" applyFont="1" applyFill="1" applyBorder="1" applyAlignment="1">
      <alignment vertical="center"/>
    </xf>
    <xf numFmtId="1" fontId="6" fillId="15" borderId="18" xfId="0" applyNumberFormat="1" applyFont="1" applyFill="1" applyBorder="1" applyAlignment="1">
      <alignment vertical="center"/>
    </xf>
    <xf numFmtId="167" fontId="6" fillId="3" borderId="17" xfId="0" applyNumberFormat="1" applyFont="1" applyFill="1" applyBorder="1" applyAlignment="1">
      <alignment vertical="center"/>
    </xf>
    <xf numFmtId="1" fontId="6" fillId="3" borderId="18" xfId="0" applyNumberFormat="1" applyFont="1" applyFill="1" applyBorder="1" applyAlignment="1">
      <alignment vertical="center"/>
    </xf>
    <xf numFmtId="167" fontId="6" fillId="0" borderId="17" xfId="0" applyNumberFormat="1" applyFont="1" applyBorder="1" applyAlignment="1">
      <alignment vertical="center"/>
    </xf>
    <xf numFmtId="1" fontId="6" fillId="0" borderId="18" xfId="0" applyNumberFormat="1" applyFont="1" applyBorder="1" applyAlignment="1">
      <alignment vertical="center"/>
    </xf>
    <xf numFmtId="167" fontId="6" fillId="19" borderId="23" xfId="0" applyNumberFormat="1" applyFont="1" applyFill="1" applyBorder="1" applyAlignment="1">
      <alignment vertical="center"/>
    </xf>
    <xf numFmtId="1" fontId="6" fillId="19" borderId="24" xfId="0" applyNumberFormat="1" applyFont="1" applyFill="1" applyBorder="1" applyAlignment="1">
      <alignment vertical="center"/>
    </xf>
    <xf numFmtId="1" fontId="8" fillId="0" borderId="0" xfId="0" applyNumberFormat="1" applyFont="1" applyAlignment="1">
      <alignment vertical="center"/>
    </xf>
    <xf numFmtId="0" fontId="8" fillId="3" borderId="12" xfId="0" applyNumberFormat="1" applyFont="1" applyFill="1" applyBorder="1" applyAlignment="1">
      <alignment horizontal="center" vertical="center"/>
    </xf>
    <xf numFmtId="167" fontId="8" fillId="3" borderId="14" xfId="0" applyNumberFormat="1" applyFont="1" applyFill="1" applyBorder="1" applyAlignment="1">
      <alignment vertical="center"/>
    </xf>
    <xf numFmtId="1" fontId="8" fillId="3" borderId="14" xfId="0" applyNumberFormat="1" applyFont="1" applyFill="1" applyBorder="1" applyAlignment="1">
      <alignment vertical="center"/>
    </xf>
    <xf numFmtId="0" fontId="8" fillId="15" borderId="17" xfId="0" applyNumberFormat="1" applyFont="1" applyFill="1" applyBorder="1" applyAlignment="1">
      <alignment horizontal="center" vertical="center"/>
    </xf>
    <xf numFmtId="167" fontId="8" fillId="15" borderId="19" xfId="0" applyNumberFormat="1" applyFont="1" applyFill="1" applyBorder="1" applyAlignment="1">
      <alignment vertical="center"/>
    </xf>
    <xf numFmtId="1" fontId="8" fillId="15" borderId="19" xfId="0" applyNumberFormat="1" applyFont="1" applyFill="1" applyBorder="1" applyAlignment="1">
      <alignment vertical="center"/>
    </xf>
    <xf numFmtId="0" fontId="8" fillId="3" borderId="17" xfId="0" applyNumberFormat="1" applyFont="1" applyFill="1" applyBorder="1" applyAlignment="1">
      <alignment horizontal="center" vertical="center"/>
    </xf>
    <xf numFmtId="167" fontId="8" fillId="3" borderId="19" xfId="0" applyNumberFormat="1" applyFont="1" applyFill="1" applyBorder="1" applyAlignment="1">
      <alignment vertical="center"/>
    </xf>
    <xf numFmtId="1" fontId="8" fillId="3" borderId="19" xfId="0" applyNumberFormat="1" applyFont="1" applyFill="1" applyBorder="1" applyAlignment="1">
      <alignment vertical="center"/>
    </xf>
    <xf numFmtId="167" fontId="8" fillId="19" borderId="19" xfId="0" applyNumberFormat="1" applyFont="1" applyFill="1" applyBorder="1" applyAlignment="1">
      <alignment vertical="center"/>
    </xf>
    <xf numFmtId="1" fontId="8" fillId="19" borderId="19" xfId="0" applyNumberFormat="1" applyFont="1" applyFill="1" applyBorder="1" applyAlignment="1">
      <alignment vertical="center"/>
    </xf>
    <xf numFmtId="167" fontId="8" fillId="22" borderId="19" xfId="0" applyNumberFormat="1" applyFont="1" applyFill="1" applyBorder="1" applyAlignment="1">
      <alignment vertical="center"/>
    </xf>
    <xf numFmtId="1" fontId="8" fillId="25" borderId="19" xfId="0" applyNumberFormat="1" applyFont="1" applyFill="1" applyBorder="1" applyAlignment="1">
      <alignment vertical="center"/>
    </xf>
    <xf numFmtId="167" fontId="25" fillId="19" borderId="19" xfId="0" applyNumberFormat="1" applyFont="1" applyFill="1" applyBorder="1" applyAlignment="1">
      <alignment horizontal="center" vertical="center"/>
    </xf>
    <xf numFmtId="0" fontId="8" fillId="15" borderId="23" xfId="0" applyNumberFormat="1" applyFont="1" applyFill="1" applyBorder="1" applyAlignment="1">
      <alignment horizontal="center" vertical="center"/>
    </xf>
    <xf numFmtId="167" fontId="8" fillId="15" borderId="20" xfId="0" applyNumberFormat="1" applyFont="1" applyFill="1" applyBorder="1" applyAlignment="1">
      <alignment vertical="center"/>
    </xf>
    <xf numFmtId="1" fontId="8" fillId="15" borderId="20" xfId="0" applyNumberFormat="1" applyFont="1" applyFill="1" applyBorder="1" applyAlignment="1">
      <alignment vertical="center"/>
    </xf>
    <xf numFmtId="167" fontId="18" fillId="15" borderId="20" xfId="0" applyNumberFormat="1" applyFont="1" applyFill="1" applyBorder="1" applyAlignment="1">
      <alignment horizontal="center" vertical="center"/>
    </xf>
    <xf numFmtId="167" fontId="21" fillId="24" borderId="20" xfId="0" applyNumberFormat="1" applyFont="1" applyFill="1" applyBorder="1" applyAlignment="1">
      <alignment horizontal="center" vertical="center"/>
    </xf>
    <xf numFmtId="0" fontId="8" fillId="16" borderId="0" xfId="0" applyNumberFormat="1" applyFont="1" applyFill="1" applyAlignment="1">
      <alignment horizontal="left" vertical="center"/>
    </xf>
    <xf numFmtId="0" fontId="20" fillId="19" borderId="15" xfId="0" applyNumberFormat="1" applyFont="1" applyFill="1" applyBorder="1" applyAlignment="1">
      <alignment horizontal="center" vertical="center"/>
    </xf>
    <xf numFmtId="167" fontId="20" fillId="19" borderId="17" xfId="0" applyNumberFormat="1" applyFont="1" applyFill="1" applyBorder="1" applyAlignment="1">
      <alignment vertical="center"/>
    </xf>
    <xf numFmtId="1" fontId="20" fillId="19" borderId="18" xfId="0" applyNumberFormat="1" applyFont="1" applyFill="1" applyBorder="1" applyAlignment="1">
      <alignment vertical="center"/>
    </xf>
    <xf numFmtId="165" fontId="25" fillId="19" borderId="19" xfId="0" applyNumberFormat="1" applyFont="1" applyFill="1" applyBorder="1" applyAlignment="1">
      <alignment horizontal="center" vertical="center"/>
    </xf>
    <xf numFmtId="167" fontId="21" fillId="19" borderId="19" xfId="0" applyNumberFormat="1" applyFont="1" applyFill="1" applyBorder="1" applyAlignment="1">
      <alignment horizontal="center" vertical="center"/>
    </xf>
    <xf numFmtId="0" fontId="23" fillId="22" borderId="0" xfId="0" applyNumberFormat="1" applyFont="1" applyFill="1" applyAlignment="1">
      <alignment horizontal="left" vertical="center"/>
    </xf>
    <xf numFmtId="1" fontId="23" fillId="16" borderId="0" xfId="0" applyNumberFormat="1" applyFont="1" applyFill="1" applyAlignment="1">
      <alignment vertical="center"/>
    </xf>
    <xf numFmtId="167" fontId="6" fillId="22" borderId="0" xfId="0" applyNumberFormat="1" applyFont="1" applyFill="1" applyAlignment="1">
      <alignment horizontal="center" vertical="center"/>
    </xf>
    <xf numFmtId="0" fontId="23" fillId="22" borderId="0" xfId="0" applyNumberFormat="1" applyFont="1" applyFill="1" applyAlignment="1">
      <alignment horizontal="center" vertical="center"/>
    </xf>
    <xf numFmtId="0" fontId="16" fillId="0" borderId="11" xfId="0" applyNumberFormat="1" applyFont="1" applyBorder="1" applyAlignment="1">
      <alignment horizontal="center" vertical="center" wrapText="1"/>
    </xf>
    <xf numFmtId="167" fontId="26" fillId="0" borderId="11" xfId="0" applyNumberFormat="1" applyFont="1" applyBorder="1" applyAlignment="1">
      <alignment vertical="center"/>
    </xf>
    <xf numFmtId="1" fontId="8" fillId="0" borderId="10" xfId="0" applyNumberFormat="1" applyFont="1" applyBorder="1" applyAlignment="1">
      <alignment vertical="center"/>
    </xf>
    <xf numFmtId="167" fontId="8" fillId="15" borderId="11" xfId="0" applyNumberFormat="1" applyFont="1" applyFill="1" applyBorder="1" applyAlignment="1">
      <alignment horizontal="center" vertical="center"/>
    </xf>
    <xf numFmtId="0" fontId="16" fillId="0" borderId="11" xfId="0" applyNumberFormat="1" applyFont="1" applyBorder="1" applyAlignment="1">
      <alignment horizontal="center" vertical="center"/>
    </xf>
    <xf numFmtId="167" fontId="21" fillId="24" borderId="15" xfId="0" applyNumberFormat="1" applyFont="1" applyFill="1" applyBorder="1" applyAlignment="1">
      <alignment horizontal="center" vertical="center"/>
    </xf>
    <xf numFmtId="165" fontId="10" fillId="0" borderId="36" xfId="0" applyNumberFormat="1" applyFont="1" applyBorder="1" applyAlignment="1">
      <alignment vertical="center"/>
    </xf>
    <xf numFmtId="0" fontId="16" fillId="0" borderId="16" xfId="0" applyNumberFormat="1" applyFont="1" applyBorder="1" applyAlignment="1">
      <alignment horizontal="center" vertical="center" wrapText="1"/>
    </xf>
    <xf numFmtId="167" fontId="26" fillId="0" borderId="16" xfId="0" applyNumberFormat="1" applyFont="1" applyBorder="1" applyAlignment="1">
      <alignment vertical="center"/>
    </xf>
    <xf numFmtId="1" fontId="8" fillId="0" borderId="15" xfId="0" applyNumberFormat="1" applyFont="1" applyBorder="1" applyAlignment="1">
      <alignment vertical="center"/>
    </xf>
    <xf numFmtId="167" fontId="8" fillId="15" borderId="16" xfId="0" applyNumberFormat="1" applyFont="1" applyFill="1" applyBorder="1" applyAlignment="1">
      <alignment horizontal="center" vertical="center"/>
    </xf>
    <xf numFmtId="0" fontId="16" fillId="0" borderId="16" xfId="0" applyNumberFormat="1" applyFont="1" applyBorder="1" applyAlignment="1">
      <alignment horizontal="center" vertical="center"/>
    </xf>
    <xf numFmtId="165" fontId="10" fillId="0" borderId="37" xfId="0" applyNumberFormat="1" applyFont="1" applyBorder="1" applyAlignment="1">
      <alignment vertical="center"/>
    </xf>
    <xf numFmtId="167" fontId="16" fillId="0" borderId="15" xfId="0" applyNumberFormat="1" applyFont="1" applyBorder="1" applyAlignment="1">
      <alignment horizontal="center" vertical="center"/>
    </xf>
    <xf numFmtId="0" fontId="16" fillId="4" borderId="16" xfId="0" applyNumberFormat="1" applyFont="1" applyFill="1" applyBorder="1" applyAlignment="1">
      <alignment horizontal="center" vertical="center" wrapText="1"/>
    </xf>
    <xf numFmtId="167" fontId="26" fillId="4" borderId="16" xfId="0" applyNumberFormat="1" applyFont="1" applyFill="1" applyBorder="1" applyAlignment="1">
      <alignment vertical="center"/>
    </xf>
    <xf numFmtId="1" fontId="8" fillId="4" borderId="15" xfId="0" applyNumberFormat="1" applyFont="1" applyFill="1" applyBorder="1" applyAlignment="1">
      <alignment vertical="center"/>
    </xf>
    <xf numFmtId="167" fontId="8" fillId="3" borderId="16" xfId="0" applyNumberFormat="1" applyFont="1" applyFill="1" applyBorder="1" applyAlignment="1">
      <alignment horizontal="center" vertical="center"/>
    </xf>
    <xf numFmtId="0" fontId="16" fillId="4" borderId="16" xfId="0" applyNumberFormat="1" applyFont="1" applyFill="1" applyBorder="1" applyAlignment="1">
      <alignment horizontal="center" vertical="center"/>
    </xf>
    <xf numFmtId="167" fontId="16" fillId="4" borderId="15" xfId="0" applyNumberFormat="1" applyFont="1" applyFill="1" applyBorder="1" applyAlignment="1">
      <alignment horizontal="center" vertical="center"/>
    </xf>
    <xf numFmtId="165" fontId="17" fillId="3" borderId="38" xfId="0" applyNumberFormat="1" applyFont="1" applyFill="1" applyBorder="1" applyAlignment="1">
      <alignment horizontal="center" vertical="center"/>
    </xf>
    <xf numFmtId="0" fontId="16" fillId="0" borderId="22" xfId="0" applyNumberFormat="1" applyFont="1" applyBorder="1" applyAlignment="1">
      <alignment horizontal="center" vertical="center" wrapText="1"/>
    </xf>
    <xf numFmtId="167" fontId="26" fillId="0" borderId="22" xfId="0" applyNumberFormat="1" applyFont="1" applyBorder="1" applyAlignment="1">
      <alignment vertical="center"/>
    </xf>
    <xf numFmtId="1" fontId="8" fillId="0" borderId="21" xfId="0" applyNumberFormat="1" applyFont="1" applyBorder="1" applyAlignment="1">
      <alignment vertical="center"/>
    </xf>
    <xf numFmtId="167" fontId="8" fillId="15" borderId="22" xfId="0" applyNumberFormat="1" applyFont="1" applyFill="1" applyBorder="1" applyAlignment="1">
      <alignment horizontal="center" vertical="center"/>
    </xf>
    <xf numFmtId="0" fontId="16" fillId="0" borderId="22" xfId="0" applyNumberFormat="1" applyFont="1" applyBorder="1" applyAlignment="1">
      <alignment horizontal="center" vertical="center"/>
    </xf>
    <xf numFmtId="165" fontId="10" fillId="0" borderId="39" xfId="0" applyNumberFormat="1" applyFont="1" applyBorder="1" applyAlignment="1">
      <alignment vertical="center"/>
    </xf>
    <xf numFmtId="0" fontId="8" fillId="15" borderId="0" xfId="2" applyNumberFormat="1" applyFont="1" applyFill="1" applyBorder="1" applyAlignment="1">
      <alignment vertical="center"/>
    </xf>
    <xf numFmtId="164" fontId="8" fillId="15" borderId="0" xfId="2" applyFont="1" applyFill="1" applyAlignment="1">
      <alignment vertical="center"/>
    </xf>
    <xf numFmtId="1" fontId="8" fillId="15" borderId="0" xfId="2" applyNumberFormat="1" applyFont="1" applyFill="1" applyBorder="1" applyAlignment="1">
      <alignment vertical="center"/>
    </xf>
    <xf numFmtId="0" fontId="8" fillId="15" borderId="0" xfId="2" applyNumberFormat="1" applyFont="1" applyFill="1" applyAlignment="1">
      <alignment vertical="center"/>
    </xf>
    <xf numFmtId="165" fontId="8" fillId="15" borderId="0" xfId="2" applyNumberFormat="1" applyFont="1" applyFill="1" applyBorder="1" applyAlignment="1">
      <alignment vertical="center"/>
    </xf>
    <xf numFmtId="0" fontId="13" fillId="22" borderId="3" xfId="0" applyNumberFormat="1" applyFont="1" applyFill="1" applyBorder="1" applyAlignment="1">
      <alignment vertical="center"/>
    </xf>
    <xf numFmtId="0" fontId="16" fillId="22" borderId="32" xfId="0" applyNumberFormat="1" applyFont="1" applyFill="1" applyBorder="1" applyAlignment="1">
      <alignment horizontal="center" vertical="center" wrapText="1"/>
    </xf>
    <xf numFmtId="167" fontId="16" fillId="22" borderId="32" xfId="0" applyNumberFormat="1" applyFont="1" applyFill="1" applyBorder="1" applyAlignment="1">
      <alignment vertical="center"/>
    </xf>
    <xf numFmtId="167" fontId="8" fillId="22" borderId="32" xfId="0" applyNumberFormat="1" applyFont="1" applyFill="1" applyBorder="1" applyAlignment="1">
      <alignment horizontal="center" vertical="center"/>
    </xf>
    <xf numFmtId="0" fontId="16" fillId="22" borderId="32" xfId="0" applyNumberFormat="1" applyFont="1" applyFill="1" applyBorder="1" applyAlignment="1">
      <alignment horizontal="center" vertical="center"/>
    </xf>
    <xf numFmtId="0" fontId="16" fillId="0" borderId="25" xfId="0" applyNumberFormat="1" applyFont="1" applyBorder="1" applyAlignment="1">
      <alignment horizontal="center" vertical="center" wrapText="1"/>
    </xf>
    <xf numFmtId="167" fontId="16" fillId="0" borderId="25" xfId="0" applyNumberFormat="1" applyFont="1" applyBorder="1" applyAlignment="1">
      <alignment vertical="center"/>
    </xf>
    <xf numFmtId="1" fontId="8" fillId="0" borderId="25" xfId="0" applyNumberFormat="1" applyFont="1" applyBorder="1" applyAlignment="1">
      <alignment vertical="center"/>
    </xf>
    <xf numFmtId="167" fontId="27" fillId="0" borderId="25" xfId="0" applyNumberFormat="1" applyFont="1" applyBorder="1" applyAlignment="1">
      <alignment horizontal="center" vertical="center"/>
    </xf>
    <xf numFmtId="0" fontId="28" fillId="0" borderId="25" xfId="0" applyNumberFormat="1" applyFont="1" applyBorder="1" applyAlignment="1">
      <alignment horizontal="center" vertical="center"/>
    </xf>
    <xf numFmtId="165" fontId="10" fillId="0" borderId="25" xfId="0" applyNumberFormat="1" applyFont="1" applyBorder="1" applyAlignment="1">
      <alignment vertical="center"/>
    </xf>
    <xf numFmtId="0" fontId="16" fillId="0" borderId="15" xfId="0" applyNumberFormat="1" applyFont="1" applyBorder="1" applyAlignment="1">
      <alignment horizontal="center" vertical="center" wrapText="1"/>
    </xf>
    <xf numFmtId="167" fontId="8" fillId="8" borderId="15" xfId="0" applyNumberFormat="1" applyFont="1" applyFill="1" applyBorder="1" applyAlignment="1">
      <alignment vertical="center"/>
    </xf>
    <xf numFmtId="1" fontId="19" fillId="0" borderId="15" xfId="0" applyNumberFormat="1" applyFont="1" applyBorder="1" applyAlignment="1">
      <alignment vertical="center"/>
    </xf>
    <xf numFmtId="167" fontId="27" fillId="8" borderId="15" xfId="0" applyNumberFormat="1" applyFont="1" applyFill="1" applyBorder="1" applyAlignment="1">
      <alignment horizontal="center" vertical="center"/>
    </xf>
    <xf numFmtId="0" fontId="27" fillId="8" borderId="15" xfId="0" applyNumberFormat="1" applyFont="1" applyFill="1" applyBorder="1" applyAlignment="1">
      <alignment horizontal="center" vertical="center"/>
    </xf>
    <xf numFmtId="165" fontId="1" fillId="0" borderId="15" xfId="0" applyNumberFormat="1" applyFont="1" applyBorder="1" applyAlignment="1">
      <alignment vertical="center"/>
    </xf>
    <xf numFmtId="167" fontId="8" fillId="0" borderId="15" xfId="0" applyNumberFormat="1" applyFont="1" applyBorder="1" applyAlignment="1">
      <alignment vertical="center"/>
    </xf>
    <xf numFmtId="167" fontId="27" fillId="0" borderId="15" xfId="0" applyNumberFormat="1" applyFont="1" applyBorder="1" applyAlignment="1">
      <alignment horizontal="center" vertical="center"/>
    </xf>
    <xf numFmtId="0" fontId="28" fillId="0" borderId="15" xfId="0" applyNumberFormat="1" applyFont="1" applyBorder="1" applyAlignment="1">
      <alignment horizontal="center" vertical="center"/>
    </xf>
    <xf numFmtId="165" fontId="10" fillId="0" borderId="15" xfId="0" applyNumberFormat="1" applyFont="1" applyBorder="1" applyAlignment="1">
      <alignment vertical="center"/>
    </xf>
    <xf numFmtId="167" fontId="19" fillId="0" borderId="15" xfId="0" applyNumberFormat="1" applyFont="1" applyBorder="1" applyAlignment="1">
      <alignment vertical="center"/>
    </xf>
    <xf numFmtId="167" fontId="29" fillId="0" borderId="15" xfId="0" applyNumberFormat="1" applyFont="1" applyBorder="1" applyAlignment="1">
      <alignment horizontal="center" vertical="center"/>
    </xf>
    <xf numFmtId="0" fontId="29" fillId="0" borderId="15" xfId="0" applyNumberFormat="1" applyFont="1" applyBorder="1" applyAlignment="1">
      <alignment horizontal="center" vertical="center"/>
    </xf>
    <xf numFmtId="167" fontId="16" fillId="0" borderId="15" xfId="0" applyNumberFormat="1" applyFont="1" applyBorder="1" applyAlignment="1">
      <alignment vertical="center"/>
    </xf>
    <xf numFmtId="0" fontId="16" fillId="0" borderId="21" xfId="0" applyNumberFormat="1" applyFont="1" applyBorder="1" applyAlignment="1">
      <alignment horizontal="center" vertical="center" wrapText="1"/>
    </xf>
    <xf numFmtId="167" fontId="8" fillId="8" borderId="21" xfId="0" applyNumberFormat="1" applyFont="1" applyFill="1" applyBorder="1" applyAlignment="1">
      <alignment vertical="center"/>
    </xf>
    <xf numFmtId="1" fontId="19" fillId="0" borderId="21" xfId="0" applyNumberFormat="1" applyFont="1" applyBorder="1" applyAlignment="1">
      <alignment vertical="center"/>
    </xf>
    <xf numFmtId="167" fontId="27" fillId="8" borderId="21" xfId="0" applyNumberFormat="1" applyFont="1" applyFill="1" applyBorder="1" applyAlignment="1">
      <alignment horizontal="center" vertical="center"/>
    </xf>
    <xf numFmtId="0" fontId="27" fillId="8" borderId="21" xfId="0" applyNumberFormat="1" applyFont="1" applyFill="1" applyBorder="1" applyAlignment="1">
      <alignment horizontal="center" vertical="center"/>
    </xf>
    <xf numFmtId="165" fontId="1" fillId="0" borderId="21" xfId="0" applyNumberFormat="1" applyFont="1" applyBorder="1" applyAlignment="1">
      <alignment vertical="center"/>
    </xf>
    <xf numFmtId="0" fontId="6" fillId="16" borderId="0" xfId="0" applyNumberFormat="1" applyFont="1" applyFill="1" applyAlignment="1">
      <alignment horizontal="left" vertical="center"/>
    </xf>
    <xf numFmtId="164" fontId="14" fillId="17" borderId="8" xfId="2" applyFont="1" applyFill="1" applyBorder="1" applyAlignment="1">
      <alignment vertical="center"/>
    </xf>
    <xf numFmtId="167" fontId="8" fillId="0" borderId="12" xfId="0" applyNumberFormat="1" applyFont="1" applyBorder="1" applyAlignment="1">
      <alignment vertical="center"/>
    </xf>
    <xf numFmtId="167" fontId="30" fillId="15" borderId="14" xfId="0" applyNumberFormat="1" applyFont="1" applyFill="1" applyBorder="1" applyAlignment="1">
      <alignment horizontal="center" vertical="center"/>
    </xf>
    <xf numFmtId="0" fontId="28" fillId="15" borderId="14" xfId="0" applyNumberFormat="1" applyFont="1" applyFill="1" applyBorder="1" applyAlignment="1">
      <alignment horizontal="center" vertical="center" wrapText="1"/>
    </xf>
    <xf numFmtId="167" fontId="16" fillId="0" borderId="31" xfId="0" applyNumberFormat="1" applyFont="1" applyBorder="1" applyAlignment="1">
      <alignment horizontal="center" vertical="center"/>
    </xf>
    <xf numFmtId="165" fontId="10" fillId="0" borderId="40" xfId="0" applyNumberFormat="1" applyFont="1" applyBorder="1" applyAlignment="1">
      <alignment vertical="center"/>
    </xf>
    <xf numFmtId="167" fontId="16" fillId="0" borderId="17" xfId="0" applyNumberFormat="1" applyFont="1" applyBorder="1" applyAlignment="1">
      <alignment vertical="center"/>
    </xf>
    <xf numFmtId="167" fontId="30" fillId="15" borderId="19" xfId="0" applyNumberFormat="1" applyFont="1" applyFill="1" applyBorder="1" applyAlignment="1">
      <alignment horizontal="center" vertical="center"/>
    </xf>
    <xf numFmtId="0" fontId="28" fillId="15" borderId="19" xfId="0" applyNumberFormat="1" applyFont="1" applyFill="1" applyBorder="1" applyAlignment="1">
      <alignment horizontal="center" vertical="center" wrapText="1"/>
    </xf>
    <xf numFmtId="165" fontId="10" fillId="0" borderId="18" xfId="0" applyNumberFormat="1" applyFont="1" applyBorder="1" applyAlignment="1">
      <alignment vertical="center"/>
    </xf>
    <xf numFmtId="167" fontId="16" fillId="4" borderId="17" xfId="0" applyNumberFormat="1" applyFont="1" applyFill="1" applyBorder="1" applyAlignment="1">
      <alignment vertical="center"/>
    </xf>
    <xf numFmtId="167" fontId="30" fillId="3" borderId="19" xfId="0" applyNumberFormat="1" applyFont="1" applyFill="1" applyBorder="1" applyAlignment="1">
      <alignment horizontal="center" vertical="center"/>
    </xf>
    <xf numFmtId="0" fontId="28" fillId="3" borderId="19" xfId="0" applyNumberFormat="1" applyFont="1" applyFill="1" applyBorder="1" applyAlignment="1">
      <alignment horizontal="center" vertical="center" wrapText="1"/>
    </xf>
    <xf numFmtId="167" fontId="30" fillId="0" borderId="19" xfId="0" applyNumberFormat="1" applyFont="1" applyBorder="1" applyAlignment="1">
      <alignment horizontal="center" vertical="center"/>
    </xf>
    <xf numFmtId="0" fontId="28" fillId="0" borderId="19" xfId="0" applyNumberFormat="1" applyFont="1" applyBorder="1" applyAlignment="1">
      <alignment horizontal="center" vertical="center" wrapText="1"/>
    </xf>
    <xf numFmtId="165" fontId="16" fillId="0" borderId="18" xfId="0" applyNumberFormat="1" applyFont="1" applyBorder="1" applyAlignment="1">
      <alignment horizontal="center" vertical="center"/>
    </xf>
    <xf numFmtId="167" fontId="16" fillId="5" borderId="19" xfId="0" applyNumberFormat="1" applyFont="1" applyFill="1" applyBorder="1" applyAlignment="1">
      <alignment horizontal="center" vertical="center"/>
    </xf>
    <xf numFmtId="167" fontId="31" fillId="3" borderId="17" xfId="0" applyNumberFormat="1" applyFont="1" applyFill="1" applyBorder="1" applyAlignment="1">
      <alignment vertical="center"/>
    </xf>
    <xf numFmtId="1" fontId="8" fillId="3" borderId="15" xfId="0" applyNumberFormat="1" applyFont="1" applyFill="1" applyBorder="1" applyAlignment="1">
      <alignment vertical="center"/>
    </xf>
    <xf numFmtId="0" fontId="16" fillId="3" borderId="19" xfId="0" applyNumberFormat="1" applyFont="1" applyFill="1" applyBorder="1" applyAlignment="1">
      <alignment horizontal="center" vertical="center" wrapText="1"/>
    </xf>
    <xf numFmtId="167" fontId="27" fillId="0" borderId="19" xfId="0" applyNumberFormat="1" applyFont="1" applyBorder="1" applyAlignment="1">
      <alignment horizontal="center" vertical="center"/>
    </xf>
    <xf numFmtId="0" fontId="8" fillId="8" borderId="15" xfId="0" applyNumberFormat="1" applyFont="1" applyFill="1" applyBorder="1" applyAlignment="1">
      <alignment horizontal="center" vertical="center"/>
    </xf>
    <xf numFmtId="167" fontId="20" fillId="8" borderId="17" xfId="0" applyNumberFormat="1" applyFont="1" applyFill="1" applyBorder="1" applyAlignment="1">
      <alignment vertical="center"/>
    </xf>
    <xf numFmtId="1" fontId="20" fillId="8" borderId="15" xfId="0" applyNumberFormat="1" applyFont="1" applyFill="1" applyBorder="1" applyAlignment="1">
      <alignment vertical="center"/>
    </xf>
    <xf numFmtId="167" fontId="32" fillId="8" borderId="19" xfId="0" applyNumberFormat="1" applyFont="1" applyFill="1" applyBorder="1" applyAlignment="1">
      <alignment horizontal="center" vertical="center"/>
    </xf>
    <xf numFmtId="0" fontId="33" fillId="8" borderId="19" xfId="0" applyNumberFormat="1" applyFont="1" applyFill="1" applyBorder="1" applyAlignment="1">
      <alignment horizontal="center" vertical="center" wrapText="1"/>
    </xf>
    <xf numFmtId="167" fontId="34" fillId="8" borderId="19" xfId="0" applyNumberFormat="1" applyFont="1" applyFill="1" applyBorder="1" applyAlignment="1">
      <alignment horizontal="center" vertical="center"/>
    </xf>
    <xf numFmtId="165" fontId="34" fillId="8" borderId="18" xfId="0" applyNumberFormat="1" applyFont="1" applyFill="1" applyBorder="1" applyAlignment="1">
      <alignment horizontal="center" vertical="center"/>
    </xf>
    <xf numFmtId="167" fontId="30" fillId="4" borderId="19" xfId="0" applyNumberFormat="1" applyFont="1" applyFill="1" applyBorder="1" applyAlignment="1">
      <alignment horizontal="center" vertical="center"/>
    </xf>
    <xf numFmtId="0" fontId="28" fillId="4" borderId="19" xfId="0" applyNumberFormat="1" applyFont="1" applyFill="1" applyBorder="1" applyAlignment="1">
      <alignment horizontal="center" vertical="center" wrapText="1"/>
    </xf>
    <xf numFmtId="167" fontId="16" fillId="8" borderId="17" xfId="0" applyNumberFormat="1" applyFont="1" applyFill="1" applyBorder="1" applyAlignment="1">
      <alignment vertical="center"/>
    </xf>
    <xf numFmtId="1" fontId="8" fillId="8" borderId="15" xfId="0" applyNumberFormat="1" applyFont="1" applyFill="1" applyBorder="1" applyAlignment="1">
      <alignment vertical="center"/>
    </xf>
    <xf numFmtId="167" fontId="27" fillId="8" borderId="19" xfId="0" applyNumberFormat="1" applyFont="1" applyFill="1" applyBorder="1" applyAlignment="1">
      <alignment horizontal="center" vertical="center"/>
    </xf>
    <xf numFmtId="0" fontId="28" fillId="8" borderId="19" xfId="0" applyNumberFormat="1" applyFont="1" applyFill="1" applyBorder="1" applyAlignment="1">
      <alignment horizontal="center" vertical="center" wrapText="1"/>
    </xf>
    <xf numFmtId="167" fontId="16" fillId="8" borderId="19" xfId="0" applyNumberFormat="1" applyFont="1" applyFill="1" applyBorder="1" applyAlignment="1">
      <alignment horizontal="center" vertical="center"/>
    </xf>
    <xf numFmtId="165" fontId="16" fillId="8" borderId="18" xfId="0" applyNumberFormat="1" applyFont="1" applyFill="1" applyBorder="1" applyAlignment="1">
      <alignment horizontal="center" vertical="center"/>
    </xf>
    <xf numFmtId="167" fontId="16" fillId="0" borderId="23" xfId="0" applyNumberFormat="1" applyFont="1" applyBorder="1" applyAlignment="1">
      <alignment vertical="center"/>
    </xf>
    <xf numFmtId="167" fontId="30" fillId="15" borderId="20" xfId="0" applyNumberFormat="1" applyFont="1" applyFill="1" applyBorder="1" applyAlignment="1">
      <alignment horizontal="center" vertical="center"/>
    </xf>
    <xf numFmtId="0" fontId="28" fillId="15" borderId="20" xfId="0" applyNumberFormat="1" applyFont="1" applyFill="1" applyBorder="1" applyAlignment="1">
      <alignment horizontal="center" vertical="center" wrapText="1"/>
    </xf>
    <xf numFmtId="165" fontId="10" fillId="0" borderId="24" xfId="0" applyNumberFormat="1" applyFont="1" applyBorder="1" applyAlignment="1">
      <alignment vertical="center"/>
    </xf>
    <xf numFmtId="167" fontId="16" fillId="0" borderId="0" xfId="0" applyNumberFormat="1" applyFont="1" applyAlignment="1">
      <alignment vertical="center"/>
    </xf>
    <xf numFmtId="0" fontId="16" fillId="0" borderId="0" xfId="0" applyNumberFormat="1" applyFont="1" applyAlignment="1">
      <alignment horizontal="center" vertical="center" wrapText="1"/>
    </xf>
    <xf numFmtId="0" fontId="13" fillId="16" borderId="0" xfId="0" applyNumberFormat="1" applyFont="1" applyFill="1" applyAlignment="1">
      <alignment horizontal="left" vertical="center"/>
    </xf>
    <xf numFmtId="0" fontId="8" fillId="0" borderId="11" xfId="0" applyNumberFormat="1" applyFont="1" applyBorder="1" applyAlignment="1">
      <alignment horizontal="center" vertical="center"/>
    </xf>
    <xf numFmtId="167" fontId="16" fillId="0" borderId="12" xfId="0" applyNumberFormat="1" applyFont="1" applyBorder="1" applyAlignment="1">
      <alignment vertical="center"/>
    </xf>
    <xf numFmtId="0" fontId="27" fillId="15" borderId="14" xfId="0" applyNumberFormat="1" applyFont="1" applyFill="1" applyBorder="1" applyAlignment="1">
      <alignment horizontal="center" vertical="center" wrapText="1"/>
    </xf>
    <xf numFmtId="0" fontId="27" fillId="3" borderId="19" xfId="0" applyNumberFormat="1" applyFont="1" applyFill="1" applyBorder="1" applyAlignment="1">
      <alignment horizontal="center" vertical="center" wrapText="1"/>
    </xf>
    <xf numFmtId="0" fontId="27" fillId="15" borderId="19" xfId="0" applyNumberFormat="1" applyFont="1" applyFill="1" applyBorder="1" applyAlignment="1">
      <alignment horizontal="center" vertical="center" wrapText="1"/>
    </xf>
    <xf numFmtId="0" fontId="27" fillId="4" borderId="19" xfId="0" applyNumberFormat="1" applyFont="1" applyFill="1" applyBorder="1" applyAlignment="1">
      <alignment horizontal="center" vertical="center" wrapText="1"/>
    </xf>
    <xf numFmtId="0" fontId="27" fillId="0" borderId="19" xfId="0" applyNumberFormat="1" applyFont="1" applyBorder="1" applyAlignment="1">
      <alignment horizontal="center" vertical="center" wrapText="1"/>
    </xf>
    <xf numFmtId="167" fontId="16" fillId="5" borderId="20" xfId="0" applyNumberFormat="1" applyFont="1" applyFill="1" applyBorder="1" applyAlignment="1">
      <alignment horizontal="center" vertical="center"/>
    </xf>
    <xf numFmtId="167" fontId="27" fillId="3" borderId="19" xfId="0" applyNumberFormat="1" applyFont="1" applyFill="1" applyBorder="1" applyAlignment="1">
      <alignment horizontal="center" vertical="center"/>
    </xf>
    <xf numFmtId="1" fontId="20" fillId="19" borderId="15" xfId="0" applyNumberFormat="1" applyFont="1" applyFill="1" applyBorder="1" applyAlignment="1">
      <alignment vertical="center"/>
    </xf>
    <xf numFmtId="0" fontId="20" fillId="19" borderId="19" xfId="0" applyNumberFormat="1" applyFont="1" applyFill="1" applyBorder="1" applyAlignment="1">
      <alignment horizontal="center" vertical="center" wrapText="1"/>
    </xf>
    <xf numFmtId="165" fontId="20" fillId="19" borderId="18" xfId="0" applyNumberFormat="1" applyFont="1" applyFill="1" applyBorder="1" applyAlignment="1">
      <alignment horizontal="center" vertical="center"/>
    </xf>
    <xf numFmtId="167" fontId="16" fillId="4" borderId="23" xfId="0" applyNumberFormat="1" applyFont="1" applyFill="1" applyBorder="1" applyAlignment="1">
      <alignment vertical="center"/>
    </xf>
    <xf numFmtId="1" fontId="8" fillId="4" borderId="21" xfId="0" applyNumberFormat="1" applyFont="1" applyFill="1" applyBorder="1" applyAlignment="1">
      <alignment vertical="center"/>
    </xf>
    <xf numFmtId="167" fontId="30" fillId="3" borderId="20" xfId="0" applyNumberFormat="1" applyFont="1" applyFill="1" applyBorder="1" applyAlignment="1">
      <alignment horizontal="center" vertical="center"/>
    </xf>
    <xf numFmtId="0" fontId="27" fillId="3" borderId="20" xfId="0" applyNumberFormat="1" applyFont="1" applyFill="1" applyBorder="1" applyAlignment="1">
      <alignment horizontal="center" vertical="center" wrapText="1"/>
    </xf>
    <xf numFmtId="167" fontId="16" fillId="4" borderId="20" xfId="0" applyNumberFormat="1" applyFont="1" applyFill="1" applyBorder="1" applyAlignment="1">
      <alignment horizontal="center" vertical="center"/>
    </xf>
    <xf numFmtId="0" fontId="16" fillId="16" borderId="0" xfId="0" applyNumberFormat="1" applyFont="1" applyFill="1" applyAlignment="1">
      <alignment vertical="center"/>
    </xf>
    <xf numFmtId="167" fontId="30" fillId="0" borderId="14" xfId="0" applyNumberFormat="1" applyFont="1" applyBorder="1" applyAlignment="1">
      <alignment horizontal="center" vertical="center"/>
    </xf>
    <xf numFmtId="0" fontId="27" fillId="0" borderId="14" xfId="0" applyNumberFormat="1" applyFont="1" applyBorder="1" applyAlignment="1">
      <alignment horizontal="center" vertical="center" wrapText="1"/>
    </xf>
    <xf numFmtId="165" fontId="17" fillId="3" borderId="18" xfId="0" applyNumberFormat="1" applyFont="1" applyFill="1" applyBorder="1" applyAlignment="1">
      <alignment horizontal="center" vertical="center"/>
    </xf>
    <xf numFmtId="1" fontId="8" fillId="0" borderId="15" xfId="0" applyNumberFormat="1" applyFont="1" applyFill="1" applyBorder="1" applyAlignment="1">
      <alignment vertical="center"/>
    </xf>
    <xf numFmtId="167" fontId="30" fillId="0" borderId="20" xfId="0" applyNumberFormat="1" applyFont="1" applyBorder="1" applyAlignment="1">
      <alignment horizontal="center" vertical="center"/>
    </xf>
    <xf numFmtId="0" fontId="27" fillId="0" borderId="20" xfId="0" applyNumberFormat="1" applyFont="1" applyBorder="1" applyAlignment="1">
      <alignment horizontal="center" vertical="center" wrapText="1"/>
    </xf>
    <xf numFmtId="0" fontId="16" fillId="16" borderId="0" xfId="0" applyNumberFormat="1" applyFont="1" applyFill="1" applyAlignment="1">
      <alignment vertical="center" wrapText="1"/>
    </xf>
    <xf numFmtId="0" fontId="8" fillId="0" borderId="11" xfId="0" applyNumberFormat="1" applyFont="1" applyBorder="1" applyAlignment="1">
      <alignment vertical="center"/>
    </xf>
    <xf numFmtId="0" fontId="8" fillId="0" borderId="16" xfId="0" applyNumberFormat="1" applyFont="1" applyBorder="1" applyAlignment="1">
      <alignment vertical="center"/>
    </xf>
    <xf numFmtId="0" fontId="8" fillId="4" borderId="16" xfId="0" applyNumberFormat="1" applyFont="1" applyFill="1" applyBorder="1" applyAlignment="1">
      <alignment vertical="center"/>
    </xf>
    <xf numFmtId="1" fontId="27" fillId="4" borderId="15" xfId="0" applyNumberFormat="1" applyFont="1" applyFill="1" applyBorder="1" applyAlignment="1">
      <alignment vertical="center"/>
    </xf>
    <xf numFmtId="0" fontId="20" fillId="19" borderId="16" xfId="0" applyNumberFormat="1" applyFont="1" applyFill="1" applyBorder="1" applyAlignment="1">
      <alignment vertical="center"/>
    </xf>
    <xf numFmtId="167" fontId="16" fillId="24" borderId="19" xfId="0" applyNumberFormat="1" applyFont="1" applyFill="1" applyBorder="1" applyAlignment="1">
      <alignment horizontal="center" vertical="center"/>
    </xf>
    <xf numFmtId="0" fontId="8" fillId="0" borderId="22" xfId="0" applyNumberFormat="1" applyFont="1" applyBorder="1" applyAlignment="1">
      <alignment vertical="center"/>
    </xf>
    <xf numFmtId="0" fontId="27" fillId="15" borderId="20" xfId="0" applyNumberFormat="1" applyFont="1" applyFill="1" applyBorder="1" applyAlignment="1">
      <alignment horizontal="center" vertical="center" wrapText="1"/>
    </xf>
    <xf numFmtId="0" fontId="8" fillId="4" borderId="22" xfId="0" applyNumberFormat="1" applyFont="1" applyFill="1" applyBorder="1" applyAlignment="1">
      <alignment vertical="center"/>
    </xf>
    <xf numFmtId="167" fontId="8" fillId="4" borderId="23" xfId="0" applyNumberFormat="1" applyFont="1" applyFill="1" applyBorder="1" applyAlignment="1">
      <alignment vertical="center"/>
    </xf>
    <xf numFmtId="165" fontId="17" fillId="3" borderId="24" xfId="0" applyNumberFormat="1" applyFont="1" applyFill="1" applyBorder="1" applyAlignment="1">
      <alignment horizontal="center" vertical="center"/>
    </xf>
    <xf numFmtId="167" fontId="8" fillId="4" borderId="17" xfId="0" applyNumberFormat="1" applyFont="1" applyFill="1" applyBorder="1" applyAlignment="1">
      <alignment horizontal="left" vertical="center"/>
    </xf>
    <xf numFmtId="0" fontId="28" fillId="0" borderId="20" xfId="0" applyNumberFormat="1" applyFont="1" applyBorder="1" applyAlignment="1">
      <alignment horizontal="center" vertical="center" wrapText="1"/>
    </xf>
    <xf numFmtId="165" fontId="16" fillId="0" borderId="24" xfId="0" applyNumberFormat="1" applyFont="1" applyBorder="1" applyAlignment="1">
      <alignment horizontal="center" vertical="center"/>
    </xf>
    <xf numFmtId="0" fontId="16" fillId="26" borderId="0" xfId="0" applyNumberFormat="1" applyFont="1" applyFill="1" applyAlignment="1">
      <alignment vertical="center"/>
    </xf>
    <xf numFmtId="0" fontId="16" fillId="0" borderId="11" xfId="0" applyNumberFormat="1" applyFont="1" applyBorder="1" applyAlignment="1">
      <alignment vertical="center"/>
    </xf>
    <xf numFmtId="167" fontId="27" fillId="0" borderId="14" xfId="0" applyNumberFormat="1" applyFont="1" applyBorder="1" applyAlignment="1">
      <alignment horizontal="center" vertical="center"/>
    </xf>
    <xf numFmtId="0" fontId="28" fillId="0" borderId="14" xfId="0" applyNumberFormat="1" applyFont="1" applyBorder="1" applyAlignment="1">
      <alignment horizontal="center" vertical="center" wrapText="1"/>
    </xf>
    <xf numFmtId="165" fontId="16" fillId="0" borderId="40" xfId="0" applyNumberFormat="1" applyFont="1" applyBorder="1" applyAlignment="1">
      <alignment horizontal="center" vertical="center"/>
    </xf>
    <xf numFmtId="0" fontId="16" fillId="0" borderId="16" xfId="0" applyNumberFormat="1" applyFont="1" applyBorder="1" applyAlignment="1">
      <alignment vertical="center"/>
    </xf>
    <xf numFmtId="0" fontId="16" fillId="4" borderId="16" xfId="0" applyNumberFormat="1" applyFont="1" applyFill="1" applyBorder="1" applyAlignment="1">
      <alignment vertical="center"/>
    </xf>
    <xf numFmtId="0" fontId="16" fillId="0" borderId="22" xfId="0" applyNumberFormat="1" applyFont="1" applyBorder="1" applyAlignment="1">
      <alignment vertical="center"/>
    </xf>
    <xf numFmtId="1" fontId="0" fillId="0" borderId="0" xfId="0" applyNumberFormat="1" applyFont="1" applyAlignment="1">
      <alignment vertical="center"/>
    </xf>
    <xf numFmtId="0" fontId="13" fillId="22" borderId="0" xfId="0" applyNumberFormat="1" applyFont="1" applyFill="1" applyAlignment="1">
      <alignment horizontal="left" vertical="center"/>
    </xf>
    <xf numFmtId="167" fontId="8" fillId="22" borderId="0" xfId="0" applyNumberFormat="1" applyFont="1" applyFill="1" applyAlignment="1">
      <alignment horizontal="center" vertical="center"/>
    </xf>
    <xf numFmtId="0" fontId="16" fillId="22" borderId="0" xfId="0" applyNumberFormat="1" applyFont="1" applyFill="1" applyAlignment="1">
      <alignment horizontal="center" vertical="center"/>
    </xf>
    <xf numFmtId="1" fontId="6" fillId="0" borderId="10" xfId="0" applyNumberFormat="1" applyFont="1" applyBorder="1" applyAlignment="1">
      <alignment vertical="center"/>
    </xf>
    <xf numFmtId="1" fontId="6" fillId="0" borderId="15" xfId="0" applyNumberFormat="1" applyFont="1" applyBorder="1" applyAlignment="1">
      <alignment vertical="center"/>
    </xf>
    <xf numFmtId="0" fontId="16" fillId="0" borderId="19" xfId="0" applyNumberFormat="1" applyFont="1" applyBorder="1" applyAlignment="1">
      <alignment horizontal="center" vertical="center" wrapText="1"/>
    </xf>
    <xf numFmtId="167" fontId="35" fillId="0" borderId="17" xfId="0" applyNumberFormat="1" applyFont="1" applyBorder="1" applyAlignment="1">
      <alignment vertical="center"/>
    </xf>
    <xf numFmtId="0" fontId="8" fillId="15" borderId="37" xfId="0" applyNumberFormat="1" applyFont="1" applyFill="1" applyBorder="1" applyAlignment="1">
      <alignment vertical="center"/>
    </xf>
    <xf numFmtId="167" fontId="8" fillId="15" borderId="37" xfId="0" applyNumberFormat="1" applyFont="1" applyFill="1" applyBorder="1" applyAlignment="1">
      <alignment vertical="center"/>
    </xf>
    <xf numFmtId="1" fontId="8" fillId="15" borderId="41" xfId="0" applyNumberFormat="1" applyFont="1" applyFill="1" applyBorder="1" applyAlignment="1">
      <alignment vertical="center"/>
    </xf>
    <xf numFmtId="167" fontId="8" fillId="15" borderId="41" xfId="0" applyNumberFormat="1" applyFont="1" applyFill="1" applyBorder="1" applyAlignment="1">
      <alignment horizontal="center" vertical="center"/>
    </xf>
    <xf numFmtId="0" fontId="8" fillId="15" borderId="41" xfId="0" applyNumberFormat="1" applyFont="1" applyFill="1" applyBorder="1" applyAlignment="1">
      <alignment horizontal="center" vertical="center"/>
    </xf>
    <xf numFmtId="0" fontId="8" fillId="0" borderId="42" xfId="0" applyNumberFormat="1" applyFont="1" applyBorder="1" applyAlignment="1">
      <alignment horizontal="center" vertical="center"/>
    </xf>
    <xf numFmtId="165" fontId="10" fillId="0" borderId="41" xfId="0" applyNumberFormat="1" applyFont="1" applyBorder="1" applyAlignment="1">
      <alignment vertical="center"/>
    </xf>
    <xf numFmtId="0" fontId="8" fillId="18" borderId="15" xfId="0" applyNumberFormat="1" applyFont="1" applyFill="1" applyBorder="1" applyAlignment="1">
      <alignment vertical="center"/>
    </xf>
    <xf numFmtId="0" fontId="8" fillId="15" borderId="16" xfId="0" applyNumberFormat="1" applyFont="1" applyFill="1" applyBorder="1" applyAlignment="1">
      <alignment vertical="center"/>
    </xf>
    <xf numFmtId="167" fontId="34" fillId="15" borderId="17" xfId="0" applyNumberFormat="1" applyFont="1" applyFill="1" applyBorder="1" applyAlignment="1">
      <alignment vertical="center"/>
    </xf>
    <xf numFmtId="1" fontId="36" fillId="19" borderId="15" xfId="0" applyNumberFormat="1" applyFont="1" applyFill="1" applyBorder="1" applyAlignment="1">
      <alignment vertical="center"/>
    </xf>
    <xf numFmtId="167" fontId="20" fillId="0" borderId="19" xfId="0" applyNumberFormat="1" applyFont="1" applyBorder="1" applyAlignment="1">
      <alignment horizontal="center" vertical="center"/>
    </xf>
    <xf numFmtId="0" fontId="37" fillId="0" borderId="19" xfId="0" applyNumberFormat="1" applyFont="1" applyBorder="1" applyAlignment="1">
      <alignment horizontal="center" vertical="center" wrapText="1"/>
    </xf>
    <xf numFmtId="165" fontId="16" fillId="19" borderId="18" xfId="0" applyNumberFormat="1" applyFont="1" applyFill="1" applyBorder="1" applyAlignment="1">
      <alignment horizontal="center" vertical="center"/>
    </xf>
    <xf numFmtId="0" fontId="8" fillId="18" borderId="21" xfId="0" applyNumberFormat="1" applyFont="1" applyFill="1" applyBorder="1" applyAlignment="1">
      <alignment vertical="center"/>
    </xf>
    <xf numFmtId="0" fontId="8" fillId="15" borderId="22" xfId="0" applyNumberFormat="1" applyFont="1" applyFill="1" applyBorder="1" applyAlignment="1">
      <alignment vertical="center"/>
    </xf>
    <xf numFmtId="1" fontId="6" fillId="0" borderId="21" xfId="0" applyNumberFormat="1" applyFont="1" applyBorder="1" applyAlignment="1">
      <alignment vertical="center"/>
    </xf>
    <xf numFmtId="167" fontId="27" fillId="0" borderId="20" xfId="0" applyNumberFormat="1" applyFont="1" applyBorder="1" applyAlignment="1">
      <alignment horizontal="center" vertical="center"/>
    </xf>
    <xf numFmtId="1" fontId="6" fillId="0" borderId="0" xfId="0" applyNumberFormat="1" applyFont="1" applyAlignment="1">
      <alignment vertical="center"/>
    </xf>
    <xf numFmtId="0" fontId="8" fillId="22" borderId="0" xfId="0" applyNumberFormat="1" applyFont="1" applyFill="1" applyAlignment="1">
      <alignment vertical="center"/>
    </xf>
    <xf numFmtId="0" fontId="8" fillId="22" borderId="0" xfId="0" applyNumberFormat="1" applyFont="1" applyFill="1" applyAlignment="1">
      <alignment horizontal="center" vertical="center"/>
    </xf>
    <xf numFmtId="0" fontId="8" fillId="18" borderId="3" xfId="0" applyNumberFormat="1" applyFont="1" applyFill="1" applyBorder="1" applyAlignment="1">
      <alignment vertical="center"/>
    </xf>
    <xf numFmtId="0" fontId="8" fillId="15" borderId="32" xfId="0" applyNumberFormat="1" applyFont="1" applyFill="1" applyBorder="1" applyAlignment="1">
      <alignment vertical="center"/>
    </xf>
    <xf numFmtId="1" fontId="8" fillId="15" borderId="3" xfId="0" applyNumberFormat="1" applyFont="1" applyFill="1" applyBorder="1" applyAlignment="1">
      <alignment vertical="center"/>
    </xf>
    <xf numFmtId="0" fontId="16" fillId="0" borderId="14" xfId="0" applyNumberFormat="1" applyFont="1" applyBorder="1" applyAlignment="1">
      <alignment horizontal="center" vertical="center" wrapText="1"/>
    </xf>
    <xf numFmtId="0" fontId="8" fillId="18" borderId="5" xfId="0" applyNumberFormat="1" applyFont="1" applyFill="1" applyBorder="1" applyAlignment="1">
      <alignment vertical="center"/>
    </xf>
    <xf numFmtId="0" fontId="8" fillId="15" borderId="34" xfId="0" applyNumberFormat="1" applyFont="1" applyFill="1" applyBorder="1" applyAlignment="1">
      <alignment vertical="center"/>
    </xf>
    <xf numFmtId="1" fontId="8" fillId="15" borderId="5" xfId="0" applyNumberFormat="1" applyFont="1" applyFill="1" applyBorder="1" applyAlignment="1">
      <alignment vertical="center"/>
    </xf>
    <xf numFmtId="167" fontId="8" fillId="15" borderId="20" xfId="0" applyNumberFormat="1" applyFont="1" applyFill="1" applyBorder="1" applyAlignment="1">
      <alignment horizontal="center" vertical="center"/>
    </xf>
    <xf numFmtId="0" fontId="16" fillId="0" borderId="20" xfId="0" applyNumberFormat="1" applyFont="1" applyBorder="1" applyAlignment="1">
      <alignment horizontal="center" vertical="center" wrapText="1"/>
    </xf>
    <xf numFmtId="165" fontId="8" fillId="15" borderId="0" xfId="0" applyNumberFormat="1" applyFont="1" applyFill="1" applyAlignment="1">
      <alignment horizontal="center" vertical="center"/>
    </xf>
    <xf numFmtId="0" fontId="8" fillId="18" borderId="10" xfId="0" applyNumberFormat="1" applyFont="1" applyFill="1" applyBorder="1" applyAlignment="1">
      <alignment vertical="center"/>
    </xf>
    <xf numFmtId="0" fontId="8" fillId="15" borderId="11" xfId="0" applyNumberFormat="1" applyFont="1" applyFill="1" applyBorder="1" applyAlignment="1">
      <alignment vertical="center"/>
    </xf>
    <xf numFmtId="167" fontId="19" fillId="15" borderId="12" xfId="0" applyNumberFormat="1" applyFont="1" applyFill="1" applyBorder="1" applyAlignment="1">
      <alignment horizontal="left" vertical="center"/>
    </xf>
    <xf numFmtId="1" fontId="16" fillId="0" borderId="11" xfId="0" applyNumberFormat="1" applyFont="1" applyBorder="1" applyAlignment="1">
      <alignment vertical="center"/>
    </xf>
    <xf numFmtId="167" fontId="18" fillId="15" borderId="14" xfId="0" applyNumberFormat="1" applyFont="1" applyFill="1" applyBorder="1" applyAlignment="1">
      <alignment horizontal="center" vertical="center"/>
    </xf>
    <xf numFmtId="167" fontId="16" fillId="0" borderId="14" xfId="0" applyNumberFormat="1" applyFont="1" applyBorder="1" applyAlignment="1">
      <alignment horizontal="center" vertical="center"/>
    </xf>
    <xf numFmtId="165" fontId="16" fillId="0" borderId="13" xfId="0" applyNumberFormat="1" applyFont="1" applyBorder="1" applyAlignment="1">
      <alignment horizontal="center" vertical="center"/>
    </xf>
    <xf numFmtId="167" fontId="8" fillId="15" borderId="17" xfId="0" applyNumberFormat="1" applyFont="1" applyFill="1" applyBorder="1" applyAlignment="1">
      <alignment horizontal="left" vertical="center"/>
    </xf>
    <xf numFmtId="1" fontId="16" fillId="0" borderId="16" xfId="0" applyNumberFormat="1" applyFont="1" applyBorder="1" applyAlignment="1">
      <alignment vertical="center"/>
    </xf>
    <xf numFmtId="167" fontId="19" fillId="15" borderId="17" xfId="0" applyNumberFormat="1" applyFont="1" applyFill="1" applyBorder="1" applyAlignment="1">
      <alignment horizontal="left" vertical="center"/>
    </xf>
    <xf numFmtId="167" fontId="8" fillId="15" borderId="23" xfId="0" applyNumberFormat="1" applyFont="1" applyFill="1" applyBorder="1" applyAlignment="1">
      <alignment horizontal="left" vertical="center"/>
    </xf>
    <xf numFmtId="1" fontId="16" fillId="0" borderId="22" xfId="0" applyNumberFormat="1" applyFont="1" applyBorder="1" applyAlignment="1">
      <alignment vertical="center"/>
    </xf>
    <xf numFmtId="0" fontId="8" fillId="15" borderId="10" xfId="0" applyNumberFormat="1" applyFont="1" applyFill="1" applyBorder="1" applyAlignment="1">
      <alignment vertical="center"/>
    </xf>
    <xf numFmtId="167" fontId="38" fillId="15" borderId="12" xfId="0" applyNumberFormat="1" applyFont="1" applyFill="1" applyBorder="1" applyAlignment="1">
      <alignment horizontal="left" vertical="center"/>
    </xf>
    <xf numFmtId="0" fontId="38" fillId="0" borderId="11" xfId="0" applyNumberFormat="1" applyFont="1" applyBorder="1" applyAlignment="1">
      <alignment vertical="center"/>
    </xf>
    <xf numFmtId="0" fontId="8" fillId="15" borderId="15" xfId="0" applyNumberFormat="1" applyFont="1" applyFill="1" applyBorder="1" applyAlignment="1">
      <alignment vertical="center"/>
    </xf>
    <xf numFmtId="167" fontId="38" fillId="15" borderId="17" xfId="0" applyNumberFormat="1" applyFont="1" applyFill="1" applyBorder="1" applyAlignment="1">
      <alignment horizontal="left" vertical="center"/>
    </xf>
    <xf numFmtId="0" fontId="38" fillId="0" borderId="16" xfId="0" applyNumberFormat="1" applyFont="1" applyBorder="1" applyAlignment="1">
      <alignment vertical="center"/>
    </xf>
    <xf numFmtId="167" fontId="39" fillId="15" borderId="12" xfId="0" applyNumberFormat="1" applyFont="1" applyFill="1" applyBorder="1" applyAlignment="1">
      <alignment horizontal="left" vertical="center"/>
    </xf>
    <xf numFmtId="167" fontId="8" fillId="15" borderId="12" xfId="0" applyNumberFormat="1" applyFont="1" applyFill="1" applyBorder="1" applyAlignment="1">
      <alignment horizontal="left" vertical="center"/>
    </xf>
    <xf numFmtId="1" fontId="16" fillId="0" borderId="13" xfId="0" applyNumberFormat="1" applyFont="1" applyBorder="1" applyAlignment="1">
      <alignment vertical="center"/>
    </xf>
    <xf numFmtId="165" fontId="16" fillId="0" borderId="14" xfId="0" applyNumberFormat="1" applyFont="1" applyBorder="1" applyAlignment="1">
      <alignment horizontal="center" vertical="center"/>
    </xf>
    <xf numFmtId="1" fontId="16" fillId="0" borderId="18" xfId="0" applyNumberFormat="1" applyFont="1" applyBorder="1" applyAlignment="1">
      <alignment vertical="center"/>
    </xf>
    <xf numFmtId="1" fontId="16" fillId="0" borderId="24" xfId="0" applyNumberFormat="1" applyFont="1" applyBorder="1" applyAlignment="1">
      <alignment vertical="center"/>
    </xf>
    <xf numFmtId="0" fontId="16" fillId="0" borderId="18" xfId="0" applyNumberFormat="1" applyFont="1" applyBorder="1" applyAlignment="1">
      <alignment vertical="center"/>
    </xf>
    <xf numFmtId="167" fontId="8" fillId="15" borderId="0" xfId="0" applyNumberFormat="1" applyFont="1" applyFill="1" applyAlignment="1">
      <alignment horizontal="left" vertical="center"/>
    </xf>
    <xf numFmtId="167" fontId="19" fillId="15" borderId="23" xfId="0" applyNumberFormat="1" applyFont="1" applyFill="1" applyBorder="1" applyAlignment="1">
      <alignment horizontal="left" vertical="center"/>
    </xf>
    <xf numFmtId="0" fontId="38" fillId="0" borderId="18" xfId="0" applyNumberFormat="1" applyFont="1" applyBorder="1" applyAlignment="1">
      <alignment vertical="center"/>
    </xf>
    <xf numFmtId="167" fontId="34" fillId="15" borderId="17" xfId="0" applyNumberFormat="1" applyFont="1" applyFill="1" applyBorder="1" applyAlignment="1">
      <alignment horizontal="left" vertical="center"/>
    </xf>
    <xf numFmtId="1" fontId="34" fillId="0" borderId="18" xfId="0" applyNumberFormat="1" applyFont="1" applyBorder="1" applyAlignment="1">
      <alignment vertical="center"/>
    </xf>
    <xf numFmtId="167" fontId="6" fillId="15" borderId="17" xfId="0" applyNumberFormat="1" applyFont="1" applyFill="1" applyBorder="1" applyAlignment="1">
      <alignment horizontal="left" vertical="center"/>
    </xf>
    <xf numFmtId="0" fontId="8" fillId="9" borderId="0" xfId="0" applyNumberFormat="1" applyFont="1" applyFill="1" applyAlignment="1">
      <alignment vertical="center"/>
    </xf>
    <xf numFmtId="0" fontId="16" fillId="0" borderId="13" xfId="0" applyNumberFormat="1" applyFont="1" applyBorder="1" applyAlignment="1">
      <alignment vertical="center"/>
    </xf>
    <xf numFmtId="165" fontId="16" fillId="0" borderId="19" xfId="0" applyNumberFormat="1" applyFont="1" applyFill="1" applyBorder="1" applyAlignment="1">
      <alignment horizontal="center" vertical="center"/>
    </xf>
    <xf numFmtId="0" fontId="16" fillId="0" borderId="24" xfId="0" applyNumberFormat="1" applyFont="1" applyBorder="1" applyAlignment="1">
      <alignment vertical="center"/>
    </xf>
    <xf numFmtId="165" fontId="16" fillId="0" borderId="20" xfId="0" applyNumberFormat="1" applyFont="1" applyFill="1" applyBorder="1" applyAlignment="1">
      <alignment horizontal="center" vertical="center"/>
    </xf>
    <xf numFmtId="0" fontId="19" fillId="15" borderId="16" xfId="0" applyNumberFormat="1" applyFont="1" applyFill="1" applyBorder="1" applyAlignment="1">
      <alignment vertical="center"/>
    </xf>
    <xf numFmtId="165" fontId="8" fillId="0" borderId="19" xfId="0" applyNumberFormat="1" applyFont="1" applyBorder="1" applyAlignment="1">
      <alignment horizontal="center" vertical="center"/>
    </xf>
    <xf numFmtId="0" fontId="8" fillId="15" borderId="43" xfId="0" applyNumberFormat="1" applyFont="1" applyFill="1" applyBorder="1" applyAlignment="1">
      <alignment vertical="center"/>
    </xf>
    <xf numFmtId="167" fontId="6" fillId="15" borderId="44" xfId="0" applyNumberFormat="1" applyFont="1" applyFill="1" applyBorder="1" applyAlignment="1">
      <alignment horizontal="left" vertical="center"/>
    </xf>
    <xf numFmtId="0" fontId="16" fillId="0" borderId="45" xfId="0" applyNumberFormat="1" applyFont="1" applyBorder="1" applyAlignment="1">
      <alignment vertical="center"/>
    </xf>
    <xf numFmtId="167" fontId="8" fillId="15" borderId="29" xfId="0" applyNumberFormat="1" applyFont="1" applyFill="1" applyBorder="1" applyAlignment="1">
      <alignment horizontal="center" vertical="center"/>
    </xf>
    <xf numFmtId="0" fontId="8" fillId="15" borderId="29" xfId="0" applyNumberFormat="1" applyFont="1" applyFill="1" applyBorder="1" applyAlignment="1">
      <alignment horizontal="center" vertical="center"/>
    </xf>
    <xf numFmtId="165" fontId="16" fillId="0" borderId="29" xfId="0" applyNumberFormat="1" applyFont="1" applyBorder="1" applyAlignment="1">
      <alignment horizontal="center" vertical="center"/>
    </xf>
    <xf numFmtId="0" fontId="8" fillId="18" borderId="8" xfId="0" applyNumberFormat="1" applyFont="1" applyFill="1" applyBorder="1" applyAlignment="1">
      <alignment vertical="center"/>
    </xf>
    <xf numFmtId="1" fontId="16" fillId="0" borderId="45" xfId="0" applyNumberFormat="1" applyFont="1" applyBorder="1" applyAlignment="1">
      <alignment vertical="center"/>
    </xf>
    <xf numFmtId="167" fontId="16" fillId="0" borderId="29" xfId="0" applyNumberFormat="1" applyFont="1" applyBorder="1" applyAlignment="1">
      <alignment horizontal="center" vertical="center"/>
    </xf>
    <xf numFmtId="167" fontId="6" fillId="15" borderId="23" xfId="0" applyNumberFormat="1" applyFont="1" applyFill="1" applyBorder="1" applyAlignment="1">
      <alignment horizontal="left" vertical="center"/>
    </xf>
    <xf numFmtId="0" fontId="2" fillId="0" borderId="0" xfId="0" applyNumberFormat="1" applyFont="1" applyAlignment="1">
      <alignment vertical="center"/>
    </xf>
    <xf numFmtId="0" fontId="2" fillId="0" borderId="0" xfId="2" applyNumberFormat="1" applyFont="1" applyAlignment="1">
      <alignment vertical="center"/>
    </xf>
    <xf numFmtId="1" fontId="8" fillId="9" borderId="0" xfId="0" applyNumberFormat="1" applyFont="1" applyFill="1" applyAlignment="1">
      <alignment horizontal="center" vertical="center"/>
    </xf>
    <xf numFmtId="0" fontId="5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vertical="center"/>
    </xf>
    <xf numFmtId="164" fontId="2" fillId="0" borderId="0" xfId="2" applyFont="1" applyAlignment="1">
      <alignment vertical="center"/>
    </xf>
    <xf numFmtId="1" fontId="40" fillId="0" borderId="0" xfId="0" applyNumberFormat="1" applyFont="1"/>
    <xf numFmtId="0" fontId="40" fillId="0" borderId="0" xfId="0" applyNumberFormat="1" applyFont="1"/>
    <xf numFmtId="167" fontId="8" fillId="9" borderId="0" xfId="0" applyFont="1" applyFill="1" applyAlignment="1">
      <alignment horizontal="left" vertical="center"/>
    </xf>
    <xf numFmtId="165" fontId="2" fillId="0" borderId="0" xfId="0" applyNumberFormat="1" applyFont="1" applyAlignment="1">
      <alignment horizontal="center" vertical="center"/>
    </xf>
    <xf numFmtId="167" fontId="2" fillId="0" borderId="0" xfId="0" applyFont="1"/>
    <xf numFmtId="1" fontId="2" fillId="0" borderId="3" xfId="0" applyNumberFormat="1" applyFont="1" applyBorder="1" applyAlignment="1">
      <alignment vertical="top" wrapText="1"/>
    </xf>
    <xf numFmtId="0" fontId="2" fillId="0" borderId="3" xfId="0" applyNumberFormat="1" applyFont="1" applyBorder="1" applyAlignment="1">
      <alignment vertical="top" wrapText="1"/>
    </xf>
    <xf numFmtId="164" fontId="2" fillId="0" borderId="3" xfId="2" applyFont="1" applyBorder="1" applyAlignment="1">
      <alignment horizontal="right" vertical="top" wrapText="1"/>
    </xf>
    <xf numFmtId="171" fontId="2" fillId="0" borderId="3" xfId="0" applyNumberFormat="1" applyFont="1" applyBorder="1"/>
    <xf numFmtId="0" fontId="2" fillId="0" borderId="3" xfId="0" applyNumberFormat="1" applyFont="1" applyBorder="1" applyAlignment="1">
      <alignment horizontal="center" vertical="top" wrapText="1"/>
    </xf>
    <xf numFmtId="0" fontId="0" fillId="0" borderId="0" xfId="0" applyNumberFormat="1"/>
    <xf numFmtId="0" fontId="0" fillId="0" borderId="0" xfId="0" applyNumberFormat="1" applyAlignment="1">
      <alignment horizontal="center"/>
    </xf>
    <xf numFmtId="0" fontId="10" fillId="0" borderId="0" xfId="0" applyNumberFormat="1" applyFont="1"/>
    <xf numFmtId="167" fontId="10" fillId="0" borderId="0" xfId="0" applyFont="1"/>
    <xf numFmtId="0" fontId="10" fillId="0" borderId="0" xfId="0" applyNumberFormat="1" applyFont="1" applyAlignment="1">
      <alignment horizontal="center"/>
    </xf>
    <xf numFmtId="170" fontId="0" fillId="0" borderId="0" xfId="0" applyNumberFormat="1"/>
    <xf numFmtId="0" fontId="0" fillId="0" borderId="0" xfId="0" applyNumberFormat="1" applyFont="1"/>
    <xf numFmtId="0" fontId="0" fillId="0" borderId="0" xfId="0" applyNumberFormat="1" applyFont="1" applyBorder="1"/>
    <xf numFmtId="0" fontId="0" fillId="0" borderId="0" xfId="0" applyNumberFormat="1" applyBorder="1" applyAlignment="1">
      <alignment horizontal="center"/>
    </xf>
    <xf numFmtId="0" fontId="0" fillId="0" borderId="46" xfId="0" applyNumberFormat="1" applyFont="1" applyBorder="1"/>
    <xf numFmtId="0" fontId="0" fillId="0" borderId="0" xfId="0" applyNumberFormat="1" applyAlignment="1">
      <alignment horizontal="left"/>
    </xf>
    <xf numFmtId="0" fontId="0" fillId="0" borderId="0" xfId="0" applyNumberFormat="1" applyFont="1" applyAlignment="1"/>
    <xf numFmtId="0" fontId="10" fillId="0" borderId="0" xfId="0" applyNumberFormat="1" applyFont="1" applyAlignment="1"/>
    <xf numFmtId="0" fontId="0" fillId="0" borderId="0" xfId="0" applyNumberFormat="1" applyAlignment="1"/>
    <xf numFmtId="167" fontId="43" fillId="0" borderId="0" xfId="0" applyFont="1" applyAlignment="1">
      <alignment horizontal="right"/>
    </xf>
    <xf numFmtId="167" fontId="40" fillId="0" borderId="0" xfId="0" applyFont="1"/>
    <xf numFmtId="167" fontId="43" fillId="27" borderId="10" xfId="0" applyFont="1" applyFill="1" applyBorder="1" applyAlignment="1">
      <alignment horizontal="center"/>
    </xf>
    <xf numFmtId="167" fontId="40" fillId="0" borderId="15" xfId="0" applyFont="1" applyBorder="1"/>
    <xf numFmtId="172" fontId="40" fillId="28" borderId="15" xfId="1" applyNumberFormat="1" applyFont="1" applyFill="1" applyBorder="1"/>
    <xf numFmtId="171" fontId="40" fillId="28" borderId="15" xfId="0" applyNumberFormat="1" applyFont="1" applyFill="1" applyBorder="1" applyAlignment="1">
      <alignment horizontal="right"/>
    </xf>
    <xf numFmtId="167" fontId="40" fillId="28" borderId="15" xfId="0" applyFont="1" applyFill="1" applyBorder="1"/>
    <xf numFmtId="167" fontId="40" fillId="0" borderId="15" xfId="0" applyFont="1" applyBorder="1" applyAlignment="1">
      <alignment horizontal="left"/>
    </xf>
    <xf numFmtId="167" fontId="43" fillId="0" borderId="3" xfId="0" applyFont="1" applyBorder="1" applyAlignment="1">
      <alignment horizontal="left"/>
    </xf>
    <xf numFmtId="164" fontId="12" fillId="22" borderId="47" xfId="2" applyFont="1" applyFill="1" applyBorder="1" applyAlignment="1">
      <alignment vertical="center"/>
    </xf>
    <xf numFmtId="172" fontId="44" fillId="28" borderId="47" xfId="1" applyNumberFormat="1" applyFont="1" applyFill="1" applyBorder="1"/>
    <xf numFmtId="171" fontId="40" fillId="28" borderId="47" xfId="0" applyNumberFormat="1" applyFont="1" applyFill="1" applyBorder="1" applyAlignment="1"/>
    <xf numFmtId="164" fontId="12" fillId="22" borderId="48" xfId="2" applyFont="1" applyFill="1" applyBorder="1" applyAlignment="1">
      <alignment vertical="center"/>
    </xf>
    <xf numFmtId="172" fontId="44" fillId="28" borderId="48" xfId="1" applyNumberFormat="1" applyFont="1" applyFill="1" applyBorder="1"/>
    <xf numFmtId="171" fontId="40" fillId="28" borderId="48" xfId="0" applyNumberFormat="1" applyFont="1" applyFill="1" applyBorder="1" applyAlignment="1"/>
    <xf numFmtId="0" fontId="0" fillId="0" borderId="0" xfId="0" applyNumberFormat="1" applyFont="1" applyAlignment="1">
      <alignment horizontal="left"/>
    </xf>
    <xf numFmtId="164" fontId="12" fillId="22" borderId="49" xfId="2" applyFont="1" applyFill="1" applyBorder="1" applyAlignment="1">
      <alignment vertical="center"/>
    </xf>
    <xf numFmtId="172" fontId="44" fillId="28" borderId="49" xfId="1" applyNumberFormat="1" applyFont="1" applyFill="1" applyBorder="1"/>
    <xf numFmtId="171" fontId="40" fillId="28" borderId="49" xfId="0" applyNumberFormat="1" applyFont="1" applyFill="1" applyBorder="1" applyAlignment="1"/>
    <xf numFmtId="173" fontId="40" fillId="28" borderId="15" xfId="0" applyNumberFormat="1" applyFont="1" applyFill="1" applyBorder="1"/>
    <xf numFmtId="172" fontId="40" fillId="4" borderId="15" xfId="1" applyNumberFormat="1" applyFont="1" applyFill="1" applyBorder="1"/>
    <xf numFmtId="172" fontId="40" fillId="30" borderId="15" xfId="1" applyNumberFormat="1" applyFont="1" applyFill="1" applyBorder="1"/>
    <xf numFmtId="0" fontId="0" fillId="0" borderId="0" xfId="0" applyNumberFormat="1" applyFont="1" applyAlignment="1">
      <alignment horizontal="right"/>
    </xf>
    <xf numFmtId="167" fontId="40" fillId="0" borderId="21" xfId="0" applyFont="1" applyBorder="1"/>
    <xf numFmtId="172" fontId="40" fillId="31" borderId="21" xfId="1" applyNumberFormat="1" applyFont="1" applyFill="1" applyBorder="1"/>
    <xf numFmtId="0" fontId="0" fillId="0" borderId="0" xfId="0" applyNumberFormat="1" applyAlignment="1">
      <alignment horizontal="right"/>
    </xf>
    <xf numFmtId="0" fontId="45" fillId="32" borderId="0" xfId="0" applyNumberFormat="1" applyFont="1" applyFill="1"/>
    <xf numFmtId="164" fontId="40" fillId="0" borderId="0" xfId="2" applyFont="1"/>
    <xf numFmtId="174" fontId="40" fillId="0" borderId="0" xfId="2" applyNumberFormat="1" applyFont="1"/>
    <xf numFmtId="167" fontId="43" fillId="0" borderId="0" xfId="0" applyFont="1" applyAlignment="1"/>
    <xf numFmtId="167" fontId="43" fillId="0" borderId="0" xfId="0" applyFont="1" applyAlignment="1">
      <alignment horizontal="center"/>
    </xf>
    <xf numFmtId="0" fontId="2" fillId="14" borderId="3" xfId="0" applyNumberFormat="1" applyFont="1" applyFill="1" applyBorder="1" applyAlignment="1">
      <alignment horizontal="center"/>
    </xf>
    <xf numFmtId="167" fontId="47" fillId="0" borderId="0" xfId="0" applyFont="1"/>
    <xf numFmtId="0" fontId="40" fillId="0" borderId="0" xfId="0" applyNumberFormat="1" applyFont="1" applyFill="1" applyAlignment="1"/>
    <xf numFmtId="167" fontId="40" fillId="5" borderId="0" xfId="0" applyNumberFormat="1" applyFont="1" applyFill="1"/>
    <xf numFmtId="167" fontId="40" fillId="0" borderId="0" xfId="0" applyFont="1" applyAlignment="1">
      <alignment horizontal="left"/>
    </xf>
    <xf numFmtId="167" fontId="43" fillId="27" borderId="3" xfId="0" applyFont="1" applyFill="1" applyBorder="1" applyAlignment="1">
      <alignment horizontal="center"/>
    </xf>
    <xf numFmtId="167" fontId="40" fillId="0" borderId="47" xfId="0" applyFont="1" applyBorder="1"/>
    <xf numFmtId="172" fontId="40" fillId="28" borderId="47" xfId="1" applyNumberFormat="1" applyFont="1" applyFill="1" applyBorder="1"/>
    <xf numFmtId="171" fontId="40" fillId="28" borderId="47" xfId="0" applyNumberFormat="1" applyFont="1" applyFill="1" applyBorder="1" applyAlignment="1">
      <alignment horizontal="right"/>
    </xf>
    <xf numFmtId="167" fontId="40" fillId="28" borderId="47" xfId="0" applyFont="1" applyFill="1" applyBorder="1"/>
    <xf numFmtId="167" fontId="40" fillId="0" borderId="48" xfId="0" applyFont="1" applyBorder="1"/>
    <xf numFmtId="172" fontId="40" fillId="28" borderId="48" xfId="1" applyNumberFormat="1" applyFont="1" applyFill="1" applyBorder="1"/>
    <xf numFmtId="171" fontId="40" fillId="28" borderId="48" xfId="0" applyNumberFormat="1" applyFont="1" applyFill="1" applyBorder="1" applyAlignment="1">
      <alignment horizontal="right"/>
    </xf>
    <xf numFmtId="167" fontId="40" fillId="28" borderId="48" xfId="0" applyFont="1" applyFill="1" applyBorder="1"/>
    <xf numFmtId="167" fontId="40" fillId="0" borderId="48" xfId="0" applyFont="1" applyBorder="1" applyAlignment="1">
      <alignment horizontal="left"/>
    </xf>
    <xf numFmtId="167" fontId="48" fillId="4" borderId="48" xfId="0" applyFont="1" applyFill="1" applyBorder="1" applyAlignment="1">
      <alignment horizontal="left"/>
    </xf>
    <xf numFmtId="172" fontId="48" fillId="4" borderId="48" xfId="1" applyNumberFormat="1" applyFont="1" applyFill="1" applyBorder="1"/>
    <xf numFmtId="172" fontId="48" fillId="4" borderId="5" xfId="1" applyNumberFormat="1" applyFont="1" applyFill="1" applyBorder="1"/>
    <xf numFmtId="171" fontId="40" fillId="28" borderId="5" xfId="0" applyNumberFormat="1" applyFont="1" applyFill="1" applyBorder="1" applyAlignment="1">
      <alignment horizontal="right"/>
    </xf>
    <xf numFmtId="173" fontId="40" fillId="28" borderId="5" xfId="0" applyNumberFormat="1" applyFont="1" applyFill="1" applyBorder="1"/>
    <xf numFmtId="167" fontId="40" fillId="0" borderId="3" xfId="0" applyFont="1" applyBorder="1"/>
    <xf numFmtId="172" fontId="40" fillId="4" borderId="3" xfId="1" applyNumberFormat="1" applyFont="1" applyFill="1" applyBorder="1"/>
    <xf numFmtId="172" fontId="40" fillId="30" borderId="3" xfId="1" applyNumberFormat="1" applyFont="1" applyFill="1" applyBorder="1"/>
    <xf numFmtId="172" fontId="40" fillId="31" borderId="3" xfId="1" applyNumberFormat="1" applyFont="1" applyFill="1" applyBorder="1"/>
    <xf numFmtId="167" fontId="40" fillId="0" borderId="0" xfId="0" applyFont="1" applyBorder="1"/>
    <xf numFmtId="170" fontId="40" fillId="0" borderId="0" xfId="0" applyNumberFormat="1" applyFont="1" applyBorder="1"/>
    <xf numFmtId="167" fontId="43" fillId="0" borderId="48" xfId="0" applyFont="1" applyBorder="1" applyAlignment="1">
      <alignment horizontal="left"/>
    </xf>
    <xf numFmtId="172" fontId="40" fillId="28" borderId="56" xfId="1" applyNumberFormat="1" applyFont="1" applyFill="1" applyBorder="1"/>
    <xf numFmtId="171" fontId="40" fillId="28" borderId="56" xfId="0" applyNumberFormat="1" applyFont="1" applyFill="1" applyBorder="1" applyAlignment="1"/>
    <xf numFmtId="172" fontId="40" fillId="28" borderId="57" xfId="1" applyNumberFormat="1" applyFont="1" applyFill="1" applyBorder="1"/>
    <xf numFmtId="171" fontId="40" fillId="28" borderId="57" xfId="0" applyNumberFormat="1" applyFont="1" applyFill="1" applyBorder="1" applyAlignment="1"/>
    <xf numFmtId="172" fontId="40" fillId="28" borderId="49" xfId="1" applyNumberFormat="1" applyFont="1" applyFill="1" applyBorder="1"/>
    <xf numFmtId="167" fontId="40" fillId="28" borderId="49" xfId="0" applyFont="1" applyFill="1" applyBorder="1"/>
    <xf numFmtId="172" fontId="49" fillId="28" borderId="3" xfId="1" applyNumberFormat="1" applyFont="1" applyFill="1" applyBorder="1"/>
    <xf numFmtId="171" fontId="40" fillId="28" borderId="3" xfId="0" applyNumberFormat="1" applyFont="1" applyFill="1" applyBorder="1" applyAlignment="1"/>
    <xf numFmtId="167" fontId="40" fillId="28" borderId="3" xfId="0" applyFont="1" applyFill="1" applyBorder="1"/>
    <xf numFmtId="167" fontId="5" fillId="0" borderId="0" xfId="0" applyFont="1" applyAlignment="1">
      <alignment horizontal="center"/>
    </xf>
    <xf numFmtId="164" fontId="40" fillId="4" borderId="0" xfId="2" applyFont="1" applyFill="1"/>
    <xf numFmtId="164" fontId="4" fillId="4" borderId="3" xfId="2" applyFont="1" applyFill="1" applyBorder="1" applyAlignment="1">
      <alignment horizontal="center"/>
    </xf>
    <xf numFmtId="164" fontId="6" fillId="33" borderId="3" xfId="2" applyFont="1" applyFill="1" applyBorder="1" applyAlignment="1">
      <alignment horizontal="center"/>
    </xf>
    <xf numFmtId="167" fontId="5" fillId="8" borderId="0" xfId="0" applyFont="1" applyFill="1" applyAlignment="1">
      <alignment horizontal="center"/>
    </xf>
    <xf numFmtId="167" fontId="4" fillId="4" borderId="0" xfId="0" applyFont="1" applyFill="1" applyAlignment="1">
      <alignment horizontal="center"/>
    </xf>
    <xf numFmtId="164" fontId="4" fillId="5" borderId="3" xfId="2" applyFont="1" applyFill="1" applyBorder="1" applyAlignment="1">
      <alignment horizontal="center"/>
    </xf>
    <xf numFmtId="0" fontId="0" fillId="0" borderId="0" xfId="0" applyNumberFormat="1" applyAlignment="1">
      <alignment horizontal="center" wrapText="1"/>
    </xf>
    <xf numFmtId="1" fontId="10" fillId="0" borderId="0" xfId="0" applyNumberFormat="1" applyFont="1"/>
    <xf numFmtId="175" fontId="0" fillId="0" borderId="0" xfId="0" applyNumberFormat="1"/>
    <xf numFmtId="1" fontId="10" fillId="0" borderId="0" xfId="0" applyNumberFormat="1" applyFont="1" applyAlignment="1">
      <alignment horizontal="center" wrapText="1"/>
    </xf>
    <xf numFmtId="175" fontId="0" fillId="0" borderId="0" xfId="0" applyNumberFormat="1" applyAlignment="1">
      <alignment horizontal="center" wrapText="1"/>
    </xf>
    <xf numFmtId="175" fontId="10" fillId="0" borderId="0" xfId="0" applyNumberFormat="1" applyFont="1"/>
    <xf numFmtId="0" fontId="51" fillId="0" borderId="0" xfId="0" applyNumberFormat="1" applyFont="1" applyBorder="1" applyAlignment="1">
      <alignment horizontal="center" vertical="center"/>
    </xf>
    <xf numFmtId="0" fontId="52" fillId="0" borderId="0" xfId="0" applyNumberFormat="1" applyFont="1" applyFill="1" applyBorder="1" applyAlignment="1">
      <alignment horizontal="left" vertical="center"/>
    </xf>
    <xf numFmtId="0" fontId="52" fillId="0" borderId="0" xfId="0" applyNumberFormat="1" applyFont="1" applyFill="1" applyBorder="1" applyAlignment="1">
      <alignment horizontal="center" vertical="center"/>
    </xf>
    <xf numFmtId="175" fontId="0" fillId="0" borderId="0" xfId="0" applyNumberFormat="1" applyAlignment="1">
      <alignment horizontal="center"/>
    </xf>
    <xf numFmtId="0" fontId="51" fillId="0" borderId="0" xfId="0" applyNumberFormat="1" applyFont="1" applyFill="1" applyBorder="1" applyAlignment="1">
      <alignment horizontal="center" vertical="center"/>
    </xf>
    <xf numFmtId="0" fontId="52" fillId="0" borderId="0" xfId="0" applyNumberFormat="1" applyFont="1" applyFill="1" applyBorder="1" applyAlignment="1">
      <alignment vertical="center"/>
    </xf>
    <xf numFmtId="0" fontId="0" fillId="0" borderId="0" xfId="0" applyNumberFormat="1" applyFill="1" applyBorder="1" applyAlignment="1">
      <alignment horizontal="center"/>
    </xf>
    <xf numFmtId="0" fontId="0" fillId="0" borderId="0" xfId="0" applyNumberFormat="1" applyFill="1" applyBorder="1"/>
    <xf numFmtId="0" fontId="0" fillId="0" borderId="0" xfId="0" applyNumberFormat="1" applyBorder="1"/>
    <xf numFmtId="0" fontId="0" fillId="0" borderId="0" xfId="0" applyNumberFormat="1" applyBorder="1" applyAlignment="1">
      <alignment horizontal="left" vertical="center"/>
    </xf>
    <xf numFmtId="49" fontId="51" fillId="0" borderId="0" xfId="0" applyNumberFormat="1" applyFont="1" applyFill="1" applyBorder="1" applyAlignment="1">
      <alignment horizontal="left" vertical="center"/>
    </xf>
    <xf numFmtId="0" fontId="51" fillId="0" borderId="0" xfId="0" applyNumberFormat="1" applyFont="1" applyFill="1" applyBorder="1" applyAlignment="1">
      <alignment horizontal="left" vertical="center"/>
    </xf>
    <xf numFmtId="0" fontId="51" fillId="0" borderId="0" xfId="0" applyNumberFormat="1" applyFont="1" applyFill="1" applyBorder="1" applyAlignment="1">
      <alignment horizontal="center" vertical="top" wrapText="1"/>
    </xf>
    <xf numFmtId="167" fontId="5" fillId="0" borderId="0" xfId="0" applyFont="1" applyFill="1" applyAlignment="1">
      <alignment horizontal="center"/>
    </xf>
    <xf numFmtId="0" fontId="53" fillId="5" borderId="0" xfId="0" applyNumberFormat="1" applyFont="1" applyFill="1" applyAlignment="1">
      <alignment horizontal="center"/>
    </xf>
    <xf numFmtId="167" fontId="2" fillId="29" borderId="0" xfId="0" applyFont="1" applyFill="1" applyAlignment="1">
      <alignment horizontal="center"/>
    </xf>
    <xf numFmtId="0" fontId="2" fillId="34" borderId="0" xfId="0" applyNumberFormat="1" applyFont="1" applyFill="1" applyAlignment="1">
      <alignment horizontal="center"/>
    </xf>
    <xf numFmtId="164" fontId="2" fillId="35" borderId="0" xfId="2" applyFont="1" applyFill="1" applyAlignment="1">
      <alignment horizontal="center"/>
    </xf>
    <xf numFmtId="167" fontId="5" fillId="0" borderId="0" xfId="0" applyFont="1" applyFill="1" applyBorder="1" applyAlignment="1">
      <alignment horizontal="center"/>
    </xf>
    <xf numFmtId="0" fontId="47" fillId="5" borderId="0" xfId="0" applyNumberFormat="1" applyFont="1" applyFill="1" applyAlignment="1">
      <alignment horizontal="center"/>
    </xf>
    <xf numFmtId="1" fontId="5" fillId="29" borderId="0" xfId="0" applyNumberFormat="1" applyFont="1" applyFill="1" applyAlignment="1">
      <alignment horizontal="center"/>
    </xf>
    <xf numFmtId="0" fontId="5" fillId="34" borderId="0" xfId="0" applyNumberFormat="1" applyFont="1" applyFill="1" applyAlignment="1">
      <alignment horizontal="center"/>
    </xf>
    <xf numFmtId="1" fontId="5" fillId="35" borderId="0" xfId="0" applyNumberFormat="1" applyFont="1" applyFill="1" applyAlignment="1">
      <alignment horizontal="center"/>
    </xf>
    <xf numFmtId="0" fontId="2" fillId="36" borderId="58" xfId="0" applyNumberFormat="1" applyFont="1" applyFill="1" applyBorder="1"/>
    <xf numFmtId="0" fontId="2" fillId="0" borderId="59" xfId="0" applyNumberFormat="1" applyFont="1" applyBorder="1"/>
    <xf numFmtId="0" fontId="5" fillId="37" borderId="59" xfId="0" applyNumberFormat="1" applyFont="1" applyFill="1" applyBorder="1"/>
    <xf numFmtId="167" fontId="2" fillId="37" borderId="59" xfId="0" applyFont="1" applyFill="1" applyBorder="1" applyAlignment="1">
      <alignment horizontal="center"/>
    </xf>
    <xf numFmtId="0" fontId="2" fillId="5" borderId="60" xfId="0" applyNumberFormat="1" applyFont="1" applyFill="1" applyBorder="1" applyAlignment="1">
      <alignment horizontal="center"/>
    </xf>
    <xf numFmtId="0" fontId="2" fillId="37" borderId="61" xfId="0" applyNumberFormat="1" applyFont="1" applyFill="1" applyBorder="1" applyAlignment="1">
      <alignment horizontal="center"/>
    </xf>
    <xf numFmtId="0" fontId="2" fillId="37" borderId="62" xfId="0" applyNumberFormat="1" applyFont="1" applyFill="1" applyBorder="1" applyAlignment="1">
      <alignment horizontal="center"/>
    </xf>
    <xf numFmtId="0" fontId="2" fillId="0" borderId="62" xfId="0" applyNumberFormat="1" applyFont="1" applyBorder="1" applyAlignment="1">
      <alignment horizontal="center"/>
    </xf>
    <xf numFmtId="0" fontId="2" fillId="0" borderId="63" xfId="0" applyNumberFormat="1" applyFont="1" applyFill="1" applyBorder="1"/>
    <xf numFmtId="0" fontId="2" fillId="0" borderId="60" xfId="0" applyNumberFormat="1" applyFont="1" applyBorder="1"/>
    <xf numFmtId="0" fontId="5" fillId="37" borderId="60" xfId="0" applyNumberFormat="1" applyFont="1" applyFill="1" applyBorder="1"/>
    <xf numFmtId="167" fontId="2" fillId="37" borderId="60" xfId="0" applyFont="1" applyFill="1" applyBorder="1" applyAlignment="1">
      <alignment horizontal="center"/>
    </xf>
    <xf numFmtId="0" fontId="2" fillId="37" borderId="64" xfId="0" applyNumberFormat="1" applyFont="1" applyFill="1" applyBorder="1" applyAlignment="1">
      <alignment horizontal="center"/>
    </xf>
    <xf numFmtId="0" fontId="2" fillId="37" borderId="65" xfId="0" applyNumberFormat="1" applyFont="1" applyFill="1" applyBorder="1" applyAlignment="1">
      <alignment horizontal="center"/>
    </xf>
    <xf numFmtId="0" fontId="2" fillId="0" borderId="65" xfId="0" applyNumberFormat="1" applyFont="1" applyBorder="1" applyAlignment="1">
      <alignment horizontal="center"/>
    </xf>
    <xf numFmtId="0" fontId="5" fillId="38" borderId="60" xfId="0" applyNumberFormat="1" applyFont="1" applyFill="1" applyBorder="1"/>
    <xf numFmtId="167" fontId="2" fillId="38" borderId="60" xfId="0" applyFont="1" applyFill="1" applyBorder="1" applyAlignment="1">
      <alignment horizontal="center"/>
    </xf>
    <xf numFmtId="0" fontId="2" fillId="38" borderId="64" xfId="0" applyNumberFormat="1" applyFont="1" applyFill="1" applyBorder="1" applyAlignment="1">
      <alignment horizontal="center"/>
    </xf>
    <xf numFmtId="0" fontId="2" fillId="38" borderId="65" xfId="0" applyNumberFormat="1" applyFont="1" applyFill="1" applyBorder="1" applyAlignment="1">
      <alignment horizontal="center"/>
    </xf>
    <xf numFmtId="0" fontId="5" fillId="0" borderId="60" xfId="0" applyNumberFormat="1" applyFont="1" applyBorder="1"/>
    <xf numFmtId="167" fontId="2" fillId="0" borderId="60" xfId="0" applyFont="1" applyBorder="1" applyAlignment="1">
      <alignment horizontal="center"/>
    </xf>
    <xf numFmtId="0" fontId="2" fillId="0" borderId="64" xfId="0" applyNumberFormat="1" applyFont="1" applyBorder="1" applyAlignment="1">
      <alignment horizontal="center"/>
    </xf>
    <xf numFmtId="0" fontId="2" fillId="0" borderId="66" xfId="0" applyNumberFormat="1" applyFont="1" applyFill="1" applyBorder="1"/>
    <xf numFmtId="0" fontId="2" fillId="0" borderId="67" xfId="0" applyNumberFormat="1" applyFont="1" applyBorder="1"/>
    <xf numFmtId="0" fontId="5" fillId="39" borderId="67" xfId="0" applyNumberFormat="1" applyFont="1" applyFill="1" applyBorder="1"/>
    <xf numFmtId="167" fontId="2" fillId="0" borderId="67" xfId="0" applyFont="1" applyBorder="1" applyAlignment="1">
      <alignment horizontal="center"/>
    </xf>
    <xf numFmtId="0" fontId="2" fillId="5" borderId="67" xfId="0" applyNumberFormat="1" applyFont="1" applyFill="1" applyBorder="1" applyAlignment="1">
      <alignment horizontal="center"/>
    </xf>
    <xf numFmtId="0" fontId="2" fillId="0" borderId="68" xfId="0" applyNumberFormat="1" applyFont="1" applyBorder="1" applyAlignment="1">
      <alignment horizontal="center"/>
    </xf>
    <xf numFmtId="0" fontId="2" fillId="0" borderId="69" xfId="0" applyNumberFormat="1" applyFont="1" applyBorder="1" applyAlignment="1">
      <alignment horizontal="center"/>
    </xf>
    <xf numFmtId="0" fontId="2" fillId="0" borderId="70" xfId="0" applyNumberFormat="1" applyFont="1" applyFill="1" applyBorder="1"/>
    <xf numFmtId="0" fontId="2" fillId="0" borderId="0" xfId="0" applyNumberFormat="1" applyFont="1" applyBorder="1"/>
    <xf numFmtId="167" fontId="2" fillId="0" borderId="0" xfId="0" applyFont="1" applyBorder="1" applyAlignment="1">
      <alignment horizontal="center"/>
    </xf>
    <xf numFmtId="0" fontId="4" fillId="0" borderId="0" xfId="0" applyNumberFormat="1" applyFont="1" applyBorder="1" applyAlignment="1">
      <alignment horizontal="center"/>
    </xf>
    <xf numFmtId="0" fontId="2" fillId="29" borderId="71" xfId="0" applyNumberFormat="1" applyFont="1" applyFill="1" applyBorder="1" applyAlignment="1">
      <alignment horizontal="center"/>
    </xf>
    <xf numFmtId="0" fontId="2" fillId="34" borderId="72" xfId="0" applyNumberFormat="1" applyFont="1" applyFill="1" applyBorder="1" applyAlignment="1">
      <alignment horizontal="center"/>
    </xf>
    <xf numFmtId="0" fontId="2" fillId="35" borderId="72" xfId="0" applyNumberFormat="1" applyFont="1" applyFill="1" applyBorder="1" applyAlignment="1">
      <alignment horizontal="center"/>
    </xf>
    <xf numFmtId="0" fontId="2" fillId="0" borderId="0" xfId="0" applyNumberFormat="1" applyFont="1" applyBorder="1" applyAlignment="1">
      <alignment horizontal="center"/>
    </xf>
    <xf numFmtId="164" fontId="2" fillId="0" borderId="0" xfId="0" applyNumberFormat="1" applyFont="1" applyBorder="1"/>
    <xf numFmtId="0" fontId="2" fillId="5" borderId="59" xfId="0" applyNumberFormat="1" applyFont="1" applyFill="1" applyBorder="1" applyAlignment="1">
      <alignment horizontal="center"/>
    </xf>
    <xf numFmtId="1" fontId="2" fillId="37" borderId="61" xfId="0" applyNumberFormat="1" applyFont="1" applyFill="1" applyBorder="1" applyAlignment="1">
      <alignment horizontal="center"/>
    </xf>
    <xf numFmtId="1" fontId="2" fillId="37" borderId="62" xfId="0" applyNumberFormat="1" applyFont="1" applyFill="1" applyBorder="1" applyAlignment="1">
      <alignment horizontal="center"/>
    </xf>
    <xf numFmtId="1" fontId="2" fillId="0" borderId="62" xfId="0" applyNumberFormat="1" applyFont="1" applyBorder="1" applyAlignment="1">
      <alignment horizontal="center"/>
    </xf>
    <xf numFmtId="1" fontId="2" fillId="37" borderId="64" xfId="0" applyNumberFormat="1" applyFont="1" applyFill="1" applyBorder="1" applyAlignment="1">
      <alignment horizontal="center"/>
    </xf>
    <xf numFmtId="1" fontId="2" fillId="37" borderId="65" xfId="0" applyNumberFormat="1" applyFont="1" applyFill="1" applyBorder="1" applyAlignment="1">
      <alignment horizontal="center"/>
    </xf>
    <xf numFmtId="1" fontId="2" fillId="0" borderId="65" xfId="0" applyNumberFormat="1" applyFont="1" applyBorder="1" applyAlignment="1">
      <alignment horizontal="center"/>
    </xf>
    <xf numFmtId="0" fontId="19" fillId="5" borderId="60" xfId="0" applyNumberFormat="1" applyFont="1" applyFill="1" applyBorder="1" applyAlignment="1">
      <alignment horizontal="center"/>
    </xf>
    <xf numFmtId="1" fontId="2" fillId="38" borderId="64" xfId="0" applyNumberFormat="1" applyFont="1" applyFill="1" applyBorder="1" applyAlignment="1">
      <alignment horizontal="center"/>
    </xf>
    <xf numFmtId="1" fontId="2" fillId="38" borderId="65" xfId="0" applyNumberFormat="1" applyFont="1" applyFill="1" applyBorder="1" applyAlignment="1">
      <alignment horizontal="center"/>
    </xf>
    <xf numFmtId="1" fontId="2" fillId="0" borderId="64" xfId="0" applyNumberFormat="1" applyFont="1" applyBorder="1" applyAlignment="1">
      <alignment horizontal="center"/>
    </xf>
    <xf numFmtId="1" fontId="2" fillId="0" borderId="68" xfId="0" applyNumberFormat="1" applyFont="1" applyBorder="1" applyAlignment="1">
      <alignment horizontal="center"/>
    </xf>
    <xf numFmtId="1" fontId="2" fillId="0" borderId="69" xfId="0" applyNumberFormat="1" applyFont="1" applyBorder="1" applyAlignment="1">
      <alignment horizontal="center"/>
    </xf>
    <xf numFmtId="1" fontId="2" fillId="29" borderId="71" xfId="0" applyNumberFormat="1" applyFont="1" applyFill="1" applyBorder="1" applyAlignment="1">
      <alignment horizontal="center"/>
    </xf>
    <xf numFmtId="1" fontId="2" fillId="34" borderId="72" xfId="0" applyNumberFormat="1" applyFont="1" applyFill="1" applyBorder="1" applyAlignment="1">
      <alignment horizontal="center"/>
    </xf>
    <xf numFmtId="1" fontId="2" fillId="35" borderId="72" xfId="0" applyNumberFormat="1" applyFont="1" applyFill="1" applyBorder="1" applyAlignment="1">
      <alignment horizontal="center"/>
    </xf>
    <xf numFmtId="0" fontId="5" fillId="5" borderId="60" xfId="0" applyNumberFormat="1" applyFont="1" applyFill="1" applyBorder="1" applyAlignment="1">
      <alignment horizontal="center"/>
    </xf>
    <xf numFmtId="0" fontId="2" fillId="39" borderId="67" xfId="0" applyNumberFormat="1" applyFont="1" applyFill="1" applyBorder="1"/>
    <xf numFmtId="0" fontId="5" fillId="5" borderId="67" xfId="0" applyNumberFormat="1" applyFont="1" applyFill="1" applyBorder="1" applyAlignment="1">
      <alignment horizontal="center"/>
    </xf>
    <xf numFmtId="1" fontId="2" fillId="0" borderId="0" xfId="0" applyNumberFormat="1" applyFont="1" applyBorder="1" applyAlignment="1">
      <alignment horizontal="center"/>
    </xf>
    <xf numFmtId="167" fontId="2" fillId="40" borderId="0" xfId="0" applyFont="1" applyFill="1" applyAlignment="1">
      <alignment horizontal="center"/>
    </xf>
    <xf numFmtId="167" fontId="2" fillId="0" borderId="0" xfId="0" applyFont="1" applyAlignment="1">
      <alignment horizontal="center" vertical="center"/>
    </xf>
    <xf numFmtId="1" fontId="5" fillId="40" borderId="0" xfId="0" applyNumberFormat="1" applyFont="1" applyFill="1" applyAlignment="1">
      <alignment horizontal="center"/>
    </xf>
    <xf numFmtId="0" fontId="2" fillId="0" borderId="73" xfId="0" applyNumberFormat="1" applyFont="1" applyBorder="1" applyAlignment="1">
      <alignment horizontal="center"/>
    </xf>
    <xf numFmtId="1" fontId="2" fillId="0" borderId="3" xfId="0" applyNumberFormat="1" applyFont="1" applyBorder="1"/>
    <xf numFmtId="1" fontId="2" fillId="0" borderId="0" xfId="0" applyNumberFormat="1" applyFont="1"/>
    <xf numFmtId="0" fontId="2" fillId="0" borderId="74" xfId="0" applyNumberFormat="1" applyFont="1" applyBorder="1" applyAlignment="1">
      <alignment horizontal="center"/>
    </xf>
    <xf numFmtId="0" fontId="2" fillId="0" borderId="75" xfId="0" applyNumberFormat="1" applyFont="1" applyBorder="1" applyAlignment="1">
      <alignment horizontal="center"/>
    </xf>
    <xf numFmtId="0" fontId="2" fillId="40" borderId="76" xfId="0" applyNumberFormat="1" applyFont="1" applyFill="1" applyBorder="1" applyAlignment="1">
      <alignment horizontal="center"/>
    </xf>
    <xf numFmtId="0" fontId="2" fillId="40" borderId="77" xfId="0" applyNumberFormat="1" applyFont="1" applyFill="1" applyBorder="1" applyAlignment="1">
      <alignment horizontal="center"/>
    </xf>
    <xf numFmtId="167" fontId="2" fillId="0" borderId="0" xfId="0" applyFont="1" applyBorder="1"/>
    <xf numFmtId="1" fontId="2" fillId="0" borderId="73" xfId="0" applyNumberFormat="1" applyFont="1" applyBorder="1" applyAlignment="1">
      <alignment horizontal="center"/>
    </xf>
    <xf numFmtId="1" fontId="2" fillId="0" borderId="74" xfId="0" applyNumberFormat="1" applyFont="1" applyBorder="1" applyAlignment="1">
      <alignment horizontal="center"/>
    </xf>
    <xf numFmtId="1" fontId="2" fillId="0" borderId="75" xfId="0" applyNumberFormat="1" applyFont="1" applyBorder="1" applyAlignment="1">
      <alignment horizontal="center"/>
    </xf>
    <xf numFmtId="1" fontId="2" fillId="40" borderId="76" xfId="0" applyNumberFormat="1" applyFont="1" applyFill="1" applyBorder="1" applyAlignment="1">
      <alignment horizontal="center"/>
    </xf>
    <xf numFmtId="1" fontId="2" fillId="40" borderId="77" xfId="0" applyNumberFormat="1" applyFont="1" applyFill="1" applyBorder="1" applyAlignment="1">
      <alignment horizontal="center"/>
    </xf>
    <xf numFmtId="167" fontId="54" fillId="0" borderId="0" xfId="0" applyFont="1" applyAlignment="1">
      <alignment horizontal="left"/>
    </xf>
    <xf numFmtId="167" fontId="0" fillId="0" borderId="0" xfId="0" applyAlignment="1">
      <alignment horizontal="center"/>
    </xf>
    <xf numFmtId="0" fontId="55" fillId="0" borderId="0" xfId="0" applyNumberFormat="1" applyFont="1" applyAlignment="1"/>
    <xf numFmtId="167" fontId="55" fillId="0" borderId="0" xfId="0" applyFont="1" applyAlignment="1"/>
    <xf numFmtId="0" fontId="42" fillId="0" borderId="3" xfId="0" applyNumberFormat="1" applyFont="1" applyBorder="1" applyAlignment="1">
      <alignment horizontal="center"/>
    </xf>
    <xf numFmtId="167" fontId="42" fillId="0" borderId="3" xfId="0" applyFont="1" applyBorder="1" applyAlignment="1">
      <alignment horizontal="center"/>
    </xf>
    <xf numFmtId="167" fontId="42" fillId="0" borderId="7" xfId="0" applyFont="1" applyBorder="1" applyAlignment="1">
      <alignment horizontal="center"/>
    </xf>
    <xf numFmtId="167" fontId="42" fillId="0" borderId="32" xfId="0" applyFont="1" applyBorder="1" applyAlignment="1">
      <alignment horizontal="center"/>
    </xf>
    <xf numFmtId="167" fontId="5" fillId="5" borderId="78" xfId="0" applyFont="1" applyFill="1" applyBorder="1" applyAlignment="1">
      <alignment horizontal="center"/>
    </xf>
    <xf numFmtId="167" fontId="42" fillId="0" borderId="8" xfId="0" applyFont="1" applyBorder="1" applyAlignment="1">
      <alignment horizontal="center"/>
    </xf>
    <xf numFmtId="167" fontId="42" fillId="0" borderId="52" xfId="0" applyFont="1" applyBorder="1" applyAlignment="1">
      <alignment horizontal="center"/>
    </xf>
    <xf numFmtId="164" fontId="5" fillId="5" borderId="79" xfId="0" applyNumberFormat="1" applyFont="1" applyFill="1" applyBorder="1"/>
    <xf numFmtId="0" fontId="10" fillId="0" borderId="3" xfId="0" applyNumberFormat="1" applyFont="1" applyFill="1" applyBorder="1" applyAlignment="1">
      <alignment horizontal="center" vertical="center"/>
    </xf>
    <xf numFmtId="167" fontId="10" fillId="0" borderId="3" xfId="0" applyFont="1" applyFill="1" applyBorder="1" applyAlignment="1">
      <alignment vertical="center"/>
    </xf>
    <xf numFmtId="164" fontId="10" fillId="0" borderId="3" xfId="0" applyNumberFormat="1" applyFont="1" applyFill="1" applyBorder="1" applyAlignment="1">
      <alignment vertical="center"/>
    </xf>
    <xf numFmtId="164" fontId="2" fillId="0" borderId="3" xfId="0" applyNumberFormat="1" applyFont="1" applyBorder="1"/>
    <xf numFmtId="164" fontId="8" fillId="0" borderId="3" xfId="0" applyNumberFormat="1" applyFont="1" applyBorder="1"/>
    <xf numFmtId="0" fontId="10" fillId="0" borderId="8" xfId="0" applyNumberFormat="1" applyFont="1" applyFill="1" applyBorder="1" applyAlignment="1">
      <alignment horizontal="center" vertical="center"/>
    </xf>
    <xf numFmtId="167" fontId="2" fillId="0" borderId="3" xfId="0" applyFont="1" applyBorder="1"/>
    <xf numFmtId="0" fontId="10" fillId="0" borderId="4" xfId="0" applyNumberFormat="1" applyFont="1" applyFill="1" applyBorder="1" applyAlignment="1">
      <alignment horizontal="center" vertical="center"/>
    </xf>
    <xf numFmtId="0" fontId="10" fillId="0" borderId="5" xfId="0" applyNumberFormat="1" applyFont="1" applyFill="1" applyBorder="1" applyAlignment="1">
      <alignment horizontal="center" vertical="center"/>
    </xf>
    <xf numFmtId="164" fontId="2" fillId="0" borderId="0" xfId="2" applyFont="1"/>
    <xf numFmtId="0" fontId="2" fillId="0" borderId="0" xfId="0" applyNumberFormat="1" applyFont="1"/>
    <xf numFmtId="167" fontId="56" fillId="0" borderId="0" xfId="0" applyFont="1" applyAlignment="1">
      <alignment horizontal="center" vertical="center"/>
    </xf>
    <xf numFmtId="167" fontId="56" fillId="0" borderId="0" xfId="0" applyFont="1" applyAlignment="1">
      <alignment vertical="center"/>
    </xf>
    <xf numFmtId="167" fontId="57" fillId="0" borderId="0" xfId="0" applyFont="1" applyAlignment="1">
      <alignment vertical="center"/>
    </xf>
    <xf numFmtId="167" fontId="56" fillId="0" borderId="8" xfId="0" applyFont="1" applyBorder="1" applyAlignment="1">
      <alignment horizontal="center" vertical="center"/>
    </xf>
    <xf numFmtId="167" fontId="56" fillId="0" borderId="52" xfId="0" applyFont="1" applyBorder="1" applyAlignment="1">
      <alignment horizontal="center" vertical="center"/>
    </xf>
    <xf numFmtId="167" fontId="56" fillId="0" borderId="6" xfId="0" applyFont="1" applyBorder="1" applyAlignment="1">
      <alignment horizontal="center" vertical="center"/>
    </xf>
    <xf numFmtId="167" fontId="56" fillId="0" borderId="9" xfId="0" applyFont="1" applyBorder="1" applyAlignment="1">
      <alignment horizontal="center" vertical="center"/>
    </xf>
    <xf numFmtId="167" fontId="56" fillId="0" borderId="8" xfId="0" applyFont="1" applyBorder="1" applyAlignment="1">
      <alignment horizontal="center" vertical="center" wrapText="1"/>
    </xf>
    <xf numFmtId="167" fontId="56" fillId="0" borderId="5" xfId="0" applyFont="1" applyBorder="1" applyAlignment="1">
      <alignment horizontal="center" vertical="center"/>
    </xf>
    <xf numFmtId="167" fontId="56" fillId="0" borderId="55" xfId="0" applyFont="1" applyBorder="1" applyAlignment="1">
      <alignment horizontal="center" vertical="center"/>
    </xf>
    <xf numFmtId="167" fontId="56" fillId="0" borderId="1" xfId="0" applyFont="1" applyBorder="1" applyAlignment="1">
      <alignment horizontal="center" vertical="center"/>
    </xf>
    <xf numFmtId="167" fontId="56" fillId="0" borderId="34" xfId="0" applyFont="1" applyBorder="1" applyAlignment="1">
      <alignment horizontal="center" vertical="center"/>
    </xf>
    <xf numFmtId="167" fontId="56" fillId="0" borderId="5" xfId="0" applyFont="1" applyBorder="1" applyAlignment="1">
      <alignment horizontal="center" vertical="center" wrapText="1"/>
    </xf>
    <xf numFmtId="167" fontId="56" fillId="0" borderId="3" xfId="0" applyFont="1" applyBorder="1" applyAlignment="1">
      <alignment horizontal="center" vertical="center"/>
    </xf>
    <xf numFmtId="167" fontId="56" fillId="0" borderId="3" xfId="0" applyFont="1" applyBorder="1" applyAlignment="1">
      <alignment vertical="center"/>
    </xf>
    <xf numFmtId="167" fontId="56" fillId="0" borderId="80" xfId="0" applyFont="1" applyBorder="1" applyAlignment="1">
      <alignment vertical="center"/>
    </xf>
    <xf numFmtId="167" fontId="57" fillId="0" borderId="3" xfId="0" applyFont="1" applyBorder="1" applyAlignment="1">
      <alignment horizontal="center" vertical="center"/>
    </xf>
    <xf numFmtId="167" fontId="58" fillId="0" borderId="3" xfId="0" applyFont="1" applyBorder="1" applyAlignment="1">
      <alignment vertical="center"/>
    </xf>
    <xf numFmtId="0" fontId="57" fillId="0" borderId="3" xfId="0" applyNumberFormat="1" applyFont="1" applyBorder="1" applyAlignment="1">
      <alignment horizontal="center" vertical="center"/>
    </xf>
    <xf numFmtId="0" fontId="57" fillId="0" borderId="3" xfId="5" applyNumberFormat="1" applyFont="1" applyBorder="1" applyAlignment="1">
      <alignment horizontal="center" vertical="center"/>
    </xf>
    <xf numFmtId="167" fontId="57" fillId="0" borderId="53" xfId="0" applyFont="1" applyBorder="1" applyAlignment="1">
      <alignment horizontal="center" vertical="center"/>
    </xf>
    <xf numFmtId="167" fontId="58" fillId="0" borderId="0" xfId="0" applyFont="1" applyBorder="1" applyAlignment="1">
      <alignment vertical="center"/>
    </xf>
    <xf numFmtId="0" fontId="57" fillId="0" borderId="0" xfId="0" applyNumberFormat="1" applyFont="1" applyBorder="1" applyAlignment="1">
      <alignment horizontal="center" vertical="center"/>
    </xf>
    <xf numFmtId="167" fontId="59" fillId="0" borderId="3" xfId="0" applyFont="1" applyBorder="1" applyAlignment="1">
      <alignment vertical="center"/>
    </xf>
    <xf numFmtId="0" fontId="56" fillId="0" borderId="80" xfId="0" applyNumberFormat="1" applyFont="1" applyBorder="1" applyAlignment="1">
      <alignment horizontal="center" vertical="center"/>
    </xf>
    <xf numFmtId="167" fontId="57" fillId="9" borderId="3" xfId="0" applyFont="1" applyFill="1" applyBorder="1" applyAlignment="1">
      <alignment horizontal="center" vertical="center"/>
    </xf>
    <xf numFmtId="167" fontId="58" fillId="9" borderId="3" xfId="5" applyFont="1" applyFill="1" applyBorder="1" applyAlignment="1">
      <alignment vertical="center"/>
    </xf>
    <xf numFmtId="0" fontId="57" fillId="9" borderId="3" xfId="5" applyNumberFormat="1" applyFont="1" applyFill="1" applyBorder="1" applyAlignment="1">
      <alignment horizontal="center" vertical="center"/>
    </xf>
    <xf numFmtId="0" fontId="57" fillId="9" borderId="3" xfId="0" applyNumberFormat="1" applyFont="1" applyFill="1" applyBorder="1" applyAlignment="1">
      <alignment horizontal="center" vertical="center"/>
    </xf>
    <xf numFmtId="167" fontId="57" fillId="0" borderId="3" xfId="0" applyFont="1" applyBorder="1" applyAlignment="1">
      <alignment vertical="center"/>
    </xf>
    <xf numFmtId="0" fontId="57" fillId="0" borderId="80" xfId="0" applyNumberFormat="1" applyFont="1" applyBorder="1" applyAlignment="1">
      <alignment horizontal="center" vertical="center"/>
    </xf>
    <xf numFmtId="167" fontId="56" fillId="0" borderId="0" xfId="0" applyFont="1" applyBorder="1" applyAlignment="1">
      <alignment vertical="center"/>
    </xf>
    <xf numFmtId="164" fontId="58" fillId="0" borderId="3" xfId="2" applyFont="1" applyBorder="1" applyAlignment="1">
      <alignment vertical="center"/>
    </xf>
    <xf numFmtId="164" fontId="57" fillId="0" borderId="3" xfId="2" applyFont="1" applyBorder="1" applyAlignment="1">
      <alignment vertical="center"/>
    </xf>
    <xf numFmtId="164" fontId="59" fillId="0" borderId="0" xfId="2" applyFont="1" applyBorder="1" applyAlignment="1">
      <alignment horizontal="right" vertical="center"/>
    </xf>
    <xf numFmtId="164" fontId="56" fillId="0" borderId="7" xfId="2" applyFont="1" applyBorder="1" applyAlignment="1">
      <alignment vertical="center"/>
    </xf>
    <xf numFmtId="164" fontId="59" fillId="0" borderId="80" xfId="2" applyFont="1" applyBorder="1" applyAlignment="1">
      <alignment vertical="center"/>
    </xf>
    <xf numFmtId="164" fontId="58" fillId="9" borderId="5" xfId="2" applyFont="1" applyFill="1" applyBorder="1" applyAlignment="1">
      <alignment vertical="center"/>
    </xf>
    <xf numFmtId="164" fontId="57" fillId="9" borderId="5" xfId="2" applyFont="1" applyFill="1" applyBorder="1" applyAlignment="1">
      <alignment vertical="center"/>
    </xf>
    <xf numFmtId="164" fontId="58" fillId="9" borderId="3" xfId="2" applyFont="1" applyFill="1" applyBorder="1" applyAlignment="1">
      <alignment vertical="center"/>
    </xf>
    <xf numFmtId="164" fontId="57" fillId="9" borderId="3" xfId="2" applyFont="1" applyFill="1" applyBorder="1" applyAlignment="1">
      <alignment vertical="center"/>
    </xf>
    <xf numFmtId="164" fontId="57" fillId="9" borderId="3" xfId="2" applyFont="1" applyFill="1" applyBorder="1" applyAlignment="1">
      <alignment horizontal="center" vertical="center"/>
    </xf>
    <xf numFmtId="164" fontId="56" fillId="0" borderId="3" xfId="2" applyFont="1" applyBorder="1" applyAlignment="1">
      <alignment vertical="center"/>
    </xf>
    <xf numFmtId="1" fontId="0" fillId="0" borderId="0" xfId="0" applyNumberFormat="1" applyAlignment="1">
      <alignment horizontal="center"/>
    </xf>
    <xf numFmtId="167" fontId="2" fillId="0" borderId="59" xfId="0" applyFont="1" applyBorder="1" applyAlignment="1">
      <alignment horizontal="center"/>
    </xf>
    <xf numFmtId="1" fontId="2" fillId="0" borderId="61" xfId="0" applyNumberFormat="1" applyFont="1" applyBorder="1" applyAlignment="1">
      <alignment horizontal="center"/>
    </xf>
    <xf numFmtId="0" fontId="2" fillId="39" borderId="60" xfId="0" applyNumberFormat="1" applyFont="1" applyFill="1" applyBorder="1"/>
    <xf numFmtId="0" fontId="5" fillId="0" borderId="59" xfId="0" applyNumberFormat="1" applyFont="1" applyBorder="1"/>
    <xf numFmtId="0" fontId="2" fillId="0" borderId="60" xfId="0" applyNumberFormat="1" applyFont="1" applyFill="1" applyBorder="1" applyAlignment="1">
      <alignment horizontal="center"/>
    </xf>
    <xf numFmtId="0" fontId="2" fillId="0" borderId="60" xfId="0" applyNumberFormat="1" applyFont="1" applyFill="1" applyBorder="1"/>
    <xf numFmtId="167" fontId="2" fillId="0" borderId="0" xfId="0" applyFont="1" applyAlignment="1">
      <alignment horizontal="left"/>
    </xf>
    <xf numFmtId="0" fontId="4" fillId="0" borderId="0" xfId="0" applyNumberFormat="1" applyFont="1" applyAlignment="1">
      <alignment horizontal="center"/>
    </xf>
    <xf numFmtId="0" fontId="0" fillId="41" borderId="0" xfId="0" applyNumberFormat="1" applyFill="1"/>
    <xf numFmtId="167" fontId="0" fillId="41" borderId="0" xfId="0" applyFill="1"/>
    <xf numFmtId="0" fontId="5" fillId="2" borderId="3" xfId="0" applyNumberFormat="1" applyFont="1" applyFill="1" applyBorder="1" applyAlignment="1">
      <alignment horizontal="center" vertical="center" wrapText="1"/>
    </xf>
    <xf numFmtId="167" fontId="5" fillId="2" borderId="3" xfId="0" applyFont="1" applyFill="1" applyBorder="1" applyAlignment="1">
      <alignment horizontal="center" vertical="center" wrapText="1"/>
    </xf>
    <xf numFmtId="164" fontId="5" fillId="2" borderId="3" xfId="2" applyFont="1" applyFill="1" applyBorder="1" applyAlignment="1">
      <alignment horizontal="center" vertical="center" wrapText="1"/>
    </xf>
    <xf numFmtId="167" fontId="0" fillId="0" borderId="3" xfId="0" applyBorder="1"/>
    <xf numFmtId="0" fontId="0" fillId="0" borderId="3" xfId="0" applyNumberFormat="1" applyBorder="1"/>
    <xf numFmtId="0" fontId="5" fillId="27" borderId="3" xfId="0" applyNumberFormat="1" applyFont="1" applyFill="1" applyBorder="1" applyAlignment="1">
      <alignment horizontal="left"/>
    </xf>
    <xf numFmtId="0" fontId="5" fillId="27" borderId="3" xfId="0" applyNumberFormat="1" applyFont="1" applyFill="1" applyBorder="1" applyAlignment="1">
      <alignment horizontal="center"/>
    </xf>
    <xf numFmtId="167" fontId="5" fillId="27" borderId="3" xfId="0" applyFont="1" applyFill="1" applyBorder="1" applyAlignment="1">
      <alignment horizontal="center"/>
    </xf>
    <xf numFmtId="0" fontId="8" fillId="9" borderId="3" xfId="0" applyNumberFormat="1" applyFont="1" applyFill="1" applyBorder="1"/>
    <xf numFmtId="167" fontId="8" fillId="9" borderId="3" xfId="0" applyFont="1" applyFill="1" applyBorder="1" applyAlignment="1">
      <alignment horizontal="center"/>
    </xf>
    <xf numFmtId="0" fontId="8" fillId="9" borderId="3" xfId="0" applyNumberFormat="1" applyFont="1" applyFill="1" applyBorder="1" applyAlignment="1">
      <alignment horizontal="center"/>
    </xf>
    <xf numFmtId="1" fontId="8" fillId="9" borderId="3" xfId="0" applyNumberFormat="1" applyFont="1" applyFill="1" applyBorder="1" applyAlignment="1">
      <alignment horizontal="center"/>
    </xf>
    <xf numFmtId="164" fontId="8" fillId="9" borderId="3" xfId="0" applyNumberFormat="1" applyFont="1" applyFill="1" applyBorder="1"/>
    <xf numFmtId="0" fontId="8" fillId="9" borderId="0" xfId="0" applyNumberFormat="1" applyFont="1" applyFill="1"/>
    <xf numFmtId="167" fontId="8" fillId="9" borderId="0" xfId="0" applyFont="1" applyFill="1" applyAlignment="1">
      <alignment horizontal="center"/>
    </xf>
    <xf numFmtId="0" fontId="8" fillId="9" borderId="0" xfId="0" applyNumberFormat="1" applyFont="1" applyFill="1" applyAlignment="1">
      <alignment horizontal="center"/>
    </xf>
    <xf numFmtId="164" fontId="8" fillId="9" borderId="0" xfId="0" applyNumberFormat="1" applyFont="1" applyFill="1"/>
    <xf numFmtId="0" fontId="8" fillId="27" borderId="3" xfId="0" applyNumberFormat="1" applyFont="1" applyFill="1" applyBorder="1"/>
    <xf numFmtId="1" fontId="0" fillId="0" borderId="0" xfId="0" applyNumberFormat="1"/>
    <xf numFmtId="1" fontId="2" fillId="40" borderId="81" xfId="0" applyNumberFormat="1" applyFont="1" applyFill="1" applyBorder="1" applyAlignment="1">
      <alignment horizontal="center"/>
    </xf>
    <xf numFmtId="164" fontId="5" fillId="29" borderId="82" xfId="0" applyNumberFormat="1" applyFont="1" applyFill="1" applyBorder="1"/>
    <xf numFmtId="164" fontId="5" fillId="34" borderId="83" xfId="0" applyNumberFormat="1" applyFont="1" applyFill="1" applyBorder="1"/>
    <xf numFmtId="164" fontId="5" fillId="35" borderId="83" xfId="0" applyNumberFormat="1" applyFont="1" applyFill="1" applyBorder="1"/>
    <xf numFmtId="164" fontId="5" fillId="40" borderId="84" xfId="0" applyNumberFormat="1" applyFont="1" applyFill="1" applyBorder="1"/>
    <xf numFmtId="164" fontId="5" fillId="2" borderId="3" xfId="0" applyNumberFormat="1" applyFont="1" applyFill="1" applyBorder="1" applyAlignment="1">
      <alignment vertical="center" wrapText="1"/>
    </xf>
    <xf numFmtId="167" fontId="5" fillId="29" borderId="85" xfId="0" applyFont="1" applyFill="1" applyBorder="1"/>
    <xf numFmtId="167" fontId="5" fillId="34" borderId="3" xfId="0" applyFont="1" applyFill="1" applyBorder="1"/>
    <xf numFmtId="167" fontId="5" fillId="35" borderId="3" xfId="0" applyFont="1" applyFill="1" applyBorder="1"/>
    <xf numFmtId="167" fontId="5" fillId="40" borderId="86" xfId="0" applyFont="1" applyFill="1" applyBorder="1" applyAlignment="1">
      <alignment horizontal="center"/>
    </xf>
    <xf numFmtId="164" fontId="60" fillId="27" borderId="3" xfId="0" applyNumberFormat="1" applyFont="1" applyFill="1" applyBorder="1" applyAlignment="1">
      <alignment horizontal="center"/>
    </xf>
    <xf numFmtId="164" fontId="2" fillId="14" borderId="87" xfId="0" applyNumberFormat="1" applyFont="1" applyFill="1" applyBorder="1"/>
    <xf numFmtId="164" fontId="2" fillId="14" borderId="88" xfId="0" applyNumberFormat="1" applyFont="1" applyFill="1" applyBorder="1"/>
    <xf numFmtId="164" fontId="2" fillId="14" borderId="89" xfId="0" applyNumberFormat="1" applyFont="1" applyFill="1" applyBorder="1"/>
    <xf numFmtId="164" fontId="2" fillId="42" borderId="5" xfId="2" applyFont="1" applyFill="1" applyBorder="1"/>
    <xf numFmtId="164" fontId="2" fillId="42" borderId="3" xfId="2" applyFont="1" applyFill="1" applyBorder="1"/>
    <xf numFmtId="164" fontId="19" fillId="42" borderId="3" xfId="2" applyFont="1" applyFill="1" applyBorder="1"/>
    <xf numFmtId="164" fontId="60" fillId="27" borderId="3" xfId="0" applyNumberFormat="1" applyFont="1" applyFill="1" applyBorder="1"/>
    <xf numFmtId="164" fontId="2" fillId="14" borderId="3" xfId="2" applyFont="1" applyFill="1" applyBorder="1"/>
    <xf numFmtId="167" fontId="61" fillId="0" borderId="0" xfId="0" applyFont="1" applyAlignment="1">
      <alignment horizontal="center"/>
    </xf>
    <xf numFmtId="0" fontId="2" fillId="0" borderId="3" xfId="0" applyNumberFormat="1" applyFont="1" applyBorder="1"/>
    <xf numFmtId="167" fontId="62" fillId="0" borderId="0" xfId="0" applyFont="1"/>
    <xf numFmtId="0" fontId="8" fillId="0" borderId="3" xfId="0" applyNumberFormat="1" applyFont="1" applyFill="1" applyBorder="1"/>
    <xf numFmtId="167" fontId="8" fillId="0" borderId="3" xfId="0" applyFont="1" applyFill="1" applyBorder="1" applyAlignment="1">
      <alignment horizontal="center"/>
    </xf>
    <xf numFmtId="0" fontId="8" fillId="0" borderId="3" xfId="0" applyNumberFormat="1" applyFont="1" applyFill="1" applyBorder="1" applyAlignment="1">
      <alignment horizontal="center"/>
    </xf>
    <xf numFmtId="0" fontId="8" fillId="0" borderId="0" xfId="0" applyNumberFormat="1" applyFont="1" applyFill="1"/>
    <xf numFmtId="167" fontId="8" fillId="0" borderId="0" xfId="0" applyFont="1" applyFill="1" applyAlignment="1">
      <alignment horizontal="center"/>
    </xf>
    <xf numFmtId="0" fontId="8" fillId="0" borderId="0" xfId="0" applyNumberFormat="1" applyFont="1" applyFill="1" applyAlignment="1">
      <alignment horizontal="center"/>
    </xf>
    <xf numFmtId="0" fontId="8" fillId="43" borderId="3" xfId="0" applyNumberFormat="1" applyFont="1" applyFill="1" applyBorder="1"/>
    <xf numFmtId="167" fontId="5" fillId="43" borderId="3" xfId="0" applyFont="1" applyFill="1" applyBorder="1" applyAlignment="1">
      <alignment horizontal="center"/>
    </xf>
    <xf numFmtId="0" fontId="5" fillId="43" borderId="3" xfId="0" applyNumberFormat="1" applyFont="1" applyFill="1" applyBorder="1" applyAlignment="1">
      <alignment horizontal="center"/>
    </xf>
    <xf numFmtId="0" fontId="6" fillId="27" borderId="0" xfId="0" applyNumberFormat="1" applyFont="1" applyFill="1"/>
    <xf numFmtId="0" fontId="8" fillId="27" borderId="0" xfId="0" applyNumberFormat="1" applyFont="1" applyFill="1"/>
    <xf numFmtId="0" fontId="6" fillId="43" borderId="0" xfId="0" applyNumberFormat="1" applyFont="1" applyFill="1"/>
    <xf numFmtId="0" fontId="8" fillId="43" borderId="0" xfId="0" applyNumberFormat="1" applyFont="1" applyFill="1"/>
    <xf numFmtId="164" fontId="60" fillId="43" borderId="3" xfId="0" applyNumberFormat="1" applyFont="1" applyFill="1" applyBorder="1"/>
    <xf numFmtId="0" fontId="6" fillId="9" borderId="0" xfId="0" applyNumberFormat="1" applyFont="1" applyFill="1"/>
    <xf numFmtId="1" fontId="8" fillId="9" borderId="0" xfId="0" applyNumberFormat="1" applyFont="1" applyFill="1" applyAlignment="1">
      <alignment horizontal="center"/>
    </xf>
    <xf numFmtId="167" fontId="8" fillId="9" borderId="0" xfId="0" applyFont="1" applyFill="1"/>
    <xf numFmtId="167" fontId="63" fillId="4" borderId="15" xfId="0" applyFont="1" applyFill="1" applyBorder="1" applyAlignment="1">
      <alignment horizontal="left"/>
    </xf>
    <xf numFmtId="172" fontId="48" fillId="4" borderId="15" xfId="1" applyNumberFormat="1" applyFont="1" applyFill="1" applyBorder="1"/>
    <xf numFmtId="167" fontId="48" fillId="4" borderId="15" xfId="0" applyFont="1" applyFill="1" applyBorder="1" applyAlignment="1">
      <alignment horizontal="left"/>
    </xf>
    <xf numFmtId="0" fontId="61" fillId="0" borderId="0" xfId="0" applyNumberFormat="1" applyFont="1" applyAlignment="1">
      <alignment horizontal="center"/>
    </xf>
    <xf numFmtId="0" fontId="9" fillId="0" borderId="0" xfId="0" applyNumberFormat="1" applyFont="1"/>
    <xf numFmtId="171" fontId="0" fillId="0" borderId="0" xfId="0" applyNumberFormat="1"/>
    <xf numFmtId="0" fontId="61" fillId="0" borderId="0" xfId="0" applyNumberFormat="1" applyFont="1" applyAlignment="1">
      <alignment vertical="center"/>
    </xf>
    <xf numFmtId="0" fontId="61" fillId="0" borderId="0" xfId="0" applyNumberFormat="1" applyFont="1" applyAlignment="1"/>
    <xf numFmtId="171" fontId="61" fillId="0" borderId="0" xfId="0" applyNumberFormat="1" applyFont="1" applyAlignment="1">
      <alignment horizont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/>
    <xf numFmtId="170" fontId="45" fillId="0" borderId="0" xfId="0" applyNumberFormat="1" applyFont="1"/>
    <xf numFmtId="171" fontId="45" fillId="0" borderId="0" xfId="0" applyNumberFormat="1" applyFont="1"/>
    <xf numFmtId="171" fontId="9" fillId="0" borderId="0" xfId="0" applyNumberFormat="1" applyFont="1" applyBorder="1"/>
    <xf numFmtId="170" fontId="45" fillId="0" borderId="0" xfId="0" applyNumberFormat="1" applyFont="1" applyBorder="1"/>
    <xf numFmtId="0" fontId="45" fillId="0" borderId="0" xfId="0" applyNumberFormat="1" applyFont="1"/>
    <xf numFmtId="171" fontId="45" fillId="0" borderId="0" xfId="0" applyNumberFormat="1" applyFont="1" applyBorder="1"/>
    <xf numFmtId="171" fontId="9" fillId="0" borderId="0" xfId="0" applyNumberFormat="1" applyFont="1"/>
    <xf numFmtId="0" fontId="45" fillId="0" borderId="0" xfId="0" applyNumberFormat="1" applyFont="1" applyAlignment="1">
      <alignment vertical="top"/>
    </xf>
    <xf numFmtId="0" fontId="9" fillId="0" borderId="0" xfId="0" applyNumberFormat="1" applyFont="1" applyBorder="1" applyAlignment="1"/>
    <xf numFmtId="0" fontId="45" fillId="0" borderId="0" xfId="0" applyNumberFormat="1" applyFont="1" applyBorder="1"/>
    <xf numFmtId="170" fontId="9" fillId="0" borderId="0" xfId="0" applyNumberFormat="1" applyFont="1"/>
    <xf numFmtId="0" fontId="8" fillId="0" borderId="0" xfId="0" applyNumberFormat="1" applyFont="1" applyFill="1" applyBorder="1" applyAlignment="1"/>
    <xf numFmtId="0" fontId="9" fillId="0" borderId="0" xfId="0" applyNumberFormat="1" applyFont="1" applyAlignment="1">
      <alignment vertical="top"/>
    </xf>
    <xf numFmtId="170" fontId="9" fillId="0" borderId="0" xfId="0" applyNumberFormat="1" applyFont="1" applyBorder="1"/>
    <xf numFmtId="0" fontId="45" fillId="0" borderId="0" xfId="0" applyNumberFormat="1" applyFont="1" applyAlignment="1">
      <alignment horizontal="left" vertical="top"/>
    </xf>
    <xf numFmtId="171" fontId="1" fillId="0" borderId="0" xfId="0" applyNumberFormat="1" applyFont="1"/>
    <xf numFmtId="171" fontId="10" fillId="0" borderId="0" xfId="0" applyNumberFormat="1" applyFont="1"/>
    <xf numFmtId="0" fontId="1" fillId="0" borderId="0" xfId="0" applyNumberFormat="1" applyFont="1" applyAlignment="1"/>
    <xf numFmtId="0" fontId="1" fillId="0" borderId="0" xfId="0" applyNumberFormat="1" applyFont="1"/>
    <xf numFmtId="0" fontId="0" fillId="5" borderId="0" xfId="0" applyNumberFormat="1" applyFill="1" applyAlignment="1">
      <alignment vertical="center"/>
    </xf>
    <xf numFmtId="0" fontId="0" fillId="5" borderId="0" xfId="0" applyNumberFormat="1" applyFill="1" applyAlignment="1"/>
    <xf numFmtId="0" fontId="0" fillId="5" borderId="0" xfId="0" applyNumberFormat="1" applyFill="1"/>
    <xf numFmtId="171" fontId="0" fillId="5" borderId="0" xfId="0" applyNumberFormat="1" applyFill="1"/>
    <xf numFmtId="0" fontId="0" fillId="5" borderId="0" xfId="0" applyNumberFormat="1" applyFill="1" applyAlignment="1">
      <alignment horizontal="center"/>
    </xf>
    <xf numFmtId="1" fontId="19" fillId="0" borderId="0" xfId="0" applyNumberFormat="1" applyFont="1" applyAlignment="1">
      <alignment horizontal="center" vertical="center"/>
    </xf>
    <xf numFmtId="167" fontId="10" fillId="0" borderId="0" xfId="0" applyFont="1" applyAlignment="1">
      <alignment horizontal="center" vertical="center"/>
    </xf>
    <xf numFmtId="164" fontId="5" fillId="34" borderId="7" xfId="2" applyFont="1" applyFill="1" applyBorder="1" applyAlignment="1">
      <alignment horizontal="center" vertical="center" wrapText="1"/>
    </xf>
    <xf numFmtId="171" fontId="64" fillId="21" borderId="90" xfId="0" applyNumberFormat="1" applyFont="1" applyFill="1" applyBorder="1" applyAlignment="1">
      <alignment vertical="center" wrapText="1"/>
    </xf>
    <xf numFmtId="164" fontId="2" fillId="4" borderId="7" xfId="2" applyFont="1" applyFill="1" applyBorder="1" applyAlignment="1">
      <alignment vertical="center"/>
    </xf>
    <xf numFmtId="171" fontId="22" fillId="4" borderId="90" xfId="0" applyNumberFormat="1" applyFont="1" applyFill="1" applyBorder="1" applyAlignment="1">
      <alignment vertical="center"/>
    </xf>
    <xf numFmtId="164" fontId="2" fillId="0" borderId="7" xfId="2" applyFont="1" applyFill="1" applyBorder="1" applyAlignment="1">
      <alignment vertical="center"/>
    </xf>
    <xf numFmtId="171" fontId="22" fillId="0" borderId="90" xfId="0" applyNumberFormat="1" applyFont="1" applyFill="1" applyBorder="1" applyAlignment="1">
      <alignment vertical="center"/>
    </xf>
    <xf numFmtId="171" fontId="22" fillId="0" borderId="91" xfId="0" applyNumberFormat="1" applyFont="1" applyBorder="1" applyAlignment="1">
      <alignment vertical="center"/>
    </xf>
    <xf numFmtId="164" fontId="0" fillId="0" borderId="0" xfId="2" applyFont="1" applyAlignment="1">
      <alignment vertical="center"/>
    </xf>
    <xf numFmtId="164" fontId="10" fillId="0" borderId="0" xfId="2" applyFont="1" applyAlignment="1">
      <alignment vertical="center"/>
    </xf>
    <xf numFmtId="164" fontId="8" fillId="0" borderId="7" xfId="2" applyFont="1" applyFill="1" applyBorder="1" applyAlignment="1">
      <alignment vertical="center"/>
    </xf>
    <xf numFmtId="164" fontId="5" fillId="34" borderId="80" xfId="2" applyFont="1" applyFill="1" applyBorder="1" applyAlignment="1">
      <alignment horizontal="center" vertical="center" wrapText="1"/>
    </xf>
    <xf numFmtId="164" fontId="2" fillId="4" borderId="80" xfId="2" applyFont="1" applyFill="1" applyBorder="1" applyAlignment="1">
      <alignment vertical="center"/>
    </xf>
    <xf numFmtId="171" fontId="22" fillId="4" borderId="91" xfId="0" applyNumberFormat="1" applyFont="1" applyFill="1" applyBorder="1" applyAlignment="1">
      <alignment vertical="center"/>
    </xf>
    <xf numFmtId="164" fontId="2" fillId="34" borderId="7" xfId="2" applyFont="1" applyFill="1" applyBorder="1" applyAlignment="1">
      <alignment vertical="center"/>
    </xf>
    <xf numFmtId="171" fontId="22" fillId="21" borderId="90" xfId="0" applyNumberFormat="1" applyFont="1" applyFill="1" applyBorder="1" applyAlignment="1">
      <alignment vertical="center"/>
    </xf>
    <xf numFmtId="164" fontId="2" fillId="0" borderId="80" xfId="2" applyFont="1" applyFill="1" applyBorder="1" applyAlignment="1">
      <alignment vertical="center"/>
    </xf>
    <xf numFmtId="171" fontId="22" fillId="0" borderId="91" xfId="0" applyNumberFormat="1" applyFont="1" applyFill="1" applyBorder="1" applyAlignment="1">
      <alignment vertical="center"/>
    </xf>
    <xf numFmtId="171" fontId="22" fillId="0" borderId="92" xfId="0" applyNumberFormat="1" applyFont="1" applyBorder="1" applyAlignment="1">
      <alignment vertical="center"/>
    </xf>
    <xf numFmtId="164" fontId="2" fillId="34" borderId="80" xfId="2" applyFont="1" applyFill="1" applyBorder="1" applyAlignment="1">
      <alignment vertical="center"/>
    </xf>
    <xf numFmtId="171" fontId="22" fillId="4" borderId="92" xfId="0" applyNumberFormat="1" applyFont="1" applyFill="1" applyBorder="1" applyAlignment="1">
      <alignment vertical="center"/>
    </xf>
    <xf numFmtId="171" fontId="22" fillId="0" borderId="92" xfId="0" applyNumberFormat="1" applyFont="1" applyFill="1" applyBorder="1" applyAlignment="1">
      <alignment vertical="center"/>
    </xf>
    <xf numFmtId="164" fontId="2" fillId="4" borderId="0" xfId="2" applyFont="1" applyFill="1" applyAlignment="1">
      <alignment vertical="center"/>
    </xf>
    <xf numFmtId="171" fontId="22" fillId="4" borderId="90" xfId="2" applyNumberFormat="1" applyFont="1" applyFill="1" applyBorder="1" applyAlignment="1">
      <alignment vertical="center"/>
    </xf>
    <xf numFmtId="171" fontId="22" fillId="24" borderId="35" xfId="0" applyNumberFormat="1" applyFont="1" applyFill="1" applyBorder="1" applyAlignment="1" applyProtection="1">
      <alignment horizontal="center" vertical="center"/>
    </xf>
    <xf numFmtId="164" fontId="8" fillId="0" borderId="80" xfId="2" applyFont="1" applyFill="1" applyBorder="1" applyAlignment="1">
      <alignment vertical="center"/>
    </xf>
    <xf numFmtId="171" fontId="64" fillId="0" borderId="90" xfId="0" applyNumberFormat="1" applyFont="1" applyFill="1" applyBorder="1" applyAlignment="1">
      <alignment vertical="center"/>
    </xf>
    <xf numFmtId="1" fontId="65" fillId="0" borderId="0" xfId="0" applyNumberFormat="1" applyFont="1" applyAlignment="1">
      <alignment horizontal="center" vertical="center"/>
    </xf>
    <xf numFmtId="164" fontId="66" fillId="34" borderId="7" xfId="2" applyFont="1" applyFill="1" applyBorder="1" applyAlignment="1">
      <alignment horizontal="center" vertical="center" wrapText="1"/>
    </xf>
    <xf numFmtId="164" fontId="5" fillId="34" borderId="3" xfId="2" applyFont="1" applyFill="1" applyBorder="1" applyAlignment="1">
      <alignment horizontal="center" vertical="center" wrapText="1"/>
    </xf>
    <xf numFmtId="171" fontId="64" fillId="21" borderId="3" xfId="0" applyNumberFormat="1" applyFont="1" applyFill="1" applyBorder="1" applyAlignment="1">
      <alignment vertical="center" wrapText="1"/>
    </xf>
    <xf numFmtId="164" fontId="3" fillId="34" borderId="7" xfId="2" applyFont="1" applyFill="1" applyBorder="1" applyAlignment="1">
      <alignment vertical="center"/>
    </xf>
    <xf numFmtId="164" fontId="2" fillId="34" borderId="3" xfId="2" applyFont="1" applyFill="1" applyBorder="1" applyAlignment="1">
      <alignment vertical="center"/>
    </xf>
    <xf numFmtId="171" fontId="22" fillId="21" borderId="3" xfId="0" applyNumberFormat="1" applyFont="1" applyFill="1" applyBorder="1" applyAlignment="1">
      <alignment vertical="center"/>
    </xf>
    <xf numFmtId="164" fontId="3" fillId="0" borderId="0" xfId="2" applyFont="1" applyAlignment="1">
      <alignment vertical="center"/>
    </xf>
    <xf numFmtId="171" fontId="22" fillId="0" borderId="0" xfId="0" applyNumberFormat="1" applyFont="1" applyAlignment="1">
      <alignment vertical="center"/>
    </xf>
    <xf numFmtId="164" fontId="3" fillId="0" borderId="7" xfId="2" applyFont="1" applyFill="1" applyBorder="1" applyAlignment="1">
      <alignment vertical="center"/>
    </xf>
    <xf numFmtId="164" fontId="8" fillId="0" borderId="3" xfId="2" applyFont="1" applyFill="1" applyBorder="1" applyAlignment="1">
      <alignment vertical="center"/>
    </xf>
    <xf numFmtId="171" fontId="22" fillId="0" borderId="3" xfId="0" applyNumberFormat="1" applyFont="1" applyFill="1" applyBorder="1" applyAlignment="1">
      <alignment vertical="center"/>
    </xf>
    <xf numFmtId="167" fontId="67" fillId="0" borderId="72" xfId="0" applyFont="1" applyFill="1" applyBorder="1" applyAlignment="1">
      <alignment vertical="center"/>
    </xf>
    <xf numFmtId="167" fontId="5" fillId="0" borderId="0" xfId="0" applyFont="1" applyFill="1" applyAlignment="1">
      <alignment vertical="center"/>
    </xf>
    <xf numFmtId="164" fontId="5" fillId="0" borderId="0" xfId="2" applyFont="1" applyFill="1" applyAlignment="1">
      <alignment vertical="center"/>
    </xf>
    <xf numFmtId="171" fontId="5" fillId="0" borderId="0" xfId="0" applyNumberFormat="1" applyFont="1" applyFill="1" applyAlignment="1">
      <alignment vertical="center"/>
    </xf>
    <xf numFmtId="167" fontId="67" fillId="0" borderId="1" xfId="0" applyFont="1" applyFill="1" applyBorder="1" applyAlignment="1">
      <alignment horizontal="center" vertical="center" wrapText="1"/>
    </xf>
    <xf numFmtId="167" fontId="67" fillId="0" borderId="7" xfId="0" applyFont="1" applyFill="1" applyBorder="1" applyAlignment="1">
      <alignment horizontal="center" vertical="center" wrapText="1"/>
    </xf>
    <xf numFmtId="167" fontId="5" fillId="0" borderId="0" xfId="0" applyFont="1" applyFill="1" applyAlignment="1">
      <alignment horizontal="center" vertical="center"/>
    </xf>
    <xf numFmtId="164" fontId="5" fillId="0" borderId="0" xfId="2" applyFont="1" applyFill="1" applyAlignment="1">
      <alignment horizontal="center" vertical="center"/>
    </xf>
    <xf numFmtId="171" fontId="5" fillId="0" borderId="0" xfId="0" applyNumberFormat="1" applyFont="1" applyFill="1" applyAlignment="1">
      <alignment horizontal="center" vertical="center"/>
    </xf>
    <xf numFmtId="167" fontId="68" fillId="0" borderId="0" xfId="0" applyFont="1" applyFill="1" applyAlignment="1">
      <alignment vertical="center"/>
    </xf>
    <xf numFmtId="167" fontId="2" fillId="0" borderId="0" xfId="0" applyFont="1" applyFill="1" applyAlignment="1">
      <alignment vertical="center"/>
    </xf>
    <xf numFmtId="164" fontId="2" fillId="0" borderId="0" xfId="2" applyFont="1" applyFill="1" applyAlignment="1">
      <alignment vertical="center"/>
    </xf>
    <xf numFmtId="171" fontId="2" fillId="0" borderId="0" xfId="0" applyNumberFormat="1" applyFont="1" applyFill="1" applyAlignment="1">
      <alignment vertical="center"/>
    </xf>
    <xf numFmtId="167" fontId="69" fillId="0" borderId="0" xfId="0" applyFont="1" applyFill="1" applyAlignment="1">
      <alignment vertical="center"/>
    </xf>
    <xf numFmtId="171" fontId="0" fillId="0" borderId="0" xfId="0" applyNumberFormat="1" applyAlignment="1">
      <alignment vertical="center"/>
    </xf>
    <xf numFmtId="164" fontId="0" fillId="0" borderId="0" xfId="2" applyFont="1" applyAlignment="1">
      <alignment horizontal="center" vertical="center"/>
    </xf>
    <xf numFmtId="171" fontId="0" fillId="0" borderId="0" xfId="0" applyNumberFormat="1" applyAlignment="1">
      <alignment horizontal="center" vertical="center"/>
    </xf>
    <xf numFmtId="167" fontId="70" fillId="0" borderId="0" xfId="0" applyFont="1" applyAlignment="1">
      <alignment vertical="center"/>
    </xf>
    <xf numFmtId="167" fontId="70" fillId="0" borderId="0" xfId="0" applyFont="1" applyAlignment="1">
      <alignment horizontal="center" vertical="center"/>
    </xf>
    <xf numFmtId="164" fontId="8" fillId="4" borderId="7" xfId="2" applyFont="1" applyFill="1" applyBorder="1" applyAlignment="1">
      <alignment vertical="center"/>
    </xf>
    <xf numFmtId="164" fontId="2" fillId="8" borderId="7" xfId="2" applyFont="1" applyFill="1" applyBorder="1" applyAlignment="1">
      <alignment vertical="center"/>
    </xf>
    <xf numFmtId="171" fontId="22" fillId="8" borderId="90" xfId="0" applyNumberFormat="1" applyFont="1" applyFill="1" applyBorder="1" applyAlignment="1">
      <alignment vertical="center"/>
    </xf>
    <xf numFmtId="164" fontId="8" fillId="8" borderId="7" xfId="2" applyFont="1" applyFill="1" applyBorder="1" applyAlignment="1">
      <alignment vertical="center"/>
    </xf>
    <xf numFmtId="164" fontId="2" fillId="34" borderId="1" xfId="2" applyFont="1" applyFill="1" applyBorder="1" applyAlignment="1">
      <alignment vertical="center"/>
    </xf>
    <xf numFmtId="171" fontId="22" fillId="21" borderId="1" xfId="0" applyNumberFormat="1" applyFont="1" applyFill="1" applyBorder="1" applyAlignment="1">
      <alignment vertical="center"/>
    </xf>
    <xf numFmtId="164" fontId="8" fillId="0" borderId="1" xfId="2" applyFont="1" applyFill="1" applyBorder="1" applyAlignment="1">
      <alignment vertical="center"/>
    </xf>
    <xf numFmtId="171" fontId="22" fillId="0" borderId="1" xfId="0" applyNumberFormat="1" applyFont="1" applyFill="1" applyBorder="1" applyAlignment="1">
      <alignment vertical="center"/>
    </xf>
    <xf numFmtId="164" fontId="7" fillId="24" borderId="50" xfId="2" applyNumberFormat="1" applyFont="1" applyFill="1" applyBorder="1" applyAlignment="1" applyProtection="1">
      <alignment horizontal="center" vertical="center"/>
    </xf>
    <xf numFmtId="164" fontId="8" fillId="8" borderId="80" xfId="2" applyFont="1" applyFill="1" applyBorder="1" applyAlignment="1">
      <alignment vertical="center"/>
    </xf>
    <xf numFmtId="164" fontId="8" fillId="4" borderId="80" xfId="2" applyFont="1" applyFill="1" applyBorder="1" applyAlignment="1">
      <alignment vertical="center"/>
    </xf>
    <xf numFmtId="164" fontId="4" fillId="8" borderId="7" xfId="2" applyFont="1" applyFill="1" applyBorder="1" applyAlignment="1" applyProtection="1">
      <alignment vertical="center"/>
    </xf>
    <xf numFmtId="171" fontId="22" fillId="24" borderId="35" xfId="2" applyNumberFormat="1" applyFont="1" applyFill="1" applyBorder="1" applyAlignment="1" applyProtection="1">
      <alignment horizontal="center" vertical="center"/>
    </xf>
    <xf numFmtId="171" fontId="22" fillId="0" borderId="34" xfId="0" applyNumberFormat="1" applyFont="1" applyFill="1" applyBorder="1" applyAlignment="1">
      <alignment vertical="center"/>
    </xf>
    <xf numFmtId="164" fontId="7" fillId="24" borderId="37" xfId="2" applyFont="1" applyFill="1" applyBorder="1" applyAlignment="1" applyProtection="1">
      <alignment horizontal="center" vertical="center"/>
    </xf>
    <xf numFmtId="164" fontId="2" fillId="0" borderId="3" xfId="2" applyFont="1" applyFill="1" applyBorder="1" applyAlignment="1">
      <alignment vertical="center"/>
    </xf>
    <xf numFmtId="171" fontId="22" fillId="0" borderId="90" xfId="0" applyNumberFormat="1" applyFont="1" applyBorder="1" applyAlignment="1">
      <alignment vertical="center"/>
    </xf>
    <xf numFmtId="164" fontId="12" fillId="9" borderId="7" xfId="2" applyFont="1" applyFill="1" applyBorder="1" applyAlignment="1">
      <alignment vertical="center"/>
    </xf>
    <xf numFmtId="171" fontId="22" fillId="9" borderId="90" xfId="0" applyNumberFormat="1" applyFont="1" applyFill="1" applyBorder="1" applyAlignment="1">
      <alignment vertical="center"/>
    </xf>
    <xf numFmtId="164" fontId="8" fillId="9" borderId="3" xfId="2" applyFont="1" applyFill="1" applyBorder="1" applyAlignment="1">
      <alignment vertical="center"/>
    </xf>
    <xf numFmtId="164" fontId="12" fillId="0" borderId="7" xfId="2" applyFont="1" applyFill="1" applyBorder="1" applyAlignment="1">
      <alignment vertical="center"/>
    </xf>
    <xf numFmtId="164" fontId="8" fillId="4" borderId="3" xfId="2" applyFont="1" applyFill="1" applyBorder="1" applyAlignment="1">
      <alignment vertical="center"/>
    </xf>
    <xf numFmtId="164" fontId="65" fillId="0" borderId="7" xfId="2" applyFont="1" applyFill="1" applyBorder="1" applyAlignment="1" applyProtection="1">
      <alignment horizontal="center" vertical="center"/>
    </xf>
    <xf numFmtId="164" fontId="3" fillId="0" borderId="1" xfId="2" applyFont="1" applyFill="1" applyBorder="1" applyAlignment="1">
      <alignment vertical="center"/>
    </xf>
    <xf numFmtId="171" fontId="22" fillId="0" borderId="1" xfId="2" applyNumberFormat="1" applyFont="1" applyFill="1" applyBorder="1" applyAlignment="1">
      <alignment vertical="center"/>
    </xf>
    <xf numFmtId="164" fontId="2" fillId="0" borderId="1" xfId="2" applyFont="1" applyFill="1" applyBorder="1" applyAlignment="1">
      <alignment vertical="center"/>
    </xf>
    <xf numFmtId="164" fontId="2" fillId="35" borderId="1" xfId="2" applyFont="1" applyFill="1" applyBorder="1" applyAlignment="1">
      <alignment vertical="center"/>
    </xf>
    <xf numFmtId="164" fontId="12" fillId="4" borderId="7" xfId="2" applyFont="1" applyFill="1" applyBorder="1" applyAlignment="1">
      <alignment vertical="center"/>
    </xf>
    <xf numFmtId="171" fontId="22" fillId="4" borderId="3" xfId="0" applyNumberFormat="1" applyFont="1" applyFill="1" applyBorder="1" applyAlignment="1">
      <alignment vertical="center"/>
    </xf>
    <xf numFmtId="164" fontId="2" fillId="0" borderId="3" xfId="2" applyFont="1" applyBorder="1" applyAlignment="1">
      <alignment vertical="center"/>
    </xf>
    <xf numFmtId="171" fontId="22" fillId="0" borderId="3" xfId="2" applyNumberFormat="1" applyFont="1" applyFill="1" applyBorder="1" applyAlignment="1">
      <alignment vertical="center"/>
    </xf>
    <xf numFmtId="171" fontId="2" fillId="0" borderId="0" xfId="2" applyNumberFormat="1" applyFont="1" applyFill="1" applyAlignment="1">
      <alignment vertical="center"/>
    </xf>
    <xf numFmtId="171" fontId="22" fillId="0" borderId="1" xfId="0" applyNumberFormat="1" applyFont="1" applyBorder="1" applyAlignment="1">
      <alignment vertical="center"/>
    </xf>
    <xf numFmtId="167" fontId="68" fillId="0" borderId="0" xfId="0" applyFont="1" applyFill="1" applyBorder="1" applyAlignment="1">
      <alignment vertical="center"/>
    </xf>
    <xf numFmtId="164" fontId="2" fillId="0" borderId="0" xfId="2" applyFont="1" applyBorder="1" applyAlignment="1">
      <alignment vertical="center"/>
    </xf>
    <xf numFmtId="164" fontId="2" fillId="0" borderId="0" xfId="2" applyFont="1" applyFill="1" applyBorder="1" applyAlignment="1">
      <alignment vertical="center"/>
    </xf>
    <xf numFmtId="171" fontId="2" fillId="0" borderId="0" xfId="2" applyNumberFormat="1" applyFont="1" applyFill="1" applyBorder="1" applyAlignment="1">
      <alignment vertical="center"/>
    </xf>
    <xf numFmtId="164" fontId="0" fillId="0" borderId="0" xfId="2" applyFont="1" applyBorder="1" applyAlignment="1">
      <alignment vertical="center"/>
    </xf>
    <xf numFmtId="171" fontId="0" fillId="0" borderId="0" xfId="0" applyNumberFormat="1" applyBorder="1" applyAlignment="1">
      <alignment vertical="center"/>
    </xf>
    <xf numFmtId="167" fontId="70" fillId="0" borderId="0" xfId="0" applyFont="1" applyBorder="1" applyAlignment="1">
      <alignment vertical="center"/>
    </xf>
    <xf numFmtId="164" fontId="6" fillId="0" borderId="1" xfId="2" applyFont="1" applyFill="1" applyBorder="1" applyAlignment="1">
      <alignment vertical="center"/>
    </xf>
    <xf numFmtId="164" fontId="7" fillId="0" borderId="50" xfId="2" applyNumberFormat="1" applyFont="1" applyFill="1" applyBorder="1" applyAlignment="1" applyProtection="1">
      <alignment horizontal="center" vertical="center"/>
    </xf>
    <xf numFmtId="171" fontId="22" fillId="0" borderId="35" xfId="2" applyNumberFormat="1" applyFont="1" applyFill="1" applyBorder="1" applyAlignment="1" applyProtection="1">
      <alignment horizontal="center" vertical="center"/>
    </xf>
    <xf numFmtId="164" fontId="19" fillId="0" borderId="7" xfId="2" applyFont="1" applyFill="1" applyBorder="1" applyAlignment="1">
      <alignment vertical="center"/>
    </xf>
    <xf numFmtId="164" fontId="7" fillId="24" borderId="50" xfId="2" applyFont="1" applyFill="1" applyBorder="1" applyAlignment="1" applyProtection="1">
      <alignment horizontal="center" vertical="center"/>
    </xf>
    <xf numFmtId="164" fontId="4" fillId="4" borderId="80" xfId="2" applyFont="1" applyFill="1" applyBorder="1" applyAlignment="1">
      <alignment vertical="center"/>
    </xf>
    <xf numFmtId="164" fontId="4" fillId="0" borderId="80" xfId="2" applyFont="1" applyFill="1" applyBorder="1" applyAlignment="1">
      <alignment vertical="center"/>
    </xf>
    <xf numFmtId="171" fontId="22" fillId="0" borderId="90" xfId="0" applyNumberFormat="1" applyFont="1" applyFill="1" applyBorder="1" applyAlignment="1" applyProtection="1">
      <alignment horizontal="center" vertical="center"/>
    </xf>
    <xf numFmtId="164" fontId="12" fillId="0" borderId="1" xfId="2" applyFont="1" applyFill="1" applyBorder="1" applyAlignment="1">
      <alignment vertical="center"/>
    </xf>
    <xf numFmtId="171" fontId="22" fillId="0" borderId="90" xfId="2" applyNumberFormat="1" applyFont="1" applyFill="1" applyBorder="1" applyAlignment="1">
      <alignment vertical="center"/>
    </xf>
    <xf numFmtId="169" fontId="7" fillId="0" borderId="3" xfId="2" applyNumberFormat="1" applyFont="1" applyFill="1" applyBorder="1" applyAlignment="1" applyProtection="1">
      <alignment horizontal="center" vertical="center"/>
    </xf>
    <xf numFmtId="164" fontId="12" fillId="0" borderId="0" xfId="2" applyFont="1" applyFill="1" applyAlignment="1">
      <alignment vertical="center"/>
    </xf>
    <xf numFmtId="171" fontId="22" fillId="0" borderId="0" xfId="0" applyNumberFormat="1" applyFont="1" applyFill="1" applyAlignment="1">
      <alignment vertical="center"/>
    </xf>
    <xf numFmtId="167" fontId="68" fillId="0" borderId="1" xfId="0" applyFont="1" applyFill="1" applyBorder="1" applyAlignment="1">
      <alignment vertical="center"/>
    </xf>
    <xf numFmtId="167" fontId="68" fillId="0" borderId="3" xfId="0" applyFont="1" applyFill="1" applyBorder="1" applyAlignment="1">
      <alignment vertical="center"/>
    </xf>
    <xf numFmtId="171" fontId="22" fillId="4" borderId="3" xfId="2" applyNumberFormat="1" applyFont="1" applyFill="1" applyBorder="1" applyAlignment="1">
      <alignment vertical="center"/>
    </xf>
    <xf numFmtId="164" fontId="0" fillId="0" borderId="0" xfId="2" applyFont="1" applyFill="1" applyAlignment="1">
      <alignment vertical="center"/>
    </xf>
    <xf numFmtId="171" fontId="0" fillId="0" borderId="0" xfId="0" applyNumberFormat="1" applyFill="1" applyAlignment="1">
      <alignment vertical="center"/>
    </xf>
    <xf numFmtId="167" fontId="70" fillId="0" borderId="0" xfId="0" applyFont="1" applyFill="1" applyAlignment="1">
      <alignment vertical="center"/>
    </xf>
    <xf numFmtId="164" fontId="11" fillId="0" borderId="80" xfId="2" applyFont="1" applyFill="1" applyBorder="1" applyAlignment="1">
      <alignment vertical="center"/>
    </xf>
    <xf numFmtId="164" fontId="11" fillId="0" borderId="7" xfId="2" applyFont="1" applyFill="1" applyBorder="1" applyAlignment="1">
      <alignment vertical="center"/>
    </xf>
    <xf numFmtId="164" fontId="2" fillId="0" borderId="7" xfId="2" applyFont="1" applyBorder="1" applyAlignment="1">
      <alignment vertical="center"/>
    </xf>
    <xf numFmtId="164" fontId="11" fillId="9" borderId="7" xfId="2" applyFont="1" applyFill="1" applyBorder="1" applyAlignment="1">
      <alignment vertical="center"/>
    </xf>
    <xf numFmtId="171" fontId="22" fillId="5" borderId="90" xfId="0" applyNumberFormat="1" applyFont="1" applyFill="1" applyBorder="1" applyAlignment="1" applyProtection="1">
      <alignment vertical="center"/>
    </xf>
    <xf numFmtId="164" fontId="71" fillId="0" borderId="7" xfId="2" applyFont="1" applyFill="1" applyBorder="1" applyAlignment="1">
      <alignment vertical="center"/>
    </xf>
    <xf numFmtId="164" fontId="11" fillId="0" borderId="3" xfId="2" applyFont="1" applyFill="1" applyBorder="1" applyAlignment="1">
      <alignment vertical="center"/>
    </xf>
    <xf numFmtId="164" fontId="71" fillId="9" borderId="7" xfId="2" applyFont="1" applyFill="1" applyBorder="1" applyAlignment="1">
      <alignment vertical="center"/>
    </xf>
    <xf numFmtId="171" fontId="22" fillId="9" borderId="90" xfId="2" applyNumberFormat="1" applyFont="1" applyFill="1" applyBorder="1" applyAlignment="1">
      <alignment vertical="center"/>
    </xf>
    <xf numFmtId="164" fontId="11" fillId="9" borderId="3" xfId="2" applyFont="1" applyFill="1" applyBorder="1" applyAlignment="1">
      <alignment vertical="center"/>
    </xf>
    <xf numFmtId="171" fontId="22" fillId="9" borderId="3" xfId="0" applyNumberFormat="1" applyFont="1" applyFill="1" applyBorder="1" applyAlignment="1">
      <alignment vertical="center"/>
    </xf>
    <xf numFmtId="164" fontId="2" fillId="8" borderId="0" xfId="2" applyFont="1" applyFill="1" applyAlignment="1">
      <alignment vertical="center"/>
    </xf>
    <xf numFmtId="164" fontId="11" fillId="4" borderId="7" xfId="2" applyFont="1" applyFill="1" applyBorder="1" applyAlignment="1">
      <alignment vertical="center"/>
    </xf>
    <xf numFmtId="164" fontId="6" fillId="4" borderId="7" xfId="2" applyFont="1" applyFill="1" applyBorder="1" applyAlignment="1">
      <alignment vertical="center"/>
    </xf>
    <xf numFmtId="171" fontId="64" fillId="4" borderId="90" xfId="0" applyNumberFormat="1" applyFont="1" applyFill="1" applyBorder="1" applyAlignment="1">
      <alignment vertical="center"/>
    </xf>
    <xf numFmtId="171" fontId="22" fillId="10" borderId="90" xfId="0" applyNumberFormat="1" applyFont="1" applyFill="1" applyBorder="1" applyAlignment="1" applyProtection="1">
      <alignment horizontal="center" vertical="center"/>
    </xf>
    <xf numFmtId="164" fontId="19" fillId="4" borderId="7" xfId="2" applyFont="1" applyFill="1" applyBorder="1" applyAlignment="1">
      <alignment vertical="center"/>
    </xf>
    <xf numFmtId="164" fontId="11" fillId="9" borderId="80" xfId="2" applyFont="1" applyFill="1" applyBorder="1" applyAlignment="1">
      <alignment vertical="center"/>
    </xf>
    <xf numFmtId="164" fontId="4" fillId="9" borderId="80" xfId="2" applyFont="1" applyFill="1" applyBorder="1" applyAlignment="1">
      <alignment vertical="center"/>
    </xf>
    <xf numFmtId="171" fontId="64" fillId="9" borderId="90" xfId="2" applyNumberFormat="1" applyFont="1" applyFill="1" applyBorder="1" applyAlignment="1">
      <alignment vertical="center"/>
    </xf>
    <xf numFmtId="164" fontId="4" fillId="9" borderId="7" xfId="2" applyFont="1" applyFill="1" applyBorder="1" applyAlignment="1">
      <alignment vertical="center"/>
    </xf>
    <xf numFmtId="171" fontId="64" fillId="9" borderId="90" xfId="0" applyNumberFormat="1" applyFont="1" applyFill="1" applyBorder="1" applyAlignment="1">
      <alignment vertical="center"/>
    </xf>
    <xf numFmtId="164" fontId="7" fillId="3" borderId="7" xfId="2" applyFont="1" applyFill="1" applyBorder="1" applyAlignment="1" applyProtection="1">
      <alignment horizontal="center" vertical="center"/>
    </xf>
    <xf numFmtId="164" fontId="8" fillId="9" borderId="7" xfId="2" applyFont="1" applyFill="1" applyBorder="1" applyAlignment="1">
      <alignment vertical="center"/>
    </xf>
    <xf numFmtId="164" fontId="8" fillId="9" borderId="80" xfId="2" applyFont="1" applyFill="1" applyBorder="1" applyAlignment="1">
      <alignment vertical="center"/>
    </xf>
    <xf numFmtId="164" fontId="7" fillId="3" borderId="80" xfId="2" applyFont="1" applyFill="1" applyBorder="1" applyAlignment="1" applyProtection="1">
      <alignment horizontal="center" vertical="center"/>
    </xf>
    <xf numFmtId="171" fontId="22" fillId="3" borderId="90" xfId="0" applyNumberFormat="1" applyFont="1" applyFill="1" applyBorder="1" applyAlignment="1" applyProtection="1">
      <alignment horizontal="center" vertical="center"/>
    </xf>
    <xf numFmtId="171" fontId="22" fillId="3" borderId="90" xfId="2" applyNumberFormat="1" applyFont="1" applyFill="1" applyBorder="1" applyAlignment="1" applyProtection="1">
      <alignment horizontal="center" vertical="center"/>
    </xf>
    <xf numFmtId="164" fontId="6" fillId="8" borderId="7" xfId="2" applyFont="1" applyFill="1" applyBorder="1" applyAlignment="1">
      <alignment vertical="center"/>
    </xf>
    <xf numFmtId="164" fontId="11" fillId="8" borderId="7" xfId="2" applyFont="1" applyFill="1" applyBorder="1" applyAlignment="1">
      <alignment vertical="center"/>
    </xf>
    <xf numFmtId="164" fontId="4" fillId="4" borderId="80" xfId="2" applyFont="1" applyFill="1" applyBorder="1" applyAlignment="1" applyProtection="1">
      <alignment vertical="center"/>
    </xf>
    <xf numFmtId="171" fontId="64" fillId="0" borderId="90" xfId="2" applyNumberFormat="1" applyFont="1" applyFill="1" applyBorder="1" applyAlignment="1">
      <alignment vertical="center"/>
    </xf>
    <xf numFmtId="164" fontId="19" fillId="5" borderId="80" xfId="2" applyFont="1" applyFill="1" applyBorder="1" applyAlignment="1">
      <alignment vertical="center"/>
    </xf>
    <xf numFmtId="164" fontId="19" fillId="4" borderId="80" xfId="2" applyFont="1" applyFill="1" applyBorder="1" applyAlignment="1">
      <alignment vertical="center"/>
    </xf>
    <xf numFmtId="169" fontId="7" fillId="3" borderId="3" xfId="2" applyNumberFormat="1" applyFont="1" applyFill="1" applyBorder="1" applyAlignment="1" applyProtection="1">
      <alignment horizontal="center" vertical="center"/>
    </xf>
    <xf numFmtId="171" fontId="64" fillId="9" borderId="3" xfId="0" applyNumberFormat="1" applyFont="1" applyFill="1" applyBorder="1" applyAlignment="1">
      <alignment vertical="center"/>
    </xf>
    <xf numFmtId="164" fontId="4" fillId="9" borderId="3" xfId="2" applyFont="1" applyFill="1" applyBorder="1" applyAlignment="1">
      <alignment vertical="center"/>
    </xf>
    <xf numFmtId="171" fontId="64" fillId="4" borderId="90" xfId="2" applyNumberFormat="1" applyFont="1" applyFill="1" applyBorder="1" applyAlignment="1">
      <alignment vertical="center"/>
    </xf>
    <xf numFmtId="164" fontId="72" fillId="4" borderId="7" xfId="2" applyFont="1" applyFill="1" applyBorder="1" applyAlignment="1">
      <alignment vertical="center"/>
    </xf>
    <xf numFmtId="164" fontId="6" fillId="4" borderId="3" xfId="2" applyFont="1" applyFill="1" applyBorder="1" applyAlignment="1">
      <alignment vertical="center"/>
    </xf>
    <xf numFmtId="164" fontId="71" fillId="8" borderId="7" xfId="2" applyFont="1" applyFill="1" applyBorder="1" applyAlignment="1">
      <alignment vertical="center"/>
    </xf>
    <xf numFmtId="171" fontId="64" fillId="0" borderId="3" xfId="0" applyNumberFormat="1" applyFont="1" applyFill="1" applyBorder="1" applyAlignment="1">
      <alignment vertical="center"/>
    </xf>
    <xf numFmtId="167" fontId="67" fillId="0" borderId="3" xfId="0" applyFont="1" applyFill="1" applyBorder="1" applyAlignment="1">
      <alignment vertical="center"/>
    </xf>
    <xf numFmtId="164" fontId="67" fillId="0" borderId="3" xfId="2" applyFont="1" applyFill="1" applyBorder="1" applyAlignment="1">
      <alignment vertical="center"/>
    </xf>
    <xf numFmtId="171" fontId="64" fillId="0" borderId="1" xfId="0" applyNumberFormat="1" applyFont="1" applyFill="1" applyBorder="1" applyAlignment="1">
      <alignment vertical="center"/>
    </xf>
    <xf numFmtId="171" fontId="22" fillId="0" borderId="91" xfId="2" applyNumberFormat="1" applyFont="1" applyFill="1" applyBorder="1" applyAlignment="1">
      <alignment vertical="center"/>
    </xf>
    <xf numFmtId="164" fontId="73" fillId="45" borderId="7" xfId="2" applyFont="1" applyFill="1" applyBorder="1" applyAlignment="1">
      <alignment vertical="center"/>
    </xf>
    <xf numFmtId="171" fontId="22" fillId="5" borderId="90" xfId="2" applyNumberFormat="1" applyFont="1" applyFill="1" applyBorder="1" applyAlignment="1">
      <alignment vertical="center"/>
    </xf>
    <xf numFmtId="171" fontId="64" fillId="0" borderId="34" xfId="0" applyNumberFormat="1" applyFont="1" applyFill="1" applyBorder="1" applyAlignment="1">
      <alignment vertical="center"/>
    </xf>
    <xf numFmtId="171" fontId="22" fillId="0" borderId="92" xfId="2" applyNumberFormat="1" applyFont="1" applyFill="1" applyBorder="1" applyAlignment="1">
      <alignment vertical="center"/>
    </xf>
    <xf numFmtId="171" fontId="22" fillId="5" borderId="90" xfId="0" applyNumberFormat="1" applyFont="1" applyFill="1" applyBorder="1" applyAlignment="1">
      <alignment vertical="center"/>
    </xf>
    <xf numFmtId="164" fontId="19" fillId="5" borderId="7" xfId="2" applyFont="1" applyFill="1" applyBorder="1" applyAlignment="1">
      <alignment vertical="center"/>
    </xf>
    <xf numFmtId="164" fontId="6" fillId="0" borderId="7" xfId="2" applyFont="1" applyFill="1" applyBorder="1" applyAlignment="1">
      <alignment vertical="center"/>
    </xf>
    <xf numFmtId="171" fontId="64" fillId="46" borderId="90" xfId="0" applyNumberFormat="1" applyFont="1" applyFill="1" applyBorder="1" applyAlignment="1">
      <alignment vertical="center"/>
    </xf>
    <xf numFmtId="164" fontId="6" fillId="47" borderId="7" xfId="2" applyFont="1" applyFill="1" applyBorder="1" applyAlignment="1">
      <alignment vertical="center"/>
    </xf>
    <xf numFmtId="171" fontId="64" fillId="8" borderId="90" xfId="0" applyNumberFormat="1" applyFont="1" applyFill="1" applyBorder="1" applyAlignment="1">
      <alignment vertical="center"/>
    </xf>
    <xf numFmtId="171" fontId="22" fillId="3" borderId="3" xfId="2" applyNumberFormat="1" applyFont="1" applyFill="1" applyBorder="1" applyAlignment="1" applyProtection="1">
      <alignment horizontal="center" vertical="center"/>
    </xf>
    <xf numFmtId="164" fontId="74" fillId="45" borderId="7" xfId="2" applyFont="1" applyFill="1" applyBorder="1" applyAlignment="1">
      <alignment vertical="center"/>
    </xf>
    <xf numFmtId="171" fontId="22" fillId="3" borderId="3" xfId="0" applyNumberFormat="1" applyFont="1" applyFill="1" applyBorder="1" applyAlignment="1" applyProtection="1">
      <alignment horizontal="center" vertical="center"/>
    </xf>
    <xf numFmtId="171" fontId="22" fillId="0" borderId="3" xfId="0" applyNumberFormat="1" applyFont="1" applyBorder="1" applyAlignment="1">
      <alignment vertical="center"/>
    </xf>
    <xf numFmtId="164" fontId="19" fillId="4" borderId="7" xfId="2" applyFont="1" applyFill="1" applyBorder="1" applyAlignment="1" applyProtection="1">
      <alignment vertical="center"/>
    </xf>
    <xf numFmtId="164" fontId="8" fillId="11" borderId="7" xfId="2" applyFont="1" applyFill="1" applyBorder="1" applyAlignment="1">
      <alignment vertical="center"/>
    </xf>
    <xf numFmtId="171" fontId="22" fillId="11" borderId="90" xfId="0" applyNumberFormat="1" applyFont="1" applyFill="1" applyBorder="1" applyAlignment="1">
      <alignment vertical="center"/>
    </xf>
    <xf numFmtId="164" fontId="6" fillId="46" borderId="7" xfId="2" applyFont="1" applyFill="1" applyBorder="1" applyAlignment="1">
      <alignment vertical="center"/>
    </xf>
    <xf numFmtId="171" fontId="64" fillId="5" borderId="90" xfId="0" applyNumberFormat="1" applyFont="1" applyFill="1" applyBorder="1" applyAlignment="1">
      <alignment vertical="center"/>
    </xf>
    <xf numFmtId="164" fontId="6" fillId="5" borderId="80" xfId="2" applyFont="1" applyFill="1" applyBorder="1" applyAlignment="1">
      <alignment vertical="center"/>
    </xf>
    <xf numFmtId="164" fontId="6" fillId="5" borderId="7" xfId="2" applyFont="1" applyFill="1" applyBorder="1" applyAlignment="1">
      <alignment vertical="center"/>
    </xf>
    <xf numFmtId="164" fontId="11" fillId="4" borderId="80" xfId="2" applyFont="1" applyFill="1" applyBorder="1" applyAlignment="1">
      <alignment vertical="center"/>
    </xf>
    <xf numFmtId="171" fontId="64" fillId="4" borderId="90" xfId="0" applyNumberFormat="1" applyFont="1" applyFill="1" applyBorder="1" applyAlignment="1" applyProtection="1">
      <alignment vertical="center"/>
    </xf>
    <xf numFmtId="164" fontId="6" fillId="9" borderId="7" xfId="2" applyFont="1" applyFill="1" applyBorder="1" applyAlignment="1">
      <alignment vertical="center"/>
    </xf>
    <xf numFmtId="164" fontId="4" fillId="4" borderId="7" xfId="2" applyFont="1" applyFill="1" applyBorder="1" applyAlignment="1">
      <alignment vertical="center"/>
    </xf>
    <xf numFmtId="164" fontId="6" fillId="4" borderId="80" xfId="2" applyFont="1" applyFill="1" applyBorder="1" applyAlignment="1">
      <alignment vertical="center"/>
    </xf>
    <xf numFmtId="164" fontId="72" fillId="8" borderId="7" xfId="2" applyFont="1" applyFill="1" applyBorder="1" applyAlignment="1">
      <alignment vertical="center"/>
    </xf>
    <xf numFmtId="164" fontId="4" fillId="0" borderId="3" xfId="2" applyFont="1" applyFill="1" applyBorder="1" applyAlignment="1">
      <alignment vertical="center"/>
    </xf>
    <xf numFmtId="164" fontId="66" fillId="4" borderId="7" xfId="2" applyFont="1" applyFill="1" applyBorder="1" applyAlignment="1">
      <alignment vertical="center"/>
    </xf>
    <xf numFmtId="164" fontId="4" fillId="0" borderId="7" xfId="2" applyFont="1" applyFill="1" applyBorder="1" applyAlignment="1">
      <alignment vertical="center"/>
    </xf>
    <xf numFmtId="164" fontId="8" fillId="5" borderId="7" xfId="2" applyFont="1" applyFill="1" applyBorder="1" applyAlignment="1">
      <alignment vertical="center"/>
    </xf>
    <xf numFmtId="164" fontId="72" fillId="9" borderId="7" xfId="2" applyFont="1" applyFill="1" applyBorder="1" applyAlignment="1">
      <alignment vertical="center"/>
    </xf>
    <xf numFmtId="164" fontId="2" fillId="4" borderId="3" xfId="2" applyFont="1" applyFill="1" applyBorder="1" applyAlignment="1">
      <alignment vertical="center"/>
    </xf>
    <xf numFmtId="169" fontId="75" fillId="0" borderId="3" xfId="0" applyNumberFormat="1" applyFont="1" applyFill="1" applyBorder="1" applyAlignment="1" applyProtection="1">
      <alignment horizontal="center" vertical="center"/>
    </xf>
    <xf numFmtId="164" fontId="73" fillId="45" borderId="1" xfId="2" applyFont="1" applyFill="1" applyBorder="1" applyAlignment="1">
      <alignment vertical="center"/>
    </xf>
    <xf numFmtId="164" fontId="8" fillId="12" borderId="7" xfId="2" applyFont="1" applyFill="1" applyBorder="1" applyAlignment="1">
      <alignment vertical="center"/>
    </xf>
    <xf numFmtId="171" fontId="22" fillId="12" borderId="90" xfId="0" applyNumberFormat="1" applyFont="1" applyFill="1" applyBorder="1" applyAlignment="1">
      <alignment vertical="center"/>
    </xf>
    <xf numFmtId="164" fontId="8" fillId="9" borderId="1" xfId="2" applyFont="1" applyFill="1" applyBorder="1" applyAlignment="1">
      <alignment vertical="center"/>
    </xf>
    <xf numFmtId="171" fontId="22" fillId="9" borderId="1" xfId="0" applyNumberFormat="1" applyFont="1" applyFill="1" applyBorder="1" applyAlignment="1">
      <alignment vertical="center"/>
    </xf>
    <xf numFmtId="164" fontId="4" fillId="5" borderId="80" xfId="2" applyFont="1" applyFill="1" applyBorder="1" applyAlignment="1">
      <alignment vertical="center"/>
    </xf>
    <xf numFmtId="164" fontId="6" fillId="9" borderId="80" xfId="2" applyFont="1" applyFill="1" applyBorder="1" applyAlignment="1">
      <alignment vertical="center"/>
    </xf>
    <xf numFmtId="164" fontId="19" fillId="7" borderId="7" xfId="2" applyFont="1" applyFill="1" applyBorder="1" applyAlignment="1">
      <alignment vertical="center"/>
    </xf>
    <xf numFmtId="171" fontId="22" fillId="7" borderId="90" xfId="0" applyNumberFormat="1" applyFont="1" applyFill="1" applyBorder="1" applyAlignment="1">
      <alignment vertical="center"/>
    </xf>
    <xf numFmtId="164" fontId="19" fillId="8" borderId="80" xfId="2" applyFont="1" applyFill="1" applyBorder="1" applyAlignment="1">
      <alignment vertical="center"/>
    </xf>
    <xf numFmtId="164" fontId="8" fillId="9" borderId="0" xfId="2" applyFont="1" applyFill="1" applyAlignment="1">
      <alignment vertical="center"/>
    </xf>
    <xf numFmtId="164" fontId="74" fillId="45" borderId="1" xfId="2" applyFont="1" applyFill="1" applyBorder="1" applyAlignment="1">
      <alignment vertical="center"/>
    </xf>
    <xf numFmtId="169" fontId="6" fillId="0" borderId="1" xfId="0" applyNumberFormat="1" applyFont="1" applyFill="1" applyBorder="1" applyAlignment="1">
      <alignment vertical="center"/>
    </xf>
    <xf numFmtId="164" fontId="19" fillId="9" borderId="7" xfId="2" applyFont="1" applyFill="1" applyBorder="1" applyAlignment="1">
      <alignment vertical="center"/>
    </xf>
    <xf numFmtId="164" fontId="7" fillId="0" borderId="7" xfId="2" applyFont="1" applyFill="1" applyBorder="1" applyAlignment="1">
      <alignment vertical="center"/>
    </xf>
    <xf numFmtId="164" fontId="4" fillId="8" borderId="3" xfId="2" applyFont="1" applyFill="1" applyBorder="1" applyAlignment="1">
      <alignment vertical="center"/>
    </xf>
    <xf numFmtId="171" fontId="64" fillId="8" borderId="3" xfId="0" applyNumberFormat="1" applyFont="1" applyFill="1" applyBorder="1" applyAlignment="1">
      <alignment vertical="center"/>
    </xf>
    <xf numFmtId="164" fontId="4" fillId="8" borderId="7" xfId="2" applyFont="1" applyFill="1" applyBorder="1" applyAlignment="1">
      <alignment vertical="center"/>
    </xf>
    <xf numFmtId="164" fontId="12" fillId="8" borderId="7" xfId="2" applyFont="1" applyFill="1" applyBorder="1" applyAlignment="1">
      <alignment vertical="center"/>
    </xf>
    <xf numFmtId="164" fontId="6" fillId="8" borderId="3" xfId="2" applyFont="1" applyFill="1" applyBorder="1" applyAlignment="1">
      <alignment vertical="center"/>
    </xf>
    <xf numFmtId="171" fontId="22" fillId="8" borderId="3" xfId="0" applyNumberFormat="1" applyFont="1" applyFill="1" applyBorder="1" applyAlignment="1">
      <alignment vertical="center"/>
    </xf>
    <xf numFmtId="164" fontId="8" fillId="8" borderId="3" xfId="2" applyFont="1" applyFill="1" applyBorder="1" applyAlignment="1">
      <alignment vertical="center"/>
    </xf>
    <xf numFmtId="169" fontId="67" fillId="0" borderId="1" xfId="0" applyNumberFormat="1" applyFont="1" applyFill="1" applyBorder="1" applyAlignment="1">
      <alignment vertical="center"/>
    </xf>
    <xf numFmtId="164" fontId="2" fillId="5" borderId="0" xfId="2" applyFont="1" applyFill="1" applyAlignment="1">
      <alignment vertical="center"/>
    </xf>
    <xf numFmtId="171" fontId="22" fillId="9" borderId="91" xfId="0" applyNumberFormat="1" applyFont="1" applyFill="1" applyBorder="1" applyAlignment="1">
      <alignment vertical="center"/>
    </xf>
    <xf numFmtId="164" fontId="2" fillId="13" borderId="0" xfId="2" applyFont="1" applyFill="1" applyAlignment="1">
      <alignment vertical="center"/>
    </xf>
    <xf numFmtId="171" fontId="22" fillId="13" borderId="91" xfId="0" applyNumberFormat="1" applyFont="1" applyFill="1" applyBorder="1" applyAlignment="1">
      <alignment vertical="center"/>
    </xf>
    <xf numFmtId="164" fontId="8" fillId="13" borderId="0" xfId="2" applyFont="1" applyFill="1" applyAlignment="1">
      <alignment vertical="center"/>
    </xf>
    <xf numFmtId="164" fontId="76" fillId="0" borderId="0" xfId="2" applyFont="1" applyAlignment="1">
      <alignment vertical="center"/>
    </xf>
    <xf numFmtId="171" fontId="64" fillId="0" borderId="91" xfId="0" applyNumberFormat="1" applyFont="1" applyBorder="1" applyAlignment="1">
      <alignment vertical="center"/>
    </xf>
    <xf numFmtId="164" fontId="72" fillId="15" borderId="0" xfId="2" applyFont="1" applyFill="1" applyAlignment="1">
      <alignment vertical="center"/>
    </xf>
    <xf numFmtId="171" fontId="22" fillId="15" borderId="91" xfId="0" applyNumberFormat="1" applyFont="1" applyFill="1" applyBorder="1" applyAlignment="1">
      <alignment vertical="center"/>
    </xf>
    <xf numFmtId="164" fontId="77" fillId="17" borderId="7" xfId="2" applyFont="1" applyFill="1" applyBorder="1" applyAlignment="1">
      <alignment vertical="center"/>
    </xf>
    <xf numFmtId="171" fontId="64" fillId="18" borderId="90" xfId="0" applyNumberFormat="1" applyFont="1" applyFill="1" applyBorder="1" applyAlignment="1">
      <alignment vertical="center"/>
    </xf>
    <xf numFmtId="164" fontId="72" fillId="16" borderId="80" xfId="2" applyFont="1" applyFill="1" applyBorder="1" applyAlignment="1">
      <alignment horizontal="right" vertical="center"/>
    </xf>
    <xf numFmtId="171" fontId="64" fillId="18" borderId="90" xfId="0" applyNumberFormat="1" applyFont="1" applyFill="1" applyBorder="1" applyAlignment="1">
      <alignment horizontal="left" vertical="center"/>
    </xf>
    <xf numFmtId="164" fontId="78" fillId="3" borderId="94" xfId="2" applyFont="1" applyFill="1" applyBorder="1" applyAlignment="1">
      <alignment vertical="center"/>
    </xf>
    <xf numFmtId="171" fontId="22" fillId="3" borderId="95" xfId="0" applyNumberFormat="1" applyFont="1" applyFill="1" applyBorder="1" applyAlignment="1">
      <alignment vertical="center"/>
    </xf>
    <xf numFmtId="164" fontId="12" fillId="3" borderId="94" xfId="2" applyFont="1" applyFill="1" applyBorder="1" applyAlignment="1">
      <alignment vertical="center"/>
    </xf>
    <xf numFmtId="164" fontId="78" fillId="3" borderId="37" xfId="2" applyFont="1" applyFill="1" applyBorder="1" applyAlignment="1">
      <alignment vertical="center"/>
    </xf>
    <xf numFmtId="171" fontId="22" fillId="3" borderId="35" xfId="0" applyNumberFormat="1" applyFont="1" applyFill="1" applyBorder="1" applyAlignment="1">
      <alignment vertical="center"/>
    </xf>
    <xf numFmtId="164" fontId="12" fillId="3" borderId="37" xfId="2" applyFont="1" applyFill="1" applyBorder="1" applyAlignment="1">
      <alignment vertical="center"/>
    </xf>
    <xf numFmtId="164" fontId="12" fillId="0" borderId="37" xfId="2" applyFont="1" applyFill="1" applyBorder="1" applyAlignment="1">
      <alignment vertical="center"/>
    </xf>
    <xf numFmtId="171" fontId="22" fillId="0" borderId="35" xfId="0" applyNumberFormat="1" applyFont="1" applyBorder="1" applyAlignment="1">
      <alignment vertical="center"/>
    </xf>
    <xf numFmtId="164" fontId="12" fillId="24" borderId="37" xfId="2" applyFont="1" applyFill="1" applyBorder="1" applyAlignment="1">
      <alignment vertical="center"/>
    </xf>
    <xf numFmtId="171" fontId="22" fillId="10" borderId="35" xfId="2" applyNumberFormat="1" applyFont="1" applyFill="1" applyBorder="1" applyAlignment="1" applyProtection="1">
      <alignment horizontal="center" vertical="center"/>
    </xf>
    <xf numFmtId="164" fontId="12" fillId="15" borderId="37" xfId="2" applyFont="1" applyFill="1" applyBorder="1" applyAlignment="1">
      <alignment vertical="center"/>
    </xf>
    <xf numFmtId="164" fontId="78" fillId="4" borderId="37" xfId="2" applyFont="1" applyFill="1" applyBorder="1" applyAlignment="1">
      <alignment vertical="center"/>
    </xf>
    <xf numFmtId="171" fontId="22" fillId="4" borderId="35" xfId="0" applyNumberFormat="1" applyFont="1" applyFill="1" applyBorder="1" applyAlignment="1">
      <alignment vertical="center"/>
    </xf>
    <xf numFmtId="164" fontId="78" fillId="0" borderId="37" xfId="2" applyFont="1" applyBorder="1" applyAlignment="1">
      <alignment vertical="center"/>
    </xf>
    <xf numFmtId="171" fontId="22" fillId="15" borderId="35" xfId="0" applyNumberFormat="1" applyFont="1" applyFill="1" applyBorder="1" applyAlignment="1">
      <alignment vertical="center"/>
    </xf>
    <xf numFmtId="164" fontId="12" fillId="10" borderId="37" xfId="2" applyFont="1" applyFill="1" applyBorder="1" applyAlignment="1">
      <alignment vertical="center"/>
    </xf>
    <xf numFmtId="171" fontId="22" fillId="9" borderId="92" xfId="0" applyNumberFormat="1" applyFont="1" applyFill="1" applyBorder="1" applyAlignment="1">
      <alignment vertical="center"/>
    </xf>
    <xf numFmtId="164" fontId="4" fillId="9" borderId="0" xfId="2" applyFont="1" applyFill="1" applyAlignment="1">
      <alignment vertical="center"/>
    </xf>
    <xf numFmtId="171" fontId="64" fillId="9" borderId="91" xfId="0" applyNumberFormat="1" applyFont="1" applyFill="1" applyBorder="1" applyAlignment="1">
      <alignment vertical="center"/>
    </xf>
    <xf numFmtId="171" fontId="22" fillId="13" borderId="92" xfId="0" applyNumberFormat="1" applyFont="1" applyFill="1" applyBorder="1" applyAlignment="1">
      <alignment vertical="center"/>
    </xf>
    <xf numFmtId="164" fontId="4" fillId="13" borderId="0" xfId="2" applyFont="1" applyFill="1" applyAlignment="1">
      <alignment vertical="center"/>
    </xf>
    <xf numFmtId="171" fontId="64" fillId="13" borderId="91" xfId="0" applyNumberFormat="1" applyFont="1" applyFill="1" applyBorder="1" applyAlignment="1">
      <alignment vertical="center"/>
    </xf>
    <xf numFmtId="167" fontId="0" fillId="0" borderId="54" xfId="0" applyBorder="1"/>
    <xf numFmtId="164" fontId="4" fillId="5" borderId="7" xfId="2" applyFont="1" applyFill="1" applyBorder="1" applyAlignment="1">
      <alignment vertical="center"/>
    </xf>
    <xf numFmtId="164" fontId="65" fillId="15" borderId="0" xfId="2" applyFont="1" applyFill="1" applyAlignment="1">
      <alignment vertical="center"/>
    </xf>
    <xf numFmtId="171" fontId="22" fillId="15" borderId="92" xfId="0" applyNumberFormat="1" applyFont="1" applyFill="1" applyBorder="1" applyAlignment="1">
      <alignment vertical="center"/>
    </xf>
    <xf numFmtId="171" fontId="64" fillId="18" borderId="96" xfId="0" applyNumberFormat="1" applyFont="1" applyFill="1" applyBorder="1" applyAlignment="1">
      <alignment horizontal="left" vertical="center"/>
    </xf>
    <xf numFmtId="164" fontId="72" fillId="16" borderId="6" xfId="2" applyFont="1" applyFill="1" applyBorder="1" applyAlignment="1">
      <alignment horizontal="right" vertical="center"/>
    </xf>
    <xf numFmtId="164" fontId="12" fillId="3" borderId="97" xfId="2" applyFont="1" applyFill="1" applyBorder="1" applyAlignment="1">
      <alignment vertical="center"/>
    </xf>
    <xf numFmtId="164" fontId="7" fillId="3" borderId="37" xfId="2" applyFont="1" applyFill="1" applyBorder="1" applyAlignment="1" applyProtection="1">
      <alignment horizontal="center" vertical="center"/>
    </xf>
    <xf numFmtId="171" fontId="22" fillId="3" borderId="35" xfId="2" applyNumberFormat="1" applyFont="1" applyFill="1" applyBorder="1" applyAlignment="1">
      <alignment vertical="center"/>
    </xf>
    <xf numFmtId="171" fontId="22" fillId="15" borderId="98" xfId="0" applyNumberFormat="1" applyFont="1" applyFill="1" applyBorder="1" applyAlignment="1">
      <alignment vertical="center"/>
    </xf>
    <xf numFmtId="164" fontId="12" fillId="3" borderId="50" xfId="2" applyFont="1" applyFill="1" applyBorder="1" applyAlignment="1">
      <alignment vertical="center"/>
    </xf>
    <xf numFmtId="171" fontId="22" fillId="24" borderId="35" xfId="0" applyNumberFormat="1" applyFont="1" applyFill="1" applyBorder="1" applyAlignment="1">
      <alignment vertical="center"/>
    </xf>
    <xf numFmtId="171" fontId="22" fillId="24" borderId="99" xfId="2" applyNumberFormat="1" applyFont="1" applyFill="1" applyBorder="1" applyAlignment="1" applyProtection="1">
      <alignment horizontal="center" vertical="center"/>
    </xf>
    <xf numFmtId="164" fontId="22" fillId="24" borderId="99" xfId="2" applyFont="1" applyFill="1" applyBorder="1" applyAlignment="1" applyProtection="1">
      <alignment horizontal="center" vertical="center"/>
    </xf>
    <xf numFmtId="164" fontId="12" fillId="0" borderId="50" xfId="2" applyFont="1" applyBorder="1" applyAlignment="1">
      <alignment vertical="center"/>
    </xf>
    <xf numFmtId="171" fontId="22" fillId="3" borderId="35" xfId="2" applyNumberFormat="1" applyFont="1" applyFill="1" applyBorder="1" applyAlignment="1" applyProtection="1">
      <alignment horizontal="center" vertical="center"/>
    </xf>
    <xf numFmtId="171" fontId="22" fillId="15" borderId="37" xfId="0" applyNumberFormat="1" applyFont="1" applyFill="1" applyBorder="1" applyAlignment="1">
      <alignment vertical="center"/>
    </xf>
    <xf numFmtId="164" fontId="12" fillId="9" borderId="0" xfId="2" applyFont="1" applyFill="1" applyAlignment="1">
      <alignment vertical="center"/>
    </xf>
    <xf numFmtId="171" fontId="22" fillId="9" borderId="0" xfId="0" applyNumberFormat="1" applyFont="1" applyFill="1" applyAlignment="1">
      <alignment vertical="center"/>
    </xf>
    <xf numFmtId="164" fontId="12" fillId="13" borderId="0" xfId="2" applyFont="1" applyFill="1" applyAlignment="1">
      <alignment vertical="center"/>
    </xf>
    <xf numFmtId="164" fontId="72" fillId="0" borderId="0" xfId="2" applyFont="1" applyAlignment="1">
      <alignment vertical="center"/>
    </xf>
    <xf numFmtId="171" fontId="22" fillId="15" borderId="0" xfId="0" applyNumberFormat="1" applyFont="1" applyFill="1" applyAlignment="1">
      <alignment vertical="center"/>
    </xf>
    <xf numFmtId="164" fontId="77" fillId="17" borderId="6" xfId="2" applyFont="1" applyFill="1" applyBorder="1" applyAlignment="1">
      <alignment vertical="center"/>
    </xf>
    <xf numFmtId="164" fontId="72" fillId="16" borderId="8" xfId="2" applyFont="1" applyFill="1" applyBorder="1" applyAlignment="1">
      <alignment horizontal="right" vertical="center"/>
    </xf>
    <xf numFmtId="171" fontId="22" fillId="18" borderId="32" xfId="0" applyNumberFormat="1" applyFont="1" applyFill="1" applyBorder="1" applyAlignment="1">
      <alignment horizontal="left" vertical="center"/>
    </xf>
    <xf numFmtId="164" fontId="72" fillId="16" borderId="32" xfId="2" applyFont="1" applyFill="1" applyBorder="1" applyAlignment="1">
      <alignment horizontal="right" vertical="center"/>
    </xf>
    <xf numFmtId="171" fontId="22" fillId="3" borderId="95" xfId="2" applyNumberFormat="1" applyFont="1" applyFill="1" applyBorder="1" applyAlignment="1">
      <alignment vertical="center"/>
    </xf>
    <xf numFmtId="164" fontId="72" fillId="15" borderId="17" xfId="2" applyFont="1" applyFill="1" applyBorder="1" applyAlignment="1">
      <alignment vertical="center"/>
    </xf>
    <xf numFmtId="171" fontId="22" fillId="15" borderId="100" xfId="0" applyNumberFormat="1" applyFont="1" applyFill="1" applyBorder="1" applyAlignment="1">
      <alignment vertical="center"/>
    </xf>
    <xf numFmtId="164" fontId="72" fillId="15" borderId="101" xfId="2" applyFont="1" applyFill="1" applyBorder="1" applyAlignment="1">
      <alignment vertical="center"/>
    </xf>
    <xf numFmtId="171" fontId="22" fillId="15" borderId="102" xfId="0" applyNumberFormat="1" applyFont="1" applyFill="1" applyBorder="1" applyAlignment="1">
      <alignment vertical="center"/>
    </xf>
    <xf numFmtId="164" fontId="72" fillId="15" borderId="103" xfId="2" applyFont="1" applyFill="1" applyBorder="1" applyAlignment="1">
      <alignment vertical="center"/>
    </xf>
    <xf numFmtId="171" fontId="64" fillId="15" borderId="0" xfId="0" applyNumberFormat="1" applyFont="1" applyFill="1" applyAlignment="1">
      <alignment vertical="center"/>
    </xf>
    <xf numFmtId="167" fontId="75" fillId="0" borderId="0" xfId="0" applyNumberFormat="1" applyFont="1" applyFill="1" applyAlignment="1">
      <alignment vertical="center"/>
    </xf>
    <xf numFmtId="164" fontId="78" fillId="0" borderId="0" xfId="2" applyFont="1" applyBorder="1" applyAlignment="1">
      <alignment vertical="center"/>
    </xf>
    <xf numFmtId="164" fontId="13" fillId="0" borderId="0" xfId="2" applyFont="1" applyAlignment="1">
      <alignment vertical="center"/>
    </xf>
    <xf numFmtId="171" fontId="13" fillId="0" borderId="0" xfId="2" applyNumberFormat="1" applyFont="1" applyAlignment="1">
      <alignment vertical="center"/>
    </xf>
    <xf numFmtId="171" fontId="64" fillId="18" borderId="32" xfId="0" applyNumberFormat="1" applyFont="1" applyFill="1" applyBorder="1" applyAlignment="1">
      <alignment horizontal="left" vertical="center"/>
    </xf>
    <xf numFmtId="167" fontId="75" fillId="0" borderId="32" xfId="0" applyNumberFormat="1" applyFont="1" applyFill="1" applyBorder="1" applyAlignment="1">
      <alignment vertical="center"/>
    </xf>
    <xf numFmtId="164" fontId="70" fillId="0" borderId="0" xfId="2" applyFont="1" applyAlignment="1">
      <alignment vertical="center"/>
    </xf>
    <xf numFmtId="171" fontId="64" fillId="15" borderId="100" xfId="0" applyNumberFormat="1" applyFont="1" applyFill="1" applyBorder="1" applyAlignment="1">
      <alignment vertical="center"/>
    </xf>
    <xf numFmtId="167" fontId="75" fillId="0" borderId="33" xfId="0" applyNumberFormat="1" applyFont="1" applyFill="1" applyBorder="1" applyAlignment="1">
      <alignment vertical="center"/>
    </xf>
    <xf numFmtId="164" fontId="2" fillId="34" borderId="12" xfId="2" applyFont="1" applyFill="1" applyBorder="1" applyAlignment="1">
      <alignment vertical="center"/>
    </xf>
    <xf numFmtId="164" fontId="2" fillId="34" borderId="14" xfId="2" applyFont="1" applyFill="1" applyBorder="1" applyAlignment="1">
      <alignment vertical="center"/>
    </xf>
    <xf numFmtId="164" fontId="2" fillId="0" borderId="14" xfId="2" applyFont="1" applyFill="1" applyBorder="1" applyAlignment="1">
      <alignment vertical="center"/>
    </xf>
    <xf numFmtId="167" fontId="16" fillId="0" borderId="13" xfId="2" applyNumberFormat="1" applyFont="1" applyBorder="1" applyAlignment="1">
      <alignment vertical="center"/>
    </xf>
    <xf numFmtId="164" fontId="7" fillId="3" borderId="3" xfId="2" applyFont="1" applyFill="1" applyBorder="1" applyAlignment="1" applyProtection="1">
      <alignment horizontal="center" vertical="center"/>
    </xf>
    <xf numFmtId="171" fontId="64" fillId="15" borderId="102" xfId="0" applyNumberFormat="1" applyFont="1" applyFill="1" applyBorder="1" applyAlignment="1">
      <alignment vertical="center"/>
    </xf>
    <xf numFmtId="167" fontId="75" fillId="0" borderId="16" xfId="0" applyNumberFormat="1" applyFont="1" applyFill="1" applyBorder="1" applyAlignment="1">
      <alignment vertical="center"/>
    </xf>
    <xf numFmtId="164" fontId="2" fillId="0" borderId="36" xfId="2" applyFont="1" applyBorder="1" applyAlignment="1">
      <alignment vertical="center"/>
    </xf>
    <xf numFmtId="164" fontId="2" fillId="4" borderId="37" xfId="2" applyFont="1" applyFill="1" applyBorder="1" applyAlignment="1">
      <alignment vertical="center"/>
    </xf>
    <xf numFmtId="167" fontId="13" fillId="0" borderId="37" xfId="2" applyNumberFormat="1" applyFont="1" applyBorder="1" applyAlignment="1">
      <alignment vertical="center"/>
    </xf>
    <xf numFmtId="164" fontId="78" fillId="48" borderId="37" xfId="2" applyFont="1" applyFill="1" applyBorder="1" applyAlignment="1">
      <alignment vertical="center"/>
    </xf>
    <xf numFmtId="167" fontId="13" fillId="31" borderId="37" xfId="2" applyNumberFormat="1" applyFont="1" applyFill="1" applyBorder="1" applyAlignment="1">
      <alignment vertical="center"/>
    </xf>
    <xf numFmtId="1" fontId="10" fillId="0" borderId="0" xfId="0" applyNumberFormat="1" applyFont="1" applyAlignment="1">
      <alignment horizontal="center" vertical="center"/>
    </xf>
    <xf numFmtId="164" fontId="12" fillId="0" borderId="37" xfId="2" applyFont="1" applyBorder="1" applyAlignment="1">
      <alignment vertical="center"/>
    </xf>
    <xf numFmtId="164" fontId="12" fillId="4" borderId="37" xfId="2" applyFont="1" applyFill="1" applyBorder="1" applyAlignment="1">
      <alignment vertical="center"/>
    </xf>
    <xf numFmtId="164" fontId="78" fillId="4" borderId="39" xfId="2" applyFont="1" applyFill="1" applyBorder="1" applyAlignment="1">
      <alignment vertical="center"/>
    </xf>
    <xf numFmtId="171" fontId="22" fillId="4" borderId="104" xfId="0" applyNumberFormat="1" applyFont="1" applyFill="1" applyBorder="1" applyAlignment="1">
      <alignment vertical="center"/>
    </xf>
    <xf numFmtId="164" fontId="12" fillId="3" borderId="39" xfId="2" applyFont="1" applyFill="1" applyBorder="1" applyAlignment="1">
      <alignment vertical="center"/>
    </xf>
    <xf numFmtId="171" fontId="22" fillId="3" borderId="104" xfId="0" applyNumberFormat="1" applyFont="1" applyFill="1" applyBorder="1" applyAlignment="1">
      <alignment vertical="center"/>
    </xf>
    <xf numFmtId="171" fontId="22" fillId="0" borderId="0" xfId="0" applyNumberFormat="1" applyFont="1" applyBorder="1" applyAlignment="1">
      <alignment vertical="center"/>
    </xf>
    <xf numFmtId="164" fontId="12" fillId="0" borderId="0" xfId="2" applyFont="1" applyBorder="1" applyAlignment="1">
      <alignment vertical="center"/>
    </xf>
    <xf numFmtId="171" fontId="22" fillId="18" borderId="90" xfId="0" applyNumberFormat="1" applyFont="1" applyFill="1" applyBorder="1" applyAlignment="1">
      <alignment vertical="center"/>
    </xf>
    <xf numFmtId="164" fontId="78" fillId="3" borderId="36" xfId="2" applyFont="1" applyFill="1" applyBorder="1" applyAlignment="1">
      <alignment vertical="center"/>
    </xf>
    <xf numFmtId="171" fontId="22" fillId="3" borderId="105" xfId="0" applyNumberFormat="1" applyFont="1" applyFill="1" applyBorder="1" applyAlignment="1">
      <alignment vertical="center"/>
    </xf>
    <xf numFmtId="164" fontId="12" fillId="3" borderId="36" xfId="2" applyFont="1" applyFill="1" applyBorder="1" applyAlignment="1">
      <alignment vertical="center"/>
    </xf>
    <xf numFmtId="169" fontId="12" fillId="10" borderId="50" xfId="2" applyNumberFormat="1" applyFont="1" applyFill="1" applyBorder="1" applyAlignment="1" applyProtection="1">
      <alignment horizontal="center" vertical="center"/>
    </xf>
    <xf numFmtId="164" fontId="78" fillId="3" borderId="50" xfId="2" applyFont="1" applyFill="1" applyBorder="1" applyAlignment="1">
      <alignment vertical="center"/>
    </xf>
    <xf numFmtId="164" fontId="78" fillId="0" borderId="39" xfId="2" applyFont="1" applyBorder="1" applyAlignment="1">
      <alignment vertical="center"/>
    </xf>
    <xf numFmtId="171" fontId="22" fillId="15" borderId="104" xfId="0" applyNumberFormat="1" applyFont="1" applyFill="1" applyBorder="1" applyAlignment="1">
      <alignment vertical="center"/>
    </xf>
    <xf numFmtId="164" fontId="12" fillId="15" borderId="39" xfId="2" applyFont="1" applyFill="1" applyBorder="1" applyAlignment="1">
      <alignment vertical="center"/>
    </xf>
    <xf numFmtId="171" fontId="22" fillId="15" borderId="104" xfId="2" applyNumberFormat="1" applyFont="1" applyFill="1" applyBorder="1" applyAlignment="1">
      <alignment vertical="center"/>
    </xf>
    <xf numFmtId="164" fontId="12" fillId="0" borderId="39" xfId="2" applyFont="1" applyBorder="1" applyAlignment="1">
      <alignment vertical="center"/>
    </xf>
    <xf numFmtId="167" fontId="10" fillId="0" borderId="0" xfId="0" applyNumberFormat="1" applyFont="1" applyAlignment="1">
      <alignment horizontal="center" vertical="center"/>
    </xf>
    <xf numFmtId="164" fontId="77" fillId="17" borderId="80" xfId="2" applyFont="1" applyFill="1" applyBorder="1" applyAlignment="1">
      <alignment vertical="center"/>
    </xf>
    <xf numFmtId="164" fontId="78" fillId="4" borderId="94" xfId="2" applyFont="1" applyFill="1" applyBorder="1" applyAlignment="1">
      <alignment vertical="center"/>
    </xf>
    <xf numFmtId="171" fontId="22" fillId="4" borderId="95" xfId="0" applyNumberFormat="1" applyFont="1" applyFill="1" applyBorder="1" applyAlignment="1">
      <alignment vertical="center"/>
    </xf>
    <xf numFmtId="164" fontId="78" fillId="19" borderId="37" xfId="2" applyFont="1" applyFill="1" applyBorder="1" applyAlignment="1">
      <alignment vertical="center"/>
    </xf>
    <xf numFmtId="171" fontId="22" fillId="19" borderId="35" xfId="0" applyNumberFormat="1" applyFont="1" applyFill="1" applyBorder="1" applyAlignment="1">
      <alignment vertical="center"/>
    </xf>
    <xf numFmtId="164" fontId="12" fillId="19" borderId="37" xfId="2" applyFont="1" applyFill="1" applyBorder="1" applyAlignment="1">
      <alignment vertical="center"/>
    </xf>
    <xf numFmtId="164" fontId="78" fillId="19" borderId="39" xfId="2" applyFont="1" applyFill="1" applyBorder="1" applyAlignment="1">
      <alignment vertical="center"/>
    </xf>
    <xf numFmtId="171" fontId="22" fillId="19" borderId="104" xfId="0" applyNumberFormat="1" applyFont="1" applyFill="1" applyBorder="1" applyAlignment="1">
      <alignment vertical="center"/>
    </xf>
    <xf numFmtId="164" fontId="12" fillId="19" borderId="39" xfId="2" applyFont="1" applyFill="1" applyBorder="1" applyAlignment="1">
      <alignment vertical="center"/>
    </xf>
    <xf numFmtId="164" fontId="78" fillId="8" borderId="39" xfId="2" applyFont="1" applyFill="1" applyBorder="1" applyAlignment="1">
      <alignment vertical="center"/>
    </xf>
    <xf numFmtId="171" fontId="22" fillId="8" borderId="104" xfId="0" applyNumberFormat="1" applyFont="1" applyFill="1" applyBorder="1" applyAlignment="1">
      <alignment vertical="center"/>
    </xf>
    <xf numFmtId="164" fontId="79" fillId="15" borderId="39" xfId="2" applyFont="1" applyFill="1" applyBorder="1" applyAlignment="1">
      <alignment vertical="center"/>
    </xf>
    <xf numFmtId="164" fontId="7" fillId="3" borderId="39" xfId="2" applyFont="1" applyFill="1" applyBorder="1" applyAlignment="1" applyProtection="1">
      <alignment horizontal="center" vertical="center"/>
    </xf>
    <xf numFmtId="171" fontId="22" fillId="3" borderId="104" xfId="2" applyNumberFormat="1" applyFont="1" applyFill="1" applyBorder="1" applyAlignment="1">
      <alignment vertical="center"/>
    </xf>
    <xf numFmtId="171" fontId="22" fillId="0" borderId="54" xfId="0" applyNumberFormat="1" applyFont="1" applyBorder="1" applyAlignment="1">
      <alignment vertical="center"/>
    </xf>
    <xf numFmtId="164" fontId="7" fillId="3" borderId="50" xfId="2" applyFont="1" applyFill="1" applyBorder="1" applyAlignment="1" applyProtection="1">
      <alignment horizontal="center" vertical="center"/>
    </xf>
    <xf numFmtId="171" fontId="22" fillId="24" borderId="35" xfId="2" applyNumberFormat="1" applyFont="1" applyFill="1" applyBorder="1" applyAlignment="1">
      <alignment vertical="center"/>
    </xf>
    <xf numFmtId="164" fontId="12" fillId="15" borderId="16" xfId="2" applyFont="1" applyFill="1" applyBorder="1" applyAlignment="1">
      <alignment vertical="center"/>
    </xf>
    <xf numFmtId="171" fontId="0" fillId="0" borderId="0" xfId="0" applyNumberFormat="1" applyFont="1" applyAlignment="1">
      <alignment horizontal="center" vertical="center"/>
    </xf>
    <xf numFmtId="167" fontId="0" fillId="0" borderId="54" xfId="0" applyNumberFormat="1" applyFont="1" applyBorder="1" applyAlignment="1">
      <alignment horizontal="center" vertical="center"/>
    </xf>
    <xf numFmtId="164" fontId="7" fillId="3" borderId="94" xfId="2" applyFont="1" applyFill="1" applyBorder="1" applyAlignment="1" applyProtection="1">
      <alignment horizontal="center" vertical="center"/>
    </xf>
    <xf numFmtId="164" fontId="12" fillId="8" borderId="37" xfId="2" applyFont="1" applyFill="1" applyBorder="1" applyAlignment="1">
      <alignment vertical="center"/>
    </xf>
    <xf numFmtId="164" fontId="7" fillId="3" borderId="37" xfId="2" applyFont="1" applyFill="1" applyBorder="1" applyAlignment="1">
      <alignment vertical="center"/>
    </xf>
    <xf numFmtId="164" fontId="22" fillId="0" borderId="0" xfId="2" applyFont="1" applyBorder="1" applyAlignment="1">
      <alignment vertical="center"/>
    </xf>
    <xf numFmtId="171" fontId="22" fillId="0" borderId="98" xfId="0" applyNumberFormat="1" applyFont="1" applyBorder="1" applyAlignment="1">
      <alignment vertical="center"/>
    </xf>
    <xf numFmtId="164" fontId="7" fillId="24" borderId="37" xfId="2" applyFont="1" applyFill="1" applyBorder="1" applyAlignment="1">
      <alignment vertical="center"/>
    </xf>
    <xf numFmtId="164" fontId="78" fillId="15" borderId="37" xfId="2" applyFont="1" applyFill="1" applyBorder="1" applyAlignment="1">
      <alignment vertical="center"/>
    </xf>
    <xf numFmtId="164" fontId="7" fillId="0" borderId="39" xfId="2" applyFont="1" applyBorder="1" applyAlignment="1">
      <alignment vertical="center"/>
    </xf>
    <xf numFmtId="164" fontId="7" fillId="0" borderId="0" xfId="2" applyFont="1" applyBorder="1" applyAlignment="1">
      <alignment vertical="center"/>
    </xf>
    <xf numFmtId="171" fontId="22" fillId="3" borderId="105" xfId="2" applyNumberFormat="1" applyFont="1" applyFill="1" applyBorder="1" applyAlignment="1">
      <alignment vertical="center"/>
    </xf>
    <xf numFmtId="164" fontId="12" fillId="4" borderId="50" xfId="2" applyFont="1" applyFill="1" applyBorder="1" applyAlignment="1">
      <alignment vertical="center"/>
    </xf>
    <xf numFmtId="164" fontId="72" fillId="3" borderId="17" xfId="2" applyFont="1" applyFill="1" applyBorder="1" applyAlignment="1">
      <alignment vertical="center"/>
    </xf>
    <xf numFmtId="171" fontId="22" fillId="3" borderId="102" xfId="0" applyNumberFormat="1" applyFont="1" applyFill="1" applyBorder="1" applyAlignment="1">
      <alignment vertical="center"/>
    </xf>
    <xf numFmtId="164" fontId="72" fillId="3" borderId="103" xfId="2" applyFont="1" applyFill="1" applyBorder="1" applyAlignment="1">
      <alignment vertical="center"/>
    </xf>
    <xf numFmtId="164" fontId="12" fillId="3" borderId="51" xfId="2" applyFont="1" applyFill="1" applyBorder="1" applyAlignment="1">
      <alignment vertical="center"/>
    </xf>
    <xf numFmtId="164" fontId="72" fillId="15" borderId="23" xfId="2" applyFont="1" applyFill="1" applyBorder="1" applyAlignment="1">
      <alignment vertical="center"/>
    </xf>
    <xf numFmtId="171" fontId="22" fillId="15" borderId="106" xfId="0" applyNumberFormat="1" applyFont="1" applyFill="1" applyBorder="1" applyAlignment="1">
      <alignment vertical="center"/>
    </xf>
    <xf numFmtId="164" fontId="72" fillId="15" borderId="107" xfId="2" applyFont="1" applyFill="1" applyBorder="1" applyAlignment="1">
      <alignment vertical="center"/>
    </xf>
    <xf numFmtId="171" fontId="22" fillId="15" borderId="0" xfId="0" applyNumberFormat="1" applyFont="1" applyFill="1" applyBorder="1" applyAlignment="1">
      <alignment vertical="center"/>
    </xf>
    <xf numFmtId="171" fontId="22" fillId="3" borderId="108" xfId="0" applyNumberFormat="1" applyFont="1" applyFill="1" applyBorder="1" applyAlignment="1">
      <alignment vertical="center"/>
    </xf>
    <xf numFmtId="164" fontId="72" fillId="3" borderId="33" xfId="2" applyFont="1" applyFill="1" applyBorder="1" applyAlignment="1">
      <alignment vertical="center"/>
    </xf>
    <xf numFmtId="171" fontId="22" fillId="3" borderId="33" xfId="0" applyNumberFormat="1" applyFont="1" applyFill="1" applyBorder="1" applyAlignment="1">
      <alignment vertical="center"/>
    </xf>
    <xf numFmtId="164" fontId="12" fillId="15" borderId="109" xfId="2" applyFont="1" applyFill="1" applyBorder="1" applyAlignment="1">
      <alignment vertical="center"/>
    </xf>
    <xf numFmtId="171" fontId="22" fillId="3" borderId="110" xfId="2" applyNumberFormat="1" applyFont="1" applyFill="1" applyBorder="1" applyAlignment="1">
      <alignment vertical="center"/>
    </xf>
    <xf numFmtId="167" fontId="3" fillId="0" borderId="0" xfId="0" applyNumberFormat="1" applyFont="1" applyAlignment="1">
      <alignment horizontal="center" vertical="center"/>
    </xf>
    <xf numFmtId="164" fontId="12" fillId="3" borderId="16" xfId="2" applyFont="1" applyFill="1" applyBorder="1" applyAlignment="1">
      <alignment vertical="center"/>
    </xf>
    <xf numFmtId="171" fontId="22" fillId="3" borderId="16" xfId="2" applyNumberFormat="1" applyFont="1" applyFill="1" applyBorder="1" applyAlignment="1">
      <alignment vertical="center"/>
    </xf>
    <xf numFmtId="171" fontId="22" fillId="3" borderId="35" xfId="0" applyNumberFormat="1" applyFont="1" applyFill="1" applyBorder="1" applyAlignment="1" applyProtection="1">
      <alignment horizontal="center" vertical="center"/>
    </xf>
    <xf numFmtId="171" fontId="22" fillId="3" borderId="16" xfId="0" applyNumberFormat="1" applyFont="1" applyFill="1" applyBorder="1" applyAlignment="1">
      <alignment vertical="center"/>
    </xf>
    <xf numFmtId="164" fontId="7" fillId="0" borderId="37" xfId="2" applyFont="1" applyBorder="1" applyAlignment="1">
      <alignment vertical="center"/>
    </xf>
    <xf numFmtId="171" fontId="22" fillId="0" borderId="35" xfId="2" applyNumberFormat="1" applyFont="1" applyBorder="1" applyAlignment="1">
      <alignment vertical="center"/>
    </xf>
    <xf numFmtId="171" fontId="22" fillId="0" borderId="104" xfId="2" applyNumberFormat="1" applyFont="1" applyBorder="1" applyAlignment="1">
      <alignment vertical="center"/>
    </xf>
    <xf numFmtId="171" fontId="22" fillId="18" borderId="90" xfId="0" applyNumberFormat="1" applyFont="1" applyFill="1" applyBorder="1" applyAlignment="1">
      <alignment horizontal="left" vertical="center"/>
    </xf>
    <xf numFmtId="171" fontId="22" fillId="15" borderId="35" xfId="2" applyNumberFormat="1" applyFont="1" applyFill="1" applyBorder="1" applyAlignment="1">
      <alignment vertical="center"/>
    </xf>
    <xf numFmtId="164" fontId="80" fillId="15" borderId="37" xfId="2" applyFont="1" applyFill="1" applyBorder="1" applyAlignment="1">
      <alignment vertical="center"/>
    </xf>
    <xf numFmtId="171" fontId="64" fillId="3" borderId="102" xfId="0" applyNumberFormat="1" applyFont="1" applyFill="1" applyBorder="1" applyAlignment="1">
      <alignment vertical="center"/>
    </xf>
    <xf numFmtId="171" fontId="64" fillId="15" borderId="106" xfId="0" applyNumberFormat="1" applyFont="1" applyFill="1" applyBorder="1" applyAlignment="1">
      <alignment vertical="center"/>
    </xf>
    <xf numFmtId="167" fontId="75" fillId="0" borderId="22" xfId="0" applyNumberFormat="1" applyFont="1" applyFill="1" applyBorder="1" applyAlignment="1">
      <alignment vertical="center"/>
    </xf>
    <xf numFmtId="164" fontId="2" fillId="4" borderId="39" xfId="2" applyFont="1" applyFill="1" applyBorder="1" applyAlignment="1">
      <alignment vertical="center"/>
    </xf>
    <xf numFmtId="167" fontId="13" fillId="0" borderId="39" xfId="2" applyNumberFormat="1" applyFont="1" applyBorder="1" applyAlignment="1">
      <alignment vertical="center"/>
    </xf>
    <xf numFmtId="164" fontId="16" fillId="0" borderId="0" xfId="2" applyFont="1" applyBorder="1" applyAlignment="1">
      <alignment vertical="center"/>
    </xf>
    <xf numFmtId="171" fontId="16" fillId="0" borderId="0" xfId="2" applyNumberFormat="1" applyFont="1" applyBorder="1" applyAlignment="1">
      <alignment vertical="center"/>
    </xf>
    <xf numFmtId="167" fontId="10" fillId="0" borderId="0" xfId="0" applyNumberFormat="1" applyFont="1" applyAlignment="1">
      <alignment vertical="center"/>
    </xf>
    <xf numFmtId="164" fontId="16" fillId="0" borderId="0" xfId="2" applyFont="1" applyAlignment="1">
      <alignment vertical="center"/>
    </xf>
    <xf numFmtId="171" fontId="16" fillId="0" borderId="0" xfId="2" applyNumberFormat="1" applyFont="1" applyAlignment="1">
      <alignment vertical="center"/>
    </xf>
    <xf numFmtId="171" fontId="64" fillId="3" borderId="33" xfId="0" applyNumberFormat="1" applyFont="1" applyFill="1" applyBorder="1" applyAlignment="1">
      <alignment vertical="center"/>
    </xf>
    <xf numFmtId="167" fontId="13" fillId="0" borderId="36" xfId="2" applyNumberFormat="1" applyFont="1" applyBorder="1" applyAlignment="1">
      <alignment vertical="center"/>
    </xf>
    <xf numFmtId="164" fontId="2" fillId="0" borderId="36" xfId="2" applyFont="1" applyFill="1" applyBorder="1" applyAlignment="1">
      <alignment vertical="center"/>
    </xf>
    <xf numFmtId="167" fontId="75" fillId="0" borderId="34" xfId="0" applyNumberFormat="1" applyFont="1" applyFill="1" applyBorder="1" applyAlignment="1">
      <alignment vertical="center"/>
    </xf>
    <xf numFmtId="164" fontId="2" fillId="4" borderId="36" xfId="2" applyFont="1" applyFill="1" applyBorder="1" applyAlignment="1">
      <alignment vertical="center"/>
    </xf>
    <xf numFmtId="164" fontId="2" fillId="0" borderId="37" xfId="2" applyFont="1" applyFill="1" applyBorder="1" applyAlignment="1">
      <alignment vertical="center"/>
    </xf>
    <xf numFmtId="164" fontId="81" fillId="15" borderId="37" xfId="2" applyFont="1" applyFill="1" applyBorder="1" applyAlignment="1">
      <alignment vertical="center"/>
    </xf>
    <xf numFmtId="164" fontId="12" fillId="0" borderId="50" xfId="2" applyFont="1" applyFill="1" applyBorder="1" applyAlignment="1">
      <alignment vertical="center"/>
    </xf>
    <xf numFmtId="171" fontId="22" fillId="0" borderId="35" xfId="0" applyNumberFormat="1" applyFont="1" applyFill="1" applyBorder="1" applyAlignment="1">
      <alignment vertical="center"/>
    </xf>
    <xf numFmtId="171" fontId="22" fillId="10" borderId="35" xfId="0" applyNumberFormat="1" applyFont="1" applyFill="1" applyBorder="1" applyAlignment="1" applyProtection="1">
      <alignment horizontal="center" vertical="center"/>
    </xf>
    <xf numFmtId="164" fontId="78" fillId="49" borderId="37" xfId="2" applyFont="1" applyFill="1" applyBorder="1" applyAlignment="1">
      <alignment vertical="center"/>
    </xf>
    <xf numFmtId="171" fontId="22" fillId="49" borderId="35" xfId="0" applyNumberFormat="1" applyFont="1" applyFill="1" applyBorder="1" applyAlignment="1">
      <alignment vertical="center"/>
    </xf>
    <xf numFmtId="164" fontId="78" fillId="3" borderId="39" xfId="2" applyFont="1" applyFill="1" applyBorder="1" applyAlignment="1">
      <alignment vertical="center"/>
    </xf>
    <xf numFmtId="164" fontId="12" fillId="15" borderId="0" xfId="2" applyFont="1" applyFill="1" applyBorder="1" applyAlignment="1">
      <alignment vertical="center"/>
    </xf>
    <xf numFmtId="171" fontId="22" fillId="16" borderId="90" xfId="0" applyNumberFormat="1" applyFont="1" applyFill="1" applyBorder="1" applyAlignment="1">
      <alignment vertical="center"/>
    </xf>
    <xf numFmtId="164" fontId="7" fillId="15" borderId="37" xfId="2" applyFont="1" applyFill="1" applyBorder="1" applyAlignment="1">
      <alignment vertical="center"/>
    </xf>
    <xf numFmtId="164" fontId="78" fillId="8" borderId="37" xfId="2" applyFont="1" applyFill="1" applyBorder="1" applyAlignment="1">
      <alignment vertical="center"/>
    </xf>
    <xf numFmtId="164" fontId="78" fillId="4" borderId="36" xfId="2" applyFont="1" applyFill="1" applyBorder="1" applyAlignment="1">
      <alignment vertical="center"/>
    </xf>
    <xf numFmtId="164" fontId="72" fillId="16" borderId="80" xfId="2" applyFont="1" applyFill="1" applyBorder="1" applyAlignment="1">
      <alignment horizontal="center" vertical="center"/>
    </xf>
    <xf numFmtId="171" fontId="64" fillId="18" borderId="90" xfId="0" applyNumberFormat="1" applyFont="1" applyFill="1" applyBorder="1" applyAlignment="1">
      <alignment horizontal="center" vertical="center"/>
    </xf>
    <xf numFmtId="164" fontId="12" fillId="10" borderId="39" xfId="2" applyFont="1" applyFill="1" applyBorder="1" applyAlignment="1">
      <alignment vertical="center"/>
    </xf>
    <xf numFmtId="171" fontId="22" fillId="10" borderId="104" xfId="0" applyNumberFormat="1" applyFont="1" applyFill="1" applyBorder="1" applyAlignment="1" applyProtection="1">
      <alignment horizontal="center" vertical="center"/>
    </xf>
    <xf numFmtId="164" fontId="78" fillId="0" borderId="37" xfId="2" applyFont="1" applyFill="1" applyBorder="1" applyAlignment="1">
      <alignment vertical="center"/>
    </xf>
    <xf numFmtId="164" fontId="79" fillId="19" borderId="37" xfId="2" applyFont="1" applyFill="1" applyBorder="1" applyAlignment="1">
      <alignment vertical="center"/>
    </xf>
    <xf numFmtId="164" fontId="80" fillId="0" borderId="0" xfId="2" applyFont="1" applyBorder="1" applyAlignment="1">
      <alignment vertical="center"/>
    </xf>
    <xf numFmtId="164" fontId="80" fillId="15" borderId="0" xfId="2" applyFont="1" applyFill="1" applyBorder="1" applyAlignment="1">
      <alignment vertical="center"/>
    </xf>
    <xf numFmtId="164" fontId="7" fillId="15" borderId="36" xfId="2" applyFont="1" applyFill="1" applyBorder="1" applyAlignment="1">
      <alignment vertical="center"/>
    </xf>
    <xf numFmtId="171" fontId="22" fillId="0" borderId="105" xfId="0" applyNumberFormat="1" applyFont="1" applyBorder="1" applyAlignment="1">
      <alignment vertical="center"/>
    </xf>
    <xf numFmtId="164" fontId="12" fillId="15" borderId="36" xfId="2" applyFont="1" applyFill="1" applyBorder="1" applyAlignment="1">
      <alignment vertical="center"/>
    </xf>
    <xf numFmtId="164" fontId="7" fillId="4" borderId="37" xfId="2" applyFont="1" applyFill="1" applyBorder="1" applyAlignment="1">
      <alignment vertical="center"/>
    </xf>
    <xf numFmtId="171" fontId="22" fillId="8" borderId="35" xfId="0" applyNumberFormat="1" applyFont="1" applyFill="1" applyBorder="1" applyAlignment="1">
      <alignment vertical="center"/>
    </xf>
    <xf numFmtId="171" fontId="12" fillId="3" borderId="35" xfId="0" applyNumberFormat="1" applyFont="1" applyFill="1" applyBorder="1" applyAlignment="1">
      <alignment vertical="center"/>
    </xf>
    <xf numFmtId="171" fontId="82" fillId="3" borderId="35" xfId="0" applyNumberFormat="1" applyFont="1" applyFill="1" applyBorder="1" applyAlignment="1">
      <alignment vertical="center"/>
    </xf>
    <xf numFmtId="171" fontId="82" fillId="4" borderId="35" xfId="0" applyNumberFormat="1" applyFont="1" applyFill="1" applyBorder="1" applyAlignment="1">
      <alignment vertical="center"/>
    </xf>
    <xf numFmtId="171" fontId="22" fillId="15" borderId="54" xfId="0" applyNumberFormat="1" applyFont="1" applyFill="1" applyBorder="1" applyAlignment="1">
      <alignment vertical="center"/>
    </xf>
    <xf numFmtId="164" fontId="7" fillId="15" borderId="0" xfId="2" applyFont="1" applyFill="1" applyBorder="1" applyAlignment="1">
      <alignment vertical="center"/>
    </xf>
    <xf numFmtId="164" fontId="12" fillId="0" borderId="36" xfId="2" applyFont="1" applyBorder="1" applyAlignment="1">
      <alignment vertical="center"/>
    </xf>
    <xf numFmtId="164" fontId="7" fillId="3" borderId="51" xfId="2" applyFont="1" applyFill="1" applyBorder="1" applyAlignment="1" applyProtection="1">
      <alignment horizontal="center" vertical="center"/>
    </xf>
    <xf numFmtId="164" fontId="22" fillId="15" borderId="0" xfId="2" applyFont="1" applyFill="1" applyBorder="1" applyAlignment="1">
      <alignment vertical="center"/>
    </xf>
    <xf numFmtId="171" fontId="64" fillId="18" borderId="96" xfId="0" applyNumberFormat="1" applyFont="1" applyFill="1" applyBorder="1" applyAlignment="1">
      <alignment horizontal="center" vertical="center"/>
    </xf>
    <xf numFmtId="164" fontId="72" fillId="16" borderId="6" xfId="2" applyFont="1" applyFill="1" applyBorder="1" applyAlignment="1">
      <alignment horizontal="center" vertical="center"/>
    </xf>
    <xf numFmtId="164" fontId="22" fillId="3" borderId="37" xfId="2" applyFont="1" applyFill="1" applyBorder="1" applyAlignment="1">
      <alignment vertical="center"/>
    </xf>
    <xf numFmtId="171" fontId="22" fillId="0" borderId="104" xfId="0" applyNumberFormat="1" applyFont="1" applyBorder="1" applyAlignment="1">
      <alignment vertical="center"/>
    </xf>
    <xf numFmtId="164" fontId="78" fillId="0" borderId="36" xfId="2" applyFont="1" applyBorder="1" applyAlignment="1">
      <alignment vertical="center"/>
    </xf>
    <xf numFmtId="171" fontId="82" fillId="3" borderId="16" xfId="0" applyNumberFormat="1" applyFont="1" applyFill="1" applyBorder="1" applyAlignment="1">
      <alignment vertical="center"/>
    </xf>
    <xf numFmtId="171" fontId="12" fillId="3" borderId="35" xfId="2" applyNumberFormat="1" applyFont="1" applyFill="1" applyBorder="1" applyAlignment="1">
      <alignment vertical="center"/>
    </xf>
    <xf numFmtId="164" fontId="12" fillId="4" borderId="16" xfId="2" applyFont="1" applyFill="1" applyBorder="1" applyAlignment="1">
      <alignment vertical="center"/>
    </xf>
    <xf numFmtId="171" fontId="12" fillId="3" borderId="16" xfId="2" applyNumberFormat="1" applyFont="1" applyFill="1" applyBorder="1" applyAlignment="1">
      <alignment vertical="center"/>
    </xf>
    <xf numFmtId="171" fontId="22" fillId="15" borderId="16" xfId="0" applyNumberFormat="1" applyFont="1" applyFill="1" applyBorder="1" applyAlignment="1">
      <alignment vertical="center"/>
    </xf>
    <xf numFmtId="171" fontId="82" fillId="3" borderId="104" xfId="0" applyNumberFormat="1" applyFont="1" applyFill="1" applyBorder="1" applyAlignment="1">
      <alignment vertical="center"/>
    </xf>
    <xf numFmtId="164" fontId="78" fillId="3" borderId="16" xfId="2" applyFont="1" applyFill="1" applyBorder="1" applyAlignment="1">
      <alignment vertical="center"/>
    </xf>
    <xf numFmtId="171" fontId="22" fillId="4" borderId="16" xfId="0" applyNumberFormat="1" applyFont="1" applyFill="1" applyBorder="1" applyAlignment="1">
      <alignment vertical="center"/>
    </xf>
    <xf numFmtId="164" fontId="12" fillId="16" borderId="5" xfId="2" applyFont="1" applyFill="1" applyBorder="1" applyAlignment="1">
      <alignment horizontal="right" vertical="center"/>
    </xf>
    <xf numFmtId="171" fontId="22" fillId="18" borderId="34" xfId="0" applyNumberFormat="1" applyFont="1" applyFill="1" applyBorder="1" applyAlignment="1">
      <alignment vertical="center"/>
    </xf>
    <xf numFmtId="164" fontId="12" fillId="16" borderId="34" xfId="2" applyFont="1" applyFill="1" applyBorder="1" applyAlignment="1">
      <alignment horizontal="right" vertical="center"/>
    </xf>
    <xf numFmtId="164" fontId="12" fillId="3" borderId="37" xfId="2" applyFont="1" applyFill="1" applyBorder="1" applyAlignment="1">
      <alignment horizontal="left" vertical="center"/>
    </xf>
    <xf numFmtId="169" fontId="75" fillId="0" borderId="34" xfId="0" applyNumberFormat="1" applyFont="1" applyFill="1" applyBorder="1" applyAlignment="1">
      <alignment vertical="center"/>
    </xf>
    <xf numFmtId="169" fontId="75" fillId="0" borderId="33" xfId="0" applyNumberFormat="1" applyFont="1" applyFill="1" applyBorder="1" applyAlignment="1">
      <alignment vertical="center"/>
    </xf>
    <xf numFmtId="167" fontId="16" fillId="0" borderId="36" xfId="2" applyNumberFormat="1" applyFont="1" applyBorder="1" applyAlignment="1">
      <alignment vertical="center"/>
    </xf>
    <xf numFmtId="169" fontId="75" fillId="0" borderId="16" xfId="0" applyNumberFormat="1" applyFont="1" applyFill="1" applyBorder="1" applyAlignment="1">
      <alignment vertical="center"/>
    </xf>
    <xf numFmtId="167" fontId="16" fillId="0" borderId="37" xfId="2" applyNumberFormat="1" applyFont="1" applyBorder="1" applyAlignment="1">
      <alignment vertical="center"/>
    </xf>
    <xf numFmtId="169" fontId="75" fillId="0" borderId="22" xfId="0" applyNumberFormat="1" applyFont="1" applyFill="1" applyBorder="1" applyAlignment="1">
      <alignment vertical="center"/>
    </xf>
    <xf numFmtId="167" fontId="16" fillId="0" borderId="39" xfId="2" applyNumberFormat="1" applyFont="1" applyBorder="1" applyAlignment="1">
      <alignment vertical="center"/>
    </xf>
    <xf numFmtId="164" fontId="2" fillId="0" borderId="39" xfId="2" applyFont="1" applyFill="1" applyBorder="1" applyAlignment="1">
      <alignment vertical="center"/>
    </xf>
    <xf numFmtId="171" fontId="22" fillId="3" borderId="15" xfId="2" applyNumberFormat="1" applyFont="1" applyFill="1" applyBorder="1" applyAlignment="1" applyProtection="1">
      <alignment horizontal="center" vertical="center"/>
    </xf>
    <xf numFmtId="1" fontId="10" fillId="0" borderId="0" xfId="0" applyNumberFormat="1" applyFont="1" applyBorder="1"/>
    <xf numFmtId="167" fontId="10" fillId="0" borderId="0" xfId="0" applyFont="1" applyBorder="1"/>
    <xf numFmtId="164" fontId="12" fillId="16" borderId="80" xfId="2" applyFont="1" applyFill="1" applyBorder="1" applyAlignment="1">
      <alignment horizontal="right" vertical="center"/>
    </xf>
    <xf numFmtId="164" fontId="78" fillId="21" borderId="36" xfId="2" applyFont="1" applyFill="1" applyBorder="1" applyAlignment="1">
      <alignment vertical="center"/>
    </xf>
    <xf numFmtId="171" fontId="22" fillId="21" borderId="105" xfId="0" applyNumberFormat="1" applyFont="1" applyFill="1" applyBorder="1" applyAlignment="1">
      <alignment vertical="center"/>
    </xf>
    <xf numFmtId="164" fontId="12" fillId="20" borderId="36" xfId="2" applyFont="1" applyFill="1" applyBorder="1" applyAlignment="1">
      <alignment vertical="center"/>
    </xf>
    <xf numFmtId="171" fontId="22" fillId="20" borderId="105" xfId="0" applyNumberFormat="1" applyFont="1" applyFill="1" applyBorder="1" applyAlignment="1">
      <alignment vertical="center"/>
    </xf>
    <xf numFmtId="164" fontId="12" fillId="4" borderId="39" xfId="2" applyFont="1" applyFill="1" applyBorder="1" applyAlignment="1">
      <alignment vertical="center"/>
    </xf>
    <xf numFmtId="164" fontId="81" fillId="15" borderId="39" xfId="2" applyFont="1" applyFill="1" applyBorder="1" applyAlignment="1">
      <alignment vertical="center"/>
    </xf>
    <xf numFmtId="167" fontId="10" fillId="0" borderId="0" xfId="0" applyNumberFormat="1" applyFont="1" applyBorder="1" applyAlignment="1">
      <alignment vertical="center"/>
    </xf>
    <xf numFmtId="171" fontId="22" fillId="15" borderId="105" xfId="0" applyNumberFormat="1" applyFont="1" applyFill="1" applyBorder="1" applyAlignment="1">
      <alignment vertical="center"/>
    </xf>
    <xf numFmtId="171" fontId="0" fillId="0" borderId="0" xfId="0" applyNumberFormat="1" applyBorder="1"/>
    <xf numFmtId="164" fontId="0" fillId="0" borderId="0" xfId="2" applyFont="1" applyBorder="1"/>
    <xf numFmtId="164" fontId="7" fillId="20" borderId="36" xfId="2" applyFont="1" applyFill="1" applyBorder="1" applyAlignment="1">
      <alignment vertical="center"/>
    </xf>
    <xf numFmtId="171" fontId="82" fillId="3" borderId="35" xfId="2" applyNumberFormat="1" applyFont="1" applyFill="1" applyBorder="1" applyAlignment="1">
      <alignment vertical="center"/>
    </xf>
    <xf numFmtId="164" fontId="12" fillId="3" borderId="37" xfId="2" applyFont="1" applyFill="1" applyBorder="1" applyAlignment="1">
      <alignment horizontal="center" vertical="center"/>
    </xf>
    <xf numFmtId="171" fontId="82" fillId="8" borderId="35" xfId="0" applyNumberFormat="1" applyFont="1" applyFill="1" applyBorder="1" applyAlignment="1">
      <alignment vertical="center"/>
    </xf>
    <xf numFmtId="164" fontId="7" fillId="3" borderId="36" xfId="2" applyFont="1" applyFill="1" applyBorder="1" applyAlignment="1">
      <alignment vertical="center"/>
    </xf>
    <xf numFmtId="164" fontId="12" fillId="50" borderId="37" xfId="2" applyFont="1" applyFill="1" applyBorder="1" applyAlignment="1">
      <alignment vertical="center"/>
    </xf>
    <xf numFmtId="171" fontId="22" fillId="50" borderId="35" xfId="0" applyNumberFormat="1" applyFont="1" applyFill="1" applyBorder="1" applyAlignment="1">
      <alignment vertical="center"/>
    </xf>
    <xf numFmtId="164" fontId="10" fillId="0" borderId="37" xfId="2" applyFont="1" applyBorder="1" applyAlignment="1">
      <alignment vertical="center"/>
    </xf>
    <xf numFmtId="171" fontId="22" fillId="0" borderId="105" xfId="2" applyNumberFormat="1" applyFont="1" applyBorder="1" applyAlignment="1">
      <alignment vertical="center"/>
    </xf>
    <xf numFmtId="164" fontId="78" fillId="15" borderId="36" xfId="2" applyFont="1" applyFill="1" applyBorder="1" applyAlignment="1">
      <alignment vertical="center"/>
    </xf>
    <xf numFmtId="164" fontId="7" fillId="0" borderId="36" xfId="2" applyFont="1" applyBorder="1" applyAlignment="1">
      <alignment vertical="center"/>
    </xf>
    <xf numFmtId="171" fontId="22" fillId="19" borderId="35" xfId="2" applyNumberFormat="1" applyFont="1" applyFill="1" applyBorder="1" applyAlignment="1">
      <alignment vertical="center"/>
    </xf>
    <xf numFmtId="167" fontId="3" fillId="0" borderId="0" xfId="0" applyFont="1" applyBorder="1"/>
    <xf numFmtId="167" fontId="78" fillId="0" borderId="0" xfId="0" applyNumberFormat="1" applyFont="1" applyBorder="1" applyAlignment="1">
      <alignment vertical="center"/>
    </xf>
    <xf numFmtId="167" fontId="78" fillId="0" borderId="0" xfId="0" applyNumberFormat="1" applyFont="1" applyAlignment="1">
      <alignment vertical="center"/>
    </xf>
    <xf numFmtId="171" fontId="22" fillId="20" borderId="95" xfId="0" applyNumberFormat="1" applyFont="1" applyFill="1" applyBorder="1" applyAlignment="1">
      <alignment vertical="center"/>
    </xf>
    <xf numFmtId="169" fontId="7" fillId="51" borderId="36" xfId="0" applyNumberFormat="1" applyFont="1" applyFill="1" applyBorder="1" applyAlignment="1">
      <alignment vertical="center"/>
    </xf>
    <xf numFmtId="171" fontId="7" fillId="51" borderId="36" xfId="0" applyNumberFormat="1" applyFont="1" applyFill="1" applyBorder="1" applyAlignment="1">
      <alignment vertical="center"/>
    </xf>
    <xf numFmtId="169" fontId="7" fillId="51" borderId="37" xfId="0" applyNumberFormat="1" applyFont="1" applyFill="1" applyBorder="1" applyAlignment="1">
      <alignment vertical="center"/>
    </xf>
    <xf numFmtId="171" fontId="7" fillId="51" borderId="37" xfId="0" applyNumberFormat="1" applyFont="1" applyFill="1" applyBorder="1" applyAlignment="1">
      <alignment vertical="center"/>
    </xf>
    <xf numFmtId="164" fontId="7" fillId="51" borderId="37" xfId="2" applyFont="1" applyFill="1" applyBorder="1" applyAlignment="1">
      <alignment vertical="center"/>
    </xf>
    <xf numFmtId="164" fontId="7" fillId="3" borderId="39" xfId="2" applyFont="1" applyFill="1" applyBorder="1" applyAlignment="1">
      <alignment vertical="center"/>
    </xf>
    <xf numFmtId="169" fontId="7" fillId="51" borderId="39" xfId="0" applyNumberFormat="1" applyFont="1" applyFill="1" applyBorder="1" applyAlignment="1">
      <alignment vertical="center"/>
    </xf>
    <xf numFmtId="171" fontId="7" fillId="51" borderId="39" xfId="0" applyNumberFormat="1" applyFont="1" applyFill="1" applyBorder="1" applyAlignment="1">
      <alignment vertical="center"/>
    </xf>
    <xf numFmtId="164" fontId="7" fillId="51" borderId="39" xfId="2" applyFont="1" applyFill="1" applyBorder="1" applyAlignment="1">
      <alignment vertical="center"/>
    </xf>
    <xf numFmtId="167" fontId="12" fillId="0" borderId="0" xfId="0" applyNumberFormat="1" applyFont="1" applyAlignment="1">
      <alignment vertical="center"/>
    </xf>
    <xf numFmtId="171" fontId="22" fillId="15" borderId="95" xfId="2" applyNumberFormat="1" applyFont="1" applyFill="1" applyBorder="1" applyAlignment="1">
      <alignment vertical="center"/>
    </xf>
    <xf numFmtId="169" fontId="83" fillId="51" borderId="37" xfId="0" applyNumberFormat="1" applyFont="1" applyFill="1" applyBorder="1" applyAlignment="1">
      <alignment vertical="center"/>
    </xf>
    <xf numFmtId="164" fontId="2" fillId="0" borderId="111" xfId="2" applyFont="1" applyFill="1" applyBorder="1" applyAlignment="1">
      <alignment vertical="center"/>
    </xf>
    <xf numFmtId="167" fontId="16" fillId="0" borderId="111" xfId="2" applyNumberFormat="1" applyFont="1" applyBorder="1" applyAlignment="1">
      <alignment vertical="center"/>
    </xf>
    <xf numFmtId="167" fontId="69" fillId="0" borderId="0" xfId="0" applyNumberFormat="1" applyFont="1" applyFill="1" applyBorder="1" applyAlignment="1">
      <alignment vertical="center"/>
    </xf>
    <xf numFmtId="167" fontId="75" fillId="0" borderId="36" xfId="0" applyNumberFormat="1" applyFont="1" applyFill="1" applyBorder="1" applyAlignment="1">
      <alignment vertical="center"/>
    </xf>
    <xf numFmtId="167" fontId="75" fillId="0" borderId="37" xfId="0" applyNumberFormat="1" applyFont="1" applyFill="1" applyBorder="1" applyAlignment="1">
      <alignment vertical="center"/>
    </xf>
    <xf numFmtId="167" fontId="75" fillId="0" borderId="39" xfId="0" applyNumberFormat="1" applyFont="1" applyFill="1" applyBorder="1" applyAlignment="1">
      <alignment vertical="center"/>
    </xf>
    <xf numFmtId="167" fontId="69" fillId="0" borderId="0" xfId="0" applyNumberFormat="1" applyFont="1" applyFill="1" applyAlignment="1">
      <alignment vertical="center"/>
    </xf>
    <xf numFmtId="167" fontId="70" fillId="0" borderId="0" xfId="0" applyFont="1" applyBorder="1"/>
    <xf numFmtId="171" fontId="22" fillId="0" borderId="0" xfId="2" applyNumberFormat="1" applyFont="1" applyBorder="1" applyAlignment="1">
      <alignment vertical="center"/>
    </xf>
    <xf numFmtId="164" fontId="72" fillId="0" borderId="37" xfId="2" applyFont="1" applyFill="1" applyBorder="1" applyAlignment="1">
      <alignment vertical="center"/>
    </xf>
    <xf numFmtId="164" fontId="65" fillId="15" borderId="37" xfId="2" applyFont="1" applyFill="1" applyBorder="1" applyAlignment="1">
      <alignment vertical="center"/>
    </xf>
    <xf numFmtId="167" fontId="12" fillId="0" borderId="0" xfId="0" applyNumberFormat="1" applyFont="1" applyBorder="1" applyAlignment="1">
      <alignment vertical="center"/>
    </xf>
    <xf numFmtId="164" fontId="78" fillId="3" borderId="112" xfId="2" applyFont="1" applyFill="1" applyBorder="1" applyAlignment="1">
      <alignment vertical="center"/>
    </xf>
    <xf numFmtId="164" fontId="12" fillId="3" borderId="112" xfId="2" applyFont="1" applyFill="1" applyBorder="1" applyAlignment="1">
      <alignment vertical="center"/>
    </xf>
    <xf numFmtId="164" fontId="78" fillId="0" borderId="50" xfId="2" applyFont="1" applyBorder="1" applyAlignment="1">
      <alignment vertical="center"/>
    </xf>
    <xf numFmtId="164" fontId="78" fillId="4" borderId="50" xfId="2" applyFont="1" applyFill="1" applyBorder="1" applyAlignment="1">
      <alignment vertical="center"/>
    </xf>
    <xf numFmtId="171" fontId="22" fillId="4" borderId="35" xfId="2" applyNumberFormat="1" applyFont="1" applyFill="1" applyBorder="1" applyAlignment="1">
      <alignment vertical="center"/>
    </xf>
    <xf numFmtId="164" fontId="78" fillId="19" borderId="50" xfId="2" applyFont="1" applyFill="1" applyBorder="1" applyAlignment="1">
      <alignment vertical="center"/>
    </xf>
    <xf numFmtId="164" fontId="81" fillId="15" borderId="50" xfId="2" applyFont="1" applyFill="1" applyBorder="1" applyAlignment="1">
      <alignment vertical="center"/>
    </xf>
    <xf numFmtId="171" fontId="22" fillId="0" borderId="35" xfId="2" applyNumberFormat="1" applyFont="1" applyFill="1" applyBorder="1" applyAlignment="1">
      <alignment vertical="center"/>
    </xf>
    <xf numFmtId="171" fontId="22" fillId="15" borderId="54" xfId="2" applyNumberFormat="1" applyFont="1" applyFill="1" applyBorder="1" applyAlignment="1">
      <alignment vertical="center"/>
    </xf>
    <xf numFmtId="164" fontId="12" fillId="3" borderId="36" xfId="2" applyFont="1" applyFill="1" applyBorder="1" applyAlignment="1">
      <alignment horizontal="center" vertical="center"/>
    </xf>
    <xf numFmtId="171" fontId="22" fillId="0" borderId="54" xfId="2" applyNumberFormat="1" applyFont="1" applyBorder="1" applyAlignment="1">
      <alignment vertical="center"/>
    </xf>
    <xf numFmtId="164" fontId="72" fillId="3" borderId="36" xfId="2" applyFont="1" applyFill="1" applyBorder="1" applyAlignment="1">
      <alignment vertical="center"/>
    </xf>
    <xf numFmtId="164" fontId="65" fillId="15" borderId="37" xfId="2" applyFont="1" applyFill="1" applyBorder="1" applyAlignment="1">
      <alignment horizontal="center" vertical="center"/>
    </xf>
    <xf numFmtId="164" fontId="0" fillId="0" borderId="37" xfId="2" applyFont="1" applyBorder="1" applyAlignment="1">
      <alignment vertical="center"/>
    </xf>
    <xf numFmtId="164" fontId="65" fillId="0" borderId="37" xfId="2" applyFont="1" applyFill="1" applyBorder="1" applyAlignment="1">
      <alignment vertical="center"/>
    </xf>
    <xf numFmtId="164" fontId="12" fillId="0" borderId="0" xfId="2" applyFont="1" applyBorder="1" applyAlignment="1">
      <alignment horizontal="center" vertical="center"/>
    </xf>
    <xf numFmtId="164" fontId="7" fillId="3" borderId="97" xfId="2" applyFont="1" applyFill="1" applyBorder="1" applyAlignment="1" applyProtection="1">
      <alignment horizontal="center" vertical="center"/>
    </xf>
    <xf numFmtId="171" fontId="22" fillId="0" borderId="113" xfId="2" applyNumberFormat="1" applyFont="1" applyBorder="1" applyAlignment="1">
      <alignment vertical="center"/>
    </xf>
    <xf numFmtId="171" fontId="22" fillId="0" borderId="98" xfId="2" applyNumberFormat="1" applyFont="1" applyBorder="1" applyAlignment="1">
      <alignment vertical="center"/>
    </xf>
    <xf numFmtId="171" fontId="22" fillId="0" borderId="37" xfId="2" applyNumberFormat="1" applyFont="1" applyBorder="1" applyAlignment="1">
      <alignment vertical="center"/>
    </xf>
    <xf numFmtId="164" fontId="7" fillId="0" borderId="50" xfId="2" applyFont="1" applyBorder="1" applyAlignment="1">
      <alignment vertical="center"/>
    </xf>
    <xf numFmtId="171" fontId="22" fillId="0" borderId="37" xfId="0" applyNumberFormat="1" applyFont="1" applyBorder="1" applyAlignment="1">
      <alignment vertical="center"/>
    </xf>
    <xf numFmtId="171" fontId="22" fillId="0" borderId="37" xfId="2" applyNumberFormat="1" applyFont="1" applyFill="1" applyBorder="1" applyAlignment="1">
      <alignment vertical="center"/>
    </xf>
    <xf numFmtId="164" fontId="7" fillId="0" borderId="37" xfId="2" applyFont="1" applyFill="1" applyBorder="1" applyAlignment="1">
      <alignment vertical="center"/>
    </xf>
    <xf numFmtId="164" fontId="3" fillId="0" borderId="0" xfId="2" applyFont="1" applyBorder="1" applyAlignment="1">
      <alignment vertical="center"/>
    </xf>
    <xf numFmtId="171" fontId="22" fillId="0" borderId="0" xfId="2" applyNumberFormat="1" applyFont="1" applyAlignment="1">
      <alignment vertical="center"/>
    </xf>
    <xf numFmtId="164" fontId="65" fillId="0" borderId="37" xfId="2" applyFont="1" applyBorder="1" applyAlignment="1">
      <alignment vertical="center"/>
    </xf>
    <xf numFmtId="171" fontId="22" fillId="3" borderId="104" xfId="0" applyNumberFormat="1" applyFont="1" applyFill="1" applyBorder="1" applyAlignment="1" applyProtection="1">
      <alignment horizontal="center" vertical="center"/>
    </xf>
    <xf numFmtId="167" fontId="76" fillId="0" borderId="0" xfId="2" applyNumberFormat="1" applyFont="1" applyBorder="1" applyAlignment="1">
      <alignment vertical="center"/>
    </xf>
    <xf numFmtId="167" fontId="12" fillId="0" borderId="0" xfId="0" applyNumberFormat="1" applyFont="1" applyBorder="1" applyAlignment="1">
      <alignment horizontal="center" vertical="center"/>
    </xf>
    <xf numFmtId="171" fontId="64" fillId="52" borderId="32" xfId="2" applyNumberFormat="1" applyFont="1" applyFill="1" applyBorder="1" applyAlignment="1">
      <alignment horizontal="center" vertical="center"/>
    </xf>
    <xf numFmtId="171" fontId="22" fillId="0" borderId="36" xfId="0" applyNumberFormat="1" applyFont="1" applyBorder="1" applyAlignment="1">
      <alignment vertical="center"/>
    </xf>
    <xf numFmtId="171" fontId="22" fillId="0" borderId="33" xfId="0" applyNumberFormat="1" applyFont="1" applyBorder="1" applyAlignment="1">
      <alignment vertical="center"/>
    </xf>
    <xf numFmtId="164" fontId="12" fillId="15" borderId="114" xfId="2" applyFont="1" applyFill="1" applyBorder="1" applyAlignment="1">
      <alignment vertical="center"/>
    </xf>
    <xf numFmtId="171" fontId="22" fillId="0" borderId="16" xfId="0" applyNumberFormat="1" applyFont="1" applyBorder="1" applyAlignment="1">
      <alignment vertical="center"/>
    </xf>
    <xf numFmtId="164" fontId="7" fillId="3" borderId="50" xfId="2" applyFont="1" applyFill="1" applyBorder="1" applyAlignment="1">
      <alignment vertical="center"/>
    </xf>
    <xf numFmtId="164" fontId="7" fillId="15" borderId="50" xfId="2" applyFont="1" applyFill="1" applyBorder="1" applyAlignment="1">
      <alignment vertical="center"/>
    </xf>
    <xf numFmtId="171" fontId="22" fillId="0" borderId="37" xfId="0" applyNumberFormat="1" applyFont="1" applyFill="1" applyBorder="1" applyAlignment="1">
      <alignment vertical="center"/>
    </xf>
    <xf numFmtId="171" fontId="22" fillId="0" borderId="16" xfId="0" applyNumberFormat="1" applyFont="1" applyFill="1" applyBorder="1" applyAlignment="1">
      <alignment vertical="center"/>
    </xf>
    <xf numFmtId="164" fontId="12" fillId="0" borderId="50" xfId="2" applyFont="1" applyFill="1" applyBorder="1" applyAlignment="1">
      <alignment horizontal="center" vertical="center"/>
    </xf>
    <xf numFmtId="164" fontId="12" fillId="3" borderId="50" xfId="2" applyFont="1" applyFill="1" applyBorder="1" applyAlignment="1">
      <alignment horizontal="center" vertical="center"/>
    </xf>
    <xf numFmtId="164" fontId="75" fillId="0" borderId="0" xfId="2" applyFont="1" applyFill="1" applyBorder="1" applyAlignment="1">
      <alignment vertical="center"/>
    </xf>
    <xf numFmtId="164" fontId="2" fillId="0" borderId="37" xfId="2" applyFont="1" applyBorder="1" applyAlignment="1">
      <alignment vertical="center"/>
    </xf>
    <xf numFmtId="164" fontId="2" fillId="0" borderId="39" xfId="2" applyFont="1" applyBorder="1" applyAlignment="1">
      <alignment vertical="center"/>
    </xf>
    <xf numFmtId="167" fontId="75" fillId="0" borderId="0" xfId="0" applyNumberFormat="1" applyFont="1" applyFill="1" applyBorder="1" applyAlignment="1">
      <alignment horizontal="center" vertical="center"/>
    </xf>
    <xf numFmtId="164" fontId="2" fillId="0" borderId="12" xfId="2" applyFont="1" applyBorder="1" applyAlignment="1">
      <alignment vertical="center"/>
    </xf>
    <xf numFmtId="164" fontId="2" fillId="0" borderId="14" xfId="2" applyFont="1" applyBorder="1" applyAlignment="1">
      <alignment vertical="center"/>
    </xf>
    <xf numFmtId="164" fontId="2" fillId="0" borderId="17" xfId="2" applyFont="1" applyBorder="1" applyAlignment="1">
      <alignment vertical="center"/>
    </xf>
    <xf numFmtId="164" fontId="2" fillId="0" borderId="19" xfId="2" applyFont="1" applyBorder="1" applyAlignment="1">
      <alignment vertical="center"/>
    </xf>
    <xf numFmtId="164" fontId="2" fillId="0" borderId="19" xfId="2" applyFont="1" applyFill="1" applyBorder="1" applyAlignment="1">
      <alignment vertical="center"/>
    </xf>
    <xf numFmtId="167" fontId="16" fillId="0" borderId="40" xfId="2" applyNumberFormat="1" applyFont="1" applyBorder="1" applyAlignment="1">
      <alignment vertical="center"/>
    </xf>
    <xf numFmtId="164" fontId="84" fillId="31" borderId="17" xfId="2" applyFont="1" applyFill="1" applyBorder="1" applyAlignment="1">
      <alignment vertical="center"/>
    </xf>
    <xf numFmtId="164" fontId="2" fillId="31" borderId="19" xfId="2" applyFont="1" applyFill="1" applyBorder="1" applyAlignment="1">
      <alignment vertical="center"/>
    </xf>
    <xf numFmtId="164" fontId="78" fillId="48" borderId="19" xfId="2" applyFont="1" applyFill="1" applyBorder="1" applyAlignment="1">
      <alignment vertical="center"/>
    </xf>
    <xf numFmtId="167" fontId="16" fillId="31" borderId="18" xfId="2" applyNumberFormat="1" applyFont="1" applyFill="1" applyBorder="1" applyAlignment="1">
      <alignment vertical="center"/>
    </xf>
    <xf numFmtId="164" fontId="2" fillId="31" borderId="17" xfId="2" applyFont="1" applyFill="1" applyBorder="1" applyAlignment="1">
      <alignment vertical="center"/>
    </xf>
    <xf numFmtId="164" fontId="2" fillId="0" borderId="30" xfId="2" applyFont="1" applyBorder="1" applyAlignment="1">
      <alignment vertical="center"/>
    </xf>
    <xf numFmtId="164" fontId="2" fillId="0" borderId="31" xfId="2" applyFont="1" applyBorder="1" applyAlignment="1">
      <alignment vertical="center"/>
    </xf>
    <xf numFmtId="167" fontId="16" fillId="0" borderId="18" xfId="2" applyNumberFormat="1" applyFont="1" applyBorder="1" applyAlignment="1">
      <alignment vertical="center"/>
    </xf>
    <xf numFmtId="1" fontId="10" fillId="0" borderId="0" xfId="0" applyNumberFormat="1" applyFont="1" applyBorder="1" applyAlignment="1">
      <alignment vertical="center"/>
    </xf>
    <xf numFmtId="0" fontId="8" fillId="8" borderId="21" xfId="0" applyNumberFormat="1" applyFont="1" applyFill="1" applyBorder="1" applyAlignment="1">
      <alignment horizontal="center" vertical="center"/>
    </xf>
    <xf numFmtId="1" fontId="8" fillId="8" borderId="24" xfId="0" applyNumberFormat="1" applyFont="1" applyFill="1" applyBorder="1" applyAlignment="1">
      <alignment vertical="center"/>
    </xf>
    <xf numFmtId="167" fontId="8" fillId="8" borderId="23" xfId="0" applyNumberFormat="1" applyFont="1" applyFill="1" applyBorder="1" applyAlignment="1">
      <alignment vertical="center"/>
    </xf>
    <xf numFmtId="167" fontId="8" fillId="8" borderId="20" xfId="0" applyNumberFormat="1" applyFont="1" applyFill="1" applyBorder="1" applyAlignment="1">
      <alignment horizontal="center" vertical="center"/>
    </xf>
    <xf numFmtId="0" fontId="8" fillId="8" borderId="20" xfId="0" applyNumberFormat="1" applyFont="1" applyFill="1" applyBorder="1" applyAlignment="1">
      <alignment horizontal="center" vertical="center"/>
    </xf>
    <xf numFmtId="164" fontId="12" fillId="19" borderId="50" xfId="2" applyFont="1" applyFill="1" applyBorder="1" applyAlignment="1">
      <alignment vertical="center"/>
    </xf>
    <xf numFmtId="171" fontId="22" fillId="0" borderId="98" xfId="2" applyNumberFormat="1" applyFont="1" applyFill="1" applyBorder="1" applyAlignment="1">
      <alignment vertical="center"/>
    </xf>
    <xf numFmtId="164" fontId="78" fillId="3" borderId="51" xfId="2" applyFont="1" applyFill="1" applyBorder="1" applyAlignment="1">
      <alignment vertical="center"/>
    </xf>
    <xf numFmtId="164" fontId="78" fillId="4" borderId="112" xfId="2" applyFont="1" applyFill="1" applyBorder="1" applyAlignment="1">
      <alignment vertical="center"/>
    </xf>
    <xf numFmtId="171" fontId="22" fillId="4" borderId="105" xfId="0" applyNumberFormat="1" applyFont="1" applyFill="1" applyBorder="1" applyAlignment="1">
      <alignment vertical="center"/>
    </xf>
    <xf numFmtId="164" fontId="12" fillId="4" borderId="112" xfId="2" applyFont="1" applyFill="1" applyBorder="1" applyAlignment="1">
      <alignment vertical="center"/>
    </xf>
    <xf numFmtId="171" fontId="22" fillId="4" borderId="105" xfId="2" applyNumberFormat="1" applyFont="1" applyFill="1" applyBorder="1" applyAlignment="1">
      <alignment vertical="center"/>
    </xf>
    <xf numFmtId="164" fontId="78" fillId="0" borderId="51" xfId="2" applyFont="1" applyBorder="1" applyAlignment="1">
      <alignment vertical="center"/>
    </xf>
    <xf numFmtId="164" fontId="12" fillId="0" borderId="51" xfId="2" applyFont="1" applyBorder="1" applyAlignment="1">
      <alignment vertical="center"/>
    </xf>
    <xf numFmtId="171" fontId="22" fillId="24" borderId="105" xfId="2" applyNumberFormat="1" applyFont="1" applyFill="1" applyBorder="1" applyAlignment="1">
      <alignment vertical="center"/>
    </xf>
    <xf numFmtId="164" fontId="12" fillId="24" borderId="112" xfId="2" applyFont="1" applyFill="1" applyBorder="1" applyAlignment="1">
      <alignment vertical="center"/>
    </xf>
    <xf numFmtId="171" fontId="22" fillId="10" borderId="95" xfId="2" applyNumberFormat="1" applyFont="1" applyFill="1" applyBorder="1" applyAlignment="1" applyProtection="1">
      <alignment horizontal="center" vertical="center"/>
    </xf>
    <xf numFmtId="164" fontId="78" fillId="8" borderId="50" xfId="2" applyFont="1" applyFill="1" applyBorder="1" applyAlignment="1">
      <alignment vertical="center"/>
    </xf>
    <xf numFmtId="164" fontId="81" fillId="15" borderId="51" xfId="2" applyFont="1" applyFill="1" applyBorder="1" applyAlignment="1">
      <alignment vertical="center"/>
    </xf>
    <xf numFmtId="171" fontId="22" fillId="15" borderId="98" xfId="2" applyNumberFormat="1" applyFont="1" applyFill="1" applyBorder="1" applyAlignment="1">
      <alignment vertical="center"/>
    </xf>
    <xf numFmtId="164" fontId="12" fillId="24" borderId="50" xfId="2" applyFont="1" applyFill="1" applyBorder="1" applyAlignment="1">
      <alignment vertical="center"/>
    </xf>
    <xf numFmtId="164" fontId="12" fillId="15" borderId="50" xfId="2" applyFont="1" applyFill="1" applyBorder="1" applyAlignment="1">
      <alignment vertical="center"/>
    </xf>
    <xf numFmtId="164" fontId="78" fillId="19" borderId="51" xfId="2" applyFont="1" applyFill="1" applyBorder="1" applyAlignment="1">
      <alignment vertical="center"/>
    </xf>
    <xf numFmtId="171" fontId="22" fillId="19" borderId="104" xfId="2" applyNumberFormat="1" applyFont="1" applyFill="1" applyBorder="1" applyAlignment="1">
      <alignment vertical="center"/>
    </xf>
    <xf numFmtId="164" fontId="12" fillId="19" borderId="51" xfId="2" applyFont="1" applyFill="1" applyBorder="1" applyAlignment="1">
      <alignment vertical="center"/>
    </xf>
    <xf numFmtId="164" fontId="78" fillId="3" borderId="97" xfId="2" applyFont="1" applyFill="1" applyBorder="1" applyAlignment="1">
      <alignment vertical="center"/>
    </xf>
    <xf numFmtId="171" fontId="22" fillId="15" borderId="0" xfId="2" applyNumberFormat="1" applyFont="1" applyFill="1" applyBorder="1" applyAlignment="1">
      <alignment vertical="center"/>
    </xf>
    <xf numFmtId="171" fontId="22" fillId="0" borderId="115" xfId="0" applyNumberFormat="1" applyFont="1" applyBorder="1" applyAlignment="1">
      <alignment vertical="center"/>
    </xf>
    <xf numFmtId="164" fontId="78" fillId="0" borderId="0" xfId="2" applyFont="1" applyBorder="1" applyAlignment="1">
      <alignment horizontal="center" vertical="center"/>
    </xf>
    <xf numFmtId="164" fontId="12" fillId="4" borderId="36" xfId="2" applyFont="1" applyFill="1" applyBorder="1" applyAlignment="1">
      <alignment vertical="center"/>
    </xf>
    <xf numFmtId="164" fontId="12" fillId="0" borderId="50" xfId="2" applyFont="1" applyBorder="1" applyAlignment="1">
      <alignment horizontal="center" vertical="center"/>
    </xf>
    <xf numFmtId="164" fontId="12" fillId="15" borderId="51" xfId="2" applyFont="1" applyFill="1" applyBorder="1" applyAlignment="1">
      <alignment vertical="center"/>
    </xf>
    <xf numFmtId="171" fontId="22" fillId="0" borderId="115" xfId="2" applyNumberFormat="1" applyFont="1" applyBorder="1" applyAlignment="1">
      <alignment vertical="center"/>
    </xf>
    <xf numFmtId="171" fontId="22" fillId="0" borderId="116" xfId="2" applyNumberFormat="1" applyFont="1" applyBorder="1" applyAlignment="1">
      <alignment vertical="center"/>
    </xf>
    <xf numFmtId="171" fontId="22" fillId="0" borderId="95" xfId="0" applyNumberFormat="1" applyFont="1" applyBorder="1" applyAlignment="1">
      <alignment vertical="center"/>
    </xf>
    <xf numFmtId="171" fontId="22" fillId="0" borderId="39" xfId="0" applyNumberFormat="1" applyFont="1" applyBorder="1" applyAlignment="1">
      <alignment vertical="center"/>
    </xf>
    <xf numFmtId="171" fontId="22" fillId="0" borderId="22" xfId="0" applyNumberFormat="1" applyFont="1" applyBorder="1" applyAlignment="1">
      <alignment vertical="center"/>
    </xf>
    <xf numFmtId="167" fontId="78" fillId="0" borderId="0" xfId="0" applyNumberFormat="1" applyFont="1" applyBorder="1" applyAlignment="1">
      <alignment horizontal="center" vertical="center"/>
    </xf>
    <xf numFmtId="164" fontId="12" fillId="15" borderId="99" xfId="2" applyFont="1" applyFill="1" applyBorder="1" applyAlignment="1">
      <alignment vertical="center"/>
    </xf>
    <xf numFmtId="164" fontId="12" fillId="34" borderId="50" xfId="2" applyFont="1" applyFill="1" applyBorder="1" applyAlignment="1">
      <alignment vertical="center"/>
    </xf>
    <xf numFmtId="164" fontId="12" fillId="15" borderId="117" xfId="2" applyFont="1" applyFill="1" applyBorder="1" applyAlignment="1">
      <alignment vertical="center"/>
    </xf>
    <xf numFmtId="171" fontId="22" fillId="15" borderId="118" xfId="0" applyNumberFormat="1" applyFont="1" applyFill="1" applyBorder="1" applyAlignment="1">
      <alignment vertical="center"/>
    </xf>
    <xf numFmtId="169" fontId="65" fillId="0" borderId="0" xfId="0" applyNumberFormat="1" applyFont="1" applyBorder="1" applyAlignment="1">
      <alignment vertical="center"/>
    </xf>
    <xf numFmtId="164" fontId="78" fillId="0" borderId="97" xfId="2" applyFont="1" applyBorder="1" applyAlignment="1">
      <alignment horizontal="center" vertical="center"/>
    </xf>
    <xf numFmtId="164" fontId="78" fillId="0" borderId="50" xfId="2" applyFont="1" applyBorder="1" applyAlignment="1">
      <alignment horizontal="center" vertical="center"/>
    </xf>
    <xf numFmtId="164" fontId="78" fillId="3" borderId="50" xfId="2" applyFont="1" applyFill="1" applyBorder="1" applyAlignment="1">
      <alignment horizontal="center" vertical="center"/>
    </xf>
    <xf numFmtId="164" fontId="2" fillId="0" borderId="119" xfId="2" applyFont="1" applyBorder="1" applyAlignment="1">
      <alignment vertical="center"/>
    </xf>
    <xf numFmtId="164" fontId="2" fillId="0" borderId="120" xfId="2" applyFont="1" applyBorder="1" applyAlignment="1">
      <alignment vertical="center"/>
    </xf>
    <xf numFmtId="164" fontId="2" fillId="0" borderId="20" xfId="2" applyFont="1" applyFill="1" applyBorder="1" applyAlignment="1">
      <alignment vertical="center"/>
    </xf>
    <xf numFmtId="167" fontId="16" fillId="0" borderId="24" xfId="2" applyNumberFormat="1" applyFont="1" applyBorder="1" applyAlignment="1">
      <alignment vertical="center"/>
    </xf>
    <xf numFmtId="171" fontId="0" fillId="0" borderId="0" xfId="0" applyNumberFormat="1" applyFont="1" applyBorder="1" applyAlignment="1">
      <alignment vertical="center"/>
    </xf>
    <xf numFmtId="171" fontId="22" fillId="34" borderId="35" xfId="0" applyNumberFormat="1" applyFont="1" applyFill="1" applyBorder="1" applyAlignment="1">
      <alignment vertical="center"/>
    </xf>
    <xf numFmtId="169" fontId="7" fillId="0" borderId="0" xfId="0" applyNumberFormat="1" applyFont="1" applyBorder="1" applyAlignment="1">
      <alignment vertical="center"/>
    </xf>
    <xf numFmtId="164" fontId="2" fillId="31" borderId="23" xfId="2" applyFont="1" applyFill="1" applyBorder="1" applyAlignment="1">
      <alignment vertical="center"/>
    </xf>
    <xf numFmtId="164" fontId="2" fillId="31" borderId="20" xfId="2" applyFont="1" applyFill="1" applyBorder="1" applyAlignment="1">
      <alignment vertical="center"/>
    </xf>
    <xf numFmtId="164" fontId="78" fillId="48" borderId="20" xfId="2" applyFont="1" applyFill="1" applyBorder="1" applyAlignment="1">
      <alignment vertical="center"/>
    </xf>
    <xf numFmtId="167" fontId="16" fillId="31" borderId="24" xfId="2" applyNumberFormat="1" applyFont="1" applyFill="1" applyBorder="1" applyAlignment="1">
      <alignment vertical="center"/>
    </xf>
    <xf numFmtId="171" fontId="64" fillId="0" borderId="0" xfId="0" applyNumberFormat="1" applyFont="1" applyBorder="1" applyAlignment="1">
      <alignment vertical="center"/>
    </xf>
    <xf numFmtId="169" fontId="75" fillId="0" borderId="0" xfId="0" applyNumberFormat="1" applyFont="1" applyFill="1" applyBorder="1" applyAlignment="1">
      <alignment vertical="center"/>
    </xf>
    <xf numFmtId="164" fontId="2" fillId="0" borderId="23" xfId="2" applyFont="1" applyBorder="1" applyAlignment="1">
      <alignment vertical="center"/>
    </xf>
    <xf numFmtId="164" fontId="2" fillId="0" borderId="20" xfId="2" applyFont="1" applyBorder="1" applyAlignment="1">
      <alignment vertical="center"/>
    </xf>
    <xf numFmtId="167" fontId="18" fillId="8" borderId="19" xfId="0" applyNumberFormat="1" applyFont="1" applyFill="1" applyBorder="1" applyAlignment="1">
      <alignment horizontal="center" vertical="center"/>
    </xf>
    <xf numFmtId="0" fontId="8" fillId="8" borderId="22" xfId="0" applyNumberFormat="1" applyFont="1" applyFill="1" applyBorder="1" applyAlignment="1">
      <alignment horizontal="center" vertical="center"/>
    </xf>
    <xf numFmtId="167" fontId="18" fillId="8" borderId="20" xfId="0" applyNumberFormat="1" applyFont="1" applyFill="1" applyBorder="1" applyAlignment="1">
      <alignment horizontal="center" vertical="center"/>
    </xf>
    <xf numFmtId="1" fontId="13" fillId="19" borderId="18" xfId="0" applyNumberFormat="1" applyFont="1" applyFill="1" applyBorder="1" applyAlignment="1">
      <alignment vertical="center"/>
    </xf>
    <xf numFmtId="167" fontId="16" fillId="53" borderId="19" xfId="0" applyNumberFormat="1" applyFont="1" applyFill="1" applyBorder="1" applyAlignment="1" applyProtection="1">
      <alignment horizontal="center" vertical="center"/>
    </xf>
    <xf numFmtId="1" fontId="6" fillId="4" borderId="18" xfId="0" applyNumberFormat="1" applyFont="1" applyFill="1" applyBorder="1" applyAlignment="1">
      <alignment vertical="center"/>
    </xf>
    <xf numFmtId="1" fontId="6" fillId="19" borderId="18" xfId="0" applyNumberFormat="1" applyFont="1" applyFill="1" applyBorder="1" applyAlignment="1">
      <alignment vertical="center"/>
    </xf>
    <xf numFmtId="0" fontId="16" fillId="3" borderId="21" xfId="0" applyNumberFormat="1" applyFont="1" applyFill="1" applyBorder="1" applyAlignment="1">
      <alignment horizontal="center" vertical="center" wrapText="1"/>
    </xf>
    <xf numFmtId="1" fontId="6" fillId="4" borderId="24" xfId="0" applyNumberFormat="1" applyFont="1" applyFill="1" applyBorder="1" applyAlignment="1">
      <alignment vertical="center"/>
    </xf>
    <xf numFmtId="167" fontId="8" fillId="3" borderId="23" xfId="0" applyNumberFormat="1" applyFont="1" applyFill="1" applyBorder="1" applyAlignment="1">
      <alignment horizontal="justify" vertical="center" wrapText="1"/>
    </xf>
    <xf numFmtId="0" fontId="8" fillId="3" borderId="20" xfId="0" applyNumberFormat="1" applyFont="1" applyFill="1" applyBorder="1" applyAlignment="1">
      <alignment horizontal="center" vertical="center" wrapText="1"/>
    </xf>
    <xf numFmtId="1" fontId="12" fillId="0" borderId="0" xfId="2" applyNumberFormat="1" applyFont="1" applyBorder="1" applyAlignment="1">
      <alignment vertical="center"/>
    </xf>
    <xf numFmtId="1" fontId="6" fillId="0" borderId="13" xfId="0" applyNumberFormat="1" applyFont="1" applyBorder="1" applyAlignment="1">
      <alignment vertical="center"/>
    </xf>
    <xf numFmtId="0" fontId="8" fillId="3" borderId="14" xfId="0" applyNumberFormat="1" applyFont="1" applyFill="1" applyBorder="1" applyAlignment="1">
      <alignment horizontal="center" vertical="center" wrapText="1"/>
    </xf>
    <xf numFmtId="165" fontId="19" fillId="4" borderId="19" xfId="0" applyNumberFormat="1" applyFont="1" applyFill="1" applyBorder="1" applyAlignment="1">
      <alignment horizontal="center" vertical="center"/>
    </xf>
    <xf numFmtId="164" fontId="12" fillId="0" borderId="0" xfId="2" applyFont="1" applyAlignment="1">
      <alignment vertical="center"/>
    </xf>
    <xf numFmtId="171" fontId="22" fillId="0" borderId="91" xfId="2" applyNumberFormat="1" applyFont="1" applyBorder="1" applyAlignment="1">
      <alignment vertical="center"/>
    </xf>
    <xf numFmtId="164" fontId="12" fillId="22" borderId="80" xfId="2" applyFont="1" applyFill="1" applyBorder="1" applyAlignment="1">
      <alignment horizontal="right" vertical="center"/>
    </xf>
    <xf numFmtId="164" fontId="12" fillId="8" borderId="50" xfId="2" applyFont="1" applyFill="1" applyBorder="1" applyAlignment="1">
      <alignment vertical="center"/>
    </xf>
    <xf numFmtId="164" fontId="85" fillId="0" borderId="50" xfId="2" applyFont="1" applyBorder="1" applyAlignment="1">
      <alignment vertical="center"/>
    </xf>
    <xf numFmtId="171" fontId="86" fillId="0" borderId="35" xfId="2" applyNumberFormat="1" applyFont="1" applyBorder="1" applyAlignment="1">
      <alignment vertical="center"/>
    </xf>
    <xf numFmtId="164" fontId="78" fillId="15" borderId="50" xfId="2" applyFont="1" applyFill="1" applyBorder="1" applyAlignment="1">
      <alignment vertical="center"/>
    </xf>
    <xf numFmtId="164" fontId="78" fillId="4" borderId="51" xfId="2" applyFont="1" applyFill="1" applyBorder="1" applyAlignment="1">
      <alignment vertical="center"/>
    </xf>
    <xf numFmtId="171" fontId="22" fillId="4" borderId="104" xfId="2" applyNumberFormat="1" applyFont="1" applyFill="1" applyBorder="1" applyAlignment="1">
      <alignment vertical="center"/>
    </xf>
    <xf numFmtId="164" fontId="12" fillId="4" borderId="51" xfId="2" applyFont="1" applyFill="1" applyBorder="1" applyAlignment="1">
      <alignment vertical="center"/>
    </xf>
    <xf numFmtId="164" fontId="78" fillId="22" borderId="0" xfId="2" applyFont="1" applyFill="1" applyAlignment="1">
      <alignment vertical="center"/>
    </xf>
    <xf numFmtId="164" fontId="78" fillId="0" borderId="94" xfId="2" applyFont="1" applyBorder="1" applyAlignment="1">
      <alignment vertical="center"/>
    </xf>
    <xf numFmtId="171" fontId="22" fillId="3" borderId="95" xfId="2" applyNumberFormat="1" applyFont="1" applyFill="1" applyBorder="1" applyAlignment="1" applyProtection="1">
      <alignment horizontal="center" vertical="center"/>
    </xf>
    <xf numFmtId="171" fontId="22" fillId="15" borderId="115" xfId="0" applyNumberFormat="1" applyFont="1" applyFill="1" applyBorder="1" applyAlignment="1">
      <alignment vertical="center"/>
    </xf>
    <xf numFmtId="171" fontId="22" fillId="0" borderId="92" xfId="2" applyNumberFormat="1" applyFont="1" applyBorder="1" applyAlignment="1">
      <alignment vertical="center"/>
    </xf>
    <xf numFmtId="164" fontId="76" fillId="4" borderId="112" xfId="2" applyFont="1" applyFill="1" applyBorder="1" applyAlignment="1">
      <alignment vertical="center"/>
    </xf>
    <xf numFmtId="171" fontId="87" fillId="4" borderId="105" xfId="0" applyNumberFormat="1" applyFont="1" applyFill="1" applyBorder="1" applyAlignment="1">
      <alignment vertical="center"/>
    </xf>
    <xf numFmtId="164" fontId="72" fillId="4" borderId="112" xfId="2" applyFont="1" applyFill="1" applyBorder="1" applyAlignment="1">
      <alignment vertical="center"/>
    </xf>
    <xf numFmtId="171" fontId="22" fillId="0" borderId="16" xfId="2" applyNumberFormat="1" applyFont="1" applyBorder="1" applyAlignment="1">
      <alignment vertical="center"/>
    </xf>
    <xf numFmtId="171" fontId="88" fillId="0" borderId="35" xfId="2" applyNumberFormat="1" applyFont="1" applyBorder="1" applyAlignment="1">
      <alignment vertical="center"/>
    </xf>
    <xf numFmtId="164" fontId="89" fillId="3" borderId="50" xfId="2" applyFont="1" applyFill="1" applyBorder="1" applyAlignment="1">
      <alignment vertical="center"/>
    </xf>
    <xf numFmtId="171" fontId="90" fillId="3" borderId="35" xfId="2" applyNumberFormat="1" applyFont="1" applyFill="1" applyBorder="1" applyAlignment="1">
      <alignment vertical="center"/>
    </xf>
    <xf numFmtId="164" fontId="85" fillId="4" borderId="50" xfId="2" applyFont="1" applyFill="1" applyBorder="1" applyAlignment="1">
      <alignment vertical="center"/>
    </xf>
    <xf numFmtId="164" fontId="91" fillId="3" borderId="50" xfId="2" applyFont="1" applyFill="1" applyBorder="1" applyAlignment="1">
      <alignment vertical="center"/>
    </xf>
    <xf numFmtId="171" fontId="88" fillId="3" borderId="35" xfId="0" applyNumberFormat="1" applyFont="1" applyFill="1" applyBorder="1" applyAlignment="1">
      <alignment vertical="center"/>
    </xf>
    <xf numFmtId="164" fontId="85" fillId="0" borderId="37" xfId="2" applyFont="1" applyBorder="1" applyAlignment="1">
      <alignment vertical="center"/>
    </xf>
    <xf numFmtId="171" fontId="85" fillId="0" borderId="35" xfId="2" applyNumberFormat="1" applyFont="1" applyBorder="1" applyAlignment="1">
      <alignment vertical="center"/>
    </xf>
    <xf numFmtId="171" fontId="22" fillId="0" borderId="121" xfId="0" applyNumberFormat="1" applyFont="1" applyBorder="1" applyAlignment="1">
      <alignment vertical="center"/>
    </xf>
    <xf numFmtId="164" fontId="91" fillId="4" borderId="50" xfId="2" applyFont="1" applyFill="1" applyBorder="1" applyAlignment="1">
      <alignment vertical="center"/>
    </xf>
    <xf numFmtId="171" fontId="88" fillId="4" borderId="35" xfId="2" applyNumberFormat="1" applyFont="1" applyFill="1" applyBorder="1" applyAlignment="1">
      <alignment vertical="center"/>
    </xf>
    <xf numFmtId="171" fontId="88" fillId="4" borderId="35" xfId="0" applyNumberFormat="1" applyFont="1" applyFill="1" applyBorder="1" applyAlignment="1">
      <alignment vertical="center"/>
    </xf>
    <xf numFmtId="171" fontId="85" fillId="4" borderId="35" xfId="2" applyNumberFormat="1" applyFont="1" applyFill="1" applyBorder="1" applyAlignment="1">
      <alignment vertical="center"/>
    </xf>
    <xf numFmtId="164" fontId="85" fillId="4" borderId="37" xfId="2" applyFont="1" applyFill="1" applyBorder="1" applyAlignment="1">
      <alignment vertical="center"/>
    </xf>
    <xf numFmtId="171" fontId="85" fillId="3" borderId="35" xfId="2" applyNumberFormat="1" applyFont="1" applyFill="1" applyBorder="1" applyAlignment="1">
      <alignment vertical="center"/>
    </xf>
    <xf numFmtId="164" fontId="91" fillId="0" borderId="50" xfId="2" applyFont="1" applyBorder="1" applyAlignment="1">
      <alignment vertical="center"/>
    </xf>
    <xf numFmtId="164" fontId="85" fillId="0" borderId="50" xfId="2" applyFont="1" applyBorder="1" applyAlignment="1">
      <alignment horizontal="center" vertical="center"/>
    </xf>
    <xf numFmtId="164" fontId="91" fillId="0" borderId="50" xfId="2" applyFont="1" applyFill="1" applyBorder="1" applyAlignment="1">
      <alignment vertical="center"/>
    </xf>
    <xf numFmtId="171" fontId="88" fillId="0" borderId="35" xfId="0" applyNumberFormat="1" applyFont="1" applyFill="1" applyBorder="1" applyAlignment="1">
      <alignment vertical="center"/>
    </xf>
    <xf numFmtId="164" fontId="85" fillId="4" borderId="51" xfId="2" applyFont="1" applyFill="1" applyBorder="1" applyAlignment="1">
      <alignment vertical="center"/>
    </xf>
    <xf numFmtId="171" fontId="85" fillId="4" borderId="104" xfId="2" applyNumberFormat="1" applyFont="1" applyFill="1" applyBorder="1" applyAlignment="1">
      <alignment vertical="center"/>
    </xf>
    <xf numFmtId="164" fontId="12" fillId="3" borderId="114" xfId="2" applyFont="1" applyFill="1" applyBorder="1" applyAlignment="1">
      <alignment vertical="center"/>
    </xf>
    <xf numFmtId="167" fontId="12" fillId="15" borderId="0" xfId="0" applyNumberFormat="1" applyFont="1" applyFill="1" applyBorder="1" applyAlignment="1">
      <alignment vertical="center"/>
    </xf>
    <xf numFmtId="164" fontId="12" fillId="4" borderId="112" xfId="2" applyFont="1" applyFill="1" applyBorder="1" applyAlignment="1">
      <alignment horizontal="center" vertical="center"/>
    </xf>
    <xf numFmtId="164" fontId="78" fillId="0" borderId="53" xfId="2" applyFont="1" applyBorder="1" applyAlignment="1">
      <alignment vertical="center"/>
    </xf>
    <xf numFmtId="164" fontId="12" fillId="22" borderId="3" xfId="2" applyFont="1" applyFill="1" applyBorder="1" applyAlignment="1">
      <alignment horizontal="right" vertical="center"/>
    </xf>
    <xf numFmtId="171" fontId="22" fillId="18" borderId="32" xfId="0" applyNumberFormat="1" applyFont="1" applyFill="1" applyBorder="1" applyAlignment="1">
      <alignment vertical="center"/>
    </xf>
    <xf numFmtId="164" fontId="12" fillId="22" borderId="32" xfId="2" applyFont="1" applyFill="1" applyBorder="1" applyAlignment="1">
      <alignment horizontal="right" vertical="center"/>
    </xf>
    <xf numFmtId="164" fontId="12" fillId="0" borderId="97" xfId="2" applyFont="1" applyBorder="1" applyAlignment="1">
      <alignment vertical="center"/>
    </xf>
    <xf numFmtId="171" fontId="22" fillId="0" borderId="94" xfId="0" applyNumberFormat="1" applyFont="1" applyBorder="1" applyAlignment="1">
      <alignment vertical="center"/>
    </xf>
    <xf numFmtId="164" fontId="12" fillId="0" borderId="94" xfId="2" applyFont="1" applyBorder="1" applyAlignment="1">
      <alignment vertical="center"/>
    </xf>
    <xf numFmtId="164" fontId="12" fillId="0" borderId="99" xfId="2" applyFont="1" applyBorder="1" applyAlignment="1">
      <alignment vertical="center"/>
    </xf>
    <xf numFmtId="171" fontId="90" fillId="0" borderId="35" xfId="0" applyNumberFormat="1" applyFont="1" applyBorder="1" applyAlignment="1">
      <alignment vertical="center"/>
    </xf>
    <xf numFmtId="164" fontId="12" fillId="0" borderId="37" xfId="2" applyFont="1" applyBorder="1" applyAlignment="1">
      <alignment horizontal="center" vertical="center"/>
    </xf>
    <xf numFmtId="171" fontId="88" fillId="0" borderId="35" xfId="0" applyNumberFormat="1" applyFont="1" applyBorder="1" applyAlignment="1">
      <alignment vertical="center"/>
    </xf>
    <xf numFmtId="164" fontId="85" fillId="0" borderId="99" xfId="2" applyFont="1" applyBorder="1" applyAlignment="1">
      <alignment vertical="center"/>
    </xf>
    <xf numFmtId="164" fontId="85" fillId="4" borderId="99" xfId="2" applyFont="1" applyFill="1" applyBorder="1" applyAlignment="1">
      <alignment vertical="center"/>
    </xf>
    <xf numFmtId="164" fontId="92" fillId="0" borderId="99" xfId="2" applyFont="1" applyBorder="1" applyAlignment="1">
      <alignment vertical="center"/>
    </xf>
    <xf numFmtId="167" fontId="75" fillId="0" borderId="0" xfId="0" applyNumberFormat="1" applyFont="1" applyFill="1" applyBorder="1" applyAlignment="1">
      <alignment vertical="center"/>
    </xf>
    <xf numFmtId="169" fontId="75" fillId="0" borderId="0" xfId="2" applyNumberFormat="1" applyFont="1" applyFill="1" applyBorder="1" applyAlignment="1">
      <alignment vertical="center"/>
    </xf>
    <xf numFmtId="164" fontId="75" fillId="0" borderId="0" xfId="2" applyFont="1" applyFill="1" applyAlignment="1">
      <alignment vertical="center"/>
    </xf>
    <xf numFmtId="171" fontId="22" fillId="0" borderId="122" xfId="0" applyNumberFormat="1" applyFont="1" applyBorder="1" applyAlignment="1">
      <alignment vertical="center"/>
    </xf>
    <xf numFmtId="164" fontId="2" fillId="4" borderId="123" xfId="2" applyFont="1" applyFill="1" applyBorder="1" applyAlignment="1">
      <alignment horizontal="right" vertical="center"/>
    </xf>
    <xf numFmtId="164" fontId="5" fillId="4" borderId="124" xfId="2" applyFont="1" applyFill="1" applyBorder="1" applyAlignment="1">
      <alignment horizontal="right" vertical="center"/>
    </xf>
    <xf numFmtId="164" fontId="2" fillId="4" borderId="124" xfId="2" applyFont="1" applyFill="1" applyBorder="1" applyAlignment="1">
      <alignment vertical="center"/>
    </xf>
    <xf numFmtId="167" fontId="16" fillId="4" borderId="95" xfId="2" applyNumberFormat="1" applyFont="1" applyFill="1" applyBorder="1" applyAlignment="1">
      <alignment vertical="center"/>
    </xf>
    <xf numFmtId="164" fontId="2" fillId="0" borderId="99" xfId="2" applyFont="1" applyBorder="1" applyAlignment="1">
      <alignment vertical="center"/>
    </xf>
    <xf numFmtId="164" fontId="2" fillId="0" borderId="125" xfId="2" applyFont="1" applyBorder="1" applyAlignment="1">
      <alignment vertical="center"/>
    </xf>
    <xf numFmtId="164" fontId="2" fillId="0" borderId="125" xfId="2" applyFont="1" applyFill="1" applyBorder="1" applyAlignment="1">
      <alignment vertical="center"/>
    </xf>
    <xf numFmtId="167" fontId="16" fillId="0" borderId="35" xfId="2" applyNumberFormat="1" applyFont="1" applyBorder="1" applyAlignment="1">
      <alignment vertical="center"/>
    </xf>
    <xf numFmtId="164" fontId="16" fillId="0" borderId="37" xfId="2" applyFont="1" applyBorder="1" applyAlignment="1">
      <alignment vertical="center"/>
    </xf>
    <xf numFmtId="171" fontId="16" fillId="0" borderId="37" xfId="2" applyNumberFormat="1" applyFont="1" applyBorder="1" applyAlignment="1">
      <alignment vertical="center"/>
    </xf>
    <xf numFmtId="164" fontId="2" fillId="8" borderId="99" xfId="2" applyFont="1" applyFill="1" applyBorder="1" applyAlignment="1">
      <alignment vertical="center"/>
    </xf>
    <xf numFmtId="164" fontId="2" fillId="8" borderId="125" xfId="2" applyFont="1" applyFill="1" applyBorder="1" applyAlignment="1">
      <alignment vertical="center"/>
    </xf>
    <xf numFmtId="164" fontId="16" fillId="0" borderId="121" xfId="2" applyFont="1" applyBorder="1" applyAlignment="1">
      <alignment vertical="center"/>
    </xf>
    <xf numFmtId="171" fontId="16" fillId="0" borderId="35" xfId="2" applyNumberFormat="1" applyFont="1" applyBorder="1" applyAlignment="1">
      <alignment vertical="center"/>
    </xf>
    <xf numFmtId="164" fontId="2" fillId="4" borderId="99" xfId="2" applyFont="1" applyFill="1" applyBorder="1" applyAlignment="1">
      <alignment vertical="center"/>
    </xf>
    <xf numFmtId="164" fontId="2" fillId="4" borderId="125" xfId="2" applyFont="1" applyFill="1" applyBorder="1" applyAlignment="1">
      <alignment vertical="center"/>
    </xf>
    <xf numFmtId="167" fontId="16" fillId="4" borderId="35" xfId="2" applyNumberFormat="1" applyFont="1" applyFill="1" applyBorder="1" applyAlignment="1">
      <alignment vertical="center"/>
    </xf>
    <xf numFmtId="171" fontId="22" fillId="0" borderId="126" xfId="0" applyNumberFormat="1" applyFont="1" applyBorder="1" applyAlignment="1">
      <alignment vertical="center"/>
    </xf>
    <xf numFmtId="164" fontId="2" fillId="0" borderId="127" xfId="2" applyFont="1" applyBorder="1" applyAlignment="1">
      <alignment vertical="center"/>
    </xf>
    <xf numFmtId="164" fontId="2" fillId="0" borderId="128" xfId="2" applyFont="1" applyBorder="1" applyAlignment="1">
      <alignment vertical="center"/>
    </xf>
    <xf numFmtId="164" fontId="2" fillId="0" borderId="128" xfId="2" applyFont="1" applyFill="1" applyBorder="1" applyAlignment="1">
      <alignment vertical="center"/>
    </xf>
    <xf numFmtId="167" fontId="16" fillId="0" borderId="104" xfId="2" applyNumberFormat="1" applyFont="1" applyBorder="1" applyAlignment="1">
      <alignment vertical="center"/>
    </xf>
    <xf numFmtId="164" fontId="16" fillId="0" borderId="126" xfId="2" applyFont="1" applyBorder="1" applyAlignment="1">
      <alignment vertical="center"/>
    </xf>
    <xf numFmtId="171" fontId="16" fillId="0" borderId="104" xfId="2" applyNumberFormat="1" applyFont="1" applyBorder="1" applyAlignment="1">
      <alignment vertical="center"/>
    </xf>
    <xf numFmtId="164" fontId="2" fillId="4" borderId="125" xfId="2" applyFont="1" applyFill="1" applyBorder="1" applyAlignment="1">
      <alignment horizontal="right" vertical="center"/>
    </xf>
    <xf numFmtId="167" fontId="16" fillId="0" borderId="125" xfId="2" applyNumberFormat="1" applyFont="1" applyBorder="1" applyAlignment="1">
      <alignment vertical="center"/>
    </xf>
    <xf numFmtId="171" fontId="0" fillId="0" borderId="0" xfId="0" applyNumberFormat="1" applyFont="1" applyAlignment="1">
      <alignment vertical="center"/>
    </xf>
    <xf numFmtId="164" fontId="0" fillId="24" borderId="0" xfId="2" applyFont="1" applyFill="1" applyAlignment="1">
      <alignment vertical="center"/>
    </xf>
    <xf numFmtId="171" fontId="0" fillId="24" borderId="0" xfId="0" applyNumberFormat="1" applyFont="1" applyFill="1" applyAlignment="1">
      <alignment vertical="center"/>
    </xf>
    <xf numFmtId="167" fontId="0" fillId="3" borderId="0" xfId="0" applyNumberFormat="1" applyFont="1" applyFill="1" applyAlignment="1">
      <alignment vertical="center"/>
    </xf>
    <xf numFmtId="171" fontId="0" fillId="3" borderId="0" xfId="0" applyNumberFormat="1" applyFont="1" applyFill="1" applyAlignment="1">
      <alignment vertical="center"/>
    </xf>
    <xf numFmtId="167" fontId="0" fillId="54" borderId="0" xfId="0" applyNumberFormat="1" applyFont="1" applyFill="1" applyAlignment="1">
      <alignment vertical="center"/>
    </xf>
    <xf numFmtId="171" fontId="0" fillId="54" borderId="0" xfId="0" applyNumberFormat="1" applyFont="1" applyFill="1" applyAlignment="1">
      <alignment vertical="center"/>
    </xf>
    <xf numFmtId="164" fontId="93" fillId="52" borderId="32" xfId="2" applyFont="1" applyFill="1" applyBorder="1" applyAlignment="1">
      <alignment horizontal="center" vertical="center"/>
    </xf>
    <xf numFmtId="164" fontId="12" fillId="3" borderId="123" xfId="2" applyFont="1" applyFill="1" applyBorder="1" applyAlignment="1">
      <alignment vertical="center"/>
    </xf>
    <xf numFmtId="171" fontId="92" fillId="4" borderId="95" xfId="2" applyNumberFormat="1" applyFont="1" applyFill="1" applyBorder="1" applyAlignment="1">
      <alignment horizontal="right" vertical="center"/>
    </xf>
    <xf numFmtId="164" fontId="72" fillId="3" borderId="123" xfId="2" applyFont="1" applyFill="1" applyBorder="1" applyAlignment="1">
      <alignment vertical="center"/>
    </xf>
    <xf numFmtId="171" fontId="94" fillId="4" borderId="95" xfId="0" applyNumberFormat="1" applyFont="1" applyFill="1" applyBorder="1" applyAlignment="1">
      <alignment horizontal="right" vertical="center"/>
    </xf>
    <xf numFmtId="164" fontId="72" fillId="3" borderId="129" xfId="2" applyFont="1" applyFill="1" applyBorder="1" applyAlignment="1">
      <alignment vertical="center"/>
    </xf>
    <xf numFmtId="171" fontId="16" fillId="0" borderId="16" xfId="2" applyNumberFormat="1" applyFont="1" applyBorder="1" applyAlignment="1">
      <alignment vertical="center"/>
    </xf>
    <xf numFmtId="171" fontId="12" fillId="0" borderId="35" xfId="0" applyNumberFormat="1" applyFont="1" applyBorder="1" applyAlignment="1">
      <alignment horizontal="right" vertical="center"/>
    </xf>
    <xf numFmtId="171" fontId="12" fillId="0" borderId="35" xfId="0" applyNumberFormat="1" applyFont="1" applyBorder="1" applyAlignment="1">
      <alignment vertical="center"/>
    </xf>
    <xf numFmtId="164" fontId="12" fillId="15" borderId="121" xfId="2" applyFont="1" applyFill="1" applyBorder="1" applyAlignment="1">
      <alignment vertical="center"/>
    </xf>
    <xf numFmtId="171" fontId="16" fillId="0" borderId="98" xfId="2" applyNumberFormat="1" applyFont="1" applyBorder="1" applyAlignment="1">
      <alignment vertical="center"/>
    </xf>
    <xf numFmtId="164" fontId="12" fillId="3" borderId="99" xfId="2" applyFont="1" applyFill="1" applyBorder="1" applyAlignment="1">
      <alignment vertical="center"/>
    </xf>
    <xf numFmtId="171" fontId="12" fillId="4" borderId="35" xfId="2" applyNumberFormat="1" applyFont="1" applyFill="1" applyBorder="1" applyAlignment="1">
      <alignment horizontal="right" vertical="center"/>
    </xf>
    <xf numFmtId="164" fontId="85" fillId="3" borderId="99" xfId="2" applyFont="1" applyFill="1" applyBorder="1" applyAlignment="1">
      <alignment vertical="center"/>
    </xf>
    <xf numFmtId="171" fontId="85" fillId="4" borderId="35" xfId="0" applyNumberFormat="1" applyFont="1" applyFill="1" applyBorder="1" applyAlignment="1">
      <alignment vertical="center"/>
    </xf>
    <xf numFmtId="164" fontId="12" fillId="3" borderId="121" xfId="2" applyFont="1" applyFill="1" applyBorder="1" applyAlignment="1">
      <alignment vertical="center"/>
    </xf>
    <xf numFmtId="171" fontId="12" fillId="4" borderId="35" xfId="0" applyNumberFormat="1" applyFont="1" applyFill="1" applyBorder="1" applyAlignment="1">
      <alignment horizontal="right" vertical="center"/>
    </xf>
    <xf numFmtId="164" fontId="85" fillId="15" borderId="99" xfId="2" applyFont="1" applyFill="1" applyBorder="1" applyAlignment="1">
      <alignment vertical="center"/>
    </xf>
    <xf numFmtId="171" fontId="85" fillId="0" borderId="35" xfId="0" applyNumberFormat="1" applyFont="1" applyBorder="1" applyAlignment="1">
      <alignment vertical="center"/>
    </xf>
    <xf numFmtId="171" fontId="85" fillId="4" borderId="35" xfId="0" applyNumberFormat="1" applyFont="1" applyFill="1" applyBorder="1" applyAlignment="1">
      <alignment horizontal="right" vertical="center"/>
    </xf>
    <xf numFmtId="164" fontId="92" fillId="3" borderId="99" xfId="2" applyFont="1" applyFill="1" applyBorder="1" applyAlignment="1">
      <alignment vertical="center"/>
    </xf>
    <xf numFmtId="171" fontId="92" fillId="4" borderId="35" xfId="0" applyNumberFormat="1" applyFont="1" applyFill="1" applyBorder="1" applyAlignment="1">
      <alignment vertical="center"/>
    </xf>
    <xf numFmtId="171" fontId="85" fillId="0" borderId="35" xfId="0" applyNumberFormat="1" applyFont="1" applyBorder="1" applyAlignment="1">
      <alignment horizontal="right" vertical="center"/>
    </xf>
    <xf numFmtId="171" fontId="12" fillId="0" borderId="104" xfId="0" applyNumberFormat="1" applyFont="1" applyBorder="1" applyAlignment="1">
      <alignment vertical="center"/>
    </xf>
    <xf numFmtId="171" fontId="92" fillId="4" borderId="35" xfId="0" applyNumberFormat="1" applyFont="1" applyFill="1" applyBorder="1" applyAlignment="1">
      <alignment horizontal="right" vertical="center"/>
    </xf>
    <xf numFmtId="171" fontId="90" fillId="4" borderId="35" xfId="0" applyNumberFormat="1" applyFont="1" applyFill="1" applyBorder="1" applyAlignment="1">
      <alignment vertical="center"/>
    </xf>
    <xf numFmtId="164" fontId="92" fillId="15" borderId="99" xfId="2" applyFont="1" applyFill="1" applyBorder="1" applyAlignment="1">
      <alignment vertical="center"/>
    </xf>
    <xf numFmtId="171" fontId="92" fillId="0" borderId="35" xfId="0" applyNumberFormat="1" applyFont="1" applyBorder="1" applyAlignment="1">
      <alignment vertical="center"/>
    </xf>
    <xf numFmtId="171" fontId="92" fillId="0" borderId="35" xfId="0" applyNumberFormat="1" applyFont="1" applyBorder="1" applyAlignment="1">
      <alignment horizontal="right" vertical="center"/>
    </xf>
    <xf numFmtId="171" fontId="16" fillId="0" borderId="115" xfId="2" applyNumberFormat="1" applyFont="1" applyBorder="1" applyAlignment="1">
      <alignment vertical="center"/>
    </xf>
    <xf numFmtId="164" fontId="12" fillId="15" borderId="127" xfId="2" applyFont="1" applyFill="1" applyBorder="1" applyAlignment="1">
      <alignment vertical="center"/>
    </xf>
    <xf numFmtId="171" fontId="12" fillId="0" borderId="104" xfId="0" applyNumberFormat="1" applyFont="1" applyBorder="1" applyAlignment="1">
      <alignment horizontal="right" vertical="center"/>
    </xf>
    <xf numFmtId="164" fontId="85" fillId="15" borderId="127" xfId="2" applyFont="1" applyFill="1" applyBorder="1" applyAlignment="1">
      <alignment vertical="center"/>
    </xf>
    <xf numFmtId="171" fontId="85" fillId="0" borderId="104" xfId="0" applyNumberFormat="1" applyFont="1" applyBorder="1" applyAlignment="1">
      <alignment horizontal="right" vertical="center"/>
    </xf>
    <xf numFmtId="167" fontId="70" fillId="0" borderId="0" xfId="0" applyNumberFormat="1" applyFont="1" applyAlignment="1">
      <alignment vertical="center"/>
    </xf>
    <xf numFmtId="167" fontId="0" fillId="25" borderId="0" xfId="0" applyNumberFormat="1" applyFont="1" applyFill="1" applyAlignment="1">
      <alignment vertical="center"/>
    </xf>
    <xf numFmtId="171" fontId="0" fillId="25" borderId="0" xfId="0" applyNumberFormat="1" applyFont="1" applyFill="1" applyAlignment="1">
      <alignment vertical="center"/>
    </xf>
    <xf numFmtId="167" fontId="70" fillId="55" borderId="0" xfId="0" applyNumberFormat="1" applyFont="1" applyFill="1" applyAlignment="1">
      <alignment vertical="center"/>
    </xf>
    <xf numFmtId="171" fontId="0" fillId="55" borderId="0" xfId="0" applyNumberFormat="1" applyFont="1" applyFill="1" applyAlignment="1">
      <alignment vertical="center"/>
    </xf>
    <xf numFmtId="164" fontId="64" fillId="52" borderId="32" xfId="2" applyFont="1" applyFill="1" applyBorder="1" applyAlignment="1">
      <alignment horizontal="center" vertical="center"/>
    </xf>
    <xf numFmtId="171" fontId="72" fillId="4" borderId="95" xfId="0" applyNumberFormat="1" applyFont="1" applyFill="1" applyBorder="1" applyAlignment="1">
      <alignment horizontal="right" vertical="center"/>
    </xf>
    <xf numFmtId="164" fontId="95" fillId="3" borderId="129" xfId="2" applyFont="1" applyFill="1" applyBorder="1" applyAlignment="1">
      <alignment vertical="center"/>
    </xf>
    <xf numFmtId="171" fontId="94" fillId="4" borderId="105" xfId="0" applyNumberFormat="1" applyFont="1" applyFill="1" applyBorder="1" applyAlignment="1">
      <alignment horizontal="right" vertical="center"/>
    </xf>
    <xf numFmtId="164" fontId="96" fillId="15" borderId="99" xfId="2" applyFont="1" applyFill="1" applyBorder="1" applyAlignment="1">
      <alignment vertical="center"/>
    </xf>
    <xf numFmtId="164" fontId="12" fillId="15" borderId="125" xfId="2" applyFont="1" applyFill="1" applyBorder="1" applyAlignment="1">
      <alignment vertical="center"/>
    </xf>
    <xf numFmtId="164" fontId="96" fillId="15" borderId="121" xfId="2" applyFont="1" applyFill="1" applyBorder="1" applyAlignment="1">
      <alignment vertical="center"/>
    </xf>
    <xf numFmtId="164" fontId="85" fillId="3" borderId="125" xfId="2" applyFont="1" applyFill="1" applyBorder="1" applyAlignment="1">
      <alignment vertical="center"/>
    </xf>
    <xf numFmtId="164" fontId="97" fillId="3" borderId="121" xfId="2" applyFont="1" applyFill="1" applyBorder="1" applyAlignment="1">
      <alignment vertical="center"/>
    </xf>
    <xf numFmtId="164" fontId="96" fillId="3" borderId="99" xfId="2" applyFont="1" applyFill="1" applyBorder="1" applyAlignment="1">
      <alignment vertical="center"/>
    </xf>
    <xf numFmtId="164" fontId="98" fillId="3" borderId="99" xfId="2" applyFont="1" applyFill="1" applyBorder="1" applyAlignment="1">
      <alignment vertical="center"/>
    </xf>
    <xf numFmtId="164" fontId="97" fillId="15" borderId="99" xfId="2" applyFont="1" applyFill="1" applyBorder="1" applyAlignment="1">
      <alignment vertical="center"/>
    </xf>
    <xf numFmtId="164" fontId="98" fillId="15" borderId="99" xfId="2" applyFont="1" applyFill="1" applyBorder="1" applyAlignment="1">
      <alignment vertical="center"/>
    </xf>
    <xf numFmtId="171" fontId="92" fillId="0" borderId="104" xfId="0" applyNumberFormat="1" applyFont="1" applyBorder="1" applyAlignment="1">
      <alignment horizontal="right" vertical="center"/>
    </xf>
    <xf numFmtId="164" fontId="98" fillId="15" borderId="127" xfId="2" applyFont="1" applyFill="1" applyBorder="1" applyAlignment="1">
      <alignment vertical="center"/>
    </xf>
    <xf numFmtId="0" fontId="8" fillId="3" borderId="19" xfId="0" applyNumberFormat="1" applyFont="1" applyFill="1" applyBorder="1" applyAlignment="1">
      <alignment horizontal="center" vertical="center" wrapText="1"/>
    </xf>
    <xf numFmtId="1" fontId="6" fillId="0" borderId="24" xfId="0" applyNumberFormat="1" applyFont="1" applyBorder="1" applyAlignment="1">
      <alignment vertical="center"/>
    </xf>
    <xf numFmtId="1" fontId="99" fillId="0" borderId="0" xfId="0" applyNumberFormat="1" applyFont="1" applyAlignment="1">
      <alignment vertical="center"/>
    </xf>
    <xf numFmtId="0" fontId="16" fillId="0" borderId="15" xfId="0" applyNumberFormat="1" applyFont="1" applyFill="1" applyBorder="1" applyAlignment="1">
      <alignment horizontal="center" vertical="center"/>
    </xf>
    <xf numFmtId="167" fontId="16" fillId="0" borderId="17" xfId="0" applyNumberFormat="1" applyFont="1" applyFill="1" applyBorder="1" applyAlignment="1">
      <alignment vertical="center"/>
    </xf>
    <xf numFmtId="0" fontId="16" fillId="0" borderId="19" xfId="0" applyNumberFormat="1" applyFont="1" applyFill="1" applyBorder="1" applyAlignment="1">
      <alignment horizontal="center" vertical="center"/>
    </xf>
    <xf numFmtId="1" fontId="99" fillId="0" borderId="0" xfId="0" applyNumberFormat="1" applyFont="1" applyBorder="1" applyAlignment="1">
      <alignment vertical="center"/>
    </xf>
    <xf numFmtId="164" fontId="12" fillId="22" borderId="37" xfId="2" applyFont="1" applyFill="1" applyBorder="1" applyAlignment="1">
      <alignment vertical="center"/>
    </xf>
    <xf numFmtId="164" fontId="12" fillId="22" borderId="39" xfId="2" applyFont="1" applyFill="1" applyBorder="1" applyAlignment="1">
      <alignment vertical="center"/>
    </xf>
    <xf numFmtId="171" fontId="22" fillId="10" borderId="104" xfId="2" applyNumberFormat="1" applyFont="1" applyFill="1" applyBorder="1" applyAlignment="1" applyProtection="1">
      <alignment horizontal="center" vertical="center"/>
    </xf>
    <xf numFmtId="164" fontId="78" fillId="25" borderId="50" xfId="2" applyFont="1" applyFill="1" applyBorder="1" applyAlignment="1">
      <alignment vertical="center"/>
    </xf>
    <xf numFmtId="171" fontId="22" fillId="25" borderId="35" xfId="2" applyNumberFormat="1" applyFont="1" applyFill="1" applyBorder="1" applyAlignment="1">
      <alignment vertical="center"/>
    </xf>
    <xf numFmtId="164" fontId="12" fillId="25" borderId="50" xfId="2" applyFont="1" applyFill="1" applyBorder="1" applyAlignment="1">
      <alignment vertical="center"/>
    </xf>
    <xf numFmtId="171" fontId="22" fillId="8" borderId="35" xfId="2" applyNumberFormat="1" applyFont="1" applyFill="1" applyBorder="1" applyAlignment="1">
      <alignment vertical="center"/>
    </xf>
    <xf numFmtId="164" fontId="100" fillId="0" borderId="50" xfId="2" applyFont="1" applyBorder="1" applyAlignment="1">
      <alignment vertical="center"/>
    </xf>
    <xf numFmtId="164" fontId="7" fillId="24" borderId="51" xfId="2" applyNumberFormat="1" applyFont="1" applyFill="1" applyBorder="1" applyAlignment="1" applyProtection="1">
      <alignment horizontal="center" vertical="center"/>
    </xf>
    <xf numFmtId="171" fontId="22" fillId="24" borderId="104" xfId="2" applyNumberFormat="1" applyFont="1" applyFill="1" applyBorder="1" applyAlignment="1">
      <alignment vertical="center"/>
    </xf>
    <xf numFmtId="164" fontId="92" fillId="4" borderId="37" xfId="2" applyFont="1" applyFill="1" applyBorder="1" applyAlignment="1">
      <alignment vertical="center"/>
    </xf>
    <xf numFmtId="164" fontId="7" fillId="22" borderId="37" xfId="2" applyFont="1" applyFill="1" applyBorder="1" applyAlignment="1">
      <alignment vertical="center"/>
    </xf>
    <xf numFmtId="164" fontId="85" fillId="4" borderId="16" xfId="2" applyFont="1" applyFill="1" applyBorder="1" applyAlignment="1">
      <alignment vertical="center"/>
    </xf>
    <xf numFmtId="164" fontId="7" fillId="22" borderId="39" xfId="2" applyFont="1" applyFill="1" applyBorder="1" applyAlignment="1">
      <alignment vertical="center"/>
    </xf>
    <xf numFmtId="171" fontId="8" fillId="15" borderId="0" xfId="0" applyNumberFormat="1" applyFont="1" applyFill="1" applyAlignment="1">
      <alignment vertical="center"/>
    </xf>
    <xf numFmtId="1" fontId="8" fillId="15" borderId="54" xfId="0" applyNumberFormat="1" applyFont="1" applyFill="1" applyBorder="1" applyAlignment="1">
      <alignment vertical="center"/>
    </xf>
    <xf numFmtId="171" fontId="22" fillId="15" borderId="113" xfId="0" applyNumberFormat="1" applyFont="1" applyFill="1" applyBorder="1" applyAlignment="1">
      <alignment vertical="center"/>
    </xf>
    <xf numFmtId="164" fontId="12" fillId="15" borderId="94" xfId="2" applyFont="1" applyFill="1" applyBorder="1" applyAlignment="1">
      <alignment vertical="center"/>
    </xf>
    <xf numFmtId="171" fontId="22" fillId="25" borderId="35" xfId="0" applyNumberFormat="1" applyFont="1" applyFill="1" applyBorder="1" applyAlignment="1">
      <alignment vertical="center"/>
    </xf>
    <xf numFmtId="164" fontId="12" fillId="25" borderId="37" xfId="2" applyFont="1" applyFill="1" applyBorder="1" applyAlignment="1">
      <alignment vertical="center"/>
    </xf>
    <xf numFmtId="171" fontId="22" fillId="15" borderId="39" xfId="0" applyNumberFormat="1" applyFont="1" applyFill="1" applyBorder="1" applyAlignment="1">
      <alignment vertical="center"/>
    </xf>
    <xf numFmtId="164" fontId="12" fillId="0" borderId="16" xfId="2" applyFont="1" applyBorder="1" applyAlignment="1">
      <alignment vertical="center"/>
    </xf>
    <xf numFmtId="164" fontId="92" fillId="4" borderId="16" xfId="2" applyFont="1" applyFill="1" applyBorder="1" applyAlignment="1">
      <alignment vertical="center"/>
    </xf>
    <xf numFmtId="171" fontId="90" fillId="4" borderId="16" xfId="0" applyNumberFormat="1" applyFont="1" applyFill="1" applyBorder="1" applyAlignment="1">
      <alignment vertical="center"/>
    </xf>
    <xf numFmtId="164" fontId="85" fillId="0" borderId="16" xfId="2" applyFont="1" applyBorder="1" applyAlignment="1">
      <alignment vertical="center"/>
    </xf>
    <xf numFmtId="171" fontId="88" fillId="0" borderId="16" xfId="0" applyNumberFormat="1" applyFont="1" applyBorder="1" applyAlignment="1">
      <alignment vertical="center"/>
    </xf>
    <xf numFmtId="171" fontId="88" fillId="4" borderId="16" xfId="0" applyNumberFormat="1" applyFont="1" applyFill="1" applyBorder="1" applyAlignment="1">
      <alignment vertical="center"/>
    </xf>
    <xf numFmtId="164" fontId="12" fillId="0" borderId="22" xfId="2" applyFont="1" applyBorder="1" applyAlignment="1">
      <alignment vertical="center"/>
    </xf>
    <xf numFmtId="1" fontId="12" fillId="15" borderId="0" xfId="0" applyNumberFormat="1" applyFont="1" applyFill="1" applyAlignment="1">
      <alignment vertical="center"/>
    </xf>
    <xf numFmtId="167" fontId="12" fillId="15" borderId="0" xfId="0" applyNumberFormat="1" applyFont="1" applyFill="1" applyAlignment="1">
      <alignment vertical="center"/>
    </xf>
    <xf numFmtId="171" fontId="22" fillId="15" borderId="94" xfId="0" applyNumberFormat="1" applyFont="1" applyFill="1" applyBorder="1" applyAlignment="1">
      <alignment vertical="center"/>
    </xf>
    <xf numFmtId="171" fontId="22" fillId="15" borderId="11" xfId="0" applyNumberFormat="1" applyFont="1" applyFill="1" applyBorder="1" applyAlignment="1">
      <alignment vertical="center"/>
    </xf>
    <xf numFmtId="164" fontId="12" fillId="4" borderId="97" xfId="2" applyFont="1" applyFill="1" applyBorder="1" applyAlignment="1">
      <alignment vertical="center"/>
    </xf>
    <xf numFmtId="171" fontId="22" fillId="15" borderId="22" xfId="0" applyNumberFormat="1" applyFont="1" applyFill="1" applyBorder="1" applyAlignment="1">
      <alignment vertical="center"/>
    </xf>
    <xf numFmtId="164" fontId="12" fillId="0" borderId="1" xfId="2" applyFont="1" applyBorder="1" applyAlignment="1">
      <alignment vertical="center"/>
    </xf>
    <xf numFmtId="171" fontId="22" fillId="0" borderId="1" xfId="2" applyNumberFormat="1" applyFont="1" applyBorder="1" applyAlignment="1">
      <alignment vertical="center"/>
    </xf>
    <xf numFmtId="164" fontId="12" fillId="15" borderId="1" xfId="2" applyFont="1" applyFill="1" applyBorder="1" applyAlignment="1">
      <alignment vertical="center"/>
    </xf>
    <xf numFmtId="171" fontId="22" fillId="15" borderId="1" xfId="2" applyNumberFormat="1" applyFont="1" applyFill="1" applyBorder="1" applyAlignment="1">
      <alignment vertical="center"/>
    </xf>
    <xf numFmtId="169" fontId="12" fillId="15" borderId="0" xfId="2" applyNumberFormat="1" applyFont="1" applyFill="1" applyBorder="1" applyAlignment="1">
      <alignment vertical="center"/>
    </xf>
    <xf numFmtId="164" fontId="2" fillId="0" borderId="125" xfId="2" applyFont="1" applyBorder="1" applyAlignment="1">
      <alignment horizontal="right" vertical="center"/>
    </xf>
    <xf numFmtId="167" fontId="16" fillId="4" borderId="125" xfId="2" applyNumberFormat="1" applyFont="1" applyFill="1" applyBorder="1" applyAlignment="1">
      <alignment vertical="center"/>
    </xf>
    <xf numFmtId="171" fontId="12" fillId="4" borderId="35" xfId="0" applyNumberFormat="1" applyFont="1" applyFill="1" applyBorder="1" applyAlignment="1">
      <alignment vertical="center"/>
    </xf>
    <xf numFmtId="164" fontId="97" fillId="3" borderId="99" xfId="2" applyFont="1" applyFill="1" applyBorder="1" applyAlignment="1">
      <alignment vertical="center"/>
    </xf>
    <xf numFmtId="167" fontId="6" fillId="4" borderId="17" xfId="0" applyNumberFormat="1" applyFont="1" applyFill="1" applyBorder="1" applyAlignment="1">
      <alignment vertical="center"/>
    </xf>
    <xf numFmtId="167" fontId="8" fillId="56" borderId="19" xfId="0" applyNumberFormat="1" applyFont="1" applyFill="1" applyBorder="1" applyAlignment="1">
      <alignment vertical="center"/>
    </xf>
    <xf numFmtId="164" fontId="78" fillId="0" borderId="112" xfId="2" applyFont="1" applyBorder="1" applyAlignment="1">
      <alignment vertical="center"/>
    </xf>
    <xf numFmtId="164" fontId="12" fillId="0" borderId="112" xfId="2" applyFont="1" applyBorder="1" applyAlignment="1">
      <alignment vertical="center"/>
    </xf>
    <xf numFmtId="164" fontId="3" fillId="0" borderId="50" xfId="2" applyFont="1" applyBorder="1" applyAlignment="1">
      <alignment vertical="center"/>
    </xf>
    <xf numFmtId="171" fontId="22" fillId="0" borderId="104" xfId="2" applyNumberFormat="1" applyFont="1" applyFill="1" applyBorder="1" applyAlignment="1">
      <alignment vertical="center"/>
    </xf>
    <xf numFmtId="164" fontId="12" fillId="0" borderId="51" xfId="2" applyFont="1" applyFill="1" applyBorder="1" applyAlignment="1">
      <alignment vertical="center"/>
    </xf>
    <xf numFmtId="164" fontId="78" fillId="3" borderId="130" xfId="2" applyFont="1" applyFill="1" applyBorder="1" applyAlignment="1">
      <alignment vertical="center"/>
    </xf>
    <xf numFmtId="164" fontId="78" fillId="4" borderId="102" xfId="2" applyFont="1" applyFill="1" applyBorder="1" applyAlignment="1">
      <alignment vertical="center"/>
    </xf>
    <xf numFmtId="164" fontId="78" fillId="3" borderId="102" xfId="2" applyFont="1" applyFill="1" applyBorder="1" applyAlignment="1">
      <alignment vertical="center"/>
    </xf>
    <xf numFmtId="164" fontId="78" fillId="8" borderId="102" xfId="2" applyFont="1" applyFill="1" applyBorder="1" applyAlignment="1">
      <alignment vertical="center"/>
    </xf>
    <xf numFmtId="164" fontId="78" fillId="0" borderId="102" xfId="2" applyFont="1" applyBorder="1" applyAlignment="1">
      <alignment vertical="center"/>
    </xf>
    <xf numFmtId="171" fontId="22" fillId="24" borderId="105" xfId="0" applyNumberFormat="1" applyFont="1" applyFill="1" applyBorder="1" applyAlignment="1">
      <alignment vertical="center"/>
    </xf>
    <xf numFmtId="164" fontId="12" fillId="15" borderId="112" xfId="2" applyFont="1" applyFill="1" applyBorder="1" applyAlignment="1">
      <alignment vertical="center"/>
    </xf>
    <xf numFmtId="164" fontId="78" fillId="0" borderId="50" xfId="2" applyFont="1" applyFill="1" applyBorder="1" applyAlignment="1">
      <alignment vertical="center"/>
    </xf>
    <xf numFmtId="164" fontId="7" fillId="24" borderId="37" xfId="2" applyNumberFormat="1" applyFont="1" applyFill="1" applyBorder="1" applyAlignment="1" applyProtection="1">
      <alignment horizontal="center" vertical="center"/>
    </xf>
    <xf numFmtId="164" fontId="7" fillId="3" borderId="50" xfId="2" applyNumberFormat="1" applyFont="1" applyFill="1" applyBorder="1" applyAlignment="1" applyProtection="1">
      <alignment horizontal="center" vertical="center"/>
    </xf>
    <xf numFmtId="167" fontId="101" fillId="0" borderId="0" xfId="4" applyNumberFormat="1" applyBorder="1" applyAlignment="1" applyProtection="1">
      <alignment horizontal="center" vertical="center"/>
    </xf>
    <xf numFmtId="164" fontId="22" fillId="0" borderId="1" xfId="2" applyFont="1" applyBorder="1" applyAlignment="1">
      <alignment vertical="center"/>
    </xf>
    <xf numFmtId="0" fontId="8" fillId="19" borderId="17" xfId="0" applyNumberFormat="1" applyFont="1" applyFill="1" applyBorder="1" applyAlignment="1">
      <alignment horizontal="center" vertical="center"/>
    </xf>
    <xf numFmtId="0" fontId="8" fillId="19" borderId="23" xfId="0" applyNumberFormat="1" applyFont="1" applyFill="1" applyBorder="1" applyAlignment="1">
      <alignment horizontal="center" vertical="center"/>
    </xf>
    <xf numFmtId="1" fontId="8" fillId="19" borderId="20" xfId="0" applyNumberFormat="1" applyFont="1" applyFill="1" applyBorder="1" applyAlignment="1">
      <alignment vertical="center"/>
    </xf>
    <xf numFmtId="167" fontId="8" fillId="19" borderId="20" xfId="0" applyNumberFormat="1" applyFont="1" applyFill="1" applyBorder="1" applyAlignment="1">
      <alignment vertical="center"/>
    </xf>
    <xf numFmtId="167" fontId="18" fillId="19" borderId="20" xfId="0" applyNumberFormat="1" applyFont="1" applyFill="1" applyBorder="1" applyAlignment="1">
      <alignment horizontal="center" vertical="center"/>
    </xf>
    <xf numFmtId="0" fontId="8" fillId="4" borderId="21" xfId="0" applyNumberFormat="1" applyFont="1" applyFill="1" applyBorder="1" applyAlignment="1">
      <alignment horizontal="center" vertical="center"/>
    </xf>
    <xf numFmtId="167" fontId="8" fillId="56" borderId="17" xfId="0" applyNumberFormat="1" applyFont="1" applyFill="1" applyBorder="1" applyAlignment="1">
      <alignment vertical="center"/>
    </xf>
    <xf numFmtId="164" fontId="78" fillId="25" borderId="102" xfId="2" applyFont="1" applyFill="1" applyBorder="1" applyAlignment="1">
      <alignment vertical="center"/>
    </xf>
    <xf numFmtId="164" fontId="7" fillId="19" borderId="50" xfId="2" applyFont="1" applyFill="1" applyBorder="1" applyAlignment="1">
      <alignment vertical="center"/>
    </xf>
    <xf numFmtId="164" fontId="78" fillId="0" borderId="106" xfId="2" applyFont="1" applyBorder="1" applyAlignment="1">
      <alignment vertical="center"/>
    </xf>
    <xf numFmtId="171" fontId="22" fillId="0" borderId="104" xfId="0" applyNumberFormat="1" applyFont="1" applyFill="1" applyBorder="1" applyAlignment="1">
      <alignment vertical="center"/>
    </xf>
    <xf numFmtId="164" fontId="12" fillId="4" borderId="121" xfId="2" applyFont="1" applyFill="1" applyBorder="1" applyAlignment="1">
      <alignment vertical="center"/>
    </xf>
    <xf numFmtId="164" fontId="7" fillId="3" borderId="121" xfId="2" applyFont="1" applyFill="1" applyBorder="1" applyAlignment="1" applyProtection="1">
      <alignment horizontal="center" vertical="center"/>
    </xf>
    <xf numFmtId="164" fontId="7" fillId="24" borderId="51" xfId="2" applyFont="1" applyFill="1" applyBorder="1" applyAlignment="1" applyProtection="1">
      <alignment horizontal="center" vertical="center"/>
    </xf>
    <xf numFmtId="171" fontId="22" fillId="24" borderId="104" xfId="0" applyNumberFormat="1" applyFont="1" applyFill="1" applyBorder="1" applyAlignment="1">
      <alignment vertical="center"/>
    </xf>
    <xf numFmtId="170" fontId="12" fillId="15" borderId="99" xfId="2" applyNumberFormat="1" applyFont="1" applyFill="1" applyBorder="1" applyAlignment="1">
      <alignment vertical="center"/>
    </xf>
    <xf numFmtId="164" fontId="12" fillId="3" borderId="127" xfId="2" applyFont="1" applyFill="1" applyBorder="1" applyAlignment="1">
      <alignment vertical="center"/>
    </xf>
    <xf numFmtId="164" fontId="12" fillId="3" borderId="117" xfId="2" applyFont="1" applyFill="1" applyBorder="1" applyAlignment="1">
      <alignment vertical="center"/>
    </xf>
    <xf numFmtId="171" fontId="22" fillId="3" borderId="118" xfId="0" applyNumberFormat="1" applyFont="1" applyFill="1" applyBorder="1" applyAlignment="1">
      <alignment vertical="center"/>
    </xf>
    <xf numFmtId="171" fontId="64" fillId="44" borderId="32" xfId="2" applyNumberFormat="1" applyFont="1" applyFill="1" applyBorder="1" applyAlignment="1">
      <alignment horizontal="center" vertical="center"/>
    </xf>
    <xf numFmtId="1" fontId="102" fillId="16" borderId="0" xfId="0" applyNumberFormat="1" applyFont="1" applyFill="1" applyAlignment="1">
      <alignment vertical="center"/>
    </xf>
    <xf numFmtId="167" fontId="16" fillId="24" borderId="15" xfId="0" applyNumberFormat="1" applyFont="1" applyFill="1" applyBorder="1" applyAlignment="1">
      <alignment horizontal="center" vertical="center"/>
    </xf>
    <xf numFmtId="0" fontId="16" fillId="4" borderId="22" xfId="0" applyNumberFormat="1" applyFont="1" applyFill="1" applyBorder="1" applyAlignment="1">
      <alignment horizontal="center" vertical="center" wrapText="1"/>
    </xf>
    <xf numFmtId="167" fontId="26" fillId="4" borderId="22" xfId="0" applyNumberFormat="1" applyFont="1" applyFill="1" applyBorder="1" applyAlignment="1">
      <alignment vertical="center"/>
    </xf>
    <xf numFmtId="167" fontId="8" fillId="3" borderId="22" xfId="0" applyNumberFormat="1" applyFont="1" applyFill="1" applyBorder="1" applyAlignment="1">
      <alignment horizontal="center" vertical="center"/>
    </xf>
    <xf numFmtId="0" fontId="16" fillId="4" borderId="22" xfId="0" applyNumberFormat="1" applyFont="1" applyFill="1" applyBorder="1" applyAlignment="1">
      <alignment horizontal="center" vertical="center"/>
    </xf>
    <xf numFmtId="167" fontId="16" fillId="8" borderId="15" xfId="0" applyNumberFormat="1" applyFont="1" applyFill="1" applyBorder="1" applyAlignment="1">
      <alignment vertical="center"/>
    </xf>
    <xf numFmtId="0" fontId="28" fillId="8" borderId="15" xfId="0" applyNumberFormat="1" applyFont="1" applyFill="1" applyBorder="1" applyAlignment="1">
      <alignment horizontal="center" vertical="center"/>
    </xf>
    <xf numFmtId="1" fontId="6" fillId="4" borderId="15" xfId="0" applyNumberFormat="1" applyFont="1" applyFill="1" applyBorder="1" applyAlignment="1">
      <alignment vertical="center"/>
    </xf>
    <xf numFmtId="1" fontId="6" fillId="3" borderId="15" xfId="0" applyNumberFormat="1" applyFont="1" applyFill="1" applyBorder="1" applyAlignment="1">
      <alignment vertical="center"/>
    </xf>
    <xf numFmtId="164" fontId="12" fillId="16" borderId="80" xfId="2" applyFont="1" applyFill="1" applyBorder="1" applyAlignment="1">
      <alignment vertical="center"/>
    </xf>
    <xf numFmtId="164" fontId="72" fillId="22" borderId="36" xfId="2" applyFont="1" applyFill="1" applyBorder="1" applyAlignment="1">
      <alignment vertical="center" wrapText="1"/>
    </xf>
    <xf numFmtId="164" fontId="7" fillId="22" borderId="36" xfId="2" applyFont="1" applyFill="1" applyBorder="1" applyAlignment="1">
      <alignment vertical="center"/>
    </xf>
    <xf numFmtId="164" fontId="12" fillId="22" borderId="36" xfId="2" applyFont="1" applyFill="1" applyBorder="1" applyAlignment="1">
      <alignment vertical="center"/>
    </xf>
    <xf numFmtId="164" fontId="72" fillId="22" borderId="37" xfId="2" applyFont="1" applyFill="1" applyBorder="1" applyAlignment="1">
      <alignment vertical="center" wrapText="1"/>
    </xf>
    <xf numFmtId="164" fontId="72" fillId="3" borderId="37" xfId="2" applyFont="1" applyFill="1" applyBorder="1" applyAlignment="1">
      <alignment vertical="center" wrapText="1"/>
    </xf>
    <xf numFmtId="164" fontId="72" fillId="22" borderId="39" xfId="2" applyFont="1" applyFill="1" applyBorder="1" applyAlignment="1">
      <alignment vertical="center" wrapText="1"/>
    </xf>
    <xf numFmtId="171" fontId="22" fillId="15" borderId="91" xfId="2" applyNumberFormat="1" applyFont="1" applyFill="1" applyBorder="1" applyAlignment="1">
      <alignment vertical="center"/>
    </xf>
    <xf numFmtId="164" fontId="12" fillId="15" borderId="0" xfId="2" applyFont="1" applyFill="1" applyAlignment="1">
      <alignment vertical="center"/>
    </xf>
    <xf numFmtId="171" fontId="22" fillId="0" borderId="105" xfId="2" applyNumberFormat="1" applyFont="1" applyBorder="1" applyAlignment="1">
      <alignment vertical="center" wrapText="1"/>
    </xf>
    <xf numFmtId="164" fontId="12" fillId="0" borderId="112" xfId="2" applyFont="1" applyBorder="1" applyAlignment="1">
      <alignment vertical="center" wrapText="1"/>
    </xf>
    <xf numFmtId="171" fontId="7" fillId="0" borderId="35" xfId="0" applyNumberFormat="1" applyFont="1" applyBorder="1" applyAlignment="1">
      <alignment vertical="center"/>
    </xf>
    <xf numFmtId="164" fontId="7" fillId="0" borderId="50" xfId="2" applyFont="1" applyBorder="1" applyAlignment="1">
      <alignment vertical="center" wrapText="1"/>
    </xf>
    <xf numFmtId="171" fontId="22" fillId="0" borderId="35" xfId="2" applyNumberFormat="1" applyFont="1" applyBorder="1" applyAlignment="1">
      <alignment vertical="center" wrapText="1"/>
    </xf>
    <xf numFmtId="164" fontId="12" fillId="0" borderId="50" xfId="2" applyFont="1" applyBorder="1" applyAlignment="1">
      <alignment vertical="center" wrapText="1"/>
    </xf>
    <xf numFmtId="164" fontId="7" fillId="0" borderId="51" xfId="2" applyFont="1" applyBorder="1" applyAlignment="1">
      <alignment vertical="center"/>
    </xf>
    <xf numFmtId="171" fontId="7" fillId="0" borderId="104" xfId="0" applyNumberFormat="1" applyFont="1" applyBorder="1" applyAlignment="1">
      <alignment vertical="center"/>
    </xf>
    <xf numFmtId="164" fontId="7" fillId="0" borderId="51" xfId="2" applyFont="1" applyBorder="1" applyAlignment="1">
      <alignment vertical="center" wrapText="1"/>
    </xf>
    <xf numFmtId="171" fontId="22" fillId="0" borderId="104" xfId="2" applyNumberFormat="1" applyFont="1" applyBorder="1" applyAlignment="1">
      <alignment vertical="center" wrapText="1"/>
    </xf>
    <xf numFmtId="164" fontId="77" fillId="17" borderId="52" xfId="2" applyFont="1" applyFill="1" applyBorder="1" applyAlignment="1">
      <alignment vertical="center"/>
    </xf>
    <xf numFmtId="171" fontId="22" fillId="16" borderId="96" xfId="0" applyNumberFormat="1" applyFont="1" applyFill="1" applyBorder="1" applyAlignment="1">
      <alignment vertical="center"/>
    </xf>
    <xf numFmtId="164" fontId="78" fillId="0" borderId="97" xfId="2" applyFont="1" applyBorder="1" applyAlignment="1">
      <alignment vertical="center"/>
    </xf>
    <xf numFmtId="164" fontId="7" fillId="15" borderId="112" xfId="2" applyFont="1" applyFill="1" applyBorder="1" applyAlignment="1">
      <alignment vertical="center"/>
    </xf>
    <xf numFmtId="164" fontId="78" fillId="15" borderId="50" xfId="2" applyFont="1" applyFill="1" applyBorder="1" applyAlignment="1">
      <alignment vertical="center" wrapText="1"/>
    </xf>
    <xf numFmtId="171" fontId="22" fillId="15" borderId="35" xfId="0" applyNumberFormat="1" applyFont="1" applyFill="1" applyBorder="1" applyAlignment="1">
      <alignment vertical="center" wrapText="1"/>
    </xf>
    <xf numFmtId="164" fontId="78" fillId="3" borderId="50" xfId="2" applyFont="1" applyFill="1" applyBorder="1" applyAlignment="1">
      <alignment vertical="center" wrapText="1"/>
    </xf>
    <xf numFmtId="171" fontId="22" fillId="3" borderId="35" xfId="0" applyNumberFormat="1" applyFont="1" applyFill="1" applyBorder="1" applyAlignment="1">
      <alignment vertical="center" wrapText="1"/>
    </xf>
    <xf numFmtId="164" fontId="85" fillId="0" borderId="36" xfId="2" applyFont="1" applyBorder="1" applyAlignment="1">
      <alignment vertical="center"/>
    </xf>
    <xf numFmtId="164" fontId="85" fillId="15" borderId="112" xfId="2" applyFont="1" applyFill="1" applyBorder="1" applyAlignment="1">
      <alignment vertical="center"/>
    </xf>
    <xf numFmtId="171" fontId="88" fillId="15" borderId="105" xfId="0" applyNumberFormat="1" applyFont="1" applyFill="1" applyBorder="1" applyAlignment="1">
      <alignment vertical="center"/>
    </xf>
    <xf numFmtId="164" fontId="92" fillId="0" borderId="36" xfId="2" applyFont="1" applyBorder="1" applyAlignment="1">
      <alignment vertical="center"/>
    </xf>
    <xf numFmtId="171" fontId="90" fillId="0" borderId="105" xfId="0" applyNumberFormat="1" applyFont="1" applyBorder="1" applyAlignment="1">
      <alignment vertical="center"/>
    </xf>
    <xf numFmtId="164" fontId="85" fillId="0" borderId="112" xfId="2" applyFont="1" applyBorder="1" applyAlignment="1">
      <alignment vertical="center"/>
    </xf>
    <xf numFmtId="171" fontId="88" fillId="0" borderId="105" xfId="0" applyNumberFormat="1" applyFont="1" applyBorder="1" applyAlignment="1">
      <alignment vertical="center"/>
    </xf>
    <xf numFmtId="164" fontId="85" fillId="15" borderId="50" xfId="2" applyFont="1" applyFill="1" applyBorder="1" applyAlignment="1">
      <alignment vertical="center"/>
    </xf>
    <xf numFmtId="171" fontId="88" fillId="15" borderId="35" xfId="0" applyNumberFormat="1" applyFont="1" applyFill="1" applyBorder="1" applyAlignment="1">
      <alignment vertical="center"/>
    </xf>
    <xf numFmtId="164" fontId="85" fillId="15" borderId="37" xfId="2" applyFont="1" applyFill="1" applyBorder="1" applyAlignment="1">
      <alignment vertical="center"/>
    </xf>
    <xf numFmtId="164" fontId="92" fillId="0" borderId="50" xfId="2" applyFont="1" applyBorder="1" applyAlignment="1">
      <alignment vertical="center"/>
    </xf>
    <xf numFmtId="171" fontId="22" fillId="15" borderId="95" xfId="0" applyNumberFormat="1" applyFont="1" applyFill="1" applyBorder="1" applyAlignment="1">
      <alignment vertical="center"/>
    </xf>
    <xf numFmtId="171" fontId="90" fillId="15" borderId="35" xfId="0" applyNumberFormat="1" applyFont="1" applyFill="1" applyBorder="1" applyAlignment="1">
      <alignment vertical="center"/>
    </xf>
    <xf numFmtId="171" fontId="90" fillId="3" borderId="35" xfId="0" applyNumberFormat="1" applyFont="1" applyFill="1" applyBorder="1" applyAlignment="1">
      <alignment vertical="center"/>
    </xf>
    <xf numFmtId="171" fontId="22" fillId="15" borderId="1" xfId="0" applyNumberFormat="1" applyFont="1" applyFill="1" applyBorder="1" applyAlignment="1">
      <alignment vertical="center"/>
    </xf>
    <xf numFmtId="167" fontId="5" fillId="0" borderId="39" xfId="0" applyFont="1" applyBorder="1" applyAlignment="1">
      <alignment vertical="center"/>
    </xf>
    <xf numFmtId="164" fontId="77" fillId="57" borderId="3" xfId="2" applyFont="1" applyFill="1" applyBorder="1" applyAlignment="1">
      <alignment horizontal="center" vertical="center"/>
    </xf>
    <xf numFmtId="171" fontId="22" fillId="3" borderId="98" xfId="0" applyNumberFormat="1" applyFont="1" applyFill="1" applyBorder="1" applyAlignment="1">
      <alignment vertical="center"/>
    </xf>
    <xf numFmtId="164" fontId="12" fillId="58" borderId="37" xfId="2" applyFont="1" applyFill="1" applyBorder="1" applyAlignment="1">
      <alignment vertical="center"/>
    </xf>
    <xf numFmtId="167" fontId="69" fillId="0" borderId="36" xfId="0" applyNumberFormat="1" applyFont="1" applyFill="1" applyBorder="1" applyAlignment="1">
      <alignment vertical="center"/>
    </xf>
    <xf numFmtId="164" fontId="5" fillId="0" borderId="125" xfId="2" applyFont="1" applyBorder="1" applyAlignment="1">
      <alignment horizontal="right" vertical="center"/>
    </xf>
    <xf numFmtId="167" fontId="69" fillId="0" borderId="37" xfId="0" applyNumberFormat="1" applyFont="1" applyFill="1" applyBorder="1" applyAlignment="1">
      <alignment vertical="center"/>
    </xf>
    <xf numFmtId="167" fontId="69" fillId="0" borderId="39" xfId="0" applyNumberFormat="1" applyFont="1" applyFill="1" applyBorder="1" applyAlignment="1">
      <alignment vertical="center"/>
    </xf>
    <xf numFmtId="164" fontId="75" fillId="0" borderId="125" xfId="2" applyFont="1" applyFill="1" applyBorder="1" applyAlignment="1">
      <alignment vertical="center"/>
    </xf>
    <xf numFmtId="171" fontId="22" fillId="48" borderId="36" xfId="0" applyNumberFormat="1" applyFont="1" applyFill="1" applyBorder="1" applyAlignment="1">
      <alignment vertical="center"/>
    </xf>
    <xf numFmtId="164" fontId="12" fillId="48" borderId="36" xfId="2" applyFont="1" applyFill="1" applyBorder="1" applyAlignment="1">
      <alignment vertical="center"/>
    </xf>
    <xf numFmtId="171" fontId="22" fillId="48" borderId="121" xfId="0" applyNumberFormat="1" applyFont="1" applyFill="1" applyBorder="1" applyAlignment="1">
      <alignment vertical="center"/>
    </xf>
    <xf numFmtId="164" fontId="12" fillId="48" borderId="35" xfId="2" applyFont="1" applyFill="1" applyBorder="1" applyAlignment="1">
      <alignment vertical="center"/>
    </xf>
    <xf numFmtId="1" fontId="36" fillId="8" borderId="15" xfId="0" applyNumberFormat="1" applyFont="1" applyFill="1" applyBorder="1" applyAlignment="1">
      <alignment vertical="center"/>
    </xf>
    <xf numFmtId="1" fontId="6" fillId="8" borderId="15" xfId="0" applyNumberFormat="1" applyFont="1" applyFill="1" applyBorder="1" applyAlignment="1">
      <alignment vertical="center"/>
    </xf>
    <xf numFmtId="164" fontId="78" fillId="15" borderId="36" xfId="2" applyFont="1" applyFill="1" applyBorder="1" applyAlignment="1">
      <alignment vertical="center" wrapText="1"/>
    </xf>
    <xf numFmtId="171" fontId="22" fillId="15" borderId="105" xfId="0" applyNumberFormat="1" applyFont="1" applyFill="1" applyBorder="1" applyAlignment="1">
      <alignment vertical="center" wrapText="1"/>
    </xf>
    <xf numFmtId="164" fontId="78" fillId="3" borderId="37" xfId="2" applyFont="1" applyFill="1" applyBorder="1" applyAlignment="1">
      <alignment vertical="center" wrapText="1"/>
    </xf>
    <xf numFmtId="164" fontId="78" fillId="15" borderId="37" xfId="2" applyFont="1" applyFill="1" applyBorder="1" applyAlignment="1">
      <alignment vertical="center" wrapText="1"/>
    </xf>
    <xf numFmtId="164" fontId="7" fillId="24" borderId="99" xfId="2" applyNumberFormat="1" applyFont="1" applyFill="1" applyBorder="1" applyAlignment="1" applyProtection="1">
      <alignment horizontal="center" vertical="center"/>
    </xf>
    <xf numFmtId="171" fontId="7" fillId="4" borderId="35" xfId="0" applyNumberFormat="1" applyFont="1" applyFill="1" applyBorder="1" applyAlignment="1">
      <alignment vertical="center"/>
    </xf>
    <xf numFmtId="171" fontId="22" fillId="48" borderId="126" xfId="0" applyNumberFormat="1" applyFont="1" applyFill="1" applyBorder="1" applyAlignment="1">
      <alignment vertical="center"/>
    </xf>
    <xf numFmtId="164" fontId="12" fillId="48" borderId="104" xfId="2" applyFont="1" applyFill="1" applyBorder="1" applyAlignment="1">
      <alignment vertical="center"/>
    </xf>
    <xf numFmtId="171" fontId="16" fillId="0" borderId="0" xfId="0" applyNumberFormat="1" applyFont="1" applyAlignment="1">
      <alignment vertical="center"/>
    </xf>
    <xf numFmtId="171" fontId="22" fillId="48" borderId="122" xfId="0" applyNumberFormat="1" applyFont="1" applyFill="1" applyBorder="1" applyAlignment="1">
      <alignment vertical="center"/>
    </xf>
    <xf numFmtId="164" fontId="12" fillId="48" borderId="95" xfId="2" applyFont="1" applyFill="1" applyBorder="1" applyAlignment="1">
      <alignment vertical="center"/>
    </xf>
    <xf numFmtId="1" fontId="6" fillId="4" borderId="21" xfId="0" applyNumberFormat="1" applyFont="1" applyFill="1" applyBorder="1" applyAlignment="1">
      <alignment vertical="center"/>
    </xf>
    <xf numFmtId="1" fontId="103" fillId="4" borderId="15" xfId="0" applyNumberFormat="1" applyFont="1" applyFill="1" applyBorder="1" applyAlignment="1">
      <alignment vertical="center"/>
    </xf>
    <xf numFmtId="164" fontId="78" fillId="3" borderId="39" xfId="2" applyFont="1" applyFill="1" applyBorder="1" applyAlignment="1">
      <alignment vertical="center" wrapText="1"/>
    </xf>
    <xf numFmtId="171" fontId="22" fillId="3" borderId="104" xfId="0" applyNumberFormat="1" applyFont="1" applyFill="1" applyBorder="1" applyAlignment="1">
      <alignment vertical="center" wrapText="1"/>
    </xf>
    <xf numFmtId="164" fontId="78" fillId="0" borderId="0" xfId="2" applyFont="1" applyAlignment="1">
      <alignment vertical="center"/>
    </xf>
    <xf numFmtId="164" fontId="78" fillId="4" borderId="37" xfId="2" applyFont="1" applyFill="1" applyBorder="1" applyAlignment="1">
      <alignment vertical="center" wrapText="1"/>
    </xf>
    <xf numFmtId="171" fontId="22" fillId="4" borderId="35" xfId="0" applyNumberFormat="1" applyFont="1" applyFill="1" applyBorder="1" applyAlignment="1">
      <alignment vertical="center" wrapText="1"/>
    </xf>
    <xf numFmtId="169" fontId="12" fillId="3" borderId="50" xfId="2" applyNumberFormat="1" applyFont="1" applyFill="1" applyBorder="1" applyAlignment="1" applyProtection="1">
      <alignment horizontal="center" vertical="center"/>
    </xf>
    <xf numFmtId="164" fontId="12" fillId="15" borderId="111" xfId="2" applyFont="1" applyFill="1" applyBorder="1" applyAlignment="1">
      <alignment vertical="center"/>
    </xf>
    <xf numFmtId="171" fontId="22" fillId="15" borderId="111" xfId="0" applyNumberFormat="1" applyFont="1" applyFill="1" applyBorder="1" applyAlignment="1">
      <alignment vertical="center"/>
    </xf>
    <xf numFmtId="171" fontId="22" fillId="18" borderId="80" xfId="0" applyNumberFormat="1" applyFont="1" applyFill="1" applyBorder="1" applyAlignment="1">
      <alignment horizontal="left" vertical="center"/>
    </xf>
    <xf numFmtId="164" fontId="12" fillId="0" borderId="99" xfId="2" applyFont="1" applyFill="1" applyBorder="1" applyAlignment="1">
      <alignment vertical="center"/>
    </xf>
    <xf numFmtId="164" fontId="12" fillId="58" borderId="36" xfId="2" applyFont="1" applyFill="1" applyBorder="1" applyAlignment="1">
      <alignment vertical="center"/>
    </xf>
    <xf numFmtId="164" fontId="12" fillId="15" borderId="97" xfId="2" applyFont="1" applyFill="1" applyBorder="1" applyAlignment="1">
      <alignment vertical="center"/>
    </xf>
    <xf numFmtId="164" fontId="78" fillId="0" borderId="32" xfId="2" applyFont="1" applyBorder="1" applyAlignment="1">
      <alignment vertical="center"/>
    </xf>
    <xf numFmtId="171" fontId="22" fillId="48" borderId="37" xfId="0" applyNumberFormat="1" applyFont="1" applyFill="1" applyBorder="1" applyAlignment="1">
      <alignment vertical="center"/>
    </xf>
    <xf numFmtId="164" fontId="12" fillId="48" borderId="37" xfId="2" applyFont="1" applyFill="1" applyBorder="1" applyAlignment="1">
      <alignment vertical="center"/>
    </xf>
    <xf numFmtId="171" fontId="22" fillId="48" borderId="39" xfId="0" applyNumberFormat="1" applyFont="1" applyFill="1" applyBorder="1" applyAlignment="1">
      <alignment vertical="center"/>
    </xf>
    <xf numFmtId="164" fontId="12" fillId="48" borderId="39" xfId="2" applyFont="1" applyFill="1" applyBorder="1" applyAlignment="1">
      <alignment vertical="center"/>
    </xf>
    <xf numFmtId="165" fontId="20" fillId="19" borderId="19" xfId="0" applyNumberFormat="1" applyFont="1" applyFill="1" applyBorder="1" applyAlignment="1">
      <alignment horizontal="center" vertical="center"/>
    </xf>
    <xf numFmtId="1" fontId="10" fillId="0" borderId="0" xfId="0" applyNumberFormat="1" applyFont="1" applyAlignment="1">
      <alignment vertical="center"/>
    </xf>
    <xf numFmtId="0" fontId="8" fillId="4" borderId="11" xfId="0" applyNumberFormat="1" applyFont="1" applyFill="1" applyBorder="1" applyAlignment="1">
      <alignment vertical="center"/>
    </xf>
    <xf numFmtId="1" fontId="6" fillId="4" borderId="10" xfId="0" applyNumberFormat="1" applyFont="1" applyFill="1" applyBorder="1" applyAlignment="1">
      <alignment vertical="center"/>
    </xf>
    <xf numFmtId="167" fontId="30" fillId="3" borderId="14" xfId="0" applyNumberFormat="1" applyFont="1" applyFill="1" applyBorder="1" applyAlignment="1">
      <alignment horizontal="center" vertical="center"/>
    </xf>
    <xf numFmtId="0" fontId="27" fillId="3" borderId="14" xfId="0" applyNumberFormat="1" applyFont="1" applyFill="1" applyBorder="1" applyAlignment="1">
      <alignment horizontal="center" vertical="center" wrapText="1"/>
    </xf>
    <xf numFmtId="167" fontId="16" fillId="4" borderId="12" xfId="0" applyNumberFormat="1" applyFont="1" applyFill="1" applyBorder="1" applyAlignment="1">
      <alignment vertical="center"/>
    </xf>
    <xf numFmtId="0" fontId="28" fillId="3" borderId="14" xfId="0" applyNumberFormat="1" applyFont="1" applyFill="1" applyBorder="1" applyAlignment="1">
      <alignment horizontal="center" vertical="center" wrapText="1"/>
    </xf>
    <xf numFmtId="167" fontId="16" fillId="53" borderId="20" xfId="0" applyNumberFormat="1" applyFont="1" applyFill="1" applyBorder="1" applyAlignment="1" applyProtection="1">
      <alignment horizontal="center" vertical="center"/>
    </xf>
    <xf numFmtId="164" fontId="104" fillId="19" borderId="37" xfId="2" applyFont="1" applyFill="1" applyBorder="1" applyAlignment="1">
      <alignment vertical="center"/>
    </xf>
    <xf numFmtId="171" fontId="105" fillId="19" borderId="35" xfId="0" applyNumberFormat="1" applyFont="1" applyFill="1" applyBorder="1" applyAlignment="1">
      <alignment vertical="center"/>
    </xf>
    <xf numFmtId="164" fontId="78" fillId="3" borderId="36" xfId="2" applyFont="1" applyFill="1" applyBorder="1" applyAlignment="1">
      <alignment vertical="center" wrapText="1"/>
    </xf>
    <xf numFmtId="171" fontId="22" fillId="3" borderId="105" xfId="0" applyNumberFormat="1" applyFont="1" applyFill="1" applyBorder="1" applyAlignment="1">
      <alignment vertical="center" wrapText="1"/>
    </xf>
    <xf numFmtId="164" fontId="72" fillId="15" borderId="37" xfId="2" applyFont="1" applyFill="1" applyBorder="1" applyAlignment="1">
      <alignment vertical="center"/>
    </xf>
    <xf numFmtId="171" fontId="64" fillId="15" borderId="35" xfId="0" applyNumberFormat="1" applyFont="1" applyFill="1" applyBorder="1" applyAlignment="1">
      <alignment vertical="center"/>
    </xf>
    <xf numFmtId="171" fontId="22" fillId="24" borderId="98" xfId="0" applyNumberFormat="1" applyFont="1" applyFill="1" applyBorder="1" applyAlignment="1">
      <alignment vertical="center"/>
    </xf>
    <xf numFmtId="164" fontId="7" fillId="24" borderId="99" xfId="2" applyFont="1" applyFill="1" applyBorder="1" applyAlignment="1" applyProtection="1">
      <alignment horizontal="center" vertical="center"/>
    </xf>
    <xf numFmtId="164" fontId="72" fillId="15" borderId="99" xfId="2" applyFont="1" applyFill="1" applyBorder="1" applyAlignment="1">
      <alignment vertical="center"/>
    </xf>
    <xf numFmtId="171" fontId="22" fillId="15" borderId="35" xfId="0" applyNumberFormat="1" applyFont="1" applyFill="1" applyBorder="1" applyAlignment="1">
      <alignment horizontal="right" vertical="center"/>
    </xf>
    <xf numFmtId="164" fontId="7" fillId="3" borderId="126" xfId="2" applyFont="1" applyFill="1" applyBorder="1" applyAlignment="1" applyProtection="1">
      <alignment horizontal="center" vertical="center"/>
    </xf>
    <xf numFmtId="167" fontId="0" fillId="0" borderId="54" xfId="0" applyNumberFormat="1" applyFont="1" applyBorder="1" applyAlignment="1">
      <alignment vertical="center"/>
    </xf>
    <xf numFmtId="171" fontId="22" fillId="24" borderId="35" xfId="0" applyNumberFormat="1" applyFont="1" applyFill="1" applyBorder="1" applyAlignment="1">
      <alignment horizontal="right" vertical="center"/>
    </xf>
    <xf numFmtId="164" fontId="7" fillId="24" borderId="127" xfId="2" applyNumberFormat="1" applyFont="1" applyFill="1" applyBorder="1" applyAlignment="1" applyProtection="1">
      <alignment horizontal="center" vertical="center"/>
    </xf>
    <xf numFmtId="167" fontId="3" fillId="0" borderId="0" xfId="0" applyNumberFormat="1" applyFont="1" applyAlignment="1">
      <alignment vertical="center"/>
    </xf>
    <xf numFmtId="164" fontId="12" fillId="15" borderId="131" xfId="2" applyFont="1" applyFill="1" applyBorder="1" applyAlignment="1">
      <alignment vertical="center"/>
    </xf>
    <xf numFmtId="164" fontId="78" fillId="48" borderId="36" xfId="2" applyFont="1" applyFill="1" applyBorder="1" applyAlignment="1">
      <alignment vertical="center"/>
    </xf>
    <xf numFmtId="164" fontId="78" fillId="48" borderId="39" xfId="2" applyFont="1" applyFill="1" applyBorder="1" applyAlignment="1">
      <alignment vertical="center"/>
    </xf>
    <xf numFmtId="1" fontId="6" fillId="15" borderId="10" xfId="0" applyNumberFormat="1" applyFont="1" applyFill="1" applyBorder="1" applyAlignment="1">
      <alignment vertical="center"/>
    </xf>
    <xf numFmtId="1" fontId="6" fillId="15" borderId="15" xfId="0" applyNumberFormat="1" applyFont="1" applyFill="1" applyBorder="1" applyAlignment="1">
      <alignment vertical="center"/>
    </xf>
    <xf numFmtId="0" fontId="8" fillId="3" borderId="15" xfId="0" applyNumberFormat="1" applyFont="1" applyFill="1" applyBorder="1" applyAlignment="1">
      <alignment vertical="center"/>
    </xf>
    <xf numFmtId="0" fontId="8" fillId="3" borderId="16" xfId="0" applyNumberFormat="1" applyFont="1" applyFill="1" applyBorder="1" applyAlignment="1">
      <alignment vertical="center"/>
    </xf>
    <xf numFmtId="0" fontId="16" fillId="4" borderId="19" xfId="0" applyNumberFormat="1" applyFont="1" applyFill="1" applyBorder="1" applyAlignment="1">
      <alignment horizontal="center" vertical="center" wrapText="1"/>
    </xf>
    <xf numFmtId="0" fontId="8" fillId="3" borderId="21" xfId="0" applyNumberFormat="1" applyFont="1" applyFill="1" applyBorder="1" applyAlignment="1">
      <alignment vertical="center"/>
    </xf>
    <xf numFmtId="0" fontId="8" fillId="3" borderId="22" xfId="0" applyNumberFormat="1" applyFont="1" applyFill="1" applyBorder="1" applyAlignment="1">
      <alignment vertical="center"/>
    </xf>
    <xf numFmtId="1" fontId="6" fillId="3" borderId="21" xfId="0" applyNumberFormat="1" applyFont="1" applyFill="1" applyBorder="1" applyAlignment="1">
      <alignment vertical="center"/>
    </xf>
    <xf numFmtId="0" fontId="16" fillId="4" borderId="20" xfId="0" applyNumberFormat="1" applyFont="1" applyFill="1" applyBorder="1" applyAlignment="1">
      <alignment horizontal="center" vertical="center" wrapText="1"/>
    </xf>
    <xf numFmtId="0" fontId="8" fillId="0" borderId="10" xfId="0" applyNumberFormat="1" applyFont="1" applyFill="1" applyBorder="1" applyAlignment="1">
      <alignment vertical="center"/>
    </xf>
    <xf numFmtId="0" fontId="8" fillId="0" borderId="11" xfId="0" applyNumberFormat="1" applyFont="1" applyFill="1" applyBorder="1" applyAlignment="1">
      <alignment vertical="center"/>
    </xf>
    <xf numFmtId="167" fontId="19" fillId="0" borderId="12" xfId="0" applyNumberFormat="1" applyFont="1" applyFill="1" applyBorder="1" applyAlignment="1">
      <alignment horizontal="left" vertical="center"/>
    </xf>
    <xf numFmtId="167" fontId="18" fillId="0" borderId="14" xfId="0" applyNumberFormat="1" applyFont="1" applyFill="1" applyBorder="1" applyAlignment="1">
      <alignment horizontal="center" vertical="center"/>
    </xf>
    <xf numFmtId="0" fontId="8" fillId="0" borderId="14" xfId="0" applyNumberFormat="1" applyFont="1" applyFill="1" applyBorder="1" applyAlignment="1">
      <alignment horizontal="center" vertical="center"/>
    </xf>
    <xf numFmtId="165" fontId="17" fillId="0" borderId="18" xfId="0" applyNumberFormat="1" applyFont="1" applyFill="1" applyBorder="1" applyAlignment="1">
      <alignment horizontal="center" vertical="center"/>
    </xf>
    <xf numFmtId="1" fontId="13" fillId="4" borderId="16" xfId="0" applyNumberFormat="1" applyFont="1" applyFill="1" applyBorder="1" applyAlignment="1">
      <alignment vertical="center"/>
    </xf>
    <xf numFmtId="167" fontId="8" fillId="3" borderId="17" xfId="0" applyNumberFormat="1" applyFont="1" applyFill="1" applyBorder="1" applyAlignment="1">
      <alignment horizontal="left" vertical="center"/>
    </xf>
    <xf numFmtId="1" fontId="13" fillId="0" borderId="16" xfId="0" applyNumberFormat="1" applyFont="1" applyBorder="1" applyAlignment="1">
      <alignment vertical="center"/>
    </xf>
    <xf numFmtId="171" fontId="22" fillId="22" borderId="90" xfId="0" applyNumberFormat="1" applyFont="1" applyFill="1" applyBorder="1" applyAlignment="1">
      <alignment vertical="center"/>
    </xf>
    <xf numFmtId="164" fontId="12" fillId="22" borderId="80" xfId="2" applyFont="1" applyFill="1" applyBorder="1" applyAlignment="1">
      <alignment vertical="center"/>
    </xf>
    <xf numFmtId="164" fontId="85" fillId="15" borderId="36" xfId="2" applyFont="1" applyFill="1" applyBorder="1" applyAlignment="1">
      <alignment vertical="center"/>
    </xf>
    <xf numFmtId="164" fontId="12" fillId="15" borderId="41" xfId="2" applyFont="1" applyFill="1" applyBorder="1" applyAlignment="1">
      <alignment vertical="center"/>
    </xf>
    <xf numFmtId="171" fontId="22" fillId="15" borderId="41" xfId="0" applyNumberFormat="1" applyFont="1" applyFill="1" applyBorder="1" applyAlignment="1">
      <alignment vertical="center"/>
    </xf>
    <xf numFmtId="164" fontId="12" fillId="0" borderId="41" xfId="2" applyFont="1" applyBorder="1" applyAlignment="1">
      <alignment vertical="center"/>
    </xf>
    <xf numFmtId="164" fontId="85" fillId="3" borderId="37" xfId="2" applyFont="1" applyFill="1" applyBorder="1" applyAlignment="1">
      <alignment vertical="center"/>
    </xf>
    <xf numFmtId="164" fontId="85" fillId="15" borderId="39" xfId="2" applyFont="1" applyFill="1" applyBorder="1" applyAlignment="1">
      <alignment vertical="center"/>
    </xf>
    <xf numFmtId="171" fontId="88" fillId="15" borderId="104" xfId="0" applyNumberFormat="1" applyFont="1" applyFill="1" applyBorder="1" applyAlignment="1">
      <alignment vertical="center"/>
    </xf>
    <xf numFmtId="164" fontId="12" fillId="15" borderId="80" xfId="2" applyFont="1" applyFill="1" applyBorder="1" applyAlignment="1">
      <alignment vertical="center"/>
    </xf>
    <xf numFmtId="171" fontId="22" fillId="15" borderId="90" xfId="0" applyNumberFormat="1" applyFont="1" applyFill="1" applyBorder="1" applyAlignment="1">
      <alignment vertical="center"/>
    </xf>
    <xf numFmtId="164" fontId="72" fillId="22" borderId="80" xfId="2" applyFont="1" applyFill="1" applyBorder="1" applyAlignment="1">
      <alignment vertical="center" wrapText="1"/>
    </xf>
    <xf numFmtId="171" fontId="22" fillId="10" borderId="90" xfId="2" applyNumberFormat="1" applyFont="1" applyFill="1" applyBorder="1" applyAlignment="1" applyProtection="1">
      <alignment horizontal="center" vertical="center"/>
    </xf>
    <xf numFmtId="164" fontId="72" fillId="22" borderId="1" xfId="2" applyFont="1" applyFill="1" applyBorder="1" applyAlignment="1">
      <alignment vertical="center" wrapText="1"/>
    </xf>
    <xf numFmtId="164" fontId="72" fillId="3" borderId="1" xfId="2" applyFont="1" applyFill="1" applyBorder="1" applyAlignment="1">
      <alignment vertical="center" wrapText="1"/>
    </xf>
    <xf numFmtId="164" fontId="12" fillId="16" borderId="6" xfId="2" applyFont="1" applyFill="1" applyBorder="1" applyAlignment="1">
      <alignment vertical="center"/>
    </xf>
    <xf numFmtId="171" fontId="22" fillId="18" borderId="96" xfId="0" applyNumberFormat="1" applyFont="1" applyFill="1" applyBorder="1" applyAlignment="1">
      <alignment vertical="center"/>
    </xf>
    <xf numFmtId="164" fontId="78" fillId="19" borderId="94" xfId="2" applyFont="1" applyFill="1" applyBorder="1" applyAlignment="1">
      <alignment vertical="center"/>
    </xf>
    <xf numFmtId="164" fontId="7" fillId="15" borderId="94" xfId="2" applyFont="1" applyFill="1" applyBorder="1" applyAlignment="1">
      <alignment vertical="center"/>
    </xf>
    <xf numFmtId="171" fontId="90" fillId="15" borderId="95" xfId="0" applyNumberFormat="1" applyFont="1" applyFill="1" applyBorder="1" applyAlignment="1">
      <alignment vertical="center"/>
    </xf>
    <xf numFmtId="171" fontId="22" fillId="0" borderId="41" xfId="0" applyNumberFormat="1" applyFont="1" applyBorder="1" applyAlignment="1">
      <alignment vertical="center"/>
    </xf>
    <xf numFmtId="164" fontId="16" fillId="0" borderId="42" xfId="2" applyFont="1" applyBorder="1" applyAlignment="1">
      <alignment vertical="center"/>
    </xf>
    <xf numFmtId="164" fontId="12" fillId="15" borderId="123" xfId="2" applyFont="1" applyFill="1" applyBorder="1" applyAlignment="1">
      <alignment vertical="center"/>
    </xf>
    <xf numFmtId="171" fontId="22" fillId="15" borderId="36" xfId="0" applyNumberFormat="1" applyFont="1" applyFill="1" applyBorder="1" applyAlignment="1">
      <alignment vertical="center"/>
    </xf>
    <xf numFmtId="164" fontId="78" fillId="0" borderId="42" xfId="2" applyFont="1" applyBorder="1" applyAlignment="1">
      <alignment vertical="center"/>
    </xf>
    <xf numFmtId="164" fontId="106" fillId="15" borderId="37" xfId="2" applyFont="1" applyFill="1" applyBorder="1" applyAlignment="1">
      <alignment vertical="center"/>
    </xf>
    <xf numFmtId="164" fontId="78" fillId="15" borderId="39" xfId="2" applyFont="1" applyFill="1" applyBorder="1" applyAlignment="1">
      <alignment vertical="center"/>
    </xf>
    <xf numFmtId="164" fontId="78" fillId="15" borderId="0" xfId="2" applyFont="1" applyFill="1" applyAlignment="1">
      <alignment vertical="center"/>
    </xf>
    <xf numFmtId="171" fontId="22" fillId="18" borderId="132" xfId="0" applyNumberFormat="1" applyFont="1" applyFill="1" applyBorder="1" applyAlignment="1">
      <alignment vertical="center"/>
    </xf>
    <xf numFmtId="164" fontId="77" fillId="17" borderId="133" xfId="2" applyFont="1" applyFill="1" applyBorder="1" applyAlignment="1">
      <alignment vertical="center"/>
    </xf>
    <xf numFmtId="171" fontId="64" fillId="59" borderId="90" xfId="0" applyNumberFormat="1" applyFont="1" applyFill="1" applyBorder="1" applyAlignment="1">
      <alignment horizontal="center" vertical="center"/>
    </xf>
    <xf numFmtId="171" fontId="16" fillId="0" borderId="42" xfId="2" applyNumberFormat="1" applyFont="1" applyBorder="1" applyAlignment="1">
      <alignment vertical="center"/>
    </xf>
    <xf numFmtId="164" fontId="78" fillId="0" borderId="15" xfId="2" applyFont="1" applyBorder="1" applyAlignment="1">
      <alignment vertical="center"/>
    </xf>
    <xf numFmtId="164" fontId="78" fillId="0" borderId="16" xfId="2" applyFont="1" applyBorder="1" applyAlignment="1">
      <alignment vertical="center"/>
    </xf>
    <xf numFmtId="164" fontId="78" fillId="19" borderId="15" xfId="2" applyFont="1" applyFill="1" applyBorder="1" applyAlignment="1">
      <alignment vertical="center"/>
    </xf>
    <xf numFmtId="164" fontId="78" fillId="19" borderId="16" xfId="2" applyFont="1" applyFill="1" applyBorder="1" applyAlignment="1">
      <alignment vertical="center"/>
    </xf>
    <xf numFmtId="164" fontId="78" fillId="0" borderId="21" xfId="2" applyFont="1" applyBorder="1" applyAlignment="1">
      <alignment vertical="center"/>
    </xf>
    <xf numFmtId="164" fontId="78" fillId="0" borderId="22" xfId="2" applyFont="1" applyBorder="1" applyAlignment="1">
      <alignment vertical="center"/>
    </xf>
    <xf numFmtId="164" fontId="2" fillId="0" borderId="37" xfId="2" applyFont="1" applyBorder="1" applyAlignment="1">
      <alignment horizontal="right" vertical="center"/>
    </xf>
    <xf numFmtId="167" fontId="16" fillId="0" borderId="33" xfId="2" applyNumberFormat="1" applyFont="1" applyBorder="1" applyAlignment="1">
      <alignment vertical="center"/>
    </xf>
    <xf numFmtId="171" fontId="12" fillId="0" borderId="41" xfId="0" applyNumberFormat="1" applyFont="1" applyBorder="1" applyAlignment="1">
      <alignment horizontal="right" vertical="center"/>
    </xf>
    <xf numFmtId="171" fontId="12" fillId="0" borderId="41" xfId="0" applyNumberFormat="1" applyFont="1" applyBorder="1" applyAlignment="1">
      <alignment vertical="center"/>
    </xf>
    <xf numFmtId="171" fontId="2" fillId="0" borderId="0" xfId="0" applyNumberFormat="1" applyFont="1" applyAlignment="1">
      <alignment vertical="center"/>
    </xf>
    <xf numFmtId="164" fontId="96" fillId="15" borderId="41" xfId="2" applyFont="1" applyFill="1" applyBorder="1" applyAlignment="1">
      <alignment vertical="center"/>
    </xf>
    <xf numFmtId="167" fontId="0" fillId="0" borderId="42" xfId="0" applyBorder="1" applyAlignment="1">
      <alignment vertical="center"/>
    </xf>
    <xf numFmtId="0" fontId="8" fillId="60" borderId="16" xfId="0" applyNumberFormat="1" applyFont="1" applyFill="1" applyBorder="1" applyAlignment="1">
      <alignment vertical="center"/>
    </xf>
    <xf numFmtId="167" fontId="8" fillId="60" borderId="17" xfId="0" applyNumberFormat="1" applyFont="1" applyFill="1" applyBorder="1" applyAlignment="1">
      <alignment horizontal="left" vertical="center"/>
    </xf>
    <xf numFmtId="1" fontId="13" fillId="0" borderId="22" xfId="0" applyNumberFormat="1" applyFont="1" applyBorder="1" applyAlignment="1">
      <alignment vertical="center"/>
    </xf>
    <xf numFmtId="0" fontId="8" fillId="18" borderId="25" xfId="0" applyNumberFormat="1" applyFont="1" applyFill="1" applyBorder="1" applyAlignment="1">
      <alignment vertical="center"/>
    </xf>
    <xf numFmtId="0" fontId="8" fillId="60" borderId="10" xfId="0" applyNumberFormat="1" applyFont="1" applyFill="1" applyBorder="1" applyAlignment="1">
      <alignment vertical="center"/>
    </xf>
    <xf numFmtId="1" fontId="107" fillId="0" borderId="11" xfId="0" applyNumberFormat="1" applyFont="1" applyBorder="1" applyAlignment="1">
      <alignment vertical="center"/>
    </xf>
    <xf numFmtId="167" fontId="38" fillId="60" borderId="12" xfId="0" applyNumberFormat="1" applyFont="1" applyFill="1" applyBorder="1" applyAlignment="1">
      <alignment horizontal="left" vertical="center"/>
    </xf>
    <xf numFmtId="1" fontId="107" fillId="0" borderId="16" xfId="0" applyNumberFormat="1" applyFont="1" applyBorder="1" applyAlignment="1">
      <alignment vertical="center"/>
    </xf>
    <xf numFmtId="1" fontId="8" fillId="15" borderId="0" xfId="0" applyNumberFormat="1" applyFont="1" applyFill="1" applyAlignment="1">
      <alignment horizontal="center" vertical="center"/>
    </xf>
    <xf numFmtId="1" fontId="13" fillId="0" borderId="11" xfId="0" applyNumberFormat="1" applyFont="1" applyBorder="1" applyAlignment="1">
      <alignment vertical="center"/>
    </xf>
    <xf numFmtId="171" fontId="12" fillId="0" borderId="35" xfId="0" applyNumberFormat="1" applyFont="1" applyFill="1" applyBorder="1" applyAlignment="1">
      <alignment vertical="center"/>
    </xf>
    <xf numFmtId="171" fontId="8" fillId="15" borderId="0" xfId="0" applyNumberFormat="1" applyFont="1" applyFill="1" applyAlignment="1">
      <alignment horizontal="center" vertical="center"/>
    </xf>
    <xf numFmtId="167" fontId="8" fillId="15" borderId="54" xfId="0" applyNumberFormat="1" applyFont="1" applyFill="1" applyBorder="1" applyAlignment="1">
      <alignment horizontal="center" vertical="center"/>
    </xf>
    <xf numFmtId="164" fontId="8" fillId="15" borderId="0" xfId="2" applyFont="1" applyFill="1" applyAlignment="1">
      <alignment horizontal="center" vertical="center"/>
    </xf>
    <xf numFmtId="175" fontId="7" fillId="24" borderId="35" xfId="2" applyNumberFormat="1" applyFont="1" applyFill="1" applyBorder="1" applyAlignment="1" applyProtection="1">
      <alignment vertical="center"/>
    </xf>
    <xf numFmtId="171" fontId="22" fillId="15" borderId="35" xfId="3" applyNumberFormat="1" applyFont="1" applyFill="1" applyBorder="1" applyAlignment="1">
      <alignment vertical="center"/>
    </xf>
    <xf numFmtId="167" fontId="12" fillId="15" borderId="0" xfId="0" applyNumberFormat="1" applyFont="1" applyFill="1" applyAlignment="1">
      <alignment horizontal="center" vertical="center"/>
    </xf>
    <xf numFmtId="167" fontId="16" fillId="0" borderId="16" xfId="2" applyNumberFormat="1" applyFont="1" applyBorder="1" applyAlignment="1">
      <alignment vertical="center"/>
    </xf>
    <xf numFmtId="165" fontId="16" fillId="4" borderId="18" xfId="0" applyNumberFormat="1" applyFont="1" applyFill="1" applyBorder="1" applyAlignment="1">
      <alignment horizontal="center" vertical="center"/>
    </xf>
    <xf numFmtId="0" fontId="8" fillId="60" borderId="22" xfId="0" applyNumberFormat="1" applyFont="1" applyFill="1" applyBorder="1" applyAlignment="1">
      <alignment vertical="center"/>
    </xf>
    <xf numFmtId="167" fontId="8" fillId="60" borderId="23" xfId="0" applyNumberFormat="1" applyFont="1" applyFill="1" applyBorder="1" applyAlignment="1">
      <alignment horizontal="left" vertical="center"/>
    </xf>
    <xf numFmtId="167" fontId="18" fillId="3" borderId="20" xfId="0" applyNumberFormat="1" applyFont="1" applyFill="1" applyBorder="1" applyAlignment="1">
      <alignment horizontal="center" vertical="center"/>
    </xf>
    <xf numFmtId="165" fontId="16" fillId="4" borderId="24" xfId="0" applyNumberFormat="1" applyFont="1" applyFill="1" applyBorder="1" applyAlignment="1">
      <alignment horizontal="center" vertical="center"/>
    </xf>
    <xf numFmtId="164" fontId="7" fillId="19" borderId="37" xfId="2" applyFont="1" applyFill="1" applyBorder="1" applyAlignment="1">
      <alignment vertical="center"/>
    </xf>
    <xf numFmtId="0" fontId="8" fillId="15" borderId="54" xfId="0" applyNumberFormat="1" applyFont="1" applyFill="1" applyBorder="1" applyAlignment="1">
      <alignment horizontal="center" vertical="center"/>
    </xf>
    <xf numFmtId="164" fontId="12" fillId="60" borderId="99" xfId="2" applyFont="1" applyFill="1" applyBorder="1" applyAlignment="1">
      <alignment vertical="center"/>
    </xf>
    <xf numFmtId="171" fontId="22" fillId="60" borderId="35" xfId="0" applyNumberFormat="1" applyFont="1" applyFill="1" applyBorder="1" applyAlignment="1">
      <alignment vertical="center"/>
    </xf>
    <xf numFmtId="164" fontId="12" fillId="60" borderId="114" xfId="2" applyFont="1" applyFill="1" applyBorder="1" applyAlignment="1">
      <alignment vertical="center"/>
    </xf>
    <xf numFmtId="171" fontId="22" fillId="60" borderId="105" xfId="0" applyNumberFormat="1" applyFont="1" applyFill="1" applyBorder="1" applyAlignment="1">
      <alignment vertical="center"/>
    </xf>
    <xf numFmtId="0" fontId="12" fillId="15" borderId="0" xfId="0" applyNumberFormat="1" applyFont="1" applyFill="1" applyAlignment="1">
      <alignment horizontal="center" vertical="center"/>
    </xf>
    <xf numFmtId="1" fontId="13" fillId="4" borderId="22" xfId="0" applyNumberFormat="1" applyFont="1" applyFill="1" applyBorder="1" applyAlignment="1">
      <alignment vertical="center"/>
    </xf>
    <xf numFmtId="167" fontId="8" fillId="3" borderId="23" xfId="0" applyNumberFormat="1" applyFont="1" applyFill="1" applyBorder="1" applyAlignment="1">
      <alignment horizontal="left" vertical="center"/>
    </xf>
    <xf numFmtId="1" fontId="13" fillId="0" borderId="13" xfId="0" applyNumberFormat="1" applyFont="1" applyBorder="1" applyAlignment="1">
      <alignment vertical="center"/>
    </xf>
    <xf numFmtId="167" fontId="18" fillId="60" borderId="19" xfId="0" applyNumberFormat="1" applyFont="1" applyFill="1" applyBorder="1" applyAlignment="1">
      <alignment horizontal="center" vertical="center"/>
    </xf>
    <xf numFmtId="0" fontId="8" fillId="60" borderId="19" xfId="0" applyNumberFormat="1" applyFont="1" applyFill="1" applyBorder="1" applyAlignment="1">
      <alignment horizontal="center" vertical="center"/>
    </xf>
    <xf numFmtId="1" fontId="13" fillId="0" borderId="18" xfId="0" applyNumberFormat="1" applyFont="1" applyBorder="1" applyAlignment="1">
      <alignment vertical="center"/>
    </xf>
    <xf numFmtId="171" fontId="22" fillId="24" borderId="95" xfId="0" applyNumberFormat="1" applyFont="1" applyFill="1" applyBorder="1" applyAlignment="1">
      <alignment vertical="center"/>
    </xf>
    <xf numFmtId="164" fontId="7" fillId="0" borderId="94" xfId="2" applyFont="1" applyBorder="1" applyAlignment="1">
      <alignment vertical="center"/>
    </xf>
    <xf numFmtId="171" fontId="108" fillId="15" borderId="35" xfId="0" applyNumberFormat="1" applyFont="1" applyFill="1" applyBorder="1" applyAlignment="1">
      <alignment vertical="center"/>
    </xf>
    <xf numFmtId="164" fontId="12" fillId="19" borderId="114" xfId="2" applyFont="1" applyFill="1" applyBorder="1" applyAlignment="1">
      <alignment vertical="center"/>
    </xf>
    <xf numFmtId="167" fontId="75" fillId="4" borderId="37" xfId="0" applyNumberFormat="1" applyFont="1" applyFill="1" applyBorder="1" applyAlignment="1">
      <alignment vertical="center"/>
    </xf>
    <xf numFmtId="167" fontId="16" fillId="4" borderId="16" xfId="2" applyNumberFormat="1" applyFont="1" applyFill="1" applyBorder="1" applyAlignment="1">
      <alignment vertical="center"/>
    </xf>
    <xf numFmtId="1" fontId="13" fillId="4" borderId="18" xfId="0" applyNumberFormat="1" applyFont="1" applyFill="1" applyBorder="1" applyAlignment="1">
      <alignment vertical="center"/>
    </xf>
    <xf numFmtId="1" fontId="13" fillId="0" borderId="24" xfId="0" applyNumberFormat="1" applyFont="1" applyBorder="1" applyAlignment="1">
      <alignment vertical="center"/>
    </xf>
    <xf numFmtId="0" fontId="8" fillId="60" borderId="11" xfId="0" applyNumberFormat="1" applyFont="1" applyFill="1" applyBorder="1" applyAlignment="1">
      <alignment vertical="center"/>
    </xf>
    <xf numFmtId="167" fontId="8" fillId="60" borderId="12" xfId="0" applyNumberFormat="1" applyFont="1" applyFill="1" applyBorder="1" applyAlignment="1">
      <alignment horizontal="left" vertical="center"/>
    </xf>
    <xf numFmtId="167" fontId="18" fillId="60" borderId="14" xfId="0" applyNumberFormat="1" applyFont="1" applyFill="1" applyBorder="1" applyAlignment="1">
      <alignment horizontal="center" vertical="center"/>
    </xf>
    <xf numFmtId="0" fontId="8" fillId="60" borderId="14" xfId="0" applyNumberFormat="1" applyFont="1" applyFill="1" applyBorder="1" applyAlignment="1">
      <alignment horizontal="center" vertical="center"/>
    </xf>
    <xf numFmtId="1" fontId="107" fillId="0" borderId="18" xfId="0" applyNumberFormat="1" applyFont="1" applyBorder="1" applyAlignment="1">
      <alignment vertical="center"/>
    </xf>
    <xf numFmtId="1" fontId="35" fillId="0" borderId="18" xfId="0" applyNumberFormat="1" applyFont="1" applyBorder="1" applyAlignment="1">
      <alignment vertical="center"/>
    </xf>
    <xf numFmtId="164" fontId="7" fillId="15" borderId="39" xfId="2" applyFont="1" applyFill="1" applyBorder="1" applyAlignment="1">
      <alignment vertical="center"/>
    </xf>
    <xf numFmtId="171" fontId="22" fillId="22" borderId="96" xfId="0" applyNumberFormat="1" applyFont="1" applyFill="1" applyBorder="1" applyAlignment="1">
      <alignment vertical="center"/>
    </xf>
    <xf numFmtId="164" fontId="12" fillId="22" borderId="6" xfId="2" applyFont="1" applyFill="1" applyBorder="1" applyAlignment="1">
      <alignment vertical="center"/>
    </xf>
    <xf numFmtId="164" fontId="12" fillId="19" borderId="94" xfId="2" applyFont="1" applyFill="1" applyBorder="1" applyAlignment="1">
      <alignment vertical="center"/>
    </xf>
    <xf numFmtId="171" fontId="22" fillId="19" borderId="95" xfId="0" applyNumberFormat="1" applyFont="1" applyFill="1" applyBorder="1" applyAlignment="1">
      <alignment vertical="center"/>
    </xf>
    <xf numFmtId="164" fontId="2" fillId="0" borderId="6" xfId="2" applyFont="1" applyBorder="1" applyAlignment="1">
      <alignment vertical="center"/>
    </xf>
    <xf numFmtId="171" fontId="22" fillId="9" borderId="6" xfId="0" applyNumberFormat="1" applyFont="1" applyFill="1" applyBorder="1" applyAlignment="1">
      <alignment vertical="center"/>
    </xf>
    <xf numFmtId="164" fontId="8" fillId="9" borderId="6" xfId="2" applyFont="1" applyFill="1" applyBorder="1" applyAlignment="1">
      <alignment vertical="center"/>
    </xf>
    <xf numFmtId="171" fontId="22" fillId="0" borderId="6" xfId="0" applyNumberFormat="1" applyFont="1" applyBorder="1" applyAlignment="1">
      <alignment vertical="center"/>
    </xf>
    <xf numFmtId="171" fontId="22" fillId="9" borderId="0" xfId="0" applyNumberFormat="1" applyFont="1" applyFill="1" applyBorder="1" applyAlignment="1">
      <alignment vertical="center"/>
    </xf>
    <xf numFmtId="164" fontId="8" fillId="9" borderId="0" xfId="2" applyFont="1" applyFill="1" applyBorder="1" applyAlignment="1">
      <alignment vertical="center"/>
    </xf>
    <xf numFmtId="164" fontId="72" fillId="22" borderId="50" xfId="2" applyFont="1" applyFill="1" applyBorder="1" applyAlignment="1">
      <alignment vertical="center" wrapText="1"/>
    </xf>
    <xf numFmtId="171" fontId="22" fillId="10" borderId="16" xfId="2" applyNumberFormat="1" applyFont="1" applyFill="1" applyBorder="1" applyAlignment="1" applyProtection="1">
      <alignment horizontal="center" vertical="center"/>
    </xf>
    <xf numFmtId="171" fontId="22" fillId="10" borderId="37" xfId="2" applyNumberFormat="1" applyFont="1" applyFill="1" applyBorder="1" applyAlignment="1" applyProtection="1">
      <alignment horizontal="center" vertical="center"/>
    </xf>
    <xf numFmtId="164" fontId="72" fillId="22" borderId="51" xfId="2" applyFont="1" applyFill="1" applyBorder="1" applyAlignment="1">
      <alignment vertical="center" wrapText="1"/>
    </xf>
    <xf numFmtId="171" fontId="22" fillId="10" borderId="22" xfId="2" applyNumberFormat="1" applyFont="1" applyFill="1" applyBorder="1" applyAlignment="1" applyProtection="1">
      <alignment horizontal="center" vertical="center"/>
    </xf>
    <xf numFmtId="171" fontId="22" fillId="10" borderId="39" xfId="2" applyNumberFormat="1" applyFont="1" applyFill="1" applyBorder="1" applyAlignment="1" applyProtection="1">
      <alignment horizontal="center" vertical="center"/>
    </xf>
    <xf numFmtId="171" fontId="22" fillId="9" borderId="9" xfId="0" applyNumberFormat="1" applyFont="1" applyFill="1" applyBorder="1" applyAlignment="1">
      <alignment vertical="center"/>
    </xf>
    <xf numFmtId="171" fontId="22" fillId="9" borderId="54" xfId="0" applyNumberFormat="1" applyFont="1" applyFill="1" applyBorder="1" applyAlignment="1">
      <alignment vertical="center"/>
    </xf>
    <xf numFmtId="164" fontId="12" fillId="15" borderId="122" xfId="2" applyFont="1" applyFill="1" applyBorder="1" applyAlignment="1">
      <alignment vertical="center"/>
    </xf>
    <xf numFmtId="167" fontId="0" fillId="0" borderId="36" xfId="0" applyNumberFormat="1" applyFont="1" applyBorder="1" applyAlignment="1">
      <alignment vertical="center"/>
    </xf>
    <xf numFmtId="167" fontId="0" fillId="0" borderId="37" xfId="0" applyNumberFormat="1" applyFont="1" applyBorder="1" applyAlignment="1">
      <alignment vertical="center"/>
    </xf>
    <xf numFmtId="164" fontId="12" fillId="15" borderId="126" xfId="2" applyFont="1" applyFill="1" applyBorder="1" applyAlignment="1">
      <alignment vertical="center"/>
    </xf>
    <xf numFmtId="167" fontId="0" fillId="0" borderId="39" xfId="0" applyNumberFormat="1" applyFont="1" applyBorder="1" applyAlignment="1">
      <alignment vertical="center"/>
    </xf>
    <xf numFmtId="164" fontId="12" fillId="9" borderId="6" xfId="2" applyFont="1" applyFill="1" applyBorder="1" applyAlignment="1">
      <alignment vertical="center"/>
    </xf>
    <xf numFmtId="164" fontId="12" fillId="9" borderId="0" xfId="2" applyFont="1" applyFill="1" applyBorder="1" applyAlignment="1">
      <alignment vertical="center"/>
    </xf>
    <xf numFmtId="164" fontId="72" fillId="19" borderId="37" xfId="2" applyFont="1" applyFill="1" applyBorder="1" applyAlignment="1">
      <alignment vertical="center" wrapText="1"/>
    </xf>
    <xf numFmtId="171" fontId="22" fillId="19" borderId="35" xfId="2" applyNumberFormat="1" applyFont="1" applyFill="1" applyBorder="1" applyAlignment="1" applyProtection="1">
      <alignment horizontal="center" vertical="center"/>
    </xf>
    <xf numFmtId="164" fontId="12" fillId="0" borderId="39" xfId="2" applyFont="1" applyFill="1" applyBorder="1" applyAlignment="1">
      <alignment vertical="center"/>
    </xf>
    <xf numFmtId="164" fontId="72" fillId="19" borderId="50" xfId="2" applyFont="1" applyFill="1" applyBorder="1" applyAlignment="1">
      <alignment vertical="center" wrapText="1"/>
    </xf>
    <xf numFmtId="171" fontId="22" fillId="19" borderId="16" xfId="2" applyNumberFormat="1" applyFont="1" applyFill="1" applyBorder="1" applyAlignment="1" applyProtection="1">
      <alignment horizontal="center" vertical="center"/>
    </xf>
    <xf numFmtId="164" fontId="12" fillId="15" borderId="99" xfId="2" applyNumberFormat="1" applyFont="1" applyFill="1" applyBorder="1" applyAlignment="1">
      <alignment vertical="center"/>
    </xf>
    <xf numFmtId="171" fontId="7" fillId="15" borderId="35" xfId="0" applyNumberFormat="1" applyFont="1" applyFill="1" applyBorder="1" applyAlignment="1">
      <alignment vertical="center"/>
    </xf>
    <xf numFmtId="171" fontId="7" fillId="0" borderId="35" xfId="0" applyNumberFormat="1" applyFont="1" applyFill="1" applyBorder="1" applyAlignment="1">
      <alignment vertical="center"/>
    </xf>
    <xf numFmtId="164" fontId="72" fillId="22" borderId="99" xfId="2" applyFont="1" applyFill="1" applyBorder="1" applyAlignment="1">
      <alignment vertical="center" wrapText="1"/>
    </xf>
    <xf numFmtId="171" fontId="22" fillId="10" borderId="105" xfId="2" applyNumberFormat="1" applyFont="1" applyFill="1" applyBorder="1" applyAlignment="1" applyProtection="1">
      <alignment horizontal="center" vertical="center"/>
    </xf>
    <xf numFmtId="164" fontId="7" fillId="15" borderId="99" xfId="2" applyFont="1" applyFill="1" applyBorder="1" applyAlignment="1">
      <alignment vertical="center"/>
    </xf>
    <xf numFmtId="167" fontId="4" fillId="24" borderId="23" xfId="0" applyNumberFormat="1" applyFont="1" applyFill="1" applyBorder="1" applyAlignment="1">
      <alignment horizontal="left" vertical="center"/>
    </xf>
    <xf numFmtId="1" fontId="19" fillId="0" borderId="18" xfId="0" applyNumberFormat="1" applyFont="1" applyBorder="1" applyAlignment="1">
      <alignment vertical="center"/>
    </xf>
    <xf numFmtId="164" fontId="78" fillId="0" borderId="111" xfId="2" applyFont="1" applyBorder="1" applyAlignment="1">
      <alignment vertical="center"/>
    </xf>
    <xf numFmtId="171" fontId="22" fillId="15" borderId="134" xfId="0" applyNumberFormat="1" applyFont="1" applyFill="1" applyBorder="1" applyAlignment="1">
      <alignment vertical="center"/>
    </xf>
    <xf numFmtId="164" fontId="12" fillId="15" borderId="135" xfId="2" applyFont="1" applyFill="1" applyBorder="1" applyAlignment="1">
      <alignment vertical="center"/>
    </xf>
    <xf numFmtId="167" fontId="16" fillId="0" borderId="22" xfId="2" applyNumberFormat="1" applyFont="1" applyBorder="1" applyAlignment="1">
      <alignment vertical="center"/>
    </xf>
    <xf numFmtId="167" fontId="0" fillId="0" borderId="1" xfId="0" applyBorder="1"/>
    <xf numFmtId="164" fontId="0" fillId="0" borderId="1" xfId="2" applyFont="1" applyBorder="1" applyAlignment="1">
      <alignment vertical="center"/>
    </xf>
    <xf numFmtId="171" fontId="0" fillId="0" borderId="1" xfId="0" applyNumberFormat="1" applyBorder="1" applyAlignment="1">
      <alignment vertical="center"/>
    </xf>
    <xf numFmtId="167" fontId="70" fillId="0" borderId="1" xfId="0" applyFont="1" applyBorder="1" applyAlignment="1">
      <alignment vertical="center"/>
    </xf>
    <xf numFmtId="164" fontId="106" fillId="15" borderId="99" xfId="2" applyFont="1" applyFill="1" applyBorder="1" applyAlignment="1">
      <alignment vertical="center"/>
    </xf>
    <xf numFmtId="1" fontId="109" fillId="0" borderId="0" xfId="0" applyNumberFormat="1" applyFont="1"/>
    <xf numFmtId="167" fontId="2" fillId="0" borderId="0" xfId="0" applyFont="1" applyBorder="1" applyAlignment="1">
      <alignment vertical="center"/>
    </xf>
    <xf numFmtId="171" fontId="22" fillId="4" borderId="90" xfId="0" quotePrefix="1" applyNumberFormat="1" applyFont="1" applyFill="1" applyBorder="1" applyAlignment="1">
      <alignment vertical="center"/>
    </xf>
    <xf numFmtId="171" fontId="22" fillId="4" borderId="3" xfId="0" quotePrefix="1" applyNumberFormat="1" applyFont="1" applyFill="1" applyBorder="1" applyAlignment="1">
      <alignment vertical="center"/>
    </xf>
    <xf numFmtId="171" fontId="22" fillId="0" borderId="90" xfId="0" quotePrefix="1" applyNumberFormat="1" applyFont="1" applyFill="1" applyBorder="1" applyAlignment="1">
      <alignment vertical="center"/>
    </xf>
    <xf numFmtId="171" fontId="64" fillId="4" borderId="3" xfId="2" quotePrefix="1" applyNumberFormat="1" applyFont="1" applyFill="1" applyBorder="1" applyAlignment="1">
      <alignment vertical="center"/>
    </xf>
    <xf numFmtId="171" fontId="22" fillId="4" borderId="3" xfId="2" quotePrefix="1" applyNumberFormat="1" applyFont="1" applyFill="1" applyBorder="1" applyAlignment="1">
      <alignment vertical="center"/>
    </xf>
    <xf numFmtId="167" fontId="8" fillId="4" borderId="3" xfId="0" quotePrefix="1" applyFont="1" applyFill="1" applyBorder="1" applyAlignment="1">
      <alignment vertical="center"/>
    </xf>
    <xf numFmtId="164" fontId="8" fillId="4" borderId="7" xfId="2" quotePrefix="1" applyFont="1" applyFill="1" applyBorder="1" applyAlignment="1">
      <alignment vertical="center"/>
    </xf>
    <xf numFmtId="169" fontId="7" fillId="51" borderId="37" xfId="0" quotePrefix="1" applyNumberFormat="1" applyFont="1" applyFill="1" applyBorder="1" applyAlignment="1">
      <alignment vertical="center"/>
    </xf>
    <xf numFmtId="169" fontId="7" fillId="51" borderId="39" xfId="0" quotePrefix="1" applyNumberFormat="1" applyFont="1" applyFill="1" applyBorder="1" applyAlignment="1">
      <alignment vertical="center"/>
    </xf>
    <xf numFmtId="171" fontId="22" fillId="3" borderId="35" xfId="0" quotePrefix="1" applyNumberFormat="1" applyFont="1" applyFill="1" applyBorder="1" applyAlignment="1">
      <alignment vertical="center"/>
    </xf>
    <xf numFmtId="171" fontId="22" fillId="4" borderId="35" xfId="0" quotePrefix="1" applyNumberFormat="1" applyFont="1" applyFill="1" applyBorder="1" applyAlignment="1">
      <alignment vertical="center"/>
    </xf>
    <xf numFmtId="171" fontId="22" fillId="15" borderId="35" xfId="0" quotePrefix="1" applyNumberFormat="1" applyFont="1" applyFill="1" applyBorder="1" applyAlignment="1">
      <alignment vertical="center"/>
    </xf>
    <xf numFmtId="171" fontId="22" fillId="15" borderId="104" xfId="0" quotePrefix="1" applyNumberFormat="1" applyFont="1" applyFill="1" applyBorder="1" applyAlignment="1">
      <alignment vertical="center"/>
    </xf>
    <xf numFmtId="170" fontId="45" fillId="0" borderId="0" xfId="0" quotePrefix="1" applyNumberFormat="1" applyFont="1"/>
    <xf numFmtId="0" fontId="45" fillId="0" borderId="0" xfId="0" quotePrefix="1" applyNumberFormat="1" applyFont="1"/>
    <xf numFmtId="170" fontId="9" fillId="0" borderId="0" xfId="0" quotePrefix="1" applyNumberFormat="1" applyFont="1"/>
    <xf numFmtId="0" fontId="9" fillId="0" borderId="0" xfId="0" quotePrefix="1" applyNumberFormat="1" applyFont="1"/>
    <xf numFmtId="0" fontId="10" fillId="0" borderId="0" xfId="0" quotePrefix="1" applyNumberFormat="1" applyFont="1"/>
    <xf numFmtId="167" fontId="57" fillId="0" borderId="3" xfId="0" quotePrefix="1" applyFont="1" applyBorder="1" applyAlignment="1">
      <alignment horizontal="center" vertical="center"/>
    </xf>
    <xf numFmtId="167" fontId="57" fillId="9" borderId="3" xfId="0" quotePrefix="1" applyFont="1" applyFill="1" applyBorder="1" applyAlignment="1">
      <alignment horizontal="center" vertical="center"/>
    </xf>
    <xf numFmtId="167" fontId="2" fillId="0" borderId="3" xfId="0" quotePrefix="1" applyFont="1" applyBorder="1"/>
    <xf numFmtId="167" fontId="40" fillId="0" borderId="0" xfId="0" quotePrefix="1" applyFont="1" applyBorder="1"/>
    <xf numFmtId="167" fontId="40" fillId="0" borderId="0" xfId="0" quotePrefix="1" applyFont="1"/>
    <xf numFmtId="167" fontId="5" fillId="2" borderId="53" xfId="0" applyFont="1" applyFill="1" applyBorder="1" applyAlignment="1">
      <alignment horizontal="center" vertical="center" wrapText="1"/>
    </xf>
    <xf numFmtId="167" fontId="5" fillId="2" borderId="0" xfId="0" applyFont="1" applyFill="1" applyBorder="1" applyAlignment="1">
      <alignment horizontal="center" vertical="center" wrapText="1"/>
    </xf>
    <xf numFmtId="167" fontId="5" fillId="2" borderId="55" xfId="0" applyFont="1" applyFill="1" applyBorder="1" applyAlignment="1">
      <alignment horizontal="center" vertical="center" wrapText="1"/>
    </xf>
    <xf numFmtId="167" fontId="5" fillId="2" borderId="1" xfId="0" applyFont="1" applyFill="1" applyBorder="1" applyAlignment="1">
      <alignment horizontal="center" vertical="center" wrapText="1"/>
    </xf>
    <xf numFmtId="167" fontId="5" fillId="2" borderId="93" xfId="0" applyFont="1" applyFill="1" applyBorder="1" applyAlignment="1">
      <alignment horizontal="center" vertical="center" wrapText="1"/>
    </xf>
    <xf numFmtId="167" fontId="5" fillId="2" borderId="46" xfId="0" applyFont="1" applyFill="1" applyBorder="1" applyAlignment="1">
      <alignment horizontal="center" vertical="center" wrapText="1"/>
    </xf>
    <xf numFmtId="164" fontId="5" fillId="2" borderId="53" xfId="2" applyFont="1" applyFill="1" applyBorder="1" applyAlignment="1">
      <alignment horizontal="center" vertical="center" wrapText="1"/>
    </xf>
    <xf numFmtId="164" fontId="5" fillId="2" borderId="55" xfId="2" applyFont="1" applyFill="1" applyBorder="1" applyAlignment="1">
      <alignment horizontal="center" vertical="center" wrapText="1"/>
    </xf>
    <xf numFmtId="0" fontId="5" fillId="2" borderId="2" xfId="0" applyNumberFormat="1" applyFont="1" applyFill="1" applyBorder="1" applyAlignment="1">
      <alignment horizontal="center" vertical="center" wrapText="1"/>
    </xf>
    <xf numFmtId="0" fontId="5" fillId="2" borderId="4" xfId="0" applyNumberFormat="1" applyFont="1" applyFill="1" applyBorder="1" applyAlignment="1">
      <alignment horizontal="center" vertical="center" wrapText="1"/>
    </xf>
    <xf numFmtId="1" fontId="2" fillId="2" borderId="2" xfId="0" applyNumberFormat="1" applyFont="1" applyFill="1" applyBorder="1" applyAlignment="1">
      <alignment horizontal="center" vertical="center" wrapText="1"/>
    </xf>
    <xf numFmtId="1" fontId="2" fillId="2" borderId="4" xfId="0" applyNumberFormat="1" applyFont="1" applyFill="1" applyBorder="1" applyAlignment="1">
      <alignment horizontal="center" vertical="center" wrapText="1"/>
    </xf>
    <xf numFmtId="1" fontId="2" fillId="2" borderId="5" xfId="0" applyNumberFormat="1" applyFont="1" applyFill="1" applyBorder="1" applyAlignment="1">
      <alignment horizontal="center" vertical="center" wrapText="1"/>
    </xf>
    <xf numFmtId="167" fontId="5" fillId="2" borderId="2" xfId="0" applyFont="1" applyFill="1" applyBorder="1" applyAlignment="1">
      <alignment horizontal="center" vertical="center" wrapText="1"/>
    </xf>
    <xf numFmtId="167" fontId="5" fillId="2" borderId="4" xfId="0" applyFont="1" applyFill="1" applyBorder="1" applyAlignment="1">
      <alignment horizontal="center" vertical="center" wrapText="1"/>
    </xf>
    <xf numFmtId="167" fontId="6" fillId="2" borderId="2" xfId="0" applyFont="1" applyFill="1" applyBorder="1" applyAlignment="1">
      <alignment horizontal="center" vertical="center" wrapText="1"/>
    </xf>
    <xf numFmtId="167" fontId="6" fillId="2" borderId="4" xfId="0" applyFont="1" applyFill="1" applyBorder="1" applyAlignment="1">
      <alignment horizontal="center" vertical="center" wrapText="1"/>
    </xf>
    <xf numFmtId="167" fontId="5" fillId="8" borderId="93" xfId="0" applyFont="1" applyFill="1" applyBorder="1" applyAlignment="1">
      <alignment horizontal="center" vertical="center" wrapText="1"/>
    </xf>
    <xf numFmtId="167" fontId="5" fillId="8" borderId="46" xfId="0" applyFont="1" applyFill="1" applyBorder="1" applyAlignment="1">
      <alignment horizontal="center" vertical="center" wrapText="1"/>
    </xf>
    <xf numFmtId="167" fontId="2" fillId="5" borderId="72" xfId="0" applyFont="1" applyFill="1" applyBorder="1" applyAlignment="1">
      <alignment horizontal="center" vertical="center"/>
    </xf>
    <xf numFmtId="167" fontId="5" fillId="44" borderId="1" xfId="0" applyFont="1" applyFill="1" applyBorder="1" applyAlignment="1">
      <alignment horizontal="center" vertical="center"/>
    </xf>
    <xf numFmtId="167" fontId="5" fillId="29" borderId="55" xfId="0" applyFont="1" applyFill="1" applyBorder="1" applyAlignment="1">
      <alignment horizontal="center" vertical="center" wrapText="1"/>
    </xf>
    <xf numFmtId="167" fontId="5" fillId="29" borderId="1" xfId="0" applyFont="1" applyFill="1" applyBorder="1" applyAlignment="1">
      <alignment horizontal="center" vertical="center" wrapText="1"/>
    </xf>
    <xf numFmtId="164" fontId="2" fillId="2" borderId="2" xfId="2" applyFont="1" applyFill="1" applyBorder="1" applyAlignment="1">
      <alignment horizontal="center" vertical="center" wrapText="1"/>
    </xf>
    <xf numFmtId="164" fontId="2" fillId="2" borderId="5" xfId="2" applyFont="1" applyFill="1" applyBorder="1" applyAlignment="1">
      <alignment horizontal="center" vertical="center" wrapText="1"/>
    </xf>
    <xf numFmtId="167" fontId="2" fillId="2" borderId="2" xfId="0" applyFont="1" applyFill="1" applyBorder="1" applyAlignment="1">
      <alignment horizontal="center" vertical="center" wrapText="1"/>
    </xf>
    <xf numFmtId="167" fontId="2" fillId="2" borderId="5" xfId="0" applyFont="1" applyFill="1" applyBorder="1" applyAlignment="1">
      <alignment horizontal="center" vertical="center" wrapText="1"/>
    </xf>
    <xf numFmtId="1" fontId="40" fillId="0" borderId="0" xfId="0" applyNumberFormat="1" applyFont="1" applyFill="1" applyAlignment="1">
      <alignment horizontal="left"/>
    </xf>
    <xf numFmtId="167" fontId="40" fillId="0" borderId="0" xfId="0" applyNumberFormat="1" applyFont="1" applyFill="1" applyAlignment="1">
      <alignment horizontal="left"/>
    </xf>
    <xf numFmtId="167" fontId="40" fillId="0" borderId="0" xfId="0" applyFont="1" applyFill="1" applyAlignment="1">
      <alignment horizontal="left"/>
    </xf>
    <xf numFmtId="167" fontId="10" fillId="0" borderId="0" xfId="0" applyFont="1" applyAlignment="1">
      <alignment horizontal="left"/>
    </xf>
    <xf numFmtId="167" fontId="40" fillId="29" borderId="50" xfId="0" applyNumberFormat="1" applyFont="1" applyFill="1" applyBorder="1" applyAlignment="1">
      <alignment horizontal="center"/>
    </xf>
    <xf numFmtId="167" fontId="40" fillId="29" borderId="16" xfId="0" applyNumberFormat="1" applyFont="1" applyFill="1" applyBorder="1" applyAlignment="1">
      <alignment horizontal="center"/>
    </xf>
    <xf numFmtId="167" fontId="40" fillId="29" borderId="51" xfId="0" applyNumberFormat="1" applyFont="1" applyFill="1" applyBorder="1" applyAlignment="1">
      <alignment horizontal="center"/>
    </xf>
    <xf numFmtId="167" fontId="40" fillId="29" borderId="22" xfId="0" applyNumberFormat="1" applyFont="1" applyFill="1" applyBorder="1" applyAlignment="1">
      <alignment horizontal="center"/>
    </xf>
    <xf numFmtId="167" fontId="0" fillId="0" borderId="0" xfId="0" applyNumberFormat="1" applyFont="1" applyAlignment="1">
      <alignment horizontal="left"/>
    </xf>
    <xf numFmtId="0" fontId="0" fillId="0" borderId="0" xfId="0" applyNumberFormat="1" applyFont="1" applyAlignment="1"/>
    <xf numFmtId="0" fontId="0" fillId="0" borderId="0" xfId="0" applyNumberFormat="1" applyAlignment="1"/>
    <xf numFmtId="0" fontId="41" fillId="0" borderId="0" xfId="0" applyNumberFormat="1" applyFont="1" applyAlignment="1">
      <alignment horizontal="center"/>
    </xf>
    <xf numFmtId="0" fontId="42" fillId="0" borderId="0" xfId="0" applyNumberFormat="1" applyFont="1" applyAlignment="1">
      <alignment horizontal="center"/>
    </xf>
    <xf numFmtId="0" fontId="0" fillId="0" borderId="0" xfId="0" applyNumberFormat="1" applyFont="1" applyAlignment="1">
      <alignment horizontal="center"/>
    </xf>
    <xf numFmtId="0" fontId="0" fillId="0" borderId="0" xfId="0" applyNumberFormat="1" applyBorder="1" applyAlignment="1">
      <alignment horizontal="center"/>
    </xf>
    <xf numFmtId="164" fontId="40" fillId="0" borderId="0" xfId="2" applyFont="1" applyAlignment="1">
      <alignment horizontal="center"/>
    </xf>
    <xf numFmtId="167" fontId="40" fillId="29" borderId="52" xfId="0" applyNumberFormat="1" applyFont="1" applyFill="1" applyBorder="1" applyAlignment="1">
      <alignment horizontal="center"/>
    </xf>
    <xf numFmtId="167" fontId="40" fillId="29" borderId="9" xfId="0" applyNumberFormat="1" applyFont="1" applyFill="1" applyBorder="1" applyAlignment="1">
      <alignment horizontal="center"/>
    </xf>
    <xf numFmtId="167" fontId="40" fillId="29" borderId="53" xfId="0" applyNumberFormat="1" applyFont="1" applyFill="1" applyBorder="1" applyAlignment="1">
      <alignment horizontal="center"/>
    </xf>
    <xf numFmtId="167" fontId="40" fillId="29" borderId="54" xfId="0" applyNumberFormat="1" applyFont="1" applyFill="1" applyBorder="1" applyAlignment="1">
      <alignment horizontal="center"/>
    </xf>
    <xf numFmtId="167" fontId="40" fillId="29" borderId="55" xfId="0" applyNumberFormat="1" applyFont="1" applyFill="1" applyBorder="1" applyAlignment="1">
      <alignment horizontal="center"/>
    </xf>
    <xf numFmtId="167" fontId="40" fillId="29" borderId="34" xfId="0" applyNumberFormat="1" applyFont="1" applyFill="1" applyBorder="1" applyAlignment="1">
      <alignment horizontal="center"/>
    </xf>
    <xf numFmtId="167" fontId="46" fillId="0" borderId="0" xfId="0" applyFont="1" applyAlignment="1">
      <alignment horizontal="center"/>
    </xf>
    <xf numFmtId="164" fontId="50" fillId="0" borderId="0" xfId="2" applyFont="1" applyAlignment="1">
      <alignment horizontal="center"/>
    </xf>
    <xf numFmtId="0" fontId="40" fillId="0" borderId="0" xfId="0" applyNumberFormat="1" applyFont="1" applyFill="1" applyAlignment="1">
      <alignment horizontal="left"/>
    </xf>
    <xf numFmtId="1" fontId="5" fillId="2" borderId="2" xfId="0" applyNumberFormat="1" applyFont="1" applyFill="1" applyBorder="1" applyAlignment="1">
      <alignment horizontal="center" vertical="center" wrapText="1"/>
    </xf>
    <xf numFmtId="1" fontId="5" fillId="2" borderId="4" xfId="0" applyNumberFormat="1" applyFont="1" applyFill="1" applyBorder="1" applyAlignment="1">
      <alignment horizontal="center" vertical="center" wrapText="1"/>
    </xf>
    <xf numFmtId="1" fontId="5" fillId="2" borderId="5" xfId="0" applyNumberFormat="1" applyFont="1" applyFill="1" applyBorder="1" applyAlignment="1">
      <alignment horizontal="center" vertical="center" wrapText="1"/>
    </xf>
    <xf numFmtId="167" fontId="112" fillId="0" borderId="0" xfId="0" applyFont="1"/>
  </cellXfs>
  <cellStyles count="7">
    <cellStyle name="Comma" xfId="1" builtinId="3"/>
    <cellStyle name="Comma [0]" xfId="2" builtinId="6"/>
    <cellStyle name="Comma 2" xfId="6" xr:uid="{00000000-0005-0000-0000-000002000000}"/>
    <cellStyle name="Currency [0]" xfId="3" builtinId="7"/>
    <cellStyle name="Hyperlink" xfId="4" builtinId="8"/>
    <cellStyle name="Normal" xfId="0" builtinId="0"/>
    <cellStyle name="Normal 2" xfId="5" xr:uid="{00000000-0005-0000-0000-000006000000}"/>
  </cellStyles>
  <dxfs count="57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FFFF6600"/>
      <color rgb="FFFF33CC"/>
      <color rgb="FFFF5D5D"/>
      <color rgb="FF66FFFF"/>
      <color rgb="FFFFC000"/>
      <color rgb="FFCC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938</xdr:row>
      <xdr:rowOff>0</xdr:rowOff>
    </xdr:from>
    <xdr:to>
      <xdr:col>1</xdr:col>
      <xdr:colOff>222476</xdr:colOff>
      <xdr:row>938</xdr:row>
      <xdr:rowOff>25596</xdr:rowOff>
    </xdr:to>
    <xdr:sp macro="" textlink="">
      <xdr:nvSpPr>
        <xdr:cNvPr id="2" name="AutoShape 1" descr="http://id-live-03.slatic.net/p/tuneeca-gamis-ambigu-t-0814037-ukuran-xl-coklat-6503-587974-1-webp-zoom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Aspect="1" noChangeArrowheads="1"/>
        </xdr:cNvSpPr>
      </xdr:nvSpPr>
      <xdr:spPr>
        <a:xfrm>
          <a:off x="333375" y="14487525"/>
          <a:ext cx="222250" cy="254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1</xdr:col>
      <xdr:colOff>0</xdr:colOff>
      <xdr:row>954</xdr:row>
      <xdr:rowOff>0</xdr:rowOff>
    </xdr:from>
    <xdr:to>
      <xdr:col>1</xdr:col>
      <xdr:colOff>222476</xdr:colOff>
      <xdr:row>954</xdr:row>
      <xdr:rowOff>25596</xdr:rowOff>
    </xdr:to>
    <xdr:sp macro="" textlink="">
      <xdr:nvSpPr>
        <xdr:cNvPr id="3" name="AutoShape 1" descr="http://id-live-03.slatic.net/p/tuneeca-gamis-ambigu-t-0814037-ukuran-xl-coklat-6503-587974-1-webp-zoom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Aspect="1" noChangeArrowheads="1"/>
        </xdr:cNvSpPr>
      </xdr:nvSpPr>
      <xdr:spPr>
        <a:xfrm>
          <a:off x="333375" y="17535525"/>
          <a:ext cx="222250" cy="254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1</xdr:col>
      <xdr:colOff>0</xdr:colOff>
      <xdr:row>970</xdr:row>
      <xdr:rowOff>0</xdr:rowOff>
    </xdr:from>
    <xdr:to>
      <xdr:col>1</xdr:col>
      <xdr:colOff>222476</xdr:colOff>
      <xdr:row>970</xdr:row>
      <xdr:rowOff>25597</xdr:rowOff>
    </xdr:to>
    <xdr:sp macro="" textlink="">
      <xdr:nvSpPr>
        <xdr:cNvPr id="4" name="AutoShape 1" descr="http://id-live-03.slatic.net/p/tuneeca-gamis-ambigu-t-0814037-ukuran-xl-coklat-6503-587974-1-webp-zoom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>
          <a:spLocks noChangeAspect="1" noChangeArrowheads="1"/>
        </xdr:cNvSpPr>
      </xdr:nvSpPr>
      <xdr:spPr>
        <a:xfrm>
          <a:off x="333375" y="20583525"/>
          <a:ext cx="222250" cy="254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1</xdr:col>
      <xdr:colOff>0</xdr:colOff>
      <xdr:row>983</xdr:row>
      <xdr:rowOff>0</xdr:rowOff>
    </xdr:from>
    <xdr:to>
      <xdr:col>1</xdr:col>
      <xdr:colOff>222476</xdr:colOff>
      <xdr:row>983</xdr:row>
      <xdr:rowOff>25596</xdr:rowOff>
    </xdr:to>
    <xdr:sp macro="" textlink="">
      <xdr:nvSpPr>
        <xdr:cNvPr id="5" name="AutoShape 1" descr="http://id-live-03.slatic.net/p/tuneeca-gamis-ambigu-t-0814037-ukuran-xl-coklat-6503-587974-1-webp-zoom.jp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>
          <a:spLocks noChangeAspect="1" noChangeArrowheads="1"/>
        </xdr:cNvSpPr>
      </xdr:nvSpPr>
      <xdr:spPr>
        <a:xfrm>
          <a:off x="333375" y="23060025"/>
          <a:ext cx="222250" cy="254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0</xdr:row>
      <xdr:rowOff>0</xdr:rowOff>
    </xdr:from>
    <xdr:to>
      <xdr:col>3</xdr:col>
      <xdr:colOff>114300</xdr:colOff>
      <xdr:row>4</xdr:row>
      <xdr:rowOff>161925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28575" y="0"/>
          <a:ext cx="1000125" cy="990600"/>
        </a:xfrm>
        <a:prstGeom prst="rect">
          <a:avLst/>
        </a:prstGeom>
        <a:noFill/>
      </xdr:spPr>
    </xdr:pic>
    <xdr:clientData/>
  </xdr:twoCellAnchor>
  <xdr:twoCellAnchor>
    <xdr:from>
      <xdr:col>7</xdr:col>
      <xdr:colOff>64942</xdr:colOff>
      <xdr:row>52</xdr:row>
      <xdr:rowOff>151533</xdr:rowOff>
    </xdr:from>
    <xdr:to>
      <xdr:col>7</xdr:col>
      <xdr:colOff>179242</xdr:colOff>
      <xdr:row>53</xdr:row>
      <xdr:rowOff>75333</xdr:rowOff>
    </xdr:to>
    <xdr:grpSp>
      <xdr:nvGrpSpPr>
        <xdr:cNvPr id="1025" name="Group 3">
          <a:extLst>
            <a:ext uri="{FF2B5EF4-FFF2-40B4-BE49-F238E27FC236}">
              <a16:creationId xmlns:a16="http://schemas.microsoft.com/office/drawing/2014/main" id="{00000000-0008-0000-0200-000001040000}"/>
            </a:ext>
          </a:extLst>
        </xdr:cNvPr>
        <xdr:cNvGrpSpPr/>
      </xdr:nvGrpSpPr>
      <xdr:grpSpPr>
        <a:xfrm rot="-2509603">
          <a:off x="5379892" y="9409833"/>
          <a:ext cx="114300" cy="114300"/>
          <a:chOff x="8310" y="3038"/>
          <a:chExt cx="185" cy="187203"/>
        </a:xfrm>
      </xdr:grpSpPr>
      <xdr:sp macro="" textlink="">
        <xdr:nvSpPr>
          <xdr:cNvPr id="1026" name="Freeform 4">
            <a:extLst>
              <a:ext uri="{FF2B5EF4-FFF2-40B4-BE49-F238E27FC236}">
                <a16:creationId xmlns:a16="http://schemas.microsoft.com/office/drawing/2014/main" id="{00000000-0008-0000-0200-000002040000}"/>
              </a:ext>
            </a:extLst>
          </xdr:cNvPr>
          <xdr:cNvSpPr/>
        </xdr:nvSpPr>
        <xdr:spPr>
          <a:xfrm rot="-1496635">
            <a:off x="8310" y="3038"/>
            <a:ext cx="174" cy="187"/>
          </a:xfrm>
          <a:custGeom>
            <a:avLst/>
            <a:gdLst>
              <a:gd name="T0" fmla="*/ 109 w 174"/>
              <a:gd name="T1" fmla="*/ 37 h 187"/>
              <a:gd name="T2" fmla="*/ 174 w 174"/>
              <a:gd name="T3" fmla="*/ 18 h 187"/>
              <a:gd name="T4" fmla="*/ 105 w 174"/>
              <a:gd name="T5" fmla="*/ 82 h 187"/>
              <a:gd name="T6" fmla="*/ 0 w 174"/>
              <a:gd name="T7" fmla="*/ 187 h 187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174" h="187">
                <a:moveTo>
                  <a:pt x="109" y="37"/>
                </a:moveTo>
                <a:cubicBezTo>
                  <a:pt x="124" y="47"/>
                  <a:pt x="174" y="0"/>
                  <a:pt x="174" y="18"/>
                </a:cubicBezTo>
                <a:cubicBezTo>
                  <a:pt x="135" y="24"/>
                  <a:pt x="128" y="74"/>
                  <a:pt x="105" y="82"/>
                </a:cubicBezTo>
                <a:cubicBezTo>
                  <a:pt x="74" y="128"/>
                  <a:pt x="39" y="148"/>
                  <a:pt x="0" y="187"/>
                </a:cubicBezTo>
              </a:path>
            </a:pathLst>
          </a:custGeom>
          <a:noFill/>
          <a:ln w="9525">
            <a:solidFill>
              <a:srgbClr val="000000"/>
            </a:solidFill>
            <a:round/>
          </a:ln>
        </xdr:spPr>
      </xdr:sp>
      <xdr:sp macro="" textlink="">
        <xdr:nvSpPr>
          <xdr:cNvPr id="1027" name="Freeform 5">
            <a:extLst>
              <a:ext uri="{FF2B5EF4-FFF2-40B4-BE49-F238E27FC236}">
                <a16:creationId xmlns:a16="http://schemas.microsoft.com/office/drawing/2014/main" id="{00000000-0008-0000-0200-000003040000}"/>
              </a:ext>
            </a:extLst>
          </xdr:cNvPr>
          <xdr:cNvSpPr/>
        </xdr:nvSpPr>
        <xdr:spPr>
          <a:xfrm>
            <a:off x="8397" y="3141"/>
            <a:ext cx="98" cy="57"/>
          </a:xfrm>
          <a:custGeom>
            <a:avLst/>
            <a:gdLst>
              <a:gd name="T0" fmla="*/ 0 w 98"/>
              <a:gd name="T1" fmla="*/ 0 h 57"/>
              <a:gd name="T2" fmla="*/ 55 w 98"/>
              <a:gd name="T3" fmla="*/ 8 h 57"/>
              <a:gd name="T4" fmla="*/ 48 w 98"/>
              <a:gd name="T5" fmla="*/ 6 h 57"/>
              <a:gd name="T6" fmla="*/ 74 w 98"/>
              <a:gd name="T7" fmla="*/ 6 h 57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98" h="57">
                <a:moveTo>
                  <a:pt x="0" y="0"/>
                </a:moveTo>
                <a:cubicBezTo>
                  <a:pt x="22" y="8"/>
                  <a:pt x="36" y="9"/>
                  <a:pt x="55" y="8"/>
                </a:cubicBezTo>
                <a:cubicBezTo>
                  <a:pt x="98" y="57"/>
                  <a:pt x="15" y="0"/>
                  <a:pt x="48" y="6"/>
                </a:cubicBezTo>
                <a:cubicBezTo>
                  <a:pt x="51" y="7"/>
                  <a:pt x="74" y="3"/>
                  <a:pt x="74" y="6"/>
                </a:cubicBezTo>
              </a:path>
            </a:pathLst>
          </a:custGeom>
          <a:noFill/>
          <a:ln w="9525">
            <a:solidFill>
              <a:srgbClr val="000000"/>
            </a:solidFill>
            <a:round/>
          </a:ln>
        </xdr:spPr>
      </xdr:sp>
    </xdr:grpSp>
    <xdr:clientData/>
  </xdr:twoCellAnchor>
  <xdr:twoCellAnchor editAs="oneCell">
    <xdr:from>
      <xdr:col>4</xdr:col>
      <xdr:colOff>790575</xdr:colOff>
      <xdr:row>49</xdr:row>
      <xdr:rowOff>133350</xdr:rowOff>
    </xdr:from>
    <xdr:to>
      <xdr:col>7</xdr:col>
      <xdr:colOff>90160</xdr:colOff>
      <xdr:row>52</xdr:row>
      <xdr:rowOff>128098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/>
      </xdr:nvPicPr>
      <xdr:blipFill>
        <a:blip xmlns:r="http://schemas.openxmlformats.org/officeDocument/2006/relationships" r:embed="rId2" cstate="print">
          <a:duotone>
            <a:prstClr val="black"/>
            <a:schemeClr val="tx2">
              <a:tint val="45000"/>
              <a:satMod val="400000"/>
            </a:schemeClr>
          </a:duotone>
          <a:lum bright="10000" contrast="40000"/>
        </a:blip>
        <a:srcRect/>
        <a:stretch>
          <a:fillRect/>
        </a:stretch>
      </xdr:blipFill>
      <xdr:spPr>
        <a:xfrm>
          <a:off x="3314700" y="8989695"/>
          <a:ext cx="2089785" cy="718185"/>
        </a:xfrm>
        <a:prstGeom prst="rect">
          <a:avLst/>
        </a:prstGeom>
        <a:noFill/>
        <a:ln w="9525" cmpd="sng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388802</xdr:colOff>
      <xdr:row>47</xdr:row>
      <xdr:rowOff>28632</xdr:rowOff>
    </xdr:from>
    <xdr:to>
      <xdr:col>6</xdr:col>
      <xdr:colOff>153161</xdr:colOff>
      <xdr:row>54</xdr:row>
      <xdr:rowOff>62396</xdr:rowOff>
    </xdr:to>
    <xdr:pic>
      <xdr:nvPicPr>
        <xdr:cNvPr id="7" name="Picture 6" descr="D:\_Data Pascasarjana\__Backup 2019\2019 ADMISNISTRASI\Tanda Tangan Pimpinan\STEMPEL PASCA BARU0001.png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>
        <a:xfrm rot="1375988">
          <a:off x="2912745" y="8503920"/>
          <a:ext cx="1450340" cy="15195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209550</xdr:colOff>
      <xdr:row>0</xdr:row>
      <xdr:rowOff>25400</xdr:rowOff>
    </xdr:to>
    <xdr:sp macro="" textlink="">
      <xdr:nvSpPr>
        <xdr:cNvPr id="2" name="AutoShape 1" descr="http://id-live-03.slatic.net/p/tuneeca-gamis-ambigu-t-0814037-ukuran-xl-coklat-6503-587974-1-webp-zoom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Aspect="1" noChangeArrowheads="1"/>
        </xdr:cNvSpPr>
      </xdr:nvSpPr>
      <xdr:spPr>
        <a:xfrm>
          <a:off x="0" y="0"/>
          <a:ext cx="209550" cy="254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44450</xdr:colOff>
      <xdr:row>0</xdr:row>
      <xdr:rowOff>25400</xdr:rowOff>
    </xdr:to>
    <xdr:sp macro="" textlink="">
      <xdr:nvSpPr>
        <xdr:cNvPr id="3" name="AutoShape 1" descr="http://id-live-03.slatic.net/p/tuneeca-gamis-ambigu-t-0814037-ukuran-xl-coklat-6503-587974-1-webp-zoom.jp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>
          <a:spLocks noChangeAspect="1" noChangeArrowheads="1"/>
        </xdr:cNvSpPr>
      </xdr:nvSpPr>
      <xdr:spPr>
        <a:xfrm>
          <a:off x="0" y="0"/>
          <a:ext cx="387350" cy="254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0</xdr:row>
      <xdr:rowOff>0</xdr:rowOff>
    </xdr:from>
    <xdr:to>
      <xdr:col>3</xdr:col>
      <xdr:colOff>114300</xdr:colOff>
      <xdr:row>4</xdr:row>
      <xdr:rowOff>161925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28575" y="0"/>
          <a:ext cx="1000125" cy="990600"/>
        </a:xfrm>
        <a:prstGeom prst="rect">
          <a:avLst/>
        </a:prstGeom>
        <a:noFill/>
      </xdr:spPr>
    </xdr:pic>
    <xdr:clientData/>
  </xdr:twoCellAnchor>
  <xdr:twoCellAnchor>
    <xdr:from>
      <xdr:col>7</xdr:col>
      <xdr:colOff>64942</xdr:colOff>
      <xdr:row>59</xdr:row>
      <xdr:rowOff>151533</xdr:rowOff>
    </xdr:from>
    <xdr:to>
      <xdr:col>7</xdr:col>
      <xdr:colOff>179242</xdr:colOff>
      <xdr:row>60</xdr:row>
      <xdr:rowOff>75333</xdr:rowOff>
    </xdr:to>
    <xdr:grpSp>
      <xdr:nvGrpSpPr>
        <xdr:cNvPr id="3" name="Group 3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pSpPr/>
      </xdr:nvGrpSpPr>
      <xdr:grpSpPr>
        <a:xfrm rot="-2509603">
          <a:off x="5379892" y="10143258"/>
          <a:ext cx="114300" cy="114300"/>
          <a:chOff x="8310" y="3038"/>
          <a:chExt cx="185" cy="187203"/>
        </a:xfrm>
      </xdr:grpSpPr>
      <xdr:sp macro="" textlink="">
        <xdr:nvSpPr>
          <xdr:cNvPr id="4" name="Freeform 4">
            <a:extLst>
              <a:ext uri="{FF2B5EF4-FFF2-40B4-BE49-F238E27FC236}">
                <a16:creationId xmlns:a16="http://schemas.microsoft.com/office/drawing/2014/main" id="{00000000-0008-0000-0700-000004000000}"/>
              </a:ext>
            </a:extLst>
          </xdr:cNvPr>
          <xdr:cNvSpPr/>
        </xdr:nvSpPr>
        <xdr:spPr>
          <a:xfrm rot="-1496635">
            <a:off x="8310" y="3038"/>
            <a:ext cx="174" cy="187"/>
          </a:xfrm>
          <a:custGeom>
            <a:avLst/>
            <a:gdLst>
              <a:gd name="T0" fmla="*/ 109 w 174"/>
              <a:gd name="T1" fmla="*/ 37 h 187"/>
              <a:gd name="T2" fmla="*/ 174 w 174"/>
              <a:gd name="T3" fmla="*/ 18 h 187"/>
              <a:gd name="T4" fmla="*/ 105 w 174"/>
              <a:gd name="T5" fmla="*/ 82 h 187"/>
              <a:gd name="T6" fmla="*/ 0 w 174"/>
              <a:gd name="T7" fmla="*/ 187 h 187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174" h="187">
                <a:moveTo>
                  <a:pt x="109" y="37"/>
                </a:moveTo>
                <a:cubicBezTo>
                  <a:pt x="124" y="47"/>
                  <a:pt x="174" y="0"/>
                  <a:pt x="174" y="18"/>
                </a:cubicBezTo>
                <a:cubicBezTo>
                  <a:pt x="135" y="24"/>
                  <a:pt x="128" y="74"/>
                  <a:pt x="105" y="82"/>
                </a:cubicBezTo>
                <a:cubicBezTo>
                  <a:pt x="74" y="128"/>
                  <a:pt x="39" y="148"/>
                  <a:pt x="0" y="187"/>
                </a:cubicBezTo>
              </a:path>
            </a:pathLst>
          </a:custGeom>
          <a:noFill/>
          <a:ln w="9525">
            <a:solidFill>
              <a:srgbClr val="000000"/>
            </a:solidFill>
            <a:round/>
          </a:ln>
        </xdr:spPr>
      </xdr:sp>
      <xdr:sp macro="" textlink="">
        <xdr:nvSpPr>
          <xdr:cNvPr id="5" name="Freeform 5">
            <a:extLst>
              <a:ext uri="{FF2B5EF4-FFF2-40B4-BE49-F238E27FC236}">
                <a16:creationId xmlns:a16="http://schemas.microsoft.com/office/drawing/2014/main" id="{00000000-0008-0000-0700-000005000000}"/>
              </a:ext>
            </a:extLst>
          </xdr:cNvPr>
          <xdr:cNvSpPr/>
        </xdr:nvSpPr>
        <xdr:spPr>
          <a:xfrm>
            <a:off x="8397" y="3141"/>
            <a:ext cx="98" cy="57"/>
          </a:xfrm>
          <a:custGeom>
            <a:avLst/>
            <a:gdLst>
              <a:gd name="T0" fmla="*/ 0 w 98"/>
              <a:gd name="T1" fmla="*/ 0 h 57"/>
              <a:gd name="T2" fmla="*/ 55 w 98"/>
              <a:gd name="T3" fmla="*/ 8 h 57"/>
              <a:gd name="T4" fmla="*/ 48 w 98"/>
              <a:gd name="T5" fmla="*/ 6 h 57"/>
              <a:gd name="T6" fmla="*/ 74 w 98"/>
              <a:gd name="T7" fmla="*/ 6 h 57"/>
              <a:gd name="T8" fmla="*/ 0 60000 65536"/>
              <a:gd name="T9" fmla="*/ 0 60000 65536"/>
              <a:gd name="T10" fmla="*/ 0 60000 65536"/>
              <a:gd name="T11" fmla="*/ 0 60000 6553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0" t="0" r="r" b="b"/>
            <a:pathLst>
              <a:path w="98" h="57">
                <a:moveTo>
                  <a:pt x="0" y="0"/>
                </a:moveTo>
                <a:cubicBezTo>
                  <a:pt x="22" y="8"/>
                  <a:pt x="36" y="9"/>
                  <a:pt x="55" y="8"/>
                </a:cubicBezTo>
                <a:cubicBezTo>
                  <a:pt x="98" y="57"/>
                  <a:pt x="15" y="0"/>
                  <a:pt x="48" y="6"/>
                </a:cubicBezTo>
                <a:cubicBezTo>
                  <a:pt x="51" y="7"/>
                  <a:pt x="74" y="3"/>
                  <a:pt x="74" y="6"/>
                </a:cubicBezTo>
              </a:path>
            </a:pathLst>
          </a:custGeom>
          <a:noFill/>
          <a:ln w="9525">
            <a:solidFill>
              <a:srgbClr val="000000"/>
            </a:solidFill>
            <a:round/>
          </a:ln>
        </xdr:spPr>
      </xdr:sp>
    </xdr:grpSp>
    <xdr:clientData/>
  </xdr:twoCellAnchor>
  <xdr:twoCellAnchor editAs="oneCell">
    <xdr:from>
      <xdr:col>4</xdr:col>
      <xdr:colOff>790575</xdr:colOff>
      <xdr:row>56</xdr:row>
      <xdr:rowOff>133350</xdr:rowOff>
    </xdr:from>
    <xdr:to>
      <xdr:col>7</xdr:col>
      <xdr:colOff>90160</xdr:colOff>
      <xdr:row>59</xdr:row>
      <xdr:rowOff>128098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/>
      </xdr:nvPicPr>
      <xdr:blipFill>
        <a:blip xmlns:r="http://schemas.openxmlformats.org/officeDocument/2006/relationships" r:embed="rId2" cstate="print">
          <a:duotone>
            <a:prstClr val="black"/>
            <a:schemeClr val="tx2">
              <a:tint val="45000"/>
              <a:satMod val="400000"/>
            </a:schemeClr>
          </a:duotone>
          <a:lum bright="10000" contrast="40000"/>
        </a:blip>
        <a:srcRect/>
        <a:stretch>
          <a:fillRect/>
        </a:stretch>
      </xdr:blipFill>
      <xdr:spPr>
        <a:xfrm>
          <a:off x="3314700" y="9730740"/>
          <a:ext cx="2089785" cy="718185"/>
        </a:xfrm>
        <a:prstGeom prst="rect">
          <a:avLst/>
        </a:prstGeom>
        <a:noFill/>
        <a:ln w="9525" cmpd="sng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388802</xdr:colOff>
      <xdr:row>54</xdr:row>
      <xdr:rowOff>28632</xdr:rowOff>
    </xdr:from>
    <xdr:to>
      <xdr:col>6</xdr:col>
      <xdr:colOff>153161</xdr:colOff>
      <xdr:row>61</xdr:row>
      <xdr:rowOff>129071</xdr:rowOff>
    </xdr:to>
    <xdr:pic>
      <xdr:nvPicPr>
        <xdr:cNvPr id="7" name="Picture 6" descr="D:\_Data Pascasarjana\__Backup 2019\2019 ADMISNISTRASI\Tanda Tangan Pimpinan\STEMPEL PASCA BARU0001.png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>
        <a:xfrm rot="1375988">
          <a:off x="2912745" y="9311640"/>
          <a:ext cx="1450340" cy="15195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938</xdr:row>
      <xdr:rowOff>0</xdr:rowOff>
    </xdr:from>
    <xdr:to>
      <xdr:col>1</xdr:col>
      <xdr:colOff>222476</xdr:colOff>
      <xdr:row>938</xdr:row>
      <xdr:rowOff>25596</xdr:rowOff>
    </xdr:to>
    <xdr:sp macro="" textlink="">
      <xdr:nvSpPr>
        <xdr:cNvPr id="2" name="AutoShape 1" descr="http://id-live-03.slatic.net/p/tuneeca-gamis-ambigu-t-0814037-ukuran-xl-coklat-6503-587974-1-webp-zoom.jp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>
          <a:spLocks noChangeAspect="1" noChangeArrowheads="1"/>
        </xdr:cNvSpPr>
      </xdr:nvSpPr>
      <xdr:spPr>
        <a:xfrm>
          <a:off x="333375" y="14678025"/>
          <a:ext cx="222250" cy="254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1</xdr:col>
      <xdr:colOff>0</xdr:colOff>
      <xdr:row>954</xdr:row>
      <xdr:rowOff>0</xdr:rowOff>
    </xdr:from>
    <xdr:to>
      <xdr:col>1</xdr:col>
      <xdr:colOff>222476</xdr:colOff>
      <xdr:row>954</xdr:row>
      <xdr:rowOff>25596</xdr:rowOff>
    </xdr:to>
    <xdr:sp macro="" textlink="">
      <xdr:nvSpPr>
        <xdr:cNvPr id="3" name="AutoShape 1" descr="http://id-live-03.slatic.net/p/tuneeca-gamis-ambigu-t-0814037-ukuran-xl-coklat-6503-587974-1-webp-zoom.jpg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>
          <a:spLocks noChangeAspect="1" noChangeArrowheads="1"/>
        </xdr:cNvSpPr>
      </xdr:nvSpPr>
      <xdr:spPr>
        <a:xfrm>
          <a:off x="333375" y="17726025"/>
          <a:ext cx="222250" cy="254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1</xdr:col>
      <xdr:colOff>0</xdr:colOff>
      <xdr:row>970</xdr:row>
      <xdr:rowOff>0</xdr:rowOff>
    </xdr:from>
    <xdr:to>
      <xdr:col>1</xdr:col>
      <xdr:colOff>222476</xdr:colOff>
      <xdr:row>970</xdr:row>
      <xdr:rowOff>25597</xdr:rowOff>
    </xdr:to>
    <xdr:sp macro="" textlink="">
      <xdr:nvSpPr>
        <xdr:cNvPr id="4" name="AutoShape 1" descr="http://id-live-03.slatic.net/p/tuneeca-gamis-ambigu-t-0814037-ukuran-xl-coklat-6503-587974-1-webp-zoom.jpg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>
          <a:spLocks noChangeAspect="1" noChangeArrowheads="1"/>
        </xdr:cNvSpPr>
      </xdr:nvSpPr>
      <xdr:spPr>
        <a:xfrm>
          <a:off x="333375" y="20774025"/>
          <a:ext cx="222250" cy="254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1</xdr:col>
      <xdr:colOff>0</xdr:colOff>
      <xdr:row>983</xdr:row>
      <xdr:rowOff>0</xdr:rowOff>
    </xdr:from>
    <xdr:to>
      <xdr:col>1</xdr:col>
      <xdr:colOff>222476</xdr:colOff>
      <xdr:row>983</xdr:row>
      <xdr:rowOff>25596</xdr:rowOff>
    </xdr:to>
    <xdr:sp macro="" textlink="">
      <xdr:nvSpPr>
        <xdr:cNvPr id="5" name="AutoShape 1" descr="http://id-live-03.slatic.net/p/tuneeca-gamis-ambigu-t-0814037-ukuran-xl-coklat-6503-587974-1-webp-zoom.jpg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>
          <a:spLocks noChangeAspect="1" noChangeArrowheads="1"/>
        </xdr:cNvSpPr>
      </xdr:nvSpPr>
      <xdr:spPr>
        <a:xfrm>
          <a:off x="333375" y="23250525"/>
          <a:ext cx="222250" cy="2540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scasarjana-2\___Data%20Pascasarjana\_Data%20pps.IAINjbr@gmail.com\__Backup%202019\_2019%20Event%20Pascasarjana\0%20Draft%20Administrasi%20Kegiatan\0%20Check%20List%20Laporan%20-%20Draf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scasarjana-2\_Data%20Pascasarjana\2019%20Kepegawaian\Lap.%20Capaian%20Kinerja%20Yobbi%202019\Arsip%20File\rEGISTRASI%20Pps-repai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"/>
      <sheetName val="DB"/>
      <sheetName val="1"/>
      <sheetName val="4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Amplop 152-9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 SPP"/>
      <sheetName val="Sheet1"/>
      <sheetName val="18012019"/>
      <sheetName val="Hitung SPP 2018"/>
      <sheetName val="Slip Pembayaran"/>
      <sheetName val="Epay"/>
      <sheetName val="BNI"/>
      <sheetName val="Tagihan 2019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G3391"/>
  <sheetViews>
    <sheetView tabSelected="1" topLeftCell="E1938" zoomScale="85" zoomScaleNormal="85" workbookViewId="0">
      <selection activeCell="AC1952" sqref="AC1952"/>
    </sheetView>
  </sheetViews>
  <sheetFormatPr defaultColWidth="9" defaultRowHeight="15" x14ac:dyDescent="0.25"/>
  <cols>
    <col min="1" max="1" width="5" customWidth="1"/>
    <col min="2" max="2" width="4.140625" customWidth="1"/>
    <col min="3" max="3" width="11.28515625" style="847" customWidth="1"/>
    <col min="4" max="4" width="28" customWidth="1"/>
    <col min="5" max="6" width="7" customWidth="1"/>
    <col min="7" max="7" width="9.85546875" style="761" customWidth="1"/>
    <col min="8" max="9" width="7" customWidth="1"/>
    <col min="10" max="10" width="9" customWidth="1"/>
    <col min="11" max="11" width="7" customWidth="1"/>
    <col min="12" max="12" width="9" style="761" customWidth="1"/>
    <col min="13" max="13" width="7" customWidth="1"/>
    <col min="14" max="14" width="9" customWidth="1"/>
    <col min="15" max="15" width="7" customWidth="1"/>
    <col min="16" max="16" width="9" customWidth="1"/>
    <col min="17" max="17" width="7" customWidth="1"/>
    <col min="18" max="18" width="9" customWidth="1"/>
    <col min="19" max="19" width="7" customWidth="1"/>
    <col min="20" max="20" width="9" customWidth="1"/>
    <col min="21" max="21" width="7" customWidth="1"/>
    <col min="22" max="22" width="9" customWidth="1"/>
    <col min="23" max="23" width="7" customWidth="1"/>
    <col min="24" max="24" width="9" customWidth="1"/>
    <col min="25" max="25" width="7" customWidth="1"/>
    <col min="26" max="26" width="9" customWidth="1"/>
    <col min="27" max="27" width="7" customWidth="1"/>
    <col min="28" max="28" width="9" customWidth="1"/>
    <col min="29" max="29" width="7" style="9" customWidth="1"/>
    <col min="30" max="30" width="10" customWidth="1"/>
    <col min="31" max="31" width="8.85546875" customWidth="1"/>
    <col min="32" max="32" width="9" customWidth="1"/>
    <col min="33" max="33" width="7" customWidth="1"/>
    <col min="34" max="34" width="2" customWidth="1"/>
    <col min="35" max="36" width="10.85546875" customWidth="1"/>
    <col min="37" max="37" width="11.5703125" customWidth="1"/>
    <col min="38" max="38" width="4" customWidth="1"/>
    <col min="39" max="39" width="9.140625" customWidth="1"/>
    <col min="40" max="40" width="6.85546875" customWidth="1"/>
    <col min="41" max="41" width="9.140625" customWidth="1"/>
    <col min="42" max="42" width="6.85546875" customWidth="1"/>
    <col min="43" max="43" width="9.140625" customWidth="1"/>
    <col min="44" max="44" width="6.85546875" customWidth="1"/>
    <col min="45" max="45" width="9.140625" customWidth="1"/>
    <col min="46" max="46" width="7.140625" customWidth="1"/>
    <col min="47" max="47" width="9.140625" customWidth="1"/>
    <col min="48" max="48" width="7.140625" customWidth="1"/>
    <col min="49" max="49" width="9.140625" customWidth="1"/>
    <col min="50" max="50" width="7.140625" customWidth="1"/>
    <col min="51" max="51" width="9.7109375" customWidth="1"/>
    <col min="52" max="52" width="8" customWidth="1"/>
    <col min="53" max="53" width="9.7109375" customWidth="1"/>
    <col min="54" max="54" width="7.140625" customWidth="1"/>
  </cols>
  <sheetData>
    <row r="1" spans="1:59" s="1" customFormat="1" x14ac:dyDescent="0.25">
      <c r="A1" s="10">
        <v>1</v>
      </c>
      <c r="B1" s="10">
        <v>2</v>
      </c>
      <c r="C1" s="1119">
        <v>9</v>
      </c>
      <c r="D1" s="10">
        <v>3</v>
      </c>
      <c r="E1" s="10">
        <v>4</v>
      </c>
      <c r="F1" s="10">
        <v>5</v>
      </c>
      <c r="G1" s="10">
        <v>6</v>
      </c>
      <c r="H1" s="10">
        <v>7</v>
      </c>
      <c r="I1" s="10">
        <v>8</v>
      </c>
      <c r="J1" s="10">
        <v>10</v>
      </c>
      <c r="K1" s="10">
        <v>11</v>
      </c>
      <c r="L1" s="10">
        <v>12</v>
      </c>
      <c r="M1" s="10">
        <v>13</v>
      </c>
      <c r="N1" s="10">
        <v>14</v>
      </c>
      <c r="O1" s="10">
        <v>15</v>
      </c>
      <c r="P1" s="10">
        <v>16</v>
      </c>
      <c r="Q1" s="10">
        <v>17</v>
      </c>
      <c r="R1" s="10">
        <v>18</v>
      </c>
      <c r="S1" s="10">
        <v>19</v>
      </c>
      <c r="T1" s="10">
        <v>20</v>
      </c>
      <c r="U1" s="10">
        <v>21</v>
      </c>
      <c r="V1" s="10">
        <v>22</v>
      </c>
      <c r="W1" s="10">
        <v>23</v>
      </c>
      <c r="X1" s="10">
        <v>24</v>
      </c>
      <c r="Y1" s="10">
        <v>25</v>
      </c>
      <c r="Z1" s="10">
        <v>26</v>
      </c>
      <c r="AA1" s="10">
        <v>27</v>
      </c>
      <c r="AB1" s="10">
        <v>28</v>
      </c>
      <c r="AC1" s="1147">
        <v>29</v>
      </c>
      <c r="AD1" s="10">
        <v>30</v>
      </c>
      <c r="AE1" s="10">
        <v>31</v>
      </c>
      <c r="AF1" s="10">
        <v>32</v>
      </c>
      <c r="AG1" s="10">
        <v>33</v>
      </c>
      <c r="AH1" s="10">
        <v>34</v>
      </c>
      <c r="AI1" s="10">
        <v>35</v>
      </c>
      <c r="AJ1" s="10">
        <v>36</v>
      </c>
      <c r="AK1" s="10">
        <v>37</v>
      </c>
      <c r="AL1" s="10">
        <v>38</v>
      </c>
      <c r="AM1" s="10">
        <v>39</v>
      </c>
      <c r="AN1" s="10">
        <v>40</v>
      </c>
      <c r="AO1" s="10">
        <v>41</v>
      </c>
      <c r="AP1" s="10">
        <v>42</v>
      </c>
      <c r="AQ1" s="10">
        <v>43</v>
      </c>
      <c r="AR1" s="10">
        <v>44</v>
      </c>
      <c r="AS1" s="10">
        <v>45</v>
      </c>
      <c r="AT1" s="10">
        <v>46</v>
      </c>
      <c r="AU1" s="10">
        <v>47</v>
      </c>
      <c r="AV1" s="10">
        <v>48</v>
      </c>
      <c r="AW1" s="10">
        <v>49</v>
      </c>
      <c r="AX1" s="10">
        <v>50</v>
      </c>
      <c r="AY1" s="10">
        <v>51</v>
      </c>
      <c r="AZ1" s="10">
        <v>52</v>
      </c>
      <c r="BA1" s="10">
        <v>53</v>
      </c>
      <c r="BB1" s="10">
        <v>54</v>
      </c>
      <c r="BC1"/>
      <c r="BD1"/>
      <c r="BE1"/>
      <c r="BF1"/>
      <c r="BG1"/>
    </row>
    <row r="2" spans="1:59" s="2" customFormat="1" ht="15" customHeight="1" x14ac:dyDescent="0.25">
      <c r="A2" s="2324"/>
      <c r="B2" s="2324" t="s">
        <v>0</v>
      </c>
      <c r="C2" s="2326" t="s">
        <v>1</v>
      </c>
      <c r="D2" s="2329" t="s">
        <v>2</v>
      </c>
      <c r="E2" s="2331" t="s">
        <v>3</v>
      </c>
      <c r="F2" s="12" t="s">
        <v>4</v>
      </c>
      <c r="G2" s="11" t="s">
        <v>5</v>
      </c>
      <c r="H2" s="13"/>
      <c r="I2" s="13"/>
      <c r="J2" s="2322" t="s">
        <v>6</v>
      </c>
      <c r="K2" s="2317"/>
      <c r="L2" s="2322" t="s">
        <v>7</v>
      </c>
      <c r="M2" s="2317"/>
      <c r="N2" s="2316" t="s">
        <v>8</v>
      </c>
      <c r="O2" s="2317"/>
      <c r="P2" s="2316" t="s">
        <v>9</v>
      </c>
      <c r="Q2" s="2317"/>
      <c r="R2" s="2316" t="s">
        <v>10</v>
      </c>
      <c r="S2" s="2317"/>
      <c r="T2" s="2316" t="s">
        <v>11</v>
      </c>
      <c r="U2" s="2317"/>
      <c r="V2" s="2316" t="s">
        <v>12</v>
      </c>
      <c r="W2" s="2317"/>
      <c r="X2" s="2316" t="s">
        <v>13</v>
      </c>
      <c r="Y2" s="2317"/>
      <c r="Z2" s="2316" t="s">
        <v>14</v>
      </c>
      <c r="AA2" s="2317"/>
      <c r="AB2" s="2320" t="s">
        <v>15</v>
      </c>
      <c r="AC2" s="2321"/>
      <c r="AD2" s="2333" t="s">
        <v>16</v>
      </c>
      <c r="AE2" s="2334"/>
      <c r="AF2" s="2333" t="s">
        <v>17</v>
      </c>
      <c r="AG2" s="2334"/>
      <c r="AH2" s="1159"/>
      <c r="AI2" s="2335" t="s">
        <v>18</v>
      </c>
      <c r="AJ2" s="2335"/>
      <c r="AK2" s="2335"/>
      <c r="AL2" s="1160"/>
      <c r="AM2" s="1161"/>
      <c r="AN2" s="1162"/>
      <c r="AO2" s="1161"/>
      <c r="AP2" s="1162"/>
      <c r="AQ2" s="1128"/>
      <c r="AR2" s="1173"/>
      <c r="AT2" s="1173"/>
      <c r="AV2" s="1173"/>
      <c r="AX2" s="1173"/>
      <c r="AY2" s="1176"/>
      <c r="AZ2" s="1173"/>
    </row>
    <row r="3" spans="1:59" s="2" customFormat="1" ht="24" x14ac:dyDescent="0.25">
      <c r="A3" s="2325"/>
      <c r="B3" s="2325"/>
      <c r="C3" s="2327"/>
      <c r="D3" s="2330"/>
      <c r="E3" s="2332"/>
      <c r="F3" s="14" t="s">
        <v>19</v>
      </c>
      <c r="G3" s="15" t="s">
        <v>20</v>
      </c>
      <c r="H3" s="16" t="s">
        <v>21</v>
      </c>
      <c r="I3" s="16" t="s">
        <v>21</v>
      </c>
      <c r="J3" s="2323"/>
      <c r="K3" s="2319"/>
      <c r="L3" s="2323"/>
      <c r="M3" s="2319"/>
      <c r="N3" s="2318"/>
      <c r="O3" s="2319"/>
      <c r="P3" s="2318"/>
      <c r="Q3" s="2319"/>
      <c r="R3" s="2318"/>
      <c r="S3" s="2319"/>
      <c r="T3" s="2318"/>
      <c r="U3" s="2319"/>
      <c r="V3" s="2318"/>
      <c r="W3" s="2319"/>
      <c r="X3" s="2318"/>
      <c r="Y3" s="2319"/>
      <c r="Z3" s="2318"/>
      <c r="AA3" s="2319"/>
      <c r="AB3" s="2318"/>
      <c r="AC3" s="2319"/>
      <c r="AD3" s="2336" t="s">
        <v>22</v>
      </c>
      <c r="AE3" s="2336"/>
      <c r="AF3" s="2337" t="s">
        <v>23</v>
      </c>
      <c r="AG3" s="2338"/>
      <c r="AH3" s="1163"/>
      <c r="AI3" s="2339" t="s">
        <v>24</v>
      </c>
      <c r="AJ3" s="2341" t="s">
        <v>25</v>
      </c>
      <c r="AK3" s="2341" t="s">
        <v>26</v>
      </c>
      <c r="AL3" s="1160"/>
      <c r="AM3" s="1161"/>
      <c r="AN3" s="1162"/>
      <c r="AO3" s="1161"/>
      <c r="AP3" s="1162"/>
      <c r="AQ3" s="1128"/>
      <c r="AR3" s="1173"/>
      <c r="AT3" s="1173"/>
      <c r="AV3" s="1173"/>
      <c r="AX3" s="1173"/>
      <c r="AY3" s="1176"/>
      <c r="AZ3" s="1173"/>
    </row>
    <row r="4" spans="1:59" s="3" customFormat="1" x14ac:dyDescent="0.25">
      <c r="A4" s="2325"/>
      <c r="B4" s="2325"/>
      <c r="C4" s="2328"/>
      <c r="D4" s="2330"/>
      <c r="E4" s="2332"/>
      <c r="F4" s="14" t="s">
        <v>27</v>
      </c>
      <c r="G4" s="17" t="s">
        <v>28</v>
      </c>
      <c r="H4" s="18" t="s">
        <v>20</v>
      </c>
      <c r="I4" s="18" t="s">
        <v>22</v>
      </c>
      <c r="J4" s="1121" t="s">
        <v>29</v>
      </c>
      <c r="K4" s="1122" t="s">
        <v>30</v>
      </c>
      <c r="L4" s="1121" t="s">
        <v>29</v>
      </c>
      <c r="M4" s="1122" t="s">
        <v>30</v>
      </c>
      <c r="N4" s="1121" t="s">
        <v>29</v>
      </c>
      <c r="O4" s="1122" t="s">
        <v>30</v>
      </c>
      <c r="P4" s="1121" t="s">
        <v>29</v>
      </c>
      <c r="Q4" s="1122" t="s">
        <v>30</v>
      </c>
      <c r="R4" s="1121" t="s">
        <v>29</v>
      </c>
      <c r="S4" s="1122" t="s">
        <v>30</v>
      </c>
      <c r="T4" s="1131" t="s">
        <v>29</v>
      </c>
      <c r="U4" s="1122" t="s">
        <v>30</v>
      </c>
      <c r="V4" s="1121" t="s">
        <v>29</v>
      </c>
      <c r="W4" s="1122" t="s">
        <v>30</v>
      </c>
      <c r="X4" s="1121" t="s">
        <v>29</v>
      </c>
      <c r="Y4" s="1122" t="s">
        <v>30</v>
      </c>
      <c r="Z4" s="1121" t="s">
        <v>29</v>
      </c>
      <c r="AA4" s="1122" t="s">
        <v>30</v>
      </c>
      <c r="AB4" s="1148" t="s">
        <v>29</v>
      </c>
      <c r="AC4" s="1122" t="s">
        <v>30</v>
      </c>
      <c r="AD4" s="1149" t="s">
        <v>29</v>
      </c>
      <c r="AE4" s="1150" t="s">
        <v>30</v>
      </c>
      <c r="AF4" s="1149" t="s">
        <v>29</v>
      </c>
      <c r="AG4" s="1150" t="s">
        <v>30</v>
      </c>
      <c r="AH4" s="1164"/>
      <c r="AI4" s="2340"/>
      <c r="AJ4" s="2342"/>
      <c r="AK4" s="2342"/>
      <c r="AL4" s="1165"/>
      <c r="AM4" s="1166"/>
      <c r="AN4" s="1167"/>
      <c r="AO4" s="1166"/>
      <c r="AP4" s="1167"/>
      <c r="AQ4" s="1174"/>
      <c r="AR4" s="1175"/>
      <c r="AT4" s="1175"/>
      <c r="AV4" s="1175"/>
      <c r="AX4" s="1175"/>
      <c r="AY4" s="1177"/>
      <c r="AZ4" s="1175"/>
    </row>
    <row r="5" spans="1:59" s="2" customFormat="1" x14ac:dyDescent="0.25">
      <c r="A5" s="19">
        <v>1</v>
      </c>
      <c r="B5" s="20">
        <v>1</v>
      </c>
      <c r="C5" s="22">
        <v>84089004</v>
      </c>
      <c r="D5" s="21" t="s">
        <v>31</v>
      </c>
      <c r="E5" s="23" t="s">
        <v>32</v>
      </c>
      <c r="F5" s="20">
        <v>2008</v>
      </c>
      <c r="G5" s="23" t="s">
        <v>33</v>
      </c>
      <c r="H5" s="24" t="str">
        <f t="shared" ref="H5:H36" si="0">IFERROR(VLOOKUP(C5,Tlus,3,FALSE),"   ")</f>
        <v xml:space="preserve">   </v>
      </c>
      <c r="I5" s="24">
        <f t="shared" ref="I5:I36" si="1">IFERROR(VLOOKUP(C5,Wis,4,FALSE),"   ")</f>
        <v>40544</v>
      </c>
      <c r="J5" s="1123"/>
      <c r="K5" s="1124"/>
      <c r="L5" s="1123">
        <v>2500000</v>
      </c>
      <c r="M5" s="1124"/>
      <c r="N5" s="1123">
        <v>2500000</v>
      </c>
      <c r="O5" s="1124"/>
      <c r="P5" s="1123">
        <v>2500000</v>
      </c>
      <c r="Q5" s="1124"/>
      <c r="R5" s="1123"/>
      <c r="S5" s="1124"/>
      <c r="T5" s="1132">
        <v>1000000</v>
      </c>
      <c r="U5" s="1133">
        <v>40477</v>
      </c>
      <c r="V5" s="1123">
        <v>2500000</v>
      </c>
      <c r="W5" s="1124">
        <v>40749</v>
      </c>
      <c r="X5" s="1123">
        <v>600000</v>
      </c>
      <c r="Y5" s="1135"/>
      <c r="Z5" s="1134"/>
      <c r="AA5" s="1135">
        <v>40318</v>
      </c>
      <c r="AB5" s="1151">
        <v>1000000</v>
      </c>
      <c r="AC5" s="1135"/>
      <c r="AD5" s="1152"/>
      <c r="AE5" s="1153"/>
      <c r="AF5" s="1152"/>
      <c r="AG5" s="1153"/>
      <c r="AH5" s="1168" t="str">
        <f t="shared" ref="AH5:AH68" si="2">E5</f>
        <v>PI</v>
      </c>
      <c r="AI5" s="747">
        <f t="shared" ref="AI5:AI36" si="3">SUM(J5,L5,N5,P5,R5,T5,V5,X5,Z5,AB5,AD5,AF5)</f>
        <v>12600000</v>
      </c>
      <c r="AJ5" s="747">
        <f t="shared" ref="AJ5:AJ21" si="4">((COUNT((L5,N5,P5,R5,T5,V5,X5,Z5,AD5,AF5)))*2500000)+(J5+AB5)</f>
        <v>16000000</v>
      </c>
      <c r="AK5" s="747">
        <f t="shared" ref="AK5:AK36" si="5">AJ5-AI5</f>
        <v>3400000</v>
      </c>
      <c r="AL5" s="1169"/>
      <c r="AM5" s="1170"/>
      <c r="AN5" s="1171"/>
      <c r="AO5" s="1170"/>
      <c r="AP5" s="1171"/>
      <c r="AQ5" s="1128"/>
      <c r="AR5" s="1173"/>
      <c r="AT5" s="1173"/>
      <c r="AV5" s="1173"/>
      <c r="AX5" s="1173"/>
      <c r="AY5" s="1176"/>
      <c r="AZ5" s="1173"/>
    </row>
    <row r="6" spans="1:59" s="2" customFormat="1" x14ac:dyDescent="0.25">
      <c r="A6" s="19">
        <v>2</v>
      </c>
      <c r="B6" s="20">
        <v>2</v>
      </c>
      <c r="C6" s="22">
        <v>84089011</v>
      </c>
      <c r="D6" s="21" t="s">
        <v>34</v>
      </c>
      <c r="E6" s="23" t="s">
        <v>32</v>
      </c>
      <c r="F6" s="20">
        <v>2008</v>
      </c>
      <c r="G6" s="23" t="s">
        <v>33</v>
      </c>
      <c r="H6" s="24" t="str">
        <f t="shared" si="0"/>
        <v xml:space="preserve">   </v>
      </c>
      <c r="I6" s="24">
        <f t="shared" si="1"/>
        <v>40544</v>
      </c>
      <c r="J6" s="1123"/>
      <c r="K6" s="1124"/>
      <c r="L6" s="1123">
        <v>2500000</v>
      </c>
      <c r="M6" s="1124"/>
      <c r="N6" s="1123">
        <v>2500000</v>
      </c>
      <c r="O6" s="1124"/>
      <c r="P6" s="1123">
        <v>2500000</v>
      </c>
      <c r="Q6" s="1124"/>
      <c r="R6" s="1123"/>
      <c r="S6" s="1124"/>
      <c r="T6" s="1132">
        <v>2500000</v>
      </c>
      <c r="U6" s="1133">
        <v>40403</v>
      </c>
      <c r="V6" s="1134"/>
      <c r="W6" s="1135"/>
      <c r="X6" s="1134"/>
      <c r="Y6" s="1135"/>
      <c r="Z6" s="1134"/>
      <c r="AA6" s="1135"/>
      <c r="AB6" s="1151">
        <v>1000000</v>
      </c>
      <c r="AC6" s="1135"/>
      <c r="AD6" s="1152"/>
      <c r="AE6" s="1153"/>
      <c r="AF6" s="1152"/>
      <c r="AG6" s="1153"/>
      <c r="AH6" s="1168" t="str">
        <f t="shared" si="2"/>
        <v>PI</v>
      </c>
      <c r="AI6" s="747">
        <f t="shared" si="3"/>
        <v>11000000</v>
      </c>
      <c r="AJ6" s="747">
        <f t="shared" si="4"/>
        <v>16000000</v>
      </c>
      <c r="AK6" s="747">
        <f t="shared" si="5"/>
        <v>5000000</v>
      </c>
      <c r="AL6" s="1169"/>
      <c r="AM6" s="1170"/>
      <c r="AN6" s="1171"/>
      <c r="AO6" s="1170"/>
      <c r="AP6" s="1171"/>
      <c r="AQ6" s="1128"/>
      <c r="AR6" s="1173"/>
      <c r="AT6" s="1173"/>
      <c r="AV6" s="1173"/>
      <c r="AX6" s="1173"/>
      <c r="AY6" s="1176"/>
      <c r="AZ6" s="1173"/>
    </row>
    <row r="7" spans="1:59" s="2" customFormat="1" x14ac:dyDescent="0.25">
      <c r="A7" s="19">
        <v>3</v>
      </c>
      <c r="B7" s="25">
        <v>3</v>
      </c>
      <c r="C7" s="27">
        <v>84089016</v>
      </c>
      <c r="D7" s="26" t="s">
        <v>35</v>
      </c>
      <c r="E7" s="28" t="s">
        <v>32</v>
      </c>
      <c r="F7" s="25">
        <v>2008</v>
      </c>
      <c r="G7" s="29"/>
      <c r="H7" s="30" t="str">
        <f t="shared" si="0"/>
        <v xml:space="preserve">   </v>
      </c>
      <c r="I7" s="30" t="str">
        <f t="shared" si="1"/>
        <v xml:space="preserve">   </v>
      </c>
      <c r="J7" s="1125"/>
      <c r="K7" s="1126"/>
      <c r="L7" s="1125">
        <v>2500000</v>
      </c>
      <c r="M7" s="1126"/>
      <c r="N7" s="1125">
        <v>2500000</v>
      </c>
      <c r="O7" s="1126"/>
      <c r="P7" s="1125">
        <v>2500000</v>
      </c>
      <c r="Q7" s="1126"/>
      <c r="R7" s="1125"/>
      <c r="S7" s="1126"/>
      <c r="T7" s="1136"/>
      <c r="U7" s="1137"/>
      <c r="V7" s="1134"/>
      <c r="W7" s="1135"/>
      <c r="X7" s="1134"/>
      <c r="Y7" s="1135"/>
      <c r="Z7" s="1134"/>
      <c r="AA7" s="1135"/>
      <c r="AB7" s="1151"/>
      <c r="AC7" s="1135"/>
      <c r="AD7" s="1152"/>
      <c r="AE7" s="1153"/>
      <c r="AF7" s="1152"/>
      <c r="AG7" s="1153"/>
      <c r="AH7" s="1168" t="str">
        <f t="shared" si="2"/>
        <v>PI</v>
      </c>
      <c r="AI7" s="747">
        <f t="shared" si="3"/>
        <v>7500000</v>
      </c>
      <c r="AJ7" s="747">
        <f t="shared" si="4"/>
        <v>15000000</v>
      </c>
      <c r="AK7" s="747">
        <f t="shared" si="5"/>
        <v>7500000</v>
      </c>
      <c r="AL7" s="1169"/>
      <c r="AM7" s="1170"/>
      <c r="AN7" s="1171"/>
      <c r="AO7" s="1170"/>
      <c r="AP7" s="1171"/>
      <c r="AQ7" s="1128"/>
      <c r="AR7" s="1173"/>
      <c r="AT7" s="1173"/>
      <c r="AV7" s="1173"/>
      <c r="AX7" s="1173"/>
      <c r="AY7" s="1176"/>
      <c r="AZ7" s="1173"/>
    </row>
    <row r="8" spans="1:59" s="2" customFormat="1" x14ac:dyDescent="0.25">
      <c r="A8" s="19">
        <v>4</v>
      </c>
      <c r="B8" s="25">
        <v>4</v>
      </c>
      <c r="C8" s="27">
        <v>84089021</v>
      </c>
      <c r="D8" s="26" t="s">
        <v>36</v>
      </c>
      <c r="E8" s="28" t="s">
        <v>32</v>
      </c>
      <c r="F8" s="25">
        <v>2008</v>
      </c>
      <c r="G8" s="29"/>
      <c r="H8" s="30" t="str">
        <f t="shared" si="0"/>
        <v xml:space="preserve">   </v>
      </c>
      <c r="I8" s="30" t="str">
        <f t="shared" si="1"/>
        <v xml:space="preserve">   </v>
      </c>
      <c r="J8" s="1125"/>
      <c r="K8" s="1126"/>
      <c r="L8" s="1125">
        <v>2500000</v>
      </c>
      <c r="M8" s="1126"/>
      <c r="N8" s="1125"/>
      <c r="O8" s="1126"/>
      <c r="P8" s="1125"/>
      <c r="Q8" s="1126"/>
      <c r="R8" s="1125"/>
      <c r="S8" s="1126"/>
      <c r="T8" s="1136"/>
      <c r="U8" s="1137"/>
      <c r="V8" s="1134"/>
      <c r="W8" s="1135"/>
      <c r="X8" s="1134"/>
      <c r="Y8" s="1135"/>
      <c r="Z8" s="1134"/>
      <c r="AA8" s="1135"/>
      <c r="AB8" s="1151">
        <v>0</v>
      </c>
      <c r="AC8" s="1135"/>
      <c r="AD8" s="1152"/>
      <c r="AE8" s="1153"/>
      <c r="AF8" s="1152"/>
      <c r="AG8" s="1153"/>
      <c r="AH8" s="1168" t="str">
        <f t="shared" si="2"/>
        <v>PI</v>
      </c>
      <c r="AI8" s="747">
        <f t="shared" si="3"/>
        <v>2500000</v>
      </c>
      <c r="AJ8" s="747">
        <f t="shared" si="4"/>
        <v>15000000</v>
      </c>
      <c r="AK8" s="747">
        <f t="shared" si="5"/>
        <v>12500000</v>
      </c>
      <c r="AL8" s="1169"/>
      <c r="AM8" s="1170"/>
      <c r="AN8" s="1171"/>
      <c r="AO8" s="1170"/>
      <c r="AP8" s="1171"/>
      <c r="AQ8" s="1128"/>
      <c r="AR8" s="1173"/>
      <c r="AT8" s="1173"/>
      <c r="AV8" s="1173"/>
      <c r="AX8" s="1173"/>
      <c r="AY8" s="1176"/>
      <c r="AZ8" s="1173"/>
    </row>
    <row r="9" spans="1:59" s="2" customFormat="1" x14ac:dyDescent="0.25">
      <c r="A9" s="19">
        <v>5</v>
      </c>
      <c r="B9" s="25">
        <v>5</v>
      </c>
      <c r="C9" s="27">
        <v>84089024</v>
      </c>
      <c r="D9" s="26" t="s">
        <v>37</v>
      </c>
      <c r="E9" s="28" t="s">
        <v>32</v>
      </c>
      <c r="F9" s="25">
        <v>2008</v>
      </c>
      <c r="G9" s="29"/>
      <c r="H9" s="30" t="str">
        <f t="shared" si="0"/>
        <v xml:space="preserve">   </v>
      </c>
      <c r="I9" s="30" t="str">
        <f t="shared" si="1"/>
        <v xml:space="preserve">   </v>
      </c>
      <c r="J9" s="1125"/>
      <c r="K9" s="1126"/>
      <c r="L9" s="1125">
        <v>2500000</v>
      </c>
      <c r="M9" s="1126"/>
      <c r="N9" s="1125">
        <v>2500000</v>
      </c>
      <c r="O9" s="1126"/>
      <c r="P9" s="1125">
        <v>2500000</v>
      </c>
      <c r="Q9" s="1126"/>
      <c r="R9" s="1125"/>
      <c r="S9" s="1126"/>
      <c r="T9" s="1136">
        <v>2500000</v>
      </c>
      <c r="U9" s="1137">
        <v>40397</v>
      </c>
      <c r="V9" s="1134"/>
      <c r="W9" s="1135"/>
      <c r="X9" s="1134"/>
      <c r="Y9" s="1135"/>
      <c r="Z9" s="1134"/>
      <c r="AA9" s="1135"/>
      <c r="AB9" s="1151">
        <v>1000000</v>
      </c>
      <c r="AC9" s="1135"/>
      <c r="AD9" s="1152"/>
      <c r="AE9" s="1153"/>
      <c r="AF9" s="1152"/>
      <c r="AG9" s="1153"/>
      <c r="AH9" s="1168" t="str">
        <f t="shared" si="2"/>
        <v>PI</v>
      </c>
      <c r="AI9" s="747">
        <f t="shared" si="3"/>
        <v>11000000</v>
      </c>
      <c r="AJ9" s="747">
        <f t="shared" si="4"/>
        <v>16000000</v>
      </c>
      <c r="AK9" s="747">
        <f t="shared" si="5"/>
        <v>5000000</v>
      </c>
      <c r="AL9" s="1169"/>
      <c r="AM9" s="1170"/>
      <c r="AN9" s="1171"/>
      <c r="AO9" s="1170"/>
      <c r="AP9" s="1171"/>
      <c r="AQ9" s="1128"/>
      <c r="AR9" s="1173"/>
      <c r="AT9" s="1173"/>
      <c r="AV9" s="1173"/>
      <c r="AX9" s="1173"/>
      <c r="AY9" s="1176"/>
      <c r="AZ9" s="1173"/>
    </row>
    <row r="10" spans="1:59" s="2" customFormat="1" x14ac:dyDescent="0.25">
      <c r="A10" s="19">
        <v>6</v>
      </c>
      <c r="B10" s="25">
        <v>6</v>
      </c>
      <c r="C10" s="27">
        <v>84089025</v>
      </c>
      <c r="D10" s="26" t="s">
        <v>38</v>
      </c>
      <c r="E10" s="28" t="s">
        <v>32</v>
      </c>
      <c r="F10" s="25">
        <v>2008</v>
      </c>
      <c r="G10" s="29"/>
      <c r="H10" s="30" t="str">
        <f t="shared" si="0"/>
        <v xml:space="preserve">   </v>
      </c>
      <c r="I10" s="30" t="str">
        <f t="shared" si="1"/>
        <v xml:space="preserve">   </v>
      </c>
      <c r="J10" s="1125"/>
      <c r="K10" s="1126"/>
      <c r="L10" s="1125">
        <v>2500000</v>
      </c>
      <c r="M10" s="1126"/>
      <c r="N10" s="1125"/>
      <c r="O10" s="1126"/>
      <c r="P10" s="1125"/>
      <c r="Q10" s="1126"/>
      <c r="R10" s="1125"/>
      <c r="S10" s="1126"/>
      <c r="T10" s="1136"/>
      <c r="U10" s="1137"/>
      <c r="V10" s="1134"/>
      <c r="W10" s="1135"/>
      <c r="X10" s="1134"/>
      <c r="Y10" s="1135"/>
      <c r="Z10" s="1134"/>
      <c r="AA10" s="1135"/>
      <c r="AB10" s="1151">
        <v>0</v>
      </c>
      <c r="AC10" s="1135"/>
      <c r="AD10" s="1152"/>
      <c r="AE10" s="1153"/>
      <c r="AF10" s="1152"/>
      <c r="AG10" s="1153"/>
      <c r="AH10" s="1168" t="str">
        <f t="shared" si="2"/>
        <v>PI</v>
      </c>
      <c r="AI10" s="747">
        <f t="shared" si="3"/>
        <v>2500000</v>
      </c>
      <c r="AJ10" s="747">
        <f t="shared" si="4"/>
        <v>15000000</v>
      </c>
      <c r="AK10" s="747">
        <f t="shared" si="5"/>
        <v>12500000</v>
      </c>
      <c r="AL10" s="1169"/>
      <c r="AM10" s="1170"/>
      <c r="AN10" s="1171"/>
      <c r="AO10" s="1170"/>
      <c r="AP10" s="1171"/>
      <c r="AQ10" s="1128"/>
      <c r="AR10" s="1173"/>
      <c r="AT10" s="1173"/>
      <c r="AV10" s="1173"/>
      <c r="AX10" s="1173"/>
      <c r="AY10" s="1176"/>
      <c r="AZ10" s="1173"/>
    </row>
    <row r="11" spans="1:59" s="2" customFormat="1" x14ac:dyDescent="0.25">
      <c r="A11" s="19">
        <v>7</v>
      </c>
      <c r="B11" s="25">
        <v>7</v>
      </c>
      <c r="C11" s="27">
        <v>84089026</v>
      </c>
      <c r="D11" s="26" t="s">
        <v>39</v>
      </c>
      <c r="E11" s="28" t="s">
        <v>32</v>
      </c>
      <c r="F11" s="25">
        <v>2008</v>
      </c>
      <c r="G11" s="29"/>
      <c r="H11" s="30" t="str">
        <f t="shared" si="0"/>
        <v xml:space="preserve">   </v>
      </c>
      <c r="I11" s="30" t="str">
        <f t="shared" si="1"/>
        <v xml:space="preserve">   </v>
      </c>
      <c r="J11" s="1125"/>
      <c r="K11" s="1126"/>
      <c r="L11" s="1125">
        <v>2500000</v>
      </c>
      <c r="M11" s="1126"/>
      <c r="N11" s="1125">
        <v>2500000</v>
      </c>
      <c r="O11" s="1126"/>
      <c r="P11" s="1125">
        <v>2500000</v>
      </c>
      <c r="Q11" s="1126"/>
      <c r="R11" s="1125"/>
      <c r="S11" s="1126"/>
      <c r="T11" s="1136">
        <v>2500000</v>
      </c>
      <c r="U11" s="1137">
        <v>40397</v>
      </c>
      <c r="V11" s="1134"/>
      <c r="W11" s="1135"/>
      <c r="X11" s="1134"/>
      <c r="Y11" s="1135"/>
      <c r="Z11" s="1134"/>
      <c r="AA11" s="1135"/>
      <c r="AB11" s="1151">
        <v>1000000</v>
      </c>
      <c r="AC11" s="1135"/>
      <c r="AD11" s="1152"/>
      <c r="AE11" s="1153"/>
      <c r="AF11" s="1152"/>
      <c r="AG11" s="1153"/>
      <c r="AH11" s="1168" t="str">
        <f t="shared" si="2"/>
        <v>PI</v>
      </c>
      <c r="AI11" s="747">
        <f t="shared" si="3"/>
        <v>11000000</v>
      </c>
      <c r="AJ11" s="747">
        <f t="shared" si="4"/>
        <v>16000000</v>
      </c>
      <c r="AK11" s="747">
        <f t="shared" si="5"/>
        <v>5000000</v>
      </c>
      <c r="AL11" s="1169"/>
      <c r="AM11" s="1170"/>
      <c r="AN11" s="1171"/>
      <c r="AO11" s="1170"/>
      <c r="AP11" s="1171"/>
      <c r="AQ11" s="1128"/>
      <c r="AR11" s="1173"/>
      <c r="AT11" s="1173"/>
      <c r="AV11" s="1173"/>
      <c r="AX11" s="1173"/>
      <c r="AY11" s="1176"/>
      <c r="AZ11" s="1173"/>
    </row>
    <row r="12" spans="1:59" s="2" customFormat="1" x14ac:dyDescent="0.25">
      <c r="A12" s="19">
        <v>8</v>
      </c>
      <c r="B12" s="25">
        <v>8</v>
      </c>
      <c r="C12" s="27">
        <v>84089030</v>
      </c>
      <c r="D12" s="26" t="s">
        <v>40</v>
      </c>
      <c r="E12" s="28" t="s">
        <v>32</v>
      </c>
      <c r="F12" s="25">
        <v>2008</v>
      </c>
      <c r="G12" s="29"/>
      <c r="H12" s="30" t="str">
        <f t="shared" si="0"/>
        <v xml:space="preserve">   </v>
      </c>
      <c r="I12" s="30" t="str">
        <f t="shared" si="1"/>
        <v xml:space="preserve">   </v>
      </c>
      <c r="J12" s="1125"/>
      <c r="K12" s="1126"/>
      <c r="L12" s="1125">
        <v>2500000</v>
      </c>
      <c r="M12" s="1126"/>
      <c r="N12" s="1125">
        <v>2500000</v>
      </c>
      <c r="O12" s="1126"/>
      <c r="P12" s="1125">
        <v>2500000</v>
      </c>
      <c r="Q12" s="1126"/>
      <c r="R12" s="1125"/>
      <c r="S12" s="1126"/>
      <c r="T12" s="1136">
        <v>2500000</v>
      </c>
      <c r="U12" s="1137">
        <v>40397</v>
      </c>
      <c r="V12" s="1134"/>
      <c r="W12" s="1135"/>
      <c r="X12" s="1134"/>
      <c r="Y12" s="1135"/>
      <c r="Z12" s="1134"/>
      <c r="AA12" s="1135"/>
      <c r="AB12" s="1151">
        <v>1000000</v>
      </c>
      <c r="AC12" s="1135"/>
      <c r="AD12" s="1152"/>
      <c r="AE12" s="1153"/>
      <c r="AF12" s="1152"/>
      <c r="AG12" s="1153"/>
      <c r="AH12" s="1168" t="str">
        <f t="shared" si="2"/>
        <v>PI</v>
      </c>
      <c r="AI12" s="747">
        <f t="shared" si="3"/>
        <v>11000000</v>
      </c>
      <c r="AJ12" s="747">
        <f t="shared" si="4"/>
        <v>16000000</v>
      </c>
      <c r="AK12" s="747">
        <f t="shared" si="5"/>
        <v>5000000</v>
      </c>
      <c r="AL12" s="1169"/>
      <c r="AM12" s="1170"/>
      <c r="AN12" s="1171"/>
      <c r="AO12" s="1170"/>
      <c r="AP12" s="1171"/>
      <c r="AQ12" s="1128"/>
      <c r="AR12" s="1173"/>
      <c r="AT12" s="1173"/>
      <c r="AV12" s="1173"/>
      <c r="AX12" s="1173"/>
      <c r="AY12" s="1176"/>
      <c r="AZ12" s="1173"/>
    </row>
    <row r="13" spans="1:59" s="2" customFormat="1" x14ac:dyDescent="0.25">
      <c r="A13" s="19">
        <v>9</v>
      </c>
      <c r="B13" s="25">
        <v>9</v>
      </c>
      <c r="C13" s="27">
        <v>84089032</v>
      </c>
      <c r="D13" s="26" t="s">
        <v>41</v>
      </c>
      <c r="E13" s="28" t="s">
        <v>32</v>
      </c>
      <c r="F13" s="25">
        <v>2008</v>
      </c>
      <c r="G13" s="29"/>
      <c r="H13" s="30" t="str">
        <f t="shared" si="0"/>
        <v xml:space="preserve">   </v>
      </c>
      <c r="I13" s="30" t="str">
        <f t="shared" si="1"/>
        <v xml:space="preserve">   </v>
      </c>
      <c r="J13" s="1125"/>
      <c r="K13" s="1126"/>
      <c r="L13" s="1125">
        <v>2500000</v>
      </c>
      <c r="M13" s="1126"/>
      <c r="N13" s="1125">
        <v>2500000</v>
      </c>
      <c r="O13" s="1126"/>
      <c r="P13" s="1125">
        <v>2500000</v>
      </c>
      <c r="Q13" s="1126"/>
      <c r="R13" s="1125"/>
      <c r="S13" s="1126"/>
      <c r="T13" s="1136">
        <v>2500000</v>
      </c>
      <c r="U13" s="1137">
        <v>40397</v>
      </c>
      <c r="V13" s="1134"/>
      <c r="W13" s="1135"/>
      <c r="X13" s="1134"/>
      <c r="Y13" s="1135"/>
      <c r="Z13" s="1134"/>
      <c r="AA13" s="1135"/>
      <c r="AB13" s="1151">
        <v>1000000</v>
      </c>
      <c r="AC13" s="1135"/>
      <c r="AD13" s="1152"/>
      <c r="AE13" s="1153"/>
      <c r="AF13" s="1152"/>
      <c r="AG13" s="1153"/>
      <c r="AH13" s="1168" t="str">
        <f t="shared" si="2"/>
        <v>PI</v>
      </c>
      <c r="AI13" s="747">
        <f t="shared" si="3"/>
        <v>11000000</v>
      </c>
      <c r="AJ13" s="747">
        <f t="shared" si="4"/>
        <v>16000000</v>
      </c>
      <c r="AK13" s="747">
        <f t="shared" si="5"/>
        <v>5000000</v>
      </c>
      <c r="AL13" s="1169"/>
      <c r="AM13" s="1170"/>
      <c r="AN13" s="1171"/>
      <c r="AO13" s="1170"/>
      <c r="AP13" s="1171"/>
      <c r="AQ13" s="1128"/>
      <c r="AR13" s="1173"/>
      <c r="AT13" s="1173"/>
      <c r="AV13" s="1173"/>
      <c r="AX13" s="1173"/>
      <c r="AY13" s="1176"/>
      <c r="AZ13" s="1173"/>
    </row>
    <row r="14" spans="1:59" s="2" customFormat="1" x14ac:dyDescent="0.25">
      <c r="A14" s="19">
        <v>10</v>
      </c>
      <c r="B14" s="25">
        <v>10</v>
      </c>
      <c r="C14" s="27">
        <v>84089007</v>
      </c>
      <c r="D14" s="26" t="s">
        <v>42</v>
      </c>
      <c r="E14" s="28" t="s">
        <v>32</v>
      </c>
      <c r="F14" s="25">
        <v>2008</v>
      </c>
      <c r="G14" s="29"/>
      <c r="H14" s="30" t="str">
        <f t="shared" si="0"/>
        <v xml:space="preserve">   </v>
      </c>
      <c r="I14" s="30" t="str">
        <f t="shared" si="1"/>
        <v xml:space="preserve">   </v>
      </c>
      <c r="J14" s="1125"/>
      <c r="K14" s="1126"/>
      <c r="L14" s="1125">
        <v>2500000</v>
      </c>
      <c r="M14" s="1126"/>
      <c r="N14" s="1125">
        <v>2500000</v>
      </c>
      <c r="O14" s="1126"/>
      <c r="P14" s="1125">
        <v>2500000</v>
      </c>
      <c r="Q14" s="1126"/>
      <c r="R14" s="1125"/>
      <c r="S14" s="1126"/>
      <c r="T14" s="1136">
        <v>2500000</v>
      </c>
      <c r="U14" s="1137">
        <v>40397</v>
      </c>
      <c r="V14" s="1134"/>
      <c r="W14" s="1135"/>
      <c r="X14" s="1134"/>
      <c r="Y14" s="1135"/>
      <c r="Z14" s="1134"/>
      <c r="AA14" s="1135"/>
      <c r="AB14" s="1151">
        <v>1000000</v>
      </c>
      <c r="AC14" s="1135"/>
      <c r="AD14" s="1152"/>
      <c r="AE14" s="1153"/>
      <c r="AF14" s="1152"/>
      <c r="AG14" s="1153"/>
      <c r="AH14" s="1168" t="str">
        <f t="shared" si="2"/>
        <v>PI</v>
      </c>
      <c r="AI14" s="747">
        <f t="shared" si="3"/>
        <v>11000000</v>
      </c>
      <c r="AJ14" s="747">
        <f t="shared" si="4"/>
        <v>16000000</v>
      </c>
      <c r="AK14" s="747">
        <f t="shared" si="5"/>
        <v>5000000</v>
      </c>
      <c r="AL14" s="1169"/>
      <c r="AM14" s="1170"/>
      <c r="AN14" s="1171"/>
      <c r="AO14" s="1170"/>
      <c r="AP14" s="1171"/>
      <c r="AQ14" s="1128"/>
      <c r="AR14" s="1173"/>
      <c r="AT14" s="1173"/>
      <c r="AV14" s="1173"/>
      <c r="AX14" s="1173"/>
      <c r="AY14" s="1176"/>
      <c r="AZ14" s="1173"/>
    </row>
    <row r="15" spans="1:59" s="2" customFormat="1" x14ac:dyDescent="0.25">
      <c r="A15" s="19">
        <v>11</v>
      </c>
      <c r="B15" s="25">
        <v>11</v>
      </c>
      <c r="C15" s="27">
        <v>84089009</v>
      </c>
      <c r="D15" s="26" t="s">
        <v>43</v>
      </c>
      <c r="E15" s="28" t="s">
        <v>32</v>
      </c>
      <c r="F15" s="25">
        <v>2008</v>
      </c>
      <c r="G15" s="29"/>
      <c r="H15" s="30" t="str">
        <f t="shared" si="0"/>
        <v xml:space="preserve">   </v>
      </c>
      <c r="I15" s="30" t="str">
        <f t="shared" si="1"/>
        <v xml:space="preserve">   </v>
      </c>
      <c r="J15" s="1125"/>
      <c r="K15" s="1126"/>
      <c r="L15" s="1125">
        <v>2500000</v>
      </c>
      <c r="M15" s="1126"/>
      <c r="N15" s="1125">
        <v>2500000</v>
      </c>
      <c r="O15" s="1126"/>
      <c r="P15" s="1125">
        <v>2500000</v>
      </c>
      <c r="Q15" s="1126"/>
      <c r="R15" s="1125"/>
      <c r="S15" s="1126"/>
      <c r="T15" s="1136">
        <v>2500000</v>
      </c>
      <c r="U15" s="1137">
        <v>40397</v>
      </c>
      <c r="V15" s="1134"/>
      <c r="W15" s="1135"/>
      <c r="X15" s="1134"/>
      <c r="Y15" s="1135"/>
      <c r="Z15" s="1134"/>
      <c r="AA15" s="1135"/>
      <c r="AB15" s="1151">
        <v>1000000</v>
      </c>
      <c r="AC15" s="1135"/>
      <c r="AD15" s="1152"/>
      <c r="AE15" s="1153"/>
      <c r="AF15" s="1152"/>
      <c r="AG15" s="1153"/>
      <c r="AH15" s="1168" t="str">
        <f t="shared" si="2"/>
        <v>PI</v>
      </c>
      <c r="AI15" s="747">
        <f t="shared" si="3"/>
        <v>11000000</v>
      </c>
      <c r="AJ15" s="747">
        <f t="shared" si="4"/>
        <v>16000000</v>
      </c>
      <c r="AK15" s="747">
        <f t="shared" si="5"/>
        <v>5000000</v>
      </c>
      <c r="AL15" s="1169"/>
      <c r="AM15" s="1170"/>
      <c r="AN15" s="1171"/>
      <c r="AO15" s="1170"/>
      <c r="AP15" s="1171"/>
      <c r="AQ15" s="1128"/>
      <c r="AR15" s="1173"/>
      <c r="AT15" s="1173"/>
      <c r="AV15" s="1173"/>
      <c r="AX15" s="1173"/>
      <c r="AY15" s="1176"/>
      <c r="AZ15" s="1173"/>
    </row>
    <row r="16" spans="1:59" s="2" customFormat="1" x14ac:dyDescent="0.25">
      <c r="A16" s="19">
        <v>12</v>
      </c>
      <c r="B16" s="25">
        <v>12</v>
      </c>
      <c r="C16" s="27">
        <v>84089017</v>
      </c>
      <c r="D16" s="26" t="s">
        <v>44</v>
      </c>
      <c r="E16" s="28" t="s">
        <v>32</v>
      </c>
      <c r="F16" s="25">
        <v>2008</v>
      </c>
      <c r="G16" s="29"/>
      <c r="H16" s="30" t="str">
        <f t="shared" si="0"/>
        <v xml:space="preserve">   </v>
      </c>
      <c r="I16" s="30" t="str">
        <f t="shared" si="1"/>
        <v xml:space="preserve">   </v>
      </c>
      <c r="J16" s="1125"/>
      <c r="K16" s="1126"/>
      <c r="L16" s="1125">
        <v>2500000</v>
      </c>
      <c r="M16" s="1126"/>
      <c r="N16" s="1125">
        <v>2500000</v>
      </c>
      <c r="O16" s="1126"/>
      <c r="P16" s="1125">
        <v>2500000</v>
      </c>
      <c r="Q16" s="1126"/>
      <c r="R16" s="1125"/>
      <c r="S16" s="1126"/>
      <c r="T16" s="1136">
        <v>2500000</v>
      </c>
      <c r="U16" s="1137">
        <v>40397</v>
      </c>
      <c r="V16" s="1134"/>
      <c r="W16" s="1135"/>
      <c r="X16" s="1134"/>
      <c r="Y16" s="1135"/>
      <c r="Z16" s="1134"/>
      <c r="AA16" s="1135"/>
      <c r="AB16" s="1151">
        <v>1000000</v>
      </c>
      <c r="AC16" s="1135"/>
      <c r="AD16" s="1152"/>
      <c r="AE16" s="1153"/>
      <c r="AF16" s="1152"/>
      <c r="AG16" s="1153"/>
      <c r="AH16" s="1168" t="str">
        <f t="shared" si="2"/>
        <v>PI</v>
      </c>
      <c r="AI16" s="747">
        <f t="shared" si="3"/>
        <v>11000000</v>
      </c>
      <c r="AJ16" s="747">
        <f t="shared" si="4"/>
        <v>16000000</v>
      </c>
      <c r="AK16" s="747">
        <f t="shared" si="5"/>
        <v>5000000</v>
      </c>
      <c r="AL16" s="1169"/>
      <c r="AM16" s="1170"/>
      <c r="AN16" s="1171"/>
      <c r="AO16" s="1170"/>
      <c r="AP16" s="1171"/>
      <c r="AQ16" s="1128"/>
      <c r="AR16" s="1173"/>
      <c r="AT16" s="1173"/>
      <c r="AV16" s="1173"/>
      <c r="AX16" s="1173"/>
      <c r="AY16" s="1176"/>
      <c r="AZ16" s="1173"/>
    </row>
    <row r="17" spans="1:52" s="2" customFormat="1" x14ac:dyDescent="0.25">
      <c r="A17" s="19">
        <v>13</v>
      </c>
      <c r="B17" s="25">
        <v>13</v>
      </c>
      <c r="C17" s="27">
        <v>84089063</v>
      </c>
      <c r="D17" s="26" t="s">
        <v>45</v>
      </c>
      <c r="E17" s="28" t="s">
        <v>32</v>
      </c>
      <c r="F17" s="25">
        <v>2008</v>
      </c>
      <c r="G17" s="29"/>
      <c r="H17" s="30" t="str">
        <f t="shared" si="0"/>
        <v xml:space="preserve">   </v>
      </c>
      <c r="I17" s="30" t="str">
        <f t="shared" si="1"/>
        <v xml:space="preserve">   </v>
      </c>
      <c r="J17" s="1125"/>
      <c r="K17" s="1126"/>
      <c r="L17" s="1125">
        <v>2500000</v>
      </c>
      <c r="M17" s="1126"/>
      <c r="N17" s="1125"/>
      <c r="O17" s="1126"/>
      <c r="P17" s="1125"/>
      <c r="Q17" s="1126"/>
      <c r="R17" s="1125"/>
      <c r="S17" s="1126"/>
      <c r="T17" s="1136"/>
      <c r="U17" s="1137"/>
      <c r="V17" s="1134"/>
      <c r="W17" s="1135"/>
      <c r="X17" s="1134"/>
      <c r="Y17" s="1135"/>
      <c r="Z17" s="1134"/>
      <c r="AA17" s="1135"/>
      <c r="AB17" s="1151"/>
      <c r="AC17" s="1135"/>
      <c r="AD17" s="1152"/>
      <c r="AE17" s="1153"/>
      <c r="AF17" s="1152"/>
      <c r="AG17" s="1153"/>
      <c r="AH17" s="1168" t="str">
        <f t="shared" si="2"/>
        <v>PI</v>
      </c>
      <c r="AI17" s="747">
        <f t="shared" si="3"/>
        <v>2500000</v>
      </c>
      <c r="AJ17" s="747">
        <f t="shared" si="4"/>
        <v>15000000</v>
      </c>
      <c r="AK17" s="747">
        <f t="shared" si="5"/>
        <v>12500000</v>
      </c>
      <c r="AL17" s="1169"/>
      <c r="AM17" s="1170"/>
      <c r="AN17" s="1171"/>
      <c r="AO17" s="1170"/>
      <c r="AP17" s="1171"/>
      <c r="AQ17" s="1128"/>
      <c r="AR17" s="1173"/>
      <c r="AT17" s="1173"/>
      <c r="AV17" s="1173"/>
      <c r="AX17" s="1173"/>
      <c r="AY17" s="1176"/>
      <c r="AZ17" s="1173"/>
    </row>
    <row r="18" spans="1:52" s="2" customFormat="1" x14ac:dyDescent="0.25">
      <c r="A18" s="19">
        <v>14</v>
      </c>
      <c r="B18" s="25">
        <v>14</v>
      </c>
      <c r="C18" s="27">
        <v>84089041</v>
      </c>
      <c r="D18" s="26" t="s">
        <v>46</v>
      </c>
      <c r="E18" s="28" t="s">
        <v>32</v>
      </c>
      <c r="F18" s="25">
        <v>2008</v>
      </c>
      <c r="G18" s="29"/>
      <c r="H18" s="30" t="str">
        <f t="shared" si="0"/>
        <v xml:space="preserve">   </v>
      </c>
      <c r="I18" s="30" t="str">
        <f t="shared" si="1"/>
        <v xml:space="preserve">   </v>
      </c>
      <c r="J18" s="1125"/>
      <c r="K18" s="1126"/>
      <c r="L18" s="1125">
        <v>2500000</v>
      </c>
      <c r="M18" s="1126"/>
      <c r="N18" s="1125">
        <v>2500000</v>
      </c>
      <c r="O18" s="1126"/>
      <c r="P18" s="1125">
        <v>2500000</v>
      </c>
      <c r="Q18" s="1126"/>
      <c r="R18" s="1125"/>
      <c r="S18" s="1126"/>
      <c r="T18" s="1136">
        <v>2500000</v>
      </c>
      <c r="U18" s="1137">
        <v>40397</v>
      </c>
      <c r="V18" s="1134"/>
      <c r="W18" s="1135"/>
      <c r="X18" s="1134"/>
      <c r="Y18" s="1135"/>
      <c r="Z18" s="1134"/>
      <c r="AA18" s="1135"/>
      <c r="AB18" s="1151">
        <v>1000000</v>
      </c>
      <c r="AC18" s="1135"/>
      <c r="AD18" s="1152"/>
      <c r="AE18" s="1153"/>
      <c r="AF18" s="1152"/>
      <c r="AG18" s="1153"/>
      <c r="AH18" s="1168" t="str">
        <f t="shared" si="2"/>
        <v>PI</v>
      </c>
      <c r="AI18" s="747">
        <f t="shared" si="3"/>
        <v>11000000</v>
      </c>
      <c r="AJ18" s="747">
        <f t="shared" si="4"/>
        <v>16000000</v>
      </c>
      <c r="AK18" s="747">
        <f t="shared" si="5"/>
        <v>5000000</v>
      </c>
      <c r="AL18" s="1169"/>
      <c r="AM18" s="1170"/>
      <c r="AN18" s="1171"/>
      <c r="AO18" s="1170"/>
      <c r="AP18" s="1171"/>
      <c r="AQ18" s="1128"/>
      <c r="AR18" s="1173"/>
      <c r="AT18" s="1173"/>
      <c r="AV18" s="1173"/>
      <c r="AX18" s="1173"/>
      <c r="AY18" s="1176"/>
      <c r="AZ18" s="1173"/>
    </row>
    <row r="19" spans="1:52" s="2" customFormat="1" x14ac:dyDescent="0.25">
      <c r="A19" s="19">
        <v>15</v>
      </c>
      <c r="B19" s="25">
        <v>15</v>
      </c>
      <c r="C19" s="27">
        <v>84089034</v>
      </c>
      <c r="D19" s="26" t="s">
        <v>47</v>
      </c>
      <c r="E19" s="28" t="s">
        <v>32</v>
      </c>
      <c r="F19" s="25">
        <v>2008</v>
      </c>
      <c r="G19" s="29"/>
      <c r="H19" s="30" t="str">
        <f t="shared" si="0"/>
        <v xml:space="preserve">   </v>
      </c>
      <c r="I19" s="30" t="str">
        <f t="shared" si="1"/>
        <v xml:space="preserve">   </v>
      </c>
      <c r="J19" s="1125"/>
      <c r="K19" s="1126"/>
      <c r="L19" s="1125">
        <v>2500000</v>
      </c>
      <c r="M19" s="1126"/>
      <c r="N19" s="1125">
        <v>2500000</v>
      </c>
      <c r="O19" s="1126"/>
      <c r="P19" s="1125">
        <v>2500000</v>
      </c>
      <c r="Q19" s="1126"/>
      <c r="R19" s="1125"/>
      <c r="S19" s="1126"/>
      <c r="T19" s="1136">
        <v>2500000</v>
      </c>
      <c r="U19" s="1137">
        <v>40397</v>
      </c>
      <c r="V19" s="1134"/>
      <c r="W19" s="1135"/>
      <c r="X19" s="1134"/>
      <c r="Y19" s="1135"/>
      <c r="Z19" s="1134"/>
      <c r="AA19" s="1135"/>
      <c r="AB19" s="1151">
        <v>1000000</v>
      </c>
      <c r="AC19" s="1135"/>
      <c r="AD19" s="1152"/>
      <c r="AE19" s="1153"/>
      <c r="AF19" s="1152"/>
      <c r="AG19" s="1153"/>
      <c r="AH19" s="1168" t="str">
        <f t="shared" si="2"/>
        <v>PI</v>
      </c>
      <c r="AI19" s="747">
        <f t="shared" si="3"/>
        <v>11000000</v>
      </c>
      <c r="AJ19" s="747">
        <f t="shared" si="4"/>
        <v>16000000</v>
      </c>
      <c r="AK19" s="747">
        <f t="shared" si="5"/>
        <v>5000000</v>
      </c>
      <c r="AL19" s="1169"/>
      <c r="AM19" s="1170"/>
      <c r="AN19" s="1171"/>
      <c r="AO19" s="1170"/>
      <c r="AP19" s="1171"/>
      <c r="AQ19" s="1128"/>
      <c r="AR19" s="1173"/>
      <c r="AT19" s="1173"/>
      <c r="AV19" s="1173"/>
      <c r="AX19" s="1173"/>
      <c r="AY19" s="1176"/>
      <c r="AZ19" s="1173"/>
    </row>
    <row r="20" spans="1:52" s="2" customFormat="1" x14ac:dyDescent="0.25">
      <c r="A20" s="19">
        <v>16</v>
      </c>
      <c r="B20" s="25">
        <v>16</v>
      </c>
      <c r="C20" s="27">
        <v>84089037</v>
      </c>
      <c r="D20" s="26" t="s">
        <v>48</v>
      </c>
      <c r="E20" s="28" t="s">
        <v>32</v>
      </c>
      <c r="F20" s="25">
        <v>2008</v>
      </c>
      <c r="G20" s="29"/>
      <c r="H20" s="30" t="str">
        <f t="shared" si="0"/>
        <v xml:space="preserve">   </v>
      </c>
      <c r="I20" s="30" t="str">
        <f t="shared" si="1"/>
        <v xml:space="preserve">   </v>
      </c>
      <c r="J20" s="1125"/>
      <c r="K20" s="1126"/>
      <c r="L20" s="1125">
        <v>2500000</v>
      </c>
      <c r="M20" s="1126"/>
      <c r="N20" s="1125">
        <v>2500000</v>
      </c>
      <c r="O20" s="1126"/>
      <c r="P20" s="1125">
        <v>2500000</v>
      </c>
      <c r="Q20" s="1126"/>
      <c r="R20" s="1125"/>
      <c r="S20" s="1126"/>
      <c r="T20" s="1136">
        <v>2500000</v>
      </c>
      <c r="U20" s="1137">
        <v>40397</v>
      </c>
      <c r="V20" s="1134"/>
      <c r="W20" s="1135"/>
      <c r="X20" s="1134"/>
      <c r="Y20" s="1135"/>
      <c r="Z20" s="1134"/>
      <c r="AA20" s="1135"/>
      <c r="AB20" s="1151">
        <v>1000000</v>
      </c>
      <c r="AC20" s="1135"/>
      <c r="AD20" s="1152"/>
      <c r="AE20" s="1153"/>
      <c r="AF20" s="1152"/>
      <c r="AG20" s="1153"/>
      <c r="AH20" s="1168" t="str">
        <f t="shared" si="2"/>
        <v>PI</v>
      </c>
      <c r="AI20" s="747">
        <f t="shared" si="3"/>
        <v>11000000</v>
      </c>
      <c r="AJ20" s="747">
        <f t="shared" si="4"/>
        <v>16000000</v>
      </c>
      <c r="AK20" s="747">
        <f t="shared" si="5"/>
        <v>5000000</v>
      </c>
      <c r="AL20" s="1169"/>
      <c r="AM20" s="1170"/>
      <c r="AN20" s="1171"/>
      <c r="AO20" s="1170"/>
      <c r="AP20" s="1171"/>
      <c r="AQ20" s="1128"/>
      <c r="AR20" s="1173"/>
      <c r="AT20" s="1173"/>
      <c r="AV20" s="1173"/>
      <c r="AX20" s="1173"/>
      <c r="AY20" s="1176"/>
      <c r="AZ20" s="1173"/>
    </row>
    <row r="21" spans="1:52" s="2" customFormat="1" x14ac:dyDescent="0.25">
      <c r="A21" s="19">
        <v>17</v>
      </c>
      <c r="B21" s="25">
        <v>17</v>
      </c>
      <c r="C21" s="27">
        <v>84089039</v>
      </c>
      <c r="D21" s="26" t="s">
        <v>49</v>
      </c>
      <c r="E21" s="28" t="s">
        <v>32</v>
      </c>
      <c r="F21" s="25">
        <v>2008</v>
      </c>
      <c r="G21" s="29"/>
      <c r="H21" s="30" t="str">
        <f t="shared" si="0"/>
        <v xml:space="preserve">   </v>
      </c>
      <c r="I21" s="30" t="str">
        <f t="shared" si="1"/>
        <v xml:space="preserve">   </v>
      </c>
      <c r="J21" s="1125"/>
      <c r="K21" s="1126"/>
      <c r="L21" s="1125">
        <v>2500000</v>
      </c>
      <c r="M21" s="1126"/>
      <c r="N21" s="1125">
        <v>2500000</v>
      </c>
      <c r="O21" s="1126"/>
      <c r="P21" s="1125">
        <v>2500000</v>
      </c>
      <c r="Q21" s="1126"/>
      <c r="R21" s="1125"/>
      <c r="S21" s="1126"/>
      <c r="T21" s="1136">
        <v>2500000</v>
      </c>
      <c r="U21" s="1137">
        <v>40397</v>
      </c>
      <c r="V21" s="1134"/>
      <c r="W21" s="1135"/>
      <c r="X21" s="1134"/>
      <c r="Y21" s="1135"/>
      <c r="Z21" s="1134"/>
      <c r="AA21" s="1135"/>
      <c r="AB21" s="1151">
        <v>1000000</v>
      </c>
      <c r="AC21" s="1135"/>
      <c r="AD21" s="1152"/>
      <c r="AE21" s="1153"/>
      <c r="AF21" s="1152"/>
      <c r="AG21" s="1153"/>
      <c r="AH21" s="1168" t="str">
        <f t="shared" si="2"/>
        <v>PI</v>
      </c>
      <c r="AI21" s="747">
        <f t="shared" si="3"/>
        <v>11000000</v>
      </c>
      <c r="AJ21" s="747">
        <f t="shared" si="4"/>
        <v>16000000</v>
      </c>
      <c r="AK21" s="747">
        <f t="shared" si="5"/>
        <v>5000000</v>
      </c>
      <c r="AL21" s="1169"/>
      <c r="AM21" s="1170"/>
      <c r="AN21" s="1171"/>
      <c r="AO21" s="1170"/>
      <c r="AP21" s="1171"/>
      <c r="AQ21" s="1128"/>
      <c r="AR21" s="1173"/>
      <c r="AT21" s="1173"/>
      <c r="AV21" s="1173"/>
      <c r="AX21" s="1173"/>
      <c r="AY21" s="1176"/>
      <c r="AZ21" s="1173"/>
    </row>
    <row r="22" spans="1:52" s="2" customFormat="1" x14ac:dyDescent="0.25">
      <c r="A22" s="19">
        <v>18</v>
      </c>
      <c r="B22" s="20">
        <v>18</v>
      </c>
      <c r="C22" s="22">
        <v>84089047</v>
      </c>
      <c r="D22" s="21" t="s">
        <v>50</v>
      </c>
      <c r="E22" s="23" t="s">
        <v>32</v>
      </c>
      <c r="F22" s="20">
        <v>2008</v>
      </c>
      <c r="G22" s="23" t="s">
        <v>33</v>
      </c>
      <c r="H22" s="24" t="str">
        <f t="shared" si="0"/>
        <v xml:space="preserve">   </v>
      </c>
      <c r="I22" s="24">
        <f t="shared" si="1"/>
        <v>41275</v>
      </c>
      <c r="J22" s="1123"/>
      <c r="K22" s="1124"/>
      <c r="L22" s="1123">
        <v>2500000</v>
      </c>
      <c r="M22" s="1124"/>
      <c r="N22" s="1123">
        <v>2500000</v>
      </c>
      <c r="O22" s="1124"/>
      <c r="P22" s="1123">
        <v>2500000</v>
      </c>
      <c r="Q22" s="1124"/>
      <c r="R22" s="1123"/>
      <c r="S22" s="1124"/>
      <c r="T22" s="1132">
        <v>2500000</v>
      </c>
      <c r="U22" s="1133">
        <v>40479</v>
      </c>
      <c r="V22" s="1123">
        <v>2500000</v>
      </c>
      <c r="W22" s="1124">
        <v>41519</v>
      </c>
      <c r="X22" s="1123">
        <v>600000</v>
      </c>
      <c r="Y22" s="1124">
        <v>41519</v>
      </c>
      <c r="Z22" s="1123">
        <v>600000</v>
      </c>
      <c r="AA22" s="1124">
        <v>41519</v>
      </c>
      <c r="AB22" s="1151">
        <v>1000000</v>
      </c>
      <c r="AC22" s="1135"/>
      <c r="AD22" s="1152">
        <v>600000</v>
      </c>
      <c r="AE22" s="1153"/>
      <c r="AF22" s="1152">
        <v>1200000</v>
      </c>
      <c r="AG22" s="1153"/>
      <c r="AH22" s="1168" t="str">
        <f t="shared" si="2"/>
        <v>PI</v>
      </c>
      <c r="AI22" s="747">
        <f t="shared" si="3"/>
        <v>16500000</v>
      </c>
      <c r="AJ22" s="747">
        <f>(COUNT(L22,N22,P22,R22,T22,V22)*2500000)+(COUNT(X22,Z22,AD22,AF22)*600000)+AB22</f>
        <v>15900000</v>
      </c>
      <c r="AK22" s="747">
        <f t="shared" si="5"/>
        <v>-600000</v>
      </c>
      <c r="AL22" s="1169"/>
      <c r="AM22" s="1170"/>
      <c r="AN22" s="1171"/>
      <c r="AO22" s="1170"/>
      <c r="AP22" s="1171"/>
      <c r="AQ22" s="1128"/>
      <c r="AR22" s="1173"/>
      <c r="AT22" s="1173"/>
      <c r="AV22" s="1173"/>
      <c r="AX22" s="1173"/>
      <c r="AY22" s="1176"/>
      <c r="AZ22" s="1173"/>
    </row>
    <row r="23" spans="1:52" s="2" customFormat="1" x14ac:dyDescent="0.25">
      <c r="A23" s="19">
        <v>19</v>
      </c>
      <c r="B23" s="25">
        <v>19</v>
      </c>
      <c r="C23" s="27">
        <v>84089049</v>
      </c>
      <c r="D23" s="26" t="s">
        <v>51</v>
      </c>
      <c r="E23" s="28" t="s">
        <v>32</v>
      </c>
      <c r="F23" s="25">
        <v>2008</v>
      </c>
      <c r="G23" s="29"/>
      <c r="H23" s="30" t="str">
        <f t="shared" si="0"/>
        <v xml:space="preserve">   </v>
      </c>
      <c r="I23" s="30" t="str">
        <f t="shared" si="1"/>
        <v xml:space="preserve">   </v>
      </c>
      <c r="J23" s="1125"/>
      <c r="K23" s="1126"/>
      <c r="L23" s="1125">
        <v>2500000</v>
      </c>
      <c r="M23" s="1126"/>
      <c r="N23" s="1125">
        <v>2500000</v>
      </c>
      <c r="O23" s="1126"/>
      <c r="P23" s="1125">
        <v>2500000</v>
      </c>
      <c r="Q23" s="1126"/>
      <c r="R23" s="1125"/>
      <c r="S23" s="1126"/>
      <c r="T23" s="1136">
        <v>2500000</v>
      </c>
      <c r="U23" s="1137">
        <v>40397</v>
      </c>
      <c r="V23" s="1134"/>
      <c r="W23" s="1135"/>
      <c r="X23" s="1134"/>
      <c r="Y23" s="1135"/>
      <c r="Z23" s="1134"/>
      <c r="AA23" s="1135"/>
      <c r="AB23" s="1151">
        <v>1000000</v>
      </c>
      <c r="AC23" s="1135"/>
      <c r="AD23" s="1152"/>
      <c r="AE23" s="1153"/>
      <c r="AF23" s="1152"/>
      <c r="AG23" s="1153"/>
      <c r="AH23" s="1168" t="str">
        <f t="shared" si="2"/>
        <v>PI</v>
      </c>
      <c r="AI23" s="747">
        <f t="shared" si="3"/>
        <v>11000000</v>
      </c>
      <c r="AJ23" s="747">
        <f>((COUNT((L23,N23,P23,R23,T23,V23,X23,Z23,AD23,AF23)))*2500000)+(J23+AB23)</f>
        <v>11000000</v>
      </c>
      <c r="AK23" s="747">
        <f t="shared" si="5"/>
        <v>0</v>
      </c>
      <c r="AL23" s="1169"/>
      <c r="AM23" s="1170"/>
      <c r="AN23" s="1171"/>
      <c r="AO23" s="1170"/>
      <c r="AP23" s="1171"/>
      <c r="AQ23" s="1128"/>
      <c r="AR23" s="1173"/>
      <c r="AT23" s="1173"/>
      <c r="AV23" s="1173"/>
      <c r="AX23" s="1173"/>
      <c r="AY23" s="1176"/>
      <c r="AZ23" s="1173"/>
    </row>
    <row r="24" spans="1:52" s="2" customFormat="1" x14ac:dyDescent="0.25">
      <c r="A24" s="19">
        <v>20</v>
      </c>
      <c r="B24" s="20">
        <v>20</v>
      </c>
      <c r="C24" s="22">
        <v>84089050</v>
      </c>
      <c r="D24" s="21" t="s">
        <v>52</v>
      </c>
      <c r="E24" s="23" t="s">
        <v>32</v>
      </c>
      <c r="F24" s="20">
        <v>2008</v>
      </c>
      <c r="G24" s="31"/>
      <c r="H24" s="24" t="str">
        <f t="shared" si="0"/>
        <v xml:space="preserve">   </v>
      </c>
      <c r="I24" s="24" t="str">
        <f t="shared" si="1"/>
        <v xml:space="preserve">   </v>
      </c>
      <c r="J24" s="1123"/>
      <c r="K24" s="1124"/>
      <c r="L24" s="1123">
        <v>2500000</v>
      </c>
      <c r="M24" s="1124"/>
      <c r="N24" s="1123">
        <v>2500000</v>
      </c>
      <c r="O24" s="1124"/>
      <c r="P24" s="1123">
        <v>2500000</v>
      </c>
      <c r="Q24" s="1124"/>
      <c r="R24" s="1123"/>
      <c r="S24" s="1124"/>
      <c r="T24" s="1132">
        <v>2500000</v>
      </c>
      <c r="U24" s="1133">
        <v>40842</v>
      </c>
      <c r="V24" s="1123">
        <v>2500000</v>
      </c>
      <c r="W24" s="1124">
        <v>40842</v>
      </c>
      <c r="X24" s="1123">
        <v>600000</v>
      </c>
      <c r="Y24" s="1124">
        <v>40842</v>
      </c>
      <c r="Z24" s="1123">
        <v>600000</v>
      </c>
      <c r="AA24" s="1124">
        <v>41149</v>
      </c>
      <c r="AB24" s="1151">
        <v>1000000</v>
      </c>
      <c r="AC24" s="1135"/>
      <c r="AD24" s="1152">
        <v>600000</v>
      </c>
      <c r="AE24" s="1153"/>
      <c r="AF24" s="1152">
        <v>600000</v>
      </c>
      <c r="AG24" s="1153"/>
      <c r="AH24" s="1168" t="str">
        <f t="shared" si="2"/>
        <v>PI</v>
      </c>
      <c r="AI24" s="747">
        <f t="shared" si="3"/>
        <v>15900000</v>
      </c>
      <c r="AJ24" s="747">
        <f>(COUNT(L24,N24,P24,R24,T24,V24)*2500000)+(COUNT(X24,Z24,AD24,AF24)*600000)+AB24</f>
        <v>15900000</v>
      </c>
      <c r="AK24" s="747">
        <f t="shared" si="5"/>
        <v>0</v>
      </c>
      <c r="AL24" s="1169" t="s">
        <v>53</v>
      </c>
      <c r="AM24" s="1170"/>
      <c r="AN24" s="1171"/>
      <c r="AO24" s="1170"/>
      <c r="AP24" s="1171"/>
      <c r="AQ24" s="1128"/>
      <c r="AR24" s="1173"/>
      <c r="AT24" s="1173"/>
      <c r="AV24" s="1173"/>
      <c r="AX24" s="1173"/>
      <c r="AY24" s="1176"/>
      <c r="AZ24" s="1173"/>
    </row>
    <row r="25" spans="1:52" s="2" customFormat="1" x14ac:dyDescent="0.25">
      <c r="A25" s="19">
        <v>21</v>
      </c>
      <c r="B25" s="25">
        <v>21</v>
      </c>
      <c r="C25" s="27">
        <v>84089051</v>
      </c>
      <c r="D25" s="26" t="s">
        <v>54</v>
      </c>
      <c r="E25" s="28" t="s">
        <v>32</v>
      </c>
      <c r="F25" s="25">
        <v>2008</v>
      </c>
      <c r="G25" s="29"/>
      <c r="H25" s="30" t="str">
        <f t="shared" si="0"/>
        <v xml:space="preserve">   </v>
      </c>
      <c r="I25" s="30" t="str">
        <f t="shared" si="1"/>
        <v xml:space="preserve">   </v>
      </c>
      <c r="J25" s="1125"/>
      <c r="K25" s="1126"/>
      <c r="L25" s="1125">
        <v>2500000</v>
      </c>
      <c r="M25" s="1126"/>
      <c r="N25" s="1125">
        <v>2500000</v>
      </c>
      <c r="O25" s="1126"/>
      <c r="P25" s="1125">
        <v>2500000</v>
      </c>
      <c r="Q25" s="1126"/>
      <c r="R25" s="1125"/>
      <c r="S25" s="1126"/>
      <c r="T25" s="1136">
        <v>2500000</v>
      </c>
      <c r="U25" s="1137">
        <v>40397</v>
      </c>
      <c r="V25" s="1134"/>
      <c r="W25" s="1135"/>
      <c r="X25" s="1134"/>
      <c r="Y25" s="1135"/>
      <c r="Z25" s="1134"/>
      <c r="AA25" s="1135"/>
      <c r="AB25" s="1151">
        <v>1000000</v>
      </c>
      <c r="AC25" s="1135"/>
      <c r="AD25" s="1152"/>
      <c r="AE25" s="1153"/>
      <c r="AF25" s="1152"/>
      <c r="AG25" s="1153"/>
      <c r="AH25" s="1168" t="str">
        <f t="shared" si="2"/>
        <v>PI</v>
      </c>
      <c r="AI25" s="747">
        <f t="shared" si="3"/>
        <v>11000000</v>
      </c>
      <c r="AJ25" s="747">
        <f t="shared" ref="AJ25:AJ31" si="6">((COUNT((L25,N25,P25,R25,T25,V25,X25,Z25,AD25,AF25)))*2500000)+(J25+AB25)</f>
        <v>11000000</v>
      </c>
      <c r="AK25" s="747">
        <f t="shared" si="5"/>
        <v>0</v>
      </c>
      <c r="AL25" s="1169"/>
      <c r="AM25" s="1170"/>
      <c r="AN25" s="1171"/>
      <c r="AO25" s="1170"/>
      <c r="AP25" s="1171"/>
      <c r="AQ25" s="1128"/>
      <c r="AR25" s="1173"/>
      <c r="AT25" s="1173"/>
      <c r="AV25" s="1173"/>
      <c r="AX25" s="1173"/>
      <c r="AY25" s="1176"/>
      <c r="AZ25" s="1173"/>
    </row>
    <row r="26" spans="1:52" s="2" customFormat="1" x14ac:dyDescent="0.25">
      <c r="A26" s="19">
        <v>22</v>
      </c>
      <c r="B26" s="25">
        <v>22</v>
      </c>
      <c r="C26" s="27">
        <v>84089060</v>
      </c>
      <c r="D26" s="26" t="s">
        <v>55</v>
      </c>
      <c r="E26" s="28" t="s">
        <v>32</v>
      </c>
      <c r="F26" s="25">
        <v>2008</v>
      </c>
      <c r="G26" s="29"/>
      <c r="H26" s="30" t="str">
        <f t="shared" si="0"/>
        <v xml:space="preserve">   </v>
      </c>
      <c r="I26" s="30" t="str">
        <f t="shared" si="1"/>
        <v xml:space="preserve">   </v>
      </c>
      <c r="J26" s="1125"/>
      <c r="K26" s="1126"/>
      <c r="L26" s="1125">
        <v>2500000</v>
      </c>
      <c r="M26" s="1126"/>
      <c r="N26" s="1125">
        <v>2500000</v>
      </c>
      <c r="O26" s="1126"/>
      <c r="P26" s="1125">
        <v>2500000</v>
      </c>
      <c r="Q26" s="1126"/>
      <c r="R26" s="1125"/>
      <c r="S26" s="1126"/>
      <c r="T26" s="1136">
        <v>2500000</v>
      </c>
      <c r="U26" s="1137">
        <v>40397</v>
      </c>
      <c r="V26" s="1134"/>
      <c r="W26" s="1135"/>
      <c r="X26" s="1134"/>
      <c r="Y26" s="1135"/>
      <c r="Z26" s="1134"/>
      <c r="AA26" s="1135"/>
      <c r="AB26" s="1151">
        <v>1000000</v>
      </c>
      <c r="AC26" s="1135"/>
      <c r="AD26" s="1152"/>
      <c r="AE26" s="1153"/>
      <c r="AF26" s="1152"/>
      <c r="AG26" s="1153"/>
      <c r="AH26" s="1168" t="str">
        <f t="shared" si="2"/>
        <v>PI</v>
      </c>
      <c r="AI26" s="747">
        <f t="shared" si="3"/>
        <v>11000000</v>
      </c>
      <c r="AJ26" s="747">
        <f t="shared" si="6"/>
        <v>11000000</v>
      </c>
      <c r="AK26" s="747">
        <f t="shared" si="5"/>
        <v>0</v>
      </c>
      <c r="AL26" s="1169"/>
      <c r="AM26" s="1170"/>
      <c r="AN26" s="1171"/>
      <c r="AO26" s="1170"/>
      <c r="AP26" s="1171"/>
      <c r="AQ26" s="1128"/>
      <c r="AR26" s="1173"/>
      <c r="AT26" s="1173"/>
      <c r="AV26" s="1173"/>
      <c r="AX26" s="1173"/>
      <c r="AY26" s="1176"/>
      <c r="AZ26" s="1173"/>
    </row>
    <row r="27" spans="1:52" s="2" customFormat="1" x14ac:dyDescent="0.25">
      <c r="A27" s="19">
        <v>23</v>
      </c>
      <c r="B27" s="25">
        <v>23</v>
      </c>
      <c r="C27" s="27">
        <v>84089061</v>
      </c>
      <c r="D27" s="26" t="s">
        <v>56</v>
      </c>
      <c r="E27" s="28" t="s">
        <v>32</v>
      </c>
      <c r="F27" s="25">
        <v>2008</v>
      </c>
      <c r="G27" s="29"/>
      <c r="H27" s="30" t="str">
        <f t="shared" si="0"/>
        <v xml:space="preserve">   </v>
      </c>
      <c r="I27" s="30" t="str">
        <f t="shared" si="1"/>
        <v xml:space="preserve">   </v>
      </c>
      <c r="J27" s="1125"/>
      <c r="K27" s="1126"/>
      <c r="L27" s="1125">
        <v>2500000</v>
      </c>
      <c r="M27" s="1126"/>
      <c r="N27" s="1125">
        <v>2500000</v>
      </c>
      <c r="O27" s="1126"/>
      <c r="P27" s="1125">
        <v>2500000</v>
      </c>
      <c r="Q27" s="1126"/>
      <c r="R27" s="1125"/>
      <c r="S27" s="1126"/>
      <c r="T27" s="1136">
        <v>2500000</v>
      </c>
      <c r="U27" s="1137">
        <v>40397</v>
      </c>
      <c r="V27" s="1134"/>
      <c r="W27" s="1135"/>
      <c r="X27" s="1134"/>
      <c r="Y27" s="1135"/>
      <c r="Z27" s="1134"/>
      <c r="AA27" s="1135"/>
      <c r="AB27" s="1151">
        <v>1000000</v>
      </c>
      <c r="AC27" s="1135"/>
      <c r="AD27" s="1152"/>
      <c r="AE27" s="1153"/>
      <c r="AF27" s="1152"/>
      <c r="AG27" s="1153"/>
      <c r="AH27" s="1168" t="str">
        <f t="shared" si="2"/>
        <v>PI</v>
      </c>
      <c r="AI27" s="747">
        <f t="shared" si="3"/>
        <v>11000000</v>
      </c>
      <c r="AJ27" s="747">
        <f t="shared" si="6"/>
        <v>11000000</v>
      </c>
      <c r="AK27" s="747">
        <f t="shared" si="5"/>
        <v>0</v>
      </c>
      <c r="AL27" s="1169"/>
      <c r="AM27" s="1170"/>
      <c r="AN27" s="1171"/>
      <c r="AO27" s="1170"/>
      <c r="AP27" s="1171"/>
      <c r="AQ27" s="1128"/>
      <c r="AR27" s="1173"/>
      <c r="AT27" s="1173"/>
      <c r="AV27" s="1173"/>
      <c r="AX27" s="1173"/>
      <c r="AY27" s="1176"/>
      <c r="AZ27" s="1173"/>
    </row>
    <row r="28" spans="1:52" s="2" customFormat="1" x14ac:dyDescent="0.25">
      <c r="A28" s="19">
        <v>24</v>
      </c>
      <c r="B28" s="25">
        <v>24</v>
      </c>
      <c r="C28" s="27">
        <v>84089068</v>
      </c>
      <c r="D28" s="26" t="s">
        <v>57</v>
      </c>
      <c r="E28" s="28" t="s">
        <v>32</v>
      </c>
      <c r="F28" s="25">
        <v>2008</v>
      </c>
      <c r="G28" s="29"/>
      <c r="H28" s="30" t="str">
        <f t="shared" si="0"/>
        <v xml:space="preserve">   </v>
      </c>
      <c r="I28" s="30" t="str">
        <f t="shared" si="1"/>
        <v xml:space="preserve">   </v>
      </c>
      <c r="J28" s="1125"/>
      <c r="K28" s="1126"/>
      <c r="L28" s="1125">
        <v>2500000</v>
      </c>
      <c r="M28" s="1126"/>
      <c r="N28" s="1125">
        <v>2500000</v>
      </c>
      <c r="O28" s="1126"/>
      <c r="P28" s="1125">
        <v>2500000</v>
      </c>
      <c r="Q28" s="1126"/>
      <c r="R28" s="1125"/>
      <c r="S28" s="1126"/>
      <c r="T28" s="1136">
        <v>2500000</v>
      </c>
      <c r="U28" s="1137">
        <v>40397</v>
      </c>
      <c r="V28" s="1134"/>
      <c r="W28" s="1135"/>
      <c r="X28" s="1134"/>
      <c r="Y28" s="1135"/>
      <c r="Z28" s="1134"/>
      <c r="AA28" s="1135"/>
      <c r="AB28" s="1151">
        <v>1000000</v>
      </c>
      <c r="AC28" s="1135"/>
      <c r="AD28" s="1152"/>
      <c r="AE28" s="1153"/>
      <c r="AF28" s="1152"/>
      <c r="AG28" s="1153"/>
      <c r="AH28" s="1168" t="str">
        <f t="shared" si="2"/>
        <v>PI</v>
      </c>
      <c r="AI28" s="747">
        <f t="shared" si="3"/>
        <v>11000000</v>
      </c>
      <c r="AJ28" s="747">
        <f t="shared" si="6"/>
        <v>11000000</v>
      </c>
      <c r="AK28" s="747">
        <f t="shared" si="5"/>
        <v>0</v>
      </c>
      <c r="AL28" s="1169"/>
      <c r="AM28" s="1170"/>
      <c r="AN28" s="1171"/>
      <c r="AO28" s="1170"/>
      <c r="AP28" s="1171"/>
      <c r="AQ28" s="1128"/>
      <c r="AR28" s="1173"/>
      <c r="AT28" s="1173"/>
      <c r="AV28" s="1173"/>
      <c r="AX28" s="1173"/>
      <c r="AY28" s="1176"/>
      <c r="AZ28" s="1173"/>
    </row>
    <row r="29" spans="1:52" s="2" customFormat="1" x14ac:dyDescent="0.25">
      <c r="A29" s="19">
        <v>25</v>
      </c>
      <c r="B29" s="25">
        <v>25</v>
      </c>
      <c r="C29" s="27">
        <v>84089027</v>
      </c>
      <c r="D29" s="26" t="s">
        <v>58</v>
      </c>
      <c r="E29" s="28" t="s">
        <v>32</v>
      </c>
      <c r="F29" s="25">
        <v>2008</v>
      </c>
      <c r="G29" s="29"/>
      <c r="H29" s="30" t="str">
        <f t="shared" si="0"/>
        <v xml:space="preserve">   </v>
      </c>
      <c r="I29" s="30" t="str">
        <f t="shared" si="1"/>
        <v xml:space="preserve">   </v>
      </c>
      <c r="J29" s="1125"/>
      <c r="K29" s="1126"/>
      <c r="L29" s="1125">
        <v>2500000</v>
      </c>
      <c r="M29" s="1126"/>
      <c r="N29" s="1125">
        <v>2500000</v>
      </c>
      <c r="O29" s="1126"/>
      <c r="P29" s="1125">
        <v>2500000</v>
      </c>
      <c r="Q29" s="1126"/>
      <c r="R29" s="1125"/>
      <c r="S29" s="1126"/>
      <c r="T29" s="1136">
        <v>2500000</v>
      </c>
      <c r="U29" s="1137">
        <v>40397</v>
      </c>
      <c r="V29" s="1134"/>
      <c r="W29" s="1135"/>
      <c r="X29" s="1134"/>
      <c r="Y29" s="1135"/>
      <c r="Z29" s="1134"/>
      <c r="AA29" s="1135"/>
      <c r="AB29" s="1151">
        <v>1000000</v>
      </c>
      <c r="AC29" s="1135"/>
      <c r="AD29" s="1152"/>
      <c r="AE29" s="1153"/>
      <c r="AF29" s="1152"/>
      <c r="AG29" s="1153"/>
      <c r="AH29" s="1168" t="str">
        <f t="shared" si="2"/>
        <v>PI</v>
      </c>
      <c r="AI29" s="747">
        <f t="shared" si="3"/>
        <v>11000000</v>
      </c>
      <c r="AJ29" s="747">
        <f t="shared" si="6"/>
        <v>11000000</v>
      </c>
      <c r="AK29" s="747">
        <f t="shared" si="5"/>
        <v>0</v>
      </c>
      <c r="AL29" s="1169"/>
      <c r="AM29" s="1170"/>
      <c r="AN29" s="1171"/>
      <c r="AO29" s="1170"/>
      <c r="AP29" s="1171"/>
      <c r="AQ29" s="1128"/>
      <c r="AR29" s="1173"/>
      <c r="AT29" s="1173"/>
      <c r="AV29" s="1173"/>
      <c r="AX29" s="1173"/>
      <c r="AY29" s="1176"/>
      <c r="AZ29" s="1173"/>
    </row>
    <row r="30" spans="1:52" s="2" customFormat="1" x14ac:dyDescent="0.25">
      <c r="A30" s="19">
        <v>26</v>
      </c>
      <c r="B30" s="25">
        <v>26</v>
      </c>
      <c r="C30" s="27">
        <v>84089069</v>
      </c>
      <c r="D30" s="26" t="s">
        <v>59</v>
      </c>
      <c r="E30" s="28" t="s">
        <v>32</v>
      </c>
      <c r="F30" s="25">
        <v>2008</v>
      </c>
      <c r="G30" s="29"/>
      <c r="H30" s="30" t="str">
        <f t="shared" si="0"/>
        <v xml:space="preserve">   </v>
      </c>
      <c r="I30" s="30" t="str">
        <f t="shared" si="1"/>
        <v xml:space="preserve">   </v>
      </c>
      <c r="J30" s="1125"/>
      <c r="K30" s="1126"/>
      <c r="L30" s="1125">
        <v>2500000</v>
      </c>
      <c r="M30" s="1126"/>
      <c r="N30" s="1125">
        <v>2500000</v>
      </c>
      <c r="O30" s="1126"/>
      <c r="P30" s="1125">
        <v>2500000</v>
      </c>
      <c r="Q30" s="1126"/>
      <c r="R30" s="1125"/>
      <c r="S30" s="1126"/>
      <c r="T30" s="1136">
        <v>2500000</v>
      </c>
      <c r="U30" s="1137">
        <v>40397</v>
      </c>
      <c r="V30" s="1134"/>
      <c r="W30" s="1135"/>
      <c r="X30" s="1134"/>
      <c r="Y30" s="1135"/>
      <c r="Z30" s="1134"/>
      <c r="AA30" s="1135"/>
      <c r="AB30" s="1151">
        <v>1000000</v>
      </c>
      <c r="AC30" s="1135"/>
      <c r="AD30" s="1152"/>
      <c r="AE30" s="1153"/>
      <c r="AF30" s="1152"/>
      <c r="AG30" s="1153"/>
      <c r="AH30" s="1168" t="str">
        <f t="shared" si="2"/>
        <v>PI</v>
      </c>
      <c r="AI30" s="747">
        <f t="shared" si="3"/>
        <v>11000000</v>
      </c>
      <c r="AJ30" s="747">
        <f t="shared" si="6"/>
        <v>11000000</v>
      </c>
      <c r="AK30" s="747">
        <f t="shared" si="5"/>
        <v>0</v>
      </c>
      <c r="AL30" s="1169"/>
      <c r="AM30" s="1170"/>
      <c r="AN30" s="1171"/>
      <c r="AO30" s="1170"/>
      <c r="AP30" s="1171"/>
      <c r="AQ30" s="1128"/>
      <c r="AR30" s="1173"/>
      <c r="AT30" s="1173"/>
      <c r="AV30" s="1173"/>
      <c r="AX30" s="1173"/>
      <c r="AY30" s="1176"/>
      <c r="AZ30" s="1173"/>
    </row>
    <row r="31" spans="1:52" s="2" customFormat="1" x14ac:dyDescent="0.25">
      <c r="A31" s="19">
        <v>27</v>
      </c>
      <c r="B31" s="25">
        <v>27</v>
      </c>
      <c r="C31" s="27">
        <v>84089053</v>
      </c>
      <c r="D31" s="26" t="s">
        <v>60</v>
      </c>
      <c r="E31" s="28" t="s">
        <v>32</v>
      </c>
      <c r="F31" s="25">
        <v>2008</v>
      </c>
      <c r="G31" s="29"/>
      <c r="H31" s="30" t="str">
        <f t="shared" si="0"/>
        <v xml:space="preserve">   </v>
      </c>
      <c r="I31" s="30" t="str">
        <f t="shared" si="1"/>
        <v xml:space="preserve">   </v>
      </c>
      <c r="J31" s="1125"/>
      <c r="K31" s="1126"/>
      <c r="L31" s="1125">
        <v>2500000</v>
      </c>
      <c r="M31" s="1126"/>
      <c r="N31" s="1125">
        <v>2500000</v>
      </c>
      <c r="O31" s="1126"/>
      <c r="P31" s="1125">
        <v>2500000</v>
      </c>
      <c r="Q31" s="1126"/>
      <c r="R31" s="1125"/>
      <c r="S31" s="1126"/>
      <c r="T31" s="1136">
        <v>2500000</v>
      </c>
      <c r="U31" s="1137">
        <v>40397</v>
      </c>
      <c r="V31" s="1134"/>
      <c r="W31" s="1135"/>
      <c r="X31" s="1134"/>
      <c r="Y31" s="1135"/>
      <c r="Z31" s="1134"/>
      <c r="AA31" s="1135"/>
      <c r="AB31" s="1151">
        <v>1000000</v>
      </c>
      <c r="AC31" s="1135"/>
      <c r="AD31" s="1152"/>
      <c r="AE31" s="1153"/>
      <c r="AF31" s="1152"/>
      <c r="AG31" s="1153"/>
      <c r="AH31" s="1168" t="str">
        <f t="shared" si="2"/>
        <v>PI</v>
      </c>
      <c r="AI31" s="747">
        <f t="shared" si="3"/>
        <v>11000000</v>
      </c>
      <c r="AJ31" s="747">
        <f t="shared" si="6"/>
        <v>11000000</v>
      </c>
      <c r="AK31" s="747">
        <f t="shared" si="5"/>
        <v>0</v>
      </c>
      <c r="AL31" s="1169"/>
      <c r="AM31" s="1170"/>
      <c r="AN31" s="1171"/>
      <c r="AO31" s="1170"/>
      <c r="AP31" s="1171"/>
      <c r="AQ31" s="1128"/>
      <c r="AR31" s="1173"/>
      <c r="AT31" s="1173"/>
      <c r="AV31" s="1173"/>
      <c r="AX31" s="1173"/>
      <c r="AY31" s="1176"/>
      <c r="AZ31" s="1173"/>
    </row>
    <row r="32" spans="1:52" s="2" customFormat="1" x14ac:dyDescent="0.25">
      <c r="A32"/>
      <c r="B32" s="32"/>
      <c r="C32" s="33"/>
      <c r="E32" s="34"/>
      <c r="F32" s="35" t="s">
        <v>61</v>
      </c>
      <c r="G32" s="1120"/>
      <c r="H32" s="36" t="str">
        <f t="shared" si="0"/>
        <v xml:space="preserve">   </v>
      </c>
      <c r="I32" s="36" t="str">
        <f t="shared" si="1"/>
        <v xml:space="preserve">   </v>
      </c>
      <c r="J32" s="747"/>
      <c r="K32" s="1127"/>
      <c r="L32" s="747"/>
      <c r="M32" s="1127"/>
      <c r="N32" s="1128"/>
      <c r="O32" s="1127"/>
      <c r="P32" s="1129"/>
      <c r="Q32" s="1127"/>
      <c r="R32" s="1128"/>
      <c r="S32" s="1138"/>
      <c r="T32" s="1128"/>
      <c r="U32" s="1127"/>
      <c r="V32" s="1128"/>
      <c r="W32" s="1127"/>
      <c r="X32" s="1128"/>
      <c r="Y32" s="1127"/>
      <c r="Z32" s="1128"/>
      <c r="AA32" s="1127"/>
      <c r="AB32" s="1154"/>
      <c r="AC32" s="1127"/>
      <c r="AE32" s="1155"/>
      <c r="AG32" s="1155"/>
      <c r="AH32" s="1172">
        <f t="shared" si="2"/>
        <v>0</v>
      </c>
      <c r="AI32" s="747">
        <f t="shared" si="3"/>
        <v>0</v>
      </c>
      <c r="AJ32" s="747">
        <f>((COUNT((L32,N32,P32,R32,T32,V32,X32,Z32,AD32,AF32)))*L32)+(J32+AB32)</f>
        <v>0</v>
      </c>
      <c r="AK32" s="747">
        <f t="shared" si="5"/>
        <v>0</v>
      </c>
      <c r="AL32" s="1169"/>
      <c r="AM32" s="1170"/>
      <c r="AN32" s="1171"/>
      <c r="AO32" s="1170"/>
      <c r="AP32" s="1171"/>
      <c r="AQ32" s="1128"/>
      <c r="AR32" s="1173"/>
      <c r="AT32" s="1173"/>
      <c r="AV32" s="1173"/>
      <c r="AX32" s="1173"/>
      <c r="AY32" s="1176"/>
      <c r="AZ32" s="1173"/>
    </row>
    <row r="33" spans="1:52" s="2" customFormat="1" x14ac:dyDescent="0.25">
      <c r="A33" s="19">
        <v>28</v>
      </c>
      <c r="B33" s="25">
        <v>1</v>
      </c>
      <c r="C33" s="27">
        <v>84089001</v>
      </c>
      <c r="D33" s="26" t="s">
        <v>62</v>
      </c>
      <c r="E33" s="28" t="s">
        <v>32</v>
      </c>
      <c r="F33" s="25">
        <v>2008</v>
      </c>
      <c r="G33" s="29"/>
      <c r="H33" s="30" t="str">
        <f t="shared" si="0"/>
        <v xml:space="preserve">   </v>
      </c>
      <c r="I33" s="30" t="str">
        <f t="shared" si="1"/>
        <v xml:space="preserve">   </v>
      </c>
      <c r="J33" s="1125"/>
      <c r="K33" s="1126"/>
      <c r="L33" s="1125">
        <v>2500000</v>
      </c>
      <c r="M33" s="1126"/>
      <c r="N33" s="1125">
        <v>2500000</v>
      </c>
      <c r="O33" s="1126"/>
      <c r="P33" s="1125">
        <v>2500000</v>
      </c>
      <c r="Q33" s="1126"/>
      <c r="R33" s="1125"/>
      <c r="S33" s="1126">
        <v>40397</v>
      </c>
      <c r="T33" s="1139"/>
      <c r="U33" s="1135"/>
      <c r="V33" s="1134"/>
      <c r="W33" s="1135"/>
      <c r="X33" s="1134"/>
      <c r="Y33" s="1135"/>
      <c r="Z33" s="1134"/>
      <c r="AA33" s="1135"/>
      <c r="AB33" s="1151"/>
      <c r="AC33" s="1135"/>
      <c r="AD33" s="1152"/>
      <c r="AE33" s="1153"/>
      <c r="AF33" s="1152"/>
      <c r="AG33" s="1153"/>
      <c r="AH33" s="1168" t="str">
        <f t="shared" si="2"/>
        <v>PI</v>
      </c>
      <c r="AI33" s="747">
        <f t="shared" si="3"/>
        <v>7500000</v>
      </c>
      <c r="AJ33" s="747">
        <f>((COUNT((L33,N33,P33,R33,T33,V33,X33,Z33,AD33,AF33)))*2500000)+(J33+AB33)</f>
        <v>7500000</v>
      </c>
      <c r="AK33" s="747">
        <f t="shared" si="5"/>
        <v>0</v>
      </c>
      <c r="AL33" s="1169"/>
      <c r="AM33" s="1170"/>
      <c r="AN33" s="1171"/>
      <c r="AO33" s="1170"/>
      <c r="AP33" s="1171"/>
      <c r="AQ33" s="1128"/>
      <c r="AR33" s="1173"/>
      <c r="AT33" s="1173"/>
      <c r="AV33" s="1173"/>
      <c r="AX33" s="1173"/>
      <c r="AY33" s="1176"/>
      <c r="AZ33" s="1173"/>
    </row>
    <row r="34" spans="1:52" s="2" customFormat="1" x14ac:dyDescent="0.25">
      <c r="A34" s="19">
        <v>29</v>
      </c>
      <c r="B34" s="20">
        <v>2</v>
      </c>
      <c r="C34" s="22">
        <v>84089003</v>
      </c>
      <c r="D34" s="21" t="s">
        <v>63</v>
      </c>
      <c r="E34" s="23" t="s">
        <v>32</v>
      </c>
      <c r="F34" s="20">
        <v>2008</v>
      </c>
      <c r="G34" s="23" t="s">
        <v>33</v>
      </c>
      <c r="H34" s="24" t="str">
        <f t="shared" si="0"/>
        <v xml:space="preserve">   </v>
      </c>
      <c r="I34" s="24">
        <f t="shared" si="1"/>
        <v>40544</v>
      </c>
      <c r="J34" s="1123"/>
      <c r="K34" s="1124"/>
      <c r="L34" s="1123">
        <v>2500000</v>
      </c>
      <c r="M34" s="1124"/>
      <c r="N34" s="1123">
        <v>2500000</v>
      </c>
      <c r="O34" s="1124"/>
      <c r="P34" s="1123">
        <v>2500000</v>
      </c>
      <c r="Q34" s="1124"/>
      <c r="R34" s="1123">
        <v>2500000</v>
      </c>
      <c r="S34" s="1140"/>
      <c r="T34" s="1132">
        <v>2500000</v>
      </c>
      <c r="U34" s="1124">
        <v>40748</v>
      </c>
      <c r="V34" s="1123">
        <v>600000</v>
      </c>
      <c r="W34" s="1135"/>
      <c r="X34" s="1134"/>
      <c r="Y34" s="1135"/>
      <c r="Z34" s="1134"/>
      <c r="AA34" s="1135"/>
      <c r="AB34" s="1151"/>
      <c r="AC34" s="1135"/>
      <c r="AD34" s="1152"/>
      <c r="AE34" s="1153"/>
      <c r="AF34" s="1152"/>
      <c r="AG34" s="1153"/>
      <c r="AH34" s="1168" t="str">
        <f t="shared" si="2"/>
        <v>PI</v>
      </c>
      <c r="AI34" s="747">
        <f t="shared" si="3"/>
        <v>13100000</v>
      </c>
      <c r="AJ34" s="747">
        <f>(COUNT(L34,N34,P34,R34,T34)*2500000)+(COUNT(V34,X34,Z34,AD34,AF34)*600000)</f>
        <v>13100000</v>
      </c>
      <c r="AK34" s="747">
        <f t="shared" si="5"/>
        <v>0</v>
      </c>
      <c r="AL34" s="1169"/>
      <c r="AM34" s="1170"/>
      <c r="AN34" s="1171"/>
      <c r="AO34" s="1170"/>
      <c r="AP34" s="1171"/>
      <c r="AQ34" s="1128"/>
      <c r="AR34" s="1173"/>
      <c r="AT34" s="1173"/>
      <c r="AV34" s="1173"/>
      <c r="AX34" s="1173"/>
      <c r="AY34" s="1176"/>
      <c r="AZ34" s="1173"/>
    </row>
    <row r="35" spans="1:52" s="2" customFormat="1" x14ac:dyDescent="0.25">
      <c r="A35" s="19">
        <v>30</v>
      </c>
      <c r="B35" s="25">
        <v>3</v>
      </c>
      <c r="C35" s="27">
        <v>84089006</v>
      </c>
      <c r="D35" s="26" t="s">
        <v>64</v>
      </c>
      <c r="E35" s="28" t="s">
        <v>32</v>
      </c>
      <c r="F35" s="25">
        <v>2008</v>
      </c>
      <c r="G35" s="29"/>
      <c r="H35" s="30" t="str">
        <f t="shared" si="0"/>
        <v xml:space="preserve">   </v>
      </c>
      <c r="I35" s="30" t="str">
        <f t="shared" si="1"/>
        <v xml:space="preserve">   </v>
      </c>
      <c r="J35" s="1125"/>
      <c r="K35" s="1126"/>
      <c r="L35" s="1125">
        <v>2500000</v>
      </c>
      <c r="M35" s="1126"/>
      <c r="N35" s="1125">
        <v>2500000</v>
      </c>
      <c r="O35" s="1126"/>
      <c r="P35" s="1125">
        <v>2500000</v>
      </c>
      <c r="Q35" s="1126"/>
      <c r="R35" s="1125">
        <v>2500000</v>
      </c>
      <c r="S35" s="1141">
        <v>40397</v>
      </c>
      <c r="T35" s="1139"/>
      <c r="U35" s="1135"/>
      <c r="V35" s="1134"/>
      <c r="W35" s="1135"/>
      <c r="X35" s="1134"/>
      <c r="Y35" s="1135"/>
      <c r="Z35" s="1134"/>
      <c r="AA35" s="1135"/>
      <c r="AB35" s="1151"/>
      <c r="AC35" s="1135"/>
      <c r="AD35" s="1152"/>
      <c r="AE35" s="1153"/>
      <c r="AF35" s="1152"/>
      <c r="AG35" s="1153"/>
      <c r="AH35" s="1168" t="str">
        <f t="shared" si="2"/>
        <v>PI</v>
      </c>
      <c r="AI35" s="747">
        <f t="shared" si="3"/>
        <v>10000000</v>
      </c>
      <c r="AJ35" s="747">
        <f>((COUNT((L35,N35,P35,R35,T35,V35,X35,Z35,AD35,AF35)))*2500000)+(J35+AB35)</f>
        <v>10000000</v>
      </c>
      <c r="AK35" s="747">
        <f t="shared" si="5"/>
        <v>0</v>
      </c>
      <c r="AL35" s="1169"/>
      <c r="AM35" s="1170"/>
      <c r="AN35" s="1171"/>
      <c r="AO35" s="1170"/>
      <c r="AP35" s="1171"/>
      <c r="AQ35" s="1128"/>
      <c r="AR35" s="1173"/>
      <c r="AT35" s="1173"/>
      <c r="AV35" s="1173"/>
      <c r="AX35" s="1173"/>
      <c r="AY35" s="1176"/>
      <c r="AZ35" s="1173"/>
    </row>
    <row r="36" spans="1:52" s="2" customFormat="1" x14ac:dyDescent="0.25">
      <c r="A36" s="19">
        <v>31</v>
      </c>
      <c r="B36" s="25">
        <v>4</v>
      </c>
      <c r="C36" s="27">
        <v>84089010</v>
      </c>
      <c r="D36" s="26" t="s">
        <v>65</v>
      </c>
      <c r="E36" s="28" t="s">
        <v>32</v>
      </c>
      <c r="F36" s="25">
        <v>2008</v>
      </c>
      <c r="G36" s="29"/>
      <c r="H36" s="30" t="str">
        <f t="shared" si="0"/>
        <v xml:space="preserve">   </v>
      </c>
      <c r="I36" s="30" t="str">
        <f t="shared" si="1"/>
        <v xml:space="preserve">   </v>
      </c>
      <c r="J36" s="1125"/>
      <c r="K36" s="1126"/>
      <c r="L36" s="1125">
        <v>2500000</v>
      </c>
      <c r="M36" s="1126"/>
      <c r="N36" s="1125">
        <v>2500000</v>
      </c>
      <c r="O36" s="1126"/>
      <c r="P36" s="1125">
        <v>2500000</v>
      </c>
      <c r="Q36" s="1126"/>
      <c r="R36" s="1125">
        <v>1000000</v>
      </c>
      <c r="S36" s="1141">
        <v>40397</v>
      </c>
      <c r="T36" s="1139"/>
      <c r="U36" s="1135"/>
      <c r="V36" s="1134"/>
      <c r="W36" s="1135"/>
      <c r="X36" s="1134"/>
      <c r="Y36" s="1135"/>
      <c r="Z36" s="1134"/>
      <c r="AA36" s="1135"/>
      <c r="AB36" s="1151"/>
      <c r="AC36" s="1135"/>
      <c r="AD36" s="1152"/>
      <c r="AE36" s="1153"/>
      <c r="AF36" s="1152"/>
      <c r="AG36" s="1153"/>
      <c r="AH36" s="1168" t="str">
        <f t="shared" si="2"/>
        <v>PI</v>
      </c>
      <c r="AI36" s="747">
        <f t="shared" si="3"/>
        <v>8500000</v>
      </c>
      <c r="AJ36" s="747">
        <f>((COUNT((L36,N36,P36,R36,T36,V36,X36,Z36,AD36,AF36)))*2500000)+(J36+AB36)</f>
        <v>10000000</v>
      </c>
      <c r="AK36" s="747">
        <f t="shared" si="5"/>
        <v>1500000</v>
      </c>
      <c r="AL36" s="1169"/>
      <c r="AM36" s="1170"/>
      <c r="AN36" s="1171"/>
      <c r="AO36" s="1170"/>
      <c r="AP36" s="1171"/>
      <c r="AQ36" s="1128"/>
      <c r="AR36" s="1173"/>
      <c r="AT36" s="1173"/>
      <c r="AV36" s="1173"/>
      <c r="AX36" s="1173"/>
      <c r="AY36" s="1176"/>
      <c r="AZ36" s="1173"/>
    </row>
    <row r="37" spans="1:52" s="2" customFormat="1" x14ac:dyDescent="0.25">
      <c r="A37" s="19">
        <v>32</v>
      </c>
      <c r="B37" s="25">
        <v>5</v>
      </c>
      <c r="C37" s="27">
        <v>84089014</v>
      </c>
      <c r="D37" s="26" t="s">
        <v>66</v>
      </c>
      <c r="E37" s="28" t="s">
        <v>32</v>
      </c>
      <c r="F37" s="25">
        <v>2008</v>
      </c>
      <c r="G37" s="29"/>
      <c r="H37" s="30" t="str">
        <f t="shared" ref="H37:H68" si="7">IFERROR(VLOOKUP(C37,Tlus,3,FALSE),"   ")</f>
        <v xml:space="preserve">   </v>
      </c>
      <c r="I37" s="30" t="str">
        <f t="shared" ref="I37:I68" si="8">IFERROR(VLOOKUP(C37,Wis,4,FALSE),"   ")</f>
        <v xml:space="preserve">   </v>
      </c>
      <c r="J37" s="1125"/>
      <c r="K37" s="1126"/>
      <c r="L37" s="1125">
        <v>2500000</v>
      </c>
      <c r="M37" s="1126"/>
      <c r="N37" s="1125">
        <v>2500000</v>
      </c>
      <c r="O37" s="1126"/>
      <c r="P37" s="1125">
        <v>2500000</v>
      </c>
      <c r="Q37" s="1126"/>
      <c r="R37" s="1125">
        <v>2500000</v>
      </c>
      <c r="S37" s="1141">
        <v>40397</v>
      </c>
      <c r="T37" s="1139"/>
      <c r="U37" s="1135"/>
      <c r="V37" s="1134"/>
      <c r="W37" s="1135"/>
      <c r="X37" s="1134"/>
      <c r="Y37" s="1135"/>
      <c r="Z37" s="1134"/>
      <c r="AA37" s="1135"/>
      <c r="AB37" s="1151"/>
      <c r="AC37" s="1135"/>
      <c r="AD37" s="1152"/>
      <c r="AE37" s="1153"/>
      <c r="AF37" s="1152"/>
      <c r="AG37" s="1153"/>
      <c r="AH37" s="1168" t="str">
        <f t="shared" si="2"/>
        <v>PI</v>
      </c>
      <c r="AI37" s="747">
        <f t="shared" ref="AI37:AI57" si="9">SUM(J37,L37,N37,P37,R37,T37,V37,X37,Z37,AB37,AD37,AF37)</f>
        <v>10000000</v>
      </c>
      <c r="AJ37" s="747">
        <f>((COUNT((L37,N37,P37,R37,T37,V37,X37,Z37,AD37,AF37)))*2500000)+(J37+AB37)</f>
        <v>10000000</v>
      </c>
      <c r="AK37" s="747">
        <f t="shared" ref="AK37:AK57" si="10">AJ37-AI37</f>
        <v>0</v>
      </c>
      <c r="AL37" s="1169"/>
      <c r="AM37" s="1170"/>
      <c r="AN37" s="1171"/>
      <c r="AO37" s="1170"/>
      <c r="AP37" s="1171"/>
      <c r="AQ37" s="1128"/>
      <c r="AR37" s="1173"/>
      <c r="AT37" s="1173"/>
      <c r="AV37" s="1173"/>
      <c r="AX37" s="1173"/>
      <c r="AY37" s="1176"/>
      <c r="AZ37" s="1173"/>
    </row>
    <row r="38" spans="1:52" s="2" customFormat="1" x14ac:dyDescent="0.25">
      <c r="A38" s="19">
        <v>33</v>
      </c>
      <c r="B38" s="20">
        <v>6</v>
      </c>
      <c r="C38" s="22">
        <v>84089022</v>
      </c>
      <c r="D38" s="21" t="s">
        <v>67</v>
      </c>
      <c r="E38" s="23" t="s">
        <v>32</v>
      </c>
      <c r="F38" s="20">
        <v>2008</v>
      </c>
      <c r="G38" s="23" t="s">
        <v>33</v>
      </c>
      <c r="H38" s="24" t="str">
        <f t="shared" si="7"/>
        <v xml:space="preserve">   </v>
      </c>
      <c r="I38" s="24">
        <f t="shared" si="8"/>
        <v>40544</v>
      </c>
      <c r="J38" s="1123"/>
      <c r="K38" s="1124"/>
      <c r="L38" s="1123">
        <v>2500000</v>
      </c>
      <c r="M38" s="1124"/>
      <c r="N38" s="1123">
        <v>2500000</v>
      </c>
      <c r="O38" s="1124"/>
      <c r="P38" s="1123">
        <v>2500000</v>
      </c>
      <c r="Q38" s="1124"/>
      <c r="R38" s="1123">
        <v>2500000</v>
      </c>
      <c r="S38" s="1140">
        <v>40457</v>
      </c>
      <c r="T38" s="1142"/>
      <c r="U38" s="1143">
        <v>40397</v>
      </c>
      <c r="V38" s="1134"/>
      <c r="W38" s="1135"/>
      <c r="X38" s="1134"/>
      <c r="Y38" s="1135"/>
      <c r="Z38" s="1134"/>
      <c r="AA38" s="1135"/>
      <c r="AB38" s="1151"/>
      <c r="AC38" s="1135"/>
      <c r="AD38" s="1152"/>
      <c r="AE38" s="1153"/>
      <c r="AF38" s="1152"/>
      <c r="AG38" s="1153"/>
      <c r="AH38" s="1168" t="str">
        <f t="shared" si="2"/>
        <v>PI</v>
      </c>
      <c r="AI38" s="747">
        <f t="shared" si="9"/>
        <v>10000000</v>
      </c>
      <c r="AJ38" s="747">
        <f>((COUNT((L38,N38,P38,R38,T38,V38,X38,Z38,AD38,AF38)))*2500000)+(J38+AB38)</f>
        <v>10000000</v>
      </c>
      <c r="AK38" s="747">
        <f t="shared" si="10"/>
        <v>0</v>
      </c>
      <c r="AL38" s="1169"/>
      <c r="AM38" s="1170"/>
      <c r="AN38" s="1171"/>
      <c r="AO38" s="1170"/>
      <c r="AP38" s="1171"/>
      <c r="AQ38" s="1128"/>
      <c r="AR38" s="1173"/>
      <c r="AT38" s="1173"/>
      <c r="AV38" s="1173"/>
      <c r="AX38" s="1173"/>
      <c r="AY38" s="1176"/>
      <c r="AZ38" s="1173"/>
    </row>
    <row r="39" spans="1:52" s="2" customFormat="1" x14ac:dyDescent="0.25">
      <c r="A39" s="19">
        <v>34</v>
      </c>
      <c r="B39" s="20">
        <v>7</v>
      </c>
      <c r="C39" s="22">
        <v>84089031</v>
      </c>
      <c r="D39" s="21" t="s">
        <v>68</v>
      </c>
      <c r="E39" s="23" t="s">
        <v>32</v>
      </c>
      <c r="F39" s="20">
        <v>2008</v>
      </c>
      <c r="G39" s="23" t="s">
        <v>33</v>
      </c>
      <c r="H39" s="24" t="str">
        <f t="shared" si="7"/>
        <v xml:space="preserve">   </v>
      </c>
      <c r="I39" s="24">
        <f t="shared" si="8"/>
        <v>40544</v>
      </c>
      <c r="J39" s="1123"/>
      <c r="K39" s="1124"/>
      <c r="L39" s="1123">
        <v>2500000</v>
      </c>
      <c r="M39" s="1124"/>
      <c r="N39" s="1123">
        <v>2500000</v>
      </c>
      <c r="O39" s="1124"/>
      <c r="P39" s="1123">
        <v>2500000</v>
      </c>
      <c r="Q39" s="1124"/>
      <c r="R39" s="1123" t="s">
        <v>69</v>
      </c>
      <c r="S39" s="1140"/>
      <c r="T39" s="1132"/>
      <c r="U39" s="1124">
        <v>40623</v>
      </c>
      <c r="V39" s="1123">
        <v>600000</v>
      </c>
      <c r="W39" s="1124">
        <v>40799</v>
      </c>
      <c r="X39" s="1123">
        <v>600000</v>
      </c>
      <c r="Y39" s="1135"/>
      <c r="Z39" s="1134"/>
      <c r="AA39" s="1135"/>
      <c r="AB39" s="1151"/>
      <c r="AC39" s="1135"/>
      <c r="AD39" s="1152"/>
      <c r="AE39" s="1153"/>
      <c r="AF39" s="1152"/>
      <c r="AG39" s="1153"/>
      <c r="AH39" s="1168" t="str">
        <f t="shared" si="2"/>
        <v>PI</v>
      </c>
      <c r="AI39" s="747">
        <f t="shared" si="9"/>
        <v>8700000</v>
      </c>
      <c r="AJ39" s="747">
        <f>(COUNT(L39,N39,P39,R39,T39)*2500000)+(COUNT(V39,X39,Z39,AD39,AF39)*600000)</f>
        <v>8700000</v>
      </c>
      <c r="AK39" s="747">
        <f t="shared" si="10"/>
        <v>0</v>
      </c>
      <c r="AL39" s="1169"/>
      <c r="AM39" s="1170"/>
      <c r="AN39" s="1171"/>
      <c r="AO39" s="1170"/>
      <c r="AP39" s="1171"/>
      <c r="AQ39" s="1128"/>
      <c r="AR39" s="1173"/>
      <c r="AT39" s="1173"/>
      <c r="AV39" s="1173"/>
      <c r="AX39" s="1173"/>
      <c r="AY39" s="1176"/>
      <c r="AZ39" s="1173"/>
    </row>
    <row r="40" spans="1:52" s="2" customFormat="1" x14ac:dyDescent="0.25">
      <c r="A40" s="19">
        <v>35</v>
      </c>
      <c r="B40" s="20">
        <v>8</v>
      </c>
      <c r="C40" s="22">
        <v>84089020</v>
      </c>
      <c r="D40" s="21" t="s">
        <v>70</v>
      </c>
      <c r="E40" s="23" t="s">
        <v>32</v>
      </c>
      <c r="F40" s="20">
        <v>2008</v>
      </c>
      <c r="G40" s="23" t="s">
        <v>33</v>
      </c>
      <c r="H40" s="24" t="str">
        <f t="shared" si="7"/>
        <v xml:space="preserve">   </v>
      </c>
      <c r="I40" s="24">
        <f t="shared" si="8"/>
        <v>40544</v>
      </c>
      <c r="J40" s="1123"/>
      <c r="K40" s="1124"/>
      <c r="L40" s="1123">
        <v>2500000</v>
      </c>
      <c r="M40" s="1124"/>
      <c r="N40" s="1123">
        <v>2500000</v>
      </c>
      <c r="O40" s="1124"/>
      <c r="P40" s="1123">
        <v>2500000</v>
      </c>
      <c r="Q40" s="1144" t="s">
        <v>71</v>
      </c>
      <c r="R40" s="1123">
        <v>2500000</v>
      </c>
      <c r="S40" s="1140">
        <v>40799</v>
      </c>
      <c r="T40" s="1132">
        <v>2500000</v>
      </c>
      <c r="U40" s="1124">
        <v>40800</v>
      </c>
      <c r="V40" s="1123">
        <v>600000</v>
      </c>
      <c r="W40" s="1135"/>
      <c r="X40" s="1134"/>
      <c r="Y40" s="1135"/>
      <c r="Z40" s="1134"/>
      <c r="AA40" s="1135"/>
      <c r="AB40" s="1151"/>
      <c r="AC40" s="1135"/>
      <c r="AD40" s="1152"/>
      <c r="AE40" s="1153"/>
      <c r="AF40" s="1152"/>
      <c r="AG40" s="1153"/>
      <c r="AH40" s="1168" t="str">
        <f t="shared" si="2"/>
        <v>PI</v>
      </c>
      <c r="AI40" s="747">
        <f t="shared" si="9"/>
        <v>13100000</v>
      </c>
      <c r="AJ40" s="747">
        <f>(COUNT(L40,N40,P40,R40,T40)*2500000)+(COUNT(V40,X40,Z40,AD40,AF40)*600000)</f>
        <v>13100000</v>
      </c>
      <c r="AK40" s="747">
        <f t="shared" si="10"/>
        <v>0</v>
      </c>
      <c r="AL40" s="1169"/>
      <c r="AM40" s="1170"/>
      <c r="AN40" s="1171"/>
      <c r="AO40" s="1170"/>
      <c r="AP40" s="1171"/>
      <c r="AQ40" s="1128"/>
      <c r="AR40" s="1173"/>
      <c r="AT40" s="1173"/>
      <c r="AV40" s="1173"/>
      <c r="AX40" s="1173"/>
      <c r="AY40" s="1176"/>
      <c r="AZ40" s="1173"/>
    </row>
    <row r="41" spans="1:52" s="2" customFormat="1" x14ac:dyDescent="0.25">
      <c r="A41" s="19">
        <v>36</v>
      </c>
      <c r="B41" s="20">
        <v>9</v>
      </c>
      <c r="C41" s="22">
        <v>84089038</v>
      </c>
      <c r="D41" s="21" t="s">
        <v>72</v>
      </c>
      <c r="E41" s="23" t="s">
        <v>32</v>
      </c>
      <c r="F41" s="20">
        <v>2008</v>
      </c>
      <c r="G41" s="23" t="s">
        <v>33</v>
      </c>
      <c r="H41" s="24" t="str">
        <f t="shared" si="7"/>
        <v xml:space="preserve">   </v>
      </c>
      <c r="I41" s="24">
        <f t="shared" si="8"/>
        <v>40544</v>
      </c>
      <c r="J41" s="1123"/>
      <c r="K41" s="1124"/>
      <c r="L41" s="1123">
        <v>2500000</v>
      </c>
      <c r="M41" s="1124"/>
      <c r="N41" s="1123">
        <v>2500000</v>
      </c>
      <c r="O41" s="1124"/>
      <c r="P41" s="1123">
        <v>2500000</v>
      </c>
      <c r="Q41" s="1124"/>
      <c r="R41" s="1123">
        <v>2500000</v>
      </c>
      <c r="S41" s="1140">
        <v>40484</v>
      </c>
      <c r="T41" s="1132">
        <v>2500000</v>
      </c>
      <c r="U41" s="1124"/>
      <c r="V41" s="1123">
        <v>600000</v>
      </c>
      <c r="W41" s="1124"/>
      <c r="X41" s="1123"/>
      <c r="Y41" s="1124">
        <v>40331</v>
      </c>
      <c r="Z41" s="1134"/>
      <c r="AA41" s="1135"/>
      <c r="AB41" s="1151"/>
      <c r="AC41" s="1135"/>
      <c r="AD41" s="1152"/>
      <c r="AE41" s="1153"/>
      <c r="AF41" s="1152"/>
      <c r="AG41" s="1153"/>
      <c r="AH41" s="1168" t="str">
        <f t="shared" si="2"/>
        <v>PI</v>
      </c>
      <c r="AI41" s="747">
        <f t="shared" si="9"/>
        <v>13100000</v>
      </c>
      <c r="AJ41" s="747">
        <f>(COUNT(L41,N41,P41,R41,T41)*2500000)+(COUNT(V41,X41,Z41,AD41,AF41)*600000)</f>
        <v>13100000</v>
      </c>
      <c r="AK41" s="747">
        <f t="shared" si="10"/>
        <v>0</v>
      </c>
      <c r="AL41" s="1169"/>
      <c r="AM41" s="1170"/>
      <c r="AN41" s="1171"/>
      <c r="AO41" s="1170"/>
      <c r="AP41" s="1171"/>
      <c r="AQ41" s="1128"/>
      <c r="AR41" s="1173"/>
      <c r="AT41" s="1173"/>
      <c r="AV41" s="1173"/>
      <c r="AX41" s="1173"/>
      <c r="AY41" s="1176"/>
      <c r="AZ41" s="1173"/>
    </row>
    <row r="42" spans="1:52" s="2" customFormat="1" x14ac:dyDescent="0.25">
      <c r="A42" s="19">
        <v>37</v>
      </c>
      <c r="B42" s="25">
        <v>10</v>
      </c>
      <c r="C42" s="27">
        <v>84089040</v>
      </c>
      <c r="D42" s="26" t="s">
        <v>73</v>
      </c>
      <c r="E42" s="28" t="s">
        <v>32</v>
      </c>
      <c r="F42" s="25">
        <v>2008</v>
      </c>
      <c r="G42" s="29"/>
      <c r="H42" s="30" t="str">
        <f t="shared" si="7"/>
        <v xml:space="preserve">   </v>
      </c>
      <c r="I42" s="30" t="str">
        <f t="shared" si="8"/>
        <v xml:space="preserve">   </v>
      </c>
      <c r="J42" s="1125"/>
      <c r="K42" s="1126"/>
      <c r="L42" s="1125">
        <v>2500000</v>
      </c>
      <c r="M42" s="1126"/>
      <c r="N42" s="1125">
        <v>2500000</v>
      </c>
      <c r="O42" s="1126"/>
      <c r="P42" s="1125">
        <v>2500000</v>
      </c>
      <c r="Q42" s="1126"/>
      <c r="R42" s="1125">
        <v>2500000</v>
      </c>
      <c r="S42" s="1141">
        <v>40397</v>
      </c>
      <c r="T42" s="1139"/>
      <c r="U42" s="1135"/>
      <c r="V42" s="1134"/>
      <c r="W42" s="1135"/>
      <c r="X42" s="1134"/>
      <c r="Y42" s="1135"/>
      <c r="Z42" s="1134"/>
      <c r="AA42" s="1135"/>
      <c r="AB42" s="1151"/>
      <c r="AC42" s="1135"/>
      <c r="AD42" s="1152"/>
      <c r="AE42" s="1153"/>
      <c r="AF42" s="1152"/>
      <c r="AG42" s="1153"/>
      <c r="AH42" s="1168" t="str">
        <f t="shared" si="2"/>
        <v>PI</v>
      </c>
      <c r="AI42" s="747">
        <f t="shared" si="9"/>
        <v>10000000</v>
      </c>
      <c r="AJ42" s="747">
        <f>((COUNT((L42,N42,P42,R42,T42,V42,X42,Z42,AD42,AF42)))*2500000)+(J42+AB42)</f>
        <v>10000000</v>
      </c>
      <c r="AK42" s="747">
        <f t="shared" si="10"/>
        <v>0</v>
      </c>
      <c r="AL42" s="1169"/>
      <c r="AM42" s="1170"/>
      <c r="AN42" s="1171"/>
      <c r="AO42" s="1170"/>
      <c r="AP42" s="1171"/>
      <c r="AQ42" s="1128"/>
      <c r="AR42" s="1173"/>
      <c r="AT42" s="1173"/>
      <c r="AV42" s="1173"/>
      <c r="AX42" s="1173"/>
      <c r="AY42" s="1176"/>
      <c r="AZ42" s="1173"/>
    </row>
    <row r="43" spans="1:52" s="2" customFormat="1" x14ac:dyDescent="0.25">
      <c r="A43" s="19">
        <v>38</v>
      </c>
      <c r="B43" s="20">
        <v>11</v>
      </c>
      <c r="C43" s="22">
        <v>84089042</v>
      </c>
      <c r="D43" s="21" t="s">
        <v>74</v>
      </c>
      <c r="E43" s="23" t="s">
        <v>32</v>
      </c>
      <c r="F43" s="20">
        <v>2008</v>
      </c>
      <c r="G43" s="23" t="s">
        <v>33</v>
      </c>
      <c r="H43" s="24" t="str">
        <f t="shared" si="7"/>
        <v xml:space="preserve">   </v>
      </c>
      <c r="I43" s="24">
        <f t="shared" si="8"/>
        <v>40544</v>
      </c>
      <c r="J43" s="1123"/>
      <c r="K43" s="1124"/>
      <c r="L43" s="1123">
        <v>2500000</v>
      </c>
      <c r="M43" s="1124"/>
      <c r="N43" s="1123">
        <v>2500000</v>
      </c>
      <c r="O43" s="1124"/>
      <c r="P43" s="1123">
        <v>2500000</v>
      </c>
      <c r="Q43" s="1124"/>
      <c r="R43" s="1123">
        <v>2500000</v>
      </c>
      <c r="S43" s="1140">
        <v>40729</v>
      </c>
      <c r="T43" s="1132">
        <v>2500000</v>
      </c>
      <c r="U43" s="1124">
        <v>40729</v>
      </c>
      <c r="V43" s="1123">
        <v>600000</v>
      </c>
      <c r="W43" s="1124">
        <v>40799</v>
      </c>
      <c r="X43" s="1123">
        <v>600000</v>
      </c>
      <c r="Y43" s="1124">
        <v>40729</v>
      </c>
      <c r="Z43" s="1134"/>
      <c r="AA43" s="1135"/>
      <c r="AB43" s="1151"/>
      <c r="AC43" s="1135"/>
      <c r="AD43" s="1152"/>
      <c r="AE43" s="1153"/>
      <c r="AF43" s="1152"/>
      <c r="AG43" s="1153"/>
      <c r="AH43" s="1168" t="str">
        <f t="shared" si="2"/>
        <v>PI</v>
      </c>
      <c r="AI43" s="747">
        <f t="shared" si="9"/>
        <v>13700000</v>
      </c>
      <c r="AJ43" s="747">
        <f>(COUNT(L43,N43,P43,R43,T43)*2500000)+(COUNT(V43,X43,Z43,AD43,AF43)*600000)</f>
        <v>13700000</v>
      </c>
      <c r="AK43" s="747">
        <f t="shared" si="10"/>
        <v>0</v>
      </c>
      <c r="AL43" s="1169" t="s">
        <v>53</v>
      </c>
      <c r="AM43" s="1170"/>
      <c r="AN43" s="1171"/>
      <c r="AO43" s="1170"/>
      <c r="AP43" s="1171"/>
      <c r="AQ43" s="1128"/>
      <c r="AR43" s="1173"/>
      <c r="AT43" s="1173"/>
      <c r="AV43" s="1173"/>
      <c r="AX43" s="1173"/>
      <c r="AY43" s="1176"/>
      <c r="AZ43" s="1173"/>
    </row>
    <row r="44" spans="1:52" s="2" customFormat="1" x14ac:dyDescent="0.25">
      <c r="A44" s="19">
        <v>39</v>
      </c>
      <c r="B44" s="25">
        <v>12</v>
      </c>
      <c r="C44" s="27">
        <v>84089044</v>
      </c>
      <c r="D44" s="26" t="s">
        <v>75</v>
      </c>
      <c r="E44" s="28" t="s">
        <v>32</v>
      </c>
      <c r="F44" s="25">
        <v>2008</v>
      </c>
      <c r="G44" s="29"/>
      <c r="H44" s="30" t="str">
        <f t="shared" si="7"/>
        <v xml:space="preserve">   </v>
      </c>
      <c r="I44" s="30" t="str">
        <f t="shared" si="8"/>
        <v xml:space="preserve">   </v>
      </c>
      <c r="J44" s="1125"/>
      <c r="K44" s="1126"/>
      <c r="L44" s="1125">
        <v>2500000</v>
      </c>
      <c r="M44" s="1126"/>
      <c r="N44" s="1125">
        <v>2500000</v>
      </c>
      <c r="O44" s="1126"/>
      <c r="P44" s="1125">
        <v>2500000</v>
      </c>
      <c r="Q44" s="1126"/>
      <c r="R44" s="1125">
        <v>2500000</v>
      </c>
      <c r="S44" s="1141"/>
      <c r="T44" s="1139"/>
      <c r="U44" s="1135"/>
      <c r="V44" s="1134"/>
      <c r="W44" s="1135"/>
      <c r="X44" s="1134"/>
      <c r="Y44" s="1135"/>
      <c r="Z44" s="1134"/>
      <c r="AA44" s="1135"/>
      <c r="AB44" s="1151"/>
      <c r="AC44" s="1135"/>
      <c r="AD44" s="1152"/>
      <c r="AE44" s="1153"/>
      <c r="AF44" s="1152"/>
      <c r="AG44" s="1153"/>
      <c r="AH44" s="1168" t="str">
        <f t="shared" si="2"/>
        <v>PI</v>
      </c>
      <c r="AI44" s="747">
        <f t="shared" si="9"/>
        <v>10000000</v>
      </c>
      <c r="AJ44" s="747">
        <f t="shared" ref="AJ44:AJ57" si="11">((COUNT((L44,N44,P44,R44,T44,V44,X44,Z44,AD44,AF44)))*2500000)+(J44+AB44)</f>
        <v>10000000</v>
      </c>
      <c r="AK44" s="747">
        <f t="shared" si="10"/>
        <v>0</v>
      </c>
      <c r="AL44" s="1169"/>
      <c r="AM44" s="1170"/>
      <c r="AN44" s="1171"/>
      <c r="AO44" s="1170"/>
      <c r="AP44" s="1171"/>
      <c r="AQ44" s="1128"/>
      <c r="AR44" s="1173"/>
      <c r="AT44" s="1173"/>
      <c r="AV44" s="1173"/>
      <c r="AX44" s="1173"/>
      <c r="AY44" s="1176"/>
      <c r="AZ44" s="1173"/>
    </row>
    <row r="45" spans="1:52" s="2" customFormat="1" x14ac:dyDescent="0.25">
      <c r="A45" s="19">
        <v>40</v>
      </c>
      <c r="B45" s="20">
        <v>13</v>
      </c>
      <c r="C45" s="22">
        <v>84089045</v>
      </c>
      <c r="D45" s="21" t="s">
        <v>76</v>
      </c>
      <c r="E45" s="23" t="s">
        <v>32</v>
      </c>
      <c r="F45" s="20">
        <v>2008</v>
      </c>
      <c r="G45" s="23" t="s">
        <v>33</v>
      </c>
      <c r="H45" s="24" t="str">
        <f t="shared" si="7"/>
        <v xml:space="preserve">   </v>
      </c>
      <c r="I45" s="24">
        <f t="shared" si="8"/>
        <v>40544</v>
      </c>
      <c r="J45" s="1123"/>
      <c r="K45" s="1124"/>
      <c r="L45" s="1123">
        <v>2500000</v>
      </c>
      <c r="M45" s="1124"/>
      <c r="N45" s="1123">
        <v>2500000</v>
      </c>
      <c r="O45" s="1124"/>
      <c r="P45" s="1123">
        <v>2500000</v>
      </c>
      <c r="Q45" s="1124"/>
      <c r="R45" s="1123">
        <v>2500000</v>
      </c>
      <c r="S45" s="1140">
        <v>40477</v>
      </c>
      <c r="T45" s="1139"/>
      <c r="U45" s="1135"/>
      <c r="V45" s="1134"/>
      <c r="W45" s="1135"/>
      <c r="X45" s="1134"/>
      <c r="Y45" s="1135"/>
      <c r="Z45" s="1134"/>
      <c r="AA45" s="1135"/>
      <c r="AB45" s="1151"/>
      <c r="AC45" s="1135"/>
      <c r="AD45" s="1152"/>
      <c r="AE45" s="1153"/>
      <c r="AF45" s="1152"/>
      <c r="AG45" s="1153"/>
      <c r="AH45" s="1168" t="str">
        <f t="shared" si="2"/>
        <v>PI</v>
      </c>
      <c r="AI45" s="747">
        <f t="shared" si="9"/>
        <v>10000000</v>
      </c>
      <c r="AJ45" s="747">
        <f t="shared" si="11"/>
        <v>10000000</v>
      </c>
      <c r="AK45" s="747">
        <f t="shared" si="10"/>
        <v>0</v>
      </c>
      <c r="AL45" s="1169"/>
      <c r="AM45" s="1170"/>
      <c r="AN45" s="1171"/>
      <c r="AO45" s="1170"/>
      <c r="AP45" s="1171"/>
      <c r="AQ45" s="1128"/>
      <c r="AR45" s="1173"/>
      <c r="AT45" s="1173"/>
      <c r="AV45" s="1173"/>
      <c r="AX45" s="1173"/>
      <c r="AY45" s="1176"/>
      <c r="AZ45" s="1173"/>
    </row>
    <row r="46" spans="1:52" s="2" customFormat="1" x14ac:dyDescent="0.25">
      <c r="A46" s="19">
        <v>41</v>
      </c>
      <c r="B46" s="25">
        <v>14</v>
      </c>
      <c r="C46" s="27">
        <v>84089052</v>
      </c>
      <c r="D46" s="26" t="s">
        <v>77</v>
      </c>
      <c r="E46" s="28" t="s">
        <v>32</v>
      </c>
      <c r="F46" s="25">
        <v>2008</v>
      </c>
      <c r="G46" s="29"/>
      <c r="H46" s="30" t="str">
        <f t="shared" si="7"/>
        <v xml:space="preserve">   </v>
      </c>
      <c r="I46" s="30" t="str">
        <f t="shared" si="8"/>
        <v xml:space="preserve">   </v>
      </c>
      <c r="J46" s="1125"/>
      <c r="K46" s="1126"/>
      <c r="L46" s="1125">
        <v>2500000</v>
      </c>
      <c r="M46" s="1126"/>
      <c r="N46" s="1125">
        <v>2500000</v>
      </c>
      <c r="O46" s="1126"/>
      <c r="P46" s="1125"/>
      <c r="Q46" s="1126"/>
      <c r="R46" s="1125">
        <v>2500000</v>
      </c>
      <c r="S46" s="1141">
        <v>40397</v>
      </c>
      <c r="T46" s="1136"/>
      <c r="U46" s="1135"/>
      <c r="V46" s="1134"/>
      <c r="W46" s="1135"/>
      <c r="X46" s="1134"/>
      <c r="Y46" s="1135"/>
      <c r="Z46" s="1134"/>
      <c r="AA46" s="1135"/>
      <c r="AB46" s="1151"/>
      <c r="AC46" s="1135"/>
      <c r="AD46" s="1152"/>
      <c r="AE46" s="1153"/>
      <c r="AF46" s="1152"/>
      <c r="AG46" s="1153"/>
      <c r="AH46" s="1168" t="str">
        <f t="shared" si="2"/>
        <v>PI</v>
      </c>
      <c r="AI46" s="747">
        <f t="shared" si="9"/>
        <v>7500000</v>
      </c>
      <c r="AJ46" s="747">
        <f t="shared" si="11"/>
        <v>10000000</v>
      </c>
      <c r="AK46" s="747">
        <f t="shared" si="10"/>
        <v>2500000</v>
      </c>
      <c r="AL46" s="1169"/>
      <c r="AM46" s="1170"/>
      <c r="AN46" s="1171"/>
      <c r="AO46" s="1170"/>
      <c r="AP46" s="1171"/>
      <c r="AQ46" s="1128"/>
      <c r="AR46" s="1173"/>
      <c r="AT46" s="1173"/>
      <c r="AV46" s="1173"/>
      <c r="AX46" s="1173"/>
      <c r="AY46" s="1176"/>
      <c r="AZ46" s="1173"/>
    </row>
    <row r="47" spans="1:52" s="2" customFormat="1" x14ac:dyDescent="0.25">
      <c r="A47" s="19">
        <v>42</v>
      </c>
      <c r="B47" s="25">
        <v>15</v>
      </c>
      <c r="C47" s="27">
        <v>84089054</v>
      </c>
      <c r="D47" s="26" t="s">
        <v>78</v>
      </c>
      <c r="E47" s="28" t="s">
        <v>32</v>
      </c>
      <c r="F47" s="25">
        <v>2008</v>
      </c>
      <c r="G47" s="29"/>
      <c r="H47" s="30" t="str">
        <f t="shared" si="7"/>
        <v xml:space="preserve">   </v>
      </c>
      <c r="I47" s="30" t="str">
        <f t="shared" si="8"/>
        <v xml:space="preserve">   </v>
      </c>
      <c r="J47" s="1125"/>
      <c r="K47" s="1126"/>
      <c r="L47" s="1125">
        <v>2500000</v>
      </c>
      <c r="M47" s="1126"/>
      <c r="N47" s="1125">
        <v>2500000</v>
      </c>
      <c r="O47" s="1126"/>
      <c r="P47" s="1125"/>
      <c r="Q47" s="1126"/>
      <c r="R47" s="1125">
        <v>2500000</v>
      </c>
      <c r="S47" s="1141">
        <v>40397</v>
      </c>
      <c r="T47" s="1136"/>
      <c r="U47" s="1135"/>
      <c r="V47" s="1134"/>
      <c r="W47" s="1135"/>
      <c r="X47" s="1134"/>
      <c r="Y47" s="1135"/>
      <c r="Z47" s="1134"/>
      <c r="AA47" s="1135"/>
      <c r="AB47" s="1151"/>
      <c r="AC47" s="1135"/>
      <c r="AD47" s="1152"/>
      <c r="AE47" s="1153"/>
      <c r="AF47" s="1152"/>
      <c r="AG47" s="1153"/>
      <c r="AH47" s="1168" t="str">
        <f t="shared" si="2"/>
        <v>PI</v>
      </c>
      <c r="AI47" s="747">
        <f t="shared" si="9"/>
        <v>7500000</v>
      </c>
      <c r="AJ47" s="747">
        <f t="shared" si="11"/>
        <v>10000000</v>
      </c>
      <c r="AK47" s="747">
        <f t="shared" si="10"/>
        <v>2500000</v>
      </c>
      <c r="AL47" s="1169"/>
      <c r="AM47" s="1170"/>
      <c r="AN47" s="1171"/>
      <c r="AO47" s="1170"/>
      <c r="AP47" s="1171"/>
      <c r="AQ47" s="1128"/>
      <c r="AR47" s="1173"/>
      <c r="AT47" s="1173"/>
      <c r="AV47" s="1173"/>
      <c r="AX47" s="1173"/>
      <c r="AY47" s="1176"/>
      <c r="AZ47" s="1173"/>
    </row>
    <row r="48" spans="1:52" s="2" customFormat="1" x14ac:dyDescent="0.25">
      <c r="A48" s="19">
        <v>43</v>
      </c>
      <c r="B48" s="25">
        <v>16</v>
      </c>
      <c r="C48" s="27">
        <v>84089055</v>
      </c>
      <c r="D48" s="26" t="s">
        <v>79</v>
      </c>
      <c r="E48" s="28" t="s">
        <v>32</v>
      </c>
      <c r="F48" s="25">
        <v>2008</v>
      </c>
      <c r="G48" s="29"/>
      <c r="H48" s="30" t="str">
        <f t="shared" si="7"/>
        <v xml:space="preserve">   </v>
      </c>
      <c r="I48" s="30" t="str">
        <f t="shared" si="8"/>
        <v xml:space="preserve">   </v>
      </c>
      <c r="J48" s="1125"/>
      <c r="K48" s="1126"/>
      <c r="L48" s="1125">
        <v>2500000</v>
      </c>
      <c r="M48" s="1126"/>
      <c r="N48" s="1125">
        <v>2500000</v>
      </c>
      <c r="O48" s="1126"/>
      <c r="P48" s="1125">
        <v>2500000</v>
      </c>
      <c r="Q48" s="1126"/>
      <c r="R48" s="1125"/>
      <c r="S48" s="1141"/>
      <c r="T48" s="1136"/>
      <c r="U48" s="1135"/>
      <c r="V48" s="1134"/>
      <c r="W48" s="1135"/>
      <c r="X48" s="1134"/>
      <c r="Y48" s="1135"/>
      <c r="Z48" s="1134"/>
      <c r="AA48" s="1135"/>
      <c r="AB48" s="1151"/>
      <c r="AC48" s="1135"/>
      <c r="AD48" s="1152"/>
      <c r="AE48" s="1153"/>
      <c r="AF48" s="1152"/>
      <c r="AG48" s="1153"/>
      <c r="AH48" s="1168" t="str">
        <f t="shared" si="2"/>
        <v>PI</v>
      </c>
      <c r="AI48" s="747">
        <f t="shared" si="9"/>
        <v>7500000</v>
      </c>
      <c r="AJ48" s="747">
        <f t="shared" si="11"/>
        <v>10000000</v>
      </c>
      <c r="AK48" s="747">
        <f t="shared" si="10"/>
        <v>2500000</v>
      </c>
      <c r="AL48" s="1169"/>
      <c r="AM48" s="1170"/>
      <c r="AN48" s="1171"/>
      <c r="AO48" s="1170"/>
      <c r="AP48" s="1171"/>
      <c r="AQ48" s="1128"/>
      <c r="AR48" s="1173"/>
      <c r="AT48" s="1173"/>
      <c r="AV48" s="1173"/>
      <c r="AX48" s="1173"/>
      <c r="AY48" s="1176"/>
      <c r="AZ48" s="1173"/>
    </row>
    <row r="49" spans="1:52" s="2" customFormat="1" x14ac:dyDescent="0.25">
      <c r="A49" s="19">
        <v>44</v>
      </c>
      <c r="B49" s="25">
        <v>17</v>
      </c>
      <c r="C49" s="27">
        <v>84089057</v>
      </c>
      <c r="D49" s="26" t="s">
        <v>80</v>
      </c>
      <c r="E49" s="28" t="s">
        <v>32</v>
      </c>
      <c r="F49" s="25">
        <v>2008</v>
      </c>
      <c r="G49" s="29"/>
      <c r="H49" s="30" t="str">
        <f t="shared" si="7"/>
        <v xml:space="preserve">   </v>
      </c>
      <c r="I49" s="30" t="str">
        <f t="shared" si="8"/>
        <v xml:space="preserve">   </v>
      </c>
      <c r="J49" s="1125"/>
      <c r="K49" s="1126"/>
      <c r="L49" s="1125">
        <v>2500000</v>
      </c>
      <c r="M49" s="1126"/>
      <c r="N49" s="1125">
        <v>2500000</v>
      </c>
      <c r="O49" s="1126"/>
      <c r="P49" s="1125">
        <v>2500000</v>
      </c>
      <c r="Q49" s="1126"/>
      <c r="R49" s="1125">
        <v>2500000</v>
      </c>
      <c r="S49" s="1141">
        <v>40397</v>
      </c>
      <c r="T49" s="1136"/>
      <c r="U49" s="1135"/>
      <c r="V49" s="1134"/>
      <c r="W49" s="1135"/>
      <c r="X49" s="1134"/>
      <c r="Y49" s="1135"/>
      <c r="Z49" s="1134"/>
      <c r="AA49" s="1135"/>
      <c r="AB49" s="1151"/>
      <c r="AC49" s="1135"/>
      <c r="AD49" s="1152"/>
      <c r="AE49" s="1153"/>
      <c r="AF49" s="1152"/>
      <c r="AG49" s="1153"/>
      <c r="AH49" s="1168" t="str">
        <f t="shared" si="2"/>
        <v>PI</v>
      </c>
      <c r="AI49" s="747">
        <f t="shared" si="9"/>
        <v>10000000</v>
      </c>
      <c r="AJ49" s="747">
        <f t="shared" si="11"/>
        <v>10000000</v>
      </c>
      <c r="AK49" s="747">
        <f t="shared" si="10"/>
        <v>0</v>
      </c>
      <c r="AL49" s="1169"/>
      <c r="AM49" s="1170"/>
      <c r="AN49" s="1171"/>
      <c r="AO49" s="1170"/>
      <c r="AP49" s="1171"/>
      <c r="AQ49" s="1128"/>
      <c r="AR49" s="1173"/>
      <c r="AT49" s="1173"/>
      <c r="AV49" s="1173"/>
      <c r="AX49" s="1173"/>
      <c r="AY49" s="1176"/>
      <c r="AZ49" s="1173"/>
    </row>
    <row r="50" spans="1:52" s="2" customFormat="1" x14ac:dyDescent="0.25">
      <c r="A50" s="19">
        <v>45</v>
      </c>
      <c r="B50" s="25">
        <v>18</v>
      </c>
      <c r="C50" s="27">
        <v>84089059</v>
      </c>
      <c r="D50" s="26" t="s">
        <v>81</v>
      </c>
      <c r="E50" s="28" t="s">
        <v>32</v>
      </c>
      <c r="F50" s="25">
        <v>2008</v>
      </c>
      <c r="G50" s="29"/>
      <c r="H50" s="30" t="str">
        <f t="shared" si="7"/>
        <v xml:space="preserve">   </v>
      </c>
      <c r="I50" s="30" t="str">
        <f t="shared" si="8"/>
        <v xml:space="preserve">   </v>
      </c>
      <c r="J50" s="1125"/>
      <c r="K50" s="1126"/>
      <c r="L50" s="1125">
        <v>2500000</v>
      </c>
      <c r="M50" s="1126"/>
      <c r="N50" s="1125">
        <v>0</v>
      </c>
      <c r="O50" s="1126"/>
      <c r="P50" s="1125">
        <v>0</v>
      </c>
      <c r="Q50" s="1126"/>
      <c r="R50" s="1125">
        <v>0</v>
      </c>
      <c r="S50" s="1141"/>
      <c r="T50" s="1136"/>
      <c r="U50" s="1135"/>
      <c r="V50" s="1134"/>
      <c r="W50" s="1135"/>
      <c r="X50" s="1134"/>
      <c r="Y50" s="1135"/>
      <c r="Z50" s="1134"/>
      <c r="AA50" s="1135"/>
      <c r="AB50" s="1151"/>
      <c r="AC50" s="1135"/>
      <c r="AD50" s="1152"/>
      <c r="AE50" s="1153"/>
      <c r="AF50" s="1152"/>
      <c r="AG50" s="1153"/>
      <c r="AH50" s="1168" t="str">
        <f t="shared" si="2"/>
        <v>PI</v>
      </c>
      <c r="AI50" s="747">
        <f t="shared" si="9"/>
        <v>2500000</v>
      </c>
      <c r="AJ50" s="747">
        <f t="shared" si="11"/>
        <v>10000000</v>
      </c>
      <c r="AK50" s="747">
        <f t="shared" si="10"/>
        <v>7500000</v>
      </c>
      <c r="AL50" s="1169"/>
      <c r="AM50" s="1170"/>
      <c r="AN50" s="1171"/>
      <c r="AO50" s="1170"/>
      <c r="AP50" s="1171"/>
      <c r="AQ50" s="1128"/>
      <c r="AR50" s="1173"/>
      <c r="AT50" s="1173"/>
      <c r="AV50" s="1173"/>
      <c r="AX50" s="1173"/>
      <c r="AY50" s="1176"/>
      <c r="AZ50" s="1173"/>
    </row>
    <row r="51" spans="1:52" s="2" customFormat="1" x14ac:dyDescent="0.25">
      <c r="A51" s="19">
        <v>46</v>
      </c>
      <c r="B51" s="25">
        <v>19</v>
      </c>
      <c r="C51" s="27">
        <v>84089062</v>
      </c>
      <c r="D51" s="26" t="s">
        <v>82</v>
      </c>
      <c r="E51" s="28" t="s">
        <v>32</v>
      </c>
      <c r="F51" s="25">
        <v>2008</v>
      </c>
      <c r="G51" s="29"/>
      <c r="H51" s="30" t="str">
        <f t="shared" si="7"/>
        <v xml:space="preserve">   </v>
      </c>
      <c r="I51" s="30" t="str">
        <f t="shared" si="8"/>
        <v xml:space="preserve">   </v>
      </c>
      <c r="J51" s="1125"/>
      <c r="K51" s="1126"/>
      <c r="L51" s="1125">
        <v>2500000</v>
      </c>
      <c r="M51" s="1126"/>
      <c r="N51" s="1125">
        <v>2500000</v>
      </c>
      <c r="O51" s="1126"/>
      <c r="P51" s="1125">
        <v>2500000</v>
      </c>
      <c r="Q51" s="1126"/>
      <c r="R51" s="1125">
        <v>2500000</v>
      </c>
      <c r="S51" s="1141">
        <v>40397</v>
      </c>
      <c r="T51" s="1136"/>
      <c r="U51" s="1135"/>
      <c r="V51" s="1134"/>
      <c r="W51" s="1135"/>
      <c r="X51" s="1134"/>
      <c r="Y51" s="1135"/>
      <c r="Z51" s="1134"/>
      <c r="AA51" s="1135"/>
      <c r="AB51" s="1151"/>
      <c r="AC51" s="1135"/>
      <c r="AD51" s="1152"/>
      <c r="AE51" s="1153"/>
      <c r="AF51" s="1152"/>
      <c r="AG51" s="1153"/>
      <c r="AH51" s="1168" t="str">
        <f t="shared" si="2"/>
        <v>PI</v>
      </c>
      <c r="AI51" s="747">
        <f t="shared" si="9"/>
        <v>10000000</v>
      </c>
      <c r="AJ51" s="747">
        <f t="shared" si="11"/>
        <v>10000000</v>
      </c>
      <c r="AK51" s="747">
        <f t="shared" si="10"/>
        <v>0</v>
      </c>
      <c r="AL51" s="1169"/>
      <c r="AM51" s="1170"/>
      <c r="AN51" s="1171"/>
      <c r="AO51" s="1170"/>
      <c r="AP51" s="1171"/>
      <c r="AQ51" s="1128"/>
      <c r="AR51" s="1173"/>
      <c r="AT51" s="1173"/>
      <c r="AV51" s="1173"/>
      <c r="AX51" s="1173"/>
      <c r="AY51" s="1176"/>
      <c r="AZ51" s="1173"/>
    </row>
    <row r="52" spans="1:52" s="2" customFormat="1" x14ac:dyDescent="0.25">
      <c r="A52" s="19">
        <v>47</v>
      </c>
      <c r="B52" s="25">
        <v>20</v>
      </c>
      <c r="C52" s="27">
        <v>84089064</v>
      </c>
      <c r="D52" s="26" t="s">
        <v>83</v>
      </c>
      <c r="E52" s="28" t="s">
        <v>32</v>
      </c>
      <c r="F52" s="25">
        <v>2008</v>
      </c>
      <c r="G52" s="29"/>
      <c r="H52" s="30" t="str">
        <f t="shared" si="7"/>
        <v xml:space="preserve">   </v>
      </c>
      <c r="I52" s="30" t="str">
        <f t="shared" si="8"/>
        <v xml:space="preserve">   </v>
      </c>
      <c r="J52" s="1125"/>
      <c r="K52" s="1126"/>
      <c r="L52" s="1125">
        <v>2500000</v>
      </c>
      <c r="M52" s="1126"/>
      <c r="N52" s="1125">
        <v>2500000</v>
      </c>
      <c r="O52" s="1126"/>
      <c r="P52" s="1125">
        <v>2500000</v>
      </c>
      <c r="Q52" s="1126"/>
      <c r="R52" s="1125">
        <v>2500000</v>
      </c>
      <c r="S52" s="1141">
        <v>40397</v>
      </c>
      <c r="T52" s="1136"/>
      <c r="U52" s="1135"/>
      <c r="V52" s="1134"/>
      <c r="W52" s="1135"/>
      <c r="X52" s="1134"/>
      <c r="Y52" s="1135"/>
      <c r="Z52" s="1134"/>
      <c r="AA52" s="1135"/>
      <c r="AB52" s="1151"/>
      <c r="AC52" s="1135"/>
      <c r="AD52" s="1152"/>
      <c r="AE52" s="1153"/>
      <c r="AF52" s="1152"/>
      <c r="AG52" s="1153"/>
      <c r="AH52" s="1168" t="str">
        <f t="shared" si="2"/>
        <v>PI</v>
      </c>
      <c r="AI52" s="747">
        <f t="shared" si="9"/>
        <v>10000000</v>
      </c>
      <c r="AJ52" s="747">
        <f t="shared" si="11"/>
        <v>10000000</v>
      </c>
      <c r="AK52" s="747">
        <f t="shared" si="10"/>
        <v>0</v>
      </c>
      <c r="AL52" s="1169"/>
      <c r="AM52" s="1170"/>
      <c r="AN52" s="1171"/>
      <c r="AO52" s="1170"/>
      <c r="AP52" s="1171"/>
      <c r="AQ52" s="1128"/>
      <c r="AR52" s="1173"/>
      <c r="AT52" s="1173"/>
      <c r="AV52" s="1173"/>
      <c r="AX52" s="1173"/>
      <c r="AY52" s="1176"/>
      <c r="AZ52" s="1173"/>
    </row>
    <row r="53" spans="1:52" s="2" customFormat="1" x14ac:dyDescent="0.25">
      <c r="A53" s="19">
        <v>48</v>
      </c>
      <c r="B53" s="25">
        <v>21</v>
      </c>
      <c r="C53" s="27">
        <v>84089033</v>
      </c>
      <c r="D53" s="26" t="s">
        <v>84</v>
      </c>
      <c r="E53" s="28" t="s">
        <v>32</v>
      </c>
      <c r="F53" s="25">
        <v>2008</v>
      </c>
      <c r="G53" s="29"/>
      <c r="H53" s="30" t="str">
        <f t="shared" si="7"/>
        <v xml:space="preserve">   </v>
      </c>
      <c r="I53" s="30" t="str">
        <f t="shared" si="8"/>
        <v xml:space="preserve">   </v>
      </c>
      <c r="J53" s="1125"/>
      <c r="K53" s="1126"/>
      <c r="L53" s="1125">
        <v>2500000</v>
      </c>
      <c r="M53" s="1126"/>
      <c r="N53" s="1125">
        <v>2500000</v>
      </c>
      <c r="O53" s="1126"/>
      <c r="P53" s="1125">
        <v>0</v>
      </c>
      <c r="Q53" s="1126"/>
      <c r="R53" s="1125">
        <v>0</v>
      </c>
      <c r="S53" s="1141"/>
      <c r="T53" s="1136"/>
      <c r="U53" s="1135"/>
      <c r="V53" s="1134"/>
      <c r="W53" s="1135"/>
      <c r="X53" s="1134"/>
      <c r="Y53" s="1135"/>
      <c r="Z53" s="1134"/>
      <c r="AA53" s="1135"/>
      <c r="AB53" s="1151"/>
      <c r="AC53" s="1135"/>
      <c r="AD53" s="1152"/>
      <c r="AE53" s="1153"/>
      <c r="AF53" s="1152"/>
      <c r="AG53" s="1153"/>
      <c r="AH53" s="1168" t="str">
        <f t="shared" si="2"/>
        <v>PI</v>
      </c>
      <c r="AI53" s="747">
        <f t="shared" si="9"/>
        <v>5000000</v>
      </c>
      <c r="AJ53" s="747">
        <f t="shared" si="11"/>
        <v>10000000</v>
      </c>
      <c r="AK53" s="747">
        <f t="shared" si="10"/>
        <v>5000000</v>
      </c>
      <c r="AL53" s="1169"/>
      <c r="AM53" s="1170"/>
      <c r="AN53" s="1171"/>
      <c r="AO53" s="1170"/>
      <c r="AP53" s="1171"/>
      <c r="AQ53" s="1128"/>
      <c r="AR53" s="1173"/>
      <c r="AT53" s="1173"/>
      <c r="AV53" s="1173"/>
      <c r="AX53" s="1173"/>
      <c r="AY53" s="1176"/>
      <c r="AZ53" s="1173"/>
    </row>
    <row r="54" spans="1:52" s="2" customFormat="1" x14ac:dyDescent="0.25">
      <c r="A54" s="19">
        <v>49</v>
      </c>
      <c r="B54" s="25">
        <v>22</v>
      </c>
      <c r="C54" s="27">
        <v>84089035</v>
      </c>
      <c r="D54" s="26" t="s">
        <v>85</v>
      </c>
      <c r="E54" s="28" t="s">
        <v>32</v>
      </c>
      <c r="F54" s="25">
        <v>2008</v>
      </c>
      <c r="G54" s="29"/>
      <c r="H54" s="30" t="str">
        <f t="shared" si="7"/>
        <v xml:space="preserve">   </v>
      </c>
      <c r="I54" s="30" t="str">
        <f t="shared" si="8"/>
        <v xml:space="preserve">   </v>
      </c>
      <c r="J54" s="1125"/>
      <c r="K54" s="1126"/>
      <c r="L54" s="1125">
        <v>2500000</v>
      </c>
      <c r="M54" s="1126"/>
      <c r="N54" s="1125">
        <v>2500000</v>
      </c>
      <c r="O54" s="1126"/>
      <c r="P54" s="1125">
        <v>2500000</v>
      </c>
      <c r="Q54" s="1126"/>
      <c r="R54" s="1125">
        <v>2500000</v>
      </c>
      <c r="S54" s="1141">
        <v>40768</v>
      </c>
      <c r="T54" s="1136">
        <f>2500000+600000</f>
        <v>3100000</v>
      </c>
      <c r="U54" s="1135"/>
      <c r="V54" s="1134"/>
      <c r="W54" s="1135"/>
      <c r="X54" s="1134"/>
      <c r="Y54" s="1135"/>
      <c r="Z54" s="1134"/>
      <c r="AA54" s="1135"/>
      <c r="AB54" s="1151"/>
      <c r="AC54" s="1135"/>
      <c r="AD54" s="1152"/>
      <c r="AE54" s="1153"/>
      <c r="AF54" s="1152"/>
      <c r="AG54" s="1153"/>
      <c r="AH54" s="1168" t="str">
        <f t="shared" si="2"/>
        <v>PI</v>
      </c>
      <c r="AI54" s="747">
        <f t="shared" si="9"/>
        <v>13100000</v>
      </c>
      <c r="AJ54" s="747">
        <f t="shared" si="11"/>
        <v>10000000</v>
      </c>
      <c r="AK54" s="747">
        <f t="shared" si="10"/>
        <v>-3100000</v>
      </c>
      <c r="AL54" s="1169"/>
      <c r="AM54" s="1170"/>
      <c r="AN54" s="1171"/>
      <c r="AO54" s="1170"/>
      <c r="AP54" s="1171"/>
      <c r="AQ54" s="1128"/>
      <c r="AR54" s="1173"/>
      <c r="AT54" s="1173"/>
      <c r="AV54" s="1173"/>
      <c r="AX54" s="1173"/>
      <c r="AY54" s="1176"/>
      <c r="AZ54" s="1173"/>
    </row>
    <row r="55" spans="1:52" s="2" customFormat="1" x14ac:dyDescent="0.25">
      <c r="A55" s="19">
        <v>50</v>
      </c>
      <c r="B55" s="20">
        <v>23</v>
      </c>
      <c r="C55" s="22">
        <v>84089036</v>
      </c>
      <c r="D55" s="21" t="s">
        <v>86</v>
      </c>
      <c r="E55" s="23" t="s">
        <v>32</v>
      </c>
      <c r="F55" s="20">
        <v>2008</v>
      </c>
      <c r="G55" s="23" t="s">
        <v>33</v>
      </c>
      <c r="H55" s="24" t="str">
        <f t="shared" si="7"/>
        <v xml:space="preserve">   </v>
      </c>
      <c r="I55" s="24">
        <f t="shared" si="8"/>
        <v>40544</v>
      </c>
      <c r="J55" s="1123"/>
      <c r="K55" s="1124"/>
      <c r="L55" s="1123">
        <v>2500000</v>
      </c>
      <c r="M55" s="1124"/>
      <c r="N55" s="1123">
        <v>2500000</v>
      </c>
      <c r="O55" s="1124"/>
      <c r="P55" s="1123">
        <v>2500000</v>
      </c>
      <c r="Q55" s="1124"/>
      <c r="R55" s="1123">
        <v>2500000</v>
      </c>
      <c r="S55" s="1140">
        <v>40397</v>
      </c>
      <c r="T55" s="1139"/>
      <c r="U55" s="1135"/>
      <c r="V55" s="1134"/>
      <c r="W55" s="1135"/>
      <c r="X55" s="1134"/>
      <c r="Y55" s="1135"/>
      <c r="Z55" s="1134"/>
      <c r="AA55" s="1135"/>
      <c r="AB55" s="1151"/>
      <c r="AC55" s="1135"/>
      <c r="AD55" s="1152"/>
      <c r="AE55" s="1153"/>
      <c r="AF55" s="1152"/>
      <c r="AG55" s="1153"/>
      <c r="AH55" s="1168" t="str">
        <f t="shared" si="2"/>
        <v>PI</v>
      </c>
      <c r="AI55" s="747">
        <f t="shared" si="9"/>
        <v>10000000</v>
      </c>
      <c r="AJ55" s="747">
        <f t="shared" si="11"/>
        <v>10000000</v>
      </c>
      <c r="AK55" s="747">
        <f t="shared" si="10"/>
        <v>0</v>
      </c>
      <c r="AL55" s="1169"/>
      <c r="AM55" s="1170"/>
      <c r="AN55" s="1171"/>
      <c r="AO55" s="1170"/>
      <c r="AP55" s="1171"/>
      <c r="AQ55" s="1128"/>
      <c r="AR55" s="1173"/>
      <c r="AT55" s="1173"/>
      <c r="AV55" s="1173"/>
      <c r="AX55" s="1173"/>
      <c r="AY55" s="1176"/>
      <c r="AZ55" s="1173"/>
    </row>
    <row r="56" spans="1:52" s="2" customFormat="1" x14ac:dyDescent="0.25">
      <c r="A56" s="19">
        <v>51</v>
      </c>
      <c r="B56" s="20">
        <v>24</v>
      </c>
      <c r="C56" s="22">
        <v>84089002</v>
      </c>
      <c r="D56" s="21" t="s">
        <v>87</v>
      </c>
      <c r="E56" s="23" t="s">
        <v>32</v>
      </c>
      <c r="F56" s="20">
        <v>2008</v>
      </c>
      <c r="G56" s="23" t="s">
        <v>33</v>
      </c>
      <c r="H56" s="24" t="str">
        <f t="shared" si="7"/>
        <v xml:space="preserve">   </v>
      </c>
      <c r="I56" s="24">
        <f t="shared" si="8"/>
        <v>40544</v>
      </c>
      <c r="J56" s="1123"/>
      <c r="K56" s="1124"/>
      <c r="L56" s="1123">
        <v>2500000</v>
      </c>
      <c r="M56" s="1124"/>
      <c r="N56" s="1123">
        <v>2500000</v>
      </c>
      <c r="O56" s="1124"/>
      <c r="P56" s="1123">
        <v>2500000</v>
      </c>
      <c r="Q56" s="1124"/>
      <c r="R56" s="1123">
        <v>2500000</v>
      </c>
      <c r="S56" s="1140">
        <v>40402</v>
      </c>
      <c r="T56" s="1139"/>
      <c r="U56" s="1135"/>
      <c r="V56" s="1134"/>
      <c r="W56" s="1135"/>
      <c r="X56" s="1134"/>
      <c r="Y56" s="1135"/>
      <c r="Z56" s="1134"/>
      <c r="AA56" s="1135"/>
      <c r="AB56" s="1151"/>
      <c r="AC56" s="1135"/>
      <c r="AD56" s="1152"/>
      <c r="AE56" s="1153"/>
      <c r="AF56" s="1152"/>
      <c r="AG56" s="1153"/>
      <c r="AH56" s="1168" t="str">
        <f t="shared" si="2"/>
        <v>PI</v>
      </c>
      <c r="AI56" s="747">
        <f t="shared" si="9"/>
        <v>10000000</v>
      </c>
      <c r="AJ56" s="747">
        <f t="shared" si="11"/>
        <v>10000000</v>
      </c>
      <c r="AK56" s="747">
        <f t="shared" si="10"/>
        <v>0</v>
      </c>
      <c r="AL56" s="1169"/>
      <c r="AM56" s="1170"/>
      <c r="AN56" s="1171"/>
      <c r="AO56" s="1170"/>
      <c r="AP56" s="1171"/>
      <c r="AQ56" s="1128"/>
      <c r="AR56" s="1173"/>
      <c r="AT56" s="1173"/>
      <c r="AV56" s="1173"/>
      <c r="AX56" s="1173"/>
      <c r="AY56" s="1176"/>
      <c r="AZ56" s="1173"/>
    </row>
    <row r="57" spans="1:52" s="2" customFormat="1" x14ac:dyDescent="0.25">
      <c r="A57" s="19">
        <v>52</v>
      </c>
      <c r="B57" s="25">
        <v>25</v>
      </c>
      <c r="C57" s="27">
        <v>84089029</v>
      </c>
      <c r="D57" s="26" t="s">
        <v>88</v>
      </c>
      <c r="E57" s="28" t="s">
        <v>32</v>
      </c>
      <c r="F57" s="25">
        <v>2008</v>
      </c>
      <c r="G57" s="29"/>
      <c r="H57" s="30" t="str">
        <f t="shared" si="7"/>
        <v xml:space="preserve">   </v>
      </c>
      <c r="I57" s="30" t="str">
        <f t="shared" si="8"/>
        <v xml:space="preserve">   </v>
      </c>
      <c r="J57" s="1125"/>
      <c r="K57" s="1126"/>
      <c r="L57" s="1125">
        <v>2500000</v>
      </c>
      <c r="M57" s="1126"/>
      <c r="N57" s="1125">
        <v>2500000</v>
      </c>
      <c r="O57" s="1126"/>
      <c r="P57" s="1125">
        <v>2500000</v>
      </c>
      <c r="Q57" s="1126"/>
      <c r="R57" s="1125">
        <v>2500000</v>
      </c>
      <c r="S57" s="1141">
        <v>40397</v>
      </c>
      <c r="T57" s="1139"/>
      <c r="U57" s="1135"/>
      <c r="V57" s="1134"/>
      <c r="W57" s="1135"/>
      <c r="X57" s="1134"/>
      <c r="Y57" s="1135"/>
      <c r="Z57" s="1134"/>
      <c r="AA57" s="1135"/>
      <c r="AB57" s="1151"/>
      <c r="AC57" s="1135"/>
      <c r="AD57" s="1152"/>
      <c r="AE57" s="1153"/>
      <c r="AF57" s="1152"/>
      <c r="AG57" s="1153"/>
      <c r="AH57" s="1168" t="str">
        <f t="shared" si="2"/>
        <v>PI</v>
      </c>
      <c r="AI57" s="747">
        <f t="shared" si="9"/>
        <v>10000000</v>
      </c>
      <c r="AJ57" s="747">
        <f t="shared" si="11"/>
        <v>10000000</v>
      </c>
      <c r="AK57" s="747">
        <f t="shared" si="10"/>
        <v>0</v>
      </c>
      <c r="AL57" s="1169"/>
      <c r="AM57" s="1170"/>
      <c r="AN57" s="1171"/>
      <c r="AO57" s="1170"/>
      <c r="AP57" s="1171"/>
      <c r="AQ57" s="1128"/>
      <c r="AR57" s="1173"/>
      <c r="AT57" s="1173"/>
      <c r="AV57" s="1173"/>
      <c r="AX57" s="1173"/>
      <c r="AY57" s="1176"/>
      <c r="AZ57" s="1173"/>
    </row>
    <row r="58" spans="1:52" s="2" customFormat="1" x14ac:dyDescent="0.25">
      <c r="A58" s="32"/>
      <c r="B58" s="32"/>
      <c r="C58" s="33"/>
      <c r="E58" s="34"/>
      <c r="F58" s="35" t="s">
        <v>61</v>
      </c>
      <c r="G58" s="1120"/>
      <c r="H58" s="36" t="str">
        <f t="shared" si="7"/>
        <v xml:space="preserve">   </v>
      </c>
      <c r="I58" s="36" t="str">
        <f t="shared" si="8"/>
        <v xml:space="preserve">   </v>
      </c>
      <c r="J58" s="747"/>
      <c r="K58" s="1127"/>
      <c r="L58" s="747"/>
      <c r="M58" s="1127"/>
      <c r="N58" s="1128"/>
      <c r="O58" s="1127"/>
      <c r="P58" s="1129"/>
      <c r="Q58" s="1127"/>
      <c r="R58" s="1128"/>
      <c r="S58" s="1138"/>
      <c r="T58" s="1128"/>
      <c r="U58" s="1127"/>
      <c r="V58" s="1128"/>
      <c r="W58" s="1127"/>
      <c r="X58" s="1128"/>
      <c r="Y58" s="1127"/>
      <c r="Z58" s="1128"/>
      <c r="AA58" s="1127"/>
      <c r="AB58" s="1154"/>
      <c r="AC58" s="1127"/>
      <c r="AE58" s="1155"/>
      <c r="AG58" s="1155"/>
      <c r="AH58" s="1172">
        <f t="shared" si="2"/>
        <v>0</v>
      </c>
      <c r="AI58" s="747"/>
      <c r="AJ58" s="747"/>
      <c r="AK58" s="747"/>
      <c r="AL58" s="1169"/>
      <c r="AM58" s="1170"/>
      <c r="AN58" s="1171"/>
      <c r="AO58" s="1170"/>
      <c r="AP58" s="1171"/>
      <c r="AQ58" s="1128"/>
      <c r="AR58" s="1173"/>
      <c r="AT58" s="1173"/>
      <c r="AV58" s="1173"/>
      <c r="AX58" s="1173"/>
      <c r="AY58" s="1176"/>
      <c r="AZ58" s="1173"/>
    </row>
    <row r="59" spans="1:52" s="2" customFormat="1" x14ac:dyDescent="0.25">
      <c r="A59" s="19">
        <v>53</v>
      </c>
      <c r="B59" s="25">
        <v>1</v>
      </c>
      <c r="C59" s="38">
        <v>84089005</v>
      </c>
      <c r="D59" s="37" t="s">
        <v>89</v>
      </c>
      <c r="E59" s="28" t="s">
        <v>32</v>
      </c>
      <c r="F59" s="25">
        <v>2008</v>
      </c>
      <c r="G59" s="29"/>
      <c r="H59" s="30" t="str">
        <f t="shared" si="7"/>
        <v xml:space="preserve">   </v>
      </c>
      <c r="I59" s="30" t="str">
        <f t="shared" si="8"/>
        <v xml:space="preserve">   </v>
      </c>
      <c r="J59" s="1125"/>
      <c r="K59" s="1126"/>
      <c r="L59" s="1130">
        <v>2000000</v>
      </c>
      <c r="M59" s="1126"/>
      <c r="N59" s="1130">
        <v>2000000</v>
      </c>
      <c r="O59" s="1126"/>
      <c r="P59" s="1130">
        <v>2000000</v>
      </c>
      <c r="Q59" s="1126">
        <v>40583</v>
      </c>
      <c r="R59" s="1130">
        <v>2000000</v>
      </c>
      <c r="S59" s="1126">
        <v>40744</v>
      </c>
      <c r="T59" s="1145">
        <v>2000000</v>
      </c>
      <c r="U59" s="1126">
        <v>41154</v>
      </c>
      <c r="V59" s="1130">
        <v>600000</v>
      </c>
      <c r="W59" s="1126" t="s">
        <v>90</v>
      </c>
      <c r="X59" s="1130">
        <v>600000</v>
      </c>
      <c r="Y59" s="1126"/>
      <c r="Z59" s="1130"/>
      <c r="AA59" s="1126"/>
      <c r="AB59" s="1156"/>
      <c r="AC59" s="1126"/>
      <c r="AD59" s="1157"/>
      <c r="AE59" s="1158"/>
      <c r="AF59" s="1157"/>
      <c r="AG59" s="1158"/>
      <c r="AH59" s="1168" t="str">
        <f t="shared" si="2"/>
        <v>PI</v>
      </c>
      <c r="AI59" s="747">
        <f t="shared" ref="AI59:AI74" si="12">SUM(J59,L59,N59,P59,R59,T59,V59,X59,Z59,AB59,AD59,AF59)</f>
        <v>11200000</v>
      </c>
      <c r="AJ59" s="747">
        <f>(COUNT(L59,N59,P59,R59,T59)*2000000)+(COUNT(V59,X59,Z59,AD59,AF59)*600000)</f>
        <v>11200000</v>
      </c>
      <c r="AK59" s="747">
        <f t="shared" ref="AK59:AK74" si="13">AJ59-AI59</f>
        <v>0</v>
      </c>
      <c r="AL59" s="1169"/>
      <c r="AM59" s="1170"/>
      <c r="AN59" s="1171"/>
      <c r="AO59" s="1170"/>
      <c r="AP59" s="1171"/>
      <c r="AQ59" s="1128"/>
      <c r="AR59" s="1173"/>
      <c r="AT59" s="1173"/>
      <c r="AV59" s="1173"/>
      <c r="AX59" s="1173"/>
      <c r="AY59" s="1176"/>
      <c r="AZ59" s="1173"/>
    </row>
    <row r="60" spans="1:52" s="2" customFormat="1" x14ac:dyDescent="0.25">
      <c r="A60" s="19">
        <v>54</v>
      </c>
      <c r="B60" s="25">
        <v>2</v>
      </c>
      <c r="C60" s="38">
        <v>84089008</v>
      </c>
      <c r="D60" s="37" t="s">
        <v>91</v>
      </c>
      <c r="E60" s="28" t="s">
        <v>32</v>
      </c>
      <c r="F60" s="25">
        <v>2008</v>
      </c>
      <c r="G60" s="29"/>
      <c r="H60" s="30" t="str">
        <f t="shared" si="7"/>
        <v xml:space="preserve">   </v>
      </c>
      <c r="I60" s="30" t="str">
        <f t="shared" si="8"/>
        <v xml:space="preserve">   </v>
      </c>
      <c r="J60" s="1125"/>
      <c r="K60" s="1126"/>
      <c r="L60" s="1130">
        <v>2000000</v>
      </c>
      <c r="M60" s="1126"/>
      <c r="N60" s="1130">
        <v>2000000</v>
      </c>
      <c r="O60" s="1126"/>
      <c r="P60" s="1130">
        <v>2500000</v>
      </c>
      <c r="Q60" s="1126"/>
      <c r="R60" s="1130">
        <v>2000000</v>
      </c>
      <c r="S60" s="1146">
        <v>40397</v>
      </c>
      <c r="T60" s="1145"/>
      <c r="U60" s="1126"/>
      <c r="V60" s="1130"/>
      <c r="W60" s="1126"/>
      <c r="X60" s="1130"/>
      <c r="Y60" s="1126"/>
      <c r="Z60" s="1130"/>
      <c r="AA60" s="1126"/>
      <c r="AB60" s="1156"/>
      <c r="AC60" s="1126"/>
      <c r="AD60" s="1157"/>
      <c r="AE60" s="1158"/>
      <c r="AF60" s="1157"/>
      <c r="AG60" s="1158"/>
      <c r="AH60" s="1168" t="str">
        <f t="shared" si="2"/>
        <v>PI</v>
      </c>
      <c r="AI60" s="747">
        <f t="shared" si="12"/>
        <v>8500000</v>
      </c>
      <c r="AJ60" s="747">
        <f>((COUNT((L60,N60,P60,R60,T60,V60,X60,Z60,AD60,AF60)))*2000000)+(J60+AB60)</f>
        <v>8000000</v>
      </c>
      <c r="AK60" s="747">
        <f t="shared" si="13"/>
        <v>-500000</v>
      </c>
      <c r="AL60" s="1169"/>
      <c r="AM60" s="1170"/>
      <c r="AN60" s="1171"/>
      <c r="AO60" s="1170"/>
      <c r="AP60" s="1171"/>
      <c r="AQ60" s="1128"/>
      <c r="AR60" s="1173"/>
      <c r="AT60" s="1173"/>
      <c r="AV60" s="1173"/>
      <c r="AX60" s="1173"/>
      <c r="AY60" s="1176"/>
      <c r="AZ60" s="1173"/>
    </row>
    <row r="61" spans="1:52" s="2" customFormat="1" x14ac:dyDescent="0.25">
      <c r="A61" s="19">
        <v>55</v>
      </c>
      <c r="B61" s="25">
        <v>3</v>
      </c>
      <c r="C61" s="38">
        <v>84089012</v>
      </c>
      <c r="D61" s="37" t="s">
        <v>92</v>
      </c>
      <c r="E61" s="28" t="s">
        <v>32</v>
      </c>
      <c r="F61" s="25">
        <v>2008</v>
      </c>
      <c r="G61" s="29"/>
      <c r="H61" s="30" t="str">
        <f t="shared" si="7"/>
        <v xml:space="preserve">   </v>
      </c>
      <c r="I61" s="30" t="str">
        <f t="shared" si="8"/>
        <v xml:space="preserve">   </v>
      </c>
      <c r="J61" s="1125"/>
      <c r="K61" s="1126"/>
      <c r="L61" s="1130">
        <v>2000000</v>
      </c>
      <c r="M61" s="1126"/>
      <c r="N61" s="1130">
        <v>2000000</v>
      </c>
      <c r="O61" s="1126"/>
      <c r="P61" s="1130">
        <v>2500000</v>
      </c>
      <c r="Q61" s="1126"/>
      <c r="R61" s="1130">
        <v>2000000</v>
      </c>
      <c r="S61" s="1126">
        <v>40401</v>
      </c>
      <c r="T61" s="1145">
        <v>2000000</v>
      </c>
      <c r="U61" s="1126"/>
      <c r="V61" s="1130">
        <v>600000</v>
      </c>
      <c r="W61" s="1126">
        <v>40688</v>
      </c>
      <c r="X61" s="1130">
        <v>600000</v>
      </c>
      <c r="Y61" s="1126" t="s">
        <v>93</v>
      </c>
      <c r="Z61" s="1130">
        <v>600000</v>
      </c>
      <c r="AA61" s="1126"/>
      <c r="AB61" s="1156"/>
      <c r="AC61" s="1126"/>
      <c r="AD61" s="1157">
        <v>600000</v>
      </c>
      <c r="AE61" s="1158"/>
      <c r="AF61" s="1157"/>
      <c r="AG61" s="1158"/>
      <c r="AH61" s="1168" t="str">
        <f t="shared" si="2"/>
        <v>PI</v>
      </c>
      <c r="AI61" s="747">
        <f t="shared" si="12"/>
        <v>12900000</v>
      </c>
      <c r="AJ61" s="747">
        <f>(COUNT(L61,N61,P61,R61,T61)*2000000)+(COUNT(V61,X61,Z61,AD61,AF61)*600000)</f>
        <v>12400000</v>
      </c>
      <c r="AK61" s="747">
        <f t="shared" si="13"/>
        <v>-500000</v>
      </c>
      <c r="AL61" s="1169"/>
      <c r="AM61" s="1170"/>
      <c r="AN61" s="1171"/>
      <c r="AO61" s="1170"/>
      <c r="AP61" s="1171"/>
      <c r="AQ61" s="1128"/>
      <c r="AR61" s="1173"/>
      <c r="AT61" s="1173"/>
      <c r="AV61" s="1173"/>
      <c r="AX61" s="1173"/>
      <c r="AY61" s="1176"/>
      <c r="AZ61" s="1173"/>
    </row>
    <row r="62" spans="1:52" s="2" customFormat="1" x14ac:dyDescent="0.25">
      <c r="A62" s="19">
        <v>56</v>
      </c>
      <c r="B62" s="25">
        <v>4</v>
      </c>
      <c r="C62" s="38">
        <v>84089013</v>
      </c>
      <c r="D62" s="37" t="s">
        <v>94</v>
      </c>
      <c r="E62" s="28" t="s">
        <v>32</v>
      </c>
      <c r="F62" s="25">
        <v>2008</v>
      </c>
      <c r="G62" s="29"/>
      <c r="H62" s="30" t="str">
        <f t="shared" si="7"/>
        <v xml:space="preserve">   </v>
      </c>
      <c r="I62" s="30" t="str">
        <f t="shared" si="8"/>
        <v xml:space="preserve">   </v>
      </c>
      <c r="J62" s="1125"/>
      <c r="K62" s="1126"/>
      <c r="L62" s="1130">
        <v>2000000</v>
      </c>
      <c r="M62" s="1126"/>
      <c r="N62" s="1130">
        <v>2000000</v>
      </c>
      <c r="O62" s="1126"/>
      <c r="P62" s="1130">
        <v>2000000</v>
      </c>
      <c r="Q62" s="1126"/>
      <c r="R62" s="1130">
        <v>2000000</v>
      </c>
      <c r="S62" s="1126"/>
      <c r="T62" s="1145"/>
      <c r="U62" s="1126"/>
      <c r="V62" s="1130"/>
      <c r="W62" s="1126"/>
      <c r="X62" s="1130"/>
      <c r="Y62" s="1126"/>
      <c r="Z62" s="1130"/>
      <c r="AA62" s="1126"/>
      <c r="AB62" s="1156"/>
      <c r="AC62" s="1126"/>
      <c r="AD62" s="1157"/>
      <c r="AE62" s="1158"/>
      <c r="AF62" s="1157"/>
      <c r="AG62" s="1158"/>
      <c r="AH62" s="1168" t="str">
        <f t="shared" si="2"/>
        <v>PI</v>
      </c>
      <c r="AI62" s="747">
        <f t="shared" si="12"/>
        <v>8000000</v>
      </c>
      <c r="AJ62" s="747">
        <f>((COUNT((L62,N62,P62,R62,T62,V62,X62,Z62,AD62,AF62)))*2000000)+(J62+AB62)</f>
        <v>8000000</v>
      </c>
      <c r="AK62" s="747">
        <f t="shared" si="13"/>
        <v>0</v>
      </c>
      <c r="AL62" s="1169"/>
      <c r="AM62" s="1170"/>
      <c r="AN62" s="1171"/>
      <c r="AO62" s="1170"/>
      <c r="AP62" s="1171"/>
      <c r="AQ62" s="1128"/>
      <c r="AR62" s="1173"/>
      <c r="AT62" s="1173"/>
      <c r="AV62" s="1173"/>
      <c r="AX62" s="1173"/>
      <c r="AY62" s="1176"/>
      <c r="AZ62" s="1173"/>
    </row>
    <row r="63" spans="1:52" s="2" customFormat="1" x14ac:dyDescent="0.25">
      <c r="A63" s="19">
        <v>57</v>
      </c>
      <c r="B63" s="25">
        <v>5</v>
      </c>
      <c r="C63" s="38">
        <v>84089015</v>
      </c>
      <c r="D63" s="37" t="s">
        <v>95</v>
      </c>
      <c r="E63" s="28" t="s">
        <v>32</v>
      </c>
      <c r="F63" s="25">
        <v>2008</v>
      </c>
      <c r="G63" s="29"/>
      <c r="H63" s="30" t="str">
        <f t="shared" si="7"/>
        <v xml:space="preserve">   </v>
      </c>
      <c r="I63" s="30" t="str">
        <f t="shared" si="8"/>
        <v xml:space="preserve">   </v>
      </c>
      <c r="J63" s="1125"/>
      <c r="K63" s="1126"/>
      <c r="L63" s="1130">
        <v>2000000</v>
      </c>
      <c r="M63" s="1126"/>
      <c r="N63" s="1130">
        <v>2000000</v>
      </c>
      <c r="O63" s="1126"/>
      <c r="P63" s="1130">
        <v>2000000</v>
      </c>
      <c r="Q63" s="1126"/>
      <c r="R63" s="1130"/>
      <c r="S63" s="1146">
        <v>40397</v>
      </c>
      <c r="T63" s="1145"/>
      <c r="U63" s="1126"/>
      <c r="V63" s="1130"/>
      <c r="W63" s="1126"/>
      <c r="X63" s="1130"/>
      <c r="Y63" s="1126"/>
      <c r="Z63" s="1130"/>
      <c r="AA63" s="1126"/>
      <c r="AB63" s="1156"/>
      <c r="AC63" s="1126"/>
      <c r="AD63" s="1157"/>
      <c r="AE63" s="1158"/>
      <c r="AF63" s="1157"/>
      <c r="AG63" s="1158"/>
      <c r="AH63" s="1168" t="str">
        <f t="shared" si="2"/>
        <v>PI</v>
      </c>
      <c r="AI63" s="747">
        <f t="shared" si="12"/>
        <v>6000000</v>
      </c>
      <c r="AJ63" s="747">
        <f>((COUNT((L63,N63,P63,R63,T63,V63,X63,Z63,AD63,AF63)))*2000000)+(J63+AB63)</f>
        <v>6000000</v>
      </c>
      <c r="AK63" s="747">
        <f t="shared" si="13"/>
        <v>0</v>
      </c>
      <c r="AL63" s="1169"/>
      <c r="AM63" s="1170"/>
      <c r="AN63" s="1171"/>
      <c r="AO63" s="1170"/>
      <c r="AP63" s="1171"/>
      <c r="AQ63" s="1128"/>
      <c r="AR63" s="1173"/>
      <c r="AT63" s="1173"/>
      <c r="AV63" s="1173"/>
      <c r="AX63" s="1173"/>
      <c r="AY63" s="1176"/>
      <c r="AZ63" s="1173"/>
    </row>
    <row r="64" spans="1:52" s="2" customFormat="1" x14ac:dyDescent="0.25">
      <c r="A64" s="19">
        <v>58</v>
      </c>
      <c r="B64" s="25">
        <v>6</v>
      </c>
      <c r="C64" s="38">
        <v>84089018</v>
      </c>
      <c r="D64" s="37" t="s">
        <v>96</v>
      </c>
      <c r="E64" s="28" t="s">
        <v>32</v>
      </c>
      <c r="F64" s="25">
        <v>2008</v>
      </c>
      <c r="G64" s="29"/>
      <c r="H64" s="30" t="str">
        <f t="shared" si="7"/>
        <v xml:space="preserve">   </v>
      </c>
      <c r="I64" s="30" t="str">
        <f t="shared" si="8"/>
        <v xml:space="preserve">   </v>
      </c>
      <c r="J64" s="1125"/>
      <c r="K64" s="1126"/>
      <c r="L64" s="1130">
        <v>2000000</v>
      </c>
      <c r="M64" s="1126"/>
      <c r="N64" s="1130">
        <v>2000000</v>
      </c>
      <c r="O64" s="1126"/>
      <c r="P64" s="1130">
        <v>2000000</v>
      </c>
      <c r="Q64" s="1126"/>
      <c r="R64" s="1130">
        <v>2000000</v>
      </c>
      <c r="S64" s="1126">
        <v>40403</v>
      </c>
      <c r="T64" s="1145">
        <v>2000000</v>
      </c>
      <c r="U64" s="1126" t="s">
        <v>97</v>
      </c>
      <c r="V64" s="1130">
        <v>600000</v>
      </c>
      <c r="W64" s="1126" t="s">
        <v>97</v>
      </c>
      <c r="X64" s="1130">
        <v>600000</v>
      </c>
      <c r="Y64" s="1126" t="s">
        <v>98</v>
      </c>
      <c r="Z64" s="1130">
        <v>600000</v>
      </c>
      <c r="AA64" s="1126"/>
      <c r="AB64" s="1156"/>
      <c r="AC64" s="1126"/>
      <c r="AD64" s="1157">
        <v>600000</v>
      </c>
      <c r="AE64" s="1158"/>
      <c r="AF64" s="1157">
        <v>600000</v>
      </c>
      <c r="AG64" s="1158"/>
      <c r="AH64" s="1168" t="str">
        <f t="shared" si="2"/>
        <v>PI</v>
      </c>
      <c r="AI64" s="747">
        <f t="shared" si="12"/>
        <v>13000000</v>
      </c>
      <c r="AJ64" s="747">
        <f>(COUNT(L64,N64,P64,R64,T64)*2000000)+(COUNT(V64,X64,Z64,AD64,AF64)*600000)</f>
        <v>13000000</v>
      </c>
      <c r="AK64" s="747">
        <f t="shared" si="13"/>
        <v>0</v>
      </c>
      <c r="AL64" s="1169"/>
      <c r="AM64" s="1170"/>
      <c r="AN64" s="1171"/>
      <c r="AO64" s="1170"/>
      <c r="AP64" s="1171"/>
      <c r="AQ64" s="1128"/>
      <c r="AR64" s="1173"/>
      <c r="AT64" s="1173"/>
      <c r="AV64" s="1173"/>
      <c r="AX64" s="1173"/>
      <c r="AY64" s="1176"/>
      <c r="AZ64" s="1173"/>
    </row>
    <row r="65" spans="1:52" s="2" customFormat="1" x14ac:dyDescent="0.25">
      <c r="A65" s="19">
        <v>59</v>
      </c>
      <c r="B65" s="25">
        <v>7</v>
      </c>
      <c r="C65" s="38">
        <v>84089023</v>
      </c>
      <c r="D65" s="37" t="s">
        <v>99</v>
      </c>
      <c r="E65" s="28" t="s">
        <v>32</v>
      </c>
      <c r="F65" s="25">
        <v>2008</v>
      </c>
      <c r="G65" s="29"/>
      <c r="H65" s="30" t="str">
        <f t="shared" si="7"/>
        <v xml:space="preserve">   </v>
      </c>
      <c r="I65" s="30" t="str">
        <f t="shared" si="8"/>
        <v xml:space="preserve">   </v>
      </c>
      <c r="J65" s="1125"/>
      <c r="K65" s="1126"/>
      <c r="L65" s="1130">
        <v>2000000</v>
      </c>
      <c r="M65" s="1126"/>
      <c r="N65" s="1130">
        <v>2000000</v>
      </c>
      <c r="O65" s="1126"/>
      <c r="P65" s="1130">
        <v>2000000</v>
      </c>
      <c r="Q65" s="1126"/>
      <c r="R65" s="1130">
        <v>2000000</v>
      </c>
      <c r="S65" s="1126"/>
      <c r="T65" s="1145"/>
      <c r="U65" s="1126"/>
      <c r="V65" s="1130"/>
      <c r="W65" s="1126"/>
      <c r="X65" s="1130"/>
      <c r="Y65" s="1126"/>
      <c r="Z65" s="1130"/>
      <c r="AA65" s="1126"/>
      <c r="AB65" s="1156"/>
      <c r="AC65" s="1126"/>
      <c r="AD65" s="1157"/>
      <c r="AE65" s="1158"/>
      <c r="AF65" s="1193"/>
      <c r="AG65" s="1158"/>
      <c r="AH65" s="1168" t="str">
        <f t="shared" si="2"/>
        <v>PI</v>
      </c>
      <c r="AI65" s="747">
        <f t="shared" si="12"/>
        <v>8000000</v>
      </c>
      <c r="AJ65" s="747">
        <f>((COUNT((L65,N65,P65,R65,T65,V65,X65,Z65,AD65,AF65)))*2000000)+(J65+AB65)</f>
        <v>8000000</v>
      </c>
      <c r="AK65" s="747">
        <f t="shared" si="13"/>
        <v>0</v>
      </c>
      <c r="AL65" s="1169"/>
      <c r="AM65" s="1170"/>
      <c r="AN65" s="1171"/>
      <c r="AO65" s="1170"/>
      <c r="AP65" s="1171"/>
      <c r="AQ65" s="1128"/>
      <c r="AR65" s="1173"/>
      <c r="AT65" s="1173"/>
      <c r="AV65" s="1173"/>
      <c r="AX65" s="1173"/>
      <c r="AY65" s="1176"/>
      <c r="AZ65" s="1173"/>
    </row>
    <row r="66" spans="1:52" s="2" customFormat="1" x14ac:dyDescent="0.25">
      <c r="A66" s="19">
        <v>60</v>
      </c>
      <c r="B66" s="25">
        <v>8</v>
      </c>
      <c r="C66" s="38">
        <v>84089028</v>
      </c>
      <c r="D66" s="37" t="s">
        <v>100</v>
      </c>
      <c r="E66" s="28" t="s">
        <v>32</v>
      </c>
      <c r="F66" s="25">
        <v>2008</v>
      </c>
      <c r="G66" s="29"/>
      <c r="H66" s="30" t="str">
        <f t="shared" si="7"/>
        <v xml:space="preserve">   </v>
      </c>
      <c r="I66" s="30" t="str">
        <f t="shared" si="8"/>
        <v xml:space="preserve">   </v>
      </c>
      <c r="J66" s="1125"/>
      <c r="K66" s="1126"/>
      <c r="L66" s="1130">
        <v>2000000</v>
      </c>
      <c r="M66" s="1126"/>
      <c r="N66" s="1130">
        <v>2000000</v>
      </c>
      <c r="O66" s="1126"/>
      <c r="P66" s="1130">
        <v>2500000</v>
      </c>
      <c r="Q66" s="1126"/>
      <c r="R66" s="1130">
        <v>2000000</v>
      </c>
      <c r="S66" s="1126"/>
      <c r="T66" s="1145">
        <v>2000000</v>
      </c>
      <c r="U66" s="1126">
        <v>40711</v>
      </c>
      <c r="V66" s="1130">
        <v>600000</v>
      </c>
      <c r="W66" s="1126"/>
      <c r="X66" s="1130"/>
      <c r="Y66" s="1126"/>
      <c r="Z66" s="1130"/>
      <c r="AA66" s="1126"/>
      <c r="AB66" s="1156"/>
      <c r="AC66" s="1126"/>
      <c r="AD66" s="1157"/>
      <c r="AE66" s="1158"/>
      <c r="AF66" s="1193"/>
      <c r="AG66" s="1158"/>
      <c r="AH66" s="1168" t="str">
        <f t="shared" si="2"/>
        <v>PI</v>
      </c>
      <c r="AI66" s="747">
        <f t="shared" si="12"/>
        <v>11100000</v>
      </c>
      <c r="AJ66" s="747">
        <f>(COUNT(L66,P66,R66,T66,V66,X66,Z66,AD66,AF66)*2500000)+(N66+AB66)</f>
        <v>14500000</v>
      </c>
      <c r="AK66" s="747">
        <f t="shared" si="13"/>
        <v>3400000</v>
      </c>
      <c r="AL66" s="1169"/>
      <c r="AM66" s="1170"/>
      <c r="AN66" s="1171"/>
      <c r="AO66" s="1170"/>
      <c r="AP66" s="1171"/>
      <c r="AQ66" s="1128"/>
      <c r="AR66" s="1173"/>
      <c r="AT66" s="1173"/>
      <c r="AV66" s="1173"/>
      <c r="AX66" s="1173"/>
      <c r="AY66" s="1176"/>
      <c r="AZ66" s="1173"/>
    </row>
    <row r="67" spans="1:52" s="2" customFormat="1" x14ac:dyDescent="0.25">
      <c r="A67" s="19">
        <v>61</v>
      </c>
      <c r="B67" s="20">
        <v>9</v>
      </c>
      <c r="C67" s="40">
        <v>84089043</v>
      </c>
      <c r="D67" s="39" t="s">
        <v>101</v>
      </c>
      <c r="E67" s="23" t="s">
        <v>32</v>
      </c>
      <c r="F67" s="20">
        <v>2008</v>
      </c>
      <c r="G67" s="23" t="s">
        <v>33</v>
      </c>
      <c r="H67" s="24" t="str">
        <f t="shared" si="7"/>
        <v xml:space="preserve">   </v>
      </c>
      <c r="I67" s="24">
        <f t="shared" si="8"/>
        <v>40544</v>
      </c>
      <c r="J67" s="1123"/>
      <c r="K67" s="1124"/>
      <c r="L67" s="1178">
        <v>2000000</v>
      </c>
      <c r="M67" s="1124"/>
      <c r="N67" s="1178">
        <v>2000000</v>
      </c>
      <c r="O67" s="1124"/>
      <c r="P67" s="1178">
        <v>2000000</v>
      </c>
      <c r="Q67" s="1124"/>
      <c r="R67" s="1178">
        <v>2000000</v>
      </c>
      <c r="S67" s="1124">
        <v>40508</v>
      </c>
      <c r="T67" s="1145"/>
      <c r="U67" s="1126"/>
      <c r="V67" s="1130"/>
      <c r="W67" s="1126"/>
      <c r="X67" s="1130"/>
      <c r="Y67" s="1126"/>
      <c r="Z67" s="1130"/>
      <c r="AA67" s="1126"/>
      <c r="AB67" s="1156"/>
      <c r="AC67" s="1126"/>
      <c r="AD67" s="1157"/>
      <c r="AE67" s="1158"/>
      <c r="AF67" s="1193"/>
      <c r="AG67" s="1158"/>
      <c r="AH67" s="1168" t="str">
        <f t="shared" si="2"/>
        <v>PI</v>
      </c>
      <c r="AI67" s="747">
        <f t="shared" si="12"/>
        <v>8000000</v>
      </c>
      <c r="AJ67" s="747">
        <f>((COUNT((L67,N67,P67,R67,T67,V67,X67,Z67,AD67,AF67)))*2000000)+(J67+AB67)</f>
        <v>8000000</v>
      </c>
      <c r="AK67" s="747">
        <f t="shared" si="13"/>
        <v>0</v>
      </c>
      <c r="AL67" s="1169"/>
      <c r="AM67" s="1170"/>
      <c r="AN67" s="1171"/>
      <c r="AO67" s="1170"/>
      <c r="AP67" s="1171"/>
      <c r="AQ67" s="1128"/>
      <c r="AR67" s="1173"/>
      <c r="AT67" s="1173"/>
      <c r="AV67" s="1173"/>
      <c r="AX67" s="1173"/>
      <c r="AY67" s="1176"/>
      <c r="AZ67" s="1173"/>
    </row>
    <row r="68" spans="1:52" s="2" customFormat="1" x14ac:dyDescent="0.25">
      <c r="A68" s="19">
        <v>62</v>
      </c>
      <c r="B68" s="25">
        <v>10</v>
      </c>
      <c r="C68" s="38">
        <v>84089046</v>
      </c>
      <c r="D68" s="37" t="s">
        <v>102</v>
      </c>
      <c r="E68" s="28" t="s">
        <v>32</v>
      </c>
      <c r="F68" s="25">
        <v>2008</v>
      </c>
      <c r="G68" s="29"/>
      <c r="H68" s="30" t="str">
        <f t="shared" si="7"/>
        <v xml:space="preserve">   </v>
      </c>
      <c r="I68" s="30" t="str">
        <f t="shared" si="8"/>
        <v xml:space="preserve">   </v>
      </c>
      <c r="J68" s="1125"/>
      <c r="K68" s="1126"/>
      <c r="L68" s="1130">
        <v>2000000</v>
      </c>
      <c r="M68" s="1126"/>
      <c r="N68" s="1130">
        <v>2000000</v>
      </c>
      <c r="O68" s="1126"/>
      <c r="P68" s="1130">
        <v>2000000</v>
      </c>
      <c r="Q68" s="1126"/>
      <c r="R68" s="1130">
        <v>2000000</v>
      </c>
      <c r="S68" s="1126"/>
      <c r="T68" s="1145"/>
      <c r="U68" s="1126"/>
      <c r="V68" s="1130"/>
      <c r="W68" s="1126"/>
      <c r="X68" s="1130"/>
      <c r="Y68" s="1126"/>
      <c r="Z68" s="1130"/>
      <c r="AA68" s="1126"/>
      <c r="AB68" s="1156"/>
      <c r="AC68" s="1126"/>
      <c r="AD68" s="1157"/>
      <c r="AE68" s="1158"/>
      <c r="AF68" s="1193"/>
      <c r="AG68" s="1158"/>
      <c r="AH68" s="1168" t="str">
        <f t="shared" si="2"/>
        <v>PI</v>
      </c>
      <c r="AI68" s="747">
        <f t="shared" si="12"/>
        <v>8000000</v>
      </c>
      <c r="AJ68" s="747">
        <f>((COUNT((L68,N68,P68,R68,T68,V68,X68,Z68,AD68,AF68)))*2000000)+(J68+AB68)</f>
        <v>8000000</v>
      </c>
      <c r="AK68" s="747">
        <f t="shared" si="13"/>
        <v>0</v>
      </c>
      <c r="AL68" s="1169"/>
      <c r="AM68" s="1170"/>
      <c r="AN68" s="1171"/>
      <c r="AO68" s="1170"/>
      <c r="AP68" s="1171"/>
      <c r="AQ68" s="1128"/>
      <c r="AR68" s="1173"/>
      <c r="AT68" s="1173"/>
      <c r="AV68" s="1173"/>
      <c r="AX68" s="1173"/>
      <c r="AY68" s="1176"/>
      <c r="AZ68" s="1173"/>
    </row>
    <row r="69" spans="1:52" s="2" customFormat="1" x14ac:dyDescent="0.25">
      <c r="A69" s="19">
        <v>63</v>
      </c>
      <c r="B69" s="25">
        <v>11</v>
      </c>
      <c r="C69" s="38">
        <v>84089048</v>
      </c>
      <c r="D69" s="37" t="s">
        <v>103</v>
      </c>
      <c r="E69" s="28" t="s">
        <v>32</v>
      </c>
      <c r="F69" s="25">
        <v>2008</v>
      </c>
      <c r="G69" s="29"/>
      <c r="H69" s="30" t="str">
        <f t="shared" ref="H69:H100" si="14">IFERROR(VLOOKUP(C69,Tlus,3,FALSE),"   ")</f>
        <v xml:space="preserve">   </v>
      </c>
      <c r="I69" s="30" t="str">
        <f t="shared" ref="I69:I100" si="15">IFERROR(VLOOKUP(C69,Wis,4,FALSE),"   ")</f>
        <v xml:space="preserve">   </v>
      </c>
      <c r="J69" s="1125"/>
      <c r="K69" s="1126"/>
      <c r="L69" s="1130">
        <v>2000000</v>
      </c>
      <c r="M69" s="1126"/>
      <c r="N69" s="1130">
        <v>2000000</v>
      </c>
      <c r="O69" s="1126"/>
      <c r="P69" s="1130">
        <v>2000000</v>
      </c>
      <c r="Q69" s="1126"/>
      <c r="R69" s="1130">
        <v>2000000</v>
      </c>
      <c r="S69" s="1146">
        <v>40397</v>
      </c>
      <c r="T69" s="1145"/>
      <c r="U69" s="1126"/>
      <c r="V69" s="1130"/>
      <c r="W69" s="1126"/>
      <c r="X69" s="1130"/>
      <c r="Y69" s="1126"/>
      <c r="Z69" s="1130"/>
      <c r="AA69" s="1126"/>
      <c r="AB69" s="1156"/>
      <c r="AC69" s="1126"/>
      <c r="AD69" s="1157"/>
      <c r="AE69" s="1158"/>
      <c r="AF69" s="1193"/>
      <c r="AG69" s="1158"/>
      <c r="AH69" s="1168" t="str">
        <f t="shared" ref="AH69:AH132" si="16">E69</f>
        <v>PI</v>
      </c>
      <c r="AI69" s="747">
        <f t="shared" si="12"/>
        <v>8000000</v>
      </c>
      <c r="AJ69" s="747">
        <f>((COUNT((L69,N69,P69,R69,T69,V69,X69,Z69,AD69,AF69)))*2000000)+(J69+AB69)</f>
        <v>8000000</v>
      </c>
      <c r="AK69" s="747">
        <f t="shared" si="13"/>
        <v>0</v>
      </c>
      <c r="AL69" s="1169"/>
      <c r="AM69" s="1170"/>
      <c r="AN69" s="1171"/>
      <c r="AO69" s="1170"/>
      <c r="AP69" s="1171"/>
      <c r="AQ69" s="1128"/>
      <c r="AR69" s="1173"/>
      <c r="AT69" s="1173"/>
      <c r="AV69" s="1173"/>
      <c r="AX69" s="1173"/>
      <c r="AY69" s="1176"/>
      <c r="AZ69" s="1173"/>
    </row>
    <row r="70" spans="1:52" s="2" customFormat="1" x14ac:dyDescent="0.25">
      <c r="A70" s="19">
        <v>64</v>
      </c>
      <c r="B70" s="25">
        <v>12</v>
      </c>
      <c r="C70" s="38">
        <v>84089056</v>
      </c>
      <c r="D70" s="37" t="s">
        <v>104</v>
      </c>
      <c r="E70" s="28" t="s">
        <v>32</v>
      </c>
      <c r="F70" s="25">
        <v>2008</v>
      </c>
      <c r="G70" s="29"/>
      <c r="H70" s="30" t="str">
        <f t="shared" si="14"/>
        <v xml:space="preserve">   </v>
      </c>
      <c r="I70" s="30" t="str">
        <f t="shared" si="15"/>
        <v xml:space="preserve">   </v>
      </c>
      <c r="J70" s="1125"/>
      <c r="K70" s="1126"/>
      <c r="L70" s="1130">
        <v>2000000</v>
      </c>
      <c r="M70" s="1126"/>
      <c r="N70" s="1130">
        <v>2000000</v>
      </c>
      <c r="O70" s="1126"/>
      <c r="P70" s="1130">
        <v>2000000</v>
      </c>
      <c r="Q70" s="1126"/>
      <c r="R70" s="1130">
        <v>2000000</v>
      </c>
      <c r="S70" s="1146">
        <v>40397</v>
      </c>
      <c r="T70" s="1145"/>
      <c r="U70" s="1126"/>
      <c r="V70" s="1130"/>
      <c r="W70" s="1126"/>
      <c r="X70" s="1130"/>
      <c r="Y70" s="1126"/>
      <c r="Z70" s="1130"/>
      <c r="AA70" s="1126"/>
      <c r="AB70" s="1156"/>
      <c r="AC70" s="1126"/>
      <c r="AD70" s="1157"/>
      <c r="AE70" s="1158"/>
      <c r="AF70" s="1193"/>
      <c r="AG70" s="1158"/>
      <c r="AH70" s="1168" t="str">
        <f t="shared" si="16"/>
        <v>PI</v>
      </c>
      <c r="AI70" s="747">
        <f t="shared" si="12"/>
        <v>8000000</v>
      </c>
      <c r="AJ70" s="747">
        <f>((COUNT((L70,N70,P70,R70,T70,V70,X70,Z70,AD70,AF70)))*2000000)+(J70+AB70)</f>
        <v>8000000</v>
      </c>
      <c r="AK70" s="747">
        <f t="shared" si="13"/>
        <v>0</v>
      </c>
      <c r="AL70" s="1169"/>
      <c r="AM70" s="1170"/>
      <c r="AN70" s="1171"/>
      <c r="AO70" s="1170"/>
      <c r="AP70" s="1171"/>
      <c r="AQ70" s="1128"/>
      <c r="AR70" s="1173"/>
      <c r="AT70" s="1173"/>
      <c r="AV70" s="1173"/>
      <c r="AX70" s="1173"/>
      <c r="AY70" s="1176"/>
      <c r="AZ70" s="1173"/>
    </row>
    <row r="71" spans="1:52" s="2" customFormat="1" x14ac:dyDescent="0.25">
      <c r="A71" s="19">
        <v>65</v>
      </c>
      <c r="B71" s="25">
        <v>13</v>
      </c>
      <c r="C71" s="38">
        <v>84089058</v>
      </c>
      <c r="D71" s="37" t="s">
        <v>105</v>
      </c>
      <c r="E71" s="28" t="s">
        <v>32</v>
      </c>
      <c r="F71" s="25">
        <v>2008</v>
      </c>
      <c r="G71" s="29"/>
      <c r="H71" s="30" t="str">
        <f t="shared" si="14"/>
        <v xml:space="preserve">   </v>
      </c>
      <c r="I71" s="30" t="str">
        <f t="shared" si="15"/>
        <v xml:space="preserve">   </v>
      </c>
      <c r="J71" s="1125"/>
      <c r="K71" s="1126"/>
      <c r="L71" s="1130">
        <v>2000000</v>
      </c>
      <c r="M71" s="1126"/>
      <c r="N71" s="1130"/>
      <c r="O71" s="1126"/>
      <c r="P71" s="1130"/>
      <c r="Q71" s="1126"/>
      <c r="R71" s="1130"/>
      <c r="S71" s="1126"/>
      <c r="T71" s="1145"/>
      <c r="U71" s="1126"/>
      <c r="V71" s="1130"/>
      <c r="W71" s="1126"/>
      <c r="X71" s="1130"/>
      <c r="Y71" s="1126"/>
      <c r="Z71" s="1130"/>
      <c r="AA71" s="1126"/>
      <c r="AB71" s="1156"/>
      <c r="AC71" s="1126"/>
      <c r="AD71" s="1157"/>
      <c r="AE71" s="1158"/>
      <c r="AF71" s="1193"/>
      <c r="AG71" s="1158"/>
      <c r="AH71" s="1168" t="str">
        <f t="shared" si="16"/>
        <v>PI</v>
      </c>
      <c r="AI71" s="747">
        <f t="shared" si="12"/>
        <v>2000000</v>
      </c>
      <c r="AJ71" s="747">
        <f>((COUNT((L71,N71,P71,R71,T71,V71,X71,Z71,AD71,AF71)))*2000000)+(J71+AB71)</f>
        <v>2000000</v>
      </c>
      <c r="AK71" s="747">
        <f t="shared" si="13"/>
        <v>0</v>
      </c>
      <c r="AL71" s="1169"/>
      <c r="AM71" s="1170"/>
      <c r="AN71" s="1171"/>
      <c r="AO71" s="1170"/>
      <c r="AP71" s="1171"/>
      <c r="AQ71" s="1128"/>
      <c r="AR71" s="1173"/>
      <c r="AT71" s="1173"/>
      <c r="AV71" s="1173"/>
      <c r="AX71" s="1173"/>
      <c r="AY71" s="1176"/>
      <c r="AZ71" s="1173"/>
    </row>
    <row r="72" spans="1:52" s="2" customFormat="1" x14ac:dyDescent="0.25">
      <c r="A72" s="19">
        <v>66</v>
      </c>
      <c r="B72" s="25">
        <v>14</v>
      </c>
      <c r="C72" s="38">
        <v>84089065</v>
      </c>
      <c r="D72" s="37" t="s">
        <v>106</v>
      </c>
      <c r="E72" s="28" t="s">
        <v>32</v>
      </c>
      <c r="F72" s="25">
        <v>2008</v>
      </c>
      <c r="G72" s="29"/>
      <c r="H72" s="30" t="str">
        <f t="shared" si="14"/>
        <v xml:space="preserve">   </v>
      </c>
      <c r="I72" s="30" t="str">
        <f t="shared" si="15"/>
        <v xml:space="preserve">   </v>
      </c>
      <c r="J72" s="1125"/>
      <c r="K72" s="1126"/>
      <c r="L72" s="1130">
        <v>2000000</v>
      </c>
      <c r="M72" s="1126"/>
      <c r="N72" s="1130">
        <v>2000000</v>
      </c>
      <c r="O72" s="1126"/>
      <c r="P72" s="1130">
        <v>2000000</v>
      </c>
      <c r="Q72" s="1126"/>
      <c r="R72" s="1130">
        <v>2000000</v>
      </c>
      <c r="S72" s="1126"/>
      <c r="T72" s="1145">
        <v>2000000</v>
      </c>
      <c r="U72" s="1126">
        <v>40739</v>
      </c>
      <c r="V72" s="1130">
        <v>600000</v>
      </c>
      <c r="W72" s="1126">
        <v>41006</v>
      </c>
      <c r="X72" s="1130">
        <v>600000</v>
      </c>
      <c r="Y72" s="1126">
        <v>40739</v>
      </c>
      <c r="Z72" s="1130">
        <v>600000</v>
      </c>
      <c r="AA72" s="1126"/>
      <c r="AB72" s="1156"/>
      <c r="AC72" s="1126"/>
      <c r="AD72" s="1157">
        <v>600000</v>
      </c>
      <c r="AE72" s="1158"/>
      <c r="AF72" s="1193"/>
      <c r="AG72" s="1158"/>
      <c r="AH72" s="1168" t="str">
        <f t="shared" si="16"/>
        <v>PI</v>
      </c>
      <c r="AI72" s="747">
        <f t="shared" si="12"/>
        <v>12400000</v>
      </c>
      <c r="AJ72" s="747">
        <f>(COUNT(L72,N72,P72,R72,T72)*2000000)+(COUNT(V72,X72,Z72,AD72,AF72)*600000)</f>
        <v>12400000</v>
      </c>
      <c r="AK72" s="747">
        <f t="shared" si="13"/>
        <v>0</v>
      </c>
      <c r="AL72" s="1169" t="s">
        <v>53</v>
      </c>
      <c r="AM72" s="1170"/>
      <c r="AN72" s="1171"/>
      <c r="AO72" s="1170"/>
      <c r="AP72" s="1171"/>
      <c r="AQ72" s="1128"/>
      <c r="AR72" s="1173"/>
      <c r="AT72" s="1173"/>
      <c r="AV72" s="1173"/>
      <c r="AX72" s="1173"/>
      <c r="AY72" s="1176"/>
      <c r="AZ72" s="1173"/>
    </row>
    <row r="73" spans="1:52" s="2" customFormat="1" x14ac:dyDescent="0.25">
      <c r="A73" s="19">
        <v>67</v>
      </c>
      <c r="B73" s="25">
        <v>15</v>
      </c>
      <c r="C73" s="38">
        <v>84089066</v>
      </c>
      <c r="D73" s="37" t="s">
        <v>107</v>
      </c>
      <c r="E73" s="28" t="s">
        <v>32</v>
      </c>
      <c r="F73" s="25">
        <v>2008</v>
      </c>
      <c r="G73" s="29"/>
      <c r="H73" s="30" t="str">
        <f t="shared" si="14"/>
        <v xml:space="preserve">   </v>
      </c>
      <c r="I73" s="30" t="str">
        <f t="shared" si="15"/>
        <v xml:space="preserve">   </v>
      </c>
      <c r="J73" s="1125"/>
      <c r="K73" s="1126"/>
      <c r="L73" s="1130">
        <v>2000000</v>
      </c>
      <c r="M73" s="1126"/>
      <c r="N73" s="1130"/>
      <c r="O73" s="1126"/>
      <c r="P73" s="1130"/>
      <c r="Q73" s="1126"/>
      <c r="R73" s="1130"/>
      <c r="S73" s="1126"/>
      <c r="T73" s="1136"/>
      <c r="U73" s="1126"/>
      <c r="V73" s="1130"/>
      <c r="W73" s="1126"/>
      <c r="X73" s="1125"/>
      <c r="Y73" s="1126"/>
      <c r="Z73" s="1125"/>
      <c r="AA73" s="1126"/>
      <c r="AB73" s="1156"/>
      <c r="AC73" s="1126"/>
      <c r="AD73" s="1193"/>
      <c r="AE73" s="1158"/>
      <c r="AF73" s="1193"/>
      <c r="AG73" s="1158"/>
      <c r="AH73" s="1168" t="str">
        <f t="shared" si="16"/>
        <v>PI</v>
      </c>
      <c r="AI73" s="747">
        <f t="shared" si="12"/>
        <v>2000000</v>
      </c>
      <c r="AJ73" s="747">
        <f>((COUNT((L73,N73,P73,R73,T73,V73,X73,Z73,AD73,AF73)))*2000000)+(J73+AB73)</f>
        <v>2000000</v>
      </c>
      <c r="AK73" s="747">
        <f t="shared" si="13"/>
        <v>0</v>
      </c>
      <c r="AL73" s="1169"/>
      <c r="AM73" s="1170"/>
      <c r="AN73" s="1171"/>
      <c r="AO73" s="1170"/>
      <c r="AP73" s="1171"/>
      <c r="AQ73" s="1128"/>
      <c r="AR73" s="1173"/>
      <c r="AT73" s="1173"/>
      <c r="AV73" s="1173"/>
      <c r="AX73" s="1173"/>
      <c r="AY73" s="1176"/>
      <c r="AZ73" s="1173"/>
    </row>
    <row r="74" spans="1:52" s="2" customFormat="1" x14ac:dyDescent="0.25">
      <c r="A74" s="19">
        <v>68</v>
      </c>
      <c r="B74" s="20">
        <v>16</v>
      </c>
      <c r="C74" s="40">
        <v>84089019</v>
      </c>
      <c r="D74" s="39" t="s">
        <v>108</v>
      </c>
      <c r="E74" s="23" t="s">
        <v>32</v>
      </c>
      <c r="F74" s="20">
        <v>2008</v>
      </c>
      <c r="G74" s="23" t="s">
        <v>33</v>
      </c>
      <c r="H74" s="24" t="str">
        <f t="shared" si="14"/>
        <v xml:space="preserve">   </v>
      </c>
      <c r="I74" s="24">
        <f t="shared" si="15"/>
        <v>40544</v>
      </c>
      <c r="J74" s="1123"/>
      <c r="K74" s="1124"/>
      <c r="L74" s="1178">
        <v>2000000</v>
      </c>
      <c r="M74" s="1124"/>
      <c r="N74" s="1178">
        <v>2000000</v>
      </c>
      <c r="O74" s="1124"/>
      <c r="P74" s="1178">
        <v>2000000</v>
      </c>
      <c r="Q74" s="1124"/>
      <c r="R74" s="1178"/>
      <c r="S74" s="1124">
        <v>40416</v>
      </c>
      <c r="T74" s="1132"/>
      <c r="U74" s="1124"/>
      <c r="V74" s="1178">
        <v>600000</v>
      </c>
      <c r="W74" s="1126"/>
      <c r="X74" s="1125"/>
      <c r="Y74" s="1126"/>
      <c r="Z74" s="1125"/>
      <c r="AA74" s="1126"/>
      <c r="AB74" s="1156"/>
      <c r="AC74" s="1126"/>
      <c r="AD74" s="1193"/>
      <c r="AE74" s="1158"/>
      <c r="AF74" s="1193"/>
      <c r="AG74" s="1158"/>
      <c r="AH74" s="1168" t="str">
        <f t="shared" si="16"/>
        <v>PI</v>
      </c>
      <c r="AI74" s="747">
        <f t="shared" si="12"/>
        <v>6600000</v>
      </c>
      <c r="AJ74" s="747">
        <f>(COUNT(L74,N74,P74,R74,T74)*2000000)+(COUNT(V74,X74,Z74,AD74,AF74)*600000)</f>
        <v>6600000</v>
      </c>
      <c r="AK74" s="747">
        <f t="shared" si="13"/>
        <v>0</v>
      </c>
      <c r="AL74" s="1169"/>
      <c r="AM74" s="1170"/>
      <c r="AN74" s="1171"/>
      <c r="AO74" s="1170"/>
      <c r="AP74" s="1171"/>
      <c r="AQ74" s="1128"/>
      <c r="AR74" s="1173"/>
      <c r="AT74" s="1173"/>
      <c r="AV74" s="1173"/>
      <c r="AX74" s="1173"/>
      <c r="AY74" s="1176"/>
      <c r="AZ74" s="1173"/>
    </row>
    <row r="75" spans="1:52" s="2" customFormat="1" x14ac:dyDescent="0.25">
      <c r="A75" s="32"/>
      <c r="B75" s="32"/>
      <c r="C75" s="33"/>
      <c r="E75" s="34"/>
      <c r="F75" s="35" t="s">
        <v>61</v>
      </c>
      <c r="G75" s="1120"/>
      <c r="H75" s="36" t="str">
        <f t="shared" si="14"/>
        <v xml:space="preserve">   </v>
      </c>
      <c r="I75" s="36" t="str">
        <f t="shared" si="15"/>
        <v xml:space="preserve">   </v>
      </c>
      <c r="J75" s="747"/>
      <c r="K75" s="1127"/>
      <c r="L75" s="747"/>
      <c r="M75" s="1127"/>
      <c r="N75" s="1128"/>
      <c r="O75" s="1127"/>
      <c r="P75" s="1129"/>
      <c r="Q75" s="1127"/>
      <c r="R75" s="1128"/>
      <c r="S75" s="1138"/>
      <c r="T75" s="1128"/>
      <c r="U75" s="1127"/>
      <c r="V75" s="1128"/>
      <c r="W75" s="1127"/>
      <c r="X75" s="1128"/>
      <c r="Y75" s="1127"/>
      <c r="Z75" s="1128"/>
      <c r="AA75" s="1127"/>
      <c r="AB75" s="1154"/>
      <c r="AC75" s="1127"/>
      <c r="AE75" s="1155"/>
      <c r="AG75" s="1155"/>
      <c r="AH75" s="1172">
        <f t="shared" si="16"/>
        <v>0</v>
      </c>
      <c r="AI75" s="747"/>
      <c r="AJ75" s="747"/>
      <c r="AK75" s="747"/>
      <c r="AL75" s="1169"/>
      <c r="AM75" s="1170"/>
      <c r="AN75" s="1171"/>
      <c r="AO75" s="1170"/>
      <c r="AP75" s="1171"/>
      <c r="AQ75" s="1128"/>
      <c r="AR75" s="1173"/>
      <c r="AT75" s="1173"/>
      <c r="AV75" s="1173"/>
      <c r="AX75" s="1173"/>
      <c r="AY75" s="1176"/>
      <c r="AZ75" s="1173"/>
    </row>
    <row r="76" spans="1:52" s="2" customFormat="1" x14ac:dyDescent="0.25">
      <c r="A76" s="32"/>
      <c r="B76" s="41" t="s">
        <v>109</v>
      </c>
      <c r="C76" s="27"/>
      <c r="D76" s="41"/>
      <c r="E76" s="28"/>
      <c r="F76" s="25" t="s">
        <v>61</v>
      </c>
      <c r="G76" s="29"/>
      <c r="H76" s="30" t="str">
        <f t="shared" si="14"/>
        <v xml:space="preserve">   </v>
      </c>
      <c r="I76" s="30" t="str">
        <f t="shared" si="15"/>
        <v xml:space="preserve">   </v>
      </c>
      <c r="J76" s="1134"/>
      <c r="K76" s="1135"/>
      <c r="L76" s="1125"/>
      <c r="M76" s="1126"/>
      <c r="N76" s="1125"/>
      <c r="O76" s="1126"/>
      <c r="P76" s="1125"/>
      <c r="Q76" s="1126"/>
      <c r="R76" s="1125"/>
      <c r="S76" s="1126"/>
      <c r="T76" s="1136"/>
      <c r="U76" s="1126"/>
      <c r="V76" s="1125"/>
      <c r="W76" s="1126"/>
      <c r="X76" s="1125"/>
      <c r="Y76" s="1126"/>
      <c r="Z76" s="1125"/>
      <c r="AA76" s="1126"/>
      <c r="AB76" s="1156"/>
      <c r="AC76" s="1126"/>
      <c r="AD76" s="1193"/>
      <c r="AE76" s="1158"/>
      <c r="AF76" s="1193"/>
      <c r="AG76" s="1158"/>
      <c r="AH76" s="1168">
        <f t="shared" si="16"/>
        <v>0</v>
      </c>
      <c r="AI76" s="747"/>
      <c r="AJ76" s="747"/>
      <c r="AK76" s="747"/>
      <c r="AL76" s="1169"/>
      <c r="AM76" s="1170"/>
      <c r="AN76" s="1171"/>
      <c r="AO76" s="1170"/>
      <c r="AP76" s="1171"/>
      <c r="AQ76" s="1128"/>
      <c r="AR76" s="1173"/>
      <c r="AT76" s="1173"/>
      <c r="AV76" s="1173"/>
      <c r="AX76" s="1173"/>
      <c r="AY76" s="1176"/>
      <c r="AZ76" s="1173"/>
    </row>
    <row r="77" spans="1:52" s="2" customFormat="1" x14ac:dyDescent="0.25">
      <c r="A77" s="19">
        <v>69</v>
      </c>
      <c r="B77" s="42">
        <v>1</v>
      </c>
      <c r="C77" s="44">
        <v>84089070</v>
      </c>
      <c r="D77" s="43" t="s">
        <v>110</v>
      </c>
      <c r="E77" s="45" t="s">
        <v>32</v>
      </c>
      <c r="F77" s="42">
        <v>2009</v>
      </c>
      <c r="G77" s="46"/>
      <c r="H77" s="47" t="str">
        <f t="shared" si="14"/>
        <v xml:space="preserve">   </v>
      </c>
      <c r="I77" s="47" t="str">
        <f t="shared" si="15"/>
        <v xml:space="preserve">   </v>
      </c>
      <c r="J77" s="1179"/>
      <c r="K77" s="1180"/>
      <c r="L77" s="1181">
        <v>2500000</v>
      </c>
      <c r="M77" s="1180"/>
      <c r="N77" s="1181">
        <v>2500000</v>
      </c>
      <c r="O77" s="1180"/>
      <c r="P77" s="1181">
        <v>2500000</v>
      </c>
      <c r="Q77" s="1180"/>
      <c r="R77" s="1181">
        <v>2500000</v>
      </c>
      <c r="S77" s="1180">
        <v>41184</v>
      </c>
      <c r="T77" s="1187">
        <v>2500000</v>
      </c>
      <c r="U77" s="1180">
        <v>40219</v>
      </c>
      <c r="V77" s="1181">
        <v>600000</v>
      </c>
      <c r="W77" s="1180">
        <v>40949</v>
      </c>
      <c r="X77" s="1181">
        <v>600000</v>
      </c>
      <c r="Y77" s="1180">
        <v>40949</v>
      </c>
      <c r="Z77" s="1181">
        <v>600000</v>
      </c>
      <c r="AA77" s="1194"/>
      <c r="AB77" s="1195">
        <v>1000000</v>
      </c>
      <c r="AC77" s="1196">
        <v>40949</v>
      </c>
      <c r="AD77" s="1197">
        <v>600000</v>
      </c>
      <c r="AE77" s="1158"/>
      <c r="AF77" s="1193"/>
      <c r="AG77" s="1208"/>
      <c r="AH77" s="1168" t="str">
        <f t="shared" si="16"/>
        <v>PI</v>
      </c>
      <c r="AI77" s="747">
        <f t="shared" ref="AI77:AI105" si="17">SUM(J77,L77,N77,P77,R77,T77,V77,X77,Z77,AB77,AD77,AF77)</f>
        <v>15900000</v>
      </c>
      <c r="AJ77" s="747">
        <f>(COUNT(L77,N77,P77,R77,T77)*2500000)+(COUNT(V77,X77,Z77,AD77,AF77)*600000)+AB77</f>
        <v>15900000</v>
      </c>
      <c r="AK77" s="747">
        <f t="shared" ref="AK77:AK105" si="18">AJ77-AI77</f>
        <v>0</v>
      </c>
      <c r="AL77" s="1170"/>
      <c r="AM77" s="1170"/>
      <c r="AN77" s="1209"/>
      <c r="AO77" s="1170"/>
      <c r="AP77" s="1209"/>
      <c r="AQ77" s="1128"/>
      <c r="AR77" s="1173"/>
      <c r="AT77" s="1173"/>
      <c r="AV77" s="1173"/>
      <c r="AX77" s="1173"/>
      <c r="AY77" s="1176"/>
      <c r="AZ77" s="1173"/>
    </row>
    <row r="78" spans="1:52" s="2" customFormat="1" x14ac:dyDescent="0.25">
      <c r="A78" s="19">
        <v>70</v>
      </c>
      <c r="B78" s="20">
        <v>2</v>
      </c>
      <c r="C78" s="40">
        <v>84089071</v>
      </c>
      <c r="D78" s="39" t="s">
        <v>111</v>
      </c>
      <c r="E78" s="23" t="s">
        <v>32</v>
      </c>
      <c r="F78" s="20">
        <v>2009</v>
      </c>
      <c r="G78" s="23" t="s">
        <v>33</v>
      </c>
      <c r="H78" s="24" t="str">
        <f t="shared" si="14"/>
        <v xml:space="preserve">   </v>
      </c>
      <c r="I78" s="24">
        <f t="shared" si="15"/>
        <v>40544</v>
      </c>
      <c r="J78" s="1123"/>
      <c r="K78" s="1124"/>
      <c r="L78" s="1178">
        <v>2500000</v>
      </c>
      <c r="M78" s="1124"/>
      <c r="N78" s="1178">
        <v>2500000</v>
      </c>
      <c r="O78" s="1124"/>
      <c r="P78" s="1178">
        <v>2500000</v>
      </c>
      <c r="Q78" s="1124"/>
      <c r="R78" s="1178">
        <v>2500000</v>
      </c>
      <c r="S78" s="1126"/>
      <c r="T78" s="1145"/>
      <c r="U78" s="1126"/>
      <c r="V78" s="1130"/>
      <c r="W78" s="1126"/>
      <c r="X78" s="1130"/>
      <c r="Y78" s="1126"/>
      <c r="Z78" s="1130"/>
      <c r="AA78" s="1194"/>
      <c r="AB78" s="1198">
        <v>1000000</v>
      </c>
      <c r="AC78" s="1126"/>
      <c r="AD78" s="1157"/>
      <c r="AE78" s="1158"/>
      <c r="AF78" s="1193"/>
      <c r="AG78" s="1208"/>
      <c r="AH78" s="1168" t="str">
        <f t="shared" si="16"/>
        <v>PI</v>
      </c>
      <c r="AI78" s="747">
        <f t="shared" si="17"/>
        <v>11000000</v>
      </c>
      <c r="AJ78" s="747">
        <f>((COUNT((L78,N78,P78,R78,T78,V78,X78,Z78,AD78,AF78)))*2500000)+(J78+AB78)</f>
        <v>11000000</v>
      </c>
      <c r="AK78" s="747">
        <f t="shared" si="18"/>
        <v>0</v>
      </c>
      <c r="AL78" s="1170"/>
      <c r="AM78" s="1170"/>
      <c r="AN78" s="1209"/>
      <c r="AO78" s="1170"/>
      <c r="AP78" s="1209"/>
      <c r="AQ78" s="1128"/>
      <c r="AR78" s="1173"/>
      <c r="AT78" s="1173"/>
      <c r="AV78" s="1173"/>
      <c r="AX78" s="1173"/>
      <c r="AY78" s="1176"/>
      <c r="AZ78" s="1173"/>
    </row>
    <row r="79" spans="1:52" s="2" customFormat="1" x14ac:dyDescent="0.25">
      <c r="A79" s="19">
        <v>71</v>
      </c>
      <c r="B79" s="20">
        <v>3</v>
      </c>
      <c r="C79" s="40">
        <v>84089072</v>
      </c>
      <c r="D79" s="39" t="s">
        <v>112</v>
      </c>
      <c r="E79" s="23" t="s">
        <v>32</v>
      </c>
      <c r="F79" s="20">
        <v>2009</v>
      </c>
      <c r="G79" s="23" t="s">
        <v>33</v>
      </c>
      <c r="H79" s="24" t="str">
        <f t="shared" si="14"/>
        <v xml:space="preserve">   </v>
      </c>
      <c r="I79" s="24">
        <f t="shared" si="15"/>
        <v>40544</v>
      </c>
      <c r="J79" s="1123"/>
      <c r="K79" s="1124"/>
      <c r="L79" s="1178">
        <v>2500000</v>
      </c>
      <c r="M79" s="1124"/>
      <c r="N79" s="1178">
        <v>2500000</v>
      </c>
      <c r="O79" s="1124"/>
      <c r="P79" s="1178">
        <v>2500000</v>
      </c>
      <c r="Q79" s="1124"/>
      <c r="R79" s="1178">
        <v>2500000</v>
      </c>
      <c r="S79" s="1124">
        <v>40728</v>
      </c>
      <c r="T79" s="1188">
        <v>2500000</v>
      </c>
      <c r="U79" s="1126"/>
      <c r="V79" s="1130"/>
      <c r="W79" s="1126"/>
      <c r="X79" s="1130"/>
      <c r="Y79" s="1126">
        <v>40637</v>
      </c>
      <c r="Z79" s="1130"/>
      <c r="AA79" s="1194"/>
      <c r="AB79" s="1198">
        <v>1000000</v>
      </c>
      <c r="AC79" s="1126"/>
      <c r="AD79" s="1157"/>
      <c r="AE79" s="1158"/>
      <c r="AF79" s="1193"/>
      <c r="AG79" s="1208"/>
      <c r="AH79" s="1168" t="str">
        <f t="shared" si="16"/>
        <v>PI</v>
      </c>
      <c r="AI79" s="747">
        <f t="shared" si="17"/>
        <v>13500000</v>
      </c>
      <c r="AJ79" s="747">
        <f>((COUNT((L79,N79,P79,R79,T79,V79,X79,Z79,AD79,AF79)))*2500000)+(J79+AB79)</f>
        <v>13500000</v>
      </c>
      <c r="AK79" s="747">
        <f t="shared" si="18"/>
        <v>0</v>
      </c>
      <c r="AL79" s="1170"/>
      <c r="AM79" s="1170"/>
      <c r="AN79" s="1209"/>
      <c r="AO79" s="1170"/>
      <c r="AP79" s="1209"/>
      <c r="AQ79" s="1128"/>
      <c r="AR79" s="1173"/>
      <c r="AT79" s="1173"/>
      <c r="AV79" s="1173"/>
      <c r="AX79" s="1173"/>
      <c r="AY79" s="1176"/>
      <c r="AZ79" s="1173"/>
    </row>
    <row r="80" spans="1:52" s="2" customFormat="1" x14ac:dyDescent="0.25">
      <c r="A80" s="19">
        <v>72</v>
      </c>
      <c r="B80" s="20">
        <v>4</v>
      </c>
      <c r="C80" s="40">
        <v>84089073</v>
      </c>
      <c r="D80" s="39" t="s">
        <v>113</v>
      </c>
      <c r="E80" s="23" t="s">
        <v>32</v>
      </c>
      <c r="F80" s="20">
        <v>2009</v>
      </c>
      <c r="G80" s="23" t="s">
        <v>33</v>
      </c>
      <c r="H80" s="24" t="str">
        <f t="shared" si="14"/>
        <v xml:space="preserve">   </v>
      </c>
      <c r="I80" s="24">
        <f t="shared" si="15"/>
        <v>40544</v>
      </c>
      <c r="J80" s="1123"/>
      <c r="K80" s="1124"/>
      <c r="L80" s="1178">
        <v>2500000</v>
      </c>
      <c r="M80" s="1124"/>
      <c r="N80" s="1178">
        <v>2500000</v>
      </c>
      <c r="O80" s="1124"/>
      <c r="P80" s="1178">
        <v>2500000</v>
      </c>
      <c r="Q80" s="1124">
        <v>40635</v>
      </c>
      <c r="R80" s="1178">
        <v>2500000</v>
      </c>
      <c r="S80" s="1126"/>
      <c r="T80" s="1145"/>
      <c r="U80" s="1126"/>
      <c r="V80" s="1130"/>
      <c r="W80" s="1126"/>
      <c r="X80" s="1130"/>
      <c r="Y80" s="1126">
        <v>40635</v>
      </c>
      <c r="Z80" s="1130"/>
      <c r="AA80" s="1194"/>
      <c r="AB80" s="1198">
        <v>1000000</v>
      </c>
      <c r="AC80" s="1126"/>
      <c r="AD80" s="1157"/>
      <c r="AE80" s="1158"/>
      <c r="AF80" s="1193"/>
      <c r="AG80" s="1208"/>
      <c r="AH80" s="1168" t="str">
        <f t="shared" si="16"/>
        <v>PI</v>
      </c>
      <c r="AI80" s="747">
        <f t="shared" si="17"/>
        <v>11000000</v>
      </c>
      <c r="AJ80" s="747">
        <f>((COUNT((L80,N80,P80,R80,T80,V80,X80,Z80,AD80,AF80)))*2500000)+(J80+AB80)</f>
        <v>11000000</v>
      </c>
      <c r="AK80" s="747">
        <f t="shared" si="18"/>
        <v>0</v>
      </c>
      <c r="AL80" s="1170"/>
      <c r="AM80" s="1170"/>
      <c r="AN80" s="1209"/>
      <c r="AO80" s="1170"/>
      <c r="AP80" s="1209"/>
      <c r="AQ80" s="1128"/>
      <c r="AR80" s="1173"/>
      <c r="AT80" s="1173"/>
      <c r="AV80" s="1173"/>
      <c r="AX80" s="1173"/>
      <c r="AY80" s="1176"/>
      <c r="AZ80" s="1173"/>
    </row>
    <row r="81" spans="1:52" s="2" customFormat="1" x14ac:dyDescent="0.25">
      <c r="A81" s="19">
        <v>73</v>
      </c>
      <c r="B81" s="20">
        <v>5</v>
      </c>
      <c r="C81" s="40">
        <v>84089074</v>
      </c>
      <c r="D81" s="39" t="s">
        <v>114</v>
      </c>
      <c r="E81" s="23" t="s">
        <v>32</v>
      </c>
      <c r="F81" s="20">
        <v>2009</v>
      </c>
      <c r="G81" s="23" t="s">
        <v>33</v>
      </c>
      <c r="H81" s="24" t="str">
        <f t="shared" si="14"/>
        <v xml:space="preserve">   </v>
      </c>
      <c r="I81" s="24">
        <f t="shared" si="15"/>
        <v>40544</v>
      </c>
      <c r="J81" s="1123"/>
      <c r="K81" s="1124"/>
      <c r="L81" s="1178">
        <v>2500000</v>
      </c>
      <c r="M81" s="1124"/>
      <c r="N81" s="1178">
        <v>2500000</v>
      </c>
      <c r="O81" s="1124"/>
      <c r="P81" s="1178">
        <v>2500000</v>
      </c>
      <c r="Q81" s="1124" t="s">
        <v>115</v>
      </c>
      <c r="R81" s="1178">
        <v>2500000</v>
      </c>
      <c r="S81" s="1124">
        <v>40690</v>
      </c>
      <c r="T81" s="1188">
        <v>2500000</v>
      </c>
      <c r="U81" s="1126"/>
      <c r="V81" s="1130"/>
      <c r="W81" s="1126"/>
      <c r="X81" s="1130"/>
      <c r="Y81" s="1126"/>
      <c r="Z81" s="1130"/>
      <c r="AA81" s="1194"/>
      <c r="AB81" s="1198">
        <v>1000000</v>
      </c>
      <c r="AC81" s="1126">
        <v>40690</v>
      </c>
      <c r="AD81" s="1157"/>
      <c r="AE81" s="1158"/>
      <c r="AF81" s="1193"/>
      <c r="AG81" s="1208"/>
      <c r="AH81" s="1168" t="str">
        <f t="shared" si="16"/>
        <v>PI</v>
      </c>
      <c r="AI81" s="747">
        <f t="shared" si="17"/>
        <v>13500000</v>
      </c>
      <c r="AJ81" s="747">
        <f>((COUNT((L81,N81,P81,R81,T81,V81,X81,Z81,AD81,AF81)))*2500000)+(J81+AB81)</f>
        <v>13500000</v>
      </c>
      <c r="AK81" s="747">
        <f t="shared" si="18"/>
        <v>0</v>
      </c>
      <c r="AL81" s="1170"/>
      <c r="AM81" s="1170"/>
      <c r="AN81" s="1209"/>
      <c r="AO81" s="1170"/>
      <c r="AP81" s="1209"/>
      <c r="AQ81" s="1128"/>
      <c r="AR81" s="1173"/>
      <c r="AT81" s="1173"/>
      <c r="AV81" s="1173"/>
      <c r="AX81" s="1173"/>
      <c r="AY81" s="1176"/>
      <c r="AZ81" s="1173"/>
    </row>
    <row r="82" spans="1:52" s="2" customFormat="1" x14ac:dyDescent="0.25">
      <c r="A82" s="19">
        <v>74</v>
      </c>
      <c r="B82" s="25">
        <v>6</v>
      </c>
      <c r="C82" s="38">
        <v>84089075</v>
      </c>
      <c r="D82" s="37" t="s">
        <v>116</v>
      </c>
      <c r="E82" s="28" t="s">
        <v>32</v>
      </c>
      <c r="F82" s="25">
        <v>2009</v>
      </c>
      <c r="G82" s="29"/>
      <c r="H82" s="30" t="str">
        <f t="shared" si="14"/>
        <v xml:space="preserve">   </v>
      </c>
      <c r="I82" s="30" t="str">
        <f t="shared" si="15"/>
        <v xml:space="preserve">   </v>
      </c>
      <c r="J82" s="1125"/>
      <c r="K82" s="1126"/>
      <c r="L82" s="1130">
        <v>2500000</v>
      </c>
      <c r="M82" s="1126"/>
      <c r="N82" s="1130">
        <v>2500000</v>
      </c>
      <c r="O82" s="1126"/>
      <c r="P82" s="1130">
        <v>2500000</v>
      </c>
      <c r="Q82" s="1126"/>
      <c r="R82" s="1130">
        <v>2500000</v>
      </c>
      <c r="S82" s="1126">
        <v>40954</v>
      </c>
      <c r="T82" s="1145">
        <v>2500000</v>
      </c>
      <c r="U82" s="1126" t="s">
        <v>117</v>
      </c>
      <c r="V82" s="1130">
        <v>600000</v>
      </c>
      <c r="W82" s="1126" t="s">
        <v>117</v>
      </c>
      <c r="X82" s="1130">
        <v>600000</v>
      </c>
      <c r="Y82" s="1126"/>
      <c r="Z82" s="1130">
        <v>600000</v>
      </c>
      <c r="AA82" s="1126"/>
      <c r="AB82" s="1198">
        <v>1000000</v>
      </c>
      <c r="AC82" s="1126"/>
      <c r="AD82" s="1157">
        <v>600000</v>
      </c>
      <c r="AE82" s="1158"/>
      <c r="AF82" s="1193"/>
      <c r="AG82" s="1208"/>
      <c r="AH82" s="1168" t="str">
        <f t="shared" si="16"/>
        <v>PI</v>
      </c>
      <c r="AI82" s="747">
        <f t="shared" si="17"/>
        <v>15900000</v>
      </c>
      <c r="AJ82" s="747">
        <f>(COUNT(L82,N82,P82,R82,T82)*2500000)+(COUNT(V82,X82,Z82,AD82,AF82)*600000)+AB82</f>
        <v>15900000</v>
      </c>
      <c r="AK82" s="747">
        <f t="shared" si="18"/>
        <v>0</v>
      </c>
      <c r="AL82" s="1170"/>
      <c r="AM82" s="1170"/>
      <c r="AN82" s="1209"/>
      <c r="AO82" s="1170"/>
      <c r="AP82" s="1209"/>
      <c r="AQ82" s="1128"/>
      <c r="AR82" s="1173"/>
      <c r="AT82" s="1173"/>
      <c r="AV82" s="1173"/>
      <c r="AX82" s="1173"/>
      <c r="AY82" s="1176"/>
      <c r="AZ82" s="1173"/>
    </row>
    <row r="83" spans="1:52" s="2" customFormat="1" x14ac:dyDescent="0.25">
      <c r="A83" s="19">
        <v>75</v>
      </c>
      <c r="B83" s="20">
        <v>7</v>
      </c>
      <c r="C83" s="40">
        <v>84089076</v>
      </c>
      <c r="D83" s="39" t="s">
        <v>118</v>
      </c>
      <c r="E83" s="23" t="s">
        <v>32</v>
      </c>
      <c r="F83" s="20">
        <v>2009</v>
      </c>
      <c r="G83" s="23" t="s">
        <v>33</v>
      </c>
      <c r="H83" s="24" t="str">
        <f t="shared" si="14"/>
        <v xml:space="preserve">   </v>
      </c>
      <c r="I83" s="24">
        <f t="shared" si="15"/>
        <v>40544</v>
      </c>
      <c r="J83" s="1123"/>
      <c r="K83" s="1124"/>
      <c r="L83" s="1178">
        <v>2500000</v>
      </c>
      <c r="M83" s="1124"/>
      <c r="N83" s="1178">
        <v>2500000</v>
      </c>
      <c r="O83" s="1124"/>
      <c r="P83" s="1178">
        <v>2500000</v>
      </c>
      <c r="Q83" s="1124"/>
      <c r="R83" s="1178">
        <v>2500000</v>
      </c>
      <c r="S83" s="1124">
        <v>40673</v>
      </c>
      <c r="T83" s="1188">
        <v>2500000</v>
      </c>
      <c r="U83" s="1126"/>
      <c r="V83" s="1130"/>
      <c r="W83" s="1126"/>
      <c r="X83" s="1130"/>
      <c r="Y83" s="1126"/>
      <c r="Z83" s="1130"/>
      <c r="AA83" s="1194"/>
      <c r="AB83" s="1198">
        <v>1000000</v>
      </c>
      <c r="AC83" s="1126">
        <v>40821</v>
      </c>
      <c r="AD83" s="1157"/>
      <c r="AE83" s="1158"/>
      <c r="AF83" s="1193"/>
      <c r="AG83" s="1208"/>
      <c r="AH83" s="1168" t="str">
        <f t="shared" si="16"/>
        <v>PI</v>
      </c>
      <c r="AI83" s="747">
        <f t="shared" si="17"/>
        <v>13500000</v>
      </c>
      <c r="AJ83" s="747">
        <f>((COUNT((L83,N83,P83,R83,T83,V83,X83,Z83,AD83,AF83)))*2500000)+(J83+AB83)</f>
        <v>13500000</v>
      </c>
      <c r="AK83" s="747">
        <f t="shared" si="18"/>
        <v>0</v>
      </c>
      <c r="AL83" s="1170"/>
      <c r="AM83" s="1170"/>
      <c r="AN83" s="1209"/>
      <c r="AO83" s="1170"/>
      <c r="AP83" s="1209"/>
      <c r="AQ83" s="1128"/>
      <c r="AR83" s="1173"/>
      <c r="AT83" s="1173"/>
      <c r="AV83" s="1173"/>
      <c r="AX83" s="1173"/>
      <c r="AY83" s="1176"/>
      <c r="AZ83" s="1173"/>
    </row>
    <row r="84" spans="1:52" s="2" customFormat="1" x14ac:dyDescent="0.25">
      <c r="A84" s="19">
        <v>76</v>
      </c>
      <c r="B84" s="25">
        <v>8</v>
      </c>
      <c r="C84" s="38">
        <v>84089077</v>
      </c>
      <c r="D84" s="37" t="s">
        <v>119</v>
      </c>
      <c r="E84" s="28" t="s">
        <v>32</v>
      </c>
      <c r="F84" s="25">
        <v>2009</v>
      </c>
      <c r="G84" s="29"/>
      <c r="H84" s="30" t="str">
        <f t="shared" si="14"/>
        <v xml:space="preserve">   </v>
      </c>
      <c r="I84" s="30" t="str">
        <f t="shared" si="15"/>
        <v xml:space="preserve">   </v>
      </c>
      <c r="J84" s="1125"/>
      <c r="K84" s="1126"/>
      <c r="L84" s="1130">
        <v>2500000</v>
      </c>
      <c r="M84" s="1126"/>
      <c r="N84" s="1130">
        <v>2500000</v>
      </c>
      <c r="O84" s="1126"/>
      <c r="P84" s="1130">
        <v>2500000</v>
      </c>
      <c r="Q84" s="1126"/>
      <c r="R84" s="1130">
        <v>2500000</v>
      </c>
      <c r="S84" s="1126"/>
      <c r="T84" s="1145"/>
      <c r="U84" s="1126"/>
      <c r="V84" s="1130"/>
      <c r="W84" s="1126"/>
      <c r="X84" s="1130"/>
      <c r="Y84" s="1126"/>
      <c r="Z84" s="1130"/>
      <c r="AA84" s="1194"/>
      <c r="AB84" s="1198"/>
      <c r="AC84" s="1126"/>
      <c r="AD84" s="1157"/>
      <c r="AE84" s="1158"/>
      <c r="AF84" s="1193"/>
      <c r="AG84" s="1208"/>
      <c r="AH84" s="1168" t="str">
        <f t="shared" si="16"/>
        <v>PI</v>
      </c>
      <c r="AI84" s="747">
        <f t="shared" si="17"/>
        <v>10000000</v>
      </c>
      <c r="AJ84" s="747">
        <f>((COUNT((L84,N84,P84,R84,T84,V84,X84,Z84,AD84,AF84)))*2500000)+(J84+AB84)</f>
        <v>10000000</v>
      </c>
      <c r="AK84" s="747">
        <f t="shared" si="18"/>
        <v>0</v>
      </c>
      <c r="AL84" s="1170"/>
      <c r="AM84" s="1170"/>
      <c r="AN84" s="1209"/>
      <c r="AO84" s="1170"/>
      <c r="AP84" s="1209"/>
      <c r="AQ84" s="1128"/>
      <c r="AR84" s="1173"/>
      <c r="AT84" s="1173"/>
      <c r="AV84" s="1173"/>
      <c r="AX84" s="1173"/>
      <c r="AY84" s="1176"/>
      <c r="AZ84" s="1173"/>
    </row>
    <row r="85" spans="1:52" s="2" customFormat="1" x14ac:dyDescent="0.25">
      <c r="A85" s="19">
        <v>77</v>
      </c>
      <c r="B85" s="20">
        <v>9</v>
      </c>
      <c r="C85" s="40">
        <v>84089078</v>
      </c>
      <c r="D85" s="39" t="s">
        <v>120</v>
      </c>
      <c r="E85" s="23" t="s">
        <v>32</v>
      </c>
      <c r="F85" s="20">
        <v>2009</v>
      </c>
      <c r="G85" s="23" t="s">
        <v>33</v>
      </c>
      <c r="H85" s="24" t="str">
        <f t="shared" si="14"/>
        <v xml:space="preserve">   </v>
      </c>
      <c r="I85" s="24">
        <f t="shared" si="15"/>
        <v>40544</v>
      </c>
      <c r="J85" s="1123"/>
      <c r="K85" s="1124"/>
      <c r="L85" s="1178">
        <v>2500000</v>
      </c>
      <c r="M85" s="1124"/>
      <c r="N85" s="1178">
        <v>2500000</v>
      </c>
      <c r="O85" s="1124"/>
      <c r="P85" s="1178">
        <v>2500000</v>
      </c>
      <c r="Q85" s="1124"/>
      <c r="R85" s="1178">
        <v>2500000</v>
      </c>
      <c r="S85" s="1124">
        <v>40731</v>
      </c>
      <c r="T85" s="1188">
        <v>2500000</v>
      </c>
      <c r="U85" s="1126"/>
      <c r="V85" s="1130"/>
      <c r="W85" s="1126"/>
      <c r="X85" s="1130"/>
      <c r="Y85" s="1126"/>
      <c r="Z85" s="1130"/>
      <c r="AA85" s="1194"/>
      <c r="AB85" s="1198">
        <v>1000000</v>
      </c>
      <c r="AC85" s="1126"/>
      <c r="AD85" s="1157"/>
      <c r="AE85" s="1158"/>
      <c r="AF85" s="1193"/>
      <c r="AG85" s="1208"/>
      <c r="AH85" s="1168" t="str">
        <f t="shared" si="16"/>
        <v>PI</v>
      </c>
      <c r="AI85" s="747">
        <f t="shared" si="17"/>
        <v>13500000</v>
      </c>
      <c r="AJ85" s="747">
        <f>((COUNT((L85,N85,P85,R85,T85,V85,X85,Z85,AD85,AF85)))*2500000)+(J85+AB85)</f>
        <v>13500000</v>
      </c>
      <c r="AK85" s="747">
        <f t="shared" si="18"/>
        <v>0</v>
      </c>
      <c r="AL85" s="1170"/>
      <c r="AM85" s="1170"/>
      <c r="AN85" s="1209"/>
      <c r="AO85" s="1170"/>
      <c r="AP85" s="1209"/>
      <c r="AQ85" s="1128"/>
      <c r="AR85" s="1173"/>
      <c r="AT85" s="1173"/>
      <c r="AV85" s="1173"/>
      <c r="AX85" s="1173"/>
      <c r="AY85" s="1176"/>
      <c r="AZ85" s="1173"/>
    </row>
    <row r="86" spans="1:52" s="2" customFormat="1" x14ac:dyDescent="0.25">
      <c r="A86" s="19">
        <v>78</v>
      </c>
      <c r="B86" s="20">
        <v>10</v>
      </c>
      <c r="C86" s="40">
        <v>84089079</v>
      </c>
      <c r="D86" s="39" t="s">
        <v>121</v>
      </c>
      <c r="E86" s="23" t="s">
        <v>32</v>
      </c>
      <c r="F86" s="20">
        <v>2009</v>
      </c>
      <c r="G86" s="31" t="s">
        <v>33</v>
      </c>
      <c r="H86" s="24" t="str">
        <f t="shared" si="14"/>
        <v xml:space="preserve">   </v>
      </c>
      <c r="I86" s="24">
        <f t="shared" si="15"/>
        <v>41640</v>
      </c>
      <c r="J86" s="1123"/>
      <c r="K86" s="1124"/>
      <c r="L86" s="1178">
        <v>2500000</v>
      </c>
      <c r="M86" s="1124"/>
      <c r="N86" s="1178">
        <v>2500000</v>
      </c>
      <c r="O86" s="1124"/>
      <c r="P86" s="1178">
        <v>2500000</v>
      </c>
      <c r="Q86" s="1124"/>
      <c r="R86" s="1178">
        <v>2500000</v>
      </c>
      <c r="S86" s="1124">
        <v>40738</v>
      </c>
      <c r="T86" s="1188">
        <v>2500000</v>
      </c>
      <c r="U86" s="1124">
        <v>41524</v>
      </c>
      <c r="V86" s="1178">
        <v>600000</v>
      </c>
      <c r="W86" s="1124">
        <v>41524</v>
      </c>
      <c r="X86" s="1178">
        <v>600000</v>
      </c>
      <c r="Y86" s="1124">
        <v>41524</v>
      </c>
      <c r="Z86" s="1178">
        <v>600000</v>
      </c>
      <c r="AA86" s="1194"/>
      <c r="AB86" s="1198">
        <v>1000000</v>
      </c>
      <c r="AC86" s="1126">
        <v>41822</v>
      </c>
      <c r="AD86" s="1199">
        <v>600000</v>
      </c>
      <c r="AE86" s="1158"/>
      <c r="AF86" s="1193"/>
      <c r="AG86" s="1208"/>
      <c r="AH86" s="1168" t="str">
        <f t="shared" si="16"/>
        <v>PI</v>
      </c>
      <c r="AI86" s="747">
        <f t="shared" si="17"/>
        <v>15900000</v>
      </c>
      <c r="AJ86" s="747">
        <f>(COUNT(L86,N86,P86,R86,T86)*2500000)+(COUNT(V86,X86,Z86,AD86,AF86)*600000)+AB86</f>
        <v>15900000</v>
      </c>
      <c r="AK86" s="747">
        <f t="shared" si="18"/>
        <v>0</v>
      </c>
      <c r="AL86" s="1170"/>
      <c r="AM86" s="1170"/>
      <c r="AN86" s="1209"/>
      <c r="AO86" s="1170"/>
      <c r="AP86" s="1209"/>
      <c r="AQ86" s="1128"/>
      <c r="AR86" s="1173"/>
      <c r="AT86" s="1173"/>
      <c r="AV86" s="1173"/>
      <c r="AX86" s="1173"/>
      <c r="AY86" s="1176"/>
      <c r="AZ86" s="1173"/>
    </row>
    <row r="87" spans="1:52" s="2" customFormat="1" x14ac:dyDescent="0.25">
      <c r="A87" s="19">
        <v>79</v>
      </c>
      <c r="B87" s="25">
        <v>11</v>
      </c>
      <c r="C87" s="38">
        <v>84089080</v>
      </c>
      <c r="D87" s="37" t="s">
        <v>122</v>
      </c>
      <c r="E87" s="28" t="s">
        <v>32</v>
      </c>
      <c r="F87" s="25">
        <v>2009</v>
      </c>
      <c r="G87" s="29"/>
      <c r="H87" s="30" t="str">
        <f t="shared" si="14"/>
        <v xml:space="preserve">   </v>
      </c>
      <c r="I87" s="30" t="str">
        <f t="shared" si="15"/>
        <v xml:space="preserve">   </v>
      </c>
      <c r="J87" s="1125"/>
      <c r="K87" s="1126"/>
      <c r="L87" s="1130">
        <v>2500000</v>
      </c>
      <c r="M87" s="1126"/>
      <c r="N87" s="1130">
        <v>2500000</v>
      </c>
      <c r="O87" s="1126"/>
      <c r="P87" s="1130">
        <v>2500000</v>
      </c>
      <c r="Q87" s="1126"/>
      <c r="R87" s="1130">
        <v>2500000</v>
      </c>
      <c r="S87" s="1126"/>
      <c r="T87" s="1145"/>
      <c r="U87" s="1126"/>
      <c r="V87" s="1130"/>
      <c r="W87" s="1126"/>
      <c r="X87" s="1130"/>
      <c r="Y87" s="1126"/>
      <c r="Z87" s="1130"/>
      <c r="AA87" s="1194"/>
      <c r="AB87" s="1198">
        <v>1000000</v>
      </c>
      <c r="AC87" s="1126"/>
      <c r="AD87" s="1157"/>
      <c r="AE87" s="1158"/>
      <c r="AF87" s="1193"/>
      <c r="AG87" s="1208"/>
      <c r="AH87" s="1168" t="str">
        <f t="shared" si="16"/>
        <v>PI</v>
      </c>
      <c r="AI87" s="747">
        <f t="shared" si="17"/>
        <v>11000000</v>
      </c>
      <c r="AJ87" s="747">
        <f>((COUNT((L87,N87,P87,R87,T87,V87,X87,Z87,AD87,AF87)))*2500000)+(J87+AB87)</f>
        <v>11000000</v>
      </c>
      <c r="AK87" s="747">
        <f t="shared" si="18"/>
        <v>0</v>
      </c>
      <c r="AL87" s="1170"/>
      <c r="AM87" s="1170"/>
      <c r="AN87" s="1209"/>
      <c r="AO87" s="1170"/>
      <c r="AP87" s="1209"/>
      <c r="AQ87" s="1128"/>
      <c r="AR87" s="1173"/>
      <c r="AT87" s="1173"/>
      <c r="AV87" s="1173"/>
      <c r="AX87" s="1173"/>
      <c r="AY87" s="1176"/>
      <c r="AZ87" s="1173"/>
    </row>
    <row r="88" spans="1:52" s="2" customFormat="1" x14ac:dyDescent="0.25">
      <c r="A88" s="19">
        <v>80</v>
      </c>
      <c r="B88" s="25">
        <v>12</v>
      </c>
      <c r="C88" s="38">
        <v>84089081</v>
      </c>
      <c r="D88" s="37" t="s">
        <v>123</v>
      </c>
      <c r="E88" s="28" t="s">
        <v>32</v>
      </c>
      <c r="F88" s="25">
        <v>2009</v>
      </c>
      <c r="G88" s="29"/>
      <c r="H88" s="30" t="str">
        <f t="shared" si="14"/>
        <v xml:space="preserve">   </v>
      </c>
      <c r="I88" s="30" t="str">
        <f t="shared" si="15"/>
        <v xml:space="preserve">   </v>
      </c>
      <c r="J88" s="1125"/>
      <c r="K88" s="1126"/>
      <c r="L88" s="1130">
        <v>2500000</v>
      </c>
      <c r="M88" s="1126"/>
      <c r="N88" s="1130">
        <v>2500000</v>
      </c>
      <c r="O88" s="1126"/>
      <c r="P88" s="1130">
        <v>2500000</v>
      </c>
      <c r="Q88" s="1126" t="s">
        <v>124</v>
      </c>
      <c r="R88" s="1130">
        <v>2500000</v>
      </c>
      <c r="S88" s="1126">
        <v>40616</v>
      </c>
      <c r="T88" s="1145">
        <v>2500000</v>
      </c>
      <c r="U88" s="1126" t="s">
        <v>125</v>
      </c>
      <c r="V88" s="1130">
        <v>600000</v>
      </c>
      <c r="W88" s="1126" t="s">
        <v>125</v>
      </c>
      <c r="X88" s="1130">
        <v>600000</v>
      </c>
      <c r="Y88" s="1126"/>
      <c r="Z88" s="1130"/>
      <c r="AA88" s="1194"/>
      <c r="AB88" s="1198"/>
      <c r="AC88" s="1126"/>
      <c r="AD88" s="1157"/>
      <c r="AE88" s="1158"/>
      <c r="AF88" s="1193"/>
      <c r="AG88" s="1208"/>
      <c r="AH88" s="1168" t="str">
        <f t="shared" si="16"/>
        <v>PI</v>
      </c>
      <c r="AI88" s="747">
        <f t="shared" si="17"/>
        <v>13700000</v>
      </c>
      <c r="AJ88" s="747">
        <f>(COUNT(L88,N88,P88,R88,T88)*2500000)+(COUNT(V88,X88,Z88,AD88,AF88)*600000)+AB88</f>
        <v>13700000</v>
      </c>
      <c r="AK88" s="747">
        <f t="shared" si="18"/>
        <v>0</v>
      </c>
      <c r="AL88" s="1170"/>
      <c r="AM88" s="1170"/>
      <c r="AN88" s="1209"/>
      <c r="AO88" s="1170"/>
      <c r="AP88" s="1209"/>
      <c r="AQ88" s="1128"/>
      <c r="AR88" s="1173"/>
      <c r="AT88" s="1173"/>
      <c r="AV88" s="1173"/>
      <c r="AX88" s="1173"/>
      <c r="AY88" s="1176"/>
      <c r="AZ88" s="1173"/>
    </row>
    <row r="89" spans="1:52" s="2" customFormat="1" x14ac:dyDescent="0.25">
      <c r="A89" s="19">
        <v>81</v>
      </c>
      <c r="B89" s="20">
        <v>13</v>
      </c>
      <c r="C89" s="40">
        <v>84089082</v>
      </c>
      <c r="D89" s="39" t="s">
        <v>126</v>
      </c>
      <c r="E89" s="23" t="s">
        <v>32</v>
      </c>
      <c r="F89" s="20">
        <v>2009</v>
      </c>
      <c r="G89" s="31" t="s">
        <v>33</v>
      </c>
      <c r="H89" s="24" t="str">
        <f t="shared" si="14"/>
        <v xml:space="preserve">   </v>
      </c>
      <c r="I89" s="24">
        <f t="shared" si="15"/>
        <v>41275</v>
      </c>
      <c r="J89" s="1123"/>
      <c r="K89" s="1124"/>
      <c r="L89" s="1178">
        <v>2500000</v>
      </c>
      <c r="M89" s="1124"/>
      <c r="N89" s="1178">
        <v>2500000</v>
      </c>
      <c r="O89" s="1124"/>
      <c r="P89" s="1178">
        <v>2500000</v>
      </c>
      <c r="Q89" s="1124">
        <v>40400</v>
      </c>
      <c r="R89" s="1178">
        <v>2500000</v>
      </c>
      <c r="S89" s="1124">
        <v>41043</v>
      </c>
      <c r="T89" s="1188">
        <v>2500000</v>
      </c>
      <c r="U89" s="1124" t="s">
        <v>127</v>
      </c>
      <c r="V89" s="1178">
        <v>600000</v>
      </c>
      <c r="W89" s="1124" t="s">
        <v>127</v>
      </c>
      <c r="X89" s="1178">
        <v>600000</v>
      </c>
      <c r="Y89" s="1124">
        <v>40400</v>
      </c>
      <c r="Z89" s="1178">
        <v>600000</v>
      </c>
      <c r="AA89" s="1194"/>
      <c r="AB89" s="1198">
        <v>1000000</v>
      </c>
      <c r="AC89" s="1126" t="s">
        <v>128</v>
      </c>
      <c r="AD89" s="1157">
        <v>600000</v>
      </c>
      <c r="AE89" s="1158"/>
      <c r="AF89" s="1193"/>
      <c r="AG89" s="1208"/>
      <c r="AH89" s="1168" t="str">
        <f t="shared" si="16"/>
        <v>PI</v>
      </c>
      <c r="AI89" s="747">
        <f t="shared" si="17"/>
        <v>15900000</v>
      </c>
      <c r="AJ89" s="747">
        <f>(COUNT(L89,N89,P89,R89,T89)*2500000)+(COUNT(V89,X89,Z89,AD89,AF89)*600000)+AB89</f>
        <v>15900000</v>
      </c>
      <c r="AK89" s="747">
        <f t="shared" si="18"/>
        <v>0</v>
      </c>
      <c r="AL89" s="1170"/>
      <c r="AM89" s="1170"/>
      <c r="AN89" s="1209"/>
      <c r="AO89" s="1170"/>
      <c r="AP89" s="1209"/>
      <c r="AQ89" s="1128"/>
      <c r="AR89" s="1173"/>
      <c r="AT89" s="1173"/>
      <c r="AV89" s="1173"/>
      <c r="AX89" s="1173"/>
      <c r="AY89" s="1176"/>
      <c r="AZ89" s="1173"/>
    </row>
    <row r="90" spans="1:52" s="2" customFormat="1" x14ac:dyDescent="0.25">
      <c r="A90" s="19">
        <v>82</v>
      </c>
      <c r="B90" s="20">
        <v>14</v>
      </c>
      <c r="C90" s="40">
        <v>84089083</v>
      </c>
      <c r="D90" s="39" t="s">
        <v>129</v>
      </c>
      <c r="E90" s="23" t="s">
        <v>32</v>
      </c>
      <c r="F90" s="20">
        <v>2009</v>
      </c>
      <c r="G90" s="23" t="s">
        <v>33</v>
      </c>
      <c r="H90" s="24" t="str">
        <f t="shared" si="14"/>
        <v xml:space="preserve">   </v>
      </c>
      <c r="I90" s="24">
        <f t="shared" si="15"/>
        <v>40544</v>
      </c>
      <c r="J90" s="1123"/>
      <c r="K90" s="1124"/>
      <c r="L90" s="1178">
        <v>2500000</v>
      </c>
      <c r="M90" s="1124"/>
      <c r="N90" s="1178">
        <v>2500000</v>
      </c>
      <c r="O90" s="1124"/>
      <c r="P90" s="1178">
        <v>2500000</v>
      </c>
      <c r="Q90" s="1124">
        <v>40420</v>
      </c>
      <c r="R90" s="1178">
        <v>2500000</v>
      </c>
      <c r="S90" s="1124">
        <v>40721</v>
      </c>
      <c r="T90" s="1188">
        <v>2500000</v>
      </c>
      <c r="U90" s="1124"/>
      <c r="V90" s="1178"/>
      <c r="W90" s="1124"/>
      <c r="X90" s="1178"/>
      <c r="Y90" s="1124"/>
      <c r="Z90" s="1178"/>
      <c r="AA90" s="1126"/>
      <c r="AB90" s="1198">
        <v>1000000</v>
      </c>
      <c r="AC90" s="1126" t="s">
        <v>130</v>
      </c>
      <c r="AD90" s="1157"/>
      <c r="AE90" s="1158"/>
      <c r="AF90" s="1193"/>
      <c r="AG90" s="1208"/>
      <c r="AH90" s="1168" t="str">
        <f t="shared" si="16"/>
        <v>PI</v>
      </c>
      <c r="AI90" s="747">
        <f t="shared" si="17"/>
        <v>13500000</v>
      </c>
      <c r="AJ90" s="747">
        <f>((COUNT((L90,N90,P90,R90,T90,V90,X90,Z90,AD90,AF90)))*2500000)+(J90+AB90)</f>
        <v>13500000</v>
      </c>
      <c r="AK90" s="747">
        <f t="shared" si="18"/>
        <v>0</v>
      </c>
      <c r="AL90" s="1170"/>
      <c r="AM90" s="1170"/>
      <c r="AN90" s="1209"/>
      <c r="AO90" s="1170"/>
      <c r="AP90" s="1209"/>
      <c r="AQ90" s="1128"/>
      <c r="AR90" s="1173"/>
      <c r="AT90" s="1173"/>
      <c r="AV90" s="1173"/>
      <c r="AX90" s="1173"/>
      <c r="AY90" s="1176"/>
      <c r="AZ90" s="1173"/>
    </row>
    <row r="91" spans="1:52" s="2" customFormat="1" x14ac:dyDescent="0.25">
      <c r="A91" s="19">
        <v>83</v>
      </c>
      <c r="B91" s="20">
        <v>15</v>
      </c>
      <c r="C91" s="40">
        <v>84089084</v>
      </c>
      <c r="D91" s="39" t="s">
        <v>131</v>
      </c>
      <c r="E91" s="23" t="s">
        <v>32</v>
      </c>
      <c r="F91" s="20">
        <v>2009</v>
      </c>
      <c r="G91" s="23" t="s">
        <v>33</v>
      </c>
      <c r="H91" s="24" t="str">
        <f t="shared" si="14"/>
        <v xml:space="preserve">   </v>
      </c>
      <c r="I91" s="24">
        <f t="shared" si="15"/>
        <v>40544</v>
      </c>
      <c r="J91" s="1123"/>
      <c r="K91" s="1124"/>
      <c r="L91" s="1178">
        <v>2500000</v>
      </c>
      <c r="M91" s="1124"/>
      <c r="N91" s="1178">
        <v>2500000</v>
      </c>
      <c r="O91" s="1124"/>
      <c r="P91" s="1178"/>
      <c r="Q91" s="1124">
        <v>40818</v>
      </c>
      <c r="R91" s="1178">
        <v>2500000</v>
      </c>
      <c r="S91" s="1124"/>
      <c r="T91" s="1188"/>
      <c r="U91" s="1124"/>
      <c r="V91" s="1178"/>
      <c r="W91" s="1124"/>
      <c r="X91" s="1178"/>
      <c r="Y91" s="1124">
        <v>40189</v>
      </c>
      <c r="Z91" s="1178"/>
      <c r="AA91" s="1126"/>
      <c r="AB91" s="1198">
        <v>1000000</v>
      </c>
      <c r="AC91" s="1126"/>
      <c r="AD91" s="1157"/>
      <c r="AE91" s="1158"/>
      <c r="AF91" s="1193"/>
      <c r="AG91" s="1208"/>
      <c r="AH91" s="1168" t="str">
        <f t="shared" si="16"/>
        <v>PI</v>
      </c>
      <c r="AI91" s="747">
        <f t="shared" si="17"/>
        <v>8500000</v>
      </c>
      <c r="AJ91" s="747">
        <f>((COUNT((L91,N91,P91,R91,T91,V91,X91,Z91,AD91,AF91)))*2500000)+(J91+AB91)</f>
        <v>8500000</v>
      </c>
      <c r="AK91" s="747">
        <f t="shared" si="18"/>
        <v>0</v>
      </c>
      <c r="AL91" s="1170"/>
      <c r="AM91" s="1170"/>
      <c r="AN91" s="1209"/>
      <c r="AO91" s="1170"/>
      <c r="AP91" s="1209"/>
      <c r="AQ91" s="1128"/>
      <c r="AR91" s="1173"/>
      <c r="AT91" s="1173"/>
      <c r="AV91" s="1173"/>
      <c r="AX91" s="1173"/>
      <c r="AY91" s="1176"/>
      <c r="AZ91" s="1173"/>
    </row>
    <row r="92" spans="1:52" s="2" customFormat="1" x14ac:dyDescent="0.25">
      <c r="A92" s="19">
        <v>84</v>
      </c>
      <c r="B92" s="20">
        <v>16</v>
      </c>
      <c r="C92" s="40">
        <v>84089085</v>
      </c>
      <c r="D92" s="39" t="s">
        <v>132</v>
      </c>
      <c r="E92" s="23" t="s">
        <v>32</v>
      </c>
      <c r="F92" s="20">
        <v>2009</v>
      </c>
      <c r="G92" s="31" t="s">
        <v>33</v>
      </c>
      <c r="H92" s="24" t="str">
        <f t="shared" si="14"/>
        <v xml:space="preserve">   </v>
      </c>
      <c r="I92" s="24">
        <f t="shared" si="15"/>
        <v>41275</v>
      </c>
      <c r="J92" s="1123"/>
      <c r="K92" s="1124"/>
      <c r="L92" s="1178">
        <v>2500000</v>
      </c>
      <c r="M92" s="1124"/>
      <c r="N92" s="1178">
        <v>2500000</v>
      </c>
      <c r="O92" s="1124"/>
      <c r="P92" s="1178">
        <v>2500000</v>
      </c>
      <c r="Q92" s="1124" t="s">
        <v>133</v>
      </c>
      <c r="R92" s="1178">
        <v>2500000</v>
      </c>
      <c r="S92" s="1124">
        <v>40942</v>
      </c>
      <c r="T92" s="1188">
        <v>2500000</v>
      </c>
      <c r="U92" s="1124">
        <v>40970</v>
      </c>
      <c r="V92" s="1178">
        <v>600000</v>
      </c>
      <c r="W92" s="1124" t="s">
        <v>134</v>
      </c>
      <c r="X92" s="1178">
        <v>600000</v>
      </c>
      <c r="Y92" s="1124" t="s">
        <v>134</v>
      </c>
      <c r="Z92" s="1178">
        <v>600000</v>
      </c>
      <c r="AA92" s="1126"/>
      <c r="AB92" s="1198">
        <v>1000000</v>
      </c>
      <c r="AC92" s="1126"/>
      <c r="AD92" s="1157"/>
      <c r="AE92" s="1158"/>
      <c r="AF92" s="1193"/>
      <c r="AG92" s="1208"/>
      <c r="AH92" s="1168" t="str">
        <f t="shared" si="16"/>
        <v>PI</v>
      </c>
      <c r="AI92" s="747">
        <f t="shared" si="17"/>
        <v>15300000</v>
      </c>
      <c r="AJ92" s="747">
        <f>(COUNT(L92,N92,P92,R92,T92)*2500000)+(COUNT(V92,X92,Z92,AD92,AF92)*600000)+AB92</f>
        <v>15300000</v>
      </c>
      <c r="AK92" s="747">
        <f t="shared" si="18"/>
        <v>0</v>
      </c>
      <c r="AL92" s="1170"/>
      <c r="AM92" s="1170"/>
      <c r="AN92" s="1209"/>
      <c r="AO92" s="1170"/>
      <c r="AP92" s="1209"/>
      <c r="AQ92" s="1128"/>
      <c r="AR92" s="1173"/>
      <c r="AT92" s="1173"/>
      <c r="AV92" s="1173"/>
      <c r="AX92" s="1173"/>
      <c r="AY92" s="1176"/>
      <c r="AZ92" s="1173"/>
    </row>
    <row r="93" spans="1:52" s="2" customFormat="1" x14ac:dyDescent="0.25">
      <c r="A93" s="19">
        <v>85</v>
      </c>
      <c r="B93" s="20">
        <v>17</v>
      </c>
      <c r="C93" s="40">
        <v>84089086</v>
      </c>
      <c r="D93" s="39" t="s">
        <v>135</v>
      </c>
      <c r="E93" s="23" t="s">
        <v>32</v>
      </c>
      <c r="F93" s="20">
        <v>2009</v>
      </c>
      <c r="G93" s="23" t="s">
        <v>33</v>
      </c>
      <c r="H93" s="24" t="str">
        <f t="shared" si="14"/>
        <v xml:space="preserve">   </v>
      </c>
      <c r="I93" s="24">
        <f t="shared" si="15"/>
        <v>40544</v>
      </c>
      <c r="J93" s="1123"/>
      <c r="K93" s="1124"/>
      <c r="L93" s="1178">
        <v>2500000</v>
      </c>
      <c r="M93" s="1124"/>
      <c r="N93" s="1178">
        <v>2500000</v>
      </c>
      <c r="O93" s="1124"/>
      <c r="P93" s="1178"/>
      <c r="Q93" s="1124"/>
      <c r="R93" s="1178">
        <v>2500000</v>
      </c>
      <c r="S93" s="1124">
        <v>40718</v>
      </c>
      <c r="T93" s="1188">
        <v>2500000</v>
      </c>
      <c r="U93" s="1124"/>
      <c r="V93" s="1178"/>
      <c r="W93" s="1124"/>
      <c r="X93" s="1178"/>
      <c r="Y93" s="1124">
        <v>40532</v>
      </c>
      <c r="Z93" s="1130"/>
      <c r="AA93" s="1126"/>
      <c r="AB93" s="1198">
        <v>1000000</v>
      </c>
      <c r="AC93" s="1126"/>
      <c r="AD93" s="1157"/>
      <c r="AE93" s="1158"/>
      <c r="AF93" s="1193"/>
      <c r="AG93" s="1208"/>
      <c r="AH93" s="1168" t="str">
        <f t="shared" si="16"/>
        <v>PI</v>
      </c>
      <c r="AI93" s="747">
        <f t="shared" si="17"/>
        <v>11000000</v>
      </c>
      <c r="AJ93" s="747">
        <f t="shared" ref="AJ93:AJ100" si="19">((COUNT((L93,N93,P93,R93,T93,V93,X93,Z93,AD93,AF93)))*2500000)+(J93+AB93)</f>
        <v>11000000</v>
      </c>
      <c r="AK93" s="747">
        <f t="shared" si="18"/>
        <v>0</v>
      </c>
      <c r="AL93" s="1170"/>
      <c r="AM93" s="1170"/>
      <c r="AN93" s="1209"/>
      <c r="AO93" s="1170"/>
      <c r="AP93" s="1209"/>
      <c r="AQ93" s="1128"/>
      <c r="AR93" s="1173"/>
      <c r="AT93" s="1173"/>
      <c r="AV93" s="1173"/>
      <c r="AX93" s="1173"/>
      <c r="AY93" s="1176"/>
      <c r="AZ93" s="1173"/>
    </row>
    <row r="94" spans="1:52" s="2" customFormat="1" x14ac:dyDescent="0.25">
      <c r="A94" s="19">
        <v>86</v>
      </c>
      <c r="B94" s="42">
        <v>18</v>
      </c>
      <c r="C94" s="44">
        <v>84089087</v>
      </c>
      <c r="D94" s="43" t="s">
        <v>136</v>
      </c>
      <c r="E94" s="45" t="s">
        <v>32</v>
      </c>
      <c r="F94" s="42">
        <v>2009</v>
      </c>
      <c r="G94" s="46"/>
      <c r="H94" s="47" t="str">
        <f t="shared" si="14"/>
        <v xml:space="preserve">   </v>
      </c>
      <c r="I94" s="47" t="str">
        <f t="shared" si="15"/>
        <v xml:space="preserve">   </v>
      </c>
      <c r="J94" s="1179"/>
      <c r="K94" s="1180"/>
      <c r="L94" s="1181">
        <v>2500000</v>
      </c>
      <c r="M94" s="1180"/>
      <c r="N94" s="1181">
        <v>2500000</v>
      </c>
      <c r="O94" s="1180"/>
      <c r="P94" s="1181">
        <v>2500000</v>
      </c>
      <c r="Q94" s="1180"/>
      <c r="R94" s="1189"/>
      <c r="S94" s="1190" t="s">
        <v>137</v>
      </c>
      <c r="T94" s="1145"/>
      <c r="U94" s="1126"/>
      <c r="V94" s="1130"/>
      <c r="W94" s="1126"/>
      <c r="X94" s="1130"/>
      <c r="Y94" s="1126"/>
      <c r="Z94" s="1130"/>
      <c r="AA94" s="1126"/>
      <c r="AB94" s="1200"/>
      <c r="AC94" s="1190" t="s">
        <v>137</v>
      </c>
      <c r="AD94" s="1157"/>
      <c r="AE94" s="1158"/>
      <c r="AF94" s="1193"/>
      <c r="AG94" s="1208"/>
      <c r="AH94" s="1168" t="str">
        <f t="shared" si="16"/>
        <v>PI</v>
      </c>
      <c r="AI94" s="747">
        <f t="shared" si="17"/>
        <v>7500000</v>
      </c>
      <c r="AJ94" s="747">
        <f t="shared" si="19"/>
        <v>10000000</v>
      </c>
      <c r="AK94" s="747">
        <f t="shared" si="18"/>
        <v>2500000</v>
      </c>
      <c r="AL94" s="1170"/>
      <c r="AM94" s="1170"/>
      <c r="AN94" s="1209"/>
      <c r="AO94" s="1170"/>
      <c r="AP94" s="1209"/>
      <c r="AQ94" s="1128"/>
      <c r="AR94" s="1173"/>
      <c r="AT94" s="1173"/>
      <c r="AV94" s="1173"/>
      <c r="AX94" s="1173"/>
      <c r="AY94" s="1176"/>
      <c r="AZ94" s="1173"/>
    </row>
    <row r="95" spans="1:52" s="2" customFormat="1" x14ac:dyDescent="0.25">
      <c r="A95" s="19">
        <v>87</v>
      </c>
      <c r="B95" s="20">
        <v>19</v>
      </c>
      <c r="C95" s="40">
        <v>84089088</v>
      </c>
      <c r="D95" s="39" t="s">
        <v>138</v>
      </c>
      <c r="E95" s="23" t="s">
        <v>32</v>
      </c>
      <c r="F95" s="20">
        <v>2009</v>
      </c>
      <c r="G95" s="23" t="s">
        <v>33</v>
      </c>
      <c r="H95" s="24" t="str">
        <f t="shared" si="14"/>
        <v xml:space="preserve">   </v>
      </c>
      <c r="I95" s="24">
        <f t="shared" si="15"/>
        <v>40544</v>
      </c>
      <c r="J95" s="1123"/>
      <c r="K95" s="1124"/>
      <c r="L95" s="1178">
        <v>2500000</v>
      </c>
      <c r="M95" s="1124"/>
      <c r="N95" s="1178">
        <v>2500000</v>
      </c>
      <c r="O95" s="1124">
        <v>40203</v>
      </c>
      <c r="P95" s="1178">
        <v>2500000</v>
      </c>
      <c r="Q95" s="1124">
        <v>40429</v>
      </c>
      <c r="R95" s="1178">
        <v>2500000</v>
      </c>
      <c r="S95" s="1124">
        <v>40707</v>
      </c>
      <c r="T95" s="1188">
        <v>2500000</v>
      </c>
      <c r="U95" s="1126"/>
      <c r="V95" s="1130"/>
      <c r="W95" s="1126"/>
      <c r="X95" s="1130"/>
      <c r="Y95" s="1124">
        <v>40429</v>
      </c>
      <c r="Z95" s="1130"/>
      <c r="AA95" s="1126"/>
      <c r="AB95" s="1198">
        <v>1000000</v>
      </c>
      <c r="AC95" s="1126"/>
      <c r="AD95" s="1157"/>
      <c r="AE95" s="1158"/>
      <c r="AF95" s="1193"/>
      <c r="AG95" s="1208"/>
      <c r="AH95" s="1168" t="str">
        <f t="shared" si="16"/>
        <v>PI</v>
      </c>
      <c r="AI95" s="747">
        <f t="shared" si="17"/>
        <v>13500000</v>
      </c>
      <c r="AJ95" s="747">
        <f t="shared" si="19"/>
        <v>11000000</v>
      </c>
      <c r="AK95" s="747">
        <f t="shared" si="18"/>
        <v>-2500000</v>
      </c>
      <c r="AL95" s="1170"/>
      <c r="AM95" s="1170"/>
      <c r="AN95" s="1209"/>
      <c r="AO95" s="1170"/>
      <c r="AP95" s="1209"/>
      <c r="AQ95" s="1128"/>
      <c r="AR95" s="1173"/>
      <c r="AT95" s="1173"/>
      <c r="AV95" s="1173"/>
      <c r="AX95" s="1173"/>
      <c r="AY95" s="1176"/>
      <c r="AZ95" s="1173"/>
    </row>
    <row r="96" spans="1:52" s="2" customFormat="1" x14ac:dyDescent="0.25">
      <c r="A96" s="19">
        <v>88</v>
      </c>
      <c r="B96" s="20">
        <v>20</v>
      </c>
      <c r="C96" s="40">
        <v>84089089</v>
      </c>
      <c r="D96" s="39" t="s">
        <v>139</v>
      </c>
      <c r="E96" s="23" t="s">
        <v>32</v>
      </c>
      <c r="F96" s="20">
        <v>2009</v>
      </c>
      <c r="G96" s="23" t="s">
        <v>33</v>
      </c>
      <c r="H96" s="24" t="str">
        <f t="shared" si="14"/>
        <v xml:space="preserve">   </v>
      </c>
      <c r="I96" s="24">
        <f t="shared" si="15"/>
        <v>40544</v>
      </c>
      <c r="J96" s="1123"/>
      <c r="K96" s="1124"/>
      <c r="L96" s="1178">
        <v>2500000</v>
      </c>
      <c r="M96" s="1124"/>
      <c r="N96" s="1178">
        <v>2500000</v>
      </c>
      <c r="O96" s="1124"/>
      <c r="P96" s="1178"/>
      <c r="Q96" s="1124"/>
      <c r="R96" s="1178">
        <v>2500000</v>
      </c>
      <c r="S96" s="1126"/>
      <c r="T96" s="1145"/>
      <c r="U96" s="1126"/>
      <c r="V96" s="1130"/>
      <c r="W96" s="1126"/>
      <c r="X96" s="1130"/>
      <c r="Y96" s="1124">
        <v>40189</v>
      </c>
      <c r="Z96" s="1130"/>
      <c r="AA96" s="1126"/>
      <c r="AB96" s="1198">
        <v>1000000</v>
      </c>
      <c r="AC96" s="1126"/>
      <c r="AD96" s="1157"/>
      <c r="AE96" s="1158"/>
      <c r="AF96" s="1193"/>
      <c r="AG96" s="1208"/>
      <c r="AH96" s="1168" t="str">
        <f t="shared" si="16"/>
        <v>PI</v>
      </c>
      <c r="AI96" s="747">
        <f t="shared" si="17"/>
        <v>8500000</v>
      </c>
      <c r="AJ96" s="747">
        <f t="shared" si="19"/>
        <v>11000000</v>
      </c>
      <c r="AK96" s="747">
        <f t="shared" si="18"/>
        <v>2500000</v>
      </c>
      <c r="AL96" s="1170"/>
      <c r="AM96" s="1170"/>
      <c r="AN96" s="1209"/>
      <c r="AO96" s="1170"/>
      <c r="AP96" s="1209"/>
      <c r="AQ96" s="1128"/>
      <c r="AR96" s="1173"/>
      <c r="AT96" s="1173"/>
      <c r="AV96" s="1173"/>
      <c r="AX96" s="1173"/>
      <c r="AY96" s="1176"/>
      <c r="AZ96" s="1173"/>
    </row>
    <row r="97" spans="1:52" s="2" customFormat="1" x14ac:dyDescent="0.25">
      <c r="A97" s="19">
        <v>89</v>
      </c>
      <c r="B97" s="20">
        <v>21</v>
      </c>
      <c r="C97" s="40">
        <v>84089090</v>
      </c>
      <c r="D97" s="39" t="s">
        <v>140</v>
      </c>
      <c r="E97" s="23" t="s">
        <v>32</v>
      </c>
      <c r="F97" s="20">
        <v>2009</v>
      </c>
      <c r="G97" s="23" t="s">
        <v>33</v>
      </c>
      <c r="H97" s="24" t="str">
        <f t="shared" si="14"/>
        <v xml:space="preserve">   </v>
      </c>
      <c r="I97" s="24">
        <f t="shared" si="15"/>
        <v>40544</v>
      </c>
      <c r="J97" s="1123"/>
      <c r="K97" s="1124"/>
      <c r="L97" s="1178">
        <v>2500000</v>
      </c>
      <c r="M97" s="1124"/>
      <c r="N97" s="1178">
        <v>2500000</v>
      </c>
      <c r="O97" s="1124"/>
      <c r="P97" s="1178">
        <v>2500000</v>
      </c>
      <c r="Q97" s="1124"/>
      <c r="R97" s="1178">
        <v>2500000</v>
      </c>
      <c r="S97" s="1126"/>
      <c r="T97" s="1145"/>
      <c r="U97" s="1126"/>
      <c r="V97" s="1130"/>
      <c r="W97" s="1126"/>
      <c r="X97" s="1130"/>
      <c r="Y97" s="1126"/>
      <c r="Z97" s="1130"/>
      <c r="AA97" s="1126"/>
      <c r="AB97" s="1198">
        <v>1000000</v>
      </c>
      <c r="AC97" s="1126"/>
      <c r="AD97" s="1157"/>
      <c r="AE97" s="1158"/>
      <c r="AF97" s="1193"/>
      <c r="AG97" s="1208"/>
      <c r="AH97" s="1168" t="str">
        <f t="shared" si="16"/>
        <v>PI</v>
      </c>
      <c r="AI97" s="747">
        <f t="shared" si="17"/>
        <v>11000000</v>
      </c>
      <c r="AJ97" s="747">
        <f t="shared" si="19"/>
        <v>11000000</v>
      </c>
      <c r="AK97" s="747">
        <f t="shared" si="18"/>
        <v>0</v>
      </c>
      <c r="AL97" s="1170"/>
      <c r="AM97" s="1170"/>
      <c r="AN97" s="1209"/>
      <c r="AO97" s="1170"/>
      <c r="AP97" s="1209"/>
      <c r="AQ97" s="1128"/>
      <c r="AR97" s="1173"/>
      <c r="AT97" s="1173"/>
      <c r="AV97" s="1173"/>
      <c r="AX97" s="1173"/>
      <c r="AY97" s="1176"/>
      <c r="AZ97" s="1173"/>
    </row>
    <row r="98" spans="1:52" s="2" customFormat="1" x14ac:dyDescent="0.25">
      <c r="A98" s="19">
        <v>90</v>
      </c>
      <c r="B98" s="20">
        <v>22</v>
      </c>
      <c r="C98" s="40">
        <v>84089091</v>
      </c>
      <c r="D98" s="39" t="s">
        <v>141</v>
      </c>
      <c r="E98" s="23" t="s">
        <v>32</v>
      </c>
      <c r="F98" s="20">
        <v>2009</v>
      </c>
      <c r="G98" s="23" t="s">
        <v>33</v>
      </c>
      <c r="H98" s="24" t="str">
        <f t="shared" si="14"/>
        <v xml:space="preserve">   </v>
      </c>
      <c r="I98" s="24">
        <f t="shared" si="15"/>
        <v>40544</v>
      </c>
      <c r="J98" s="1123"/>
      <c r="K98" s="1124"/>
      <c r="L98" s="1178">
        <v>2500000</v>
      </c>
      <c r="M98" s="1124"/>
      <c r="N98" s="1178">
        <v>2500000</v>
      </c>
      <c r="O98" s="1124"/>
      <c r="P98" s="1178">
        <v>2500000</v>
      </c>
      <c r="Q98" s="1124" t="s">
        <v>142</v>
      </c>
      <c r="R98" s="1178">
        <v>2500000</v>
      </c>
      <c r="S98" s="1126"/>
      <c r="T98" s="1145"/>
      <c r="U98" s="1126"/>
      <c r="V98" s="1130"/>
      <c r="W98" s="1126"/>
      <c r="X98" s="1130"/>
      <c r="Y98" s="1126"/>
      <c r="Z98" s="1130"/>
      <c r="AA98" s="1126"/>
      <c r="AB98" s="1198">
        <v>1000000</v>
      </c>
      <c r="AC98" s="1126"/>
      <c r="AD98" s="1157"/>
      <c r="AE98" s="1158"/>
      <c r="AF98" s="1193"/>
      <c r="AG98" s="1208"/>
      <c r="AH98" s="1168" t="str">
        <f t="shared" si="16"/>
        <v>PI</v>
      </c>
      <c r="AI98" s="747">
        <f t="shared" si="17"/>
        <v>11000000</v>
      </c>
      <c r="AJ98" s="747">
        <f t="shared" si="19"/>
        <v>11000000</v>
      </c>
      <c r="AK98" s="747">
        <f t="shared" si="18"/>
        <v>0</v>
      </c>
      <c r="AL98" s="1170"/>
      <c r="AM98" s="1170"/>
      <c r="AN98" s="1209"/>
      <c r="AO98" s="1170"/>
      <c r="AP98" s="1209"/>
      <c r="AQ98" s="1128"/>
      <c r="AR98" s="1173"/>
      <c r="AT98" s="1173"/>
      <c r="AV98" s="1173"/>
      <c r="AX98" s="1173"/>
      <c r="AY98" s="1176"/>
      <c r="AZ98" s="1173"/>
    </row>
    <row r="99" spans="1:52" s="2" customFormat="1" x14ac:dyDescent="0.25">
      <c r="A99" s="19">
        <v>91</v>
      </c>
      <c r="B99" s="20">
        <v>23</v>
      </c>
      <c r="C99" s="40">
        <v>84089092</v>
      </c>
      <c r="D99" s="39" t="s">
        <v>143</v>
      </c>
      <c r="E99" s="23" t="s">
        <v>32</v>
      </c>
      <c r="F99" s="20">
        <v>2009</v>
      </c>
      <c r="G99" s="23" t="s">
        <v>33</v>
      </c>
      <c r="H99" s="24" t="str">
        <f t="shared" si="14"/>
        <v xml:space="preserve">   </v>
      </c>
      <c r="I99" s="24">
        <f t="shared" si="15"/>
        <v>40544</v>
      </c>
      <c r="J99" s="1123"/>
      <c r="K99" s="1124"/>
      <c r="L99" s="1178">
        <v>2500000</v>
      </c>
      <c r="M99" s="1124"/>
      <c r="N99" s="1178">
        <v>2500000</v>
      </c>
      <c r="O99" s="1124"/>
      <c r="P99" s="1178">
        <v>2500000</v>
      </c>
      <c r="Q99" s="1124"/>
      <c r="R99" s="1178">
        <v>2500000</v>
      </c>
      <c r="S99" s="1124">
        <v>40717</v>
      </c>
      <c r="T99" s="1188">
        <v>2500000</v>
      </c>
      <c r="U99" s="1126"/>
      <c r="V99" s="1130"/>
      <c r="W99" s="1126"/>
      <c r="X99" s="1130"/>
      <c r="Y99" s="1126">
        <v>40532</v>
      </c>
      <c r="Z99" s="1130"/>
      <c r="AA99" s="1126"/>
      <c r="AB99" s="1198">
        <v>1000000</v>
      </c>
      <c r="AC99" s="1126"/>
      <c r="AD99" s="1157"/>
      <c r="AE99" s="1158"/>
      <c r="AF99" s="1193"/>
      <c r="AG99" s="1208"/>
      <c r="AH99" s="1168" t="str">
        <f t="shared" si="16"/>
        <v>PI</v>
      </c>
      <c r="AI99" s="747">
        <f t="shared" si="17"/>
        <v>13500000</v>
      </c>
      <c r="AJ99" s="747">
        <f t="shared" si="19"/>
        <v>11000000</v>
      </c>
      <c r="AK99" s="747">
        <f t="shared" si="18"/>
        <v>-2500000</v>
      </c>
      <c r="AL99" s="1170"/>
      <c r="AM99" s="1170"/>
      <c r="AN99" s="1209"/>
      <c r="AO99" s="1170"/>
      <c r="AP99" s="1209"/>
      <c r="AQ99" s="1128"/>
      <c r="AR99" s="1173"/>
      <c r="AT99" s="1173"/>
      <c r="AV99" s="1173"/>
      <c r="AX99" s="1173"/>
      <c r="AY99" s="1176"/>
      <c r="AZ99" s="1173"/>
    </row>
    <row r="100" spans="1:52" s="2" customFormat="1" x14ac:dyDescent="0.25">
      <c r="A100" s="19">
        <v>92</v>
      </c>
      <c r="B100" s="42">
        <v>24</v>
      </c>
      <c r="C100" s="44">
        <v>84089093</v>
      </c>
      <c r="D100" s="43" t="s">
        <v>144</v>
      </c>
      <c r="E100" s="45" t="s">
        <v>32</v>
      </c>
      <c r="F100" s="42">
        <v>2009</v>
      </c>
      <c r="G100" s="46"/>
      <c r="H100" s="47" t="str">
        <f t="shared" si="14"/>
        <v xml:space="preserve">   </v>
      </c>
      <c r="I100" s="47">
        <f t="shared" si="15"/>
        <v>40544</v>
      </c>
      <c r="J100" s="1179"/>
      <c r="K100" s="1180"/>
      <c r="L100" s="1181">
        <v>2500000</v>
      </c>
      <c r="M100" s="1180"/>
      <c r="N100" s="1181">
        <v>2500000</v>
      </c>
      <c r="O100" s="1180"/>
      <c r="P100" s="1181">
        <v>2500000</v>
      </c>
      <c r="Q100" s="1126"/>
      <c r="R100" s="1130"/>
      <c r="S100" s="1126"/>
      <c r="T100" s="1145"/>
      <c r="U100" s="1126"/>
      <c r="V100" s="1130"/>
      <c r="W100" s="1126"/>
      <c r="X100" s="1130"/>
      <c r="Y100" s="1126"/>
      <c r="Z100" s="1130"/>
      <c r="AA100" s="1126"/>
      <c r="AB100" s="1198"/>
      <c r="AC100" s="1126"/>
      <c r="AD100" s="1157"/>
      <c r="AE100" s="1158"/>
      <c r="AF100" s="1193"/>
      <c r="AG100" s="1208"/>
      <c r="AH100" s="1168" t="str">
        <f t="shared" si="16"/>
        <v>PI</v>
      </c>
      <c r="AI100" s="747">
        <f t="shared" si="17"/>
        <v>7500000</v>
      </c>
      <c r="AJ100" s="747">
        <f t="shared" si="19"/>
        <v>10000000</v>
      </c>
      <c r="AK100" s="747">
        <f t="shared" si="18"/>
        <v>2500000</v>
      </c>
      <c r="AL100" s="1170"/>
      <c r="AM100" s="1170"/>
      <c r="AN100" s="1209"/>
      <c r="AO100" s="1170"/>
      <c r="AP100" s="1209"/>
      <c r="AQ100" s="1128"/>
      <c r="AR100" s="1173"/>
      <c r="AT100" s="1173"/>
      <c r="AV100" s="1173"/>
      <c r="AX100" s="1173"/>
      <c r="AY100" s="1176"/>
      <c r="AZ100" s="1173"/>
    </row>
    <row r="101" spans="1:52" s="2" customFormat="1" x14ac:dyDescent="0.25">
      <c r="A101" s="19">
        <v>93</v>
      </c>
      <c r="B101" s="42">
        <v>25</v>
      </c>
      <c r="C101" s="44">
        <v>84089094</v>
      </c>
      <c r="D101" s="43" t="s">
        <v>145</v>
      </c>
      <c r="E101" s="45" t="s">
        <v>32</v>
      </c>
      <c r="F101" s="42">
        <v>2009</v>
      </c>
      <c r="G101" s="46"/>
      <c r="H101" s="47" t="str">
        <f t="shared" ref="H101:H106" si="20">IFERROR(VLOOKUP(C101,Tlus,3,FALSE),"   ")</f>
        <v xml:space="preserve">   </v>
      </c>
      <c r="I101" s="47" t="str">
        <f t="shared" ref="I101:I106" si="21">IFERROR(VLOOKUP(C101,Wis,4,FALSE),"   ")</f>
        <v xml:space="preserve">   </v>
      </c>
      <c r="J101" s="1179"/>
      <c r="K101" s="1180"/>
      <c r="L101" s="1181">
        <v>2500000</v>
      </c>
      <c r="M101" s="1180"/>
      <c r="N101" s="1181">
        <v>2500000</v>
      </c>
      <c r="O101" s="1180" t="s">
        <v>146</v>
      </c>
      <c r="P101" s="1181">
        <v>2500000</v>
      </c>
      <c r="Q101" s="1180" t="s">
        <v>133</v>
      </c>
      <c r="R101" s="1181">
        <v>2500000</v>
      </c>
      <c r="S101" s="1180">
        <v>41214</v>
      </c>
      <c r="T101" s="1187">
        <v>2500000</v>
      </c>
      <c r="U101" s="1180">
        <v>41579</v>
      </c>
      <c r="V101" s="1181">
        <v>600000</v>
      </c>
      <c r="W101" s="1180">
        <v>41579</v>
      </c>
      <c r="X101" s="1181">
        <v>600000</v>
      </c>
      <c r="Y101" s="1180">
        <v>41579</v>
      </c>
      <c r="Z101" s="1181">
        <v>600000</v>
      </c>
      <c r="AA101" s="1126"/>
      <c r="AB101" s="1198">
        <v>1000000</v>
      </c>
      <c r="AC101" s="1126"/>
      <c r="AD101" s="1157"/>
      <c r="AE101" s="1158"/>
      <c r="AF101" s="1193"/>
      <c r="AG101" s="1208"/>
      <c r="AH101" s="1168" t="str">
        <f t="shared" si="16"/>
        <v>PI</v>
      </c>
      <c r="AI101" s="747">
        <f t="shared" si="17"/>
        <v>15300000</v>
      </c>
      <c r="AJ101" s="747">
        <f>(COUNT(L101,N101,P101,R101,T101)*2500000)+(COUNT(V101,X101,Z101,AD101,AF101)*600000)+AB101</f>
        <v>15300000</v>
      </c>
      <c r="AK101" s="747">
        <f t="shared" si="18"/>
        <v>0</v>
      </c>
      <c r="AL101" s="1170"/>
      <c r="AM101" s="1170"/>
      <c r="AN101" s="1209"/>
      <c r="AO101" s="1170"/>
      <c r="AP101" s="1209"/>
      <c r="AQ101" s="1128"/>
      <c r="AR101" s="1173"/>
      <c r="AT101" s="1173"/>
      <c r="AV101" s="1173"/>
      <c r="AX101" s="1173"/>
      <c r="AY101" s="1176"/>
      <c r="AZ101" s="1173"/>
    </row>
    <row r="102" spans="1:52" s="2" customFormat="1" x14ac:dyDescent="0.25">
      <c r="A102" s="19">
        <v>94</v>
      </c>
      <c r="B102" s="20">
        <v>26</v>
      </c>
      <c r="C102" s="40">
        <v>84089095</v>
      </c>
      <c r="D102" s="39" t="s">
        <v>147</v>
      </c>
      <c r="E102" s="23" t="s">
        <v>32</v>
      </c>
      <c r="F102" s="20">
        <v>2009</v>
      </c>
      <c r="G102" s="23" t="s">
        <v>33</v>
      </c>
      <c r="H102" s="24" t="str">
        <f t="shared" si="20"/>
        <v xml:space="preserve">   </v>
      </c>
      <c r="I102" s="24">
        <f t="shared" si="21"/>
        <v>40544</v>
      </c>
      <c r="J102" s="1123"/>
      <c r="K102" s="1124"/>
      <c r="L102" s="1178">
        <v>2500000</v>
      </c>
      <c r="M102" s="1124"/>
      <c r="N102" s="1178">
        <v>2500000</v>
      </c>
      <c r="O102" s="1124"/>
      <c r="P102" s="1178">
        <v>2500000</v>
      </c>
      <c r="Q102" s="1124" t="s">
        <v>148</v>
      </c>
      <c r="R102" s="1178">
        <v>2500000</v>
      </c>
      <c r="S102" s="1126" t="s">
        <v>149</v>
      </c>
      <c r="T102" s="1145"/>
      <c r="U102" s="1126"/>
      <c r="V102" s="1130"/>
      <c r="W102" s="1126"/>
      <c r="X102" s="1130"/>
      <c r="Y102" s="1126">
        <v>40420</v>
      </c>
      <c r="Z102" s="1130"/>
      <c r="AA102" s="1126"/>
      <c r="AB102" s="1198">
        <v>1000000</v>
      </c>
      <c r="AC102" s="1126"/>
      <c r="AD102" s="1157"/>
      <c r="AE102" s="1158"/>
      <c r="AF102" s="1193"/>
      <c r="AG102" s="1208"/>
      <c r="AH102" s="1168" t="str">
        <f t="shared" si="16"/>
        <v>PI</v>
      </c>
      <c r="AI102" s="747">
        <f t="shared" si="17"/>
        <v>11000000</v>
      </c>
      <c r="AJ102" s="747">
        <f>((COUNT((L102,N102,P102,R102,T102,V102,X102,Z102,AD102,AF102)))*2500000)+(J102+AB102)</f>
        <v>11000000</v>
      </c>
      <c r="AK102" s="747">
        <f t="shared" si="18"/>
        <v>0</v>
      </c>
      <c r="AL102" s="1170"/>
      <c r="AM102" s="1170"/>
      <c r="AN102" s="1209"/>
      <c r="AO102" s="1170"/>
      <c r="AP102" s="1209"/>
      <c r="AQ102" s="1128"/>
      <c r="AR102" s="1173"/>
      <c r="AT102" s="1173"/>
      <c r="AV102" s="1173"/>
      <c r="AX102" s="1173"/>
      <c r="AY102" s="1176"/>
      <c r="AZ102" s="1173"/>
    </row>
    <row r="103" spans="1:52" s="2" customFormat="1" x14ac:dyDescent="0.25">
      <c r="A103" s="19">
        <v>95</v>
      </c>
      <c r="B103" s="20">
        <v>27</v>
      </c>
      <c r="C103" s="40">
        <v>84089096</v>
      </c>
      <c r="D103" s="39" t="s">
        <v>150</v>
      </c>
      <c r="E103" s="23" t="s">
        <v>32</v>
      </c>
      <c r="F103" s="20">
        <v>2009</v>
      </c>
      <c r="G103" s="23" t="s">
        <v>33</v>
      </c>
      <c r="H103" s="24" t="str">
        <f t="shared" si="20"/>
        <v xml:space="preserve">   </v>
      </c>
      <c r="I103" s="24">
        <f t="shared" si="21"/>
        <v>40544</v>
      </c>
      <c r="J103" s="1123"/>
      <c r="K103" s="1124"/>
      <c r="L103" s="1178">
        <v>2500000</v>
      </c>
      <c r="M103" s="1124"/>
      <c r="N103" s="1178">
        <v>2500000</v>
      </c>
      <c r="O103" s="1124"/>
      <c r="P103" s="1178">
        <v>2500000</v>
      </c>
      <c r="Q103" s="1124"/>
      <c r="R103" s="1178">
        <v>2500000</v>
      </c>
      <c r="S103" s="1126"/>
      <c r="T103" s="1145"/>
      <c r="U103" s="1126"/>
      <c r="V103" s="1130"/>
      <c r="W103" s="1126"/>
      <c r="X103" s="1130"/>
      <c r="Y103" s="1126"/>
      <c r="Z103" s="1130"/>
      <c r="AA103" s="1126"/>
      <c r="AB103" s="1198">
        <v>1000000</v>
      </c>
      <c r="AC103" s="1126"/>
      <c r="AD103" s="1157"/>
      <c r="AE103" s="1158"/>
      <c r="AF103" s="1193"/>
      <c r="AG103" s="1208"/>
      <c r="AH103" s="1168" t="str">
        <f t="shared" si="16"/>
        <v>PI</v>
      </c>
      <c r="AI103" s="747">
        <f t="shared" si="17"/>
        <v>11000000</v>
      </c>
      <c r="AJ103" s="747">
        <f>((COUNT((L103,N103,P103,R103,T103,V103,X103,Z103,AD103,AF103)))*2500000)+(J103+AB103)</f>
        <v>11000000</v>
      </c>
      <c r="AK103" s="747">
        <f t="shared" si="18"/>
        <v>0</v>
      </c>
      <c r="AL103" s="1170"/>
      <c r="AM103" s="1170"/>
      <c r="AN103" s="1209"/>
      <c r="AO103" s="1170"/>
      <c r="AP103" s="1209"/>
      <c r="AQ103" s="1128"/>
      <c r="AR103" s="1173"/>
      <c r="AT103" s="1173"/>
      <c r="AV103" s="1173"/>
      <c r="AX103" s="1173"/>
      <c r="AY103" s="1176"/>
      <c r="AZ103" s="1173"/>
    </row>
    <row r="104" spans="1:52" s="2" customFormat="1" x14ac:dyDescent="0.25">
      <c r="A104" s="19">
        <v>96</v>
      </c>
      <c r="B104" s="20">
        <v>28</v>
      </c>
      <c r="C104" s="40">
        <v>84089097</v>
      </c>
      <c r="D104" s="39" t="s">
        <v>151</v>
      </c>
      <c r="E104" s="23" t="s">
        <v>32</v>
      </c>
      <c r="F104" s="20">
        <v>2009</v>
      </c>
      <c r="G104" s="23" t="s">
        <v>33</v>
      </c>
      <c r="H104" s="24" t="str">
        <f t="shared" si="20"/>
        <v xml:space="preserve">   </v>
      </c>
      <c r="I104" s="24">
        <f t="shared" si="21"/>
        <v>40544</v>
      </c>
      <c r="J104" s="1123"/>
      <c r="K104" s="1124"/>
      <c r="L104" s="1178">
        <v>2500000</v>
      </c>
      <c r="M104" s="1124"/>
      <c r="N104" s="1178">
        <v>2500000</v>
      </c>
      <c r="O104" s="1124"/>
      <c r="P104" s="1178">
        <v>2500000</v>
      </c>
      <c r="Q104" s="1124" t="s">
        <v>133</v>
      </c>
      <c r="R104" s="1178">
        <v>2500000</v>
      </c>
      <c r="S104" s="1124"/>
      <c r="T104" s="1188"/>
      <c r="U104" s="1126"/>
      <c r="V104" s="1130"/>
      <c r="W104" s="1126"/>
      <c r="X104" s="1130"/>
      <c r="Y104" s="1126" t="s">
        <v>133</v>
      </c>
      <c r="Z104" s="1130"/>
      <c r="AA104" s="1126"/>
      <c r="AB104" s="1198">
        <v>1000000</v>
      </c>
      <c r="AC104" s="1126" t="s">
        <v>152</v>
      </c>
      <c r="AD104" s="1157">
        <v>2500000</v>
      </c>
      <c r="AE104" s="1158"/>
      <c r="AF104" s="1193"/>
      <c r="AG104" s="1208"/>
      <c r="AH104" s="1168" t="str">
        <f t="shared" si="16"/>
        <v>PI</v>
      </c>
      <c r="AI104" s="747">
        <f t="shared" si="17"/>
        <v>13500000</v>
      </c>
      <c r="AJ104" s="747">
        <f>((COUNT((L104,N104,P104,R104,T104,V104,X104,Z104,AD104,AF104)))*2500000)+(J104+AB104)</f>
        <v>13500000</v>
      </c>
      <c r="AK104" s="747">
        <f t="shared" si="18"/>
        <v>0</v>
      </c>
      <c r="AL104" s="1170"/>
      <c r="AM104" s="1170"/>
      <c r="AN104" s="1209"/>
      <c r="AO104" s="1170"/>
      <c r="AP104" s="1209"/>
      <c r="AQ104" s="1128"/>
      <c r="AR104" s="1173"/>
      <c r="AT104" s="1173"/>
      <c r="AV104" s="1173"/>
      <c r="AX104" s="1173"/>
      <c r="AY104" s="1176"/>
      <c r="AZ104" s="1173"/>
    </row>
    <row r="105" spans="1:52" s="2" customFormat="1" x14ac:dyDescent="0.25">
      <c r="A105" s="19">
        <v>97</v>
      </c>
      <c r="B105" s="25">
        <v>29</v>
      </c>
      <c r="C105" s="38">
        <v>84089098</v>
      </c>
      <c r="D105" s="37" t="s">
        <v>153</v>
      </c>
      <c r="E105" s="28" t="s">
        <v>32</v>
      </c>
      <c r="F105" s="25">
        <v>2009</v>
      </c>
      <c r="G105" s="29"/>
      <c r="H105" s="30" t="str">
        <f t="shared" si="20"/>
        <v xml:space="preserve">   </v>
      </c>
      <c r="I105" s="30" t="str">
        <f t="shared" si="21"/>
        <v xml:space="preserve">   </v>
      </c>
      <c r="J105" s="1125"/>
      <c r="K105" s="1126"/>
      <c r="L105" s="1130">
        <v>2500000</v>
      </c>
      <c r="M105" s="1126"/>
      <c r="N105" s="1130">
        <v>2500000</v>
      </c>
      <c r="O105" s="1126"/>
      <c r="P105" s="1130">
        <v>2500000</v>
      </c>
      <c r="Q105" s="1126"/>
      <c r="R105" s="1130">
        <v>2500000</v>
      </c>
      <c r="S105" s="1126" t="s">
        <v>154</v>
      </c>
      <c r="T105" s="1145">
        <v>2500000</v>
      </c>
      <c r="U105" s="1126"/>
      <c r="V105" s="1130"/>
      <c r="W105" s="1126"/>
      <c r="X105" s="1130"/>
      <c r="Y105" s="1126"/>
      <c r="Z105" s="1130"/>
      <c r="AA105" s="1126"/>
      <c r="AB105" s="1198">
        <v>1000000</v>
      </c>
      <c r="AC105" s="1126"/>
      <c r="AD105" s="1157"/>
      <c r="AE105" s="1158"/>
      <c r="AF105" s="1193"/>
      <c r="AG105" s="1158"/>
      <c r="AH105" s="1168" t="str">
        <f t="shared" si="16"/>
        <v>PI</v>
      </c>
      <c r="AI105" s="747">
        <f t="shared" si="17"/>
        <v>13500000</v>
      </c>
      <c r="AJ105" s="747">
        <f>((COUNT((L105,N105,P105,R105,T105,V105,X105,Z105,AD105,AF105)))*2500000)+(J105+AB105)</f>
        <v>13500000</v>
      </c>
      <c r="AK105" s="747">
        <f t="shared" si="18"/>
        <v>0</v>
      </c>
      <c r="AL105" s="1170"/>
      <c r="AM105" s="1170"/>
      <c r="AN105" s="1209"/>
      <c r="AO105" s="1170"/>
      <c r="AP105" s="1209"/>
      <c r="AQ105" s="1128"/>
      <c r="AR105" s="1173"/>
      <c r="AT105" s="1173"/>
      <c r="AV105" s="1173"/>
      <c r="AX105" s="1173"/>
      <c r="AY105" s="1176"/>
      <c r="AZ105" s="1173"/>
    </row>
    <row r="106" spans="1:52" s="2" customFormat="1" x14ac:dyDescent="0.25">
      <c r="A106" s="32"/>
      <c r="B106" s="32"/>
      <c r="C106" s="33"/>
      <c r="E106" s="34"/>
      <c r="F106" s="35" t="s">
        <v>61</v>
      </c>
      <c r="G106" s="1120"/>
      <c r="H106" s="36" t="str">
        <f t="shared" si="20"/>
        <v xml:space="preserve">   </v>
      </c>
      <c r="I106" s="36" t="str">
        <f t="shared" si="21"/>
        <v xml:space="preserve">   </v>
      </c>
      <c r="J106" s="747"/>
      <c r="K106" s="1127"/>
      <c r="L106" s="747"/>
      <c r="M106" s="1127"/>
      <c r="N106" s="1128"/>
      <c r="O106" s="1127"/>
      <c r="P106" s="1129"/>
      <c r="Q106" s="1127"/>
      <c r="R106" s="1128"/>
      <c r="S106" s="1138"/>
      <c r="T106" s="1128"/>
      <c r="U106" s="1127"/>
      <c r="V106" s="1128"/>
      <c r="W106" s="1127"/>
      <c r="X106" s="1128"/>
      <c r="Y106" s="1127"/>
      <c r="Z106" s="1128"/>
      <c r="AA106" s="1127"/>
      <c r="AB106" s="1154"/>
      <c r="AC106" s="1127"/>
      <c r="AE106" s="1155"/>
      <c r="AG106" s="1155"/>
      <c r="AH106" s="1172">
        <f t="shared" si="16"/>
        <v>0</v>
      </c>
      <c r="AI106" s="747"/>
      <c r="AJ106" s="747"/>
      <c r="AK106" s="747"/>
      <c r="AL106" s="1170"/>
      <c r="AM106" s="1170"/>
      <c r="AN106" s="1209"/>
      <c r="AO106" s="1170"/>
      <c r="AP106" s="1209"/>
      <c r="AQ106" s="1128"/>
      <c r="AR106" s="1173"/>
      <c r="AT106" s="1173"/>
      <c r="AV106" s="1173"/>
      <c r="AX106" s="1173"/>
      <c r="AY106" s="1176"/>
      <c r="AZ106" s="1173"/>
    </row>
    <row r="107" spans="1:52" s="4" customFormat="1" x14ac:dyDescent="0.25">
      <c r="A107" s="32"/>
      <c r="B107" s="48" t="s">
        <v>155</v>
      </c>
      <c r="C107" s="49"/>
      <c r="D107" s="48"/>
      <c r="E107" s="50"/>
      <c r="F107" s="51" t="s">
        <v>61</v>
      </c>
      <c r="G107" s="52"/>
      <c r="H107" s="53"/>
      <c r="I107" s="53"/>
      <c r="J107" s="1182"/>
      <c r="K107" s="1183"/>
      <c r="L107" s="1184"/>
      <c r="M107" s="1185"/>
      <c r="N107" s="1184"/>
      <c r="O107" s="1185"/>
      <c r="P107" s="1184"/>
      <c r="Q107" s="1185"/>
      <c r="R107" s="1184"/>
      <c r="S107" s="1191"/>
      <c r="T107" s="1184"/>
      <c r="U107" s="1185"/>
      <c r="V107" s="1184"/>
      <c r="W107" s="1185"/>
      <c r="X107" s="1184"/>
      <c r="Y107" s="1185"/>
      <c r="Z107" s="1184"/>
      <c r="AA107" s="1185"/>
      <c r="AB107" s="1201"/>
      <c r="AC107" s="1202"/>
      <c r="AD107" s="1203"/>
      <c r="AE107" s="1202"/>
      <c r="AF107" s="1204"/>
      <c r="AG107" s="1210"/>
      <c r="AH107" s="1211">
        <f t="shared" si="16"/>
        <v>0</v>
      </c>
      <c r="AI107" s="1212"/>
      <c r="AJ107" s="1212"/>
      <c r="AK107" s="1212"/>
      <c r="AL107" s="1213"/>
      <c r="AM107" s="1213"/>
      <c r="AN107" s="1214"/>
      <c r="AO107" s="1213"/>
      <c r="AP107" s="1214"/>
      <c r="AQ107" s="1215"/>
      <c r="AR107" s="1216"/>
      <c r="AT107" s="1216"/>
      <c r="AV107" s="1216"/>
      <c r="AX107" s="1216"/>
      <c r="AY107" s="1217"/>
      <c r="AZ107" s="1216"/>
    </row>
    <row r="108" spans="1:52" s="2" customFormat="1" x14ac:dyDescent="0.25">
      <c r="A108" s="19">
        <v>98</v>
      </c>
      <c r="B108" s="20">
        <v>1</v>
      </c>
      <c r="C108" s="40">
        <v>84099001</v>
      </c>
      <c r="D108" s="39" t="s">
        <v>156</v>
      </c>
      <c r="E108" s="23" t="s">
        <v>32</v>
      </c>
      <c r="F108" s="20">
        <v>2009</v>
      </c>
      <c r="G108" s="23" t="s">
        <v>33</v>
      </c>
      <c r="H108" s="24" t="str">
        <f t="shared" ref="H108:H171" si="22">IFERROR(VLOOKUP(C108,Tlus,3,FALSE),"   ")</f>
        <v xml:space="preserve">   </v>
      </c>
      <c r="I108" s="24">
        <f t="shared" ref="I108:I171" si="23">IFERROR(VLOOKUP(C108,Wis,4,FALSE),"   ")</f>
        <v>42504</v>
      </c>
      <c r="J108" s="1123"/>
      <c r="K108" s="1124"/>
      <c r="L108" s="1178">
        <v>2500000</v>
      </c>
      <c r="M108" s="1124">
        <v>40487</v>
      </c>
      <c r="N108" s="1178">
        <f>1000000+1900000</f>
        <v>2900000</v>
      </c>
      <c r="O108" s="1124" t="s">
        <v>157</v>
      </c>
      <c r="P108" s="1178">
        <f>1200000+1300000</f>
        <v>2500000</v>
      </c>
      <c r="Q108" s="1124">
        <v>40708</v>
      </c>
      <c r="R108" s="1178">
        <v>2500000</v>
      </c>
      <c r="S108" s="1124">
        <v>41381</v>
      </c>
      <c r="T108" s="1188">
        <v>2500000</v>
      </c>
      <c r="U108" s="1124">
        <v>41381</v>
      </c>
      <c r="V108" s="1178">
        <v>600000</v>
      </c>
      <c r="W108" s="1124">
        <v>41381</v>
      </c>
      <c r="X108" s="1178">
        <v>600000</v>
      </c>
      <c r="Y108" s="1124">
        <v>41381</v>
      </c>
      <c r="Z108" s="1178">
        <v>600000</v>
      </c>
      <c r="AA108" s="1124">
        <v>42027</v>
      </c>
      <c r="AB108" s="1205">
        <v>1000000</v>
      </c>
      <c r="AC108" s="1124" t="s">
        <v>157</v>
      </c>
      <c r="AD108" s="1199">
        <v>600000</v>
      </c>
      <c r="AE108" s="1206">
        <v>42027</v>
      </c>
      <c r="AF108" s="1207"/>
      <c r="AG108" s="1158"/>
      <c r="AH108" s="1168" t="str">
        <f t="shared" si="16"/>
        <v>PI</v>
      </c>
      <c r="AI108" s="747" t="e">
        <f>SUM(J108,L108,N108,P108,R108,T108,V108,X108,Z108,AB108,AD108,AF108,#REF!,#REF!)</f>
        <v>#REF!</v>
      </c>
      <c r="AJ108" s="747">
        <f>(COUNT(L108,N108,P108,R108,T108)*2500000)+(COUNT(V108,X108,Z108,AD108,AF108)*600000)+AB108</f>
        <v>15900000</v>
      </c>
      <c r="AK108" s="747" t="e">
        <f>AJ108-AI108</f>
        <v>#REF!</v>
      </c>
      <c r="AL108" s="1170"/>
      <c r="AM108" s="1170"/>
      <c r="AN108" s="1209"/>
      <c r="AO108" s="1170"/>
      <c r="AP108" s="1209"/>
      <c r="AQ108" s="1128"/>
      <c r="AR108" s="1173"/>
      <c r="AT108" s="1173"/>
      <c r="AV108" s="1173"/>
      <c r="AX108" s="1173"/>
      <c r="AY108" s="1176"/>
      <c r="AZ108" s="1173"/>
    </row>
    <row r="109" spans="1:52" s="2" customFormat="1" x14ac:dyDescent="0.25">
      <c r="A109" s="19">
        <v>99</v>
      </c>
      <c r="B109" s="42">
        <v>2</v>
      </c>
      <c r="C109" s="44">
        <v>84099002</v>
      </c>
      <c r="D109" s="43" t="s">
        <v>158</v>
      </c>
      <c r="E109" s="28" t="s">
        <v>32</v>
      </c>
      <c r="F109" s="25">
        <v>2009</v>
      </c>
      <c r="G109" s="29"/>
      <c r="H109" s="30" t="str">
        <f t="shared" si="22"/>
        <v xml:space="preserve">   </v>
      </c>
      <c r="I109" s="30" t="str">
        <f t="shared" si="23"/>
        <v xml:space="preserve">   </v>
      </c>
      <c r="J109" s="1134"/>
      <c r="K109" s="1135"/>
      <c r="L109" s="1181">
        <v>2500000</v>
      </c>
      <c r="M109" s="1180"/>
      <c r="N109" s="1181">
        <v>2500000</v>
      </c>
      <c r="O109" s="1180"/>
      <c r="P109" s="1181">
        <v>2500000</v>
      </c>
      <c r="Q109" s="1180">
        <v>40598</v>
      </c>
      <c r="R109" s="1181">
        <v>2500000</v>
      </c>
      <c r="S109" s="1144" t="s">
        <v>137</v>
      </c>
      <c r="T109" s="1192" t="s">
        <v>137</v>
      </c>
      <c r="U109" s="1180"/>
      <c r="V109" s="1181">
        <v>2500000</v>
      </c>
      <c r="W109" s="1180">
        <v>41247</v>
      </c>
      <c r="X109" s="1130"/>
      <c r="Y109" s="1126"/>
      <c r="Z109" s="1130"/>
      <c r="AA109" s="1126"/>
      <c r="AB109" s="1198">
        <v>1000000</v>
      </c>
      <c r="AC109" s="1126" t="s">
        <v>159</v>
      </c>
      <c r="AD109" s="1157"/>
      <c r="AE109" s="1158"/>
      <c r="AF109" s="1207"/>
      <c r="AG109" s="1158"/>
      <c r="AH109" s="1168" t="str">
        <f t="shared" si="16"/>
        <v>PI</v>
      </c>
      <c r="AI109" s="747">
        <f t="shared" ref="AI109:AI145" si="24">SUM(J109,L109,N109,P109,R109,T109,V109,X109,Z109,AB109,AD109,AF109)</f>
        <v>13500000</v>
      </c>
      <c r="AJ109" s="747">
        <f t="shared" ref="AJ109:AJ125" si="25">((COUNT((L109,N109,P109,R109,T109,V109,X109,Z109,AD109,AF109)))*L109)+(J109+AB109)</f>
        <v>13500000</v>
      </c>
      <c r="AK109" s="747">
        <f t="shared" ref="AK109:AK145" si="26">AJ109-AI109</f>
        <v>0</v>
      </c>
      <c r="AL109" s="1170"/>
      <c r="AM109" s="1170"/>
      <c r="AN109" s="1209"/>
      <c r="AO109" s="1170"/>
      <c r="AP109" s="1209"/>
      <c r="AQ109" s="1128"/>
      <c r="AR109" s="1173"/>
      <c r="AT109" s="1173"/>
      <c r="AV109" s="1173"/>
      <c r="AX109" s="1173"/>
      <c r="AY109" s="1176"/>
      <c r="AZ109" s="1173"/>
    </row>
    <row r="110" spans="1:52" s="2" customFormat="1" x14ac:dyDescent="0.25">
      <c r="A110" s="19">
        <v>100</v>
      </c>
      <c r="B110" s="42">
        <v>3</v>
      </c>
      <c r="C110" s="44">
        <v>84099003</v>
      </c>
      <c r="D110" s="43" t="s">
        <v>160</v>
      </c>
      <c r="E110" s="28" t="s">
        <v>32</v>
      </c>
      <c r="F110" s="25">
        <v>2009</v>
      </c>
      <c r="G110" s="29"/>
      <c r="H110" s="30" t="str">
        <f t="shared" si="22"/>
        <v xml:space="preserve">   </v>
      </c>
      <c r="I110" s="30" t="str">
        <f t="shared" si="23"/>
        <v xml:space="preserve">   </v>
      </c>
      <c r="J110" s="1134"/>
      <c r="K110" s="1135"/>
      <c r="L110" s="1181">
        <v>2500000</v>
      </c>
      <c r="M110" s="1180"/>
      <c r="N110" s="1181">
        <v>2500000</v>
      </c>
      <c r="O110" s="1180"/>
      <c r="P110" s="1181">
        <v>2500000</v>
      </c>
      <c r="Q110" s="1180">
        <v>41969</v>
      </c>
      <c r="R110" s="1181">
        <v>2500000</v>
      </c>
      <c r="S110" s="1180">
        <v>41972</v>
      </c>
      <c r="T110" s="1187">
        <v>2500000</v>
      </c>
      <c r="U110" s="1180"/>
      <c r="V110" s="1181"/>
      <c r="W110" s="1126"/>
      <c r="X110" s="1130"/>
      <c r="Y110" s="1126"/>
      <c r="Z110" s="1130"/>
      <c r="AA110" s="1126"/>
      <c r="AB110" s="1198"/>
      <c r="AC110" s="1126"/>
      <c r="AD110" s="1157"/>
      <c r="AE110" s="1158"/>
      <c r="AF110" s="1207"/>
      <c r="AG110" s="1158"/>
      <c r="AH110" s="1168" t="str">
        <f t="shared" si="16"/>
        <v>PI</v>
      </c>
      <c r="AI110" s="747">
        <f t="shared" si="24"/>
        <v>12500000</v>
      </c>
      <c r="AJ110" s="747">
        <f t="shared" si="25"/>
        <v>12500000</v>
      </c>
      <c r="AK110" s="747">
        <f t="shared" si="26"/>
        <v>0</v>
      </c>
      <c r="AL110" s="1170"/>
      <c r="AM110" s="1170"/>
      <c r="AN110" s="1209"/>
      <c r="AO110" s="1170"/>
      <c r="AP110" s="1209"/>
      <c r="AQ110" s="1128"/>
      <c r="AR110" s="1173"/>
      <c r="AT110" s="1173"/>
      <c r="AV110" s="1173"/>
      <c r="AX110" s="1173"/>
      <c r="AY110" s="1176"/>
      <c r="AZ110" s="1173"/>
    </row>
    <row r="111" spans="1:52" s="2" customFormat="1" x14ac:dyDescent="0.25">
      <c r="A111" s="19">
        <v>101</v>
      </c>
      <c r="B111" s="25">
        <v>4</v>
      </c>
      <c r="C111" s="38">
        <v>84099004</v>
      </c>
      <c r="D111" s="37" t="s">
        <v>161</v>
      </c>
      <c r="E111" s="28" t="s">
        <v>32</v>
      </c>
      <c r="F111" s="25">
        <v>2009</v>
      </c>
      <c r="G111" s="29"/>
      <c r="H111" s="30" t="str">
        <f t="shared" si="22"/>
        <v xml:space="preserve">   </v>
      </c>
      <c r="I111" s="30" t="str">
        <f t="shared" si="23"/>
        <v xml:space="preserve">   </v>
      </c>
      <c r="J111" s="1134"/>
      <c r="K111" s="1135"/>
      <c r="L111" s="1130">
        <v>2500000</v>
      </c>
      <c r="M111" s="1126"/>
      <c r="N111" s="1130">
        <v>2500000</v>
      </c>
      <c r="O111" s="1126"/>
      <c r="P111" s="1130">
        <v>2500000</v>
      </c>
      <c r="Q111" s="1126"/>
      <c r="R111" s="1130"/>
      <c r="S111" s="1126"/>
      <c r="T111" s="1145"/>
      <c r="U111" s="1126"/>
      <c r="V111" s="1130"/>
      <c r="W111" s="1126"/>
      <c r="X111" s="1130"/>
      <c r="Y111" s="1126"/>
      <c r="Z111" s="1130"/>
      <c r="AA111" s="1126"/>
      <c r="AB111" s="1198"/>
      <c r="AC111" s="1126"/>
      <c r="AD111" s="1157"/>
      <c r="AE111" s="1158"/>
      <c r="AF111" s="1207"/>
      <c r="AG111" s="1158"/>
      <c r="AH111" s="1168" t="str">
        <f t="shared" si="16"/>
        <v>PI</v>
      </c>
      <c r="AI111" s="747">
        <f t="shared" si="24"/>
        <v>7500000</v>
      </c>
      <c r="AJ111" s="747">
        <f t="shared" si="25"/>
        <v>12500000</v>
      </c>
      <c r="AK111" s="747">
        <f t="shared" si="26"/>
        <v>5000000</v>
      </c>
      <c r="AL111" s="1170"/>
      <c r="AM111" s="1170"/>
      <c r="AN111" s="1209"/>
      <c r="AO111" s="1170"/>
      <c r="AP111" s="1209"/>
      <c r="AQ111" s="1128"/>
      <c r="AR111" s="1173"/>
      <c r="AT111" s="1173"/>
      <c r="AV111" s="1173"/>
      <c r="AX111" s="1173"/>
      <c r="AY111" s="1176"/>
      <c r="AZ111" s="1173"/>
    </row>
    <row r="112" spans="1:52" s="2" customFormat="1" x14ac:dyDescent="0.25">
      <c r="A112" s="19">
        <v>102</v>
      </c>
      <c r="B112" s="20">
        <v>5</v>
      </c>
      <c r="C112" s="40">
        <v>84099005</v>
      </c>
      <c r="D112" s="39" t="s">
        <v>162</v>
      </c>
      <c r="E112" s="23" t="s">
        <v>32</v>
      </c>
      <c r="F112" s="20">
        <v>2009</v>
      </c>
      <c r="G112" s="23" t="s">
        <v>33</v>
      </c>
      <c r="H112" s="24" t="str">
        <f t="shared" si="22"/>
        <v xml:space="preserve">   </v>
      </c>
      <c r="I112" s="24">
        <f t="shared" si="23"/>
        <v>40544</v>
      </c>
      <c r="J112" s="1123"/>
      <c r="K112" s="1124"/>
      <c r="L112" s="1178">
        <v>2500000</v>
      </c>
      <c r="M112" s="1124"/>
      <c r="N112" s="1178">
        <v>2500000</v>
      </c>
      <c r="O112" s="1124"/>
      <c r="P112" s="1178">
        <v>2500000</v>
      </c>
      <c r="Q112" s="1124"/>
      <c r="R112" s="1178"/>
      <c r="S112" s="1124" t="s">
        <v>154</v>
      </c>
      <c r="T112" s="1188">
        <v>2500000</v>
      </c>
      <c r="U112" s="1126"/>
      <c r="V112" s="1130"/>
      <c r="W112" s="1126"/>
      <c r="X112" s="1130"/>
      <c r="Y112" s="1126">
        <v>40686</v>
      </c>
      <c r="Z112" s="1130"/>
      <c r="AA112" s="1126"/>
      <c r="AB112" s="1198">
        <v>1000000</v>
      </c>
      <c r="AC112" s="1126"/>
      <c r="AD112" s="1157"/>
      <c r="AE112" s="1158"/>
      <c r="AF112" s="1207"/>
      <c r="AG112" s="1158"/>
      <c r="AH112" s="1168" t="str">
        <f t="shared" si="16"/>
        <v>PI</v>
      </c>
      <c r="AI112" s="747">
        <f t="shared" si="24"/>
        <v>11000000</v>
      </c>
      <c r="AJ112" s="747">
        <f t="shared" si="25"/>
        <v>13500000</v>
      </c>
      <c r="AK112" s="747">
        <f t="shared" si="26"/>
        <v>2500000</v>
      </c>
      <c r="AL112" s="1170"/>
      <c r="AM112" s="1170"/>
      <c r="AN112" s="1209"/>
      <c r="AO112" s="1170"/>
      <c r="AP112" s="1209"/>
      <c r="AQ112" s="1128"/>
      <c r="AR112" s="1173"/>
      <c r="AT112" s="1173"/>
      <c r="AV112" s="1173"/>
      <c r="AX112" s="1173"/>
      <c r="AY112" s="1176"/>
      <c r="AZ112" s="1173"/>
    </row>
    <row r="113" spans="1:52" s="2" customFormat="1" x14ac:dyDescent="0.25">
      <c r="A113" s="19">
        <v>103</v>
      </c>
      <c r="B113" s="20">
        <v>6</v>
      </c>
      <c r="C113" s="40">
        <v>84099006</v>
      </c>
      <c r="D113" s="39" t="s">
        <v>163</v>
      </c>
      <c r="E113" s="23" t="s">
        <v>32</v>
      </c>
      <c r="F113" s="20">
        <v>2009</v>
      </c>
      <c r="G113" s="23" t="s">
        <v>33</v>
      </c>
      <c r="H113" s="24" t="str">
        <f t="shared" si="22"/>
        <v xml:space="preserve">   </v>
      </c>
      <c r="I113" s="24">
        <f t="shared" si="23"/>
        <v>40544</v>
      </c>
      <c r="J113" s="1123"/>
      <c r="K113" s="1124"/>
      <c r="L113" s="1178">
        <v>2500000</v>
      </c>
      <c r="M113" s="1124"/>
      <c r="N113" s="1178">
        <v>2500000</v>
      </c>
      <c r="O113" s="1124" t="s">
        <v>164</v>
      </c>
      <c r="P113" s="1178">
        <v>2500000</v>
      </c>
      <c r="Q113" s="1124" t="s">
        <v>165</v>
      </c>
      <c r="R113" s="1178">
        <v>2500000</v>
      </c>
      <c r="S113" s="1124"/>
      <c r="T113" s="1188"/>
      <c r="U113" s="1126"/>
      <c r="V113" s="1130"/>
      <c r="W113" s="1126"/>
      <c r="X113" s="1130"/>
      <c r="Y113" s="1126">
        <v>40681</v>
      </c>
      <c r="Z113" s="1130"/>
      <c r="AA113" s="1126"/>
      <c r="AB113" s="1198">
        <v>1000000</v>
      </c>
      <c r="AC113" s="1126"/>
      <c r="AD113" s="1157"/>
      <c r="AE113" s="1158"/>
      <c r="AF113" s="1207"/>
      <c r="AG113" s="1158"/>
      <c r="AH113" s="1168" t="str">
        <f t="shared" si="16"/>
        <v>PI</v>
      </c>
      <c r="AI113" s="747">
        <f t="shared" si="24"/>
        <v>11000000</v>
      </c>
      <c r="AJ113" s="747">
        <f t="shared" si="25"/>
        <v>13500000</v>
      </c>
      <c r="AK113" s="747">
        <f t="shared" si="26"/>
        <v>2500000</v>
      </c>
      <c r="AL113" s="1170"/>
      <c r="AM113" s="1170"/>
      <c r="AN113" s="1209"/>
      <c r="AO113" s="1170"/>
      <c r="AP113" s="1209"/>
      <c r="AQ113" s="1128"/>
      <c r="AR113" s="1173"/>
      <c r="AT113" s="1173"/>
      <c r="AV113" s="1173"/>
      <c r="AX113" s="1173"/>
      <c r="AY113" s="1176"/>
      <c r="AZ113" s="1173"/>
    </row>
    <row r="114" spans="1:52" s="2" customFormat="1" x14ac:dyDescent="0.25">
      <c r="A114" s="19">
        <v>104</v>
      </c>
      <c r="B114" s="20">
        <v>7</v>
      </c>
      <c r="C114" s="40">
        <v>84099007</v>
      </c>
      <c r="D114" s="39" t="s">
        <v>166</v>
      </c>
      <c r="E114" s="23" t="s">
        <v>32</v>
      </c>
      <c r="F114" s="20">
        <v>2009</v>
      </c>
      <c r="G114" s="23" t="s">
        <v>33</v>
      </c>
      <c r="H114" s="24" t="str">
        <f t="shared" si="22"/>
        <v xml:space="preserve">   </v>
      </c>
      <c r="I114" s="24">
        <f t="shared" si="23"/>
        <v>40544</v>
      </c>
      <c r="J114" s="1123"/>
      <c r="K114" s="1124"/>
      <c r="L114" s="1178">
        <v>2500000</v>
      </c>
      <c r="M114" s="1124"/>
      <c r="N114" s="1178">
        <v>2500000</v>
      </c>
      <c r="O114" s="1124"/>
      <c r="P114" s="1178">
        <v>2500000</v>
      </c>
      <c r="Q114" s="1124">
        <v>40849</v>
      </c>
      <c r="R114" s="1178">
        <v>2500000</v>
      </c>
      <c r="S114" s="1124"/>
      <c r="T114" s="1188"/>
      <c r="U114" s="1126"/>
      <c r="V114" s="1130"/>
      <c r="W114" s="1126"/>
      <c r="X114" s="1130"/>
      <c r="Y114" s="1126">
        <v>40770</v>
      </c>
      <c r="Z114" s="1130"/>
      <c r="AA114" s="1126"/>
      <c r="AB114" s="1198">
        <v>1000000</v>
      </c>
      <c r="AC114" s="1126"/>
      <c r="AD114" s="1157"/>
      <c r="AE114" s="1158"/>
      <c r="AF114" s="1207"/>
      <c r="AG114" s="1158"/>
      <c r="AH114" s="1168" t="str">
        <f t="shared" si="16"/>
        <v>PI</v>
      </c>
      <c r="AI114" s="747">
        <f t="shared" si="24"/>
        <v>11000000</v>
      </c>
      <c r="AJ114" s="747">
        <f t="shared" si="25"/>
        <v>13500000</v>
      </c>
      <c r="AK114" s="747">
        <f t="shared" si="26"/>
        <v>2500000</v>
      </c>
      <c r="AL114" s="1170"/>
      <c r="AM114" s="1170"/>
      <c r="AN114" s="1209"/>
      <c r="AO114" s="1170"/>
      <c r="AP114" s="1209"/>
      <c r="AQ114" s="1128"/>
      <c r="AR114" s="1173"/>
      <c r="AT114" s="1173"/>
      <c r="AV114" s="1173"/>
      <c r="AX114" s="1173"/>
      <c r="AY114" s="1176"/>
      <c r="AZ114" s="1173"/>
    </row>
    <row r="115" spans="1:52" s="2" customFormat="1" x14ac:dyDescent="0.25">
      <c r="A115" s="19">
        <v>105</v>
      </c>
      <c r="B115" s="25">
        <v>8</v>
      </c>
      <c r="C115" s="38">
        <v>84099008</v>
      </c>
      <c r="D115" s="37" t="s">
        <v>167</v>
      </c>
      <c r="E115" s="28" t="s">
        <v>32</v>
      </c>
      <c r="F115" s="25">
        <v>2009</v>
      </c>
      <c r="G115" s="29"/>
      <c r="H115" s="30" t="str">
        <f t="shared" si="22"/>
        <v xml:space="preserve">   </v>
      </c>
      <c r="I115" s="30" t="str">
        <f t="shared" si="23"/>
        <v xml:space="preserve">   </v>
      </c>
      <c r="J115" s="1134"/>
      <c r="K115" s="1135"/>
      <c r="L115" s="1130">
        <v>2500000</v>
      </c>
      <c r="M115" s="1126"/>
      <c r="N115" s="1130">
        <v>2500000</v>
      </c>
      <c r="O115" s="1126"/>
      <c r="P115" s="1130">
        <v>2500000</v>
      </c>
      <c r="Q115" s="1126"/>
      <c r="R115" s="1130"/>
      <c r="S115" s="1126"/>
      <c r="T115" s="1145"/>
      <c r="U115" s="1126"/>
      <c r="V115" s="1130"/>
      <c r="W115" s="1126"/>
      <c r="X115" s="1130"/>
      <c r="Y115" s="1126"/>
      <c r="Z115" s="1130"/>
      <c r="AA115" s="1126"/>
      <c r="AB115" s="1198"/>
      <c r="AC115" s="1126"/>
      <c r="AD115" s="1157"/>
      <c r="AE115" s="1158"/>
      <c r="AF115" s="1207"/>
      <c r="AG115" s="1158"/>
      <c r="AH115" s="1168" t="str">
        <f t="shared" si="16"/>
        <v>PI</v>
      </c>
      <c r="AI115" s="747">
        <f t="shared" si="24"/>
        <v>7500000</v>
      </c>
      <c r="AJ115" s="747">
        <f t="shared" si="25"/>
        <v>12500000</v>
      </c>
      <c r="AK115" s="747">
        <f t="shared" si="26"/>
        <v>5000000</v>
      </c>
      <c r="AL115" s="1170"/>
      <c r="AM115" s="1170"/>
      <c r="AN115" s="1209"/>
      <c r="AO115" s="1170"/>
      <c r="AP115" s="1209"/>
      <c r="AQ115" s="1128"/>
      <c r="AR115" s="1173"/>
      <c r="AT115" s="1173"/>
      <c r="AV115" s="1173"/>
      <c r="AX115" s="1173"/>
      <c r="AY115" s="1176"/>
      <c r="AZ115" s="1173"/>
    </row>
    <row r="116" spans="1:52" s="2" customFormat="1" x14ac:dyDescent="0.25">
      <c r="A116" s="19">
        <v>106</v>
      </c>
      <c r="B116" s="25">
        <v>9</v>
      </c>
      <c r="C116" s="38">
        <v>84099009</v>
      </c>
      <c r="D116" s="37" t="s">
        <v>168</v>
      </c>
      <c r="E116" s="28" t="s">
        <v>32</v>
      </c>
      <c r="F116" s="25">
        <v>2009</v>
      </c>
      <c r="G116" s="29"/>
      <c r="H116" s="30" t="str">
        <f t="shared" si="22"/>
        <v xml:space="preserve">   </v>
      </c>
      <c r="I116" s="30" t="str">
        <f t="shared" si="23"/>
        <v xml:space="preserve">   </v>
      </c>
      <c r="J116" s="1134"/>
      <c r="K116" s="1135"/>
      <c r="L116" s="1130">
        <v>2500000</v>
      </c>
      <c r="M116" s="1126"/>
      <c r="N116" s="1186" t="s">
        <v>137</v>
      </c>
      <c r="O116" s="1126"/>
      <c r="P116" s="1130"/>
      <c r="Q116" s="1126"/>
      <c r="R116" s="1130"/>
      <c r="S116" s="1126"/>
      <c r="T116" s="1145"/>
      <c r="U116" s="1126"/>
      <c r="V116" s="1130"/>
      <c r="W116" s="1126"/>
      <c r="X116" s="1130"/>
      <c r="Y116" s="1126"/>
      <c r="Z116" s="1130"/>
      <c r="AA116" s="1126"/>
      <c r="AB116" s="1198"/>
      <c r="AC116" s="1126"/>
      <c r="AD116" s="1157"/>
      <c r="AE116" s="1158"/>
      <c r="AF116" s="1207"/>
      <c r="AG116" s="1158"/>
      <c r="AH116" s="1168" t="str">
        <f t="shared" si="16"/>
        <v>PI</v>
      </c>
      <c r="AI116" s="747">
        <f t="shared" si="24"/>
        <v>2500000</v>
      </c>
      <c r="AJ116" s="747">
        <f t="shared" si="25"/>
        <v>12500000</v>
      </c>
      <c r="AK116" s="747">
        <f t="shared" si="26"/>
        <v>10000000</v>
      </c>
      <c r="AL116" s="1170"/>
      <c r="AM116" s="1170"/>
      <c r="AN116" s="1209"/>
      <c r="AO116" s="1170"/>
      <c r="AP116" s="1209"/>
      <c r="AQ116" s="1128"/>
      <c r="AR116" s="1173"/>
      <c r="AT116" s="1173"/>
      <c r="AV116" s="1173"/>
      <c r="AX116" s="1173"/>
      <c r="AY116" s="1176"/>
      <c r="AZ116" s="1173"/>
    </row>
    <row r="117" spans="1:52" s="2" customFormat="1" x14ac:dyDescent="0.25">
      <c r="A117" s="19">
        <v>107</v>
      </c>
      <c r="B117" s="25">
        <v>10</v>
      </c>
      <c r="C117" s="38">
        <v>84099010</v>
      </c>
      <c r="D117" s="37" t="s">
        <v>169</v>
      </c>
      <c r="E117" s="28" t="s">
        <v>32</v>
      </c>
      <c r="F117" s="25">
        <v>2009</v>
      </c>
      <c r="G117" s="29"/>
      <c r="H117" s="30" t="str">
        <f t="shared" si="22"/>
        <v xml:space="preserve">   </v>
      </c>
      <c r="I117" s="30" t="str">
        <f t="shared" si="23"/>
        <v xml:space="preserve">   </v>
      </c>
      <c r="J117" s="1134"/>
      <c r="K117" s="1135"/>
      <c r="L117" s="1130">
        <v>2500000</v>
      </c>
      <c r="M117" s="1126"/>
      <c r="N117" s="1130">
        <v>2500000</v>
      </c>
      <c r="O117" s="1126"/>
      <c r="P117" s="1130">
        <v>2500000</v>
      </c>
      <c r="Q117" s="1126" t="s">
        <v>170</v>
      </c>
      <c r="R117" s="1130">
        <v>2500000</v>
      </c>
      <c r="S117" s="1126"/>
      <c r="T117" s="1145"/>
      <c r="U117" s="1126"/>
      <c r="V117" s="1130"/>
      <c r="W117" s="1126"/>
      <c r="X117" s="1130"/>
      <c r="Y117" s="1126"/>
      <c r="Z117" s="1130"/>
      <c r="AA117" s="1126"/>
      <c r="AB117" s="1198"/>
      <c r="AC117" s="1126"/>
      <c r="AD117" s="1157"/>
      <c r="AE117" s="1158"/>
      <c r="AF117" s="1193"/>
      <c r="AG117" s="1158"/>
      <c r="AH117" s="1168" t="str">
        <f t="shared" si="16"/>
        <v>PI</v>
      </c>
      <c r="AI117" s="1170">
        <f t="shared" si="24"/>
        <v>10000000</v>
      </c>
      <c r="AJ117" s="747">
        <f t="shared" si="25"/>
        <v>12500000</v>
      </c>
      <c r="AK117" s="747">
        <f t="shared" si="26"/>
        <v>2500000</v>
      </c>
      <c r="AL117" s="1170"/>
      <c r="AM117" s="1170"/>
      <c r="AN117" s="1209"/>
      <c r="AO117" s="1170"/>
      <c r="AP117" s="1209"/>
      <c r="AQ117" s="1128"/>
      <c r="AR117" s="1173"/>
      <c r="AT117" s="1173"/>
      <c r="AV117" s="1173"/>
      <c r="AX117" s="1173"/>
      <c r="AY117" s="1176"/>
      <c r="AZ117" s="1173"/>
    </row>
    <row r="118" spans="1:52" s="2" customFormat="1" x14ac:dyDescent="0.25">
      <c r="A118" s="19">
        <v>108</v>
      </c>
      <c r="B118" s="20">
        <v>11</v>
      </c>
      <c r="C118" s="40">
        <v>84099011</v>
      </c>
      <c r="D118" s="39" t="s">
        <v>171</v>
      </c>
      <c r="E118" s="23" t="s">
        <v>32</v>
      </c>
      <c r="F118" s="20">
        <v>2009</v>
      </c>
      <c r="G118" s="23" t="s">
        <v>33</v>
      </c>
      <c r="H118" s="24" t="str">
        <f t="shared" si="22"/>
        <v xml:space="preserve">   </v>
      </c>
      <c r="I118" s="24">
        <f t="shared" si="23"/>
        <v>40544</v>
      </c>
      <c r="J118" s="1123"/>
      <c r="K118" s="1124"/>
      <c r="L118" s="1178">
        <v>2500000</v>
      </c>
      <c r="M118" s="1124"/>
      <c r="N118" s="1178">
        <v>2500000</v>
      </c>
      <c r="O118" s="1124">
        <v>40337</v>
      </c>
      <c r="P118" s="1178">
        <v>2500000</v>
      </c>
      <c r="Q118" s="1124">
        <v>40595</v>
      </c>
      <c r="R118" s="1178">
        <v>2500000</v>
      </c>
      <c r="S118" s="1126"/>
      <c r="T118" s="1145"/>
      <c r="U118" s="1126"/>
      <c r="V118" s="1130"/>
      <c r="W118" s="1126"/>
      <c r="X118" s="1130"/>
      <c r="Y118" s="1126">
        <v>40589</v>
      </c>
      <c r="Z118" s="1130"/>
      <c r="AA118" s="1126"/>
      <c r="AB118" s="1198">
        <v>1000000</v>
      </c>
      <c r="AC118" s="1126"/>
      <c r="AD118" s="1157"/>
      <c r="AE118" s="1158"/>
      <c r="AF118" s="1193"/>
      <c r="AG118" s="1158"/>
      <c r="AH118" s="1168" t="str">
        <f t="shared" si="16"/>
        <v>PI</v>
      </c>
      <c r="AI118" s="1170">
        <f t="shared" si="24"/>
        <v>11000000</v>
      </c>
      <c r="AJ118" s="747">
        <f t="shared" si="25"/>
        <v>13500000</v>
      </c>
      <c r="AK118" s="747">
        <f t="shared" si="26"/>
        <v>2500000</v>
      </c>
      <c r="AL118" s="1170"/>
      <c r="AM118" s="1170"/>
      <c r="AN118" s="1209"/>
      <c r="AO118" s="1170"/>
      <c r="AP118" s="1209"/>
      <c r="AQ118" s="1128"/>
      <c r="AR118" s="1173"/>
      <c r="AT118" s="1173"/>
      <c r="AV118" s="1173"/>
      <c r="AX118" s="1173"/>
      <c r="AY118" s="1176"/>
      <c r="AZ118" s="1173"/>
    </row>
    <row r="119" spans="1:52" s="2" customFormat="1" x14ac:dyDescent="0.25">
      <c r="A119" s="19">
        <v>109</v>
      </c>
      <c r="B119" s="25">
        <v>12</v>
      </c>
      <c r="C119" s="38">
        <v>84099012</v>
      </c>
      <c r="D119" s="37" t="s">
        <v>172</v>
      </c>
      <c r="E119" s="28" t="s">
        <v>32</v>
      </c>
      <c r="F119" s="25">
        <v>2009</v>
      </c>
      <c r="G119" s="29"/>
      <c r="H119" s="30" t="str">
        <f t="shared" si="22"/>
        <v xml:space="preserve">   </v>
      </c>
      <c r="I119" s="30" t="str">
        <f t="shared" si="23"/>
        <v xml:space="preserve">   </v>
      </c>
      <c r="J119" s="1134"/>
      <c r="K119" s="1135"/>
      <c r="L119" s="1130">
        <v>2500000</v>
      </c>
      <c r="M119" s="1126"/>
      <c r="N119" s="1130">
        <v>2500000</v>
      </c>
      <c r="O119" s="1126"/>
      <c r="P119" s="1130">
        <v>2500000</v>
      </c>
      <c r="Q119" s="1126">
        <v>40582</v>
      </c>
      <c r="R119" s="1130">
        <v>2500000</v>
      </c>
      <c r="S119" s="1126"/>
      <c r="T119" s="1145"/>
      <c r="U119" s="1126"/>
      <c r="V119" s="1130"/>
      <c r="W119" s="1126"/>
      <c r="X119" s="1130"/>
      <c r="Y119" s="1126">
        <v>40591</v>
      </c>
      <c r="Z119" s="1130"/>
      <c r="AA119" s="1126"/>
      <c r="AB119" s="1198">
        <v>1000000</v>
      </c>
      <c r="AC119" s="1126"/>
      <c r="AD119" s="1157"/>
      <c r="AE119" s="1158"/>
      <c r="AF119" s="1193"/>
      <c r="AG119" s="1158"/>
      <c r="AH119" s="1168" t="str">
        <f t="shared" si="16"/>
        <v>PI</v>
      </c>
      <c r="AI119" s="1170">
        <f t="shared" si="24"/>
        <v>11000000</v>
      </c>
      <c r="AJ119" s="747">
        <f t="shared" si="25"/>
        <v>13500000</v>
      </c>
      <c r="AK119" s="747">
        <f t="shared" si="26"/>
        <v>2500000</v>
      </c>
      <c r="AL119" s="1170"/>
      <c r="AM119" s="1170"/>
      <c r="AN119" s="1209"/>
      <c r="AO119" s="1170"/>
      <c r="AP119" s="1209"/>
      <c r="AQ119" s="1128"/>
      <c r="AR119" s="1173"/>
      <c r="AT119" s="1173"/>
      <c r="AV119" s="1173"/>
      <c r="AX119" s="1173"/>
      <c r="AY119" s="1176"/>
      <c r="AZ119" s="1173"/>
    </row>
    <row r="120" spans="1:52" s="2" customFormat="1" x14ac:dyDescent="0.25">
      <c r="A120" s="19">
        <v>110</v>
      </c>
      <c r="B120" s="25">
        <v>13</v>
      </c>
      <c r="C120" s="38">
        <v>84099013</v>
      </c>
      <c r="D120" s="37" t="s">
        <v>173</v>
      </c>
      <c r="E120" s="28" t="s">
        <v>32</v>
      </c>
      <c r="F120" s="25">
        <v>2009</v>
      </c>
      <c r="G120" s="29"/>
      <c r="H120" s="30" t="str">
        <f t="shared" si="22"/>
        <v xml:space="preserve">   </v>
      </c>
      <c r="I120" s="30" t="str">
        <f t="shared" si="23"/>
        <v xml:space="preserve">   </v>
      </c>
      <c r="J120" s="1125"/>
      <c r="K120" s="1126"/>
      <c r="L120" s="1130">
        <v>2500000</v>
      </c>
      <c r="M120" s="1126"/>
      <c r="N120" s="1130">
        <v>2500000</v>
      </c>
      <c r="O120" s="1126"/>
      <c r="P120" s="1130">
        <v>2500000</v>
      </c>
      <c r="Q120" s="1126" t="s">
        <v>174</v>
      </c>
      <c r="R120" s="1130">
        <v>2500000</v>
      </c>
      <c r="S120" s="1126" t="s">
        <v>174</v>
      </c>
      <c r="T120" s="1145">
        <v>2500000</v>
      </c>
      <c r="U120" s="1126"/>
      <c r="V120" s="1130"/>
      <c r="W120" s="1126"/>
      <c r="X120" s="1130"/>
      <c r="Y120" s="1126"/>
      <c r="Z120" s="1130"/>
      <c r="AA120" s="1126"/>
      <c r="AB120" s="1198"/>
      <c r="AC120" s="1126"/>
      <c r="AD120" s="1157"/>
      <c r="AE120" s="1158"/>
      <c r="AF120" s="1193"/>
      <c r="AG120" s="1158"/>
      <c r="AH120" s="1168" t="str">
        <f t="shared" si="16"/>
        <v>PI</v>
      </c>
      <c r="AI120" s="1170">
        <f t="shared" si="24"/>
        <v>12500000</v>
      </c>
      <c r="AJ120" s="747">
        <f t="shared" si="25"/>
        <v>12500000</v>
      </c>
      <c r="AK120" s="747">
        <f t="shared" si="26"/>
        <v>0</v>
      </c>
      <c r="AL120" s="1170"/>
      <c r="AM120" s="1170"/>
      <c r="AN120" s="1209"/>
      <c r="AO120" s="1170"/>
      <c r="AP120" s="1209"/>
      <c r="AQ120" s="1128"/>
      <c r="AR120" s="1173"/>
      <c r="AT120" s="1173"/>
      <c r="AV120" s="1173"/>
      <c r="AX120" s="1173"/>
      <c r="AY120" s="1176"/>
      <c r="AZ120" s="1173"/>
    </row>
    <row r="121" spans="1:52" s="2" customFormat="1" x14ac:dyDescent="0.25">
      <c r="A121" s="19">
        <v>111</v>
      </c>
      <c r="B121" s="20">
        <v>14</v>
      </c>
      <c r="C121" s="40">
        <v>84099014</v>
      </c>
      <c r="D121" s="39" t="s">
        <v>175</v>
      </c>
      <c r="E121" s="23" t="s">
        <v>32</v>
      </c>
      <c r="F121" s="20">
        <v>2009</v>
      </c>
      <c r="G121" s="23" t="s">
        <v>33</v>
      </c>
      <c r="H121" s="24" t="str">
        <f t="shared" si="22"/>
        <v xml:space="preserve">   </v>
      </c>
      <c r="I121" s="24">
        <f t="shared" si="23"/>
        <v>40544</v>
      </c>
      <c r="J121" s="1123"/>
      <c r="K121" s="1124"/>
      <c r="L121" s="1178">
        <v>2500000</v>
      </c>
      <c r="M121" s="1124"/>
      <c r="N121" s="1178">
        <v>2500000</v>
      </c>
      <c r="O121" s="1124"/>
      <c r="P121" s="1178">
        <v>2500000</v>
      </c>
      <c r="Q121" s="1124">
        <v>40659</v>
      </c>
      <c r="R121" s="1178">
        <v>2500000</v>
      </c>
      <c r="S121" s="1126"/>
      <c r="T121" s="1145"/>
      <c r="U121" s="1126"/>
      <c r="V121" s="1130"/>
      <c r="W121" s="1126"/>
      <c r="X121" s="1130"/>
      <c r="Y121" s="1126">
        <v>40659</v>
      </c>
      <c r="Z121" s="1130"/>
      <c r="AA121" s="1126"/>
      <c r="AB121" s="1198">
        <v>1000000</v>
      </c>
      <c r="AC121" s="1126"/>
      <c r="AD121" s="1157"/>
      <c r="AE121" s="1158"/>
      <c r="AF121" s="1193"/>
      <c r="AG121" s="1158"/>
      <c r="AH121" s="1168" t="str">
        <f t="shared" si="16"/>
        <v>PI</v>
      </c>
      <c r="AI121" s="1170">
        <f t="shared" si="24"/>
        <v>11000000</v>
      </c>
      <c r="AJ121" s="747">
        <f t="shared" si="25"/>
        <v>13500000</v>
      </c>
      <c r="AK121" s="747">
        <f t="shared" si="26"/>
        <v>2500000</v>
      </c>
      <c r="AL121" s="1170"/>
      <c r="AM121" s="1170"/>
      <c r="AN121" s="1209"/>
      <c r="AO121" s="1170"/>
      <c r="AP121" s="1209"/>
      <c r="AQ121" s="1128"/>
      <c r="AR121" s="1173"/>
      <c r="AT121" s="1173"/>
      <c r="AV121" s="1173"/>
      <c r="AX121" s="1173"/>
      <c r="AY121" s="1176"/>
      <c r="AZ121" s="1173"/>
    </row>
    <row r="122" spans="1:52" s="2" customFormat="1" x14ac:dyDescent="0.25">
      <c r="A122" s="19">
        <v>112</v>
      </c>
      <c r="B122" s="25">
        <v>15</v>
      </c>
      <c r="C122" s="38">
        <v>84099015</v>
      </c>
      <c r="D122" s="37" t="s">
        <v>176</v>
      </c>
      <c r="E122" s="28" t="s">
        <v>32</v>
      </c>
      <c r="F122" s="25">
        <v>2009</v>
      </c>
      <c r="G122" s="29"/>
      <c r="H122" s="30" t="str">
        <f t="shared" si="22"/>
        <v xml:space="preserve">   </v>
      </c>
      <c r="I122" s="30" t="str">
        <f t="shared" si="23"/>
        <v xml:space="preserve">   </v>
      </c>
      <c r="J122" s="1134"/>
      <c r="K122" s="1135"/>
      <c r="L122" s="1130">
        <v>2500000</v>
      </c>
      <c r="M122" s="1126"/>
      <c r="N122" s="1130">
        <v>2500000</v>
      </c>
      <c r="O122" s="1126">
        <v>40620</v>
      </c>
      <c r="P122" s="1130">
        <v>2500000</v>
      </c>
      <c r="Q122" s="1126"/>
      <c r="R122" s="1130"/>
      <c r="S122" s="1126"/>
      <c r="T122" s="1145"/>
      <c r="U122" s="1126"/>
      <c r="V122" s="1130"/>
      <c r="W122" s="1126"/>
      <c r="X122" s="1130"/>
      <c r="Y122" s="1126"/>
      <c r="Z122" s="1130"/>
      <c r="AA122" s="1126"/>
      <c r="AB122" s="1198"/>
      <c r="AC122" s="1126"/>
      <c r="AD122" s="1157"/>
      <c r="AE122" s="1158"/>
      <c r="AF122" s="1193"/>
      <c r="AG122" s="1158"/>
      <c r="AH122" s="1168" t="str">
        <f t="shared" si="16"/>
        <v>PI</v>
      </c>
      <c r="AI122" s="1170">
        <f t="shared" si="24"/>
        <v>7500000</v>
      </c>
      <c r="AJ122" s="747">
        <f t="shared" si="25"/>
        <v>12500000</v>
      </c>
      <c r="AK122" s="747">
        <f t="shared" si="26"/>
        <v>5000000</v>
      </c>
      <c r="AL122" s="1170"/>
      <c r="AM122" s="1170"/>
      <c r="AN122" s="1209"/>
      <c r="AO122" s="1170"/>
      <c r="AP122" s="1209"/>
      <c r="AQ122" s="1128"/>
      <c r="AR122" s="1173"/>
      <c r="AT122" s="1173"/>
      <c r="AV122" s="1173"/>
      <c r="AX122" s="1173"/>
      <c r="AY122" s="1176"/>
      <c r="AZ122" s="1173"/>
    </row>
    <row r="123" spans="1:52" s="2" customFormat="1" x14ac:dyDescent="0.25">
      <c r="A123" s="19">
        <v>113</v>
      </c>
      <c r="B123" s="20">
        <v>16</v>
      </c>
      <c r="C123" s="40">
        <v>84099016</v>
      </c>
      <c r="D123" s="39" t="s">
        <v>177</v>
      </c>
      <c r="E123" s="23" t="s">
        <v>32</v>
      </c>
      <c r="F123" s="20">
        <v>2009</v>
      </c>
      <c r="G123" s="23" t="s">
        <v>33</v>
      </c>
      <c r="H123" s="24" t="str">
        <f t="shared" si="22"/>
        <v xml:space="preserve">   </v>
      </c>
      <c r="I123" s="24">
        <f t="shared" si="23"/>
        <v>40544</v>
      </c>
      <c r="J123" s="1123"/>
      <c r="K123" s="1124"/>
      <c r="L123" s="1178">
        <v>2500000</v>
      </c>
      <c r="M123" s="1124"/>
      <c r="N123" s="1178">
        <v>2500000</v>
      </c>
      <c r="O123" s="1124"/>
      <c r="P123" s="1178">
        <v>2500000</v>
      </c>
      <c r="Q123" s="1124" t="s">
        <v>157</v>
      </c>
      <c r="R123" s="1178">
        <v>2500000</v>
      </c>
      <c r="S123" s="1126"/>
      <c r="T123" s="1145"/>
      <c r="U123" s="1126"/>
      <c r="V123" s="1130"/>
      <c r="W123" s="1126"/>
      <c r="X123" s="1130"/>
      <c r="Y123" s="1126">
        <v>40708</v>
      </c>
      <c r="Z123" s="1130"/>
      <c r="AA123" s="1126"/>
      <c r="AB123" s="1198">
        <v>1000000</v>
      </c>
      <c r="AC123" s="1126"/>
      <c r="AD123" s="1157"/>
      <c r="AE123" s="1158"/>
      <c r="AF123" s="1193"/>
      <c r="AG123" s="1158"/>
      <c r="AH123" s="1168" t="str">
        <f t="shared" si="16"/>
        <v>PI</v>
      </c>
      <c r="AI123" s="1170">
        <f t="shared" si="24"/>
        <v>11000000</v>
      </c>
      <c r="AJ123" s="747">
        <f t="shared" si="25"/>
        <v>13500000</v>
      </c>
      <c r="AK123" s="747">
        <f t="shared" si="26"/>
        <v>2500000</v>
      </c>
      <c r="AL123" s="1170"/>
      <c r="AM123" s="1170"/>
      <c r="AN123" s="1209"/>
      <c r="AO123" s="1170"/>
      <c r="AP123" s="1209"/>
      <c r="AQ123" s="1128"/>
      <c r="AR123" s="1173"/>
      <c r="AT123" s="1173"/>
      <c r="AV123" s="1173"/>
      <c r="AX123" s="1173"/>
      <c r="AY123" s="1176"/>
      <c r="AZ123" s="1173"/>
    </row>
    <row r="124" spans="1:52" s="2" customFormat="1" x14ac:dyDescent="0.25">
      <c r="A124" s="19">
        <v>114</v>
      </c>
      <c r="B124" s="25">
        <v>17</v>
      </c>
      <c r="C124" s="38">
        <v>84099017</v>
      </c>
      <c r="D124" s="37" t="s">
        <v>178</v>
      </c>
      <c r="E124" s="28" t="s">
        <v>32</v>
      </c>
      <c r="F124" s="25">
        <v>2009</v>
      </c>
      <c r="G124" s="29"/>
      <c r="H124" s="30" t="str">
        <f t="shared" si="22"/>
        <v xml:space="preserve">   </v>
      </c>
      <c r="I124" s="30" t="str">
        <f t="shared" si="23"/>
        <v xml:space="preserve">   </v>
      </c>
      <c r="J124" s="1125"/>
      <c r="K124" s="1126"/>
      <c r="L124" s="1130">
        <v>2500000</v>
      </c>
      <c r="M124" s="1126"/>
      <c r="N124" s="1130"/>
      <c r="O124" s="1126"/>
      <c r="P124" s="1130">
        <v>2500000</v>
      </c>
      <c r="Q124" s="1126">
        <v>40686</v>
      </c>
      <c r="R124" s="1130">
        <v>2500000</v>
      </c>
      <c r="S124" s="1126"/>
      <c r="T124" s="1145"/>
      <c r="U124" s="1126"/>
      <c r="V124" s="1130"/>
      <c r="W124" s="1126"/>
      <c r="X124" s="1130"/>
      <c r="Y124" s="1126">
        <v>40686</v>
      </c>
      <c r="Z124" s="1130"/>
      <c r="AA124" s="1126"/>
      <c r="AB124" s="1198">
        <v>1000000</v>
      </c>
      <c r="AC124" s="1126"/>
      <c r="AD124" s="1157"/>
      <c r="AE124" s="1158"/>
      <c r="AF124" s="1193"/>
      <c r="AG124" s="1158"/>
      <c r="AH124" s="1168" t="str">
        <f t="shared" si="16"/>
        <v>PI</v>
      </c>
      <c r="AI124" s="1170">
        <f t="shared" si="24"/>
        <v>8500000</v>
      </c>
      <c r="AJ124" s="747">
        <f t="shared" si="25"/>
        <v>13500000</v>
      </c>
      <c r="AK124" s="747">
        <f t="shared" si="26"/>
        <v>5000000</v>
      </c>
      <c r="AL124" s="1170"/>
      <c r="AM124" s="1170"/>
      <c r="AN124" s="1209"/>
      <c r="AO124" s="1170"/>
      <c r="AP124" s="1209"/>
      <c r="AQ124" s="1128"/>
      <c r="AR124" s="1173"/>
      <c r="AT124" s="1173"/>
      <c r="AV124" s="1173"/>
      <c r="AX124" s="1173"/>
      <c r="AY124" s="1176"/>
      <c r="AZ124" s="1173"/>
    </row>
    <row r="125" spans="1:52" s="2" customFormat="1" x14ac:dyDescent="0.25">
      <c r="A125" s="19">
        <v>115</v>
      </c>
      <c r="B125" s="25">
        <v>18</v>
      </c>
      <c r="C125" s="38">
        <v>84099018</v>
      </c>
      <c r="D125" s="37" t="s">
        <v>179</v>
      </c>
      <c r="E125" s="28" t="s">
        <v>32</v>
      </c>
      <c r="F125" s="25">
        <v>2009</v>
      </c>
      <c r="G125" s="29"/>
      <c r="H125" s="30" t="str">
        <f t="shared" si="22"/>
        <v xml:space="preserve">   </v>
      </c>
      <c r="I125" s="30" t="str">
        <f t="shared" si="23"/>
        <v xml:space="preserve">   </v>
      </c>
      <c r="J125" s="1125"/>
      <c r="K125" s="1126"/>
      <c r="L125" s="1130">
        <v>2500000</v>
      </c>
      <c r="M125" s="1126"/>
      <c r="N125" s="1130">
        <v>2500000</v>
      </c>
      <c r="O125" s="1126"/>
      <c r="P125" s="1130">
        <v>2500000</v>
      </c>
      <c r="Q125" s="1126">
        <v>40670</v>
      </c>
      <c r="R125" s="1130">
        <v>2500000</v>
      </c>
      <c r="S125" s="1126"/>
      <c r="T125" s="1145"/>
      <c r="U125" s="1126"/>
      <c r="V125" s="1130"/>
      <c r="W125" s="1126"/>
      <c r="X125" s="1130"/>
      <c r="Y125" s="1126"/>
      <c r="Z125" s="1130"/>
      <c r="AA125" s="1126"/>
      <c r="AB125" s="1198"/>
      <c r="AC125" s="1126"/>
      <c r="AD125" s="1157"/>
      <c r="AE125" s="1158"/>
      <c r="AF125" s="1193"/>
      <c r="AG125" s="1158"/>
      <c r="AH125" s="1168" t="str">
        <f t="shared" si="16"/>
        <v>PI</v>
      </c>
      <c r="AI125" s="1170">
        <f t="shared" si="24"/>
        <v>10000000</v>
      </c>
      <c r="AJ125" s="747">
        <f t="shared" si="25"/>
        <v>12500000</v>
      </c>
      <c r="AK125" s="747">
        <f t="shared" si="26"/>
        <v>2500000</v>
      </c>
      <c r="AL125" s="1170"/>
      <c r="AM125" s="1170"/>
      <c r="AN125" s="1209"/>
      <c r="AO125" s="1170"/>
      <c r="AP125" s="1209"/>
      <c r="AQ125" s="1128"/>
      <c r="AR125" s="1173"/>
      <c r="AT125" s="1173"/>
      <c r="AV125" s="1173"/>
      <c r="AX125" s="1173"/>
      <c r="AY125" s="1176"/>
      <c r="AZ125" s="1173"/>
    </row>
    <row r="126" spans="1:52" s="2" customFormat="1" x14ac:dyDescent="0.25">
      <c r="A126" s="19">
        <v>116</v>
      </c>
      <c r="B126" s="25">
        <v>19</v>
      </c>
      <c r="C126" s="38">
        <v>84099019</v>
      </c>
      <c r="D126" s="37" t="s">
        <v>180</v>
      </c>
      <c r="E126" s="28" t="s">
        <v>32</v>
      </c>
      <c r="F126" s="25">
        <v>2009</v>
      </c>
      <c r="G126" s="29"/>
      <c r="H126" s="30" t="str">
        <f t="shared" si="22"/>
        <v xml:space="preserve">   </v>
      </c>
      <c r="I126" s="30" t="str">
        <f t="shared" si="23"/>
        <v xml:space="preserve">   </v>
      </c>
      <c r="J126" s="1125"/>
      <c r="K126" s="1126"/>
      <c r="L126" s="1130">
        <v>2500000</v>
      </c>
      <c r="M126" s="1126"/>
      <c r="N126" s="1130">
        <v>2500000</v>
      </c>
      <c r="O126" s="1126"/>
      <c r="P126" s="1130">
        <v>2500000</v>
      </c>
      <c r="Q126" s="1126">
        <v>40884</v>
      </c>
      <c r="R126" s="1130">
        <v>2500000</v>
      </c>
      <c r="S126" s="1126" t="s">
        <v>181</v>
      </c>
      <c r="T126" s="1145">
        <v>2500000</v>
      </c>
      <c r="U126" s="1126">
        <v>40947</v>
      </c>
      <c r="V126" s="1130">
        <v>600000</v>
      </c>
      <c r="W126" s="1126">
        <v>40947</v>
      </c>
      <c r="X126" s="1130">
        <v>600000</v>
      </c>
      <c r="Y126" s="1126">
        <v>41499</v>
      </c>
      <c r="Z126" s="1130">
        <v>600000</v>
      </c>
      <c r="AA126" s="1126"/>
      <c r="AB126" s="1198">
        <v>1000000</v>
      </c>
      <c r="AC126" s="1126">
        <v>40884</v>
      </c>
      <c r="AD126" s="1157"/>
      <c r="AE126" s="1158"/>
      <c r="AF126" s="1193"/>
      <c r="AG126" s="1158"/>
      <c r="AH126" s="1168" t="str">
        <f t="shared" si="16"/>
        <v>PI</v>
      </c>
      <c r="AI126" s="1170">
        <f t="shared" si="24"/>
        <v>15300000</v>
      </c>
      <c r="AJ126" s="747">
        <f>(COUNT(L126,N126,P126,R126,T126)*2500000)+(COUNT(V126,X126,Z126,AD126,AF126)*600000)+AB126</f>
        <v>15300000</v>
      </c>
      <c r="AK126" s="747">
        <f t="shared" si="26"/>
        <v>0</v>
      </c>
      <c r="AL126" s="1170"/>
      <c r="AM126" s="1170"/>
      <c r="AN126" s="1209"/>
      <c r="AO126" s="1170"/>
      <c r="AP126" s="1209"/>
      <c r="AQ126" s="1128"/>
      <c r="AR126" s="1173"/>
      <c r="AT126" s="1173"/>
      <c r="AV126" s="1173"/>
      <c r="AX126" s="1173"/>
      <c r="AY126" s="1176"/>
      <c r="AZ126" s="1173"/>
    </row>
    <row r="127" spans="1:52" s="2" customFormat="1" x14ac:dyDescent="0.25">
      <c r="A127" s="19">
        <v>117</v>
      </c>
      <c r="B127" s="25">
        <v>20</v>
      </c>
      <c r="C127" s="38">
        <v>84099020</v>
      </c>
      <c r="D127" s="37" t="s">
        <v>182</v>
      </c>
      <c r="E127" s="28" t="s">
        <v>32</v>
      </c>
      <c r="F127" s="25">
        <v>2009</v>
      </c>
      <c r="G127" s="29"/>
      <c r="H127" s="30" t="str">
        <f t="shared" si="22"/>
        <v xml:space="preserve">   </v>
      </c>
      <c r="I127" s="30" t="str">
        <f t="shared" si="23"/>
        <v xml:space="preserve">   </v>
      </c>
      <c r="J127" s="1125"/>
      <c r="K127" s="1126"/>
      <c r="L127" s="1130">
        <v>2500000</v>
      </c>
      <c r="M127" s="1126"/>
      <c r="N127" s="1130">
        <v>2500000</v>
      </c>
      <c r="O127" s="1126"/>
      <c r="P127" s="1130">
        <v>2500000</v>
      </c>
      <c r="Q127" s="1126" t="s">
        <v>183</v>
      </c>
      <c r="R127" s="1130">
        <v>2500000</v>
      </c>
      <c r="S127" s="1126" t="s">
        <v>184</v>
      </c>
      <c r="T127" s="1145">
        <v>2500000</v>
      </c>
      <c r="U127" s="1126" t="s">
        <v>184</v>
      </c>
      <c r="V127" s="1130">
        <v>600000</v>
      </c>
      <c r="W127" s="1126"/>
      <c r="X127" s="1130"/>
      <c r="Y127" s="1126">
        <v>40957</v>
      </c>
      <c r="Z127" s="1130"/>
      <c r="AA127" s="1126"/>
      <c r="AB127" s="1198">
        <v>1000000</v>
      </c>
      <c r="AC127" s="1126"/>
      <c r="AD127" s="1157"/>
      <c r="AE127" s="1158"/>
      <c r="AF127" s="1193"/>
      <c r="AG127" s="1158"/>
      <c r="AH127" s="1168" t="str">
        <f t="shared" si="16"/>
        <v>PI</v>
      </c>
      <c r="AI127" s="1170">
        <f t="shared" si="24"/>
        <v>14100000</v>
      </c>
      <c r="AJ127" s="747">
        <f>(COUNT(L127,N127,P127,R127,T127)*2500000)+(COUNT(V127,X127,Z127,AD127,AF127)*600000)+AB127</f>
        <v>14100000</v>
      </c>
      <c r="AK127" s="747">
        <f t="shared" si="26"/>
        <v>0</v>
      </c>
      <c r="AL127" s="1170"/>
      <c r="AM127" s="1170"/>
      <c r="AN127" s="1209"/>
      <c r="AO127" s="1170"/>
      <c r="AP127" s="1209"/>
      <c r="AQ127" s="1128"/>
      <c r="AR127" s="1173"/>
      <c r="AT127" s="1173"/>
      <c r="AV127" s="1173"/>
      <c r="AX127" s="1173"/>
      <c r="AY127" s="1176"/>
      <c r="AZ127" s="1173"/>
    </row>
    <row r="128" spans="1:52" s="2" customFormat="1" x14ac:dyDescent="0.25">
      <c r="A128" s="19">
        <v>118</v>
      </c>
      <c r="B128" s="25">
        <v>21</v>
      </c>
      <c r="C128" s="38">
        <v>84099021</v>
      </c>
      <c r="D128" s="37" t="s">
        <v>185</v>
      </c>
      <c r="E128" s="28" t="s">
        <v>32</v>
      </c>
      <c r="F128" s="25">
        <v>2009</v>
      </c>
      <c r="G128" s="29"/>
      <c r="H128" s="30" t="str">
        <f t="shared" si="22"/>
        <v xml:space="preserve">   </v>
      </c>
      <c r="I128" s="30" t="str">
        <f t="shared" si="23"/>
        <v xml:space="preserve">   </v>
      </c>
      <c r="J128" s="1125"/>
      <c r="K128" s="1126"/>
      <c r="L128" s="1130">
        <v>2500000</v>
      </c>
      <c r="M128" s="1126"/>
      <c r="N128" s="1130"/>
      <c r="O128" s="1126"/>
      <c r="P128" s="1130"/>
      <c r="Q128" s="1126"/>
      <c r="R128" s="1130"/>
      <c r="S128" s="1126"/>
      <c r="T128" s="1145"/>
      <c r="U128" s="1126"/>
      <c r="V128" s="1130"/>
      <c r="W128" s="1126"/>
      <c r="X128" s="1130"/>
      <c r="Y128" s="1126"/>
      <c r="Z128" s="1130"/>
      <c r="AA128" s="1126"/>
      <c r="AB128" s="1198"/>
      <c r="AC128" s="1126"/>
      <c r="AD128" s="1157"/>
      <c r="AE128" s="1158"/>
      <c r="AF128" s="1193"/>
      <c r="AG128" s="1158"/>
      <c r="AH128" s="1168" t="str">
        <f t="shared" si="16"/>
        <v>PI</v>
      </c>
      <c r="AI128" s="1170">
        <f t="shared" si="24"/>
        <v>2500000</v>
      </c>
      <c r="AJ128" s="747">
        <f>((COUNT((L128,N128,P128,R128,T128,V128,X128,Z128,AD128,AF128)))*L128)+(J128+AB128)</f>
        <v>2500000</v>
      </c>
      <c r="AK128" s="747">
        <f t="shared" si="26"/>
        <v>0</v>
      </c>
      <c r="AL128" s="1170"/>
      <c r="AM128" s="1170"/>
      <c r="AN128" s="1209"/>
      <c r="AO128" s="1170"/>
      <c r="AP128" s="1209"/>
      <c r="AQ128" s="1128"/>
      <c r="AR128" s="1173"/>
      <c r="AT128" s="1173"/>
      <c r="AV128" s="1173"/>
      <c r="AX128" s="1173"/>
      <c r="AY128" s="1176"/>
      <c r="AZ128" s="1173"/>
    </row>
    <row r="129" spans="1:52" s="2" customFormat="1" x14ac:dyDescent="0.25">
      <c r="A129" s="19">
        <v>119</v>
      </c>
      <c r="B129" s="25">
        <v>22</v>
      </c>
      <c r="C129" s="38">
        <v>84099022</v>
      </c>
      <c r="D129" s="37" t="s">
        <v>186</v>
      </c>
      <c r="E129" s="28" t="s">
        <v>32</v>
      </c>
      <c r="F129" s="25">
        <v>2009</v>
      </c>
      <c r="G129" s="29"/>
      <c r="H129" s="30" t="str">
        <f t="shared" si="22"/>
        <v xml:space="preserve">   </v>
      </c>
      <c r="I129" s="30" t="str">
        <f t="shared" si="23"/>
        <v xml:space="preserve">   </v>
      </c>
      <c r="J129" s="1125"/>
      <c r="K129" s="1126"/>
      <c r="L129" s="1130">
        <v>2500000</v>
      </c>
      <c r="M129" s="1126"/>
      <c r="N129" s="1130">
        <v>2500000</v>
      </c>
      <c r="O129" s="1126">
        <v>40459</v>
      </c>
      <c r="P129" s="1130">
        <v>2500000</v>
      </c>
      <c r="Q129" s="1126">
        <v>40602</v>
      </c>
      <c r="R129" s="1130">
        <v>2500000</v>
      </c>
      <c r="S129" s="1126" t="s">
        <v>187</v>
      </c>
      <c r="T129" s="1145">
        <v>2500000</v>
      </c>
      <c r="U129" s="1126" t="s">
        <v>187</v>
      </c>
      <c r="V129" s="1130">
        <v>600000</v>
      </c>
      <c r="W129" s="1126"/>
      <c r="X129" s="1130"/>
      <c r="Y129" s="1126">
        <v>40602</v>
      </c>
      <c r="Z129" s="1130"/>
      <c r="AA129" s="1126"/>
      <c r="AB129" s="1198">
        <v>1000000</v>
      </c>
      <c r="AC129" s="1126"/>
      <c r="AD129" s="1157"/>
      <c r="AE129" s="1158"/>
      <c r="AF129" s="1193"/>
      <c r="AG129" s="1158"/>
      <c r="AH129" s="1168" t="str">
        <f t="shared" si="16"/>
        <v>PI</v>
      </c>
      <c r="AI129" s="1170">
        <f t="shared" si="24"/>
        <v>14100000</v>
      </c>
      <c r="AJ129" s="747">
        <f>(COUNT(L129,N129,P129,R129,T129)*2500000)+(COUNT(V129,X129,Z129,AD129,AF129)*600000)+AB129</f>
        <v>14100000</v>
      </c>
      <c r="AK129" s="747">
        <f t="shared" si="26"/>
        <v>0</v>
      </c>
      <c r="AL129" s="1170"/>
      <c r="AM129" s="1170"/>
      <c r="AN129" s="1209"/>
      <c r="AO129" s="1170"/>
      <c r="AP129" s="1209"/>
      <c r="AQ129" s="1128"/>
      <c r="AR129" s="1173"/>
      <c r="AT129" s="1173"/>
      <c r="AV129" s="1173"/>
      <c r="AX129" s="1173"/>
      <c r="AY129" s="1176"/>
      <c r="AZ129" s="1173"/>
    </row>
    <row r="130" spans="1:52" s="2" customFormat="1" x14ac:dyDescent="0.25">
      <c r="A130" s="19">
        <v>120</v>
      </c>
      <c r="B130" s="25">
        <v>23</v>
      </c>
      <c r="C130" s="38">
        <v>84099023</v>
      </c>
      <c r="D130" s="37" t="s">
        <v>188</v>
      </c>
      <c r="E130" s="28" t="s">
        <v>32</v>
      </c>
      <c r="F130" s="25">
        <v>2009</v>
      </c>
      <c r="G130" s="29"/>
      <c r="H130" s="30" t="str">
        <f t="shared" si="22"/>
        <v xml:space="preserve">   </v>
      </c>
      <c r="I130" s="30" t="str">
        <f t="shared" si="23"/>
        <v xml:space="preserve">   </v>
      </c>
      <c r="J130" s="1125"/>
      <c r="K130" s="1126"/>
      <c r="L130" s="1130">
        <v>2500000</v>
      </c>
      <c r="M130" s="1126"/>
      <c r="N130" s="1130">
        <v>2500000</v>
      </c>
      <c r="O130" s="1126">
        <v>40459</v>
      </c>
      <c r="P130" s="1130">
        <v>2500000</v>
      </c>
      <c r="Q130" s="1126">
        <v>40849</v>
      </c>
      <c r="R130" s="1130">
        <v>2500000</v>
      </c>
      <c r="S130" s="1126"/>
      <c r="T130" s="1145"/>
      <c r="U130" s="1126"/>
      <c r="V130" s="1130"/>
      <c r="W130" s="1126"/>
      <c r="X130" s="1130"/>
      <c r="Y130" s="1126">
        <v>40400</v>
      </c>
      <c r="Z130" s="1130"/>
      <c r="AA130" s="1126"/>
      <c r="AB130" s="1198">
        <v>1000000</v>
      </c>
      <c r="AC130" s="1126"/>
      <c r="AD130" s="1157"/>
      <c r="AE130" s="1158"/>
      <c r="AF130" s="1193"/>
      <c r="AG130" s="1158"/>
      <c r="AH130" s="1168" t="str">
        <f t="shared" si="16"/>
        <v>PI</v>
      </c>
      <c r="AI130" s="1170">
        <f t="shared" si="24"/>
        <v>11000000</v>
      </c>
      <c r="AJ130" s="747">
        <f>((COUNT((L130,N130,P130,R130,T130,V130,X130,Z130,AD130,AF130)))*L130)+(J130+AB130)</f>
        <v>11000000</v>
      </c>
      <c r="AK130" s="747">
        <f t="shared" si="26"/>
        <v>0</v>
      </c>
      <c r="AL130" s="1170"/>
      <c r="AM130" s="1170"/>
      <c r="AN130" s="1209"/>
      <c r="AO130" s="1170"/>
      <c r="AP130" s="1209"/>
      <c r="AQ130" s="1128"/>
      <c r="AR130" s="1173"/>
      <c r="AT130" s="1173"/>
      <c r="AV130" s="1173"/>
      <c r="AX130" s="1173"/>
      <c r="AY130" s="1176"/>
      <c r="AZ130" s="1173"/>
    </row>
    <row r="131" spans="1:52" s="2" customFormat="1" x14ac:dyDescent="0.25">
      <c r="A131" s="19">
        <v>121</v>
      </c>
      <c r="B131" s="25">
        <v>24</v>
      </c>
      <c r="C131" s="38">
        <v>84099024</v>
      </c>
      <c r="D131" s="37" t="s">
        <v>189</v>
      </c>
      <c r="E131" s="28" t="s">
        <v>32</v>
      </c>
      <c r="F131" s="25">
        <v>2009</v>
      </c>
      <c r="G131" s="29"/>
      <c r="H131" s="30" t="str">
        <f t="shared" si="22"/>
        <v xml:space="preserve">   </v>
      </c>
      <c r="I131" s="30" t="str">
        <f t="shared" si="23"/>
        <v xml:space="preserve">   </v>
      </c>
      <c r="J131" s="1125"/>
      <c r="K131" s="1126"/>
      <c r="L131" s="1130">
        <v>2500000</v>
      </c>
      <c r="M131" s="1126"/>
      <c r="N131" s="1130">
        <v>2500000</v>
      </c>
      <c r="O131" s="1126">
        <v>40459</v>
      </c>
      <c r="P131" s="1130">
        <v>2500000</v>
      </c>
      <c r="Q131" s="1126" t="s">
        <v>190</v>
      </c>
      <c r="R131" s="1130">
        <v>2500000</v>
      </c>
      <c r="S131" s="1126" t="s">
        <v>190</v>
      </c>
      <c r="T131" s="1145">
        <v>2500000</v>
      </c>
      <c r="U131" s="1126" t="s">
        <v>190</v>
      </c>
      <c r="V131" s="1130">
        <v>600000</v>
      </c>
      <c r="W131" s="1126" t="s">
        <v>187</v>
      </c>
      <c r="X131" s="1130">
        <v>600000</v>
      </c>
      <c r="Y131" s="1126">
        <v>41123</v>
      </c>
      <c r="Z131" s="1130"/>
      <c r="AA131" s="1126"/>
      <c r="AB131" s="1198">
        <v>1000000</v>
      </c>
      <c r="AC131" s="1126"/>
      <c r="AD131" s="1157"/>
      <c r="AE131" s="1158"/>
      <c r="AF131" s="1193"/>
      <c r="AG131" s="1158"/>
      <c r="AH131" s="1168" t="str">
        <f t="shared" si="16"/>
        <v>PI</v>
      </c>
      <c r="AI131" s="1170">
        <f t="shared" si="24"/>
        <v>14700000</v>
      </c>
      <c r="AJ131" s="747">
        <f>(COUNT(L131,N131,P131,R131,T131)*2500000)+(COUNT(V131,X131,Z131,AD131,AF131)*600000)+AB131</f>
        <v>14700000</v>
      </c>
      <c r="AK131" s="747">
        <f t="shared" si="26"/>
        <v>0</v>
      </c>
      <c r="AL131" s="1170"/>
      <c r="AM131" s="1170"/>
      <c r="AN131" s="1209"/>
      <c r="AO131" s="1170"/>
      <c r="AP131" s="1209"/>
      <c r="AQ131" s="1128"/>
      <c r="AR131" s="1173"/>
      <c r="AT131" s="1173"/>
      <c r="AV131" s="1173"/>
      <c r="AX131" s="1173"/>
      <c r="AY131" s="1176"/>
      <c r="AZ131" s="1173"/>
    </row>
    <row r="132" spans="1:52" s="2" customFormat="1" x14ac:dyDescent="0.25">
      <c r="A132" s="19">
        <v>122</v>
      </c>
      <c r="B132" s="25">
        <v>25</v>
      </c>
      <c r="C132" s="38">
        <v>84099025</v>
      </c>
      <c r="D132" s="37" t="s">
        <v>191</v>
      </c>
      <c r="E132" s="28" t="s">
        <v>32</v>
      </c>
      <c r="F132" s="25">
        <v>2009</v>
      </c>
      <c r="G132" s="29"/>
      <c r="H132" s="30" t="str">
        <f t="shared" si="22"/>
        <v xml:space="preserve">   </v>
      </c>
      <c r="I132" s="30" t="str">
        <f t="shared" si="23"/>
        <v xml:space="preserve">   </v>
      </c>
      <c r="J132" s="1125"/>
      <c r="K132" s="1126"/>
      <c r="L132" s="1130">
        <v>2500000</v>
      </c>
      <c r="M132" s="1126"/>
      <c r="N132" s="1130">
        <v>2500000</v>
      </c>
      <c r="O132" s="1126"/>
      <c r="P132" s="1130">
        <v>2500000</v>
      </c>
      <c r="Q132" s="1126"/>
      <c r="R132" s="1130">
        <v>2500000</v>
      </c>
      <c r="S132" s="1126"/>
      <c r="T132" s="1145"/>
      <c r="U132" s="1126"/>
      <c r="V132" s="1130"/>
      <c r="W132" s="1126"/>
      <c r="X132" s="1130"/>
      <c r="Y132" s="1126"/>
      <c r="Z132" s="1130"/>
      <c r="AA132" s="1126"/>
      <c r="AB132" s="1198">
        <v>1000000</v>
      </c>
      <c r="AC132" s="1126"/>
      <c r="AD132" s="1157"/>
      <c r="AE132" s="1158"/>
      <c r="AF132" s="1193"/>
      <c r="AG132" s="1158"/>
      <c r="AH132" s="1168" t="str">
        <f t="shared" si="16"/>
        <v>PI</v>
      </c>
      <c r="AI132" s="1170">
        <f t="shared" si="24"/>
        <v>11000000</v>
      </c>
      <c r="AJ132" s="747">
        <f>((COUNT((L132,N132,P132,R132,T132,V132,X132,Z132,AD132,AF132)))*L132)+(J132+AB132)</f>
        <v>11000000</v>
      </c>
      <c r="AK132" s="747">
        <f t="shared" si="26"/>
        <v>0</v>
      </c>
      <c r="AL132" s="1170"/>
      <c r="AM132" s="1170"/>
      <c r="AN132" s="1209"/>
      <c r="AO132" s="1170"/>
      <c r="AP132" s="1209"/>
      <c r="AQ132" s="1128"/>
      <c r="AR132" s="1173"/>
      <c r="AT132" s="1173"/>
      <c r="AV132" s="1173"/>
      <c r="AX132" s="1173"/>
      <c r="AY132" s="1176"/>
      <c r="AZ132" s="1173"/>
    </row>
    <row r="133" spans="1:52" s="2" customFormat="1" x14ac:dyDescent="0.25">
      <c r="A133" s="19">
        <v>123</v>
      </c>
      <c r="B133" s="20">
        <v>26</v>
      </c>
      <c r="C133" s="40">
        <v>84099026</v>
      </c>
      <c r="D133" s="39" t="s">
        <v>192</v>
      </c>
      <c r="E133" s="23" t="s">
        <v>32</v>
      </c>
      <c r="F133" s="20">
        <v>2009</v>
      </c>
      <c r="G133" s="31" t="s">
        <v>33</v>
      </c>
      <c r="H133" s="24" t="str">
        <f t="shared" si="22"/>
        <v xml:space="preserve">   </v>
      </c>
      <c r="I133" s="24">
        <f t="shared" si="23"/>
        <v>41275</v>
      </c>
      <c r="J133" s="1123"/>
      <c r="K133" s="1124"/>
      <c r="L133" s="1178">
        <v>2500000</v>
      </c>
      <c r="M133" s="1124"/>
      <c r="N133" s="1178">
        <v>2500000</v>
      </c>
      <c r="O133" s="1124">
        <v>40420</v>
      </c>
      <c r="P133" s="1178">
        <v>2500000</v>
      </c>
      <c r="Q133" s="1124">
        <v>40620</v>
      </c>
      <c r="R133" s="1178">
        <v>2500000</v>
      </c>
      <c r="S133" s="1124">
        <v>40977</v>
      </c>
      <c r="T133" s="1188">
        <v>2500000</v>
      </c>
      <c r="U133" s="1124">
        <v>40977</v>
      </c>
      <c r="V133" s="1178">
        <v>600000</v>
      </c>
      <c r="W133" s="1124">
        <v>40977</v>
      </c>
      <c r="X133" s="1178">
        <v>600000</v>
      </c>
      <c r="Y133" s="1124">
        <v>40688</v>
      </c>
      <c r="Z133" s="1130"/>
      <c r="AA133" s="1126"/>
      <c r="AB133" s="1198">
        <v>1000000</v>
      </c>
      <c r="AC133" s="1126"/>
      <c r="AD133" s="1157"/>
      <c r="AE133" s="1158"/>
      <c r="AF133" s="1193"/>
      <c r="AG133" s="1158"/>
      <c r="AH133" s="1168" t="str">
        <f t="shared" ref="AH133:AH196" si="27">E133</f>
        <v>PI</v>
      </c>
      <c r="AI133" s="1170">
        <f t="shared" si="24"/>
        <v>14700000</v>
      </c>
      <c r="AJ133" s="747">
        <f>(COUNT(L133,N133,P133,R133,T133)*2500000)+(COUNT(V133,X133,Z133,AD133,AF133)*600000)+AB133</f>
        <v>14700000</v>
      </c>
      <c r="AK133" s="747">
        <f t="shared" si="26"/>
        <v>0</v>
      </c>
      <c r="AL133" s="1170"/>
      <c r="AM133" s="1170"/>
      <c r="AN133" s="1209"/>
      <c r="AO133" s="1170"/>
      <c r="AP133" s="1209"/>
      <c r="AQ133" s="1128"/>
      <c r="AR133" s="1173"/>
      <c r="AT133" s="1173"/>
      <c r="AV133" s="1173"/>
      <c r="AX133" s="1173"/>
      <c r="AY133" s="1176"/>
      <c r="AZ133" s="1173"/>
    </row>
    <row r="134" spans="1:52" s="2" customFormat="1" x14ac:dyDescent="0.25">
      <c r="A134" s="19">
        <v>124</v>
      </c>
      <c r="B134" s="25">
        <v>27</v>
      </c>
      <c r="C134" s="38">
        <v>84099027</v>
      </c>
      <c r="D134" s="37" t="s">
        <v>193</v>
      </c>
      <c r="E134" s="28" t="s">
        <v>32</v>
      </c>
      <c r="F134" s="25">
        <v>2009</v>
      </c>
      <c r="G134" s="29"/>
      <c r="H134" s="30" t="str">
        <f t="shared" si="22"/>
        <v xml:space="preserve">   </v>
      </c>
      <c r="I134" s="30" t="str">
        <f t="shared" si="23"/>
        <v xml:space="preserve">   </v>
      </c>
      <c r="J134" s="1125"/>
      <c r="K134" s="1126"/>
      <c r="L134" s="1130">
        <v>2500000</v>
      </c>
      <c r="M134" s="1126"/>
      <c r="N134" s="1130">
        <v>2500000</v>
      </c>
      <c r="O134" s="1126">
        <v>40459</v>
      </c>
      <c r="P134" s="1130">
        <v>2500000</v>
      </c>
      <c r="Q134" s="1126">
        <v>40707</v>
      </c>
      <c r="R134" s="1130">
        <v>2500000</v>
      </c>
      <c r="S134" s="1126" t="s">
        <v>194</v>
      </c>
      <c r="T134" s="1145">
        <v>2500000</v>
      </c>
      <c r="U134" s="1126"/>
      <c r="V134" s="1130"/>
      <c r="W134" s="1126"/>
      <c r="X134" s="1130">
        <v>600000</v>
      </c>
      <c r="Y134" s="1126">
        <v>40400</v>
      </c>
      <c r="Z134" s="1130"/>
      <c r="AA134" s="1126"/>
      <c r="AB134" s="1198">
        <v>1000000</v>
      </c>
      <c r="AC134" s="1126"/>
      <c r="AD134" s="1157"/>
      <c r="AE134" s="1158"/>
      <c r="AF134" s="1193"/>
      <c r="AG134" s="1158"/>
      <c r="AH134" s="1168" t="str">
        <f t="shared" si="27"/>
        <v>PI</v>
      </c>
      <c r="AI134" s="1170">
        <f t="shared" si="24"/>
        <v>14100000</v>
      </c>
      <c r="AJ134" s="747">
        <f>(COUNT(L134,N134,P134,R134,T134)*2500000)+(COUNT(V134,X134,Z134,AD134,AF134)*600000)+AB134</f>
        <v>14100000</v>
      </c>
      <c r="AK134" s="747">
        <f t="shared" si="26"/>
        <v>0</v>
      </c>
      <c r="AL134" s="1170"/>
      <c r="AM134" s="1170"/>
      <c r="AN134" s="1209"/>
      <c r="AO134" s="1170"/>
      <c r="AP134" s="1209"/>
      <c r="AQ134" s="1128"/>
      <c r="AR134" s="1173"/>
      <c r="AT134" s="1173"/>
      <c r="AV134" s="1173"/>
      <c r="AX134" s="1173"/>
      <c r="AY134" s="1176"/>
      <c r="AZ134" s="1173"/>
    </row>
    <row r="135" spans="1:52" s="2" customFormat="1" x14ac:dyDescent="0.25">
      <c r="A135" s="19">
        <v>125</v>
      </c>
      <c r="B135" s="25">
        <v>28</v>
      </c>
      <c r="C135" s="38">
        <v>84099028</v>
      </c>
      <c r="D135" s="37" t="s">
        <v>195</v>
      </c>
      <c r="E135" s="28" t="s">
        <v>32</v>
      </c>
      <c r="F135" s="25">
        <v>2009</v>
      </c>
      <c r="G135" s="29"/>
      <c r="H135" s="30" t="str">
        <f t="shared" si="22"/>
        <v xml:space="preserve">   </v>
      </c>
      <c r="I135" s="30" t="str">
        <f t="shared" si="23"/>
        <v xml:space="preserve">   </v>
      </c>
      <c r="J135" s="1125"/>
      <c r="K135" s="1126"/>
      <c r="L135" s="1130">
        <v>2500000</v>
      </c>
      <c r="M135" s="1126"/>
      <c r="N135" s="1130">
        <v>2500000</v>
      </c>
      <c r="O135" s="1126"/>
      <c r="P135" s="1130">
        <v>2500000</v>
      </c>
      <c r="Q135" s="1126" t="s">
        <v>196</v>
      </c>
      <c r="R135" s="1130">
        <v>2500000</v>
      </c>
      <c r="S135" s="1126" t="s">
        <v>197</v>
      </c>
      <c r="T135" s="1145">
        <v>2500000</v>
      </c>
      <c r="U135" s="1126" t="s">
        <v>190</v>
      </c>
      <c r="V135" s="1130">
        <v>600000</v>
      </c>
      <c r="W135" s="1126" t="s">
        <v>190</v>
      </c>
      <c r="X135" s="1130">
        <v>600000</v>
      </c>
      <c r="Y135" s="1126">
        <v>40592</v>
      </c>
      <c r="Z135" s="1130"/>
      <c r="AA135" s="1126"/>
      <c r="AB135" s="1198">
        <v>1000000</v>
      </c>
      <c r="AC135" s="1126"/>
      <c r="AD135" s="1157"/>
      <c r="AE135" s="1158"/>
      <c r="AF135" s="1193"/>
      <c r="AG135" s="1158"/>
      <c r="AH135" s="1168" t="str">
        <f t="shared" si="27"/>
        <v>PI</v>
      </c>
      <c r="AI135" s="1170">
        <f t="shared" si="24"/>
        <v>14700000</v>
      </c>
      <c r="AJ135" s="747">
        <f>(COUNT(L135,N135,P135,R135,T135)*2500000)+(COUNT(V135,X135,Z135,AD135,AF135)*600000)+AB135</f>
        <v>14700000</v>
      </c>
      <c r="AK135" s="747">
        <f t="shared" si="26"/>
        <v>0</v>
      </c>
      <c r="AL135" s="1170"/>
      <c r="AM135" s="1170"/>
      <c r="AN135" s="1209"/>
      <c r="AO135" s="1170"/>
      <c r="AP135" s="1209"/>
      <c r="AQ135" s="1128"/>
      <c r="AR135" s="1173"/>
      <c r="AT135" s="1173"/>
      <c r="AV135" s="1173"/>
      <c r="AX135" s="1173"/>
      <c r="AY135" s="1176"/>
      <c r="AZ135" s="1173"/>
    </row>
    <row r="136" spans="1:52" s="2" customFormat="1" x14ac:dyDescent="0.25">
      <c r="A136" s="19">
        <v>126</v>
      </c>
      <c r="B136" s="25">
        <v>29</v>
      </c>
      <c r="C136" s="38">
        <v>84099029</v>
      </c>
      <c r="D136" s="37" t="s">
        <v>198</v>
      </c>
      <c r="E136" s="28" t="s">
        <v>32</v>
      </c>
      <c r="F136" s="25">
        <v>2009</v>
      </c>
      <c r="G136" s="29"/>
      <c r="H136" s="30" t="str">
        <f t="shared" si="22"/>
        <v xml:space="preserve">   </v>
      </c>
      <c r="I136" s="30" t="str">
        <f t="shared" si="23"/>
        <v xml:space="preserve">   </v>
      </c>
      <c r="J136" s="1125"/>
      <c r="K136" s="1126"/>
      <c r="L136" s="1130">
        <v>2500000</v>
      </c>
      <c r="M136" s="1126">
        <v>40459</v>
      </c>
      <c r="N136" s="1130">
        <v>2500000</v>
      </c>
      <c r="O136" s="1126"/>
      <c r="P136" s="1130">
        <v>2500000</v>
      </c>
      <c r="Q136" s="1126">
        <v>40849</v>
      </c>
      <c r="R136" s="1130">
        <v>2500000</v>
      </c>
      <c r="S136" s="1126" t="s">
        <v>199</v>
      </c>
      <c r="T136" s="1145">
        <v>2500000</v>
      </c>
      <c r="U136" s="1126" t="s">
        <v>200</v>
      </c>
      <c r="V136" s="1130">
        <v>600000</v>
      </c>
      <c r="W136" s="1126" t="s">
        <v>200</v>
      </c>
      <c r="X136" s="1130">
        <v>600000</v>
      </c>
      <c r="Y136" s="1126">
        <v>40849</v>
      </c>
      <c r="Z136" s="1130"/>
      <c r="AA136" s="1126"/>
      <c r="AB136" s="1198">
        <v>1000000</v>
      </c>
      <c r="AC136" s="1126"/>
      <c r="AD136" s="1157"/>
      <c r="AE136" s="1158"/>
      <c r="AF136" s="1193"/>
      <c r="AG136" s="1158"/>
      <c r="AH136" s="1168" t="str">
        <f t="shared" si="27"/>
        <v>PI</v>
      </c>
      <c r="AI136" s="1170">
        <f t="shared" si="24"/>
        <v>14700000</v>
      </c>
      <c r="AJ136" s="747">
        <f>(COUNT(L136,N136,P136,R136,T136)*2500000)+(COUNT(V136,X136,Z136,AD136,AF136)*600000)+AB136</f>
        <v>14700000</v>
      </c>
      <c r="AK136" s="747">
        <f t="shared" si="26"/>
        <v>0</v>
      </c>
      <c r="AL136" s="1170"/>
      <c r="AM136" s="1170"/>
      <c r="AN136" s="1209"/>
      <c r="AO136" s="1170"/>
      <c r="AP136" s="1209"/>
      <c r="AQ136" s="1128"/>
      <c r="AR136" s="1173"/>
      <c r="AT136" s="1173"/>
      <c r="AV136" s="1173"/>
      <c r="AX136" s="1173"/>
      <c r="AY136" s="1176"/>
      <c r="AZ136" s="1173"/>
    </row>
    <row r="137" spans="1:52" s="2" customFormat="1" x14ac:dyDescent="0.25">
      <c r="A137" s="19">
        <v>127</v>
      </c>
      <c r="B137" s="25">
        <v>30</v>
      </c>
      <c r="C137" s="38">
        <v>84099030</v>
      </c>
      <c r="D137" s="37" t="s">
        <v>201</v>
      </c>
      <c r="E137" s="28" t="s">
        <v>32</v>
      </c>
      <c r="F137" s="25">
        <v>2009</v>
      </c>
      <c r="G137" s="29"/>
      <c r="H137" s="30" t="str">
        <f t="shared" si="22"/>
        <v xml:space="preserve">   </v>
      </c>
      <c r="I137" s="30" t="str">
        <f t="shared" si="23"/>
        <v xml:space="preserve">   </v>
      </c>
      <c r="J137" s="1125"/>
      <c r="K137" s="1126"/>
      <c r="L137" s="1130">
        <v>2500000</v>
      </c>
      <c r="M137" s="1126"/>
      <c r="N137" s="1130">
        <v>2500000</v>
      </c>
      <c r="O137" s="1126">
        <v>40459</v>
      </c>
      <c r="P137" s="1130">
        <v>2500000</v>
      </c>
      <c r="Q137" s="1126">
        <v>40591</v>
      </c>
      <c r="R137" s="1130">
        <v>2500000</v>
      </c>
      <c r="S137" s="1126" t="s">
        <v>184</v>
      </c>
      <c r="T137" s="1145">
        <v>2500000</v>
      </c>
      <c r="U137" s="1126" t="s">
        <v>184</v>
      </c>
      <c r="V137" s="1130">
        <v>600000</v>
      </c>
      <c r="W137" s="1126"/>
      <c r="X137" s="1130"/>
      <c r="Y137" s="1126">
        <v>40459</v>
      </c>
      <c r="Z137" s="1130"/>
      <c r="AA137" s="1126"/>
      <c r="AB137" s="1198">
        <v>1000000</v>
      </c>
      <c r="AC137" s="1126"/>
      <c r="AD137" s="1157"/>
      <c r="AE137" s="1158"/>
      <c r="AF137" s="1193"/>
      <c r="AG137" s="1158"/>
      <c r="AH137" s="1168" t="str">
        <f t="shared" si="27"/>
        <v>PI</v>
      </c>
      <c r="AI137" s="1170">
        <f t="shared" si="24"/>
        <v>14100000</v>
      </c>
      <c r="AJ137" s="747">
        <f>(COUNT(L137,N137,P137,R137,T137)*2500000)+(COUNT(V137,X137,Z137,AD137,AF137)*600000)+AB137</f>
        <v>14100000</v>
      </c>
      <c r="AK137" s="747">
        <f t="shared" si="26"/>
        <v>0</v>
      </c>
      <c r="AL137" s="1170"/>
      <c r="AM137" s="1170"/>
      <c r="AN137" s="1209"/>
      <c r="AO137" s="1170"/>
      <c r="AP137" s="1209"/>
      <c r="AQ137" s="1128"/>
      <c r="AR137" s="1173"/>
      <c r="AT137" s="1173"/>
      <c r="AV137" s="1173"/>
      <c r="AX137" s="1173"/>
      <c r="AY137" s="1176"/>
      <c r="AZ137" s="1173"/>
    </row>
    <row r="138" spans="1:52" s="2" customFormat="1" x14ac:dyDescent="0.25">
      <c r="A138" s="19">
        <v>128</v>
      </c>
      <c r="B138" s="25">
        <v>31</v>
      </c>
      <c r="C138" s="38">
        <v>84099031</v>
      </c>
      <c r="D138" s="37" t="s">
        <v>202</v>
      </c>
      <c r="E138" s="28" t="s">
        <v>32</v>
      </c>
      <c r="F138" s="25">
        <v>2009</v>
      </c>
      <c r="G138" s="29"/>
      <c r="H138" s="30" t="str">
        <f t="shared" si="22"/>
        <v xml:space="preserve">   </v>
      </c>
      <c r="I138" s="30" t="str">
        <f t="shared" si="23"/>
        <v xml:space="preserve">   </v>
      </c>
      <c r="J138" s="1125"/>
      <c r="K138" s="1126"/>
      <c r="L138" s="1130">
        <v>2500000</v>
      </c>
      <c r="M138" s="1126"/>
      <c r="N138" s="1130">
        <v>2500000</v>
      </c>
      <c r="O138" s="1126"/>
      <c r="P138" s="1130">
        <v>2500000</v>
      </c>
      <c r="Q138" s="1126">
        <v>40726</v>
      </c>
      <c r="R138" s="1130">
        <v>2500000</v>
      </c>
      <c r="S138" s="1126">
        <v>40582</v>
      </c>
      <c r="T138" s="1145">
        <v>2500000</v>
      </c>
      <c r="U138" s="1126"/>
      <c r="V138" s="1130"/>
      <c r="W138" s="1126"/>
      <c r="X138" s="1130"/>
      <c r="Y138" s="1126">
        <v>40581</v>
      </c>
      <c r="Z138" s="1130"/>
      <c r="AA138" s="1126"/>
      <c r="AB138" s="1198">
        <v>1000000</v>
      </c>
      <c r="AC138" s="1126"/>
      <c r="AD138" s="1157"/>
      <c r="AE138" s="1158"/>
      <c r="AF138" s="1193"/>
      <c r="AG138" s="1158"/>
      <c r="AH138" s="1168" t="str">
        <f t="shared" si="27"/>
        <v>PI</v>
      </c>
      <c r="AI138" s="1170">
        <f t="shared" si="24"/>
        <v>13500000</v>
      </c>
      <c r="AJ138" s="747">
        <f>((COUNT((L138,N138,P138,R138,T138,V138,X138,Z138,AD138,AF138)))*L138)+(J138+AB138)</f>
        <v>13500000</v>
      </c>
      <c r="AK138" s="747">
        <f t="shared" si="26"/>
        <v>0</v>
      </c>
      <c r="AL138" s="1170"/>
      <c r="AM138" s="1170"/>
      <c r="AN138" s="1209"/>
      <c r="AO138" s="1170"/>
      <c r="AP138" s="1209"/>
      <c r="AQ138" s="1128"/>
      <c r="AR138" s="1173"/>
      <c r="AT138" s="1173"/>
      <c r="AV138" s="1173"/>
      <c r="AX138" s="1173"/>
      <c r="AY138" s="1176"/>
      <c r="AZ138" s="1173"/>
    </row>
    <row r="139" spans="1:52" s="2" customFormat="1" x14ac:dyDescent="0.25">
      <c r="A139" s="19">
        <v>129</v>
      </c>
      <c r="B139" s="25">
        <v>32</v>
      </c>
      <c r="C139" s="38">
        <v>84099032</v>
      </c>
      <c r="D139" s="37" t="s">
        <v>203</v>
      </c>
      <c r="E139" s="28" t="s">
        <v>32</v>
      </c>
      <c r="F139" s="25">
        <v>2009</v>
      </c>
      <c r="G139" s="29"/>
      <c r="H139" s="30" t="str">
        <f t="shared" si="22"/>
        <v xml:space="preserve">   </v>
      </c>
      <c r="I139" s="30" t="str">
        <f t="shared" si="23"/>
        <v xml:space="preserve">   </v>
      </c>
      <c r="J139" s="1125"/>
      <c r="K139" s="1126"/>
      <c r="L139" s="1130">
        <v>2500000</v>
      </c>
      <c r="M139" s="1126"/>
      <c r="N139" s="1130">
        <v>2500000</v>
      </c>
      <c r="O139" s="1126"/>
      <c r="P139" s="1130"/>
      <c r="Q139" s="1126">
        <v>40849</v>
      </c>
      <c r="R139" s="1130">
        <v>2500000</v>
      </c>
      <c r="S139" s="1126" t="s">
        <v>204</v>
      </c>
      <c r="T139" s="1145">
        <v>2500000</v>
      </c>
      <c r="U139" s="1126" t="s">
        <v>204</v>
      </c>
      <c r="V139" s="1130">
        <v>600000</v>
      </c>
      <c r="W139" s="1126" t="s">
        <v>204</v>
      </c>
      <c r="X139" s="1130">
        <v>600000</v>
      </c>
      <c r="Y139" s="1126">
        <v>40592</v>
      </c>
      <c r="Z139" s="1130"/>
      <c r="AA139" s="1126"/>
      <c r="AB139" s="1198">
        <v>1000000</v>
      </c>
      <c r="AC139" s="1126"/>
      <c r="AD139" s="1157"/>
      <c r="AE139" s="1158"/>
      <c r="AF139" s="1193"/>
      <c r="AG139" s="1158"/>
      <c r="AH139" s="1168" t="str">
        <f t="shared" si="27"/>
        <v>PI</v>
      </c>
      <c r="AI139" s="1170">
        <f t="shared" si="24"/>
        <v>12200000</v>
      </c>
      <c r="AJ139" s="747">
        <f>(COUNT(L139,N139,P139,R139,T139)*2500000)+(COUNT(V139,X139,Z139,AD139,AF139)*600000)+AB139</f>
        <v>12200000</v>
      </c>
      <c r="AK139" s="747">
        <f t="shared" si="26"/>
        <v>0</v>
      </c>
      <c r="AL139" s="1170"/>
      <c r="AM139" s="1170"/>
      <c r="AN139" s="1209"/>
      <c r="AO139" s="1170"/>
      <c r="AP139" s="1209"/>
      <c r="AQ139" s="1128"/>
      <c r="AR139" s="1173"/>
      <c r="AT139" s="1173"/>
      <c r="AV139" s="1173"/>
      <c r="AX139" s="1173"/>
      <c r="AY139" s="1176"/>
      <c r="AZ139" s="1173"/>
    </row>
    <row r="140" spans="1:52" s="2" customFormat="1" x14ac:dyDescent="0.25">
      <c r="A140" s="19">
        <v>130</v>
      </c>
      <c r="B140" s="25">
        <v>33</v>
      </c>
      <c r="C140" s="38">
        <v>84099033</v>
      </c>
      <c r="D140" s="37" t="s">
        <v>205</v>
      </c>
      <c r="E140" s="28" t="s">
        <v>32</v>
      </c>
      <c r="F140" s="25">
        <v>2009</v>
      </c>
      <c r="G140" s="29"/>
      <c r="H140" s="30" t="str">
        <f t="shared" si="22"/>
        <v xml:space="preserve">   </v>
      </c>
      <c r="I140" s="30" t="str">
        <f t="shared" si="23"/>
        <v xml:space="preserve">   </v>
      </c>
      <c r="J140" s="1125"/>
      <c r="K140" s="1126"/>
      <c r="L140" s="1130">
        <v>2500000</v>
      </c>
      <c r="M140" s="1126"/>
      <c r="N140" s="1130"/>
      <c r="O140" s="1126"/>
      <c r="P140" s="1130"/>
      <c r="Q140" s="1126"/>
      <c r="R140" s="1130"/>
      <c r="S140" s="1126"/>
      <c r="T140" s="1145"/>
      <c r="U140" s="1126"/>
      <c r="V140" s="1130"/>
      <c r="W140" s="1126"/>
      <c r="X140" s="1130"/>
      <c r="Y140" s="1126"/>
      <c r="Z140" s="1130"/>
      <c r="AA140" s="1126"/>
      <c r="AB140" s="1198"/>
      <c r="AC140" s="1126"/>
      <c r="AD140" s="1157"/>
      <c r="AE140" s="1158"/>
      <c r="AF140" s="1193"/>
      <c r="AG140" s="1158"/>
      <c r="AH140" s="1168" t="str">
        <f t="shared" si="27"/>
        <v>PI</v>
      </c>
      <c r="AI140" s="1170">
        <f t="shared" si="24"/>
        <v>2500000</v>
      </c>
      <c r="AJ140" s="747">
        <f>((COUNT((L140,N140,P140,R140,T140,V140,X140,Z140,AD140,AF140)))*L140)+(J140+AB140)</f>
        <v>2500000</v>
      </c>
      <c r="AK140" s="747">
        <f t="shared" si="26"/>
        <v>0</v>
      </c>
      <c r="AL140" s="1170"/>
      <c r="AM140" s="1170"/>
      <c r="AN140" s="1209"/>
      <c r="AO140" s="1170"/>
      <c r="AP140" s="1209"/>
      <c r="AQ140" s="1128"/>
      <c r="AR140" s="1173"/>
      <c r="AT140" s="1173"/>
      <c r="AV140" s="1173"/>
      <c r="AX140" s="1173"/>
      <c r="AY140" s="1176"/>
      <c r="AZ140" s="1173"/>
    </row>
    <row r="141" spans="1:52" s="2" customFormat="1" x14ac:dyDescent="0.25">
      <c r="A141" s="19">
        <v>131</v>
      </c>
      <c r="B141" s="20">
        <v>34</v>
      </c>
      <c r="C141" s="40">
        <v>84099034</v>
      </c>
      <c r="D141" s="39" t="s">
        <v>206</v>
      </c>
      <c r="E141" s="23" t="s">
        <v>32</v>
      </c>
      <c r="F141" s="20">
        <v>2009</v>
      </c>
      <c r="G141" s="23" t="s">
        <v>33</v>
      </c>
      <c r="H141" s="24" t="str">
        <f t="shared" si="22"/>
        <v xml:space="preserve">   </v>
      </c>
      <c r="I141" s="24">
        <f t="shared" si="23"/>
        <v>40544</v>
      </c>
      <c r="J141" s="1123"/>
      <c r="K141" s="1124"/>
      <c r="L141" s="1178">
        <v>2500000</v>
      </c>
      <c r="M141" s="1124"/>
      <c r="N141" s="1178">
        <v>2500000</v>
      </c>
      <c r="O141" s="1124"/>
      <c r="P141" s="1178"/>
      <c r="Q141" s="1124"/>
      <c r="R141" s="1178"/>
      <c r="S141" s="1124" t="s">
        <v>207</v>
      </c>
      <c r="T141" s="1188">
        <v>2500000</v>
      </c>
      <c r="U141" s="1126"/>
      <c r="V141" s="1130"/>
      <c r="W141" s="1126"/>
      <c r="X141" s="1130"/>
      <c r="Y141" s="1126"/>
      <c r="Z141" s="1130"/>
      <c r="AA141" s="1126"/>
      <c r="AB141" s="1198"/>
      <c r="AC141" s="1126"/>
      <c r="AD141" s="1157"/>
      <c r="AE141" s="1158"/>
      <c r="AF141" s="1207"/>
      <c r="AG141" s="1158"/>
      <c r="AH141" s="1168" t="str">
        <f t="shared" si="27"/>
        <v>PI</v>
      </c>
      <c r="AI141" s="747">
        <f t="shared" si="24"/>
        <v>7500000</v>
      </c>
      <c r="AJ141" s="747">
        <f>((COUNT((L141,N141,P141,R141,T141,V141,X141,Z141,AD141,AF141)))*L141)+(J141+AB141)</f>
        <v>7500000</v>
      </c>
      <c r="AK141" s="747">
        <f t="shared" si="26"/>
        <v>0</v>
      </c>
      <c r="AL141" s="1170"/>
      <c r="AM141" s="1170"/>
      <c r="AN141" s="1209"/>
      <c r="AO141" s="1170"/>
      <c r="AP141" s="1209"/>
      <c r="AQ141" s="1128"/>
      <c r="AR141" s="1173"/>
      <c r="AT141" s="1173"/>
      <c r="AV141" s="1173"/>
      <c r="AX141" s="1173"/>
      <c r="AY141" s="1176"/>
      <c r="AZ141" s="1173"/>
    </row>
    <row r="142" spans="1:52" s="2" customFormat="1" x14ac:dyDescent="0.25">
      <c r="A142" s="19">
        <v>132</v>
      </c>
      <c r="B142" s="25">
        <v>35</v>
      </c>
      <c r="C142" s="38">
        <v>84099035</v>
      </c>
      <c r="D142" s="37" t="s">
        <v>208</v>
      </c>
      <c r="E142" s="28" t="s">
        <v>32</v>
      </c>
      <c r="F142" s="25">
        <v>2009</v>
      </c>
      <c r="G142" s="29"/>
      <c r="H142" s="30" t="str">
        <f t="shared" si="22"/>
        <v xml:space="preserve">   </v>
      </c>
      <c r="I142" s="30" t="str">
        <f t="shared" si="23"/>
        <v xml:space="preserve">   </v>
      </c>
      <c r="J142" s="1125"/>
      <c r="K142" s="1126"/>
      <c r="L142" s="1130">
        <v>2500000</v>
      </c>
      <c r="M142" s="1126">
        <v>40400</v>
      </c>
      <c r="N142" s="1130">
        <v>2500000</v>
      </c>
      <c r="O142" s="1126">
        <v>40612</v>
      </c>
      <c r="P142" s="1130">
        <v>0</v>
      </c>
      <c r="Q142" s="1126"/>
      <c r="R142" s="1130">
        <v>0</v>
      </c>
      <c r="S142" s="1126"/>
      <c r="T142" s="1145">
        <v>0</v>
      </c>
      <c r="U142" s="1126"/>
      <c r="V142" s="1130">
        <v>0</v>
      </c>
      <c r="W142" s="1126"/>
      <c r="X142" s="1130">
        <v>0</v>
      </c>
      <c r="Y142" s="1126"/>
      <c r="Z142" s="1130">
        <v>0</v>
      </c>
      <c r="AA142" s="1126"/>
      <c r="AB142" s="1198">
        <v>0</v>
      </c>
      <c r="AC142" s="1126"/>
      <c r="AD142" s="1157">
        <v>0</v>
      </c>
      <c r="AE142" s="1158"/>
      <c r="AF142" s="1207">
        <v>0</v>
      </c>
      <c r="AG142" s="1158"/>
      <c r="AH142" s="1168" t="str">
        <f t="shared" si="27"/>
        <v>PI</v>
      </c>
      <c r="AI142" s="747">
        <f t="shared" si="24"/>
        <v>5000000</v>
      </c>
      <c r="AJ142" s="747">
        <f>(COUNT(L142,P142,R142,T142,V142,X142,Z142,AD142,AF142)*2500000)+(N142+AB142)</f>
        <v>25000000</v>
      </c>
      <c r="AK142" s="747">
        <f t="shared" si="26"/>
        <v>20000000</v>
      </c>
      <c r="AL142" s="1170"/>
      <c r="AM142" s="1170"/>
      <c r="AN142" s="1209"/>
      <c r="AO142" s="1170"/>
      <c r="AP142" s="1209"/>
      <c r="AQ142" s="1128"/>
      <c r="AR142" s="1173"/>
      <c r="AT142" s="1173"/>
      <c r="AV142" s="1173"/>
      <c r="AX142" s="1173"/>
      <c r="AY142" s="1176"/>
      <c r="AZ142" s="1173"/>
    </row>
    <row r="143" spans="1:52" s="2" customFormat="1" x14ac:dyDescent="0.25">
      <c r="A143" s="19">
        <v>133</v>
      </c>
      <c r="B143" s="25">
        <v>36</v>
      </c>
      <c r="C143" s="38">
        <v>84099036</v>
      </c>
      <c r="D143" s="37" t="s">
        <v>209</v>
      </c>
      <c r="E143" s="28" t="s">
        <v>32</v>
      </c>
      <c r="F143" s="25">
        <v>2009</v>
      </c>
      <c r="G143" s="29"/>
      <c r="H143" s="30" t="str">
        <f t="shared" si="22"/>
        <v xml:space="preserve">   </v>
      </c>
      <c r="I143" s="30" t="str">
        <f t="shared" si="23"/>
        <v xml:space="preserve">   </v>
      </c>
      <c r="J143" s="1125"/>
      <c r="K143" s="1126"/>
      <c r="L143" s="1130">
        <v>2500000</v>
      </c>
      <c r="M143" s="1126"/>
      <c r="N143" s="1130">
        <v>2500000</v>
      </c>
      <c r="O143" s="1126"/>
      <c r="P143" s="1130">
        <v>2500000</v>
      </c>
      <c r="Q143" s="1126">
        <v>40788</v>
      </c>
      <c r="R143" s="1130">
        <v>2500000</v>
      </c>
      <c r="S143" s="1126">
        <v>40703</v>
      </c>
      <c r="T143" s="1145">
        <v>2500000</v>
      </c>
      <c r="U143" s="1126"/>
      <c r="V143" s="1130"/>
      <c r="W143" s="1126"/>
      <c r="X143" s="1130"/>
      <c r="Y143" s="1126">
        <v>40583</v>
      </c>
      <c r="Z143" s="1130"/>
      <c r="AA143" s="1126"/>
      <c r="AB143" s="1198">
        <v>1000000</v>
      </c>
      <c r="AC143" s="1126"/>
      <c r="AD143" s="1157"/>
      <c r="AE143" s="1158"/>
      <c r="AF143" s="1207"/>
      <c r="AG143" s="1158"/>
      <c r="AH143" s="1168" t="str">
        <f t="shared" si="27"/>
        <v>PI</v>
      </c>
      <c r="AI143" s="747">
        <f t="shared" si="24"/>
        <v>13500000</v>
      </c>
      <c r="AJ143" s="747">
        <f>((COUNT((L143,N143,P143,R143,T143,V143,X143,Z143,AD143,AF143)))*L143)+(J143+AB143)</f>
        <v>13500000</v>
      </c>
      <c r="AK143" s="747">
        <f t="shared" si="26"/>
        <v>0</v>
      </c>
      <c r="AL143" s="1170"/>
      <c r="AM143" s="1170"/>
      <c r="AN143" s="1209"/>
      <c r="AO143" s="1170"/>
      <c r="AP143" s="1209"/>
      <c r="AQ143" s="1128"/>
      <c r="AR143" s="1173"/>
      <c r="AT143" s="1173"/>
      <c r="AV143" s="1173"/>
      <c r="AX143" s="1173"/>
      <c r="AY143" s="1176"/>
      <c r="AZ143" s="1173"/>
    </row>
    <row r="144" spans="1:52" s="2" customFormat="1" x14ac:dyDescent="0.25">
      <c r="A144" s="19">
        <v>134</v>
      </c>
      <c r="B144" s="25">
        <v>37</v>
      </c>
      <c r="C144" s="38">
        <v>84099037</v>
      </c>
      <c r="D144" s="37" t="s">
        <v>210</v>
      </c>
      <c r="E144" s="28" t="s">
        <v>32</v>
      </c>
      <c r="F144" s="25">
        <v>2009</v>
      </c>
      <c r="G144" s="29"/>
      <c r="H144" s="30" t="str">
        <f t="shared" si="22"/>
        <v xml:space="preserve">   </v>
      </c>
      <c r="I144" s="30" t="str">
        <f t="shared" si="23"/>
        <v xml:space="preserve">   </v>
      </c>
      <c r="J144" s="1125"/>
      <c r="K144" s="1126"/>
      <c r="L144" s="1130">
        <v>2500000</v>
      </c>
      <c r="M144" s="1126"/>
      <c r="N144" s="1130">
        <v>2500000</v>
      </c>
      <c r="O144" s="1126"/>
      <c r="P144" s="1130">
        <v>2500000</v>
      </c>
      <c r="Q144" s="1126" t="s">
        <v>157</v>
      </c>
      <c r="R144" s="1130">
        <v>2500000</v>
      </c>
      <c r="S144" s="1126"/>
      <c r="T144" s="1145"/>
      <c r="U144" s="1126"/>
      <c r="V144" s="1130"/>
      <c r="W144" s="1126"/>
      <c r="X144" s="1130"/>
      <c r="Y144" s="1126">
        <v>40738</v>
      </c>
      <c r="Z144" s="1130"/>
      <c r="AA144" s="1126"/>
      <c r="AB144" s="1198">
        <v>1000000</v>
      </c>
      <c r="AC144" s="1126"/>
      <c r="AD144" s="1157"/>
      <c r="AE144" s="1158"/>
      <c r="AF144" s="1207"/>
      <c r="AG144" s="1158"/>
      <c r="AH144" s="1168" t="str">
        <f t="shared" si="27"/>
        <v>PI</v>
      </c>
      <c r="AI144" s="747">
        <f t="shared" si="24"/>
        <v>11000000</v>
      </c>
      <c r="AJ144" s="747">
        <f>((COUNT((L144,N144,P144,R144,T144,V144,X144,Z144,AD144,AF144)))*L144)+(J144+AB144)</f>
        <v>11000000</v>
      </c>
      <c r="AK144" s="747">
        <f t="shared" si="26"/>
        <v>0</v>
      </c>
      <c r="AL144" s="1170"/>
      <c r="AM144" s="1170"/>
      <c r="AN144" s="1209"/>
      <c r="AO144" s="1170"/>
      <c r="AP144" s="1209"/>
      <c r="AQ144" s="1128"/>
      <c r="AR144" s="1173"/>
      <c r="AT144" s="1173"/>
      <c r="AV144" s="1173"/>
      <c r="AX144" s="1173"/>
      <c r="AY144" s="1176"/>
      <c r="AZ144" s="1173"/>
    </row>
    <row r="145" spans="1:52" s="2" customFormat="1" x14ac:dyDescent="0.25">
      <c r="A145" s="19">
        <v>135</v>
      </c>
      <c r="B145" s="25">
        <v>38</v>
      </c>
      <c r="C145" s="38">
        <v>84099038</v>
      </c>
      <c r="D145" s="37" t="s">
        <v>211</v>
      </c>
      <c r="E145" s="28" t="s">
        <v>32</v>
      </c>
      <c r="F145" s="25">
        <v>2009</v>
      </c>
      <c r="G145" s="29"/>
      <c r="H145" s="30" t="str">
        <f t="shared" si="22"/>
        <v xml:space="preserve">   </v>
      </c>
      <c r="I145" s="30" t="str">
        <f t="shared" si="23"/>
        <v xml:space="preserve">   </v>
      </c>
      <c r="J145" s="1125"/>
      <c r="K145" s="1126"/>
      <c r="L145" s="1130">
        <v>2500000</v>
      </c>
      <c r="M145" s="1126"/>
      <c r="N145" s="1130">
        <v>2500000</v>
      </c>
      <c r="O145" s="1126"/>
      <c r="P145" s="1130">
        <v>2500000</v>
      </c>
      <c r="Q145" s="1126">
        <v>40620</v>
      </c>
      <c r="R145" s="1130">
        <v>2500000</v>
      </c>
      <c r="S145" s="1126"/>
      <c r="T145" s="1145"/>
      <c r="U145" s="1126" t="s">
        <v>184</v>
      </c>
      <c r="V145" s="1130">
        <v>600000</v>
      </c>
      <c r="W145" s="1126" t="s">
        <v>184</v>
      </c>
      <c r="X145" s="1130">
        <v>600000</v>
      </c>
      <c r="Y145" s="1126">
        <v>40653</v>
      </c>
      <c r="Z145" s="1130"/>
      <c r="AA145" s="1126"/>
      <c r="AB145" s="1198">
        <v>1000000</v>
      </c>
      <c r="AC145" s="1126"/>
      <c r="AD145" s="1157"/>
      <c r="AE145" s="1158"/>
      <c r="AF145" s="1207"/>
      <c r="AG145" s="1158"/>
      <c r="AH145" s="1168" t="str">
        <f t="shared" si="27"/>
        <v>PI</v>
      </c>
      <c r="AI145" s="747">
        <f t="shared" si="24"/>
        <v>12200000</v>
      </c>
      <c r="AJ145" s="747">
        <f>(COUNT(L145,N145,P145,R145,T145)*2500000)+(COUNT(V145,X145,Z145,AD145,AF145)*600000)+AB145</f>
        <v>12200000</v>
      </c>
      <c r="AK145" s="747">
        <f t="shared" si="26"/>
        <v>0</v>
      </c>
      <c r="AL145" s="1170"/>
      <c r="AM145" s="1170"/>
      <c r="AN145" s="1209"/>
      <c r="AO145" s="1170"/>
      <c r="AP145" s="1209"/>
      <c r="AQ145" s="1128"/>
      <c r="AR145" s="1173"/>
      <c r="AT145" s="1173"/>
      <c r="AV145" s="1173"/>
      <c r="AX145" s="1173"/>
      <c r="AY145" s="1176"/>
      <c r="AZ145" s="1173"/>
    </row>
    <row r="146" spans="1:52" s="2" customFormat="1" x14ac:dyDescent="0.25">
      <c r="A146" s="32"/>
      <c r="B146" s="32"/>
      <c r="C146" s="33"/>
      <c r="E146" s="34"/>
      <c r="F146" s="35" t="s">
        <v>61</v>
      </c>
      <c r="G146" s="1120"/>
      <c r="H146" s="36" t="str">
        <f t="shared" si="22"/>
        <v xml:space="preserve">   </v>
      </c>
      <c r="I146" s="36" t="str">
        <f t="shared" si="23"/>
        <v xml:space="preserve">   </v>
      </c>
      <c r="J146" s="747"/>
      <c r="K146" s="1127"/>
      <c r="L146" s="747"/>
      <c r="M146" s="1127"/>
      <c r="N146" s="1128"/>
      <c r="O146" s="1127"/>
      <c r="P146" s="1129"/>
      <c r="Q146" s="1127"/>
      <c r="R146" s="1128"/>
      <c r="S146" s="1138"/>
      <c r="T146" s="1128"/>
      <c r="U146" s="1127"/>
      <c r="V146" s="1128"/>
      <c r="W146" s="1127"/>
      <c r="X146" s="1128"/>
      <c r="Y146" s="1127"/>
      <c r="Z146" s="1128"/>
      <c r="AA146" s="1127"/>
      <c r="AB146" s="1154"/>
      <c r="AC146" s="1127"/>
      <c r="AE146" s="1155"/>
      <c r="AG146" s="1155"/>
      <c r="AH146" s="1172">
        <f t="shared" si="27"/>
        <v>0</v>
      </c>
      <c r="AI146" s="747"/>
      <c r="AJ146" s="747"/>
      <c r="AK146" s="747"/>
      <c r="AL146" s="1169"/>
      <c r="AM146" s="1170"/>
      <c r="AN146" s="1171"/>
      <c r="AO146" s="1170"/>
      <c r="AP146" s="1171"/>
      <c r="AQ146" s="1128"/>
      <c r="AR146" s="1173"/>
      <c r="AT146" s="1173"/>
      <c r="AV146" s="1173"/>
      <c r="AX146" s="1173"/>
      <c r="AY146" s="1176"/>
      <c r="AZ146" s="1173"/>
    </row>
    <row r="147" spans="1:52" s="4" customFormat="1" x14ac:dyDescent="0.25">
      <c r="A147" s="32"/>
      <c r="B147" s="54" t="s">
        <v>212</v>
      </c>
      <c r="C147" s="49"/>
      <c r="D147" s="55"/>
      <c r="E147" s="50"/>
      <c r="F147" s="51" t="s">
        <v>61</v>
      </c>
      <c r="G147" s="52"/>
      <c r="H147" s="53" t="str">
        <f t="shared" si="22"/>
        <v xml:space="preserve">   </v>
      </c>
      <c r="I147" s="53" t="str">
        <f t="shared" si="23"/>
        <v xml:space="preserve">   </v>
      </c>
      <c r="J147" s="1203"/>
      <c r="K147" s="1185"/>
      <c r="L147" s="1218"/>
      <c r="M147" s="1185"/>
      <c r="N147" s="1184"/>
      <c r="O147" s="1185"/>
      <c r="P147" s="1184"/>
      <c r="Q147" s="1185"/>
      <c r="R147" s="1184"/>
      <c r="S147" s="1191"/>
      <c r="T147" s="1184"/>
      <c r="U147" s="1185"/>
      <c r="V147" s="1184"/>
      <c r="W147" s="1185"/>
      <c r="X147" s="1184"/>
      <c r="Y147" s="1185"/>
      <c r="Z147" s="1184"/>
      <c r="AA147" s="1185"/>
      <c r="AB147" s="1226"/>
      <c r="AC147" s="1185"/>
      <c r="AD147" s="1203"/>
      <c r="AE147" s="1185"/>
      <c r="AF147" s="1203"/>
      <c r="AG147" s="1185"/>
      <c r="AH147" s="1231">
        <f t="shared" si="27"/>
        <v>0</v>
      </c>
      <c r="AI147" s="1212"/>
      <c r="AJ147" s="1212"/>
      <c r="AK147" s="1212"/>
      <c r="AL147" s="1213"/>
      <c r="AM147" s="1213"/>
      <c r="AN147" s="1214"/>
      <c r="AO147" s="1213"/>
      <c r="AP147" s="1214"/>
      <c r="AQ147" s="1215"/>
      <c r="AR147" s="1216"/>
      <c r="AT147" s="1216"/>
      <c r="AV147" s="1216"/>
      <c r="AX147" s="1216"/>
      <c r="AY147" s="1217"/>
      <c r="AZ147" s="1216"/>
    </row>
    <row r="148" spans="1:52" s="2" customFormat="1" x14ac:dyDescent="0.25">
      <c r="A148" s="19">
        <v>136</v>
      </c>
      <c r="B148" s="57">
        <v>1</v>
      </c>
      <c r="C148" s="38">
        <v>849199039</v>
      </c>
      <c r="D148" s="37" t="s">
        <v>213</v>
      </c>
      <c r="E148" s="28" t="s">
        <v>32</v>
      </c>
      <c r="F148" s="57">
        <v>2010</v>
      </c>
      <c r="G148" s="28"/>
      <c r="H148" s="58" t="str">
        <f t="shared" si="22"/>
        <v xml:space="preserve">   </v>
      </c>
      <c r="I148" s="58" t="str">
        <f t="shared" si="23"/>
        <v xml:space="preserve">   </v>
      </c>
      <c r="J148" s="1130"/>
      <c r="K148" s="1126"/>
      <c r="L148" s="1130">
        <v>2500000</v>
      </c>
      <c r="M148" s="1126"/>
      <c r="N148" s="1130">
        <v>2500000</v>
      </c>
      <c r="O148" s="1126">
        <v>40591</v>
      </c>
      <c r="P148" s="1130">
        <v>2500000</v>
      </c>
      <c r="Q148" s="1126"/>
      <c r="R148" s="1186" t="s">
        <v>137</v>
      </c>
      <c r="S148" s="1190" t="s">
        <v>137</v>
      </c>
      <c r="T148" s="1145"/>
      <c r="U148" s="1126"/>
      <c r="V148" s="1130"/>
      <c r="W148" s="1126"/>
      <c r="X148" s="1130"/>
      <c r="Y148" s="1126"/>
      <c r="Z148" s="1130"/>
      <c r="AA148" s="1126"/>
      <c r="AB148" s="1198"/>
      <c r="AC148" s="1126"/>
      <c r="AD148" s="1157"/>
      <c r="AE148" s="1158"/>
      <c r="AF148" s="1157"/>
      <c r="AG148" s="1158"/>
      <c r="AH148" s="1232" t="str">
        <f t="shared" si="27"/>
        <v>PI</v>
      </c>
      <c r="AI148" s="747">
        <f t="shared" ref="AI148:AI174" si="28">SUM(J148,L148,N148,P148,R148,T148,V148,X148,Z148,AB148,AD148,AF148)</f>
        <v>7500000</v>
      </c>
      <c r="AJ148" s="747">
        <f t="shared" ref="AJ148:AJ158" si="29">((COUNT((L148,N148,P148,R148,T148,V148,X148,Z148,AD148,AF148)))*2500000)+(J148+AB148)</f>
        <v>7500000</v>
      </c>
      <c r="AK148" s="747">
        <f t="shared" ref="AK148:AK178" si="30">AJ148-AI148</f>
        <v>0</v>
      </c>
      <c r="AL148" s="1170"/>
      <c r="AM148" s="1170"/>
      <c r="AN148" s="1209"/>
      <c r="AO148" s="1170"/>
      <c r="AP148" s="1209"/>
      <c r="AQ148" s="1128"/>
      <c r="AR148" s="1173"/>
      <c r="AT148" s="1173"/>
      <c r="AV148" s="1173"/>
      <c r="AX148" s="1173"/>
      <c r="AY148" s="1176"/>
      <c r="AZ148" s="1173"/>
    </row>
    <row r="149" spans="1:52" s="2" customFormat="1" x14ac:dyDescent="0.25">
      <c r="A149" s="19">
        <v>137</v>
      </c>
      <c r="B149" s="57">
        <v>2</v>
      </c>
      <c r="C149" s="38">
        <v>849199040</v>
      </c>
      <c r="D149" s="37" t="s">
        <v>214</v>
      </c>
      <c r="E149" s="28" t="s">
        <v>32</v>
      </c>
      <c r="F149" s="57">
        <v>2010</v>
      </c>
      <c r="G149" s="28"/>
      <c r="H149" s="58" t="str">
        <f t="shared" si="22"/>
        <v xml:space="preserve">   </v>
      </c>
      <c r="I149" s="58" t="str">
        <f t="shared" si="23"/>
        <v xml:space="preserve">   </v>
      </c>
      <c r="J149" s="1130"/>
      <c r="K149" s="1126">
        <v>40156</v>
      </c>
      <c r="L149" s="1130">
        <v>2500000</v>
      </c>
      <c r="M149" s="1126">
        <v>40429</v>
      </c>
      <c r="N149" s="1130">
        <v>2500000</v>
      </c>
      <c r="O149" s="1126">
        <v>40849</v>
      </c>
      <c r="P149" s="1130">
        <v>2500000</v>
      </c>
      <c r="Q149" s="1126" t="s">
        <v>215</v>
      </c>
      <c r="R149" s="1130">
        <v>2500000</v>
      </c>
      <c r="S149" s="1126"/>
      <c r="T149" s="1145"/>
      <c r="U149" s="1126"/>
      <c r="V149" s="1130"/>
      <c r="W149" s="1126"/>
      <c r="X149" s="1130"/>
      <c r="Y149" s="1126"/>
      <c r="Z149" s="1130"/>
      <c r="AA149" s="1126"/>
      <c r="AB149" s="1198"/>
      <c r="AC149" s="1126"/>
      <c r="AD149" s="1157"/>
      <c r="AE149" s="1158"/>
      <c r="AF149" s="1157"/>
      <c r="AG149" s="1158"/>
      <c r="AH149" s="1232" t="str">
        <f t="shared" si="27"/>
        <v>PI</v>
      </c>
      <c r="AI149" s="747">
        <f t="shared" si="28"/>
        <v>10000000</v>
      </c>
      <c r="AJ149" s="747">
        <f t="shared" si="29"/>
        <v>7500000</v>
      </c>
      <c r="AK149" s="747">
        <f t="shared" si="30"/>
        <v>-2500000</v>
      </c>
      <c r="AL149" s="1170"/>
      <c r="AM149" s="1170"/>
      <c r="AN149" s="1209"/>
      <c r="AO149" s="1170"/>
      <c r="AP149" s="1209"/>
      <c r="AQ149" s="1128"/>
      <c r="AR149" s="1173"/>
      <c r="AT149" s="1173"/>
      <c r="AV149" s="1173"/>
      <c r="AX149" s="1173"/>
      <c r="AY149" s="1176"/>
      <c r="AZ149" s="1173"/>
    </row>
    <row r="150" spans="1:52" s="2" customFormat="1" x14ac:dyDescent="0.25">
      <c r="A150" s="19">
        <v>138</v>
      </c>
      <c r="B150" s="57">
        <v>3</v>
      </c>
      <c r="C150" s="38">
        <v>849199041</v>
      </c>
      <c r="D150" s="37" t="s">
        <v>216</v>
      </c>
      <c r="E150" s="28" t="s">
        <v>32</v>
      </c>
      <c r="F150" s="57">
        <v>2010</v>
      </c>
      <c r="G150" s="28"/>
      <c r="H150" s="58" t="str">
        <f t="shared" si="22"/>
        <v xml:space="preserve">   </v>
      </c>
      <c r="I150" s="58" t="str">
        <f t="shared" si="23"/>
        <v xml:space="preserve">   </v>
      </c>
      <c r="J150" s="1130"/>
      <c r="K150" s="1126">
        <v>40192</v>
      </c>
      <c r="L150" s="1130">
        <v>2500000</v>
      </c>
      <c r="M150" s="1126">
        <v>40490</v>
      </c>
      <c r="N150" s="1130">
        <v>2500000</v>
      </c>
      <c r="O150" s="1126">
        <v>40635</v>
      </c>
      <c r="P150" s="1130">
        <v>2500000</v>
      </c>
      <c r="Q150" s="1126" t="s">
        <v>215</v>
      </c>
      <c r="R150" s="1130">
        <v>2500000</v>
      </c>
      <c r="S150" s="1126"/>
      <c r="T150" s="1145"/>
      <c r="U150" s="1126"/>
      <c r="V150" s="1130"/>
      <c r="W150" s="1126"/>
      <c r="X150" s="1130"/>
      <c r="Y150" s="1126"/>
      <c r="Z150" s="1130"/>
      <c r="AA150" s="1126"/>
      <c r="AB150" s="1198">
        <v>1000000</v>
      </c>
      <c r="AC150" s="1126"/>
      <c r="AD150" s="1157"/>
      <c r="AE150" s="1158"/>
      <c r="AF150" s="1157"/>
      <c r="AG150" s="1158"/>
      <c r="AH150" s="1232" t="str">
        <f t="shared" si="27"/>
        <v>PI</v>
      </c>
      <c r="AI150" s="747">
        <f t="shared" si="28"/>
        <v>11000000</v>
      </c>
      <c r="AJ150" s="747">
        <f t="shared" si="29"/>
        <v>8500000</v>
      </c>
      <c r="AK150" s="747">
        <f t="shared" si="30"/>
        <v>-2500000</v>
      </c>
      <c r="AL150" s="1170"/>
      <c r="AM150" s="1170"/>
      <c r="AN150" s="1209"/>
      <c r="AO150" s="1170"/>
      <c r="AP150" s="1209"/>
      <c r="AQ150" s="1128"/>
      <c r="AR150" s="1173"/>
      <c r="AT150" s="1173"/>
      <c r="AV150" s="1173"/>
      <c r="AX150" s="1173"/>
      <c r="AY150" s="1176"/>
      <c r="AZ150" s="1173"/>
    </row>
    <row r="151" spans="1:52" s="2" customFormat="1" x14ac:dyDescent="0.25">
      <c r="A151" s="19">
        <v>139</v>
      </c>
      <c r="B151" s="57">
        <v>4</v>
      </c>
      <c r="C151" s="38">
        <v>849199042</v>
      </c>
      <c r="D151" s="37" t="s">
        <v>217</v>
      </c>
      <c r="E151" s="28" t="s">
        <v>32</v>
      </c>
      <c r="F151" s="57">
        <v>2010</v>
      </c>
      <c r="G151" s="28"/>
      <c r="H151" s="58" t="str">
        <f t="shared" si="22"/>
        <v xml:space="preserve">   </v>
      </c>
      <c r="I151" s="58" t="str">
        <f t="shared" si="23"/>
        <v xml:space="preserve">   </v>
      </c>
      <c r="J151" s="1130"/>
      <c r="K151" s="1126">
        <v>40193</v>
      </c>
      <c r="L151" s="1130">
        <v>2500000</v>
      </c>
      <c r="M151" s="1126" t="s">
        <v>124</v>
      </c>
      <c r="N151" s="1130">
        <v>2500000</v>
      </c>
      <c r="O151" s="1126">
        <v>40757</v>
      </c>
      <c r="P151" s="1130">
        <v>2500000</v>
      </c>
      <c r="Q151" s="1126" t="s">
        <v>215</v>
      </c>
      <c r="R151" s="1130">
        <v>2500000</v>
      </c>
      <c r="S151" s="1126"/>
      <c r="T151" s="1145"/>
      <c r="U151" s="1126"/>
      <c r="V151" s="1130"/>
      <c r="W151" s="1126"/>
      <c r="X151" s="1130"/>
      <c r="Y151" s="1126"/>
      <c r="Z151" s="1130"/>
      <c r="AA151" s="1126"/>
      <c r="AB151" s="1198"/>
      <c r="AC151" s="1126"/>
      <c r="AD151" s="1157"/>
      <c r="AE151" s="1158"/>
      <c r="AF151" s="1157"/>
      <c r="AG151" s="1158"/>
      <c r="AH151" s="1232" t="str">
        <f t="shared" si="27"/>
        <v>PI</v>
      </c>
      <c r="AI151" s="747">
        <f t="shared" si="28"/>
        <v>10000000</v>
      </c>
      <c r="AJ151" s="747">
        <f t="shared" si="29"/>
        <v>7500000</v>
      </c>
      <c r="AK151" s="747">
        <f t="shared" si="30"/>
        <v>-2500000</v>
      </c>
      <c r="AL151" s="1170"/>
      <c r="AM151" s="1170"/>
      <c r="AN151" s="1209"/>
      <c r="AO151" s="1170"/>
      <c r="AP151" s="1209"/>
      <c r="AQ151" s="1128"/>
      <c r="AR151" s="1173"/>
      <c r="AT151" s="1173"/>
      <c r="AV151" s="1173"/>
      <c r="AX151" s="1173"/>
      <c r="AY151" s="1176"/>
      <c r="AZ151" s="1173"/>
    </row>
    <row r="152" spans="1:52" s="2" customFormat="1" x14ac:dyDescent="0.25">
      <c r="A152" s="19">
        <v>140</v>
      </c>
      <c r="B152" s="59">
        <v>5</v>
      </c>
      <c r="C152" s="40">
        <v>849199043</v>
      </c>
      <c r="D152" s="39" t="s">
        <v>218</v>
      </c>
      <c r="E152" s="23" t="s">
        <v>32</v>
      </c>
      <c r="F152" s="59">
        <v>2010</v>
      </c>
      <c r="G152" s="23" t="s">
        <v>33</v>
      </c>
      <c r="H152" s="60" t="str">
        <f t="shared" si="22"/>
        <v xml:space="preserve">   </v>
      </c>
      <c r="I152" s="60">
        <f t="shared" si="23"/>
        <v>41275</v>
      </c>
      <c r="J152" s="1178"/>
      <c r="K152" s="1124">
        <v>40196</v>
      </c>
      <c r="L152" s="1178">
        <v>2500000</v>
      </c>
      <c r="M152" s="1124" t="s">
        <v>124</v>
      </c>
      <c r="N152" s="1178">
        <v>2500000</v>
      </c>
      <c r="O152" s="1124">
        <v>40581</v>
      </c>
      <c r="P152" s="1178">
        <v>2500000</v>
      </c>
      <c r="Q152" s="1124" t="s">
        <v>219</v>
      </c>
      <c r="R152" s="1178">
        <v>2500000</v>
      </c>
      <c r="S152" s="1124">
        <v>41491</v>
      </c>
      <c r="T152" s="1188">
        <v>2500000</v>
      </c>
      <c r="U152" s="1124">
        <v>41491</v>
      </c>
      <c r="V152" s="1178">
        <v>2500000</v>
      </c>
      <c r="W152" s="1126"/>
      <c r="X152" s="1130"/>
      <c r="Y152" s="1126"/>
      <c r="Z152" s="1130"/>
      <c r="AA152" s="1126"/>
      <c r="AB152" s="1198">
        <v>1000000</v>
      </c>
      <c r="AC152" s="1126">
        <v>41491</v>
      </c>
      <c r="AD152" s="1157"/>
      <c r="AE152" s="1158"/>
      <c r="AF152" s="1157"/>
      <c r="AG152" s="1158"/>
      <c r="AH152" s="1232" t="str">
        <f t="shared" si="27"/>
        <v>PI</v>
      </c>
      <c r="AI152" s="747">
        <f t="shared" si="28"/>
        <v>16000000</v>
      </c>
      <c r="AJ152" s="747">
        <f t="shared" si="29"/>
        <v>8500000</v>
      </c>
      <c r="AK152" s="747">
        <f t="shared" si="30"/>
        <v>-7500000</v>
      </c>
      <c r="AL152" s="1170"/>
      <c r="AM152" s="1170"/>
      <c r="AN152" s="1209"/>
      <c r="AO152" s="1170"/>
      <c r="AP152" s="1209"/>
      <c r="AQ152" s="1128"/>
      <c r="AR152" s="1173"/>
      <c r="AT152" s="1173"/>
      <c r="AV152" s="1173"/>
      <c r="AX152" s="1173"/>
      <c r="AY152" s="1176"/>
      <c r="AZ152" s="1173"/>
    </row>
    <row r="153" spans="1:52" s="2" customFormat="1" x14ac:dyDescent="0.25">
      <c r="A153" s="19">
        <v>141</v>
      </c>
      <c r="B153" s="57">
        <v>6</v>
      </c>
      <c r="C153" s="38">
        <v>849199044</v>
      </c>
      <c r="D153" s="37" t="s">
        <v>220</v>
      </c>
      <c r="E153" s="28" t="s">
        <v>32</v>
      </c>
      <c r="F153" s="57">
        <v>2010</v>
      </c>
      <c r="G153" s="28"/>
      <c r="H153" s="58" t="str">
        <f t="shared" si="22"/>
        <v xml:space="preserve">   </v>
      </c>
      <c r="I153" s="58" t="str">
        <f t="shared" si="23"/>
        <v xml:space="preserve">   </v>
      </c>
      <c r="J153" s="1130"/>
      <c r="K153" s="1126">
        <v>40192</v>
      </c>
      <c r="L153" s="1130">
        <v>2500000</v>
      </c>
      <c r="M153" s="1126">
        <v>40276</v>
      </c>
      <c r="N153" s="1130">
        <v>2500000</v>
      </c>
      <c r="O153" s="1126">
        <v>40574</v>
      </c>
      <c r="P153" s="1130">
        <v>2500000</v>
      </c>
      <c r="Q153" s="1126" t="s">
        <v>221</v>
      </c>
      <c r="R153" s="1130">
        <v>2500000</v>
      </c>
      <c r="S153" s="1126"/>
      <c r="T153" s="1145"/>
      <c r="U153" s="1126"/>
      <c r="V153" s="1130"/>
      <c r="W153" s="1126"/>
      <c r="X153" s="1130"/>
      <c r="Y153" s="1227" t="s">
        <v>221</v>
      </c>
      <c r="Z153" s="1130"/>
      <c r="AA153" s="1126"/>
      <c r="AB153" s="1198">
        <v>1000000</v>
      </c>
      <c r="AC153" s="1126"/>
      <c r="AD153" s="1157"/>
      <c r="AE153" s="1158"/>
      <c r="AF153" s="1157"/>
      <c r="AG153" s="1158"/>
      <c r="AH153" s="1232" t="str">
        <f t="shared" si="27"/>
        <v>PI</v>
      </c>
      <c r="AI153" s="747">
        <f t="shared" si="28"/>
        <v>11000000</v>
      </c>
      <c r="AJ153" s="747">
        <f t="shared" si="29"/>
        <v>8500000</v>
      </c>
      <c r="AK153" s="747">
        <f t="shared" si="30"/>
        <v>-2500000</v>
      </c>
      <c r="AL153" s="1170"/>
      <c r="AM153" s="1170"/>
      <c r="AN153" s="1209"/>
      <c r="AO153" s="1170"/>
      <c r="AP153" s="1209"/>
      <c r="AQ153" s="1128"/>
      <c r="AR153" s="1173"/>
      <c r="AT153" s="1173"/>
      <c r="AV153" s="1173"/>
      <c r="AX153" s="1173"/>
      <c r="AY153" s="1176"/>
      <c r="AZ153" s="1173"/>
    </row>
    <row r="154" spans="1:52" s="2" customFormat="1" x14ac:dyDescent="0.25">
      <c r="A154" s="19">
        <v>142</v>
      </c>
      <c r="B154" s="57">
        <v>7</v>
      </c>
      <c r="C154" s="38">
        <v>849199045</v>
      </c>
      <c r="D154" s="37" t="s">
        <v>222</v>
      </c>
      <c r="E154" s="28" t="s">
        <v>32</v>
      </c>
      <c r="F154" s="57">
        <v>2010</v>
      </c>
      <c r="G154" s="28"/>
      <c r="H154" s="58" t="str">
        <f t="shared" si="22"/>
        <v xml:space="preserve">   </v>
      </c>
      <c r="I154" s="58" t="str">
        <f t="shared" si="23"/>
        <v xml:space="preserve">   </v>
      </c>
      <c r="J154" s="1130"/>
      <c r="K154" s="1126"/>
      <c r="L154" s="1130">
        <v>5000000</v>
      </c>
      <c r="M154" s="1126"/>
      <c r="N154" s="1130">
        <v>0</v>
      </c>
      <c r="O154" s="1126"/>
      <c r="P154" s="1130">
        <v>2500000</v>
      </c>
      <c r="Q154" s="1126"/>
      <c r="R154" s="1219" t="s">
        <v>137</v>
      </c>
      <c r="S154" s="1220" t="s">
        <v>137</v>
      </c>
      <c r="T154" s="1145"/>
      <c r="U154" s="1126"/>
      <c r="V154" s="1130"/>
      <c r="W154" s="1126"/>
      <c r="X154" s="1130"/>
      <c r="Y154" s="1227"/>
      <c r="Z154" s="1130"/>
      <c r="AA154" s="1126"/>
      <c r="AB154" s="1198"/>
      <c r="AC154" s="1126"/>
      <c r="AD154" s="1157"/>
      <c r="AE154" s="1158"/>
      <c r="AF154" s="1157"/>
      <c r="AG154" s="1158"/>
      <c r="AH154" s="1232" t="str">
        <f t="shared" si="27"/>
        <v>PI</v>
      </c>
      <c r="AI154" s="747">
        <f t="shared" si="28"/>
        <v>7500000</v>
      </c>
      <c r="AJ154" s="747">
        <f t="shared" si="29"/>
        <v>7500000</v>
      </c>
      <c r="AK154" s="747">
        <f t="shared" si="30"/>
        <v>0</v>
      </c>
      <c r="AL154" s="1170"/>
      <c r="AM154" s="1170"/>
      <c r="AN154" s="1209"/>
      <c r="AO154" s="1170"/>
      <c r="AP154" s="1209"/>
      <c r="AQ154" s="1128"/>
      <c r="AR154" s="1173"/>
      <c r="AT154" s="1173"/>
      <c r="AV154" s="1173"/>
      <c r="AX154" s="1173"/>
      <c r="AY154" s="1176"/>
      <c r="AZ154" s="1173"/>
    </row>
    <row r="155" spans="1:52" s="2" customFormat="1" x14ac:dyDescent="0.25">
      <c r="A155" s="19">
        <v>143</v>
      </c>
      <c r="B155" s="57">
        <v>8</v>
      </c>
      <c r="C155" s="38">
        <v>849199046</v>
      </c>
      <c r="D155" s="37" t="s">
        <v>223</v>
      </c>
      <c r="E155" s="28" t="s">
        <v>32</v>
      </c>
      <c r="F155" s="57">
        <v>2010</v>
      </c>
      <c r="G155" s="28"/>
      <c r="H155" s="58" t="str">
        <f t="shared" si="22"/>
        <v xml:space="preserve">   </v>
      </c>
      <c r="I155" s="58" t="str">
        <f t="shared" si="23"/>
        <v xml:space="preserve">   </v>
      </c>
      <c r="J155" s="1130"/>
      <c r="K155" s="1126"/>
      <c r="L155" s="1130"/>
      <c r="M155" s="1126">
        <v>40337</v>
      </c>
      <c r="N155" s="1130">
        <v>2500000</v>
      </c>
      <c r="O155" s="1126">
        <v>40757</v>
      </c>
      <c r="P155" s="1130">
        <v>2500000</v>
      </c>
      <c r="Q155" s="1126" t="s">
        <v>224</v>
      </c>
      <c r="R155" s="1130">
        <v>2500000</v>
      </c>
      <c r="S155" s="1126"/>
      <c r="T155" s="1145"/>
      <c r="U155" s="1126"/>
      <c r="V155" s="1130"/>
      <c r="W155" s="1126"/>
      <c r="X155" s="1130"/>
      <c r="Y155" s="1227" t="s">
        <v>157</v>
      </c>
      <c r="Z155" s="1130"/>
      <c r="AA155" s="1126"/>
      <c r="AB155" s="1198">
        <v>1000000</v>
      </c>
      <c r="AC155" s="1126"/>
      <c r="AD155" s="1157"/>
      <c r="AE155" s="1158"/>
      <c r="AF155" s="1157"/>
      <c r="AG155" s="1158"/>
      <c r="AH155" s="1232" t="str">
        <f t="shared" si="27"/>
        <v>PI</v>
      </c>
      <c r="AI155" s="747">
        <f t="shared" si="28"/>
        <v>8500000</v>
      </c>
      <c r="AJ155" s="747">
        <f t="shared" si="29"/>
        <v>8500000</v>
      </c>
      <c r="AK155" s="747">
        <f t="shared" si="30"/>
        <v>0</v>
      </c>
      <c r="AL155" s="1170"/>
      <c r="AM155" s="1170"/>
      <c r="AN155" s="1209"/>
      <c r="AO155" s="1170"/>
      <c r="AP155" s="1209"/>
      <c r="AQ155" s="1128"/>
      <c r="AR155" s="1173"/>
      <c r="AT155" s="1173"/>
      <c r="AV155" s="1173"/>
      <c r="AX155" s="1173"/>
      <c r="AY155" s="1176"/>
      <c r="AZ155" s="1173"/>
    </row>
    <row r="156" spans="1:52" s="2" customFormat="1" x14ac:dyDescent="0.25">
      <c r="A156" s="19">
        <v>144</v>
      </c>
      <c r="B156" s="57">
        <v>9</v>
      </c>
      <c r="C156" s="38">
        <v>849199047</v>
      </c>
      <c r="D156" s="37" t="s">
        <v>225</v>
      </c>
      <c r="E156" s="28" t="s">
        <v>32</v>
      </c>
      <c r="F156" s="57">
        <v>2010</v>
      </c>
      <c r="G156" s="28"/>
      <c r="H156" s="58" t="str">
        <f t="shared" si="22"/>
        <v xml:space="preserve">   </v>
      </c>
      <c r="I156" s="58" t="str">
        <f t="shared" si="23"/>
        <v xml:space="preserve">   </v>
      </c>
      <c r="J156" s="1130"/>
      <c r="K156" s="1126"/>
      <c r="L156" s="1130">
        <v>5000000</v>
      </c>
      <c r="M156" s="1126"/>
      <c r="N156" s="1130">
        <v>0</v>
      </c>
      <c r="O156" s="1126">
        <v>40850</v>
      </c>
      <c r="P156" s="1130">
        <v>2500000</v>
      </c>
      <c r="Q156" s="1220" t="s">
        <v>137</v>
      </c>
      <c r="R156" s="1221"/>
      <c r="S156" s="1126">
        <v>41154</v>
      </c>
      <c r="T156" s="1145">
        <v>2500000</v>
      </c>
      <c r="U156" s="1126"/>
      <c r="V156" s="1130"/>
      <c r="W156" s="1126"/>
      <c r="X156" s="1130"/>
      <c r="Y156" s="1227">
        <v>41154</v>
      </c>
      <c r="Z156" s="1130"/>
      <c r="AA156" s="1126"/>
      <c r="AB156" s="1198">
        <v>1000000</v>
      </c>
      <c r="AC156" s="1126"/>
      <c r="AD156" s="1157"/>
      <c r="AE156" s="1158"/>
      <c r="AF156" s="1157"/>
      <c r="AG156" s="1158"/>
      <c r="AH156" s="1232" t="str">
        <f t="shared" si="27"/>
        <v>PI</v>
      </c>
      <c r="AI156" s="747">
        <f t="shared" si="28"/>
        <v>11000000</v>
      </c>
      <c r="AJ156" s="747">
        <f t="shared" si="29"/>
        <v>8500000</v>
      </c>
      <c r="AK156" s="747">
        <f t="shared" si="30"/>
        <v>-2500000</v>
      </c>
      <c r="AL156" s="1170"/>
      <c r="AM156" s="1170"/>
      <c r="AN156" s="1209"/>
      <c r="AO156" s="1170"/>
      <c r="AP156" s="1209"/>
      <c r="AQ156" s="1128"/>
      <c r="AR156" s="1173"/>
      <c r="AT156" s="1173"/>
      <c r="AV156" s="1173"/>
      <c r="AX156" s="1173"/>
      <c r="AY156" s="1176"/>
      <c r="AZ156" s="1173"/>
    </row>
    <row r="157" spans="1:52" s="2" customFormat="1" x14ac:dyDescent="0.25">
      <c r="A157" s="19">
        <v>145</v>
      </c>
      <c r="B157" s="57">
        <v>10</v>
      </c>
      <c r="C157" s="38">
        <v>849199048</v>
      </c>
      <c r="D157" s="37" t="s">
        <v>226</v>
      </c>
      <c r="E157" s="28" t="s">
        <v>32</v>
      </c>
      <c r="F157" s="57">
        <v>2010</v>
      </c>
      <c r="G157" s="28"/>
      <c r="H157" s="58" t="str">
        <f t="shared" si="22"/>
        <v xml:space="preserve">   </v>
      </c>
      <c r="I157" s="58" t="str">
        <f t="shared" si="23"/>
        <v xml:space="preserve">   </v>
      </c>
      <c r="J157" s="1130"/>
      <c r="K157" s="1126">
        <v>40191</v>
      </c>
      <c r="L157" s="1130">
        <v>2500000</v>
      </c>
      <c r="M157" s="1126" t="s">
        <v>124</v>
      </c>
      <c r="N157" s="1130">
        <v>2500000</v>
      </c>
      <c r="O157" s="1126">
        <v>40818</v>
      </c>
      <c r="P157" s="1130">
        <v>2500000</v>
      </c>
      <c r="Q157" s="1126">
        <v>40884</v>
      </c>
      <c r="R157" s="1130">
        <v>2500000</v>
      </c>
      <c r="S157" s="1126" t="s">
        <v>227</v>
      </c>
      <c r="T157" s="1145">
        <v>2500000</v>
      </c>
      <c r="U157" s="1126"/>
      <c r="V157" s="1130"/>
      <c r="W157" s="1126"/>
      <c r="X157" s="1130"/>
      <c r="Y157" s="1227"/>
      <c r="Z157" s="1130"/>
      <c r="AA157" s="1126"/>
      <c r="AB157" s="1198"/>
      <c r="AC157" s="1126"/>
      <c r="AD157" s="1157"/>
      <c r="AE157" s="1158"/>
      <c r="AF157" s="1157"/>
      <c r="AG157" s="1158"/>
      <c r="AH157" s="1232" t="str">
        <f t="shared" si="27"/>
        <v>PI</v>
      </c>
      <c r="AI157" s="747">
        <f t="shared" si="28"/>
        <v>12500000</v>
      </c>
      <c r="AJ157" s="747">
        <f t="shared" si="29"/>
        <v>7500000</v>
      </c>
      <c r="AK157" s="747">
        <f t="shared" si="30"/>
        <v>-5000000</v>
      </c>
      <c r="AL157" s="1170"/>
      <c r="AM157" s="1170"/>
      <c r="AN157" s="1209"/>
      <c r="AO157" s="1170"/>
      <c r="AP157" s="1209"/>
      <c r="AQ157" s="1128"/>
      <c r="AR157" s="1173"/>
      <c r="AT157" s="1173"/>
      <c r="AV157" s="1173"/>
      <c r="AX157" s="1173"/>
      <c r="AY157" s="1176"/>
      <c r="AZ157" s="1173"/>
    </row>
    <row r="158" spans="1:52" s="2" customFormat="1" x14ac:dyDescent="0.25">
      <c r="A158" s="19">
        <v>146</v>
      </c>
      <c r="B158" s="57">
        <v>11</v>
      </c>
      <c r="C158" s="38">
        <v>849199049</v>
      </c>
      <c r="D158" s="37" t="s">
        <v>228</v>
      </c>
      <c r="E158" s="28" t="s">
        <v>32</v>
      </c>
      <c r="F158" s="57">
        <v>2010</v>
      </c>
      <c r="G158" s="28"/>
      <c r="H158" s="58" t="str">
        <f t="shared" si="22"/>
        <v xml:space="preserve">   </v>
      </c>
      <c r="I158" s="58" t="str">
        <f t="shared" si="23"/>
        <v xml:space="preserve">   </v>
      </c>
      <c r="J158" s="1130"/>
      <c r="K158" s="1126">
        <v>40161</v>
      </c>
      <c r="L158" s="1130">
        <v>2500000</v>
      </c>
      <c r="M158" s="1126" t="s">
        <v>229</v>
      </c>
      <c r="N158" s="1130">
        <v>2500000</v>
      </c>
      <c r="O158" s="1126"/>
      <c r="P158" s="1130"/>
      <c r="Q158" s="1126"/>
      <c r="R158" s="1130"/>
      <c r="S158" s="1126"/>
      <c r="T158" s="1145"/>
      <c r="U158" s="1126"/>
      <c r="V158" s="1130"/>
      <c r="W158" s="1126"/>
      <c r="X158" s="1130"/>
      <c r="Y158" s="1227"/>
      <c r="Z158" s="1130"/>
      <c r="AA158" s="1126"/>
      <c r="AB158" s="1198"/>
      <c r="AC158" s="1126"/>
      <c r="AD158" s="1157"/>
      <c r="AE158" s="1158"/>
      <c r="AF158" s="1157"/>
      <c r="AG158" s="1158"/>
      <c r="AH158" s="1232" t="str">
        <f t="shared" si="27"/>
        <v>PI</v>
      </c>
      <c r="AI158" s="747">
        <f t="shared" si="28"/>
        <v>5000000</v>
      </c>
      <c r="AJ158" s="747">
        <f t="shared" si="29"/>
        <v>7500000</v>
      </c>
      <c r="AK158" s="747">
        <f t="shared" si="30"/>
        <v>2500000</v>
      </c>
      <c r="AL158" s="1170"/>
      <c r="AM158" s="1170"/>
      <c r="AN158" s="1209"/>
      <c r="AO158" s="1170"/>
      <c r="AP158" s="1209"/>
      <c r="AQ158" s="1128"/>
      <c r="AR158" s="1173"/>
      <c r="AT158" s="1173"/>
      <c r="AV158" s="1173"/>
      <c r="AX158" s="1173"/>
      <c r="AY158" s="1176"/>
      <c r="AZ158" s="1173"/>
    </row>
    <row r="159" spans="1:52" s="2" customFormat="1" x14ac:dyDescent="0.25">
      <c r="A159" s="19">
        <v>147</v>
      </c>
      <c r="B159" s="57">
        <v>12</v>
      </c>
      <c r="C159" s="38">
        <v>849199050</v>
      </c>
      <c r="D159" s="37" t="s">
        <v>230</v>
      </c>
      <c r="E159" s="28" t="s">
        <v>32</v>
      </c>
      <c r="F159" s="57">
        <v>2010</v>
      </c>
      <c r="G159" s="28"/>
      <c r="H159" s="58" t="str">
        <f t="shared" si="22"/>
        <v xml:space="preserve">   </v>
      </c>
      <c r="I159" s="58" t="str">
        <f t="shared" si="23"/>
        <v xml:space="preserve">   </v>
      </c>
      <c r="J159" s="1130"/>
      <c r="K159" s="1126">
        <v>40068</v>
      </c>
      <c r="L159" s="1130">
        <v>2500000</v>
      </c>
      <c r="M159" s="1126">
        <v>40520</v>
      </c>
      <c r="N159" s="1130">
        <v>2500000</v>
      </c>
      <c r="O159" s="1126">
        <v>40818</v>
      </c>
      <c r="P159" s="1130">
        <v>2500000</v>
      </c>
      <c r="Q159" s="1126" t="s">
        <v>224</v>
      </c>
      <c r="R159" s="1130">
        <v>2500000</v>
      </c>
      <c r="S159" s="1126" t="s">
        <v>125</v>
      </c>
      <c r="T159" s="1145">
        <v>2500000</v>
      </c>
      <c r="U159" s="1126">
        <v>41098</v>
      </c>
      <c r="V159" s="1130">
        <v>600000</v>
      </c>
      <c r="W159" s="1126"/>
      <c r="X159" s="1130"/>
      <c r="Y159" s="1227" t="s">
        <v>231</v>
      </c>
      <c r="Z159" s="1130"/>
      <c r="AA159" s="1126"/>
      <c r="AB159" s="1198">
        <v>1000000</v>
      </c>
      <c r="AC159" s="1126"/>
      <c r="AD159" s="1157"/>
      <c r="AE159" s="1158"/>
      <c r="AF159" s="1157"/>
      <c r="AG159" s="1158"/>
      <c r="AH159" s="1232" t="str">
        <f t="shared" si="27"/>
        <v>PI</v>
      </c>
      <c r="AI159" s="747">
        <f t="shared" si="28"/>
        <v>14100000</v>
      </c>
      <c r="AJ159" s="747">
        <f>(COUNT(L159,N159,P159,R159,T159)*2500000)+(COUNT(V159,X159,Z159,AD159,AF159)*600000)+AB159</f>
        <v>14100000</v>
      </c>
      <c r="AK159" s="747">
        <f t="shared" si="30"/>
        <v>0</v>
      </c>
      <c r="AL159" s="1170"/>
      <c r="AM159" s="1170"/>
      <c r="AN159" s="1209"/>
      <c r="AO159" s="1170"/>
      <c r="AP159" s="1209"/>
      <c r="AQ159" s="1128"/>
      <c r="AR159" s="1173"/>
      <c r="AT159" s="1173"/>
      <c r="AV159" s="1173"/>
      <c r="AX159" s="1173"/>
      <c r="AY159" s="1176"/>
      <c r="AZ159" s="1173"/>
    </row>
    <row r="160" spans="1:52" s="2" customFormat="1" x14ac:dyDescent="0.25">
      <c r="A160" s="19">
        <v>148</v>
      </c>
      <c r="B160" s="57">
        <v>13</v>
      </c>
      <c r="C160" s="38">
        <v>849199051</v>
      </c>
      <c r="D160" s="37" t="s">
        <v>232</v>
      </c>
      <c r="E160" s="28" t="s">
        <v>32</v>
      </c>
      <c r="F160" s="57">
        <v>2010</v>
      </c>
      <c r="G160" s="28"/>
      <c r="H160" s="58" t="str">
        <f t="shared" si="22"/>
        <v xml:space="preserve">   </v>
      </c>
      <c r="I160" s="58" t="str">
        <f t="shared" si="23"/>
        <v xml:space="preserve">   </v>
      </c>
      <c r="J160" s="1130"/>
      <c r="K160" s="1126" t="s">
        <v>233</v>
      </c>
      <c r="L160" s="1130">
        <v>2500000</v>
      </c>
      <c r="M160" s="1126" t="s">
        <v>124</v>
      </c>
      <c r="N160" s="1130">
        <v>2500000</v>
      </c>
      <c r="O160" s="1126">
        <v>40757</v>
      </c>
      <c r="P160" s="1130">
        <v>2500000</v>
      </c>
      <c r="Q160" s="1126" t="s">
        <v>215</v>
      </c>
      <c r="R160" s="1130">
        <v>2500000</v>
      </c>
      <c r="S160" s="1126"/>
      <c r="T160" s="1145"/>
      <c r="U160" s="1126"/>
      <c r="V160" s="1130"/>
      <c r="W160" s="1126"/>
      <c r="X160" s="1130"/>
      <c r="Y160" s="1227"/>
      <c r="Z160" s="1130"/>
      <c r="AA160" s="1126"/>
      <c r="AB160" s="1198"/>
      <c r="AC160" s="1126"/>
      <c r="AD160" s="1157"/>
      <c r="AE160" s="1158"/>
      <c r="AF160" s="1157"/>
      <c r="AG160" s="1158"/>
      <c r="AH160" s="1232" t="str">
        <f t="shared" si="27"/>
        <v>PI</v>
      </c>
      <c r="AI160" s="747">
        <f t="shared" si="28"/>
        <v>10000000</v>
      </c>
      <c r="AJ160" s="747">
        <f t="shared" ref="AJ160:AJ166" si="31">((COUNT((L160,N160,P160,R160,T160,V160,X160,Z160,AD160,AF160)))*2500000)+(J160+AB160)</f>
        <v>10000000</v>
      </c>
      <c r="AK160" s="747">
        <f t="shared" si="30"/>
        <v>0</v>
      </c>
      <c r="AL160" s="1170"/>
      <c r="AM160" s="1170"/>
      <c r="AN160" s="1209"/>
      <c r="AO160" s="1170"/>
      <c r="AP160" s="1209"/>
      <c r="AQ160" s="1128"/>
      <c r="AR160" s="1173"/>
      <c r="AT160" s="1173"/>
      <c r="AV160" s="1173"/>
      <c r="AX160" s="1173"/>
      <c r="AY160" s="1176"/>
      <c r="AZ160" s="1173"/>
    </row>
    <row r="161" spans="1:52" s="2" customFormat="1" x14ac:dyDescent="0.25">
      <c r="A161" s="19">
        <v>149</v>
      </c>
      <c r="B161" s="57">
        <v>14</v>
      </c>
      <c r="C161" s="38">
        <v>849199052</v>
      </c>
      <c r="D161" s="37" t="s">
        <v>234</v>
      </c>
      <c r="E161" s="28" t="s">
        <v>32</v>
      </c>
      <c r="F161" s="57">
        <v>2010</v>
      </c>
      <c r="G161" s="28"/>
      <c r="H161" s="58" t="str">
        <f t="shared" si="22"/>
        <v xml:space="preserve">   </v>
      </c>
      <c r="I161" s="58" t="str">
        <f t="shared" si="23"/>
        <v xml:space="preserve">   </v>
      </c>
      <c r="J161" s="1130"/>
      <c r="K161" s="1126"/>
      <c r="L161" s="1130"/>
      <c r="M161" s="1126">
        <v>40337</v>
      </c>
      <c r="N161" s="1130">
        <v>2500000</v>
      </c>
      <c r="O161" s="1126">
        <v>40545</v>
      </c>
      <c r="P161" s="1130">
        <v>2500000</v>
      </c>
      <c r="Q161" s="1126"/>
      <c r="R161" s="1130"/>
      <c r="S161" s="1126"/>
      <c r="T161" s="1145"/>
      <c r="U161" s="1126"/>
      <c r="V161" s="1130"/>
      <c r="W161" s="1126"/>
      <c r="X161" s="1130"/>
      <c r="Y161" s="1227">
        <v>40640</v>
      </c>
      <c r="Z161" s="1130"/>
      <c r="AA161" s="1126"/>
      <c r="AB161" s="1198">
        <v>1000000</v>
      </c>
      <c r="AC161" s="1126"/>
      <c r="AD161" s="1157"/>
      <c r="AE161" s="1158"/>
      <c r="AF161" s="1157"/>
      <c r="AG161" s="1158"/>
      <c r="AH161" s="1232" t="str">
        <f t="shared" si="27"/>
        <v>PI</v>
      </c>
      <c r="AI161" s="747">
        <f t="shared" si="28"/>
        <v>6000000</v>
      </c>
      <c r="AJ161" s="747">
        <f t="shared" si="31"/>
        <v>11000000</v>
      </c>
      <c r="AK161" s="747">
        <f t="shared" si="30"/>
        <v>5000000</v>
      </c>
      <c r="AL161" s="1170"/>
      <c r="AM161" s="1170"/>
      <c r="AN161" s="1209"/>
      <c r="AO161" s="1170"/>
      <c r="AP161" s="1209"/>
      <c r="AQ161" s="1128"/>
      <c r="AR161" s="1173"/>
      <c r="AT161" s="1173"/>
      <c r="AV161" s="1173"/>
      <c r="AX161" s="1173"/>
      <c r="AY161" s="1176"/>
      <c r="AZ161" s="1173"/>
    </row>
    <row r="162" spans="1:52" s="2" customFormat="1" x14ac:dyDescent="0.25">
      <c r="A162" s="19">
        <v>150</v>
      </c>
      <c r="B162" s="57">
        <v>15</v>
      </c>
      <c r="C162" s="38">
        <v>849199053</v>
      </c>
      <c r="D162" s="37" t="s">
        <v>235</v>
      </c>
      <c r="E162" s="28" t="s">
        <v>32</v>
      </c>
      <c r="F162" s="57">
        <v>2010</v>
      </c>
      <c r="G162" s="28"/>
      <c r="H162" s="58" t="str">
        <f t="shared" si="22"/>
        <v xml:space="preserve">   </v>
      </c>
      <c r="I162" s="58" t="str">
        <f t="shared" si="23"/>
        <v xml:space="preserve">   </v>
      </c>
      <c r="J162" s="1130"/>
      <c r="K162" s="1126" t="s">
        <v>236</v>
      </c>
      <c r="L162" s="1130">
        <v>2500000</v>
      </c>
      <c r="M162" s="1126"/>
      <c r="N162" s="1130">
        <v>2500000</v>
      </c>
      <c r="O162" s="1126">
        <v>40635</v>
      </c>
      <c r="P162" s="1130">
        <v>2500000</v>
      </c>
      <c r="Q162" s="1126" t="s">
        <v>237</v>
      </c>
      <c r="R162" s="1130">
        <v>2500000</v>
      </c>
      <c r="S162" s="1126">
        <v>41096</v>
      </c>
      <c r="T162" s="1145">
        <v>2500000</v>
      </c>
      <c r="U162" s="1126"/>
      <c r="V162" s="1130"/>
      <c r="W162" s="1126"/>
      <c r="X162" s="1130"/>
      <c r="Y162" s="1227"/>
      <c r="Z162" s="1130"/>
      <c r="AA162" s="1126"/>
      <c r="AB162" s="1198">
        <v>1000000</v>
      </c>
      <c r="AC162" s="1126">
        <v>41096</v>
      </c>
      <c r="AD162" s="1157"/>
      <c r="AE162" s="1158"/>
      <c r="AF162" s="1157"/>
      <c r="AG162" s="1158"/>
      <c r="AH162" s="1232" t="str">
        <f t="shared" si="27"/>
        <v>PI</v>
      </c>
      <c r="AI162" s="747">
        <f t="shared" si="28"/>
        <v>13500000</v>
      </c>
      <c r="AJ162" s="747">
        <f t="shared" si="31"/>
        <v>11000000</v>
      </c>
      <c r="AK162" s="747">
        <f t="shared" si="30"/>
        <v>-2500000</v>
      </c>
      <c r="AL162" s="1170"/>
      <c r="AM162" s="1170"/>
      <c r="AN162" s="1209"/>
      <c r="AO162" s="1170"/>
      <c r="AP162" s="1209"/>
      <c r="AQ162" s="1128"/>
      <c r="AR162" s="1173"/>
      <c r="AT162" s="1173"/>
      <c r="AV162" s="1173"/>
      <c r="AX162" s="1173"/>
      <c r="AY162" s="1176"/>
      <c r="AZ162" s="1173"/>
    </row>
    <row r="163" spans="1:52" s="2" customFormat="1" x14ac:dyDescent="0.25">
      <c r="A163" s="19">
        <v>151</v>
      </c>
      <c r="B163" s="57">
        <v>16</v>
      </c>
      <c r="C163" s="38">
        <v>849199054</v>
      </c>
      <c r="D163" s="37" t="s">
        <v>238</v>
      </c>
      <c r="E163" s="28" t="s">
        <v>32</v>
      </c>
      <c r="F163" s="57">
        <v>2010</v>
      </c>
      <c r="G163" s="28"/>
      <c r="H163" s="58" t="str">
        <f t="shared" si="22"/>
        <v xml:space="preserve">   </v>
      </c>
      <c r="I163" s="58" t="str">
        <f t="shared" si="23"/>
        <v xml:space="preserve">   </v>
      </c>
      <c r="J163" s="1130"/>
      <c r="K163" s="1126"/>
      <c r="L163" s="1130">
        <v>2500000</v>
      </c>
      <c r="M163" s="1126">
        <v>40398</v>
      </c>
      <c r="N163" s="1130">
        <v>2500000</v>
      </c>
      <c r="O163" s="1126"/>
      <c r="P163" s="1130">
        <v>2500000</v>
      </c>
      <c r="Q163" s="1126" t="s">
        <v>239</v>
      </c>
      <c r="R163" s="1130">
        <v>2500000</v>
      </c>
      <c r="S163" s="1126" t="s">
        <v>187</v>
      </c>
      <c r="T163" s="1145">
        <v>2500000</v>
      </c>
      <c r="U163" s="1126"/>
      <c r="V163" s="1130"/>
      <c r="W163" s="1126"/>
      <c r="X163" s="1130"/>
      <c r="Y163" s="1227">
        <v>40858</v>
      </c>
      <c r="Z163" s="1130"/>
      <c r="AA163" s="1126"/>
      <c r="AB163" s="1198">
        <v>1000000</v>
      </c>
      <c r="AC163" s="1126"/>
      <c r="AD163" s="1157"/>
      <c r="AE163" s="1158"/>
      <c r="AF163" s="1157"/>
      <c r="AG163" s="1158"/>
      <c r="AH163" s="1232" t="str">
        <f t="shared" si="27"/>
        <v>PI</v>
      </c>
      <c r="AI163" s="747">
        <f t="shared" si="28"/>
        <v>13500000</v>
      </c>
      <c r="AJ163" s="747">
        <f t="shared" si="31"/>
        <v>11000000</v>
      </c>
      <c r="AK163" s="747">
        <f t="shared" si="30"/>
        <v>-2500000</v>
      </c>
      <c r="AL163" s="1170"/>
      <c r="AM163" s="1170"/>
      <c r="AN163" s="1209"/>
      <c r="AO163" s="1170"/>
      <c r="AP163" s="1209"/>
      <c r="AQ163" s="1128"/>
      <c r="AR163" s="1173"/>
      <c r="AT163" s="1173"/>
      <c r="AV163" s="1173"/>
      <c r="AX163" s="1173"/>
      <c r="AY163" s="1176"/>
      <c r="AZ163" s="1173"/>
    </row>
    <row r="164" spans="1:52" s="2" customFormat="1" x14ac:dyDescent="0.25">
      <c r="A164" s="19">
        <v>152</v>
      </c>
      <c r="B164" s="57">
        <v>17</v>
      </c>
      <c r="C164" s="38">
        <v>849199055</v>
      </c>
      <c r="D164" s="37" t="s">
        <v>240</v>
      </c>
      <c r="E164" s="28" t="s">
        <v>32</v>
      </c>
      <c r="F164" s="57">
        <v>2010</v>
      </c>
      <c r="G164" s="28"/>
      <c r="H164" s="58" t="str">
        <f t="shared" si="22"/>
        <v xml:space="preserve">   </v>
      </c>
      <c r="I164" s="58" t="str">
        <f t="shared" si="23"/>
        <v xml:space="preserve">   </v>
      </c>
      <c r="J164" s="1130"/>
      <c r="K164" s="1126"/>
      <c r="L164" s="1130"/>
      <c r="M164" s="1126">
        <v>40520</v>
      </c>
      <c r="N164" s="1130">
        <v>2500000</v>
      </c>
      <c r="O164" s="1126">
        <v>40726</v>
      </c>
      <c r="P164" s="1130">
        <v>2500000</v>
      </c>
      <c r="Q164" s="1126" t="s">
        <v>241</v>
      </c>
      <c r="R164" s="1130">
        <v>2500000</v>
      </c>
      <c r="S164" s="1126"/>
      <c r="T164" s="1145"/>
      <c r="U164" s="1126"/>
      <c r="V164" s="1130"/>
      <c r="W164" s="1126"/>
      <c r="X164" s="1130"/>
      <c r="Y164" s="1227" t="s">
        <v>242</v>
      </c>
      <c r="Z164" s="1130"/>
      <c r="AA164" s="1126"/>
      <c r="AB164" s="1198">
        <v>1000000</v>
      </c>
      <c r="AC164" s="1126"/>
      <c r="AD164" s="1157"/>
      <c r="AE164" s="1158"/>
      <c r="AF164" s="1157"/>
      <c r="AG164" s="1158"/>
      <c r="AH164" s="1232" t="str">
        <f t="shared" si="27"/>
        <v>PI</v>
      </c>
      <c r="AI164" s="747">
        <f t="shared" si="28"/>
        <v>8500000</v>
      </c>
      <c r="AJ164" s="747">
        <f t="shared" si="31"/>
        <v>11000000</v>
      </c>
      <c r="AK164" s="747">
        <f t="shared" si="30"/>
        <v>2500000</v>
      </c>
      <c r="AL164" s="1170"/>
      <c r="AM164" s="1170"/>
      <c r="AN164" s="1209"/>
      <c r="AO164" s="1170"/>
      <c r="AP164" s="1209"/>
      <c r="AQ164" s="1128"/>
      <c r="AR164" s="1173"/>
      <c r="AT164" s="1173"/>
      <c r="AV164" s="1173"/>
      <c r="AX164" s="1173"/>
      <c r="AY164" s="1176"/>
      <c r="AZ164" s="1173"/>
    </row>
    <row r="165" spans="1:52" s="2" customFormat="1" x14ac:dyDescent="0.25">
      <c r="A165" s="19">
        <v>153</v>
      </c>
      <c r="B165" s="57">
        <v>18</v>
      </c>
      <c r="C165" s="38">
        <v>849199056</v>
      </c>
      <c r="D165" s="37" t="s">
        <v>243</v>
      </c>
      <c r="E165" s="28" t="s">
        <v>32</v>
      </c>
      <c r="F165" s="57">
        <v>2010</v>
      </c>
      <c r="G165" s="28"/>
      <c r="H165" s="58" t="str">
        <f t="shared" si="22"/>
        <v xml:space="preserve">   </v>
      </c>
      <c r="I165" s="58" t="str">
        <f t="shared" si="23"/>
        <v xml:space="preserve">   </v>
      </c>
      <c r="J165" s="1130"/>
      <c r="K165" s="1126">
        <v>40513</v>
      </c>
      <c r="L165" s="1130">
        <v>2500000</v>
      </c>
      <c r="M165" s="1126"/>
      <c r="N165" s="1130"/>
      <c r="O165" s="1126">
        <v>40711</v>
      </c>
      <c r="P165" s="1130">
        <v>2500000</v>
      </c>
      <c r="Q165" s="1126"/>
      <c r="R165" s="1130"/>
      <c r="S165" s="1126"/>
      <c r="T165" s="1145"/>
      <c r="U165" s="1126"/>
      <c r="V165" s="1130"/>
      <c r="W165" s="1126"/>
      <c r="X165" s="1130"/>
      <c r="Y165" s="1227"/>
      <c r="Z165" s="1130"/>
      <c r="AA165" s="1126"/>
      <c r="AB165" s="1198"/>
      <c r="AC165" s="1126"/>
      <c r="AD165" s="1157"/>
      <c r="AE165" s="1158"/>
      <c r="AF165" s="1157"/>
      <c r="AG165" s="1158"/>
      <c r="AH165" s="1232" t="str">
        <f t="shared" si="27"/>
        <v>PI</v>
      </c>
      <c r="AI165" s="747">
        <f t="shared" si="28"/>
        <v>5000000</v>
      </c>
      <c r="AJ165" s="747">
        <f t="shared" si="31"/>
        <v>10000000</v>
      </c>
      <c r="AK165" s="747">
        <f t="shared" si="30"/>
        <v>5000000</v>
      </c>
      <c r="AL165" s="1170"/>
      <c r="AM165" s="1170"/>
      <c r="AN165" s="1209"/>
      <c r="AO165" s="1170"/>
      <c r="AP165" s="1209"/>
      <c r="AQ165" s="1128"/>
      <c r="AR165" s="1173"/>
      <c r="AT165" s="1173"/>
      <c r="AV165" s="1173"/>
      <c r="AX165" s="1173"/>
      <c r="AY165" s="1176"/>
      <c r="AZ165" s="1173"/>
    </row>
    <row r="166" spans="1:52" s="2" customFormat="1" x14ac:dyDescent="0.25">
      <c r="A166" s="19">
        <v>154</v>
      </c>
      <c r="B166" s="57">
        <v>19</v>
      </c>
      <c r="C166" s="38">
        <v>849199057</v>
      </c>
      <c r="D166" s="37" t="s">
        <v>244</v>
      </c>
      <c r="E166" s="28" t="s">
        <v>32</v>
      </c>
      <c r="F166" s="57">
        <v>2010</v>
      </c>
      <c r="G166" s="28"/>
      <c r="H166" s="58" t="str">
        <f t="shared" si="22"/>
        <v xml:space="preserve">   </v>
      </c>
      <c r="I166" s="58" t="str">
        <f t="shared" si="23"/>
        <v xml:space="preserve">   </v>
      </c>
      <c r="J166" s="1130"/>
      <c r="K166" s="1126" t="s">
        <v>236</v>
      </c>
      <c r="L166" s="1130">
        <v>2500000</v>
      </c>
      <c r="M166" s="1126">
        <v>40459</v>
      </c>
      <c r="N166" s="1130">
        <v>2500000</v>
      </c>
      <c r="O166" s="1126">
        <v>40849</v>
      </c>
      <c r="P166" s="1130">
        <v>2500000</v>
      </c>
      <c r="Q166" s="1126" t="s">
        <v>221</v>
      </c>
      <c r="R166" s="1130">
        <v>2500000</v>
      </c>
      <c r="S166" s="1126"/>
      <c r="T166" s="1145"/>
      <c r="U166" s="1126"/>
      <c r="V166" s="1130"/>
      <c r="W166" s="1126"/>
      <c r="X166" s="1130"/>
      <c r="Y166" s="1227">
        <v>40762</v>
      </c>
      <c r="Z166" s="1130"/>
      <c r="AA166" s="1126"/>
      <c r="AB166" s="1198">
        <v>1000000</v>
      </c>
      <c r="AC166" s="1126"/>
      <c r="AD166" s="1157"/>
      <c r="AE166" s="1158"/>
      <c r="AF166" s="1157"/>
      <c r="AG166" s="1158"/>
      <c r="AH166" s="1232" t="str">
        <f t="shared" si="27"/>
        <v>PI</v>
      </c>
      <c r="AI166" s="747">
        <f t="shared" si="28"/>
        <v>11000000</v>
      </c>
      <c r="AJ166" s="747">
        <f t="shared" si="31"/>
        <v>11000000</v>
      </c>
      <c r="AK166" s="747">
        <f t="shared" si="30"/>
        <v>0</v>
      </c>
      <c r="AL166" s="1170"/>
      <c r="AM166" s="1170"/>
      <c r="AN166" s="1209"/>
      <c r="AO166" s="1170"/>
      <c r="AP166" s="1209"/>
      <c r="AQ166" s="1128"/>
      <c r="AR166" s="1173"/>
      <c r="AT166" s="1173"/>
      <c r="AV166" s="1173"/>
      <c r="AX166" s="1173"/>
      <c r="AY166" s="1176"/>
      <c r="AZ166" s="1173"/>
    </row>
    <row r="167" spans="1:52" s="2" customFormat="1" x14ac:dyDescent="0.25">
      <c r="A167" s="19">
        <v>155</v>
      </c>
      <c r="B167" s="59">
        <v>20</v>
      </c>
      <c r="C167" s="40">
        <v>849199058</v>
      </c>
      <c r="D167" s="39" t="s">
        <v>245</v>
      </c>
      <c r="E167" s="23" t="s">
        <v>32</v>
      </c>
      <c r="F167" s="59">
        <v>2010</v>
      </c>
      <c r="G167" s="31" t="s">
        <v>33</v>
      </c>
      <c r="H167" s="24" t="str">
        <f t="shared" si="22"/>
        <v xml:space="preserve">   </v>
      </c>
      <c r="I167" s="24">
        <f t="shared" si="23"/>
        <v>41275</v>
      </c>
      <c r="J167" s="1178"/>
      <c r="K167" s="1124" t="s">
        <v>246</v>
      </c>
      <c r="L167" s="1178">
        <v>2500000</v>
      </c>
      <c r="M167" s="2293" t="s">
        <v>247</v>
      </c>
      <c r="N167" s="1178">
        <v>2500000</v>
      </c>
      <c r="O167" s="1124"/>
      <c r="P167" s="1178">
        <v>2500000</v>
      </c>
      <c r="Q167" s="1124" t="s">
        <v>154</v>
      </c>
      <c r="R167" s="1178">
        <v>2500000</v>
      </c>
      <c r="S167" s="1124">
        <v>39205</v>
      </c>
      <c r="T167" s="1188">
        <v>2500000</v>
      </c>
      <c r="U167" s="1124" t="s">
        <v>200</v>
      </c>
      <c r="V167" s="1178">
        <v>600000</v>
      </c>
      <c r="W167" s="1124" t="s">
        <v>248</v>
      </c>
      <c r="X167" s="1178">
        <v>600000</v>
      </c>
      <c r="Y167" s="1227"/>
      <c r="Z167" s="1130"/>
      <c r="AA167" s="1126"/>
      <c r="AB167" s="1198">
        <v>1000000</v>
      </c>
      <c r="AC167" s="1126" t="s">
        <v>249</v>
      </c>
      <c r="AD167" s="1157"/>
      <c r="AE167" s="1158"/>
      <c r="AF167" s="1157"/>
      <c r="AG167" s="1158"/>
      <c r="AH167" s="1232" t="str">
        <f t="shared" si="27"/>
        <v>PI</v>
      </c>
      <c r="AI167" s="747">
        <f t="shared" si="28"/>
        <v>14700000</v>
      </c>
      <c r="AJ167" s="747">
        <f>(COUNT(L167,N167,P167,R167,T167)*2500000)+(COUNT(V167,X167,Z167,AD167,AF167)*600000)+AB167</f>
        <v>14700000</v>
      </c>
      <c r="AK167" s="747">
        <f t="shared" si="30"/>
        <v>0</v>
      </c>
      <c r="AL167" s="1170"/>
      <c r="AM167" s="1170"/>
      <c r="AN167" s="1209"/>
      <c r="AO167" s="1170"/>
      <c r="AP167" s="1209"/>
      <c r="AQ167" s="1128"/>
      <c r="AR167" s="1173"/>
      <c r="AT167" s="1173"/>
      <c r="AV167" s="1173"/>
      <c r="AX167" s="1173"/>
      <c r="AY167" s="1176"/>
      <c r="AZ167" s="1173"/>
    </row>
    <row r="168" spans="1:52" s="2" customFormat="1" x14ac:dyDescent="0.25">
      <c r="A168" s="19">
        <v>156</v>
      </c>
      <c r="B168" s="59">
        <v>21</v>
      </c>
      <c r="C168" s="40">
        <v>849199059</v>
      </c>
      <c r="D168" s="39" t="s">
        <v>250</v>
      </c>
      <c r="E168" s="23" t="s">
        <v>32</v>
      </c>
      <c r="F168" s="59">
        <v>2010</v>
      </c>
      <c r="G168" s="31" t="s">
        <v>33</v>
      </c>
      <c r="H168" s="60" t="str">
        <f t="shared" si="22"/>
        <v xml:space="preserve">   </v>
      </c>
      <c r="I168" s="60">
        <f t="shared" si="23"/>
        <v>42329</v>
      </c>
      <c r="J168" s="1178"/>
      <c r="K168" s="1124" t="s">
        <v>251</v>
      </c>
      <c r="L168" s="1178">
        <v>2500000</v>
      </c>
      <c r="M168" s="1124"/>
      <c r="N168" s="1178">
        <v>1000000</v>
      </c>
      <c r="O168" s="1124" t="s">
        <v>252</v>
      </c>
      <c r="P168" s="1178">
        <v>2500000</v>
      </c>
      <c r="Q168" s="1124" t="s">
        <v>253</v>
      </c>
      <c r="R168" s="1178">
        <v>2500000</v>
      </c>
      <c r="S168" s="1124">
        <v>41952</v>
      </c>
      <c r="T168" s="1188">
        <v>2500000</v>
      </c>
      <c r="U168" s="1124">
        <v>41952</v>
      </c>
      <c r="V168" s="1178">
        <v>600000</v>
      </c>
      <c r="W168" s="1124">
        <v>41952</v>
      </c>
      <c r="X168" s="1178">
        <v>600000</v>
      </c>
      <c r="Y168" s="1143">
        <v>41952</v>
      </c>
      <c r="Z168" s="1178">
        <v>600000</v>
      </c>
      <c r="AA168" s="1194"/>
      <c r="AB168" s="1205">
        <v>1000000</v>
      </c>
      <c r="AC168" s="1124" t="s">
        <v>254</v>
      </c>
      <c r="AD168" s="1199">
        <v>3000000</v>
      </c>
      <c r="AE168" s="1206">
        <v>41952</v>
      </c>
      <c r="AF168" s="1199">
        <v>600000</v>
      </c>
      <c r="AG168" s="1233">
        <v>42138</v>
      </c>
      <c r="AH168" s="1232" t="str">
        <f t="shared" si="27"/>
        <v>PI</v>
      </c>
      <c r="AI168" s="747">
        <f t="shared" si="28"/>
        <v>17400000</v>
      </c>
      <c r="AJ168" s="747">
        <f>(COUNT(L168,N168,P168,R168,T168)*2500000)+(COUNT(V168,X168,Z168,AD168,AF168)*600000)+AB168</f>
        <v>16500000</v>
      </c>
      <c r="AK168" s="747">
        <f t="shared" si="30"/>
        <v>-900000</v>
      </c>
      <c r="AL168" s="1170"/>
      <c r="AM168" s="1170"/>
      <c r="AN168" s="1209"/>
      <c r="AO168" s="1170"/>
      <c r="AP168" s="1209"/>
      <c r="AQ168" s="1128"/>
      <c r="AR168" s="1173"/>
      <c r="AT168" s="1173"/>
      <c r="AV168" s="1173"/>
      <c r="AX168" s="1173"/>
      <c r="AY168" s="1176"/>
      <c r="AZ168" s="1173"/>
    </row>
    <row r="169" spans="1:52" s="2" customFormat="1" x14ac:dyDescent="0.25">
      <c r="A169" s="19">
        <v>157</v>
      </c>
      <c r="B169" s="59">
        <v>22</v>
      </c>
      <c r="C169" s="40">
        <v>849199061</v>
      </c>
      <c r="D169" s="39" t="s">
        <v>255</v>
      </c>
      <c r="E169" s="23" t="s">
        <v>32</v>
      </c>
      <c r="F169" s="59">
        <v>2010</v>
      </c>
      <c r="G169" s="31" t="s">
        <v>33</v>
      </c>
      <c r="H169" s="60" t="str">
        <f t="shared" si="22"/>
        <v xml:space="preserve">   </v>
      </c>
      <c r="I169" s="60">
        <f t="shared" si="23"/>
        <v>42143</v>
      </c>
      <c r="J169" s="1178"/>
      <c r="K169" s="1124"/>
      <c r="L169" s="1178"/>
      <c r="M169" s="1124">
        <v>40459</v>
      </c>
      <c r="N169" s="1178">
        <v>2500000</v>
      </c>
      <c r="O169" s="1124">
        <v>40686</v>
      </c>
      <c r="P169" s="1178">
        <v>2500000</v>
      </c>
      <c r="Q169" s="1124">
        <v>40885</v>
      </c>
      <c r="R169" s="1178">
        <v>2500000</v>
      </c>
      <c r="S169" s="1124" t="s">
        <v>256</v>
      </c>
      <c r="T169" s="1188">
        <v>2500000</v>
      </c>
      <c r="U169" s="1124" t="s">
        <v>256</v>
      </c>
      <c r="V169" s="1178">
        <v>600000</v>
      </c>
      <c r="W169" s="1124" t="s">
        <v>256</v>
      </c>
      <c r="X169" s="1178">
        <v>600000</v>
      </c>
      <c r="Y169" s="1143" t="s">
        <v>257</v>
      </c>
      <c r="Z169" s="1178">
        <v>600000</v>
      </c>
      <c r="AA169" s="1194"/>
      <c r="AB169" s="1205">
        <v>1000000</v>
      </c>
      <c r="AC169" s="1124" t="s">
        <v>257</v>
      </c>
      <c r="AD169" s="1199"/>
      <c r="AE169" s="1206"/>
      <c r="AF169" s="1199"/>
      <c r="AG169" s="1206"/>
      <c r="AH169" s="1232" t="str">
        <f t="shared" si="27"/>
        <v>PI</v>
      </c>
      <c r="AI169" s="747">
        <f t="shared" si="28"/>
        <v>12800000</v>
      </c>
      <c r="AJ169" s="747">
        <f>(COUNT(L169,N169,P169,R169,T169)*2500000)+(COUNT(V169,X169,Z169,AD169,AF169)*600000)+AB169</f>
        <v>12800000</v>
      </c>
      <c r="AK169" s="747">
        <f t="shared" si="30"/>
        <v>0</v>
      </c>
      <c r="AL169" s="1170"/>
      <c r="AM169" s="1170"/>
      <c r="AN169" s="1209"/>
      <c r="AO169" s="1170"/>
      <c r="AP169" s="1209"/>
      <c r="AQ169" s="1128"/>
      <c r="AR169" s="1173"/>
      <c r="AT169" s="1173"/>
      <c r="AV169" s="1173"/>
      <c r="AX169" s="1173"/>
      <c r="AY169" s="1176"/>
      <c r="AZ169" s="1173"/>
    </row>
    <row r="170" spans="1:52" s="2" customFormat="1" x14ac:dyDescent="0.25">
      <c r="A170" s="19">
        <v>158</v>
      </c>
      <c r="B170" s="57">
        <v>23</v>
      </c>
      <c r="C170" s="38">
        <v>849199062</v>
      </c>
      <c r="D170" s="37" t="s">
        <v>258</v>
      </c>
      <c r="E170" s="28" t="s">
        <v>32</v>
      </c>
      <c r="F170" s="57">
        <v>2010</v>
      </c>
      <c r="G170" s="28"/>
      <c r="H170" s="58" t="str">
        <f t="shared" si="22"/>
        <v xml:space="preserve">   </v>
      </c>
      <c r="I170" s="58" t="str">
        <f t="shared" si="23"/>
        <v xml:space="preserve">   </v>
      </c>
      <c r="J170" s="1130"/>
      <c r="K170" s="1126"/>
      <c r="L170" s="1130"/>
      <c r="M170" s="1126">
        <v>40429</v>
      </c>
      <c r="N170" s="1130">
        <v>2500000</v>
      </c>
      <c r="O170" s="1126" t="s">
        <v>259</v>
      </c>
      <c r="P170" s="1130">
        <v>2500000</v>
      </c>
      <c r="Q170" s="1126" t="s">
        <v>215</v>
      </c>
      <c r="R170" s="1130">
        <v>2500000</v>
      </c>
      <c r="S170" s="1126"/>
      <c r="T170" s="1145"/>
      <c r="U170" s="1126"/>
      <c r="V170" s="1130"/>
      <c r="W170" s="1126"/>
      <c r="X170" s="1130"/>
      <c r="Y170" s="1227" t="s">
        <v>215</v>
      </c>
      <c r="Z170" s="1130"/>
      <c r="AA170" s="1126"/>
      <c r="AB170" s="1198">
        <v>1000000</v>
      </c>
      <c r="AC170" s="1126"/>
      <c r="AD170" s="1157"/>
      <c r="AE170" s="1158"/>
      <c r="AF170" s="1157"/>
      <c r="AG170" s="1158"/>
      <c r="AH170" s="1232" t="str">
        <f t="shared" si="27"/>
        <v>PI</v>
      </c>
      <c r="AI170" s="747">
        <f t="shared" si="28"/>
        <v>8500000</v>
      </c>
      <c r="AJ170" s="747">
        <f>((COUNT((L170,N170,P170,R170,T170,V170,X170,Z170,AD170,AF170)))*2500000)+(J170+AB170)</f>
        <v>8500000</v>
      </c>
      <c r="AK170" s="747">
        <f t="shared" si="30"/>
        <v>0</v>
      </c>
      <c r="AL170" s="1170"/>
      <c r="AM170" s="1170"/>
      <c r="AN170" s="1209"/>
      <c r="AO170" s="1170"/>
      <c r="AP170" s="1209"/>
      <c r="AQ170" s="1128"/>
      <c r="AR170" s="1173"/>
      <c r="AT170" s="1173"/>
      <c r="AV170" s="1173"/>
      <c r="AX170" s="1173"/>
      <c r="AY170" s="1176"/>
      <c r="AZ170" s="1173"/>
    </row>
    <row r="171" spans="1:52" s="2" customFormat="1" x14ac:dyDescent="0.25">
      <c r="A171" s="19">
        <v>159</v>
      </c>
      <c r="B171" s="57">
        <v>24</v>
      </c>
      <c r="C171" s="38">
        <v>849199063</v>
      </c>
      <c r="D171" s="37" t="s">
        <v>260</v>
      </c>
      <c r="E171" s="28" t="s">
        <v>32</v>
      </c>
      <c r="F171" s="57">
        <v>2010</v>
      </c>
      <c r="G171" s="28"/>
      <c r="H171" s="58" t="str">
        <f t="shared" si="22"/>
        <v xml:space="preserve">   </v>
      </c>
      <c r="I171" s="58" t="str">
        <f t="shared" si="23"/>
        <v xml:space="preserve">   </v>
      </c>
      <c r="J171" s="1130"/>
      <c r="K171" s="1126"/>
      <c r="L171" s="1130">
        <v>2500000</v>
      </c>
      <c r="M171" s="1126"/>
      <c r="N171" s="1130">
        <v>2500000</v>
      </c>
      <c r="O171" s="1126" t="s">
        <v>261</v>
      </c>
      <c r="P171" s="1130">
        <v>2500000</v>
      </c>
      <c r="Q171" s="1126" t="s">
        <v>227</v>
      </c>
      <c r="R171" s="1130">
        <v>2500000</v>
      </c>
      <c r="S171" s="1126" t="s">
        <v>262</v>
      </c>
      <c r="T171" s="1145"/>
      <c r="U171" s="1126"/>
      <c r="V171" s="1130"/>
      <c r="W171" s="1126"/>
      <c r="X171" s="1130"/>
      <c r="Y171" s="1227">
        <v>41250</v>
      </c>
      <c r="Z171" s="1130"/>
      <c r="AA171" s="1126"/>
      <c r="AB171" s="1198">
        <v>1000000</v>
      </c>
      <c r="AC171" s="1126"/>
      <c r="AD171" s="1157"/>
      <c r="AE171" s="1158"/>
      <c r="AF171" s="1157"/>
      <c r="AG171" s="1158"/>
      <c r="AH171" s="1232" t="str">
        <f t="shared" si="27"/>
        <v>PI</v>
      </c>
      <c r="AI171" s="747">
        <f t="shared" si="28"/>
        <v>11000000</v>
      </c>
      <c r="AJ171" s="747">
        <f>((COUNT((L171,N171,P171,R171,T171,V171,X171,Z171,AD171,AF171)))*2500000)+(J171+AB171)</f>
        <v>11000000</v>
      </c>
      <c r="AK171" s="747">
        <f t="shared" si="30"/>
        <v>0</v>
      </c>
      <c r="AL171" s="1170"/>
      <c r="AM171" s="1170"/>
      <c r="AN171" s="1209"/>
      <c r="AO171" s="1170"/>
      <c r="AP171" s="1209"/>
      <c r="AQ171" s="1128"/>
      <c r="AR171" s="1173"/>
      <c r="AT171" s="1173"/>
      <c r="AV171" s="1173"/>
      <c r="AX171" s="1173"/>
      <c r="AY171" s="1176"/>
      <c r="AZ171" s="1173"/>
    </row>
    <row r="172" spans="1:52" s="2" customFormat="1" x14ac:dyDescent="0.25">
      <c r="A172" s="19">
        <v>160</v>
      </c>
      <c r="B172" s="57">
        <v>25</v>
      </c>
      <c r="C172" s="38">
        <v>849199064</v>
      </c>
      <c r="D172" s="37" t="s">
        <v>263</v>
      </c>
      <c r="E172" s="28" t="s">
        <v>32</v>
      </c>
      <c r="F172" s="57">
        <v>2010</v>
      </c>
      <c r="G172" s="28"/>
      <c r="H172" s="58" t="str">
        <f t="shared" ref="H172:H235" si="32">IFERROR(VLOOKUP(C172,Tlus,3,FALSE),"   ")</f>
        <v xml:space="preserve">   </v>
      </c>
      <c r="I172" s="58" t="str">
        <f t="shared" ref="I172:I235" si="33">IFERROR(VLOOKUP(C172,Wis,4,FALSE),"   ")</f>
        <v xml:space="preserve">   </v>
      </c>
      <c r="J172" s="1130"/>
      <c r="K172" s="1126" t="s">
        <v>264</v>
      </c>
      <c r="L172" s="1130">
        <v>2500000</v>
      </c>
      <c r="M172" s="1126" t="s">
        <v>124</v>
      </c>
      <c r="N172" s="1130">
        <v>2500000</v>
      </c>
      <c r="O172" s="1126">
        <v>40818</v>
      </c>
      <c r="P172" s="1130">
        <v>2500000</v>
      </c>
      <c r="Q172" s="1126">
        <v>40643</v>
      </c>
      <c r="R172" s="1130">
        <v>2500000</v>
      </c>
      <c r="S172" s="1126"/>
      <c r="T172" s="1145"/>
      <c r="U172" s="1126"/>
      <c r="V172" s="1130"/>
      <c r="W172" s="1126"/>
      <c r="X172" s="1130"/>
      <c r="Y172" s="1227" t="s">
        <v>265</v>
      </c>
      <c r="Z172" s="1130"/>
      <c r="AA172" s="1126"/>
      <c r="AB172" s="1198">
        <v>1000000</v>
      </c>
      <c r="AC172" s="1126"/>
      <c r="AD172" s="1157"/>
      <c r="AE172" s="1158"/>
      <c r="AF172" s="1157"/>
      <c r="AG172" s="1158"/>
      <c r="AH172" s="1232" t="str">
        <f t="shared" si="27"/>
        <v>PI</v>
      </c>
      <c r="AI172" s="747">
        <f t="shared" si="28"/>
        <v>11000000</v>
      </c>
      <c r="AJ172" s="747">
        <f>((COUNT((L172,N172,P172,R172,T172,V172,X172,Z172,AD172,AF172)))*2500000)+(J172+AB172)</f>
        <v>11000000</v>
      </c>
      <c r="AK172" s="747">
        <f t="shared" si="30"/>
        <v>0</v>
      </c>
      <c r="AL172" s="1170"/>
      <c r="AM172" s="1170"/>
      <c r="AN172" s="1209"/>
      <c r="AO172" s="1170"/>
      <c r="AP172" s="1209"/>
      <c r="AQ172" s="1128"/>
      <c r="AR172" s="1173"/>
      <c r="AT172" s="1173"/>
      <c r="AV172" s="1173"/>
      <c r="AX172" s="1173"/>
      <c r="AY172" s="1176"/>
      <c r="AZ172" s="1173"/>
    </row>
    <row r="173" spans="1:52" s="2" customFormat="1" x14ac:dyDescent="0.25">
      <c r="A173" s="19">
        <v>161</v>
      </c>
      <c r="B173" s="59">
        <v>26</v>
      </c>
      <c r="C173" s="40">
        <v>849199066</v>
      </c>
      <c r="D173" s="39" t="s">
        <v>266</v>
      </c>
      <c r="E173" s="23" t="s">
        <v>32</v>
      </c>
      <c r="F173" s="59">
        <v>2010</v>
      </c>
      <c r="G173" s="23" t="s">
        <v>33</v>
      </c>
      <c r="H173" s="60" t="str">
        <f t="shared" si="32"/>
        <v xml:space="preserve">   </v>
      </c>
      <c r="I173" s="60">
        <f t="shared" si="33"/>
        <v>42504</v>
      </c>
      <c r="J173" s="1178"/>
      <c r="K173" s="1124" t="s">
        <v>267</v>
      </c>
      <c r="L173" s="1178">
        <v>2500000</v>
      </c>
      <c r="M173" s="1124">
        <v>40189</v>
      </c>
      <c r="N173" s="1178">
        <v>2500000</v>
      </c>
      <c r="O173" s="1124" t="s">
        <v>268</v>
      </c>
      <c r="P173" s="1178">
        <v>2500000</v>
      </c>
      <c r="Q173" s="1124" t="s">
        <v>269</v>
      </c>
      <c r="R173" s="1178">
        <v>2500000</v>
      </c>
      <c r="S173" s="1124">
        <v>41278</v>
      </c>
      <c r="T173" s="1188">
        <v>2500000</v>
      </c>
      <c r="U173" s="1144" t="s">
        <v>137</v>
      </c>
      <c r="V173" s="1222" t="s">
        <v>137</v>
      </c>
      <c r="W173" s="1144" t="s">
        <v>137</v>
      </c>
      <c r="X173" s="1178"/>
      <c r="Y173" s="1143" t="s">
        <v>270</v>
      </c>
      <c r="Z173" s="1178">
        <v>600000</v>
      </c>
      <c r="AA173" s="1194"/>
      <c r="AB173" s="1205">
        <v>1000000</v>
      </c>
      <c r="AC173" s="1124" t="s">
        <v>270</v>
      </c>
      <c r="AD173" s="1199">
        <v>600000</v>
      </c>
      <c r="AE173" s="1206" t="s">
        <v>270</v>
      </c>
      <c r="AF173" s="1199">
        <v>600000</v>
      </c>
      <c r="AG173" s="1206">
        <v>42033</v>
      </c>
      <c r="AH173" s="1232" t="str">
        <f t="shared" si="27"/>
        <v>PI</v>
      </c>
      <c r="AI173" s="747">
        <f t="shared" si="28"/>
        <v>15300000</v>
      </c>
      <c r="AJ173" s="747">
        <f>(COUNT(L173,N173,P173,R173,T173)*2500000)+(COUNT(V173,X173,Z173,AD173,AF173)*600000)+AB173</f>
        <v>15300000</v>
      </c>
      <c r="AK173" s="747">
        <f t="shared" si="30"/>
        <v>0</v>
      </c>
      <c r="AL173" s="1170"/>
      <c r="AM173" s="1170"/>
      <c r="AN173" s="1209"/>
      <c r="AO173" s="1170"/>
      <c r="AP173" s="1209"/>
      <c r="AQ173" s="1128"/>
      <c r="AR173" s="1173"/>
      <c r="AT173" s="1173"/>
      <c r="AV173" s="1173"/>
      <c r="AX173" s="1173"/>
      <c r="AY173" s="1176"/>
      <c r="AZ173" s="1173"/>
    </row>
    <row r="174" spans="1:52" s="2" customFormat="1" x14ac:dyDescent="0.25">
      <c r="A174" s="19">
        <v>162</v>
      </c>
      <c r="B174" s="59">
        <v>27</v>
      </c>
      <c r="C174" s="40">
        <v>849199067</v>
      </c>
      <c r="D174" s="39" t="s">
        <v>271</v>
      </c>
      <c r="E174" s="23" t="s">
        <v>32</v>
      </c>
      <c r="F174" s="59">
        <v>2010</v>
      </c>
      <c r="G174" s="23" t="s">
        <v>33</v>
      </c>
      <c r="H174" s="60" t="str">
        <f t="shared" si="32"/>
        <v xml:space="preserve">   </v>
      </c>
      <c r="I174" s="60">
        <f t="shared" si="33"/>
        <v>42329</v>
      </c>
      <c r="J174" s="1178"/>
      <c r="K174" s="1124" t="s">
        <v>267</v>
      </c>
      <c r="L174" s="1178">
        <v>1500000</v>
      </c>
      <c r="M174" s="1124" t="s">
        <v>229</v>
      </c>
      <c r="N174" s="1178">
        <v>2500000</v>
      </c>
      <c r="O174" s="1124">
        <v>41762</v>
      </c>
      <c r="P174" s="1178">
        <v>2500000</v>
      </c>
      <c r="Q174" s="1126"/>
      <c r="R174" s="1186" t="s">
        <v>137</v>
      </c>
      <c r="S174" s="1144" t="s">
        <v>137</v>
      </c>
      <c r="T174" s="1223"/>
      <c r="U174" s="1124">
        <v>41762</v>
      </c>
      <c r="V174" s="1178">
        <v>600000</v>
      </c>
      <c r="W174" s="1124">
        <v>41718</v>
      </c>
      <c r="X174" s="1178">
        <v>600000</v>
      </c>
      <c r="Y174" s="1143" t="s">
        <v>272</v>
      </c>
      <c r="Z174" s="1178">
        <v>600000</v>
      </c>
      <c r="AA174" s="1194"/>
      <c r="AB174" s="1205">
        <v>1000000</v>
      </c>
      <c r="AC174" s="1124">
        <v>41762</v>
      </c>
      <c r="AD174" s="1199">
        <v>600000</v>
      </c>
      <c r="AE174" s="1206">
        <v>41718</v>
      </c>
      <c r="AF174" s="1199">
        <v>600000</v>
      </c>
      <c r="AG174" s="1206">
        <v>42033</v>
      </c>
      <c r="AH174" s="1232" t="str">
        <f t="shared" si="27"/>
        <v>PI</v>
      </c>
      <c r="AI174" s="747">
        <f t="shared" si="28"/>
        <v>10500000</v>
      </c>
      <c r="AJ174" s="747">
        <f>(COUNT(L174,N174,P174,R174,T174)*2500000)+(COUNT(V174,X174,Z174,AD174,AF174)*600000)+AB174</f>
        <v>11500000</v>
      </c>
      <c r="AK174" s="747">
        <f t="shared" si="30"/>
        <v>1000000</v>
      </c>
      <c r="AL174" s="1170"/>
      <c r="AM174" s="1170"/>
      <c r="AN174" s="1209"/>
      <c r="AO174" s="1170"/>
      <c r="AP174" s="1209"/>
      <c r="AQ174" s="1128"/>
      <c r="AR174" s="1173"/>
      <c r="AT174" s="1173"/>
      <c r="AV174" s="1173"/>
      <c r="AX174" s="1173"/>
      <c r="AY174" s="1176"/>
      <c r="AZ174" s="1173"/>
    </row>
    <row r="175" spans="1:52" s="5" customFormat="1" x14ac:dyDescent="0.25">
      <c r="A175" s="19">
        <v>163</v>
      </c>
      <c r="B175" s="57">
        <v>28</v>
      </c>
      <c r="C175" s="38">
        <v>849199068</v>
      </c>
      <c r="D175" s="37" t="s">
        <v>273</v>
      </c>
      <c r="E175" s="28" t="s">
        <v>32</v>
      </c>
      <c r="F175" s="57">
        <v>2010</v>
      </c>
      <c r="G175" s="28"/>
      <c r="H175" s="58" t="str">
        <f t="shared" si="32"/>
        <v xml:space="preserve">   </v>
      </c>
      <c r="I175" s="58" t="str">
        <f t="shared" si="33"/>
        <v xml:space="preserve">   </v>
      </c>
      <c r="J175" s="1130"/>
      <c r="K175" s="1126" t="s">
        <v>267</v>
      </c>
      <c r="L175" s="1130">
        <v>2500000</v>
      </c>
      <c r="M175" s="1126"/>
      <c r="N175" s="1130"/>
      <c r="O175" s="1126"/>
      <c r="P175" s="1130">
        <f>1000000+1500000</f>
        <v>2500000</v>
      </c>
      <c r="Q175" s="1126" t="s">
        <v>274</v>
      </c>
      <c r="R175" s="1130">
        <v>2500000</v>
      </c>
      <c r="S175" s="1126" t="s">
        <v>275</v>
      </c>
      <c r="T175" s="1145">
        <v>2500000</v>
      </c>
      <c r="U175" s="1126" t="s">
        <v>204</v>
      </c>
      <c r="V175" s="1130">
        <v>600000</v>
      </c>
      <c r="W175" s="1126">
        <v>41703</v>
      </c>
      <c r="X175" s="1130">
        <v>600000</v>
      </c>
      <c r="Y175" s="1227">
        <v>41762</v>
      </c>
      <c r="Z175" s="1130">
        <v>600000</v>
      </c>
      <c r="AA175" s="1126"/>
      <c r="AB175" s="1198">
        <v>1000000</v>
      </c>
      <c r="AC175" s="1126">
        <v>41762</v>
      </c>
      <c r="AD175" s="1157">
        <v>600000</v>
      </c>
      <c r="AE175" s="1158"/>
      <c r="AF175" s="1228" t="s">
        <v>276</v>
      </c>
      <c r="AG175" s="1158"/>
      <c r="AH175" s="1232" t="str">
        <f t="shared" si="27"/>
        <v>PI</v>
      </c>
      <c r="AI175" s="1170" t="e">
        <f>SUM(J175,L175,N175,P175,R175,T175,V175,X175,Z175,AB175,AD175,AF175,#REF!)</f>
        <v>#REF!</v>
      </c>
      <c r="AJ175" s="1170">
        <f>(COUNT(L175,N175,P175,R175,T175)*2500000)+(COUNT(V175,X175,Z175,AD175,AF175)*600000)+AB175</f>
        <v>13400000</v>
      </c>
      <c r="AK175" s="1170" t="e">
        <f t="shared" si="30"/>
        <v>#REF!</v>
      </c>
      <c r="AL175" s="1170"/>
      <c r="AM175" s="1170"/>
      <c r="AN175" s="1209"/>
      <c r="AO175" s="1170"/>
      <c r="AP175" s="1209"/>
      <c r="AQ175" s="1234"/>
      <c r="AR175" s="1235"/>
      <c r="AT175" s="1235"/>
      <c r="AV175" s="1235"/>
      <c r="AX175" s="1235"/>
      <c r="AY175" s="1236"/>
      <c r="AZ175" s="1235"/>
    </row>
    <row r="176" spans="1:52" s="2" customFormat="1" x14ac:dyDescent="0.25">
      <c r="A176" s="19">
        <v>164</v>
      </c>
      <c r="B176" s="59">
        <v>29</v>
      </c>
      <c r="C176" s="40">
        <v>849199069</v>
      </c>
      <c r="D176" s="39" t="s">
        <v>277</v>
      </c>
      <c r="E176" s="23" t="s">
        <v>32</v>
      </c>
      <c r="F176" s="59">
        <v>2010</v>
      </c>
      <c r="G176" s="23" t="s">
        <v>33</v>
      </c>
      <c r="H176" s="60" t="str">
        <f t="shared" si="32"/>
        <v xml:space="preserve">   </v>
      </c>
      <c r="I176" s="60">
        <f t="shared" si="33"/>
        <v>42329</v>
      </c>
      <c r="J176" s="1178"/>
      <c r="K176" s="1124">
        <v>40818</v>
      </c>
      <c r="L176" s="1178">
        <v>2500000</v>
      </c>
      <c r="M176" s="1124" t="s">
        <v>124</v>
      </c>
      <c r="N176" s="1178">
        <v>2500000</v>
      </c>
      <c r="O176" s="1124">
        <v>40818</v>
      </c>
      <c r="P176" s="1178">
        <v>2500000</v>
      </c>
      <c r="Q176" s="1124" t="s">
        <v>278</v>
      </c>
      <c r="R176" s="1178">
        <v>2500000</v>
      </c>
      <c r="S176" s="1124" t="s">
        <v>279</v>
      </c>
      <c r="T176" s="1188">
        <v>2500000</v>
      </c>
      <c r="U176" s="1124" t="s">
        <v>279</v>
      </c>
      <c r="V176" s="1178">
        <v>600000</v>
      </c>
      <c r="W176" s="1124" t="s">
        <v>279</v>
      </c>
      <c r="X176" s="1178">
        <v>600000</v>
      </c>
      <c r="Y176" s="1143">
        <v>42344</v>
      </c>
      <c r="Z176" s="1178">
        <v>600000</v>
      </c>
      <c r="AA176" s="1194"/>
      <c r="AB176" s="1205">
        <v>1000000</v>
      </c>
      <c r="AC176" s="1124" t="s">
        <v>280</v>
      </c>
      <c r="AD176" s="1199">
        <v>600000</v>
      </c>
      <c r="AE176" s="1206">
        <v>42167</v>
      </c>
      <c r="AF176" s="1199">
        <v>600000</v>
      </c>
      <c r="AG176" s="1206">
        <v>42167</v>
      </c>
      <c r="AH176" s="1232" t="str">
        <f t="shared" si="27"/>
        <v>PI</v>
      </c>
      <c r="AI176" s="747">
        <f>SUM(J176,L176,N176,P176,R176,T176,V176,X176,Z176,AB176,AD176,AF176)</f>
        <v>16500000</v>
      </c>
      <c r="AJ176" s="747">
        <f>(COUNT(L176,N176,P176,R176,T176)*2500000)+(COUNT(V176,X176,Z176,AD176,AF176)*600000)+AB176</f>
        <v>16500000</v>
      </c>
      <c r="AK176" s="747">
        <f t="shared" si="30"/>
        <v>0</v>
      </c>
      <c r="AL176" s="1170"/>
      <c r="AM176" s="1170"/>
      <c r="AN176" s="1209"/>
      <c r="AO176" s="1170"/>
      <c r="AP176" s="1209"/>
      <c r="AQ176" s="1128"/>
      <c r="AR176" s="1173"/>
      <c r="AT176" s="1173"/>
      <c r="AV176" s="1173"/>
      <c r="AX176" s="1173"/>
      <c r="AY176" s="1176"/>
      <c r="AZ176" s="1173"/>
    </row>
    <row r="177" spans="1:52" s="2" customFormat="1" x14ac:dyDescent="0.25">
      <c r="A177" s="19">
        <v>165</v>
      </c>
      <c r="B177" s="59">
        <v>30</v>
      </c>
      <c r="C177" s="40">
        <v>849199070</v>
      </c>
      <c r="D177" s="39" t="s">
        <v>281</v>
      </c>
      <c r="E177" s="23" t="s">
        <v>32</v>
      </c>
      <c r="F177" s="59">
        <v>2010</v>
      </c>
      <c r="G177" s="23" t="s">
        <v>33</v>
      </c>
      <c r="H177" s="60" t="str">
        <f t="shared" si="32"/>
        <v xml:space="preserve">   </v>
      </c>
      <c r="I177" s="60">
        <f t="shared" si="33"/>
        <v>42329</v>
      </c>
      <c r="J177" s="1178"/>
      <c r="K177" s="1124" t="s">
        <v>282</v>
      </c>
      <c r="L177" s="1178">
        <v>3750000</v>
      </c>
      <c r="M177" s="1124">
        <v>40625</v>
      </c>
      <c r="N177" s="1178">
        <v>2500000</v>
      </c>
      <c r="O177" s="1124">
        <v>40942</v>
      </c>
      <c r="P177" s="1178">
        <v>2500000</v>
      </c>
      <c r="Q177" s="1124" t="s">
        <v>98</v>
      </c>
      <c r="R177" s="1178">
        <v>2500000</v>
      </c>
      <c r="S177" s="1144" t="s">
        <v>137</v>
      </c>
      <c r="T177" s="1188">
        <v>0</v>
      </c>
      <c r="U177" s="1124">
        <v>40962</v>
      </c>
      <c r="V177" s="1178">
        <f>1500000+1000000</f>
        <v>2500000</v>
      </c>
      <c r="W177" s="1124">
        <v>42254</v>
      </c>
      <c r="X177" s="1178">
        <v>600000</v>
      </c>
      <c r="Y177" s="1143">
        <v>42194</v>
      </c>
      <c r="Z177" s="1178">
        <v>600000</v>
      </c>
      <c r="AA177" s="1194"/>
      <c r="AB177" s="1205">
        <v>1000000</v>
      </c>
      <c r="AC177" s="1124">
        <v>42194</v>
      </c>
      <c r="AD177" s="1199">
        <v>600000</v>
      </c>
      <c r="AE177" s="1206">
        <v>42167</v>
      </c>
      <c r="AF177" s="1199">
        <v>600000</v>
      </c>
      <c r="AG177" s="1206">
        <v>42254</v>
      </c>
      <c r="AH177" s="1232" t="str">
        <f t="shared" si="27"/>
        <v>PI</v>
      </c>
      <c r="AI177" s="747" t="e">
        <f>SUM(J177,L177,N177,P177,R177,T177,V177,X177,Z177,AB177,AD177,AF177,#REF!)</f>
        <v>#REF!</v>
      </c>
      <c r="AJ177" s="747">
        <f>(COUNT(L177,N177,P177,R177,T177,V177)*2500000)+(COUNT(X177,Z177,AD177,AF177)*600000)+AB177</f>
        <v>18400000</v>
      </c>
      <c r="AK177" s="747" t="e">
        <f t="shared" si="30"/>
        <v>#REF!</v>
      </c>
      <c r="AL177" s="1170"/>
      <c r="AM177" s="1170"/>
      <c r="AN177" s="1209"/>
      <c r="AO177" s="1170"/>
      <c r="AP177" s="1209"/>
      <c r="AQ177" s="1128"/>
      <c r="AR177" s="1173"/>
      <c r="AT177" s="1173"/>
      <c r="AV177" s="1173"/>
      <c r="AX177" s="1173"/>
      <c r="AY177" s="1176"/>
      <c r="AZ177" s="1173"/>
    </row>
    <row r="178" spans="1:52" s="5" customFormat="1" x14ac:dyDescent="0.25">
      <c r="A178" s="19">
        <v>166</v>
      </c>
      <c r="B178" s="57">
        <v>31</v>
      </c>
      <c r="C178" s="38">
        <v>849199072</v>
      </c>
      <c r="D178" s="37" t="s">
        <v>283</v>
      </c>
      <c r="E178" s="28" t="s">
        <v>32</v>
      </c>
      <c r="F178" s="57">
        <v>2010</v>
      </c>
      <c r="G178" s="28"/>
      <c r="H178" s="58" t="str">
        <f t="shared" si="32"/>
        <v xml:space="preserve">   </v>
      </c>
      <c r="I178" s="58" t="str">
        <f t="shared" si="33"/>
        <v xml:space="preserve">   </v>
      </c>
      <c r="J178" s="1130"/>
      <c r="K178" s="1126">
        <v>40098</v>
      </c>
      <c r="L178" s="1130">
        <v>2500000</v>
      </c>
      <c r="M178" s="1126" t="s">
        <v>284</v>
      </c>
      <c r="N178" s="1130">
        <v>2500000</v>
      </c>
      <c r="O178" s="1126" t="s">
        <v>285</v>
      </c>
      <c r="P178" s="1130">
        <v>2500000</v>
      </c>
      <c r="Q178" s="1126" t="s">
        <v>221</v>
      </c>
      <c r="R178" s="1130">
        <v>2500000</v>
      </c>
      <c r="S178" s="1126" t="s">
        <v>286</v>
      </c>
      <c r="T178" s="1145">
        <v>2500000</v>
      </c>
      <c r="U178" s="1126"/>
      <c r="V178" s="1130"/>
      <c r="W178" s="1126"/>
      <c r="X178" s="1130"/>
      <c r="Y178" s="1126"/>
      <c r="Z178" s="1130"/>
      <c r="AA178" s="1126"/>
      <c r="AB178" s="1198">
        <v>1000000</v>
      </c>
      <c r="AC178" s="1126" t="s">
        <v>286</v>
      </c>
      <c r="AD178" s="1157"/>
      <c r="AE178" s="1158"/>
      <c r="AF178" s="1157"/>
      <c r="AG178" s="1158"/>
      <c r="AH178" s="1232" t="str">
        <f t="shared" si="27"/>
        <v>PI</v>
      </c>
      <c r="AI178" s="1170">
        <f>SUM(J178,L178,N178,P178,R178,T178,V178,X178,Z178,AB178,AD178,AF178)</f>
        <v>13500000</v>
      </c>
      <c r="AJ178" s="1170">
        <f>((COUNT((L178,N178,P178,R178,T178,V178,X178,Z178,AD178,AF178)))*2500000)+(J178+AB178)</f>
        <v>13500000</v>
      </c>
      <c r="AK178" s="1170">
        <f t="shared" si="30"/>
        <v>0</v>
      </c>
      <c r="AL178" s="1170"/>
      <c r="AM178" s="1170"/>
      <c r="AN178" s="1209"/>
      <c r="AO178" s="1170"/>
      <c r="AP178" s="1209"/>
      <c r="AQ178" s="1234"/>
      <c r="AR178" s="1235"/>
      <c r="AT178" s="1235"/>
      <c r="AV178" s="1235"/>
      <c r="AX178" s="1235"/>
      <c r="AY178" s="1236"/>
      <c r="AZ178" s="1235"/>
    </row>
    <row r="179" spans="1:52" s="2" customFormat="1" x14ac:dyDescent="0.25">
      <c r="A179" s="32"/>
      <c r="B179" s="32"/>
      <c r="C179" s="62"/>
      <c r="D179" s="61"/>
      <c r="E179" s="63"/>
      <c r="F179" s="64" t="s">
        <v>61</v>
      </c>
      <c r="G179" s="63"/>
      <c r="H179" s="65" t="str">
        <f t="shared" si="32"/>
        <v xml:space="preserve">   </v>
      </c>
      <c r="I179" s="65" t="str">
        <f t="shared" si="33"/>
        <v xml:space="preserve">   </v>
      </c>
      <c r="J179" s="87"/>
      <c r="K179" s="1137"/>
      <c r="L179" s="87"/>
      <c r="M179" s="1137"/>
      <c r="N179" s="87"/>
      <c r="O179" s="1137"/>
      <c r="P179" s="87"/>
      <c r="Q179" s="1137"/>
      <c r="R179" s="87"/>
      <c r="S179" s="1141"/>
      <c r="T179" s="87"/>
      <c r="U179" s="1137"/>
      <c r="V179" s="87"/>
      <c r="W179" s="1137"/>
      <c r="X179" s="87"/>
      <c r="Y179" s="1137"/>
      <c r="Z179" s="87"/>
      <c r="AA179" s="1137"/>
      <c r="AB179" s="1229"/>
      <c r="AC179" s="1137"/>
      <c r="AD179" s="747"/>
      <c r="AE179" s="1230"/>
      <c r="AF179" s="747"/>
      <c r="AG179" s="1155"/>
      <c r="AH179" s="1168">
        <f t="shared" si="27"/>
        <v>0</v>
      </c>
      <c r="AI179" s="747"/>
      <c r="AJ179" s="747"/>
      <c r="AK179" s="747"/>
      <c r="AL179" s="1170"/>
      <c r="AM179" s="1170"/>
      <c r="AN179" s="1209"/>
      <c r="AO179" s="1170"/>
      <c r="AP179" s="1209"/>
      <c r="AQ179" s="1128"/>
      <c r="AR179" s="1173"/>
      <c r="AT179" s="1173"/>
      <c r="AV179" s="1173"/>
      <c r="AX179" s="1173"/>
      <c r="AY179" s="1176"/>
      <c r="AZ179" s="1173"/>
    </row>
    <row r="180" spans="1:52" s="2" customFormat="1" x14ac:dyDescent="0.25">
      <c r="A180" s="32"/>
      <c r="B180" s="54" t="s">
        <v>287</v>
      </c>
      <c r="C180" s="62"/>
      <c r="D180" s="66"/>
      <c r="E180" s="63"/>
      <c r="F180" s="64" t="s">
        <v>61</v>
      </c>
      <c r="G180" s="63"/>
      <c r="H180" s="65" t="str">
        <f t="shared" si="32"/>
        <v xml:space="preserve">   </v>
      </c>
      <c r="I180" s="65" t="str">
        <f t="shared" si="33"/>
        <v xml:space="preserve">   </v>
      </c>
      <c r="J180" s="87"/>
      <c r="K180" s="1137"/>
      <c r="L180" s="87"/>
      <c r="M180" s="1137"/>
      <c r="N180" s="87"/>
      <c r="O180" s="1137"/>
      <c r="P180" s="87"/>
      <c r="Q180" s="1137"/>
      <c r="R180" s="87"/>
      <c r="S180" s="1141"/>
      <c r="T180" s="87"/>
      <c r="U180" s="1137"/>
      <c r="V180" s="87"/>
      <c r="W180" s="1137"/>
      <c r="X180" s="87"/>
      <c r="Y180" s="1137"/>
      <c r="Z180" s="87"/>
      <c r="AA180" s="1137"/>
      <c r="AB180" s="1229"/>
      <c r="AC180" s="1137"/>
      <c r="AD180" s="747"/>
      <c r="AE180" s="1230"/>
      <c r="AF180" s="747"/>
      <c r="AG180" s="1155"/>
      <c r="AH180" s="1168">
        <f t="shared" si="27"/>
        <v>0</v>
      </c>
      <c r="AI180" s="747"/>
      <c r="AJ180" s="747"/>
      <c r="AK180" s="747"/>
      <c r="AL180" s="1170"/>
      <c r="AM180" s="1170"/>
      <c r="AN180" s="1209"/>
      <c r="AO180" s="1170"/>
      <c r="AP180" s="1209"/>
      <c r="AQ180" s="1128"/>
      <c r="AR180" s="1173"/>
      <c r="AT180" s="1173"/>
      <c r="AV180" s="1173"/>
      <c r="AX180" s="1173"/>
      <c r="AY180" s="1176"/>
      <c r="AZ180" s="1173"/>
    </row>
    <row r="181" spans="1:52" s="2" customFormat="1" x14ac:dyDescent="0.25">
      <c r="A181" s="19">
        <v>167</v>
      </c>
      <c r="B181" s="59">
        <v>1</v>
      </c>
      <c r="C181" s="40">
        <v>849110001</v>
      </c>
      <c r="D181" s="39" t="s">
        <v>288</v>
      </c>
      <c r="E181" s="23" t="s">
        <v>32</v>
      </c>
      <c r="F181" s="59">
        <v>2010</v>
      </c>
      <c r="G181" s="23" t="s">
        <v>33</v>
      </c>
      <c r="H181" s="60" t="str">
        <f t="shared" si="32"/>
        <v xml:space="preserve">   </v>
      </c>
      <c r="I181" s="60">
        <f t="shared" si="33"/>
        <v>42329</v>
      </c>
      <c r="J181" s="1178"/>
      <c r="K181" s="1124"/>
      <c r="L181" s="1178">
        <v>935000</v>
      </c>
      <c r="M181" s="1124" t="s">
        <v>289</v>
      </c>
      <c r="N181" s="1178">
        <v>5000000</v>
      </c>
      <c r="O181" s="1124"/>
      <c r="P181" s="1178">
        <v>2500000</v>
      </c>
      <c r="Q181" s="1124" t="s">
        <v>215</v>
      </c>
      <c r="R181" s="1186" t="s">
        <v>137</v>
      </c>
      <c r="S181" s="1144" t="s">
        <v>137</v>
      </c>
      <c r="T181" s="1188">
        <v>2500000</v>
      </c>
      <c r="U181" s="1124" t="s">
        <v>290</v>
      </c>
      <c r="V181" s="1178">
        <v>600000</v>
      </c>
      <c r="W181" s="1124">
        <v>42286</v>
      </c>
      <c r="X181" s="1178">
        <v>600000</v>
      </c>
      <c r="Y181" s="1124">
        <v>42286</v>
      </c>
      <c r="Z181" s="1178">
        <v>600000</v>
      </c>
      <c r="AA181" s="1124">
        <v>42286</v>
      </c>
      <c r="AB181" s="1205">
        <v>1000000</v>
      </c>
      <c r="AC181" s="1124">
        <v>42286</v>
      </c>
      <c r="AD181" s="1199">
        <v>600000</v>
      </c>
      <c r="AE181" s="1206">
        <v>42257</v>
      </c>
      <c r="AF181" s="1199">
        <v>600000</v>
      </c>
      <c r="AG181" s="1206">
        <v>42257</v>
      </c>
      <c r="AH181" s="1232" t="str">
        <f t="shared" si="27"/>
        <v>PI</v>
      </c>
      <c r="AI181" s="747">
        <f t="shared" ref="AI181:AI190" si="34">SUM(J181,L181,N181,P181,R181,T181,V181,X181,Z181,AB181,AD181,AF181)</f>
        <v>14935000</v>
      </c>
      <c r="AJ181" s="747">
        <f>(COUNT(L181,N181,P181,R181,T181)*2500000)+(COUNT(V181,X181,Z181,AD181,AF181)*600000)+(AB181+J181)</f>
        <v>14000000</v>
      </c>
      <c r="AK181" s="747">
        <f t="shared" ref="AK181:AK191" si="35">AJ181-AI181</f>
        <v>-935000</v>
      </c>
      <c r="AL181" s="1170"/>
      <c r="AM181" s="1170"/>
      <c r="AN181" s="1209"/>
      <c r="AO181" s="1170"/>
      <c r="AP181" s="1209"/>
      <c r="AQ181" s="1128"/>
      <c r="AR181" s="1173"/>
      <c r="AT181" s="1173"/>
      <c r="AV181" s="1173"/>
      <c r="AX181" s="1173"/>
      <c r="AY181" s="1176"/>
      <c r="AZ181" s="1173"/>
    </row>
    <row r="182" spans="1:52" s="5" customFormat="1" x14ac:dyDescent="0.25">
      <c r="A182" s="19">
        <v>168</v>
      </c>
      <c r="B182" s="57">
        <v>2</v>
      </c>
      <c r="C182" s="38">
        <v>849110062</v>
      </c>
      <c r="D182" s="37" t="s">
        <v>291</v>
      </c>
      <c r="E182" s="28" t="s">
        <v>32</v>
      </c>
      <c r="F182" s="57">
        <v>2010</v>
      </c>
      <c r="G182" s="28"/>
      <c r="H182" s="58" t="str">
        <f t="shared" si="32"/>
        <v xml:space="preserve">   </v>
      </c>
      <c r="I182" s="58" t="str">
        <f t="shared" si="33"/>
        <v xml:space="preserve">   </v>
      </c>
      <c r="J182" s="1130">
        <v>935000</v>
      </c>
      <c r="K182" s="1126"/>
      <c r="L182" s="1130">
        <v>2500000</v>
      </c>
      <c r="M182" s="1126" t="s">
        <v>289</v>
      </c>
      <c r="N182" s="1130">
        <v>2500000</v>
      </c>
      <c r="O182" s="1126">
        <v>40571</v>
      </c>
      <c r="P182" s="1130">
        <v>2500000</v>
      </c>
      <c r="Q182" s="1126" t="s">
        <v>221</v>
      </c>
      <c r="R182" s="1130">
        <v>2500000</v>
      </c>
      <c r="S182" s="1126" t="s">
        <v>292</v>
      </c>
      <c r="T182" s="1224"/>
      <c r="U182" s="1225" t="s">
        <v>293</v>
      </c>
      <c r="V182" s="1130"/>
      <c r="W182" s="1126"/>
      <c r="X182" s="1130"/>
      <c r="Y182" s="1126"/>
      <c r="Z182" s="1130"/>
      <c r="AA182" s="1126"/>
      <c r="AB182" s="1198">
        <v>1000000</v>
      </c>
      <c r="AC182" s="1126">
        <v>40946</v>
      </c>
      <c r="AD182" s="1157"/>
      <c r="AE182" s="1158"/>
      <c r="AF182" s="1157"/>
      <c r="AG182" s="1158"/>
      <c r="AH182" s="1232" t="str">
        <f t="shared" si="27"/>
        <v>PI</v>
      </c>
      <c r="AI182" s="1170">
        <f t="shared" si="34"/>
        <v>11935000</v>
      </c>
      <c r="AJ182" s="1170">
        <f t="shared" ref="AJ182:AJ189" si="36">((COUNT((L182,N182,P182,R182,T182,V182,X182,Z182,AD182,AF182)))*2500000)+(J182+AB182)</f>
        <v>11935000</v>
      </c>
      <c r="AK182" s="1170">
        <f t="shared" si="35"/>
        <v>0</v>
      </c>
      <c r="AL182" s="1170"/>
      <c r="AM182" s="1170"/>
      <c r="AN182" s="1209"/>
      <c r="AO182" s="1170"/>
      <c r="AP182" s="1209"/>
      <c r="AQ182" s="1234"/>
      <c r="AR182" s="1235"/>
      <c r="AT182" s="1235"/>
      <c r="AV182" s="1235"/>
      <c r="AX182" s="1235"/>
      <c r="AY182" s="1236"/>
      <c r="AZ182" s="1235"/>
    </row>
    <row r="183" spans="1:52" s="5" customFormat="1" x14ac:dyDescent="0.25">
      <c r="A183" s="19">
        <v>169</v>
      </c>
      <c r="B183" s="57">
        <v>3</v>
      </c>
      <c r="C183" s="38">
        <v>849110004</v>
      </c>
      <c r="D183" s="37" t="s">
        <v>294</v>
      </c>
      <c r="E183" s="28" t="s">
        <v>32</v>
      </c>
      <c r="F183" s="57">
        <v>2010</v>
      </c>
      <c r="G183" s="28"/>
      <c r="H183" s="58" t="str">
        <f t="shared" si="32"/>
        <v xml:space="preserve">   </v>
      </c>
      <c r="I183" s="58" t="str">
        <f t="shared" si="33"/>
        <v xml:space="preserve">   </v>
      </c>
      <c r="J183" s="1130">
        <v>935000</v>
      </c>
      <c r="K183" s="1126"/>
      <c r="L183" s="1130">
        <v>2500000</v>
      </c>
      <c r="M183" s="1126">
        <v>40517</v>
      </c>
      <c r="N183" s="1130">
        <v>2500000</v>
      </c>
      <c r="O183" s="1126">
        <v>40571</v>
      </c>
      <c r="P183" s="1130">
        <v>2500000</v>
      </c>
      <c r="Q183" s="1126" t="s">
        <v>154</v>
      </c>
      <c r="R183" s="1130">
        <v>2500000</v>
      </c>
      <c r="S183" s="1126">
        <v>40696</v>
      </c>
      <c r="T183" s="1224"/>
      <c r="U183" s="1225" t="s">
        <v>293</v>
      </c>
      <c r="V183" s="1130"/>
      <c r="W183" s="1126"/>
      <c r="X183" s="1130"/>
      <c r="Y183" s="1126"/>
      <c r="Z183" s="1130"/>
      <c r="AA183" s="1126"/>
      <c r="AB183" s="1198">
        <v>1000000</v>
      </c>
      <c r="AC183" s="1126" t="s">
        <v>295</v>
      </c>
      <c r="AD183" s="1157"/>
      <c r="AE183" s="1158"/>
      <c r="AF183" s="1157"/>
      <c r="AG183" s="1158"/>
      <c r="AH183" s="1232" t="str">
        <f t="shared" si="27"/>
        <v>PI</v>
      </c>
      <c r="AI183" s="1170">
        <f t="shared" si="34"/>
        <v>11935000</v>
      </c>
      <c r="AJ183" s="1170">
        <f t="shared" si="36"/>
        <v>11935000</v>
      </c>
      <c r="AK183" s="1170">
        <f t="shared" si="35"/>
        <v>0</v>
      </c>
      <c r="AL183" s="1170"/>
      <c r="AM183" s="1170"/>
      <c r="AN183" s="1209"/>
      <c r="AO183" s="1170"/>
      <c r="AP183" s="1209"/>
      <c r="AQ183" s="1234"/>
      <c r="AR183" s="1235"/>
      <c r="AT183" s="1235"/>
      <c r="AV183" s="1235"/>
      <c r="AX183" s="1235"/>
      <c r="AY183" s="1236"/>
      <c r="AZ183" s="1235"/>
    </row>
    <row r="184" spans="1:52" s="2" customFormat="1" x14ac:dyDescent="0.25">
      <c r="A184" s="19">
        <v>170</v>
      </c>
      <c r="B184" s="57">
        <v>4</v>
      </c>
      <c r="C184" s="38">
        <v>849110005</v>
      </c>
      <c r="D184" s="37" t="s">
        <v>296</v>
      </c>
      <c r="E184" s="28" t="s">
        <v>32</v>
      </c>
      <c r="F184" s="57">
        <v>2010</v>
      </c>
      <c r="G184" s="28"/>
      <c r="H184" s="58" t="str">
        <f t="shared" si="32"/>
        <v xml:space="preserve">   </v>
      </c>
      <c r="I184" s="58" t="str">
        <f t="shared" si="33"/>
        <v xml:space="preserve">   </v>
      </c>
      <c r="J184" s="1130">
        <v>935000</v>
      </c>
      <c r="K184" s="1126"/>
      <c r="L184" s="1130">
        <v>2500000</v>
      </c>
      <c r="M184" s="1126">
        <v>40487</v>
      </c>
      <c r="N184" s="1130">
        <v>2500000</v>
      </c>
      <c r="O184" s="1126">
        <v>40726</v>
      </c>
      <c r="P184" s="1130">
        <v>2500000</v>
      </c>
      <c r="Q184" s="1126" t="s">
        <v>224</v>
      </c>
      <c r="R184" s="1130">
        <v>2500000</v>
      </c>
      <c r="S184" s="1126" t="s">
        <v>98</v>
      </c>
      <c r="T184" s="1145">
        <v>2500000</v>
      </c>
      <c r="U184" s="1126">
        <v>40976</v>
      </c>
      <c r="V184" s="1130"/>
      <c r="W184" s="1126"/>
      <c r="X184" s="1130"/>
      <c r="Y184" s="1126"/>
      <c r="Z184" s="1130"/>
      <c r="AA184" s="1126"/>
      <c r="AB184" s="1198"/>
      <c r="AC184" s="1126"/>
      <c r="AD184" s="1157"/>
      <c r="AE184" s="1158"/>
      <c r="AF184" s="1157"/>
      <c r="AG184" s="1158"/>
      <c r="AH184" s="1232" t="str">
        <f t="shared" si="27"/>
        <v>PI</v>
      </c>
      <c r="AI184" s="747">
        <f t="shared" si="34"/>
        <v>13435000</v>
      </c>
      <c r="AJ184" s="747">
        <f t="shared" si="36"/>
        <v>10935000</v>
      </c>
      <c r="AK184" s="747">
        <f t="shared" si="35"/>
        <v>-2500000</v>
      </c>
      <c r="AL184" s="1170"/>
      <c r="AM184" s="1170"/>
      <c r="AN184" s="1209"/>
      <c r="AO184" s="1170"/>
      <c r="AP184" s="1209"/>
      <c r="AQ184" s="1128"/>
      <c r="AR184" s="1173"/>
      <c r="AT184" s="1173"/>
      <c r="AV184" s="1173"/>
      <c r="AX184" s="1173"/>
      <c r="AY184" s="1176"/>
      <c r="AZ184" s="1173"/>
    </row>
    <row r="185" spans="1:52" s="2" customFormat="1" x14ac:dyDescent="0.25">
      <c r="A185" s="19">
        <v>171</v>
      </c>
      <c r="B185" s="57">
        <v>5</v>
      </c>
      <c r="C185" s="38">
        <v>849110040</v>
      </c>
      <c r="D185" s="37" t="s">
        <v>297</v>
      </c>
      <c r="E185" s="28" t="s">
        <v>32</v>
      </c>
      <c r="F185" s="57">
        <v>2010</v>
      </c>
      <c r="G185" s="28"/>
      <c r="H185" s="58" t="str">
        <f t="shared" si="32"/>
        <v xml:space="preserve">   </v>
      </c>
      <c r="I185" s="58" t="str">
        <f t="shared" si="33"/>
        <v xml:space="preserve">   </v>
      </c>
      <c r="J185" s="1130">
        <v>935000</v>
      </c>
      <c r="K185" s="1126"/>
      <c r="L185" s="1130">
        <v>2500000</v>
      </c>
      <c r="M185" s="1126">
        <v>40459</v>
      </c>
      <c r="N185" s="1130">
        <v>2500000</v>
      </c>
      <c r="O185" s="1126" t="s">
        <v>298</v>
      </c>
      <c r="P185" s="1130">
        <v>2500000</v>
      </c>
      <c r="Q185" s="1126" t="s">
        <v>298</v>
      </c>
      <c r="R185" s="1130">
        <v>2500000</v>
      </c>
      <c r="S185" s="1126" t="s">
        <v>98</v>
      </c>
      <c r="T185" s="1145"/>
      <c r="U185" s="1126"/>
      <c r="V185" s="1130"/>
      <c r="W185" s="1126"/>
      <c r="X185" s="1130"/>
      <c r="Y185" s="1126"/>
      <c r="Z185" s="1130"/>
      <c r="AA185" s="1126"/>
      <c r="AB185" s="1198"/>
      <c r="AC185" s="1126"/>
      <c r="AD185" s="1157"/>
      <c r="AE185" s="1158"/>
      <c r="AF185" s="1157"/>
      <c r="AG185" s="1158"/>
      <c r="AH185" s="1232" t="str">
        <f t="shared" si="27"/>
        <v>PI</v>
      </c>
      <c r="AI185" s="747">
        <f t="shared" si="34"/>
        <v>10935000</v>
      </c>
      <c r="AJ185" s="747">
        <f t="shared" si="36"/>
        <v>10935000</v>
      </c>
      <c r="AK185" s="747">
        <f t="shared" si="35"/>
        <v>0</v>
      </c>
      <c r="AL185" s="1170"/>
      <c r="AM185" s="1170"/>
      <c r="AN185" s="1209"/>
      <c r="AO185" s="1170"/>
      <c r="AP185" s="1209"/>
      <c r="AQ185" s="1128"/>
      <c r="AR185" s="1173"/>
      <c r="AT185" s="1173"/>
      <c r="AV185" s="1173"/>
      <c r="AX185" s="1173"/>
      <c r="AY185" s="1176"/>
      <c r="AZ185" s="1173"/>
    </row>
    <row r="186" spans="1:52" s="2" customFormat="1" x14ac:dyDescent="0.25">
      <c r="A186" s="19">
        <v>172</v>
      </c>
      <c r="B186" s="67">
        <v>6</v>
      </c>
      <c r="C186" s="44">
        <v>849110009</v>
      </c>
      <c r="D186" s="43" t="s">
        <v>299</v>
      </c>
      <c r="E186" s="45" t="s">
        <v>32</v>
      </c>
      <c r="F186" s="67">
        <v>2010</v>
      </c>
      <c r="G186" s="45"/>
      <c r="H186" s="68" t="str">
        <f t="shared" si="32"/>
        <v xml:space="preserve">   </v>
      </c>
      <c r="I186" s="68" t="str">
        <f t="shared" si="33"/>
        <v xml:space="preserve">   </v>
      </c>
      <c r="J186" s="1130"/>
      <c r="K186" s="1126"/>
      <c r="L186" s="1130"/>
      <c r="M186" s="1126"/>
      <c r="N186" s="1130"/>
      <c r="O186" s="1126"/>
      <c r="P186" s="1130"/>
      <c r="Q186" s="1126"/>
      <c r="R186" s="1130"/>
      <c r="S186" s="1126"/>
      <c r="T186" s="1145"/>
      <c r="U186" s="1126"/>
      <c r="V186" s="1130"/>
      <c r="W186" s="1126"/>
      <c r="X186" s="1130"/>
      <c r="Y186" s="1126"/>
      <c r="Z186" s="1130"/>
      <c r="AA186" s="1126"/>
      <c r="AB186" s="1198"/>
      <c r="AC186" s="1126"/>
      <c r="AD186" s="1157"/>
      <c r="AE186" s="1158"/>
      <c r="AF186" s="1157"/>
      <c r="AG186" s="1158"/>
      <c r="AH186" s="1232" t="str">
        <f t="shared" si="27"/>
        <v>PI</v>
      </c>
      <c r="AI186" s="747">
        <f t="shared" si="34"/>
        <v>0</v>
      </c>
      <c r="AJ186" s="747">
        <f t="shared" si="36"/>
        <v>10000000</v>
      </c>
      <c r="AK186" s="747">
        <f t="shared" si="35"/>
        <v>10000000</v>
      </c>
      <c r="AL186" s="1170"/>
      <c r="AM186" s="1170"/>
      <c r="AN186" s="1209"/>
      <c r="AO186" s="1170"/>
      <c r="AP186" s="1209"/>
      <c r="AQ186" s="1128"/>
      <c r="AR186" s="1173"/>
      <c r="AT186" s="1173"/>
      <c r="AV186" s="1173"/>
      <c r="AX186" s="1173"/>
      <c r="AY186" s="1176"/>
      <c r="AZ186" s="1173"/>
    </row>
    <row r="187" spans="1:52" s="2" customFormat="1" x14ac:dyDescent="0.25">
      <c r="A187" s="19">
        <v>173</v>
      </c>
      <c r="B187" s="59">
        <v>7</v>
      </c>
      <c r="C187" s="40">
        <v>849110010</v>
      </c>
      <c r="D187" s="39" t="s">
        <v>300</v>
      </c>
      <c r="E187" s="23" t="s">
        <v>32</v>
      </c>
      <c r="F187" s="59">
        <v>2010</v>
      </c>
      <c r="G187" s="31" t="s">
        <v>33</v>
      </c>
      <c r="H187" s="24" t="str">
        <f t="shared" si="32"/>
        <v xml:space="preserve">   </v>
      </c>
      <c r="I187" s="24">
        <f t="shared" si="33"/>
        <v>41640</v>
      </c>
      <c r="J187" s="1178">
        <v>935000</v>
      </c>
      <c r="K187" s="1124"/>
      <c r="L187" s="1178">
        <v>2500000</v>
      </c>
      <c r="M187" s="1124" t="s">
        <v>289</v>
      </c>
      <c r="N187" s="1178">
        <v>2500000</v>
      </c>
      <c r="O187" s="1124">
        <v>40849</v>
      </c>
      <c r="P187" s="1178">
        <v>2500000</v>
      </c>
      <c r="Q187" s="1124" t="s">
        <v>224</v>
      </c>
      <c r="R187" s="1178">
        <v>2500000</v>
      </c>
      <c r="S187" s="1124" t="s">
        <v>117</v>
      </c>
      <c r="T187" s="1188">
        <v>2500000</v>
      </c>
      <c r="U187" s="1124" t="s">
        <v>200</v>
      </c>
      <c r="V187" s="1178">
        <v>2500000</v>
      </c>
      <c r="W187" s="1124" t="s">
        <v>301</v>
      </c>
      <c r="X187" s="1178">
        <v>2500000</v>
      </c>
      <c r="Y187" s="1124" t="s">
        <v>302</v>
      </c>
      <c r="Z187" s="1178">
        <v>2500000</v>
      </c>
      <c r="AA187" s="1124">
        <v>41824</v>
      </c>
      <c r="AB187" s="1198">
        <v>1000000</v>
      </c>
      <c r="AC187" s="1126" t="s">
        <v>303</v>
      </c>
      <c r="AD187" s="1157"/>
      <c r="AE187" s="1158"/>
      <c r="AF187" s="1157"/>
      <c r="AG187" s="1158"/>
      <c r="AH187" s="1232" t="str">
        <f t="shared" si="27"/>
        <v>PI</v>
      </c>
      <c r="AI187" s="747">
        <f t="shared" si="34"/>
        <v>21935000</v>
      </c>
      <c r="AJ187" s="747">
        <f t="shared" si="36"/>
        <v>11935000</v>
      </c>
      <c r="AK187" s="747">
        <f t="shared" si="35"/>
        <v>-10000000</v>
      </c>
      <c r="AL187" s="1170"/>
      <c r="AM187" s="1170"/>
      <c r="AN187" s="1209"/>
      <c r="AO187" s="1170"/>
      <c r="AP187" s="1209"/>
      <c r="AQ187" s="1128"/>
      <c r="AR187" s="1173"/>
      <c r="AT187" s="1173"/>
      <c r="AV187" s="1173"/>
      <c r="AX187" s="1173"/>
      <c r="AY187" s="1176"/>
      <c r="AZ187" s="1173"/>
    </row>
    <row r="188" spans="1:52" s="5" customFormat="1" x14ac:dyDescent="0.25">
      <c r="A188" s="19">
        <v>174</v>
      </c>
      <c r="B188" s="57">
        <v>8</v>
      </c>
      <c r="C188" s="38">
        <v>849110011</v>
      </c>
      <c r="D188" s="37" t="s">
        <v>304</v>
      </c>
      <c r="E188" s="28" t="s">
        <v>32</v>
      </c>
      <c r="F188" s="57">
        <v>2010</v>
      </c>
      <c r="G188" s="28"/>
      <c r="H188" s="58" t="str">
        <f t="shared" si="32"/>
        <v xml:space="preserve">   </v>
      </c>
      <c r="I188" s="58" t="str">
        <f t="shared" si="33"/>
        <v xml:space="preserve">   </v>
      </c>
      <c r="J188" s="1130">
        <v>935000</v>
      </c>
      <c r="K188" s="1126"/>
      <c r="L188" s="1130">
        <v>2500000</v>
      </c>
      <c r="M188" s="1126"/>
      <c r="N188" s="1130">
        <v>2500000</v>
      </c>
      <c r="O188" s="1126">
        <v>40818</v>
      </c>
      <c r="P188" s="1130">
        <v>2500000</v>
      </c>
      <c r="Q188" s="1126" t="s">
        <v>221</v>
      </c>
      <c r="R188" s="1130">
        <v>2500000</v>
      </c>
      <c r="S188" s="1126" t="s">
        <v>117</v>
      </c>
      <c r="T188" s="1145"/>
      <c r="U188" s="1126"/>
      <c r="V188" s="1130"/>
      <c r="W188" s="1126"/>
      <c r="X188" s="1130"/>
      <c r="Y188" s="1126"/>
      <c r="Z188" s="1130"/>
      <c r="AA188" s="1126"/>
      <c r="AB188" s="1198">
        <v>1000000</v>
      </c>
      <c r="AC188" s="1126">
        <v>41220</v>
      </c>
      <c r="AD188" s="1157"/>
      <c r="AE188" s="1158"/>
      <c r="AF188" s="1157"/>
      <c r="AG188" s="1158"/>
      <c r="AH188" s="1232" t="str">
        <f t="shared" si="27"/>
        <v>PI</v>
      </c>
      <c r="AI188" s="1170">
        <f t="shared" si="34"/>
        <v>11935000</v>
      </c>
      <c r="AJ188" s="1170">
        <f t="shared" si="36"/>
        <v>11935000</v>
      </c>
      <c r="AK188" s="1170">
        <f t="shared" si="35"/>
        <v>0</v>
      </c>
      <c r="AL188" s="1170"/>
      <c r="AM188" s="1170"/>
      <c r="AN188" s="1209"/>
      <c r="AO188" s="1170"/>
      <c r="AP188" s="1209"/>
      <c r="AQ188" s="1234"/>
      <c r="AR188" s="1235"/>
      <c r="AT188" s="1235"/>
      <c r="AV188" s="1235"/>
      <c r="AX188" s="1235"/>
      <c r="AY188" s="1236"/>
      <c r="AZ188" s="1235"/>
    </row>
    <row r="189" spans="1:52" s="2" customFormat="1" x14ac:dyDescent="0.25">
      <c r="A189" s="19">
        <v>175</v>
      </c>
      <c r="B189" s="67">
        <v>9</v>
      </c>
      <c r="C189" s="44">
        <v>849110014</v>
      </c>
      <c r="D189" s="43" t="s">
        <v>305</v>
      </c>
      <c r="E189" s="45" t="s">
        <v>32</v>
      </c>
      <c r="F189" s="67">
        <v>2010</v>
      </c>
      <c r="G189" s="45"/>
      <c r="H189" s="68" t="str">
        <f t="shared" si="32"/>
        <v xml:space="preserve">   </v>
      </c>
      <c r="I189" s="68" t="str">
        <f t="shared" si="33"/>
        <v xml:space="preserve">   </v>
      </c>
      <c r="J189" s="1181">
        <v>935000</v>
      </c>
      <c r="K189" s="1180"/>
      <c r="L189" s="1181">
        <v>2500000</v>
      </c>
      <c r="M189" s="1180">
        <v>40260</v>
      </c>
      <c r="N189" s="1130"/>
      <c r="O189" s="1126"/>
      <c r="P189" s="1130"/>
      <c r="Q189" s="1126"/>
      <c r="R189" s="1130"/>
      <c r="S189" s="1126"/>
      <c r="T189" s="1145"/>
      <c r="U189" s="1126"/>
      <c r="V189" s="1130"/>
      <c r="W189" s="1126"/>
      <c r="X189" s="1130"/>
      <c r="Y189" s="1126"/>
      <c r="Z189" s="1130"/>
      <c r="AA189" s="1126"/>
      <c r="AB189" s="1198"/>
      <c r="AC189" s="1126"/>
      <c r="AD189" s="1157"/>
      <c r="AE189" s="1158"/>
      <c r="AF189" s="1157"/>
      <c r="AG189" s="1158"/>
      <c r="AH189" s="1232" t="str">
        <f t="shared" si="27"/>
        <v>PI</v>
      </c>
      <c r="AI189" s="747">
        <f t="shared" si="34"/>
        <v>3435000</v>
      </c>
      <c r="AJ189" s="747">
        <f t="shared" si="36"/>
        <v>10935000</v>
      </c>
      <c r="AK189" s="747">
        <f t="shared" si="35"/>
        <v>7500000</v>
      </c>
      <c r="AL189" s="1170"/>
      <c r="AM189" s="1170"/>
      <c r="AN189" s="1209"/>
      <c r="AO189" s="1170"/>
      <c r="AP189" s="1209"/>
      <c r="AQ189" s="1128"/>
      <c r="AR189" s="1173"/>
      <c r="AT189" s="1173"/>
      <c r="AV189" s="1173"/>
      <c r="AX189" s="1173"/>
      <c r="AY189" s="1176"/>
      <c r="AZ189" s="1173"/>
    </row>
    <row r="190" spans="1:52" s="2" customFormat="1" x14ac:dyDescent="0.25">
      <c r="A190" s="19">
        <v>176</v>
      </c>
      <c r="B190" s="59">
        <v>10</v>
      </c>
      <c r="C190" s="40">
        <v>849110048</v>
      </c>
      <c r="D190" s="39" t="s">
        <v>306</v>
      </c>
      <c r="E190" s="23" t="s">
        <v>32</v>
      </c>
      <c r="F190" s="59">
        <v>2010</v>
      </c>
      <c r="G190" s="23" t="s">
        <v>33</v>
      </c>
      <c r="H190" s="60" t="str">
        <f t="shared" si="32"/>
        <v xml:space="preserve">   </v>
      </c>
      <c r="I190" s="60">
        <f t="shared" si="33"/>
        <v>42329</v>
      </c>
      <c r="J190" s="1178">
        <v>935000</v>
      </c>
      <c r="K190" s="1124"/>
      <c r="L190" s="1178">
        <v>2500000</v>
      </c>
      <c r="M190" s="1124"/>
      <c r="N190" s="1178">
        <v>2500000</v>
      </c>
      <c r="O190" s="1124">
        <v>40849</v>
      </c>
      <c r="P190" s="1178">
        <v>2500000</v>
      </c>
      <c r="Q190" s="1124" t="s">
        <v>307</v>
      </c>
      <c r="R190" s="1178"/>
      <c r="S190" s="1144" t="s">
        <v>137</v>
      </c>
      <c r="T190" s="1188">
        <v>2500000</v>
      </c>
      <c r="U190" s="1124" t="s">
        <v>308</v>
      </c>
      <c r="V190" s="1178">
        <v>600000</v>
      </c>
      <c r="W190" s="1124">
        <v>42071</v>
      </c>
      <c r="X190" s="1178">
        <v>600000</v>
      </c>
      <c r="Y190" s="1124">
        <v>42069</v>
      </c>
      <c r="Z190" s="1178">
        <v>600000</v>
      </c>
      <c r="AA190" s="1124">
        <v>42069</v>
      </c>
      <c r="AB190" s="1205">
        <v>1000000</v>
      </c>
      <c r="AC190" s="1124">
        <v>42069</v>
      </c>
      <c r="AD190" s="1199">
        <v>600000</v>
      </c>
      <c r="AE190" s="2294" t="s">
        <v>309</v>
      </c>
      <c r="AF190" s="1199">
        <v>600000</v>
      </c>
      <c r="AG190" s="2294" t="s">
        <v>310</v>
      </c>
      <c r="AH190" s="1232" t="str">
        <f t="shared" si="27"/>
        <v>PI</v>
      </c>
      <c r="AI190" s="747">
        <f t="shared" si="34"/>
        <v>14935000</v>
      </c>
      <c r="AJ190" s="747">
        <f>(COUNT(L190,N190,P190,R190,T190)*2500000)+(COUNT(V190,X190,Z190,AD190,AF190)*600000)+(AB190+J190)</f>
        <v>14935000</v>
      </c>
      <c r="AK190" s="747">
        <f t="shared" si="35"/>
        <v>0</v>
      </c>
      <c r="AL190" s="1170"/>
      <c r="AM190" s="1170"/>
      <c r="AN190" s="1209"/>
      <c r="AO190" s="1170"/>
      <c r="AP190" s="1209"/>
      <c r="AQ190" s="1128"/>
      <c r="AR190" s="1173"/>
      <c r="AT190" s="1173"/>
      <c r="AV190" s="1173"/>
      <c r="AX190" s="1173"/>
      <c r="AY190" s="1176"/>
      <c r="AZ190" s="1173"/>
    </row>
    <row r="191" spans="1:52" s="2" customFormat="1" x14ac:dyDescent="0.25">
      <c r="A191" s="19">
        <v>177</v>
      </c>
      <c r="B191" s="57">
        <v>11</v>
      </c>
      <c r="C191" s="38">
        <v>849110049</v>
      </c>
      <c r="D191" s="37" t="s">
        <v>311</v>
      </c>
      <c r="E191" s="28" t="s">
        <v>32</v>
      </c>
      <c r="F191" s="57">
        <v>2010</v>
      </c>
      <c r="G191" s="28"/>
      <c r="H191" s="58" t="str">
        <f t="shared" si="32"/>
        <v xml:space="preserve">   </v>
      </c>
      <c r="I191" s="58" t="str">
        <f t="shared" si="33"/>
        <v xml:space="preserve">   </v>
      </c>
      <c r="J191" s="1130">
        <v>935000</v>
      </c>
      <c r="K191" s="1126"/>
      <c r="L191" s="1130">
        <v>2500000</v>
      </c>
      <c r="M191" s="1126">
        <v>40312</v>
      </c>
      <c r="N191" s="1130">
        <v>2500000</v>
      </c>
      <c r="O191" s="1126" t="s">
        <v>312</v>
      </c>
      <c r="P191" s="1130">
        <f>700000+1800000</f>
        <v>2500000</v>
      </c>
      <c r="Q191" s="1126" t="s">
        <v>307</v>
      </c>
      <c r="R191" s="1130">
        <v>2500000</v>
      </c>
      <c r="S191" s="1126" t="s">
        <v>275</v>
      </c>
      <c r="T191" s="1145">
        <v>1000000</v>
      </c>
      <c r="U191" s="1126">
        <v>41114</v>
      </c>
      <c r="V191" s="1130"/>
      <c r="W191" s="1126"/>
      <c r="X191" s="1130"/>
      <c r="Y191" s="1126"/>
      <c r="Z191" s="1130"/>
      <c r="AA191" s="1126"/>
      <c r="AB191" s="1198">
        <v>1000000</v>
      </c>
      <c r="AC191" s="1126" t="s">
        <v>313</v>
      </c>
      <c r="AD191" s="1157"/>
      <c r="AE191" s="1158"/>
      <c r="AF191" s="1157"/>
      <c r="AG191" s="1158"/>
      <c r="AH191" s="1232" t="str">
        <f t="shared" si="27"/>
        <v>PI</v>
      </c>
      <c r="AI191" s="747" t="e">
        <f>SUM(J191,L191,N191,P191,R191,T191,V191,X191,Z191,AB191,AD191,AF191,#REF!)</f>
        <v>#REF!</v>
      </c>
      <c r="AJ191" s="747">
        <f>(COUNT(L191,N191,P191,R191,T191)*2500000)+(COUNT(V191,X191,Z191,AD191,AF191)*600000)+(AB191+J191)</f>
        <v>14435000</v>
      </c>
      <c r="AK191" s="747" t="e">
        <f t="shared" si="35"/>
        <v>#REF!</v>
      </c>
      <c r="AL191" s="1170"/>
      <c r="AM191" s="1170"/>
      <c r="AN191" s="1209"/>
      <c r="AO191" s="1170"/>
      <c r="AP191" s="1209"/>
      <c r="AQ191" s="1128"/>
      <c r="AR191" s="1173"/>
      <c r="AT191" s="1173"/>
      <c r="AV191" s="1173"/>
      <c r="AX191" s="1173"/>
      <c r="AY191" s="1176"/>
      <c r="AZ191" s="1173"/>
    </row>
    <row r="192" spans="1:52" s="5" customFormat="1" x14ac:dyDescent="0.25">
      <c r="A192" s="19">
        <v>178</v>
      </c>
      <c r="B192" s="57">
        <v>12</v>
      </c>
      <c r="C192" s="38">
        <v>849110018</v>
      </c>
      <c r="D192" s="37" t="s">
        <v>314</v>
      </c>
      <c r="E192" s="28" t="s">
        <v>32</v>
      </c>
      <c r="F192" s="57">
        <v>2010</v>
      </c>
      <c r="G192" s="28"/>
      <c r="H192" s="58" t="str">
        <f t="shared" si="32"/>
        <v xml:space="preserve">   </v>
      </c>
      <c r="I192" s="58" t="str">
        <f t="shared" si="33"/>
        <v xml:space="preserve">   </v>
      </c>
      <c r="J192" s="1130">
        <v>935000</v>
      </c>
      <c r="K192" s="1126"/>
      <c r="L192" s="1130">
        <v>2500000</v>
      </c>
      <c r="M192" s="1126">
        <v>40472</v>
      </c>
      <c r="N192" s="1130"/>
      <c r="O192" s="1126"/>
      <c r="P192" s="1130"/>
      <c r="Q192" s="1126"/>
      <c r="R192" s="1130">
        <v>2500000</v>
      </c>
      <c r="S192" s="1126" t="s">
        <v>93</v>
      </c>
      <c r="T192" s="1145">
        <v>2500000</v>
      </c>
      <c r="U192" s="1126">
        <v>41068</v>
      </c>
      <c r="V192" s="1130"/>
      <c r="W192" s="1126"/>
      <c r="X192" s="1130"/>
      <c r="Y192" s="1126"/>
      <c r="Z192" s="1130"/>
      <c r="AA192" s="1126"/>
      <c r="AB192" s="1198">
        <v>1000000</v>
      </c>
      <c r="AC192" s="1126"/>
      <c r="AD192" s="1157"/>
      <c r="AE192" s="1158"/>
      <c r="AF192" s="1157"/>
      <c r="AG192" s="1158"/>
      <c r="AH192" s="1232" t="str">
        <f t="shared" si="27"/>
        <v>PI</v>
      </c>
      <c r="AI192" s="1170">
        <f t="shared" ref="AI192:AI206" si="37">SUM(J192,L192,N192,P192,R192,T192,V192,X192,Z192,AB192,AD192,AF192)</f>
        <v>9435000</v>
      </c>
      <c r="AJ192" s="1170">
        <f>((COUNT((L192,N192,P192,R192,T192,V192,X192,Z192,AD192,AF192)))*2500000)+(J192+AB192)</f>
        <v>9435000</v>
      </c>
      <c r="AK192" s="1170">
        <f t="shared" ref="AK192:AK206" si="38">AJ192-AI192</f>
        <v>0</v>
      </c>
      <c r="AL192" s="1170"/>
      <c r="AM192" s="1170"/>
      <c r="AN192" s="1209"/>
      <c r="AO192" s="1170"/>
      <c r="AP192" s="1209"/>
      <c r="AQ192" s="1234"/>
      <c r="AR192" s="1235"/>
      <c r="AT192" s="1235"/>
      <c r="AV192" s="1235"/>
      <c r="AX192" s="1235"/>
      <c r="AY192" s="1236"/>
      <c r="AZ192" s="1235"/>
    </row>
    <row r="193" spans="1:52" s="5" customFormat="1" x14ac:dyDescent="0.25">
      <c r="A193" s="19">
        <v>179</v>
      </c>
      <c r="B193" s="57">
        <v>13</v>
      </c>
      <c r="C193" s="38">
        <v>849110021</v>
      </c>
      <c r="D193" s="37" t="s">
        <v>315</v>
      </c>
      <c r="E193" s="28" t="s">
        <v>32</v>
      </c>
      <c r="F193" s="57">
        <v>2010</v>
      </c>
      <c r="G193" s="28"/>
      <c r="H193" s="58" t="str">
        <f t="shared" si="32"/>
        <v xml:space="preserve">   </v>
      </c>
      <c r="I193" s="58" t="str">
        <f t="shared" si="33"/>
        <v xml:space="preserve">   </v>
      </c>
      <c r="J193" s="1130">
        <v>935000</v>
      </c>
      <c r="K193" s="1126"/>
      <c r="L193" s="1130">
        <v>2500000</v>
      </c>
      <c r="M193" s="1126" t="s">
        <v>289</v>
      </c>
      <c r="N193" s="1130">
        <v>2500000</v>
      </c>
      <c r="O193" s="1126">
        <v>40699</v>
      </c>
      <c r="P193" s="1130">
        <v>2500000</v>
      </c>
      <c r="Q193" s="1126" t="s">
        <v>316</v>
      </c>
      <c r="R193" s="1130">
        <v>2500000</v>
      </c>
      <c r="S193" s="1126" t="s">
        <v>317</v>
      </c>
      <c r="T193" s="1145"/>
      <c r="U193" s="1126"/>
      <c r="V193" s="1130"/>
      <c r="W193" s="1126"/>
      <c r="X193" s="1130"/>
      <c r="Y193" s="1126"/>
      <c r="Z193" s="1130"/>
      <c r="AA193" s="1126">
        <v>41030</v>
      </c>
      <c r="AB193" s="1198">
        <v>1000000</v>
      </c>
      <c r="AC193" s="1126"/>
      <c r="AD193" s="1157"/>
      <c r="AE193" s="1158"/>
      <c r="AF193" s="1157"/>
      <c r="AG193" s="1158"/>
      <c r="AH193" s="1232" t="str">
        <f t="shared" si="27"/>
        <v>PI</v>
      </c>
      <c r="AI193" s="1170">
        <f t="shared" si="37"/>
        <v>11935000</v>
      </c>
      <c r="AJ193" s="1170">
        <f>((COUNT((L193,N193,P193,R193,T193,V193,X193,Z193,AD193,AF193)))*2500000)+(J193+AB193)</f>
        <v>11935000</v>
      </c>
      <c r="AK193" s="1170">
        <f t="shared" si="38"/>
        <v>0</v>
      </c>
      <c r="AL193" s="1170"/>
      <c r="AM193" s="1170"/>
      <c r="AN193" s="1209"/>
      <c r="AO193" s="1170"/>
      <c r="AP193" s="1209"/>
      <c r="AQ193" s="1234"/>
      <c r="AR193" s="1235"/>
      <c r="AT193" s="1235"/>
      <c r="AV193" s="1235"/>
      <c r="AX193" s="1235"/>
      <c r="AY193" s="1236"/>
      <c r="AZ193" s="1235"/>
    </row>
    <row r="194" spans="1:52" s="5" customFormat="1" x14ac:dyDescent="0.25">
      <c r="A194" s="19">
        <v>180</v>
      </c>
      <c r="B194" s="57">
        <v>14</v>
      </c>
      <c r="C194" s="38">
        <v>849110054</v>
      </c>
      <c r="D194" s="37" t="s">
        <v>318</v>
      </c>
      <c r="E194" s="28" t="s">
        <v>32</v>
      </c>
      <c r="F194" s="57">
        <v>2010</v>
      </c>
      <c r="G194" s="28"/>
      <c r="H194" s="58" t="str">
        <f t="shared" si="32"/>
        <v xml:space="preserve">   </v>
      </c>
      <c r="I194" s="58" t="str">
        <f t="shared" si="33"/>
        <v xml:space="preserve">   </v>
      </c>
      <c r="J194" s="1130">
        <v>935000</v>
      </c>
      <c r="K194" s="1126"/>
      <c r="L194" s="1130">
        <v>2500000</v>
      </c>
      <c r="M194" s="1126"/>
      <c r="N194" s="1130">
        <v>2500000</v>
      </c>
      <c r="O194" s="1126"/>
      <c r="P194" s="1130">
        <v>2500000</v>
      </c>
      <c r="Q194" s="1126" t="s">
        <v>237</v>
      </c>
      <c r="R194" s="1130">
        <v>2500000</v>
      </c>
      <c r="S194" s="1126" t="s">
        <v>292</v>
      </c>
      <c r="T194" s="1145"/>
      <c r="U194" s="1126"/>
      <c r="V194" s="1130"/>
      <c r="W194" s="1126"/>
      <c r="X194" s="1130"/>
      <c r="Y194" s="1126"/>
      <c r="Z194" s="1130"/>
      <c r="AA194" s="1126"/>
      <c r="AB194" s="1198">
        <v>1000000</v>
      </c>
      <c r="AC194" s="1126" t="s">
        <v>295</v>
      </c>
      <c r="AD194" s="1157"/>
      <c r="AE194" s="1158"/>
      <c r="AF194" s="1157"/>
      <c r="AG194" s="1158"/>
      <c r="AH194" s="1232" t="str">
        <f t="shared" si="27"/>
        <v>PI</v>
      </c>
      <c r="AI194" s="1170">
        <f t="shared" si="37"/>
        <v>11935000</v>
      </c>
      <c r="AJ194" s="1170">
        <f>((COUNT((L194,N194,P194,R194,T194,V194,X194,Z194,AD194,AF194)))*2500000)+(J194+AB194)</f>
        <v>11935000</v>
      </c>
      <c r="AK194" s="1170">
        <f t="shared" si="38"/>
        <v>0</v>
      </c>
      <c r="AL194" s="1170"/>
      <c r="AM194" s="1170"/>
      <c r="AN194" s="1209"/>
      <c r="AO194" s="1170"/>
      <c r="AP194" s="1209"/>
      <c r="AQ194" s="1234"/>
      <c r="AR194" s="1235"/>
      <c r="AT194" s="1235"/>
      <c r="AV194" s="1235"/>
      <c r="AX194" s="1235"/>
      <c r="AY194" s="1236"/>
      <c r="AZ194" s="1235"/>
    </row>
    <row r="195" spans="1:52" s="5" customFormat="1" x14ac:dyDescent="0.25">
      <c r="A195" s="19">
        <v>181</v>
      </c>
      <c r="B195" s="57">
        <v>15</v>
      </c>
      <c r="C195" s="38">
        <v>849110023</v>
      </c>
      <c r="D195" s="37" t="s">
        <v>319</v>
      </c>
      <c r="E195" s="28" t="s">
        <v>32</v>
      </c>
      <c r="F195" s="57">
        <v>2010</v>
      </c>
      <c r="G195" s="28"/>
      <c r="H195" s="58" t="str">
        <f t="shared" si="32"/>
        <v xml:space="preserve">   </v>
      </c>
      <c r="I195" s="58" t="str">
        <f t="shared" si="33"/>
        <v xml:space="preserve">   </v>
      </c>
      <c r="J195" s="1130">
        <v>935000</v>
      </c>
      <c r="K195" s="1126"/>
      <c r="L195" s="1130">
        <v>2500000</v>
      </c>
      <c r="M195" s="1126" t="s">
        <v>289</v>
      </c>
      <c r="N195" s="1130">
        <v>2500000</v>
      </c>
      <c r="O195" s="1126">
        <v>40726</v>
      </c>
      <c r="P195" s="1130">
        <v>2500000</v>
      </c>
      <c r="Q195" s="1126" t="s">
        <v>215</v>
      </c>
      <c r="R195" s="1130">
        <v>2500000</v>
      </c>
      <c r="S195" s="1126"/>
      <c r="T195" s="1145">
        <v>2500000</v>
      </c>
      <c r="U195" s="1126" t="s">
        <v>90</v>
      </c>
      <c r="V195" s="1130"/>
      <c r="W195" s="1126"/>
      <c r="X195" s="1130"/>
      <c r="Y195" s="1126"/>
      <c r="Z195" s="1130"/>
      <c r="AA195" s="1126"/>
      <c r="AB195" s="1198">
        <v>1000000</v>
      </c>
      <c r="AC195" s="1126">
        <v>40947</v>
      </c>
      <c r="AD195" s="1157"/>
      <c r="AE195" s="1158"/>
      <c r="AF195" s="1157"/>
      <c r="AG195" s="1158"/>
      <c r="AH195" s="1232" t="str">
        <f t="shared" si="27"/>
        <v>PI</v>
      </c>
      <c r="AI195" s="1170">
        <f t="shared" si="37"/>
        <v>14435000</v>
      </c>
      <c r="AJ195" s="1170">
        <f>((COUNT((L195,N195,P195,R195,T195,V195,X195,Z195,AD195,AF195)))*2500000)+(J195+AB195)</f>
        <v>14435000</v>
      </c>
      <c r="AK195" s="1170">
        <f t="shared" si="38"/>
        <v>0</v>
      </c>
      <c r="AL195" s="1170"/>
      <c r="AM195" s="1170"/>
      <c r="AN195" s="1209"/>
      <c r="AO195" s="1170"/>
      <c r="AP195" s="1209"/>
      <c r="AQ195" s="1234"/>
      <c r="AR195" s="1235"/>
      <c r="AT195" s="1235"/>
      <c r="AV195" s="1235"/>
      <c r="AX195" s="1235"/>
      <c r="AY195" s="1236"/>
      <c r="AZ195" s="1235"/>
    </row>
    <row r="196" spans="1:52" s="2" customFormat="1" x14ac:dyDescent="0.25">
      <c r="A196" s="19">
        <v>182</v>
      </c>
      <c r="B196" s="59">
        <v>16</v>
      </c>
      <c r="C196" s="40">
        <v>849110026</v>
      </c>
      <c r="D196" s="39" t="s">
        <v>320</v>
      </c>
      <c r="E196" s="23" t="s">
        <v>32</v>
      </c>
      <c r="F196" s="59">
        <v>2010</v>
      </c>
      <c r="G196" s="31" t="s">
        <v>33</v>
      </c>
      <c r="H196" s="24" t="str">
        <f t="shared" si="32"/>
        <v xml:space="preserve">   </v>
      </c>
      <c r="I196" s="24">
        <f t="shared" si="33"/>
        <v>41640</v>
      </c>
      <c r="J196" s="1178">
        <v>935000</v>
      </c>
      <c r="K196" s="1124"/>
      <c r="L196" s="1178">
        <v>2500000</v>
      </c>
      <c r="M196" s="1124" t="s">
        <v>289</v>
      </c>
      <c r="N196" s="1178">
        <v>2500000</v>
      </c>
      <c r="O196" s="1124">
        <v>40757</v>
      </c>
      <c r="P196" s="1178">
        <v>2500000</v>
      </c>
      <c r="Q196" s="1124" t="s">
        <v>321</v>
      </c>
      <c r="R196" s="1178">
        <v>2500000</v>
      </c>
      <c r="S196" s="1124">
        <v>41246</v>
      </c>
      <c r="T196" s="1188">
        <v>3000000</v>
      </c>
      <c r="U196" s="1124" t="s">
        <v>322</v>
      </c>
      <c r="V196" s="1178">
        <v>600000</v>
      </c>
      <c r="W196" s="1124" t="s">
        <v>323</v>
      </c>
      <c r="X196" s="1130"/>
      <c r="Y196" s="1126"/>
      <c r="Z196" s="1130"/>
      <c r="AA196" s="1126"/>
      <c r="AB196" s="1198">
        <v>1000000</v>
      </c>
      <c r="AC196" s="1126" t="s">
        <v>323</v>
      </c>
      <c r="AD196" s="1157"/>
      <c r="AE196" s="1158"/>
      <c r="AF196" s="1157"/>
      <c r="AG196" s="1158"/>
      <c r="AH196" s="1232" t="str">
        <f t="shared" si="27"/>
        <v>PI</v>
      </c>
      <c r="AI196" s="747">
        <f t="shared" si="37"/>
        <v>15535000</v>
      </c>
      <c r="AJ196" s="747">
        <f>(COUNT(L196,N196,P196,R196,T196)*2500000)+(COUNT(V196,X196,Z196,AD196,AF196)*600000)+(AB196+J196)</f>
        <v>15035000</v>
      </c>
      <c r="AK196" s="747">
        <f t="shared" si="38"/>
        <v>-500000</v>
      </c>
      <c r="AL196" s="1170"/>
      <c r="AM196" s="1170"/>
      <c r="AN196" s="1209"/>
      <c r="AO196" s="1170"/>
      <c r="AP196" s="1209"/>
      <c r="AQ196" s="1128"/>
      <c r="AR196" s="1173"/>
      <c r="AT196" s="1173"/>
      <c r="AV196" s="1173"/>
      <c r="AX196" s="1173"/>
      <c r="AY196" s="1176"/>
      <c r="AZ196" s="1173"/>
    </row>
    <row r="197" spans="1:52" s="5" customFormat="1" x14ac:dyDescent="0.25">
      <c r="A197" s="19">
        <v>183</v>
      </c>
      <c r="B197" s="57">
        <v>17</v>
      </c>
      <c r="C197" s="38">
        <v>849110027</v>
      </c>
      <c r="D197" s="37" t="s">
        <v>324</v>
      </c>
      <c r="E197" s="28" t="s">
        <v>32</v>
      </c>
      <c r="F197" s="57">
        <v>2010</v>
      </c>
      <c r="G197" s="28"/>
      <c r="H197" s="58" t="str">
        <f t="shared" si="32"/>
        <v xml:space="preserve">   </v>
      </c>
      <c r="I197" s="58" t="str">
        <f t="shared" si="33"/>
        <v xml:space="preserve">   </v>
      </c>
      <c r="J197" s="1130"/>
      <c r="K197" s="1126"/>
      <c r="L197" s="1130"/>
      <c r="M197" s="1126" t="s">
        <v>325</v>
      </c>
      <c r="N197" s="1130">
        <v>2500000</v>
      </c>
      <c r="O197" s="1126">
        <v>40849</v>
      </c>
      <c r="P197" s="1130">
        <v>2500000</v>
      </c>
      <c r="Q197" s="1126" t="s">
        <v>154</v>
      </c>
      <c r="R197" s="1130">
        <v>2500000</v>
      </c>
      <c r="S197" s="1126" t="s">
        <v>317</v>
      </c>
      <c r="T197" s="1145">
        <v>2500000</v>
      </c>
      <c r="U197" s="1126">
        <v>41098</v>
      </c>
      <c r="V197" s="1130"/>
      <c r="W197" s="1126"/>
      <c r="X197" s="1130"/>
      <c r="Y197" s="1126"/>
      <c r="Z197" s="1130"/>
      <c r="AA197" s="1126"/>
      <c r="AB197" s="1198">
        <v>1000000</v>
      </c>
      <c r="AC197" s="1126" t="s">
        <v>326</v>
      </c>
      <c r="AD197" s="1157"/>
      <c r="AE197" s="1158"/>
      <c r="AF197" s="1157"/>
      <c r="AG197" s="1158"/>
      <c r="AH197" s="1232" t="str">
        <f t="shared" ref="AH197:AH260" si="39">E197</f>
        <v>PI</v>
      </c>
      <c r="AI197" s="1170">
        <f t="shared" si="37"/>
        <v>11000000</v>
      </c>
      <c r="AJ197" s="1170">
        <f t="shared" ref="AJ197:AJ202" si="40">((COUNT((L197,N197,P197,R197,T197,V197,X197,Z197,AD197,AF197)))*2500000)+(J197+AB197)</f>
        <v>11000000</v>
      </c>
      <c r="AK197" s="1170">
        <f t="shared" si="38"/>
        <v>0</v>
      </c>
      <c r="AL197" s="1170"/>
      <c r="AM197" s="1170"/>
      <c r="AN197" s="1209"/>
      <c r="AO197" s="1170"/>
      <c r="AP197" s="1209"/>
      <c r="AQ197" s="1234"/>
      <c r="AR197" s="1235"/>
      <c r="AT197" s="1235"/>
      <c r="AV197" s="1235"/>
      <c r="AX197" s="1235"/>
      <c r="AY197" s="1236"/>
      <c r="AZ197" s="1235"/>
    </row>
    <row r="198" spans="1:52" s="2" customFormat="1" x14ac:dyDescent="0.25">
      <c r="A198" s="19">
        <v>184</v>
      </c>
      <c r="B198" s="67">
        <v>18</v>
      </c>
      <c r="C198" s="44">
        <v>849110064</v>
      </c>
      <c r="D198" s="43" t="s">
        <v>327</v>
      </c>
      <c r="E198" s="45" t="s">
        <v>32</v>
      </c>
      <c r="F198" s="67">
        <v>2010</v>
      </c>
      <c r="G198" s="45"/>
      <c r="H198" s="68" t="str">
        <f t="shared" si="32"/>
        <v xml:space="preserve">   </v>
      </c>
      <c r="I198" s="68" t="str">
        <f t="shared" si="33"/>
        <v xml:space="preserve">   </v>
      </c>
      <c r="J198" s="1181">
        <v>935000</v>
      </c>
      <c r="K198" s="1180"/>
      <c r="L198" s="1181">
        <v>2500000</v>
      </c>
      <c r="M198" s="1180" t="s">
        <v>328</v>
      </c>
      <c r="N198" s="1130"/>
      <c r="O198" s="1126"/>
      <c r="P198" s="1130"/>
      <c r="Q198" s="1126"/>
      <c r="R198" s="1130"/>
      <c r="S198" s="1126"/>
      <c r="T198" s="1145"/>
      <c r="U198" s="1126"/>
      <c r="V198" s="1130"/>
      <c r="W198" s="1126"/>
      <c r="X198" s="1130"/>
      <c r="Y198" s="1126"/>
      <c r="Z198" s="1130"/>
      <c r="AA198" s="1126"/>
      <c r="AB198" s="1198"/>
      <c r="AC198" s="1126"/>
      <c r="AD198" s="1157"/>
      <c r="AE198" s="1158"/>
      <c r="AF198" s="1157"/>
      <c r="AG198" s="1158"/>
      <c r="AH198" s="1232" t="str">
        <f t="shared" si="39"/>
        <v>PI</v>
      </c>
      <c r="AI198" s="747">
        <f t="shared" si="37"/>
        <v>3435000</v>
      </c>
      <c r="AJ198" s="747">
        <f t="shared" si="40"/>
        <v>10935000</v>
      </c>
      <c r="AK198" s="747">
        <f t="shared" si="38"/>
        <v>7500000</v>
      </c>
      <c r="AL198" s="1170"/>
      <c r="AM198" s="1170"/>
      <c r="AN198" s="1209"/>
      <c r="AO198" s="1170"/>
      <c r="AP198" s="1209"/>
      <c r="AQ198" s="1128"/>
      <c r="AR198" s="1173"/>
      <c r="AT198" s="1173"/>
      <c r="AV198" s="1173"/>
      <c r="AX198" s="1173"/>
      <c r="AY198" s="1176"/>
      <c r="AZ198" s="1173"/>
    </row>
    <row r="199" spans="1:52" s="5" customFormat="1" x14ac:dyDescent="0.25">
      <c r="A199" s="19">
        <v>185</v>
      </c>
      <c r="B199" s="57">
        <v>19</v>
      </c>
      <c r="C199" s="38">
        <v>849110065</v>
      </c>
      <c r="D199" s="37" t="s">
        <v>329</v>
      </c>
      <c r="E199" s="28" t="s">
        <v>32</v>
      </c>
      <c r="F199" s="57">
        <v>2010</v>
      </c>
      <c r="G199" s="28"/>
      <c r="H199" s="58" t="str">
        <f t="shared" si="32"/>
        <v xml:space="preserve">   </v>
      </c>
      <c r="I199" s="58" t="str">
        <f t="shared" si="33"/>
        <v xml:space="preserve">   </v>
      </c>
      <c r="J199" s="1130">
        <v>935000</v>
      </c>
      <c r="K199" s="1126"/>
      <c r="L199" s="1130">
        <v>2500000</v>
      </c>
      <c r="M199" s="1126" t="s">
        <v>330</v>
      </c>
      <c r="N199" s="1130">
        <v>2500000</v>
      </c>
      <c r="O199" s="1126" t="s">
        <v>221</v>
      </c>
      <c r="P199" s="1130">
        <v>2500000</v>
      </c>
      <c r="Q199" s="1126" t="s">
        <v>221</v>
      </c>
      <c r="R199" s="1130">
        <v>2500000</v>
      </c>
      <c r="S199" s="1126" t="s">
        <v>317</v>
      </c>
      <c r="T199" s="1145">
        <v>2500000</v>
      </c>
      <c r="U199" s="1126">
        <v>41068</v>
      </c>
      <c r="V199" s="1130"/>
      <c r="W199" s="1126"/>
      <c r="X199" s="1130"/>
      <c r="Y199" s="1126"/>
      <c r="Z199" s="1130"/>
      <c r="AA199" s="1126"/>
      <c r="AB199" s="1198">
        <v>1000000</v>
      </c>
      <c r="AC199" s="1126" t="s">
        <v>331</v>
      </c>
      <c r="AD199" s="1157"/>
      <c r="AE199" s="1158"/>
      <c r="AF199" s="1157"/>
      <c r="AG199" s="1158"/>
      <c r="AH199" s="1232" t="str">
        <f t="shared" si="39"/>
        <v>PI</v>
      </c>
      <c r="AI199" s="1170">
        <f t="shared" si="37"/>
        <v>14435000</v>
      </c>
      <c r="AJ199" s="1170">
        <f t="shared" si="40"/>
        <v>11935000</v>
      </c>
      <c r="AK199" s="1170">
        <f t="shared" si="38"/>
        <v>-2500000</v>
      </c>
      <c r="AL199" s="1170"/>
      <c r="AM199" s="1170"/>
      <c r="AN199" s="1209"/>
      <c r="AO199" s="1170"/>
      <c r="AP199" s="1209"/>
      <c r="AQ199" s="1234"/>
      <c r="AR199" s="1235"/>
      <c r="AT199" s="1235"/>
      <c r="AV199" s="1235"/>
      <c r="AX199" s="1235"/>
      <c r="AY199" s="1236"/>
      <c r="AZ199" s="1235"/>
    </row>
    <row r="200" spans="1:52" s="5" customFormat="1" x14ac:dyDescent="0.25">
      <c r="A200" s="19">
        <v>186</v>
      </c>
      <c r="B200" s="57">
        <v>20</v>
      </c>
      <c r="C200" s="38">
        <v>849110060</v>
      </c>
      <c r="D200" s="37" t="s">
        <v>332</v>
      </c>
      <c r="E200" s="28" t="s">
        <v>32</v>
      </c>
      <c r="F200" s="57">
        <v>2010</v>
      </c>
      <c r="G200" s="28"/>
      <c r="H200" s="58" t="str">
        <f t="shared" si="32"/>
        <v xml:space="preserve">   </v>
      </c>
      <c r="I200" s="58" t="str">
        <f t="shared" si="33"/>
        <v xml:space="preserve">   </v>
      </c>
      <c r="J200" s="1130">
        <v>935000</v>
      </c>
      <c r="K200" s="1126"/>
      <c r="L200" s="1130">
        <v>2500000</v>
      </c>
      <c r="M200" s="1126" t="s">
        <v>333</v>
      </c>
      <c r="N200" s="1130">
        <v>2500000</v>
      </c>
      <c r="O200" s="1126">
        <v>40592</v>
      </c>
      <c r="P200" s="1130">
        <v>2500000</v>
      </c>
      <c r="Q200" s="1126" t="s">
        <v>221</v>
      </c>
      <c r="R200" s="1130">
        <v>2500000</v>
      </c>
      <c r="S200" s="1126" t="s">
        <v>93</v>
      </c>
      <c r="T200" s="1145"/>
      <c r="U200" s="1126"/>
      <c r="V200" s="1130"/>
      <c r="W200" s="1126"/>
      <c r="X200" s="1130"/>
      <c r="Y200" s="1126"/>
      <c r="Z200" s="1130"/>
      <c r="AA200" s="1126"/>
      <c r="AB200" s="1198">
        <v>1000000</v>
      </c>
      <c r="AC200" s="1126" t="s">
        <v>190</v>
      </c>
      <c r="AD200" s="1157"/>
      <c r="AE200" s="1158"/>
      <c r="AF200" s="1157"/>
      <c r="AG200" s="1158"/>
      <c r="AH200" s="1232" t="str">
        <f t="shared" si="39"/>
        <v>PI</v>
      </c>
      <c r="AI200" s="1170">
        <f t="shared" si="37"/>
        <v>11935000</v>
      </c>
      <c r="AJ200" s="1170">
        <f t="shared" si="40"/>
        <v>11935000</v>
      </c>
      <c r="AK200" s="1170">
        <f t="shared" si="38"/>
        <v>0</v>
      </c>
      <c r="AL200" s="1170"/>
      <c r="AM200" s="1170"/>
      <c r="AN200" s="1209"/>
      <c r="AO200" s="1170"/>
      <c r="AP200" s="1209"/>
      <c r="AQ200" s="1234"/>
      <c r="AR200" s="1235"/>
      <c r="AT200" s="1235"/>
      <c r="AV200" s="1235"/>
      <c r="AX200" s="1235"/>
      <c r="AY200" s="1236"/>
      <c r="AZ200" s="1235"/>
    </row>
    <row r="201" spans="1:52" s="5" customFormat="1" x14ac:dyDescent="0.25">
      <c r="A201" s="19">
        <v>187</v>
      </c>
      <c r="B201" s="57">
        <v>21</v>
      </c>
      <c r="C201" s="38">
        <v>849110033</v>
      </c>
      <c r="D201" s="37" t="s">
        <v>334</v>
      </c>
      <c r="E201" s="28" t="s">
        <v>32</v>
      </c>
      <c r="F201" s="57">
        <v>2010</v>
      </c>
      <c r="G201" s="28"/>
      <c r="H201" s="58" t="str">
        <f t="shared" si="32"/>
        <v xml:space="preserve">   </v>
      </c>
      <c r="I201" s="58" t="str">
        <f t="shared" si="33"/>
        <v xml:space="preserve">   </v>
      </c>
      <c r="J201" s="1130">
        <v>935000</v>
      </c>
      <c r="K201" s="1126"/>
      <c r="L201" s="1130">
        <v>2500000</v>
      </c>
      <c r="M201" s="1126">
        <v>40519</v>
      </c>
      <c r="N201" s="1130">
        <v>2500000</v>
      </c>
      <c r="O201" s="1126">
        <v>40849</v>
      </c>
      <c r="P201" s="1130">
        <v>2500000</v>
      </c>
      <c r="Q201" s="1126" t="s">
        <v>237</v>
      </c>
      <c r="R201" s="1130">
        <v>2500000</v>
      </c>
      <c r="S201" s="1126" t="s">
        <v>125</v>
      </c>
      <c r="T201" s="1145">
        <v>2500000</v>
      </c>
      <c r="U201" s="1126" t="s">
        <v>90</v>
      </c>
      <c r="V201" s="1130"/>
      <c r="W201" s="1126"/>
      <c r="X201" s="1130"/>
      <c r="Y201" s="1126"/>
      <c r="Z201" s="1130"/>
      <c r="AA201" s="1126"/>
      <c r="AB201" s="1198">
        <v>1000000</v>
      </c>
      <c r="AC201" s="1126" t="s">
        <v>335</v>
      </c>
      <c r="AD201" s="1157"/>
      <c r="AE201" s="1158"/>
      <c r="AF201" s="1157"/>
      <c r="AG201" s="1158"/>
      <c r="AH201" s="1232" t="str">
        <f t="shared" si="39"/>
        <v>PI</v>
      </c>
      <c r="AI201" s="1170">
        <f t="shared" si="37"/>
        <v>14435000</v>
      </c>
      <c r="AJ201" s="1170">
        <f t="shared" si="40"/>
        <v>11935000</v>
      </c>
      <c r="AK201" s="1170">
        <f t="shared" si="38"/>
        <v>-2500000</v>
      </c>
      <c r="AL201" s="1170"/>
      <c r="AM201" s="1170"/>
      <c r="AN201" s="1209"/>
      <c r="AO201" s="1170"/>
      <c r="AP201" s="1209"/>
      <c r="AQ201" s="1234"/>
      <c r="AR201" s="1235"/>
      <c r="AT201" s="1235"/>
      <c r="AV201" s="1235"/>
      <c r="AX201" s="1235"/>
      <c r="AY201" s="1236"/>
      <c r="AZ201" s="1235"/>
    </row>
    <row r="202" spans="1:52" s="5" customFormat="1" x14ac:dyDescent="0.25">
      <c r="A202" s="19">
        <v>188</v>
      </c>
      <c r="B202" s="57">
        <v>22</v>
      </c>
      <c r="C202" s="38">
        <v>849110061</v>
      </c>
      <c r="D202" s="37" t="s">
        <v>336</v>
      </c>
      <c r="E202" s="28" t="s">
        <v>32</v>
      </c>
      <c r="F202" s="57">
        <v>2010</v>
      </c>
      <c r="G202" s="29" t="s">
        <v>33</v>
      </c>
      <c r="H202" s="30" t="str">
        <f t="shared" si="32"/>
        <v xml:space="preserve">   </v>
      </c>
      <c r="I202" s="30">
        <f t="shared" si="33"/>
        <v>41275</v>
      </c>
      <c r="J202" s="1130"/>
      <c r="K202" s="1126"/>
      <c r="L202" s="1130"/>
      <c r="M202" s="1126"/>
      <c r="N202" s="1130">
        <v>2500000</v>
      </c>
      <c r="O202" s="1126"/>
      <c r="P202" s="1130">
        <v>2500000</v>
      </c>
      <c r="Q202" s="1126" t="s">
        <v>215</v>
      </c>
      <c r="R202" s="1130"/>
      <c r="S202" s="1126"/>
      <c r="T202" s="1145">
        <v>2500000</v>
      </c>
      <c r="U202" s="1126" t="s">
        <v>90</v>
      </c>
      <c r="V202" s="1130"/>
      <c r="W202" s="1126"/>
      <c r="X202" s="1130"/>
      <c r="Y202" s="1126"/>
      <c r="Z202" s="1130"/>
      <c r="AA202" s="2295" t="s">
        <v>69</v>
      </c>
      <c r="AB202" s="1198">
        <v>1000000</v>
      </c>
      <c r="AC202" s="1126" t="s">
        <v>337</v>
      </c>
      <c r="AD202" s="1157"/>
      <c r="AE202" s="1158"/>
      <c r="AF202" s="1157"/>
      <c r="AG202" s="1158"/>
      <c r="AH202" s="1232" t="str">
        <f t="shared" si="39"/>
        <v>PI</v>
      </c>
      <c r="AI202" s="1170">
        <f t="shared" si="37"/>
        <v>8500000</v>
      </c>
      <c r="AJ202" s="1170">
        <f t="shared" si="40"/>
        <v>11000000</v>
      </c>
      <c r="AK202" s="1170">
        <f t="shared" si="38"/>
        <v>2500000</v>
      </c>
      <c r="AL202" s="1170"/>
      <c r="AM202" s="1170"/>
      <c r="AN202" s="1209"/>
      <c r="AO202" s="1170"/>
      <c r="AP202" s="1209"/>
      <c r="AQ202" s="1234"/>
      <c r="AR202" s="1235"/>
      <c r="AT202" s="1235"/>
      <c r="AV202" s="1235"/>
      <c r="AX202" s="1235"/>
      <c r="AY202" s="1236"/>
      <c r="AZ202" s="1235"/>
    </row>
    <row r="203" spans="1:52" s="2" customFormat="1" x14ac:dyDescent="0.25">
      <c r="A203" s="19">
        <v>189</v>
      </c>
      <c r="B203" s="59">
        <v>23</v>
      </c>
      <c r="C203" s="40">
        <v>849110034</v>
      </c>
      <c r="D203" s="39" t="s">
        <v>338</v>
      </c>
      <c r="E203" s="23" t="s">
        <v>32</v>
      </c>
      <c r="F203" s="59">
        <v>2010</v>
      </c>
      <c r="G203" s="31" t="s">
        <v>33</v>
      </c>
      <c r="H203" s="24" t="str">
        <f t="shared" si="32"/>
        <v xml:space="preserve">   </v>
      </c>
      <c r="I203" s="24">
        <f t="shared" si="33"/>
        <v>41275</v>
      </c>
      <c r="J203" s="1178">
        <v>935000</v>
      </c>
      <c r="K203" s="1124"/>
      <c r="L203" s="1178">
        <v>2500000</v>
      </c>
      <c r="M203" s="1124" t="s">
        <v>339</v>
      </c>
      <c r="N203" s="1178">
        <v>2500000</v>
      </c>
      <c r="O203" s="1124">
        <v>40734</v>
      </c>
      <c r="P203" s="1178">
        <v>2500000</v>
      </c>
      <c r="Q203" s="1124">
        <v>40734</v>
      </c>
      <c r="R203" s="1178">
        <v>2500000</v>
      </c>
      <c r="S203" s="1124">
        <v>41003</v>
      </c>
      <c r="T203" s="1188">
        <v>2500000</v>
      </c>
      <c r="U203" s="1124" t="s">
        <v>340</v>
      </c>
      <c r="V203" s="1178">
        <v>600000</v>
      </c>
      <c r="W203" s="1124" t="s">
        <v>341</v>
      </c>
      <c r="X203" s="1130"/>
      <c r="Y203" s="1126"/>
      <c r="Z203" s="1130"/>
      <c r="AA203" s="1126"/>
      <c r="AB203" s="1198">
        <v>1000000</v>
      </c>
      <c r="AC203" s="1126" t="s">
        <v>340</v>
      </c>
      <c r="AD203" s="1157"/>
      <c r="AE203" s="1158"/>
      <c r="AF203" s="1157"/>
      <c r="AG203" s="1158"/>
      <c r="AH203" s="1232" t="str">
        <f t="shared" si="39"/>
        <v>PI</v>
      </c>
      <c r="AI203" s="747">
        <f t="shared" si="37"/>
        <v>15035000</v>
      </c>
      <c r="AJ203" s="747">
        <f>(COUNT(L203,N203,P203,R203,T203)*2500000)+(COUNT(V203,X203,Z203,AD203,AF203)*600000)+(AB203+J203)</f>
        <v>15035000</v>
      </c>
      <c r="AK203" s="747">
        <f t="shared" si="38"/>
        <v>0</v>
      </c>
      <c r="AL203" s="1170"/>
      <c r="AM203" s="1170"/>
      <c r="AN203" s="1209"/>
      <c r="AO203" s="1170"/>
      <c r="AP203" s="1209"/>
      <c r="AQ203" s="1128"/>
      <c r="AR203" s="1173"/>
      <c r="AT203" s="1173"/>
      <c r="AV203" s="1173"/>
      <c r="AX203" s="1173"/>
      <c r="AY203" s="1176"/>
      <c r="AZ203" s="1173"/>
    </row>
    <row r="204" spans="1:52" s="5" customFormat="1" x14ac:dyDescent="0.25">
      <c r="A204" s="19">
        <v>190</v>
      </c>
      <c r="B204" s="57">
        <v>24</v>
      </c>
      <c r="C204" s="38">
        <v>849110037</v>
      </c>
      <c r="D204" s="37" t="s">
        <v>342</v>
      </c>
      <c r="E204" s="28" t="s">
        <v>32</v>
      </c>
      <c r="F204" s="57">
        <v>2010</v>
      </c>
      <c r="G204" s="28"/>
      <c r="H204" s="58" t="str">
        <f t="shared" si="32"/>
        <v xml:space="preserve">   </v>
      </c>
      <c r="I204" s="58" t="str">
        <f t="shared" si="33"/>
        <v xml:space="preserve">   </v>
      </c>
      <c r="J204" s="1130">
        <v>935000</v>
      </c>
      <c r="K204" s="1126"/>
      <c r="L204" s="1130">
        <v>2500000</v>
      </c>
      <c r="M204" s="1126"/>
      <c r="N204" s="1130">
        <v>2500000</v>
      </c>
      <c r="O204" s="1126">
        <v>40818</v>
      </c>
      <c r="P204" s="1130">
        <v>2500000</v>
      </c>
      <c r="Q204" s="1126"/>
      <c r="R204" s="1130">
        <v>2500000</v>
      </c>
      <c r="S204" s="1126" t="s">
        <v>93</v>
      </c>
      <c r="T204" s="1145"/>
      <c r="U204" s="1126"/>
      <c r="V204" s="1130" t="s">
        <v>262</v>
      </c>
      <c r="W204" s="1126"/>
      <c r="X204" s="1130"/>
      <c r="Y204" s="1126"/>
      <c r="Z204" s="1130"/>
      <c r="AA204" s="1126"/>
      <c r="AB204" s="1198">
        <v>1000000</v>
      </c>
      <c r="AC204" s="1126" t="s">
        <v>343</v>
      </c>
      <c r="AD204" s="1157"/>
      <c r="AE204" s="1158"/>
      <c r="AF204" s="1157"/>
      <c r="AG204" s="1158"/>
      <c r="AH204" s="1232" t="str">
        <f t="shared" si="39"/>
        <v>PI</v>
      </c>
      <c r="AI204" s="1170">
        <f t="shared" si="37"/>
        <v>11935000</v>
      </c>
      <c r="AJ204" s="1170">
        <f>((COUNT((L204,N204,P204,R204,T204,V204,X204,Z204,AD204,AF204)))*2500000)+(J204+AB204)</f>
        <v>11935000</v>
      </c>
      <c r="AK204" s="1170">
        <f t="shared" si="38"/>
        <v>0</v>
      </c>
      <c r="AL204" s="1170"/>
      <c r="AM204" s="1170"/>
      <c r="AN204" s="1209"/>
      <c r="AO204" s="1170"/>
      <c r="AP204" s="1209"/>
      <c r="AQ204" s="1234"/>
      <c r="AR204" s="1235"/>
      <c r="AT204" s="1235"/>
      <c r="AV204" s="1235"/>
      <c r="AX204" s="1235"/>
      <c r="AY204" s="1236"/>
      <c r="AZ204" s="1235"/>
    </row>
    <row r="205" spans="1:52" s="5" customFormat="1" x14ac:dyDescent="0.25">
      <c r="A205" s="19">
        <v>191</v>
      </c>
      <c r="B205" s="57">
        <v>25</v>
      </c>
      <c r="C205" s="38">
        <v>849110038</v>
      </c>
      <c r="D205" s="37" t="s">
        <v>344</v>
      </c>
      <c r="E205" s="28" t="s">
        <v>32</v>
      </c>
      <c r="F205" s="57">
        <v>2010</v>
      </c>
      <c r="G205" s="28"/>
      <c r="H205" s="58" t="str">
        <f t="shared" si="32"/>
        <v xml:space="preserve">   </v>
      </c>
      <c r="I205" s="58" t="str">
        <f t="shared" si="33"/>
        <v xml:space="preserve">   </v>
      </c>
      <c r="J205" s="1130">
        <v>935000</v>
      </c>
      <c r="K205" s="1126"/>
      <c r="L205" s="1130">
        <v>2500000</v>
      </c>
      <c r="M205" s="1126" t="s">
        <v>345</v>
      </c>
      <c r="N205" s="1130">
        <v>2500000</v>
      </c>
      <c r="O205" s="1126">
        <v>40849</v>
      </c>
      <c r="P205" s="1130">
        <v>2500000</v>
      </c>
      <c r="Q205" s="1126" t="s">
        <v>346</v>
      </c>
      <c r="R205" s="1130">
        <v>2500000</v>
      </c>
      <c r="S205" s="1126">
        <v>41246</v>
      </c>
      <c r="T205" s="1145"/>
      <c r="U205" s="1126"/>
      <c r="V205" s="1130"/>
      <c r="W205" s="1126"/>
      <c r="X205" s="1130"/>
      <c r="Y205" s="1126"/>
      <c r="Z205" s="1130"/>
      <c r="AA205" s="1126"/>
      <c r="AB205" s="1198">
        <v>1000000</v>
      </c>
      <c r="AC205" s="1126" t="s">
        <v>187</v>
      </c>
      <c r="AD205" s="1157"/>
      <c r="AE205" s="1158"/>
      <c r="AF205" s="1157"/>
      <c r="AG205" s="1158"/>
      <c r="AH205" s="1232" t="str">
        <f t="shared" si="39"/>
        <v>PI</v>
      </c>
      <c r="AI205" s="1170">
        <f t="shared" si="37"/>
        <v>11935000</v>
      </c>
      <c r="AJ205" s="1170">
        <f>((COUNT((L205,N205,P205,R205,T205,V205,X205,Z205,AD205,AF205)))*2500000)+(J205+AB205)</f>
        <v>11935000</v>
      </c>
      <c r="AK205" s="1170">
        <f t="shared" si="38"/>
        <v>0</v>
      </c>
      <c r="AL205" s="1170"/>
      <c r="AM205" s="1170"/>
      <c r="AN205" s="1209"/>
      <c r="AO205" s="1170"/>
      <c r="AP205" s="1209"/>
      <c r="AQ205" s="1234"/>
      <c r="AR205" s="1235"/>
      <c r="AT205" s="1235"/>
      <c r="AV205" s="1235"/>
      <c r="AX205" s="1235"/>
      <c r="AY205" s="1236"/>
      <c r="AZ205" s="1235"/>
    </row>
    <row r="206" spans="1:52" s="5" customFormat="1" x14ac:dyDescent="0.25">
      <c r="A206" s="19">
        <v>192</v>
      </c>
      <c r="B206" s="57">
        <v>26</v>
      </c>
      <c r="C206" s="38">
        <v>849110039</v>
      </c>
      <c r="D206" s="37" t="s">
        <v>347</v>
      </c>
      <c r="E206" s="28" t="s">
        <v>32</v>
      </c>
      <c r="F206" s="57">
        <v>2010</v>
      </c>
      <c r="G206" s="28"/>
      <c r="H206" s="58" t="str">
        <f t="shared" si="32"/>
        <v xml:space="preserve">   </v>
      </c>
      <c r="I206" s="58" t="str">
        <f t="shared" si="33"/>
        <v xml:space="preserve">   </v>
      </c>
      <c r="J206" s="1130">
        <v>935000</v>
      </c>
      <c r="K206" s="1126">
        <v>40382</v>
      </c>
      <c r="L206" s="1130">
        <v>2500000</v>
      </c>
      <c r="M206" s="1126">
        <v>40375</v>
      </c>
      <c r="N206" s="1130">
        <v>2500000</v>
      </c>
      <c r="O206" s="1126">
        <v>40849</v>
      </c>
      <c r="P206" s="1130">
        <v>2500000</v>
      </c>
      <c r="Q206" s="1126" t="s">
        <v>224</v>
      </c>
      <c r="R206" s="1130">
        <v>2500000</v>
      </c>
      <c r="S206" s="1126" t="s">
        <v>317</v>
      </c>
      <c r="T206" s="1145"/>
      <c r="U206" s="1126"/>
      <c r="V206" s="1130"/>
      <c r="W206" s="1126"/>
      <c r="X206" s="1130"/>
      <c r="Y206" s="1126"/>
      <c r="Z206" s="1130"/>
      <c r="AA206" s="1126"/>
      <c r="AB206" s="1198">
        <v>1000000</v>
      </c>
      <c r="AC206" s="1126" t="s">
        <v>190</v>
      </c>
      <c r="AD206" s="1157"/>
      <c r="AE206" s="1158"/>
      <c r="AF206" s="1157"/>
      <c r="AG206" s="1158"/>
      <c r="AH206" s="1232" t="str">
        <f t="shared" si="39"/>
        <v>PI</v>
      </c>
      <c r="AI206" s="1170">
        <f t="shared" si="37"/>
        <v>11935000</v>
      </c>
      <c r="AJ206" s="1170">
        <f>((COUNT((L206,N206,P206,R206,T206,V206,X206,Z206,AD206,AF206)))*2500000)+(J206+AB206)</f>
        <v>11935000</v>
      </c>
      <c r="AK206" s="1170">
        <f t="shared" si="38"/>
        <v>0</v>
      </c>
      <c r="AL206" s="1170"/>
      <c r="AM206" s="1170"/>
      <c r="AN206" s="1209"/>
      <c r="AO206" s="1170"/>
      <c r="AP206" s="1209"/>
      <c r="AQ206" s="1234"/>
      <c r="AR206" s="1235"/>
      <c r="AT206" s="1235"/>
      <c r="AV206" s="1235"/>
      <c r="AX206" s="1235"/>
      <c r="AY206" s="1236"/>
      <c r="AZ206" s="1235"/>
    </row>
    <row r="207" spans="1:52" s="5" customFormat="1" x14ac:dyDescent="0.25">
      <c r="A207" s="19">
        <v>193</v>
      </c>
      <c r="B207" s="57">
        <v>27</v>
      </c>
      <c r="C207" s="38">
        <v>849110041</v>
      </c>
      <c r="D207" s="37" t="s">
        <v>348</v>
      </c>
      <c r="E207" s="28" t="s">
        <v>32</v>
      </c>
      <c r="F207" s="57">
        <v>2010</v>
      </c>
      <c r="G207" s="28"/>
      <c r="H207" s="58" t="str">
        <f t="shared" si="32"/>
        <v xml:space="preserve">   </v>
      </c>
      <c r="I207" s="58" t="str">
        <f t="shared" si="33"/>
        <v xml:space="preserve">   </v>
      </c>
      <c r="J207" s="1130">
        <v>935000</v>
      </c>
      <c r="K207" s="1126"/>
      <c r="L207" s="1130">
        <v>2500000</v>
      </c>
      <c r="M207" s="1126"/>
      <c r="N207" s="1130">
        <v>2500000</v>
      </c>
      <c r="O207" s="1126">
        <v>40849</v>
      </c>
      <c r="P207" s="1130">
        <v>2500000</v>
      </c>
      <c r="Q207" s="1126" t="s">
        <v>215</v>
      </c>
      <c r="R207" s="1130">
        <v>2500000</v>
      </c>
      <c r="S207" s="1126" t="s">
        <v>349</v>
      </c>
      <c r="T207" s="1145"/>
      <c r="U207" s="1126"/>
      <c r="V207" s="1130"/>
      <c r="W207" s="1126"/>
      <c r="X207" s="1130"/>
      <c r="Y207" s="1126"/>
      <c r="Z207" s="1130"/>
      <c r="AA207" s="1126"/>
      <c r="AB207" s="1198">
        <v>1000000</v>
      </c>
      <c r="AC207" s="1126" t="s">
        <v>187</v>
      </c>
      <c r="AD207" s="1157"/>
      <c r="AE207" s="1158"/>
      <c r="AF207" s="1157"/>
      <c r="AG207" s="1158"/>
      <c r="AH207" s="1232" t="str">
        <f t="shared" si="39"/>
        <v>PI</v>
      </c>
      <c r="AI207" s="1170">
        <f t="shared" ref="AI207:AI219" si="41">SUM(J207,L207,N207,P207,R207,T207,V207,X207,Z207,AB207,AD207,AF207)</f>
        <v>11935000</v>
      </c>
      <c r="AJ207" s="1170">
        <f>((COUNT((L207,N207,P207,R207,T207,V207,X207,Z207,AD207,AF207)))*2500000)+(J207+AB207)</f>
        <v>11935000</v>
      </c>
      <c r="AK207" s="1170">
        <f t="shared" ref="AK207:AK220" si="42">AJ207-AI207</f>
        <v>0</v>
      </c>
      <c r="AL207" s="1170"/>
      <c r="AM207" s="1170"/>
      <c r="AN207" s="1209"/>
      <c r="AO207" s="1170"/>
      <c r="AP207" s="1209"/>
      <c r="AQ207" s="1234"/>
      <c r="AR207" s="1235"/>
      <c r="AT207" s="1235"/>
      <c r="AV207" s="1235"/>
      <c r="AX207" s="1235"/>
      <c r="AY207" s="1236"/>
      <c r="AZ207" s="1235"/>
    </row>
    <row r="208" spans="1:52" s="5" customFormat="1" x14ac:dyDescent="0.25">
      <c r="A208" s="19">
        <v>194</v>
      </c>
      <c r="B208" s="57">
        <v>28</v>
      </c>
      <c r="C208" s="38">
        <v>849110043</v>
      </c>
      <c r="D208" s="37" t="s">
        <v>350</v>
      </c>
      <c r="E208" s="28" t="s">
        <v>32</v>
      </c>
      <c r="F208" s="57">
        <v>2010</v>
      </c>
      <c r="G208" s="28"/>
      <c r="H208" s="58" t="str">
        <f t="shared" si="32"/>
        <v xml:space="preserve">   </v>
      </c>
      <c r="I208" s="58" t="str">
        <f t="shared" si="33"/>
        <v xml:space="preserve">   </v>
      </c>
      <c r="J208" s="1130">
        <v>935000</v>
      </c>
      <c r="K208" s="1126"/>
      <c r="L208" s="1130">
        <v>2500000</v>
      </c>
      <c r="M208" s="1126">
        <v>40487</v>
      </c>
      <c r="N208" s="1130">
        <v>2500000</v>
      </c>
      <c r="O208" s="1126">
        <v>40818</v>
      </c>
      <c r="P208" s="1130">
        <v>2500000</v>
      </c>
      <c r="Q208" s="1126" t="s">
        <v>316</v>
      </c>
      <c r="R208" s="1130">
        <v>2500000</v>
      </c>
      <c r="S208" s="1126" t="s">
        <v>351</v>
      </c>
      <c r="T208" s="1145">
        <v>2500000</v>
      </c>
      <c r="U208" s="1126">
        <v>41129</v>
      </c>
      <c r="V208" s="1130"/>
      <c r="W208" s="1126"/>
      <c r="X208" s="1130"/>
      <c r="Y208" s="1126"/>
      <c r="Z208" s="1130"/>
      <c r="AA208" s="1126"/>
      <c r="AB208" s="1198">
        <v>1000000</v>
      </c>
      <c r="AC208" s="1126">
        <v>41129</v>
      </c>
      <c r="AD208" s="1157"/>
      <c r="AE208" s="1158"/>
      <c r="AF208" s="1157"/>
      <c r="AG208" s="1158"/>
      <c r="AH208" s="1232" t="str">
        <f t="shared" si="39"/>
        <v>PI</v>
      </c>
      <c r="AI208" s="1170">
        <f t="shared" si="41"/>
        <v>14435000</v>
      </c>
      <c r="AJ208" s="1170">
        <f>((COUNT((L208,N208,P208,R208,T208,V208,X208,Z208,AD208,AF208)))*2500000)+(J208+AB208)</f>
        <v>14435000</v>
      </c>
      <c r="AK208" s="1170">
        <f t="shared" si="42"/>
        <v>0</v>
      </c>
      <c r="AL208" s="1170"/>
      <c r="AM208" s="1170"/>
      <c r="AN208" s="1209"/>
      <c r="AO208" s="1170"/>
      <c r="AP208" s="1209"/>
      <c r="AQ208" s="1234"/>
      <c r="AR208" s="1235"/>
      <c r="AT208" s="1235"/>
      <c r="AV208" s="1235"/>
      <c r="AX208" s="1235"/>
      <c r="AY208" s="1236"/>
      <c r="AZ208" s="1235"/>
    </row>
    <row r="209" spans="1:52" s="2" customFormat="1" x14ac:dyDescent="0.25">
      <c r="A209" s="19">
        <v>195</v>
      </c>
      <c r="B209" s="59">
        <v>29</v>
      </c>
      <c r="C209" s="40">
        <v>849110044</v>
      </c>
      <c r="D209" s="39" t="s">
        <v>352</v>
      </c>
      <c r="E209" s="23" t="s">
        <v>32</v>
      </c>
      <c r="F209" s="59">
        <v>2010</v>
      </c>
      <c r="G209" s="31" t="s">
        <v>33</v>
      </c>
      <c r="H209" s="24" t="str">
        <f t="shared" si="32"/>
        <v xml:space="preserve">   </v>
      </c>
      <c r="I209" s="24">
        <f t="shared" si="33"/>
        <v>41275</v>
      </c>
      <c r="J209" s="1178">
        <v>935000</v>
      </c>
      <c r="K209" s="1124">
        <v>40374</v>
      </c>
      <c r="L209" s="1178">
        <v>2500000</v>
      </c>
      <c r="M209" s="1124">
        <v>40445</v>
      </c>
      <c r="N209" s="1178">
        <v>2500000</v>
      </c>
      <c r="O209" s="1124">
        <v>40726</v>
      </c>
      <c r="P209" s="1178">
        <v>2500000</v>
      </c>
      <c r="Q209" s="1124" t="s">
        <v>353</v>
      </c>
      <c r="R209" s="1178">
        <v>2500000</v>
      </c>
      <c r="S209" s="1124" t="s">
        <v>93</v>
      </c>
      <c r="T209" s="1188">
        <v>2500000</v>
      </c>
      <c r="U209" s="1124">
        <v>41190</v>
      </c>
      <c r="V209" s="1178">
        <v>600000</v>
      </c>
      <c r="W209" s="1124" t="s">
        <v>354</v>
      </c>
      <c r="X209" s="1130"/>
      <c r="Y209" s="1126"/>
      <c r="Z209" s="1130"/>
      <c r="AA209" s="1126"/>
      <c r="AB209" s="1198">
        <v>1000000</v>
      </c>
      <c r="AC209" s="1126" t="s">
        <v>354</v>
      </c>
      <c r="AD209" s="1157"/>
      <c r="AE209" s="1158"/>
      <c r="AF209" s="1157"/>
      <c r="AG209" s="1158"/>
      <c r="AH209" s="1232" t="str">
        <f t="shared" si="39"/>
        <v>PI</v>
      </c>
      <c r="AI209" s="747">
        <f t="shared" si="41"/>
        <v>15035000</v>
      </c>
      <c r="AJ209" s="747">
        <f>(COUNT(L209,N209,P209,R209,T209)*2500000)+(COUNT(V209,X209,Z209,AD209,AF209)*600000)+(AB209+J209)</f>
        <v>15035000</v>
      </c>
      <c r="AK209" s="747">
        <f t="shared" si="42"/>
        <v>0</v>
      </c>
      <c r="AL209" s="1170"/>
      <c r="AM209" s="1170"/>
      <c r="AN209" s="1209"/>
      <c r="AO209" s="1170"/>
      <c r="AP209" s="1209"/>
      <c r="AQ209" s="1128"/>
      <c r="AR209" s="1173"/>
      <c r="AT209" s="1173"/>
      <c r="AV209" s="1173"/>
      <c r="AX209" s="1173"/>
      <c r="AY209" s="1176"/>
      <c r="AZ209" s="1173"/>
    </row>
    <row r="210" spans="1:52" s="5" customFormat="1" x14ac:dyDescent="0.25">
      <c r="A210" s="19">
        <v>196</v>
      </c>
      <c r="B210" s="57">
        <v>30</v>
      </c>
      <c r="C210" s="38">
        <v>849110012</v>
      </c>
      <c r="D210" s="37" t="s">
        <v>355</v>
      </c>
      <c r="E210" s="28" t="s">
        <v>32</v>
      </c>
      <c r="F210" s="57">
        <v>2010</v>
      </c>
      <c r="G210" s="28"/>
      <c r="H210" s="58" t="str">
        <f t="shared" si="32"/>
        <v xml:space="preserve">   </v>
      </c>
      <c r="I210" s="58" t="str">
        <f t="shared" si="33"/>
        <v xml:space="preserve">   </v>
      </c>
      <c r="J210" s="1130">
        <v>935000</v>
      </c>
      <c r="K210" s="1126"/>
      <c r="L210" s="1130">
        <v>2500000</v>
      </c>
      <c r="M210" s="1126" t="s">
        <v>345</v>
      </c>
      <c r="N210" s="1130">
        <v>2500000</v>
      </c>
      <c r="O210" s="1126">
        <v>40818</v>
      </c>
      <c r="P210" s="1130">
        <v>2500000</v>
      </c>
      <c r="Q210" s="1126" t="s">
        <v>215</v>
      </c>
      <c r="R210" s="1130">
        <v>2500000</v>
      </c>
      <c r="S210" s="1126">
        <v>41033</v>
      </c>
      <c r="T210" s="1145"/>
      <c r="U210" s="1126"/>
      <c r="V210" s="1130"/>
      <c r="W210" s="1126"/>
      <c r="X210" s="1130"/>
      <c r="Y210" s="1126"/>
      <c r="Z210" s="1130"/>
      <c r="AA210" s="1126"/>
      <c r="AB210" s="1198">
        <v>1000000</v>
      </c>
      <c r="AC210" s="1126" t="s">
        <v>184</v>
      </c>
      <c r="AD210" s="1157"/>
      <c r="AE210" s="1158"/>
      <c r="AF210" s="1157"/>
      <c r="AG210" s="1158"/>
      <c r="AH210" s="1232" t="str">
        <f t="shared" si="39"/>
        <v>PI</v>
      </c>
      <c r="AI210" s="1170">
        <f t="shared" si="41"/>
        <v>11935000</v>
      </c>
      <c r="AJ210" s="1170">
        <f t="shared" ref="AJ210:AJ225" si="43">((COUNT((L210,N210,P210,R210,T210,V210,X210,Z210,AD210,AF210)))*2500000)+(J210+AB210)</f>
        <v>11935000</v>
      </c>
      <c r="AK210" s="1170">
        <f t="shared" si="42"/>
        <v>0</v>
      </c>
      <c r="AL210" s="1170"/>
      <c r="AM210" s="1170"/>
      <c r="AN210" s="1209"/>
      <c r="AO210" s="1170"/>
      <c r="AP210" s="1209"/>
      <c r="AQ210" s="1234"/>
      <c r="AR210" s="1235"/>
      <c r="AT210" s="1235"/>
      <c r="AV210" s="1235"/>
      <c r="AX210" s="1235"/>
      <c r="AY210" s="1236"/>
      <c r="AZ210" s="1235"/>
    </row>
    <row r="211" spans="1:52" s="2" customFormat="1" x14ac:dyDescent="0.25">
      <c r="A211" s="19">
        <v>197</v>
      </c>
      <c r="B211" s="67">
        <v>31</v>
      </c>
      <c r="C211" s="44">
        <v>849110063</v>
      </c>
      <c r="D211" s="43" t="s">
        <v>356</v>
      </c>
      <c r="E211" s="45" t="s">
        <v>32</v>
      </c>
      <c r="F211" s="67">
        <v>2010</v>
      </c>
      <c r="G211" s="45"/>
      <c r="H211" s="68" t="str">
        <f t="shared" si="32"/>
        <v xml:space="preserve">   </v>
      </c>
      <c r="I211" s="68" t="str">
        <f t="shared" si="33"/>
        <v xml:space="preserve">   </v>
      </c>
      <c r="J211" s="1181">
        <v>935000</v>
      </c>
      <c r="K211" s="1180"/>
      <c r="L211" s="1181">
        <v>2500000</v>
      </c>
      <c r="M211" s="1180" t="s">
        <v>357</v>
      </c>
      <c r="N211" s="1130"/>
      <c r="O211" s="1126"/>
      <c r="P211" s="1130"/>
      <c r="Q211" s="1126"/>
      <c r="R211" s="1130"/>
      <c r="S211" s="1126"/>
      <c r="T211" s="1145"/>
      <c r="U211" s="1126"/>
      <c r="V211" s="1130"/>
      <c r="W211" s="1126"/>
      <c r="X211" s="1130"/>
      <c r="Y211" s="1126"/>
      <c r="Z211" s="1130"/>
      <c r="AA211" s="1126"/>
      <c r="AB211" s="1198"/>
      <c r="AC211" s="1126"/>
      <c r="AD211" s="1157"/>
      <c r="AE211" s="1158"/>
      <c r="AF211" s="1157"/>
      <c r="AG211" s="1158"/>
      <c r="AH211" s="1232" t="str">
        <f t="shared" si="39"/>
        <v>PI</v>
      </c>
      <c r="AI211" s="747">
        <f t="shared" si="41"/>
        <v>3435000</v>
      </c>
      <c r="AJ211" s="747">
        <f t="shared" si="43"/>
        <v>10935000</v>
      </c>
      <c r="AK211" s="747">
        <f t="shared" si="42"/>
        <v>7500000</v>
      </c>
      <c r="AL211" s="1170"/>
      <c r="AM211" s="1170"/>
      <c r="AN211" s="1209"/>
      <c r="AO211" s="1170"/>
      <c r="AP211" s="1209"/>
      <c r="AQ211" s="1128"/>
      <c r="AR211" s="1173"/>
      <c r="AT211" s="1173"/>
      <c r="AV211" s="1173"/>
      <c r="AX211" s="1173"/>
      <c r="AY211" s="1176"/>
      <c r="AZ211" s="1173"/>
    </row>
    <row r="212" spans="1:52" s="5" customFormat="1" x14ac:dyDescent="0.25">
      <c r="A212" s="19">
        <v>198</v>
      </c>
      <c r="B212" s="57">
        <v>32</v>
      </c>
      <c r="C212" s="38">
        <v>849110047</v>
      </c>
      <c r="D212" s="37" t="s">
        <v>358</v>
      </c>
      <c r="E212" s="28" t="s">
        <v>32</v>
      </c>
      <c r="F212" s="57">
        <v>2010</v>
      </c>
      <c r="G212" s="28"/>
      <c r="H212" s="58" t="str">
        <f t="shared" si="32"/>
        <v xml:space="preserve">   </v>
      </c>
      <c r="I212" s="58" t="str">
        <f t="shared" si="33"/>
        <v xml:space="preserve">   </v>
      </c>
      <c r="J212" s="1130">
        <v>935000</v>
      </c>
      <c r="K212" s="1126"/>
      <c r="L212" s="1130">
        <v>2500000</v>
      </c>
      <c r="M212" s="1126">
        <v>40519</v>
      </c>
      <c r="N212" s="1130">
        <v>2500000</v>
      </c>
      <c r="O212" s="1126">
        <v>40757</v>
      </c>
      <c r="P212" s="1130">
        <v>2500000</v>
      </c>
      <c r="Q212" s="1126" t="s">
        <v>215</v>
      </c>
      <c r="R212" s="1130">
        <v>2500000</v>
      </c>
      <c r="S212" s="1126" t="s">
        <v>98</v>
      </c>
      <c r="T212" s="1145"/>
      <c r="U212" s="1126"/>
      <c r="V212" s="1130"/>
      <c r="W212" s="1126"/>
      <c r="X212" s="1130"/>
      <c r="Y212" s="1126"/>
      <c r="Z212" s="1130"/>
      <c r="AA212" s="1126"/>
      <c r="AB212" s="1198">
        <v>1000000</v>
      </c>
      <c r="AC212" s="1126" t="s">
        <v>184</v>
      </c>
      <c r="AD212" s="1157"/>
      <c r="AE212" s="1158"/>
      <c r="AF212" s="1157"/>
      <c r="AG212" s="1158"/>
      <c r="AH212" s="1232" t="str">
        <f t="shared" si="39"/>
        <v>PI</v>
      </c>
      <c r="AI212" s="1170">
        <f t="shared" si="41"/>
        <v>11935000</v>
      </c>
      <c r="AJ212" s="1170">
        <f t="shared" si="43"/>
        <v>11935000</v>
      </c>
      <c r="AK212" s="1170">
        <f t="shared" si="42"/>
        <v>0</v>
      </c>
      <c r="AL212" s="1170"/>
      <c r="AM212" s="1170"/>
      <c r="AN212" s="1209"/>
      <c r="AO212" s="1170"/>
      <c r="AP212" s="1209"/>
      <c r="AQ212" s="1234"/>
      <c r="AR212" s="1235"/>
      <c r="AT212" s="1235"/>
      <c r="AV212" s="1235"/>
      <c r="AX212" s="1235"/>
      <c r="AY212" s="1236"/>
      <c r="AZ212" s="1235"/>
    </row>
    <row r="213" spans="1:52" s="5" customFormat="1" x14ac:dyDescent="0.25">
      <c r="A213" s="19">
        <v>199</v>
      </c>
      <c r="B213" s="57">
        <v>33</v>
      </c>
      <c r="C213" s="38">
        <v>849110016</v>
      </c>
      <c r="D213" s="37" t="s">
        <v>359</v>
      </c>
      <c r="E213" s="28" t="s">
        <v>32</v>
      </c>
      <c r="F213" s="57">
        <v>2010</v>
      </c>
      <c r="G213" s="28"/>
      <c r="H213" s="58" t="str">
        <f t="shared" si="32"/>
        <v xml:space="preserve">   </v>
      </c>
      <c r="I213" s="58" t="str">
        <f t="shared" si="33"/>
        <v xml:space="preserve">   </v>
      </c>
      <c r="J213" s="1130">
        <v>935000</v>
      </c>
      <c r="K213" s="1126"/>
      <c r="L213" s="1130">
        <v>2500000</v>
      </c>
      <c r="M213" s="1126" t="s">
        <v>333</v>
      </c>
      <c r="N213" s="1130">
        <v>2500000</v>
      </c>
      <c r="O213" s="1126">
        <v>40576</v>
      </c>
      <c r="P213" s="1130">
        <v>2500000</v>
      </c>
      <c r="Q213" s="1126" t="s">
        <v>215</v>
      </c>
      <c r="R213" s="1130"/>
      <c r="S213" s="1126"/>
      <c r="T213" s="1145">
        <v>2500000</v>
      </c>
      <c r="U213" s="1126" t="s">
        <v>204</v>
      </c>
      <c r="V213" s="1130"/>
      <c r="W213" s="1126"/>
      <c r="X213" s="1130"/>
      <c r="Y213" s="1126"/>
      <c r="Z213" s="1130"/>
      <c r="AA213" s="1126"/>
      <c r="AB213" s="1198">
        <v>1000000</v>
      </c>
      <c r="AC213" s="1126" t="s">
        <v>360</v>
      </c>
      <c r="AD213" s="1157"/>
      <c r="AE213" s="1158"/>
      <c r="AF213" s="1157"/>
      <c r="AG213" s="1158"/>
      <c r="AH213" s="1232" t="str">
        <f t="shared" si="39"/>
        <v>PI</v>
      </c>
      <c r="AI213" s="1170">
        <f t="shared" si="41"/>
        <v>11935000</v>
      </c>
      <c r="AJ213" s="1170">
        <f t="shared" si="43"/>
        <v>11935000</v>
      </c>
      <c r="AK213" s="1170">
        <f t="shared" si="42"/>
        <v>0</v>
      </c>
      <c r="AL213" s="1170"/>
      <c r="AM213" s="1170"/>
      <c r="AN213" s="1209"/>
      <c r="AO213" s="1170"/>
      <c r="AP213" s="1209"/>
      <c r="AQ213" s="1234"/>
      <c r="AR213" s="1235"/>
      <c r="AT213" s="1235"/>
      <c r="AV213" s="1235"/>
      <c r="AX213" s="1235"/>
      <c r="AY213" s="1236"/>
      <c r="AZ213" s="1235"/>
    </row>
    <row r="214" spans="1:52" s="5" customFormat="1" x14ac:dyDescent="0.25">
      <c r="A214" s="19">
        <v>200</v>
      </c>
      <c r="B214" s="57">
        <v>34</v>
      </c>
      <c r="C214" s="38">
        <v>849110019</v>
      </c>
      <c r="D214" s="37" t="s">
        <v>361</v>
      </c>
      <c r="E214" s="28" t="s">
        <v>32</v>
      </c>
      <c r="F214" s="57">
        <v>2010</v>
      </c>
      <c r="G214" s="28"/>
      <c r="H214" s="58" t="str">
        <f t="shared" si="32"/>
        <v xml:space="preserve">   </v>
      </c>
      <c r="I214" s="58" t="str">
        <f t="shared" si="33"/>
        <v xml:space="preserve">   </v>
      </c>
      <c r="J214" s="1130">
        <v>935000</v>
      </c>
      <c r="K214" s="1126"/>
      <c r="L214" s="1130">
        <v>2500000</v>
      </c>
      <c r="M214" s="1126" t="s">
        <v>289</v>
      </c>
      <c r="N214" s="1130">
        <v>2500000</v>
      </c>
      <c r="O214" s="1126">
        <v>40564</v>
      </c>
      <c r="P214" s="1130">
        <v>2500000</v>
      </c>
      <c r="Q214" s="1126" t="s">
        <v>362</v>
      </c>
      <c r="R214" s="1130">
        <v>2500000</v>
      </c>
      <c r="S214" s="1126" t="s">
        <v>93</v>
      </c>
      <c r="T214" s="1145"/>
      <c r="U214" s="1126"/>
      <c r="V214" s="1130"/>
      <c r="W214" s="1126"/>
      <c r="X214" s="1130"/>
      <c r="Y214" s="1126"/>
      <c r="Z214" s="1130"/>
      <c r="AA214" s="1126"/>
      <c r="AB214" s="1198">
        <v>1000000</v>
      </c>
      <c r="AC214" s="1126" t="s">
        <v>184</v>
      </c>
      <c r="AD214" s="1157"/>
      <c r="AE214" s="1158"/>
      <c r="AF214" s="1157"/>
      <c r="AG214" s="1158"/>
      <c r="AH214" s="1232" t="str">
        <f t="shared" si="39"/>
        <v>PI</v>
      </c>
      <c r="AI214" s="1170">
        <f t="shared" si="41"/>
        <v>11935000</v>
      </c>
      <c r="AJ214" s="1170">
        <f t="shared" si="43"/>
        <v>11935000</v>
      </c>
      <c r="AK214" s="1170">
        <f t="shared" si="42"/>
        <v>0</v>
      </c>
      <c r="AL214" s="1170"/>
      <c r="AM214" s="1170"/>
      <c r="AN214" s="1209"/>
      <c r="AO214" s="1170"/>
      <c r="AP214" s="1209"/>
      <c r="AQ214" s="1234"/>
      <c r="AR214" s="1235"/>
      <c r="AT214" s="1235"/>
      <c r="AV214" s="1235"/>
      <c r="AX214" s="1235"/>
      <c r="AY214" s="1236"/>
      <c r="AZ214" s="1235"/>
    </row>
    <row r="215" spans="1:52" s="5" customFormat="1" x14ac:dyDescent="0.25">
      <c r="A215" s="19">
        <v>201</v>
      </c>
      <c r="B215" s="57">
        <v>35</v>
      </c>
      <c r="C215" s="38">
        <v>849110052</v>
      </c>
      <c r="D215" s="37" t="s">
        <v>363</v>
      </c>
      <c r="E215" s="28" t="s">
        <v>32</v>
      </c>
      <c r="F215" s="57">
        <v>2010</v>
      </c>
      <c r="G215" s="28"/>
      <c r="H215" s="58" t="str">
        <f t="shared" si="32"/>
        <v xml:space="preserve">   </v>
      </c>
      <c r="I215" s="58" t="str">
        <f t="shared" si="33"/>
        <v xml:space="preserve">   </v>
      </c>
      <c r="J215" s="1130">
        <v>935000</v>
      </c>
      <c r="K215" s="1126"/>
      <c r="L215" s="1130">
        <v>2500000</v>
      </c>
      <c r="M215" s="1126">
        <v>40312</v>
      </c>
      <c r="N215" s="1130">
        <v>2500000</v>
      </c>
      <c r="O215" s="1126">
        <v>40849</v>
      </c>
      <c r="P215" s="1130">
        <v>2500000</v>
      </c>
      <c r="Q215" s="1126" t="s">
        <v>237</v>
      </c>
      <c r="R215" s="1130">
        <v>2500000</v>
      </c>
      <c r="S215" s="1126" t="s">
        <v>98</v>
      </c>
      <c r="T215" s="1145">
        <v>2500000</v>
      </c>
      <c r="U215" s="1126">
        <v>40976</v>
      </c>
      <c r="V215" s="1130"/>
      <c r="W215" s="1126"/>
      <c r="X215" s="1130"/>
      <c r="Y215" s="1126"/>
      <c r="Z215" s="1130"/>
      <c r="AA215" s="1126"/>
      <c r="AB215" s="1198">
        <v>1000000</v>
      </c>
      <c r="AC215" s="1126" t="s">
        <v>194</v>
      </c>
      <c r="AD215" s="1157"/>
      <c r="AE215" s="1158"/>
      <c r="AF215" s="1157"/>
      <c r="AG215" s="1158"/>
      <c r="AH215" s="1232" t="str">
        <f t="shared" si="39"/>
        <v>PI</v>
      </c>
      <c r="AI215" s="1170">
        <f t="shared" si="41"/>
        <v>14435000</v>
      </c>
      <c r="AJ215" s="1170">
        <f t="shared" si="43"/>
        <v>11935000</v>
      </c>
      <c r="AK215" s="1170">
        <f t="shared" si="42"/>
        <v>-2500000</v>
      </c>
      <c r="AL215" s="1170"/>
      <c r="AM215" s="1170"/>
      <c r="AN215" s="1209"/>
      <c r="AO215" s="1170"/>
      <c r="AP215" s="1209"/>
      <c r="AQ215" s="1234"/>
      <c r="AR215" s="1235"/>
      <c r="AT215" s="1235"/>
      <c r="AV215" s="1235"/>
      <c r="AX215" s="1235"/>
      <c r="AY215" s="1236"/>
      <c r="AZ215" s="1235"/>
    </row>
    <row r="216" spans="1:52" s="5" customFormat="1" x14ac:dyDescent="0.25">
      <c r="A216" s="19">
        <v>202</v>
      </c>
      <c r="B216" s="57">
        <v>36</v>
      </c>
      <c r="C216" s="38">
        <v>849110053</v>
      </c>
      <c r="D216" s="37" t="s">
        <v>364</v>
      </c>
      <c r="E216" s="28" t="s">
        <v>32</v>
      </c>
      <c r="F216" s="57">
        <v>2010</v>
      </c>
      <c r="G216" s="28"/>
      <c r="H216" s="58" t="str">
        <f t="shared" si="32"/>
        <v xml:space="preserve">   </v>
      </c>
      <c r="I216" s="58" t="str">
        <f t="shared" si="33"/>
        <v xml:space="preserve">   </v>
      </c>
      <c r="J216" s="1130">
        <v>935000</v>
      </c>
      <c r="K216" s="1126">
        <v>40382</v>
      </c>
      <c r="L216" s="1130">
        <v>2500000</v>
      </c>
      <c r="M216" s="1126">
        <v>40378</v>
      </c>
      <c r="N216" s="1130">
        <v>2500000</v>
      </c>
      <c r="O216" s="1126">
        <v>40620</v>
      </c>
      <c r="P216" s="1130">
        <v>2500000</v>
      </c>
      <c r="Q216" s="1126" t="s">
        <v>154</v>
      </c>
      <c r="R216" s="1130">
        <v>2500000</v>
      </c>
      <c r="S216" s="1126" t="s">
        <v>125</v>
      </c>
      <c r="T216" s="1145">
        <v>2500000</v>
      </c>
      <c r="U216" s="1126" t="s">
        <v>365</v>
      </c>
      <c r="V216" s="1130"/>
      <c r="W216" s="1126"/>
      <c r="X216" s="1130"/>
      <c r="Y216" s="1126"/>
      <c r="Z216" s="1130"/>
      <c r="AA216" s="1126"/>
      <c r="AB216" s="1198">
        <v>1000000</v>
      </c>
      <c r="AC216" s="1126">
        <v>41095</v>
      </c>
      <c r="AD216" s="1157"/>
      <c r="AE216" s="1158"/>
      <c r="AF216" s="1157"/>
      <c r="AG216" s="1158"/>
      <c r="AH216" s="1232" t="str">
        <f t="shared" si="39"/>
        <v>PI</v>
      </c>
      <c r="AI216" s="1170">
        <f t="shared" si="41"/>
        <v>14435000</v>
      </c>
      <c r="AJ216" s="1170">
        <f t="shared" si="43"/>
        <v>11935000</v>
      </c>
      <c r="AK216" s="1170">
        <f t="shared" si="42"/>
        <v>-2500000</v>
      </c>
      <c r="AL216" s="1170"/>
      <c r="AM216" s="1170"/>
      <c r="AN216" s="1209"/>
      <c r="AO216" s="1170"/>
      <c r="AP216" s="1209"/>
      <c r="AQ216" s="1234"/>
      <c r="AR216" s="1235"/>
      <c r="AT216" s="1235"/>
      <c r="AV216" s="1235"/>
      <c r="AX216" s="1235"/>
      <c r="AY216" s="1236"/>
      <c r="AZ216" s="1235"/>
    </row>
    <row r="217" spans="1:52" s="5" customFormat="1" x14ac:dyDescent="0.25">
      <c r="A217" s="19">
        <v>203</v>
      </c>
      <c r="B217" s="57">
        <v>37</v>
      </c>
      <c r="C217" s="38">
        <v>849110056</v>
      </c>
      <c r="D217" s="37" t="s">
        <v>366</v>
      </c>
      <c r="E217" s="28" t="s">
        <v>32</v>
      </c>
      <c r="F217" s="57">
        <v>2010</v>
      </c>
      <c r="G217" s="28"/>
      <c r="H217" s="58" t="str">
        <f t="shared" si="32"/>
        <v xml:space="preserve">   </v>
      </c>
      <c r="I217" s="58" t="str">
        <f t="shared" si="33"/>
        <v xml:space="preserve">   </v>
      </c>
      <c r="J217" s="1130">
        <v>935000</v>
      </c>
      <c r="K217" s="1126"/>
      <c r="L217" s="1130">
        <v>2500000</v>
      </c>
      <c r="M217" s="1126">
        <v>40323</v>
      </c>
      <c r="N217" s="1130">
        <v>2500000</v>
      </c>
      <c r="O217" s="1126">
        <v>40818</v>
      </c>
      <c r="P217" s="1130">
        <v>2500000</v>
      </c>
      <c r="Q217" s="1126" t="s">
        <v>154</v>
      </c>
      <c r="R217" s="1130"/>
      <c r="S217" s="1126"/>
      <c r="T217" s="1145"/>
      <c r="U217" s="1126"/>
      <c r="V217" s="1130"/>
      <c r="W217" s="1126"/>
      <c r="X217" s="1130"/>
      <c r="Y217" s="1126"/>
      <c r="Z217" s="1130"/>
      <c r="AA217" s="1126"/>
      <c r="AB217" s="1198">
        <v>1000000</v>
      </c>
      <c r="AC217" s="1126" t="s">
        <v>184</v>
      </c>
      <c r="AD217" s="1157"/>
      <c r="AE217" s="1158"/>
      <c r="AF217" s="1157"/>
      <c r="AG217" s="1158"/>
      <c r="AH217" s="1232" t="str">
        <f t="shared" si="39"/>
        <v>PI</v>
      </c>
      <c r="AI217" s="1170">
        <f t="shared" si="41"/>
        <v>9435000</v>
      </c>
      <c r="AJ217" s="1170">
        <f t="shared" si="43"/>
        <v>11935000</v>
      </c>
      <c r="AK217" s="1170">
        <f t="shared" si="42"/>
        <v>2500000</v>
      </c>
      <c r="AL217" s="1170"/>
      <c r="AM217" s="1170"/>
      <c r="AN217" s="1209"/>
      <c r="AO217" s="1170"/>
      <c r="AP217" s="1209"/>
      <c r="AQ217" s="1234"/>
      <c r="AR217" s="1235"/>
      <c r="AT217" s="1235"/>
      <c r="AV217" s="1235"/>
      <c r="AX217" s="1235"/>
      <c r="AY217" s="1236"/>
      <c r="AZ217" s="1235"/>
    </row>
    <row r="218" spans="1:52" s="5" customFormat="1" x14ac:dyDescent="0.25">
      <c r="A218" s="19">
        <v>204</v>
      </c>
      <c r="B218" s="57">
        <v>38</v>
      </c>
      <c r="C218" s="38">
        <v>849110025</v>
      </c>
      <c r="D218" s="37" t="s">
        <v>367</v>
      </c>
      <c r="E218" s="28" t="s">
        <v>32</v>
      </c>
      <c r="F218" s="57">
        <v>2010</v>
      </c>
      <c r="G218" s="28"/>
      <c r="H218" s="58" t="str">
        <f t="shared" si="32"/>
        <v xml:space="preserve">   </v>
      </c>
      <c r="I218" s="58" t="str">
        <f t="shared" si="33"/>
        <v xml:space="preserve">   </v>
      </c>
      <c r="J218" s="1130">
        <v>935000</v>
      </c>
      <c r="K218" s="1126"/>
      <c r="L218" s="1130">
        <v>2500000</v>
      </c>
      <c r="M218" s="1126"/>
      <c r="N218" s="1130">
        <v>2500000</v>
      </c>
      <c r="O218" s="1126" t="s">
        <v>368</v>
      </c>
      <c r="P218" s="1130">
        <v>2500000</v>
      </c>
      <c r="Q218" s="1126" t="s">
        <v>368</v>
      </c>
      <c r="R218" s="1130">
        <v>2500000</v>
      </c>
      <c r="S218" s="1126" t="s">
        <v>368</v>
      </c>
      <c r="T218" s="1145"/>
      <c r="U218" s="1126"/>
      <c r="V218" s="1130"/>
      <c r="W218" s="1126"/>
      <c r="X218" s="1130"/>
      <c r="Y218" s="1126"/>
      <c r="Z218" s="1130"/>
      <c r="AA218" s="1126"/>
      <c r="AB218" s="1198">
        <v>1000000</v>
      </c>
      <c r="AC218" s="1126" t="s">
        <v>184</v>
      </c>
      <c r="AD218" s="1157"/>
      <c r="AE218" s="1158"/>
      <c r="AF218" s="1157"/>
      <c r="AG218" s="1158"/>
      <c r="AH218" s="1232" t="str">
        <f t="shared" si="39"/>
        <v>PI</v>
      </c>
      <c r="AI218" s="1170">
        <f t="shared" si="41"/>
        <v>11935000</v>
      </c>
      <c r="AJ218" s="1170">
        <f t="shared" si="43"/>
        <v>11935000</v>
      </c>
      <c r="AK218" s="1170">
        <f t="shared" si="42"/>
        <v>0</v>
      </c>
      <c r="AL218" s="1170"/>
      <c r="AM218" s="1170"/>
      <c r="AN218" s="1209"/>
      <c r="AO218" s="1170"/>
      <c r="AP218" s="1209"/>
      <c r="AQ218" s="1234"/>
      <c r="AR218" s="1235"/>
      <c r="AT218" s="1235"/>
      <c r="AV218" s="1235"/>
      <c r="AX218" s="1235"/>
      <c r="AY218" s="1236"/>
      <c r="AZ218" s="1235"/>
    </row>
    <row r="219" spans="1:52" s="5" customFormat="1" x14ac:dyDescent="0.25">
      <c r="A219" s="19">
        <v>205</v>
      </c>
      <c r="B219" s="57">
        <v>39</v>
      </c>
      <c r="C219" s="38">
        <v>849110059</v>
      </c>
      <c r="D219" s="37" t="s">
        <v>369</v>
      </c>
      <c r="E219" s="28" t="s">
        <v>32</v>
      </c>
      <c r="F219" s="57">
        <v>2010</v>
      </c>
      <c r="G219" s="28"/>
      <c r="H219" s="58" t="str">
        <f t="shared" si="32"/>
        <v xml:space="preserve">   </v>
      </c>
      <c r="I219" s="58" t="str">
        <f t="shared" si="33"/>
        <v xml:space="preserve">   </v>
      </c>
      <c r="J219" s="1130">
        <v>935000</v>
      </c>
      <c r="K219" s="1126">
        <v>40309</v>
      </c>
      <c r="L219" s="1130">
        <v>2500000</v>
      </c>
      <c r="M219" s="1126">
        <v>40487</v>
      </c>
      <c r="N219" s="1130">
        <v>2500000</v>
      </c>
      <c r="O219" s="1126">
        <v>40574</v>
      </c>
      <c r="P219" s="1130">
        <v>2500000</v>
      </c>
      <c r="Q219" s="1126" t="s">
        <v>215</v>
      </c>
      <c r="R219" s="1130">
        <v>2500000</v>
      </c>
      <c r="S219" s="1126" t="s">
        <v>370</v>
      </c>
      <c r="T219" s="1145"/>
      <c r="U219" s="1126"/>
      <c r="V219" s="1130"/>
      <c r="W219" s="1126"/>
      <c r="X219" s="1130"/>
      <c r="Y219" s="1126"/>
      <c r="Z219" s="1130"/>
      <c r="AA219" s="1126"/>
      <c r="AB219" s="1198">
        <v>1000000</v>
      </c>
      <c r="AC219" s="1126" t="s">
        <v>190</v>
      </c>
      <c r="AD219" s="1157"/>
      <c r="AE219" s="1158"/>
      <c r="AF219" s="1157"/>
      <c r="AG219" s="1158"/>
      <c r="AH219" s="1232" t="str">
        <f t="shared" si="39"/>
        <v>PI</v>
      </c>
      <c r="AI219" s="1170">
        <f t="shared" si="41"/>
        <v>11935000</v>
      </c>
      <c r="AJ219" s="1170">
        <f t="shared" si="43"/>
        <v>11935000</v>
      </c>
      <c r="AK219" s="1170">
        <f t="shared" si="42"/>
        <v>0</v>
      </c>
      <c r="AL219" s="1170"/>
      <c r="AM219" s="1170"/>
      <c r="AN219" s="1209"/>
      <c r="AO219" s="1170"/>
      <c r="AP219" s="1209"/>
      <c r="AQ219" s="1234"/>
      <c r="AR219" s="1235"/>
      <c r="AT219" s="1235"/>
      <c r="AV219" s="1235"/>
      <c r="AX219" s="1235"/>
      <c r="AY219" s="1236"/>
      <c r="AZ219" s="1235"/>
    </row>
    <row r="220" spans="1:52" s="2" customFormat="1" x14ac:dyDescent="0.25">
      <c r="A220" s="19">
        <v>206</v>
      </c>
      <c r="B220" s="59">
        <v>40</v>
      </c>
      <c r="C220" s="40">
        <v>849110031</v>
      </c>
      <c r="D220" s="39" t="s">
        <v>371</v>
      </c>
      <c r="E220" s="23" t="s">
        <v>32</v>
      </c>
      <c r="F220" s="59">
        <v>2010</v>
      </c>
      <c r="G220" s="31" t="s">
        <v>33</v>
      </c>
      <c r="H220" s="24" t="str">
        <f t="shared" si="32"/>
        <v xml:space="preserve">   </v>
      </c>
      <c r="I220" s="24" t="str">
        <f t="shared" si="33"/>
        <v xml:space="preserve">   </v>
      </c>
      <c r="J220" s="1178">
        <v>935000</v>
      </c>
      <c r="K220" s="1124"/>
      <c r="L220" s="1178">
        <v>2500000</v>
      </c>
      <c r="M220" s="1124" t="s">
        <v>328</v>
      </c>
      <c r="N220" s="1178">
        <f>500000+2000000</f>
        <v>2500000</v>
      </c>
      <c r="O220" s="1124" t="s">
        <v>372</v>
      </c>
      <c r="P220" s="1178">
        <v>2500000</v>
      </c>
      <c r="Q220" s="1124" t="s">
        <v>372</v>
      </c>
      <c r="R220" s="1178">
        <v>2500000</v>
      </c>
      <c r="S220" s="1124">
        <v>41184</v>
      </c>
      <c r="T220" s="1145"/>
      <c r="U220" s="1126"/>
      <c r="V220" s="1130"/>
      <c r="W220" s="1126"/>
      <c r="X220" s="1130"/>
      <c r="Y220" s="1126"/>
      <c r="Z220" s="1130"/>
      <c r="AA220" s="1126"/>
      <c r="AB220" s="1198"/>
      <c r="AC220" s="1126"/>
      <c r="AD220" s="1157"/>
      <c r="AE220" s="1158"/>
      <c r="AF220" s="1157"/>
      <c r="AG220" s="1158"/>
      <c r="AH220" s="1232" t="str">
        <f t="shared" si="39"/>
        <v>PI</v>
      </c>
      <c r="AI220" s="747" t="e">
        <f>SUM(J220,L220,N220,P220,R220,T220,V220,X220,Z220,AB220,AD220,AF220,#REF!)</f>
        <v>#REF!</v>
      </c>
      <c r="AJ220" s="747">
        <f t="shared" si="43"/>
        <v>10935000</v>
      </c>
      <c r="AK220" s="747" t="e">
        <f t="shared" si="42"/>
        <v>#REF!</v>
      </c>
      <c r="AL220" s="1170"/>
      <c r="AM220" s="1170"/>
      <c r="AN220" s="1209"/>
      <c r="AO220" s="1170"/>
      <c r="AP220" s="1209"/>
      <c r="AQ220" s="1128"/>
      <c r="AR220" s="1173"/>
      <c r="AT220" s="1173"/>
      <c r="AV220" s="1173"/>
      <c r="AX220" s="1173"/>
      <c r="AY220" s="1176"/>
      <c r="AZ220" s="1173"/>
    </row>
    <row r="221" spans="1:52" s="2" customFormat="1" x14ac:dyDescent="0.25">
      <c r="A221" s="19">
        <v>207</v>
      </c>
      <c r="B221" s="67">
        <v>41</v>
      </c>
      <c r="C221" s="44">
        <v>849110028</v>
      </c>
      <c r="D221" s="43" t="s">
        <v>373</v>
      </c>
      <c r="E221" s="45" t="s">
        <v>32</v>
      </c>
      <c r="F221" s="67">
        <v>2010</v>
      </c>
      <c r="G221" s="45"/>
      <c r="H221" s="68" t="str">
        <f t="shared" si="32"/>
        <v xml:space="preserve">   </v>
      </c>
      <c r="I221" s="68" t="str">
        <f t="shared" si="33"/>
        <v xml:space="preserve">   </v>
      </c>
      <c r="J221" s="1181"/>
      <c r="K221" s="1180"/>
      <c r="L221" s="1181">
        <v>1000000</v>
      </c>
      <c r="M221" s="1180" t="s">
        <v>339</v>
      </c>
      <c r="N221" s="1130"/>
      <c r="O221" s="1126"/>
      <c r="P221" s="1130"/>
      <c r="Q221" s="1126"/>
      <c r="R221" s="1130"/>
      <c r="S221" s="1126"/>
      <c r="T221" s="1145"/>
      <c r="U221" s="1126"/>
      <c r="V221" s="1130"/>
      <c r="W221" s="1126"/>
      <c r="X221" s="1130"/>
      <c r="Y221" s="1126"/>
      <c r="Z221" s="1130"/>
      <c r="AA221" s="1126"/>
      <c r="AB221" s="1198"/>
      <c r="AC221" s="1126"/>
      <c r="AD221" s="1157"/>
      <c r="AE221" s="1158"/>
      <c r="AF221" s="1157"/>
      <c r="AG221" s="1158"/>
      <c r="AH221" s="1232" t="str">
        <f t="shared" si="39"/>
        <v>PI</v>
      </c>
      <c r="AI221" s="1248">
        <f t="shared" ref="AI221:AI239" si="44">SUM(J221,L221,N221,P221,R221,T221,V221,X221,Z221,AB221,AD221,AF221)</f>
        <v>1000000</v>
      </c>
      <c r="AJ221" s="1248">
        <f t="shared" si="43"/>
        <v>10000000</v>
      </c>
      <c r="AK221" s="1248">
        <f t="shared" ref="AK221:AK244" si="45">AJ221-AI221</f>
        <v>9000000</v>
      </c>
      <c r="AL221" s="1170"/>
      <c r="AM221" s="1170"/>
      <c r="AN221" s="1209"/>
      <c r="AO221" s="1170"/>
      <c r="AP221" s="1209"/>
      <c r="AQ221" s="1128"/>
      <c r="AR221" s="1173"/>
      <c r="AT221" s="1173"/>
      <c r="AV221" s="1173"/>
      <c r="AX221" s="1173"/>
      <c r="AY221" s="1176"/>
      <c r="AZ221" s="1173"/>
    </row>
    <row r="222" spans="1:52" s="2" customFormat="1" x14ac:dyDescent="0.25">
      <c r="A222" s="19">
        <v>208</v>
      </c>
      <c r="B222" s="57">
        <v>42</v>
      </c>
      <c r="C222" s="38">
        <v>849110002</v>
      </c>
      <c r="D222" s="37" t="s">
        <v>374</v>
      </c>
      <c r="E222" s="28" t="s">
        <v>32</v>
      </c>
      <c r="F222" s="57">
        <v>2010</v>
      </c>
      <c r="G222" s="28"/>
      <c r="H222" s="58" t="str">
        <f t="shared" si="32"/>
        <v xml:space="preserve">   </v>
      </c>
      <c r="I222" s="58">
        <f t="shared" si="33"/>
        <v>41640</v>
      </c>
      <c r="J222" s="1130"/>
      <c r="K222" s="1126"/>
      <c r="L222" s="1130"/>
      <c r="M222" s="1126"/>
      <c r="N222" s="1130">
        <v>2500000</v>
      </c>
      <c r="O222" s="1126">
        <v>40849</v>
      </c>
      <c r="P222" s="1130">
        <v>2500000</v>
      </c>
      <c r="Q222" s="1126" t="s">
        <v>224</v>
      </c>
      <c r="R222" s="1130">
        <v>2500000</v>
      </c>
      <c r="S222" s="1126" t="s">
        <v>375</v>
      </c>
      <c r="T222" s="1145">
        <v>2500000</v>
      </c>
      <c r="U222" s="1126" t="s">
        <v>375</v>
      </c>
      <c r="V222" s="1130"/>
      <c r="W222" s="1126"/>
      <c r="X222" s="1130"/>
      <c r="Y222" s="1126"/>
      <c r="Z222" s="1130"/>
      <c r="AA222" s="1126"/>
      <c r="AB222" s="1198">
        <v>1000000</v>
      </c>
      <c r="AC222" s="1126" t="s">
        <v>375</v>
      </c>
      <c r="AD222" s="1157"/>
      <c r="AE222" s="1158"/>
      <c r="AF222" s="1157"/>
      <c r="AG222" s="1158"/>
      <c r="AH222" s="1232" t="str">
        <f t="shared" si="39"/>
        <v>PI</v>
      </c>
      <c r="AI222" s="747">
        <f t="shared" si="44"/>
        <v>11000000</v>
      </c>
      <c r="AJ222" s="747">
        <f t="shared" si="43"/>
        <v>11000000</v>
      </c>
      <c r="AK222" s="747">
        <f t="shared" si="45"/>
        <v>0</v>
      </c>
      <c r="AL222" s="1170"/>
      <c r="AM222" s="1170"/>
      <c r="AN222" s="1209"/>
      <c r="AO222" s="1170"/>
      <c r="AP222" s="1209"/>
      <c r="AQ222" s="1128"/>
      <c r="AR222" s="1173"/>
      <c r="AT222" s="1173"/>
      <c r="AV222" s="1173"/>
      <c r="AX222" s="1173"/>
      <c r="AY222" s="1176"/>
      <c r="AZ222" s="1173"/>
    </row>
    <row r="223" spans="1:52" s="2" customFormat="1" x14ac:dyDescent="0.25">
      <c r="A223" s="19">
        <v>209</v>
      </c>
      <c r="B223" s="57">
        <v>43</v>
      </c>
      <c r="C223" s="38">
        <v>849110029</v>
      </c>
      <c r="D223" s="37" t="s">
        <v>376</v>
      </c>
      <c r="E223" s="28" t="s">
        <v>32</v>
      </c>
      <c r="F223" s="57">
        <v>2010</v>
      </c>
      <c r="G223" s="28"/>
      <c r="H223" s="58" t="str">
        <f t="shared" si="32"/>
        <v xml:space="preserve">   </v>
      </c>
      <c r="I223" s="58" t="str">
        <f t="shared" si="33"/>
        <v xml:space="preserve">   </v>
      </c>
      <c r="J223" s="1130">
        <v>935000</v>
      </c>
      <c r="K223" s="1126"/>
      <c r="L223" s="1130">
        <v>2500000</v>
      </c>
      <c r="M223" s="1126"/>
      <c r="N223" s="1130">
        <v>2500000</v>
      </c>
      <c r="O223" s="1126">
        <v>40620</v>
      </c>
      <c r="P223" s="1130">
        <v>2500000</v>
      </c>
      <c r="Q223" s="1126" t="s">
        <v>237</v>
      </c>
      <c r="R223" s="1130">
        <v>2500000</v>
      </c>
      <c r="S223" s="1126" t="s">
        <v>93</v>
      </c>
      <c r="T223" s="1145"/>
      <c r="U223" s="1126"/>
      <c r="V223" s="1130"/>
      <c r="W223" s="1126"/>
      <c r="X223" s="1130"/>
      <c r="Y223" s="1126"/>
      <c r="Z223" s="1130"/>
      <c r="AA223" s="1126"/>
      <c r="AB223" s="1198">
        <v>1000000</v>
      </c>
      <c r="AC223" s="1126" t="s">
        <v>187</v>
      </c>
      <c r="AD223" s="1157"/>
      <c r="AE223" s="1158"/>
      <c r="AF223" s="1157"/>
      <c r="AG223" s="1158"/>
      <c r="AH223" s="1232" t="str">
        <f t="shared" si="39"/>
        <v>PI</v>
      </c>
      <c r="AI223" s="747">
        <f t="shared" si="44"/>
        <v>11935000</v>
      </c>
      <c r="AJ223" s="747">
        <f t="shared" si="43"/>
        <v>11935000</v>
      </c>
      <c r="AK223" s="747">
        <f t="shared" si="45"/>
        <v>0</v>
      </c>
      <c r="AL223" s="1170"/>
      <c r="AM223" s="1170"/>
      <c r="AN223" s="1209"/>
      <c r="AO223" s="1170"/>
      <c r="AP223" s="1209"/>
      <c r="AQ223" s="1128"/>
      <c r="AR223" s="1173"/>
      <c r="AT223" s="1173"/>
      <c r="AV223" s="1173"/>
      <c r="AX223" s="1173"/>
      <c r="AY223" s="1176"/>
      <c r="AZ223" s="1173"/>
    </row>
    <row r="224" spans="1:52" s="2" customFormat="1" x14ac:dyDescent="0.25">
      <c r="A224" s="19">
        <v>210</v>
      </c>
      <c r="B224" s="57">
        <v>44</v>
      </c>
      <c r="C224" s="38">
        <v>849110003</v>
      </c>
      <c r="D224" s="37" t="s">
        <v>377</v>
      </c>
      <c r="E224" s="28" t="s">
        <v>32</v>
      </c>
      <c r="F224" s="57">
        <v>2010</v>
      </c>
      <c r="G224" s="28"/>
      <c r="H224" s="58" t="str">
        <f t="shared" si="32"/>
        <v xml:space="preserve">   </v>
      </c>
      <c r="I224" s="58" t="str">
        <f t="shared" si="33"/>
        <v xml:space="preserve">   </v>
      </c>
      <c r="J224" s="1130"/>
      <c r="K224" s="1126"/>
      <c r="L224" s="1130"/>
      <c r="M224" s="1126"/>
      <c r="N224" s="1130">
        <v>2500000</v>
      </c>
      <c r="O224" s="1126">
        <v>40818</v>
      </c>
      <c r="P224" s="1130">
        <v>2500000</v>
      </c>
      <c r="Q224" s="1126" t="s">
        <v>241</v>
      </c>
      <c r="R224" s="1130">
        <v>2500000</v>
      </c>
      <c r="S224" s="1126" t="s">
        <v>365</v>
      </c>
      <c r="T224" s="1145"/>
      <c r="U224" s="1126"/>
      <c r="V224" s="1130"/>
      <c r="W224" s="1126"/>
      <c r="X224" s="1130"/>
      <c r="Y224" s="1126"/>
      <c r="Z224" s="1130"/>
      <c r="AA224" s="1126"/>
      <c r="AB224" s="1198">
        <v>1000000</v>
      </c>
      <c r="AC224" s="1126" t="s">
        <v>187</v>
      </c>
      <c r="AD224" s="1157"/>
      <c r="AE224" s="1158"/>
      <c r="AF224" s="1157"/>
      <c r="AG224" s="1158"/>
      <c r="AH224" s="1232" t="str">
        <f t="shared" si="39"/>
        <v>PI</v>
      </c>
      <c r="AI224" s="747">
        <f t="shared" si="44"/>
        <v>8500000</v>
      </c>
      <c r="AJ224" s="747">
        <f t="shared" si="43"/>
        <v>11000000</v>
      </c>
      <c r="AK224" s="747">
        <f t="shared" si="45"/>
        <v>2500000</v>
      </c>
      <c r="AL224" s="1170"/>
      <c r="AM224" s="1170"/>
      <c r="AN224" s="1209"/>
      <c r="AO224" s="1170"/>
      <c r="AP224" s="1209"/>
      <c r="AQ224" s="1128"/>
      <c r="AR224" s="1173"/>
      <c r="AT224" s="1173"/>
      <c r="AV224" s="1173"/>
      <c r="AX224" s="1173"/>
      <c r="AY224" s="1176"/>
      <c r="AZ224" s="1173"/>
    </row>
    <row r="225" spans="1:52" s="2" customFormat="1" x14ac:dyDescent="0.25">
      <c r="A225" s="19">
        <v>211</v>
      </c>
      <c r="B225" s="57">
        <v>45</v>
      </c>
      <c r="C225" s="38">
        <v>849110036</v>
      </c>
      <c r="D225" s="37" t="s">
        <v>378</v>
      </c>
      <c r="E225" s="28" t="s">
        <v>32</v>
      </c>
      <c r="F225" s="57">
        <v>2010</v>
      </c>
      <c r="G225" s="28"/>
      <c r="H225" s="58" t="str">
        <f t="shared" si="32"/>
        <v xml:space="preserve">   </v>
      </c>
      <c r="I225" s="58" t="str">
        <f t="shared" si="33"/>
        <v xml:space="preserve">   </v>
      </c>
      <c r="J225" s="1130"/>
      <c r="K225" s="1126"/>
      <c r="L225" s="1130"/>
      <c r="M225" s="1126"/>
      <c r="N225" s="1130">
        <v>2500000</v>
      </c>
      <c r="O225" s="1126">
        <v>40818</v>
      </c>
      <c r="P225" s="1130">
        <v>2500000</v>
      </c>
      <c r="Q225" s="1126" t="s">
        <v>241</v>
      </c>
      <c r="R225" s="1130">
        <v>2500000</v>
      </c>
      <c r="S225" s="1126" t="s">
        <v>365</v>
      </c>
      <c r="T225" s="1145"/>
      <c r="U225" s="1126"/>
      <c r="V225" s="1130"/>
      <c r="W225" s="1126"/>
      <c r="X225" s="1130"/>
      <c r="Y225" s="1126"/>
      <c r="Z225" s="1130"/>
      <c r="AA225" s="1126"/>
      <c r="AB225" s="1198">
        <v>1000000</v>
      </c>
      <c r="AC225" s="1126" t="s">
        <v>184</v>
      </c>
      <c r="AD225" s="1157"/>
      <c r="AE225" s="1158"/>
      <c r="AF225" s="1157"/>
      <c r="AG225" s="1158"/>
      <c r="AH225" s="1232" t="str">
        <f t="shared" si="39"/>
        <v>PI</v>
      </c>
      <c r="AI225" s="747">
        <f t="shared" si="44"/>
        <v>8500000</v>
      </c>
      <c r="AJ225" s="747">
        <f t="shared" si="43"/>
        <v>11000000</v>
      </c>
      <c r="AK225" s="747">
        <f t="shared" si="45"/>
        <v>2500000</v>
      </c>
      <c r="AL225" s="1170"/>
      <c r="AM225" s="1170"/>
      <c r="AN225" s="1209"/>
      <c r="AO225" s="1170"/>
      <c r="AP225" s="1209"/>
      <c r="AQ225" s="1128"/>
      <c r="AR225" s="1173"/>
      <c r="AT225" s="1173"/>
      <c r="AV225" s="1173"/>
      <c r="AX225" s="1173"/>
      <c r="AY225" s="1176"/>
      <c r="AZ225" s="1173"/>
    </row>
    <row r="226" spans="1:52" s="2" customFormat="1" x14ac:dyDescent="0.25">
      <c r="A226" s="19">
        <v>212</v>
      </c>
      <c r="B226" s="59">
        <v>46</v>
      </c>
      <c r="C226" s="40">
        <v>849110006</v>
      </c>
      <c r="D226" s="39" t="s">
        <v>379</v>
      </c>
      <c r="E226" s="23" t="s">
        <v>32</v>
      </c>
      <c r="F226" s="59">
        <v>2010</v>
      </c>
      <c r="G226" s="31" t="s">
        <v>33</v>
      </c>
      <c r="H226" s="24" t="str">
        <f t="shared" si="32"/>
        <v xml:space="preserve">   </v>
      </c>
      <c r="I226" s="24">
        <f t="shared" si="33"/>
        <v>41275</v>
      </c>
      <c r="J226" s="1178"/>
      <c r="K226" s="1124"/>
      <c r="L226" s="1178">
        <v>2500000</v>
      </c>
      <c r="M226" s="1124">
        <v>41036</v>
      </c>
      <c r="N226" s="1178">
        <v>2500000</v>
      </c>
      <c r="O226" s="1124">
        <v>40636</v>
      </c>
      <c r="P226" s="1178">
        <v>2500000</v>
      </c>
      <c r="Q226" s="1124">
        <v>40795</v>
      </c>
      <c r="R226" s="1178">
        <v>2500000</v>
      </c>
      <c r="S226" s="1124" t="s">
        <v>351</v>
      </c>
      <c r="T226" s="1188">
        <v>2500000</v>
      </c>
      <c r="U226" s="1124" t="s">
        <v>380</v>
      </c>
      <c r="V226" s="1178">
        <v>600000</v>
      </c>
      <c r="W226" s="1124" t="s">
        <v>381</v>
      </c>
      <c r="X226" s="1130"/>
      <c r="Y226" s="1126"/>
      <c r="Z226" s="1130"/>
      <c r="AA226" s="1126"/>
      <c r="AB226" s="1198">
        <v>1000000</v>
      </c>
      <c r="AC226" s="1126">
        <v>41163</v>
      </c>
      <c r="AD226" s="1157"/>
      <c r="AE226" s="1158"/>
      <c r="AF226" s="1157"/>
      <c r="AG226" s="1158"/>
      <c r="AH226" s="1232" t="str">
        <f t="shared" si="39"/>
        <v>PI</v>
      </c>
      <c r="AI226" s="747">
        <f t="shared" si="44"/>
        <v>14100000</v>
      </c>
      <c r="AJ226" s="747">
        <f>(COUNT(L226,N226,P226,R226,T226)*2500000)+(COUNT(V226,X226,Z226,AD226,AF226)*600000)+(AB226+J226)</f>
        <v>14100000</v>
      </c>
      <c r="AK226" s="747">
        <f t="shared" si="45"/>
        <v>0</v>
      </c>
      <c r="AL226" s="1170"/>
      <c r="AM226" s="1170"/>
      <c r="AN226" s="1209"/>
      <c r="AO226" s="1170"/>
      <c r="AP226" s="1209"/>
      <c r="AQ226" s="1128"/>
      <c r="AR226" s="1173"/>
      <c r="AT226" s="1173"/>
      <c r="AV226" s="1173"/>
      <c r="AX226" s="1173"/>
      <c r="AY226" s="1176"/>
      <c r="AZ226" s="1173"/>
    </row>
    <row r="227" spans="1:52" s="2" customFormat="1" x14ac:dyDescent="0.25">
      <c r="A227" s="19">
        <v>213</v>
      </c>
      <c r="B227" s="57">
        <v>47</v>
      </c>
      <c r="C227" s="38">
        <v>849110007</v>
      </c>
      <c r="D227" s="37" t="s">
        <v>382</v>
      </c>
      <c r="E227" s="28" t="s">
        <v>32</v>
      </c>
      <c r="F227" s="57">
        <v>2010</v>
      </c>
      <c r="G227" s="28"/>
      <c r="H227" s="58" t="str">
        <f t="shared" si="32"/>
        <v xml:space="preserve">   </v>
      </c>
      <c r="I227" s="58" t="str">
        <f t="shared" si="33"/>
        <v xml:space="preserve">   </v>
      </c>
      <c r="J227" s="1130"/>
      <c r="K227" s="1126"/>
      <c r="L227" s="1130"/>
      <c r="M227" s="1126"/>
      <c r="N227" s="1130">
        <v>2500000</v>
      </c>
      <c r="O227" s="1126">
        <v>40849</v>
      </c>
      <c r="P227" s="1130">
        <v>2500000</v>
      </c>
      <c r="Q227" s="1126" t="s">
        <v>215</v>
      </c>
      <c r="R227" s="1130">
        <v>2500000</v>
      </c>
      <c r="S227" s="1126" t="s">
        <v>93</v>
      </c>
      <c r="T227" s="1145"/>
      <c r="U227" s="1126"/>
      <c r="V227" s="1130"/>
      <c r="W227" s="1126"/>
      <c r="X227" s="1130"/>
      <c r="Y227" s="1126"/>
      <c r="Z227" s="1130"/>
      <c r="AA227" s="1126"/>
      <c r="AB227" s="1198"/>
      <c r="AC227" s="1126" t="s">
        <v>383</v>
      </c>
      <c r="AD227" s="1157"/>
      <c r="AE227" s="1158"/>
      <c r="AF227" s="1157"/>
      <c r="AG227" s="1158"/>
      <c r="AH227" s="1232" t="str">
        <f t="shared" si="39"/>
        <v>PI</v>
      </c>
      <c r="AI227" s="747">
        <f t="shared" si="44"/>
        <v>7500000</v>
      </c>
      <c r="AJ227" s="747">
        <f>((COUNT((L227,N227,P227,R227,T227,V227,X227,Z227,AD227,AF227)))*2500000)+(J227+AB227)</f>
        <v>7500000</v>
      </c>
      <c r="AK227" s="747">
        <f t="shared" si="45"/>
        <v>0</v>
      </c>
      <c r="AL227" s="1170"/>
      <c r="AM227" s="1170"/>
      <c r="AN227" s="1209"/>
      <c r="AO227" s="1170"/>
      <c r="AP227" s="1209"/>
      <c r="AQ227" s="1128"/>
      <c r="AR227" s="1173"/>
      <c r="AT227" s="1173"/>
      <c r="AV227" s="1173"/>
      <c r="AX227" s="1173"/>
      <c r="AY227" s="1176"/>
      <c r="AZ227" s="1173"/>
    </row>
    <row r="228" spans="1:52" s="2" customFormat="1" x14ac:dyDescent="0.25">
      <c r="A228" s="19">
        <v>214</v>
      </c>
      <c r="B228" s="59">
        <v>48</v>
      </c>
      <c r="C228" s="40">
        <v>849110042</v>
      </c>
      <c r="D228" s="39" t="s">
        <v>384</v>
      </c>
      <c r="E228" s="23" t="s">
        <v>32</v>
      </c>
      <c r="F228" s="59">
        <v>2010</v>
      </c>
      <c r="G228" s="31" t="s">
        <v>33</v>
      </c>
      <c r="H228" s="24" t="str">
        <f t="shared" si="32"/>
        <v xml:space="preserve">   </v>
      </c>
      <c r="I228" s="24">
        <f t="shared" si="33"/>
        <v>41275</v>
      </c>
      <c r="J228" s="1178">
        <v>935000</v>
      </c>
      <c r="K228" s="1124"/>
      <c r="L228" s="1178">
        <v>2500000</v>
      </c>
      <c r="M228" s="1124"/>
      <c r="N228" s="1178">
        <v>2500000</v>
      </c>
      <c r="O228" s="1124">
        <v>40620</v>
      </c>
      <c r="P228" s="1178">
        <v>2500000</v>
      </c>
      <c r="Q228" s="1144" t="s">
        <v>137</v>
      </c>
      <c r="R228" s="1178">
        <v>2500000</v>
      </c>
      <c r="S228" s="1124" t="s">
        <v>187</v>
      </c>
      <c r="T228" s="1145"/>
      <c r="U228" s="1126"/>
      <c r="V228" s="1130"/>
      <c r="W228" s="1126"/>
      <c r="X228" s="1130"/>
      <c r="Y228" s="1126"/>
      <c r="Z228" s="1130"/>
      <c r="AA228" s="1126"/>
      <c r="AB228" s="1198">
        <v>1000000</v>
      </c>
      <c r="AC228" s="1126">
        <v>41225</v>
      </c>
      <c r="AD228" s="1157"/>
      <c r="AE228" s="1158"/>
      <c r="AF228" s="1157"/>
      <c r="AG228" s="1158"/>
      <c r="AH228" s="1232" t="str">
        <f t="shared" si="39"/>
        <v>PI</v>
      </c>
      <c r="AI228" s="747">
        <f t="shared" si="44"/>
        <v>11935000</v>
      </c>
      <c r="AJ228" s="747">
        <f>((COUNT((L228,N228,P228,R228,T228,V228,X228,Z228,AD228,AF228)))*2500000)+(J228+AB228)</f>
        <v>11935000</v>
      </c>
      <c r="AK228" s="747">
        <f t="shared" si="45"/>
        <v>0</v>
      </c>
      <c r="AL228" s="1170"/>
      <c r="AM228" s="1170"/>
      <c r="AN228" s="1209"/>
      <c r="AO228" s="1170"/>
      <c r="AP228" s="1209"/>
      <c r="AQ228" s="1128"/>
      <c r="AR228" s="1173"/>
      <c r="AT228" s="1173"/>
      <c r="AV228" s="1173"/>
      <c r="AX228" s="1173"/>
      <c r="AY228" s="1176"/>
      <c r="AZ228" s="1173"/>
    </row>
    <row r="229" spans="1:52" s="2" customFormat="1" x14ac:dyDescent="0.25">
      <c r="A229" s="19">
        <v>215</v>
      </c>
      <c r="B229" s="59">
        <v>49</v>
      </c>
      <c r="C229" s="40">
        <v>849110045</v>
      </c>
      <c r="D229" s="39" t="s">
        <v>385</v>
      </c>
      <c r="E229" s="23" t="s">
        <v>32</v>
      </c>
      <c r="F229" s="59">
        <v>2010</v>
      </c>
      <c r="G229" s="31" t="s">
        <v>33</v>
      </c>
      <c r="H229" s="24" t="str">
        <f t="shared" si="32"/>
        <v xml:space="preserve">   </v>
      </c>
      <c r="I229" s="24">
        <f t="shared" si="33"/>
        <v>41640</v>
      </c>
      <c r="J229" s="1178"/>
      <c r="K229" s="1124"/>
      <c r="L229" s="1178"/>
      <c r="M229" s="1124"/>
      <c r="N229" s="1178">
        <v>2500000</v>
      </c>
      <c r="O229" s="1124"/>
      <c r="P229" s="1178">
        <v>2500000</v>
      </c>
      <c r="Q229" s="1124" t="s">
        <v>215</v>
      </c>
      <c r="R229" s="1178">
        <v>2500000</v>
      </c>
      <c r="S229" s="1124" t="s">
        <v>317</v>
      </c>
      <c r="T229" s="1188">
        <v>3000000</v>
      </c>
      <c r="U229" s="1124">
        <v>41457</v>
      </c>
      <c r="V229" s="1178">
        <v>600000</v>
      </c>
      <c r="W229" s="1124">
        <v>41457</v>
      </c>
      <c r="X229" s="1178">
        <v>600000</v>
      </c>
      <c r="Y229" s="1124">
        <v>41863</v>
      </c>
      <c r="Z229" s="1178">
        <v>600000</v>
      </c>
      <c r="AA229" s="1124" t="s">
        <v>386</v>
      </c>
      <c r="AB229" s="1198">
        <v>1000000</v>
      </c>
      <c r="AC229" s="1126">
        <v>40947</v>
      </c>
      <c r="AD229" s="1157"/>
      <c r="AE229" s="1158"/>
      <c r="AF229" s="1157"/>
      <c r="AG229" s="1158"/>
      <c r="AH229" s="1232" t="str">
        <f t="shared" si="39"/>
        <v>PI</v>
      </c>
      <c r="AI229" s="747">
        <f t="shared" si="44"/>
        <v>13300000</v>
      </c>
      <c r="AJ229" s="747">
        <f>(COUNT(L229,N229,P229,R229,T229)*2500000)+(COUNT(V229,X229,Z229,AD229,AF229)*600000)+(AB229+J229)</f>
        <v>12800000</v>
      </c>
      <c r="AK229" s="747">
        <f t="shared" si="45"/>
        <v>-500000</v>
      </c>
      <c r="AL229" s="1170"/>
      <c r="AM229" s="1170"/>
      <c r="AN229" s="1209"/>
      <c r="AO229" s="1170"/>
      <c r="AP229" s="1209"/>
      <c r="AQ229" s="1128"/>
      <c r="AR229" s="1173"/>
      <c r="AT229" s="1173"/>
      <c r="AV229" s="1173"/>
      <c r="AX229" s="1173"/>
      <c r="AY229" s="1176"/>
      <c r="AZ229" s="1173"/>
    </row>
    <row r="230" spans="1:52" s="2" customFormat="1" x14ac:dyDescent="0.25">
      <c r="A230" s="19">
        <v>216</v>
      </c>
      <c r="B230" s="57">
        <v>50</v>
      </c>
      <c r="C230" s="38">
        <v>849110013</v>
      </c>
      <c r="D230" s="37" t="s">
        <v>387</v>
      </c>
      <c r="E230" s="28" t="s">
        <v>32</v>
      </c>
      <c r="F230" s="57">
        <v>2010</v>
      </c>
      <c r="G230" s="28"/>
      <c r="H230" s="58" t="str">
        <f t="shared" si="32"/>
        <v xml:space="preserve">   </v>
      </c>
      <c r="I230" s="58" t="str">
        <f t="shared" si="33"/>
        <v xml:space="preserve">   </v>
      </c>
      <c r="J230" s="1130">
        <v>935000</v>
      </c>
      <c r="K230" s="1126"/>
      <c r="L230" s="1130">
        <v>2500000</v>
      </c>
      <c r="M230" s="1126"/>
      <c r="N230" s="1130">
        <v>2500000</v>
      </c>
      <c r="O230" s="1126"/>
      <c r="P230" s="1130">
        <v>2500000</v>
      </c>
      <c r="Q230" s="1126" t="s">
        <v>241</v>
      </c>
      <c r="R230" s="1130">
        <v>2500000</v>
      </c>
      <c r="S230" s="1126" t="s">
        <v>317</v>
      </c>
      <c r="T230" s="1145"/>
      <c r="U230" s="1126"/>
      <c r="V230" s="1130"/>
      <c r="W230" s="1126"/>
      <c r="X230" s="1130"/>
      <c r="Y230" s="1126"/>
      <c r="Z230" s="1130"/>
      <c r="AA230" s="1126"/>
      <c r="AB230" s="1198">
        <v>1000000</v>
      </c>
      <c r="AC230" s="1126" t="s">
        <v>184</v>
      </c>
      <c r="AD230" s="1157"/>
      <c r="AE230" s="1158"/>
      <c r="AF230" s="1157"/>
      <c r="AG230" s="1158"/>
      <c r="AH230" s="1232" t="str">
        <f t="shared" si="39"/>
        <v>PI</v>
      </c>
      <c r="AI230" s="747">
        <f t="shared" si="44"/>
        <v>11935000</v>
      </c>
      <c r="AJ230" s="747">
        <f>((COUNT((L230,N230,P230,R230,T230,V230,X230,Z230,AD230,AF230)))*2500000)+(J230+AB230)</f>
        <v>11935000</v>
      </c>
      <c r="AK230" s="747">
        <f t="shared" si="45"/>
        <v>0</v>
      </c>
      <c r="AL230" s="1170"/>
      <c r="AM230" s="1170"/>
      <c r="AN230" s="1209"/>
      <c r="AO230" s="1170"/>
      <c r="AP230" s="1209"/>
      <c r="AQ230" s="1128"/>
      <c r="AR230" s="1173"/>
      <c r="AT230" s="1173"/>
      <c r="AV230" s="1173"/>
      <c r="AX230" s="1173"/>
      <c r="AY230" s="1176"/>
      <c r="AZ230" s="1173"/>
    </row>
    <row r="231" spans="1:52" s="2" customFormat="1" x14ac:dyDescent="0.25">
      <c r="A231" s="19">
        <v>217</v>
      </c>
      <c r="B231" s="59">
        <v>51</v>
      </c>
      <c r="C231" s="40">
        <v>849110046</v>
      </c>
      <c r="D231" s="39" t="s">
        <v>388</v>
      </c>
      <c r="E231" s="23" t="s">
        <v>32</v>
      </c>
      <c r="F231" s="59">
        <v>2010</v>
      </c>
      <c r="G231" s="31" t="s">
        <v>33</v>
      </c>
      <c r="H231" s="24" t="str">
        <f t="shared" si="32"/>
        <v xml:space="preserve">   </v>
      </c>
      <c r="I231" s="24">
        <f t="shared" si="33"/>
        <v>41640</v>
      </c>
      <c r="J231" s="1178"/>
      <c r="K231" s="1124"/>
      <c r="L231" s="1178"/>
      <c r="M231" s="1124"/>
      <c r="N231" s="1178">
        <v>2500000</v>
      </c>
      <c r="O231" s="1124">
        <v>40849</v>
      </c>
      <c r="P231" s="1178">
        <v>2500000</v>
      </c>
      <c r="Q231" s="1124">
        <v>41313</v>
      </c>
      <c r="R231" s="1178">
        <v>2500000</v>
      </c>
      <c r="S231" s="1124" t="s">
        <v>389</v>
      </c>
      <c r="T231" s="1192" t="s">
        <v>137</v>
      </c>
      <c r="U231" s="1127"/>
      <c r="V231" s="1222" t="s">
        <v>137</v>
      </c>
      <c r="W231" s="1127"/>
      <c r="X231" s="1178">
        <v>600000</v>
      </c>
      <c r="Y231" s="1124">
        <v>41822</v>
      </c>
      <c r="Z231" s="1178">
        <v>600000</v>
      </c>
      <c r="AA231" s="1124">
        <v>41677</v>
      </c>
      <c r="AB231" s="1198">
        <v>1000000</v>
      </c>
      <c r="AC231" s="1126">
        <v>41827</v>
      </c>
      <c r="AD231" s="1157"/>
      <c r="AE231" s="1158"/>
      <c r="AF231" s="1157"/>
      <c r="AG231" s="1158"/>
      <c r="AH231" s="1232" t="str">
        <f t="shared" si="39"/>
        <v>PI</v>
      </c>
      <c r="AI231" s="747">
        <f t="shared" si="44"/>
        <v>9700000</v>
      </c>
      <c r="AJ231" s="747">
        <f>(COUNT(L231,N231,P231,R231,T231)*2500000)+(COUNT(V231,X231,Z231,AD231,AF231)*600000)+(AB231+J231)</f>
        <v>9700000</v>
      </c>
      <c r="AK231" s="747">
        <f t="shared" si="45"/>
        <v>0</v>
      </c>
      <c r="AL231" s="1170"/>
      <c r="AM231" s="1170"/>
      <c r="AN231" s="1209"/>
      <c r="AO231" s="1170"/>
      <c r="AP231" s="1209"/>
      <c r="AQ231" s="1128"/>
      <c r="AR231" s="1173"/>
      <c r="AT231" s="1173"/>
      <c r="AV231" s="1173"/>
      <c r="AX231" s="1173"/>
      <c r="AY231" s="1176"/>
      <c r="AZ231" s="1173"/>
    </row>
    <row r="232" spans="1:52" s="2" customFormat="1" x14ac:dyDescent="0.25">
      <c r="A232" s="19">
        <v>218</v>
      </c>
      <c r="B232" s="59">
        <v>52</v>
      </c>
      <c r="C232" s="40">
        <v>849110015</v>
      </c>
      <c r="D232" s="39" t="s">
        <v>390</v>
      </c>
      <c r="E232" s="23" t="s">
        <v>32</v>
      </c>
      <c r="F232" s="59">
        <v>2010</v>
      </c>
      <c r="G232" s="31" t="s">
        <v>33</v>
      </c>
      <c r="H232" s="24" t="str">
        <f t="shared" si="32"/>
        <v xml:space="preserve">   </v>
      </c>
      <c r="I232" s="24">
        <f t="shared" si="33"/>
        <v>41275</v>
      </c>
      <c r="J232" s="1178"/>
      <c r="K232" s="1124"/>
      <c r="L232" s="1178"/>
      <c r="M232" s="1124"/>
      <c r="N232" s="1178">
        <v>2500000</v>
      </c>
      <c r="O232" s="1124">
        <v>40849</v>
      </c>
      <c r="P232" s="1178">
        <v>2500000</v>
      </c>
      <c r="Q232" s="1124" t="s">
        <v>215</v>
      </c>
      <c r="R232" s="1178">
        <v>2500000</v>
      </c>
      <c r="S232" s="1124" t="s">
        <v>98</v>
      </c>
      <c r="T232" s="1188">
        <v>2500000</v>
      </c>
      <c r="U232" s="1124">
        <v>40916</v>
      </c>
      <c r="V232" s="1130"/>
      <c r="W232" s="1126"/>
      <c r="X232" s="1130"/>
      <c r="Y232" s="1126"/>
      <c r="Z232" s="1130"/>
      <c r="AA232" s="1126"/>
      <c r="AB232" s="1198">
        <v>1000000</v>
      </c>
      <c r="AC232" s="1126" t="s">
        <v>391</v>
      </c>
      <c r="AD232" s="1157"/>
      <c r="AE232" s="1158"/>
      <c r="AF232" s="1157"/>
      <c r="AG232" s="1158"/>
      <c r="AH232" s="1232" t="str">
        <f t="shared" si="39"/>
        <v>PI</v>
      </c>
      <c r="AI232" s="747">
        <f t="shared" si="44"/>
        <v>11000000</v>
      </c>
      <c r="AJ232" s="747">
        <f>((COUNT((L232,N232,P232,R232,T232,V232,X232,Z232,AD232,AF232)))*2500000)+(J232+AB232)</f>
        <v>11000000</v>
      </c>
      <c r="AK232" s="747">
        <f t="shared" si="45"/>
        <v>0</v>
      </c>
      <c r="AL232" s="1170"/>
      <c r="AM232" s="1170"/>
      <c r="AN232" s="1209"/>
      <c r="AO232" s="1170"/>
      <c r="AP232" s="1209"/>
      <c r="AQ232" s="1128"/>
      <c r="AR232" s="1173"/>
      <c r="AT232" s="1173"/>
      <c r="AV232" s="1173"/>
      <c r="AX232" s="1173"/>
      <c r="AY232" s="1176"/>
      <c r="AZ232" s="1173"/>
    </row>
    <row r="233" spans="1:52" s="2" customFormat="1" x14ac:dyDescent="0.25">
      <c r="A233" s="19">
        <v>219</v>
      </c>
      <c r="B233" s="59">
        <v>53</v>
      </c>
      <c r="C233" s="40">
        <v>849110017</v>
      </c>
      <c r="D233" s="39" t="s">
        <v>392</v>
      </c>
      <c r="E233" s="23" t="s">
        <v>32</v>
      </c>
      <c r="F233" s="59">
        <v>2010</v>
      </c>
      <c r="G233" s="23"/>
      <c r="H233" s="60" t="str">
        <f t="shared" si="32"/>
        <v xml:space="preserve">   </v>
      </c>
      <c r="I233" s="60" t="str">
        <f t="shared" si="33"/>
        <v xml:space="preserve">   </v>
      </c>
      <c r="J233" s="1178"/>
      <c r="K233" s="1124"/>
      <c r="L233" s="1178"/>
      <c r="M233" s="1124"/>
      <c r="N233" s="1178">
        <v>2500000</v>
      </c>
      <c r="O233" s="1124">
        <v>40635</v>
      </c>
      <c r="P233" s="1178">
        <v>2500000</v>
      </c>
      <c r="Q233" s="1124" t="s">
        <v>154</v>
      </c>
      <c r="R233" s="1178">
        <v>2500000</v>
      </c>
      <c r="S233" s="1124" t="s">
        <v>125</v>
      </c>
      <c r="T233" s="1145"/>
      <c r="U233" s="1126"/>
      <c r="V233" s="1130"/>
      <c r="W233" s="1126"/>
      <c r="X233" s="1130"/>
      <c r="Y233" s="1126"/>
      <c r="Z233" s="1130"/>
      <c r="AA233" s="1126"/>
      <c r="AB233" s="1198"/>
      <c r="AC233" s="1126"/>
      <c r="AD233" s="1157"/>
      <c r="AE233" s="1158"/>
      <c r="AF233" s="1157"/>
      <c r="AG233" s="1158"/>
      <c r="AH233" s="1232" t="str">
        <f t="shared" si="39"/>
        <v>PI</v>
      </c>
      <c r="AI233" s="747">
        <f t="shared" si="44"/>
        <v>7500000</v>
      </c>
      <c r="AJ233" s="747">
        <f>((COUNT((L233,N233,P233,R233,T233,V233,X233,Z233,AD233,AF233)))*2500000)+(J233+AB233)</f>
        <v>7500000</v>
      </c>
      <c r="AK233" s="747">
        <f t="shared" si="45"/>
        <v>0</v>
      </c>
      <c r="AL233" s="1170"/>
      <c r="AM233" s="1170"/>
      <c r="AN233" s="1209"/>
      <c r="AO233" s="1170"/>
      <c r="AP233" s="1209"/>
      <c r="AQ233" s="1128"/>
      <c r="AR233" s="1173"/>
      <c r="AT233" s="1173"/>
      <c r="AV233" s="1173"/>
      <c r="AX233" s="1173"/>
      <c r="AY233" s="1176"/>
      <c r="AZ233" s="1173"/>
    </row>
    <row r="234" spans="1:52" s="2" customFormat="1" x14ac:dyDescent="0.25">
      <c r="A234" s="19">
        <v>220</v>
      </c>
      <c r="B234" s="59">
        <v>54</v>
      </c>
      <c r="C234" s="40">
        <v>849110020</v>
      </c>
      <c r="D234" s="39" t="s">
        <v>393</v>
      </c>
      <c r="E234" s="23" t="s">
        <v>32</v>
      </c>
      <c r="F234" s="59">
        <v>2010</v>
      </c>
      <c r="G234" s="23"/>
      <c r="H234" s="60" t="str">
        <f t="shared" si="32"/>
        <v xml:space="preserve">   </v>
      </c>
      <c r="I234" s="60" t="str">
        <f t="shared" si="33"/>
        <v xml:space="preserve">   </v>
      </c>
      <c r="J234" s="1178"/>
      <c r="K234" s="1124"/>
      <c r="L234" s="1178"/>
      <c r="M234" s="1124"/>
      <c r="N234" s="1178">
        <v>2500000</v>
      </c>
      <c r="O234" s="1124">
        <v>42310</v>
      </c>
      <c r="P234" s="1178">
        <v>2500000</v>
      </c>
      <c r="Q234" s="1124" t="s">
        <v>394</v>
      </c>
      <c r="R234" s="1178">
        <v>2500000</v>
      </c>
      <c r="S234" s="1124" t="s">
        <v>351</v>
      </c>
      <c r="T234" s="1188">
        <v>2500000</v>
      </c>
      <c r="U234" s="1124">
        <v>40976</v>
      </c>
      <c r="V234" s="1178">
        <v>600000</v>
      </c>
      <c r="W234" s="1124">
        <v>41457</v>
      </c>
      <c r="X234" s="1178">
        <v>600000</v>
      </c>
      <c r="Y234" s="1124">
        <v>42093</v>
      </c>
      <c r="Z234" s="1178">
        <v>600000</v>
      </c>
      <c r="AA234" s="1124" t="s">
        <v>395</v>
      </c>
      <c r="AB234" s="1198">
        <v>1000000</v>
      </c>
      <c r="AC234" s="1126">
        <v>42093</v>
      </c>
      <c r="AD234" s="1199">
        <v>600000</v>
      </c>
      <c r="AE234" s="2294" t="s">
        <v>396</v>
      </c>
      <c r="AF234" s="1199">
        <v>600000</v>
      </c>
      <c r="AG234" s="1206"/>
      <c r="AH234" s="1232" t="str">
        <f t="shared" si="39"/>
        <v>PI</v>
      </c>
      <c r="AI234" s="747">
        <f t="shared" si="44"/>
        <v>14000000</v>
      </c>
      <c r="AJ234" s="747">
        <f>(COUNT(L234,N234,P234,R234,T234)*2500000)+(COUNT(V234,X234,Z234,AD234,AF234)*600000)+(AB234+J234)</f>
        <v>14000000</v>
      </c>
      <c r="AK234" s="747">
        <f t="shared" si="45"/>
        <v>0</v>
      </c>
      <c r="AL234" s="1170"/>
      <c r="AM234" s="1170"/>
      <c r="AN234" s="1209"/>
      <c r="AO234" s="1170"/>
      <c r="AP234" s="1209"/>
      <c r="AQ234" s="1128"/>
      <c r="AR234" s="1173"/>
      <c r="AT234" s="1173"/>
      <c r="AV234" s="1173"/>
      <c r="AX234" s="1173"/>
      <c r="AY234" s="1176"/>
      <c r="AZ234" s="1173"/>
    </row>
    <row r="235" spans="1:52" s="2" customFormat="1" x14ac:dyDescent="0.25">
      <c r="A235" s="19">
        <v>221</v>
      </c>
      <c r="B235" s="59">
        <v>55</v>
      </c>
      <c r="C235" s="40">
        <v>849110022</v>
      </c>
      <c r="D235" s="39" t="s">
        <v>397</v>
      </c>
      <c r="E235" s="23" t="s">
        <v>32</v>
      </c>
      <c r="F235" s="59">
        <v>2010</v>
      </c>
      <c r="G235" s="31" t="s">
        <v>33</v>
      </c>
      <c r="H235" s="24" t="str">
        <f t="shared" si="32"/>
        <v xml:space="preserve">   </v>
      </c>
      <c r="I235" s="24">
        <f t="shared" si="33"/>
        <v>41275</v>
      </c>
      <c r="J235" s="1178"/>
      <c r="K235" s="1124"/>
      <c r="L235" s="1178"/>
      <c r="M235" s="1124"/>
      <c r="N235" s="1178">
        <v>2500000</v>
      </c>
      <c r="O235" s="1124">
        <v>40612</v>
      </c>
      <c r="P235" s="1186" t="s">
        <v>398</v>
      </c>
      <c r="Q235" s="1124">
        <v>41154</v>
      </c>
      <c r="R235" s="1178">
        <v>2500000</v>
      </c>
      <c r="S235" s="1124">
        <v>41154</v>
      </c>
      <c r="T235" s="1188">
        <v>2500000</v>
      </c>
      <c r="U235" s="1124" t="s">
        <v>200</v>
      </c>
      <c r="V235" s="1178">
        <v>600000</v>
      </c>
      <c r="W235" s="1124" t="s">
        <v>248</v>
      </c>
      <c r="X235" s="1130"/>
      <c r="Y235" s="1126"/>
      <c r="Z235" s="1130"/>
      <c r="AA235" s="1126"/>
      <c r="AB235" s="1198">
        <v>1000000</v>
      </c>
      <c r="AC235" s="1126" t="s">
        <v>399</v>
      </c>
      <c r="AD235" s="1157"/>
      <c r="AE235" s="1158"/>
      <c r="AF235" s="1157"/>
      <c r="AG235" s="1158"/>
      <c r="AH235" s="1232" t="str">
        <f t="shared" si="39"/>
        <v>PI</v>
      </c>
      <c r="AI235" s="747">
        <f t="shared" si="44"/>
        <v>9100000</v>
      </c>
      <c r="AJ235" s="747">
        <f>(COUNT(L235,N235,P235,R235,T235)*2500000)+(COUNT(V235,X235,Z235,AD235,AF235)*600000)+(AB235+J235)</f>
        <v>9100000</v>
      </c>
      <c r="AK235" s="747">
        <f t="shared" si="45"/>
        <v>0</v>
      </c>
      <c r="AL235" s="1170"/>
      <c r="AM235" s="1170"/>
      <c r="AN235" s="1209"/>
      <c r="AO235" s="1170"/>
      <c r="AP235" s="1209"/>
      <c r="AQ235" s="1128"/>
      <c r="AR235" s="1173"/>
      <c r="AT235" s="1173"/>
      <c r="AV235" s="1173"/>
      <c r="AX235" s="1173"/>
      <c r="AY235" s="1176"/>
      <c r="AZ235" s="1173"/>
    </row>
    <row r="236" spans="1:52" s="2" customFormat="1" x14ac:dyDescent="0.25">
      <c r="A236" s="19">
        <v>222</v>
      </c>
      <c r="B236" s="59">
        <v>56</v>
      </c>
      <c r="C236" s="40">
        <v>849110055</v>
      </c>
      <c r="D236" s="39" t="s">
        <v>400</v>
      </c>
      <c r="E236" s="23" t="s">
        <v>32</v>
      </c>
      <c r="F236" s="59">
        <v>2010</v>
      </c>
      <c r="G236" s="23"/>
      <c r="H236" s="60" t="str">
        <f t="shared" ref="H236:H299" si="46">IFERROR(VLOOKUP(C236,Tlus,3,FALSE),"   ")</f>
        <v xml:space="preserve">   </v>
      </c>
      <c r="I236" s="60" t="str">
        <f t="shared" ref="I236:I299" si="47">IFERROR(VLOOKUP(C236,Wis,4,FALSE),"   ")</f>
        <v xml:space="preserve">   </v>
      </c>
      <c r="J236" s="1178">
        <v>935000</v>
      </c>
      <c r="K236" s="1124"/>
      <c r="L236" s="1178">
        <v>2500000</v>
      </c>
      <c r="M236" s="1124"/>
      <c r="N236" s="1178">
        <v>2500000</v>
      </c>
      <c r="O236" s="1124">
        <v>40849</v>
      </c>
      <c r="P236" s="1178">
        <v>2500000</v>
      </c>
      <c r="Q236" s="1124" t="s">
        <v>221</v>
      </c>
      <c r="R236" s="1178">
        <v>2500000</v>
      </c>
      <c r="S236" s="1124" t="s">
        <v>93</v>
      </c>
      <c r="T236" s="1145"/>
      <c r="U236" s="1126"/>
      <c r="V236" s="1130"/>
      <c r="W236" s="1126"/>
      <c r="X236" s="1130"/>
      <c r="Y236" s="1126"/>
      <c r="Z236" s="1130"/>
      <c r="AA236" s="1126"/>
      <c r="AB236" s="1198">
        <v>1000000</v>
      </c>
      <c r="AC236" s="1126" t="s">
        <v>187</v>
      </c>
      <c r="AD236" s="1157"/>
      <c r="AE236" s="1158"/>
      <c r="AF236" s="1157"/>
      <c r="AG236" s="1158"/>
      <c r="AH236" s="1232" t="str">
        <f t="shared" si="39"/>
        <v>PI</v>
      </c>
      <c r="AI236" s="747">
        <f t="shared" si="44"/>
        <v>11935000</v>
      </c>
      <c r="AJ236" s="747">
        <f>((COUNT((L236,N236,P236,R236,T236,V236,X236,Z236,AD236,AF236)))*2500000)+(J236+AB236)</f>
        <v>11935000</v>
      </c>
      <c r="AK236" s="747">
        <f t="shared" si="45"/>
        <v>0</v>
      </c>
      <c r="AL236" s="1170"/>
      <c r="AM236" s="1170"/>
      <c r="AN236" s="1209"/>
      <c r="AO236" s="1170"/>
      <c r="AP236" s="1209"/>
      <c r="AQ236" s="1128"/>
      <c r="AR236" s="1173"/>
      <c r="AT236" s="1173"/>
      <c r="AV236" s="1173"/>
      <c r="AX236" s="1173"/>
      <c r="AY236" s="1176"/>
      <c r="AZ236" s="1173"/>
    </row>
    <row r="237" spans="1:52" s="2" customFormat="1" x14ac:dyDescent="0.25">
      <c r="A237" s="19">
        <v>223</v>
      </c>
      <c r="B237" s="67">
        <v>57</v>
      </c>
      <c r="C237" s="44">
        <v>849110024</v>
      </c>
      <c r="D237" s="43" t="s">
        <v>401</v>
      </c>
      <c r="E237" s="45" t="s">
        <v>32</v>
      </c>
      <c r="F237" s="67">
        <v>2010</v>
      </c>
      <c r="G237" s="45"/>
      <c r="H237" s="68" t="str">
        <f t="shared" si="46"/>
        <v xml:space="preserve">   </v>
      </c>
      <c r="I237" s="68" t="str">
        <f t="shared" si="47"/>
        <v xml:space="preserve">   </v>
      </c>
      <c r="J237" s="1181"/>
      <c r="K237" s="1180"/>
      <c r="L237" s="1181"/>
      <c r="M237" s="1180"/>
      <c r="N237" s="1181">
        <v>2500000</v>
      </c>
      <c r="O237" s="1180" t="s">
        <v>196</v>
      </c>
      <c r="P237" s="1181">
        <v>2500000</v>
      </c>
      <c r="Q237" s="1180" t="s">
        <v>307</v>
      </c>
      <c r="R237" s="1130"/>
      <c r="S237" s="1126"/>
      <c r="T237" s="1145"/>
      <c r="U237" s="1126"/>
      <c r="V237" s="1130"/>
      <c r="W237" s="1126"/>
      <c r="X237" s="1130"/>
      <c r="Y237" s="1126"/>
      <c r="Z237" s="1130"/>
      <c r="AA237" s="1126"/>
      <c r="AB237" s="1198"/>
      <c r="AC237" s="1126"/>
      <c r="AD237" s="1157"/>
      <c r="AE237" s="1158"/>
      <c r="AF237" s="1157"/>
      <c r="AG237" s="1158"/>
      <c r="AH237" s="1232" t="str">
        <f t="shared" si="39"/>
        <v>PI</v>
      </c>
      <c r="AI237" s="747">
        <f t="shared" si="44"/>
        <v>5000000</v>
      </c>
      <c r="AJ237" s="747">
        <f>((COUNT((L237,N237,P237,R237,T237,V237,X237,Z237,AD237,AF237)))*2500000)+(J237+AB237)</f>
        <v>5000000</v>
      </c>
      <c r="AK237" s="747">
        <f t="shared" si="45"/>
        <v>0</v>
      </c>
      <c r="AL237" s="1170"/>
      <c r="AM237" s="1170"/>
      <c r="AN237" s="1209"/>
      <c r="AO237" s="1170"/>
      <c r="AP237" s="1209"/>
      <c r="AQ237" s="1128"/>
      <c r="AR237" s="1173"/>
      <c r="AT237" s="1173"/>
      <c r="AV237" s="1173"/>
      <c r="AX237" s="1173"/>
      <c r="AY237" s="1176"/>
      <c r="AZ237" s="1173"/>
    </row>
    <row r="238" spans="1:52" s="2" customFormat="1" x14ac:dyDescent="0.25">
      <c r="A238" s="19">
        <v>224</v>
      </c>
      <c r="B238" s="67">
        <v>58</v>
      </c>
      <c r="C238" s="44">
        <v>849110057</v>
      </c>
      <c r="D238" s="43" t="s">
        <v>402</v>
      </c>
      <c r="E238" s="45" t="s">
        <v>32</v>
      </c>
      <c r="F238" s="67">
        <v>2010</v>
      </c>
      <c r="G238" s="45"/>
      <c r="H238" s="68" t="str">
        <f t="shared" si="46"/>
        <v xml:space="preserve">   </v>
      </c>
      <c r="I238" s="68" t="str">
        <f t="shared" si="47"/>
        <v xml:space="preserve">   </v>
      </c>
      <c r="J238" s="1130"/>
      <c r="K238" s="1126"/>
      <c r="L238" s="1130"/>
      <c r="M238" s="1126"/>
      <c r="N238" s="1130">
        <v>2500000</v>
      </c>
      <c r="O238" s="1126">
        <v>40757</v>
      </c>
      <c r="P238" s="1130">
        <v>2500000</v>
      </c>
      <c r="Q238" s="1126" t="s">
        <v>316</v>
      </c>
      <c r="R238" s="1130">
        <v>2500000</v>
      </c>
      <c r="S238" s="1126" t="s">
        <v>317</v>
      </c>
      <c r="T238" s="1145"/>
      <c r="U238" s="1126"/>
      <c r="V238" s="1130"/>
      <c r="W238" s="1126"/>
      <c r="X238" s="1130"/>
      <c r="Y238" s="1126"/>
      <c r="Z238" s="1130"/>
      <c r="AA238" s="1126"/>
      <c r="AB238" s="1198"/>
      <c r="AC238" s="1126"/>
      <c r="AD238" s="1157"/>
      <c r="AE238" s="1158"/>
      <c r="AF238" s="1157"/>
      <c r="AG238" s="1158"/>
      <c r="AH238" s="1232" t="str">
        <f t="shared" si="39"/>
        <v>PI</v>
      </c>
      <c r="AI238" s="747">
        <f t="shared" si="44"/>
        <v>7500000</v>
      </c>
      <c r="AJ238" s="747">
        <f>((COUNT((L238,N238,P238,R238,T238,V238,X238,Z238,AD238,AF238)))*2500000)+(J238+AB238)</f>
        <v>7500000</v>
      </c>
      <c r="AK238" s="747">
        <f t="shared" si="45"/>
        <v>0</v>
      </c>
      <c r="AL238" s="1170"/>
      <c r="AM238" s="1170"/>
      <c r="AN238" s="1209"/>
      <c r="AO238" s="1170"/>
      <c r="AP238" s="1209"/>
      <c r="AQ238" s="1128"/>
      <c r="AR238" s="1173"/>
      <c r="AT238" s="1173"/>
      <c r="AV238" s="1173"/>
      <c r="AX238" s="1173"/>
      <c r="AY238" s="1176"/>
      <c r="AZ238" s="1173"/>
    </row>
    <row r="239" spans="1:52" s="2" customFormat="1" x14ac:dyDescent="0.25">
      <c r="A239" s="19">
        <v>225</v>
      </c>
      <c r="B239" s="67">
        <v>59</v>
      </c>
      <c r="C239" s="44">
        <v>849110058</v>
      </c>
      <c r="D239" s="43" t="s">
        <v>403</v>
      </c>
      <c r="E239" s="45" t="s">
        <v>32</v>
      </c>
      <c r="F239" s="67">
        <v>2010</v>
      </c>
      <c r="G239" s="45"/>
      <c r="H239" s="68" t="str">
        <f t="shared" si="46"/>
        <v xml:space="preserve">   </v>
      </c>
      <c r="I239" s="68" t="str">
        <f t="shared" si="47"/>
        <v xml:space="preserve">   </v>
      </c>
      <c r="J239" s="1130"/>
      <c r="K239" s="1126"/>
      <c r="L239" s="1130"/>
      <c r="M239" s="1126"/>
      <c r="N239" s="1130"/>
      <c r="O239" s="1126"/>
      <c r="P239" s="1130"/>
      <c r="Q239" s="1126"/>
      <c r="R239" s="1130"/>
      <c r="S239" s="1126"/>
      <c r="T239" s="1145"/>
      <c r="U239" s="1126"/>
      <c r="V239" s="1130"/>
      <c r="W239" s="1126"/>
      <c r="X239" s="1130"/>
      <c r="Y239" s="1126"/>
      <c r="Z239" s="1130"/>
      <c r="AA239" s="1126"/>
      <c r="AB239" s="1198"/>
      <c r="AC239" s="1126"/>
      <c r="AD239" s="1157"/>
      <c r="AE239" s="1158"/>
      <c r="AF239" s="1157"/>
      <c r="AG239" s="1158"/>
      <c r="AH239" s="1232" t="str">
        <f t="shared" si="39"/>
        <v>PI</v>
      </c>
      <c r="AI239" s="747">
        <f t="shared" si="44"/>
        <v>0</v>
      </c>
      <c r="AJ239" s="747">
        <f>((COUNT((L239,N239,P239,R239,T239,V239,X239,Z239,AD239,AF239)))*2500000)+(J239+AB239)</f>
        <v>0</v>
      </c>
      <c r="AK239" s="747">
        <f t="shared" si="45"/>
        <v>0</v>
      </c>
      <c r="AL239" s="1170"/>
      <c r="AM239" s="1170"/>
      <c r="AN239" s="1209"/>
      <c r="AO239" s="1170"/>
      <c r="AP239" s="1209"/>
      <c r="AQ239" s="1128"/>
      <c r="AR239" s="1173"/>
      <c r="AT239" s="1173"/>
      <c r="AV239" s="1173"/>
      <c r="AX239" s="1173"/>
      <c r="AY239" s="1176"/>
      <c r="AZ239" s="1173"/>
    </row>
    <row r="240" spans="1:52" s="2" customFormat="1" x14ac:dyDescent="0.25">
      <c r="A240" s="19">
        <v>226</v>
      </c>
      <c r="B240" s="59">
        <v>60</v>
      </c>
      <c r="C240" s="40">
        <v>849110030</v>
      </c>
      <c r="D240" s="39" t="s">
        <v>404</v>
      </c>
      <c r="E240" s="23" t="s">
        <v>32</v>
      </c>
      <c r="F240" s="59">
        <v>2010</v>
      </c>
      <c r="G240" s="23" t="s">
        <v>33</v>
      </c>
      <c r="H240" s="60" t="str">
        <f t="shared" si="46"/>
        <v xml:space="preserve">   </v>
      </c>
      <c r="I240" s="60" t="str">
        <f t="shared" si="47"/>
        <v xml:space="preserve">   </v>
      </c>
      <c r="J240" s="1178"/>
      <c r="K240" s="1124"/>
      <c r="L240" s="1178"/>
      <c r="M240" s="1124"/>
      <c r="N240" s="1178">
        <f>500000+2000000</f>
        <v>2500000</v>
      </c>
      <c r="O240" s="1124">
        <v>40815</v>
      </c>
      <c r="P240" s="1178">
        <v>2500000</v>
      </c>
      <c r="Q240" s="1124" t="s">
        <v>372</v>
      </c>
      <c r="R240" s="1178">
        <v>2500000</v>
      </c>
      <c r="S240" s="1124">
        <v>41184</v>
      </c>
      <c r="T240" s="1188">
        <v>2500000</v>
      </c>
      <c r="U240" s="1124">
        <v>40976</v>
      </c>
      <c r="V240" s="1178">
        <v>600000</v>
      </c>
      <c r="W240" s="2293" t="s">
        <v>405</v>
      </c>
      <c r="X240" s="1178">
        <v>600000</v>
      </c>
      <c r="Y240" s="1124" t="s">
        <v>406</v>
      </c>
      <c r="Z240" s="1178">
        <v>600000</v>
      </c>
      <c r="AA240" s="1124" t="s">
        <v>407</v>
      </c>
      <c r="AB240" s="1205">
        <v>1000000</v>
      </c>
      <c r="AC240" s="2293" t="s">
        <v>408</v>
      </c>
      <c r="AD240" s="1199">
        <v>600000</v>
      </c>
      <c r="AE240" s="2294" t="s">
        <v>408</v>
      </c>
      <c r="AF240" s="1199">
        <v>600000</v>
      </c>
      <c r="AG240" s="1158"/>
      <c r="AH240" s="1232" t="str">
        <f t="shared" si="39"/>
        <v>PI</v>
      </c>
      <c r="AI240" s="747" t="e">
        <f>SUM(J240,L240,N240,P240,R240,T240,V240,X240,Z240,AB240,AD240,AF240,#REF!)</f>
        <v>#REF!</v>
      </c>
      <c r="AJ240" s="747">
        <f>(COUNT(L240,N240,P240,R240,T240)*2500000)+(COUNT(V240,X240,Z240,AD240,AF240)*600000)+(AB240+J240)</f>
        <v>14000000</v>
      </c>
      <c r="AK240" s="747" t="e">
        <f t="shared" si="45"/>
        <v>#REF!</v>
      </c>
      <c r="AL240" s="1170"/>
      <c r="AM240" s="1170"/>
      <c r="AN240" s="1209"/>
      <c r="AO240" s="1170"/>
      <c r="AP240" s="1209"/>
      <c r="AQ240" s="1128"/>
      <c r="AR240" s="1173"/>
      <c r="AT240" s="1173"/>
      <c r="AV240" s="1173"/>
      <c r="AX240" s="1173"/>
      <c r="AY240" s="1176"/>
      <c r="AZ240" s="1173"/>
    </row>
    <row r="241" spans="1:52" s="2" customFormat="1" x14ac:dyDescent="0.25">
      <c r="A241" s="19">
        <v>227</v>
      </c>
      <c r="B241" s="67">
        <v>61</v>
      </c>
      <c r="C241" s="44">
        <v>849110032</v>
      </c>
      <c r="D241" s="43" t="s">
        <v>409</v>
      </c>
      <c r="E241" s="45" t="s">
        <v>32</v>
      </c>
      <c r="F241" s="67">
        <v>2010</v>
      </c>
      <c r="G241" s="45"/>
      <c r="H241" s="68" t="str">
        <f t="shared" si="46"/>
        <v xml:space="preserve">   </v>
      </c>
      <c r="I241" s="68" t="str">
        <f t="shared" si="47"/>
        <v xml:space="preserve">   </v>
      </c>
      <c r="J241" s="1130"/>
      <c r="K241" s="1126"/>
      <c r="L241" s="1130"/>
      <c r="M241" s="1126"/>
      <c r="N241" s="1130"/>
      <c r="O241" s="1126"/>
      <c r="P241" s="1130"/>
      <c r="Q241" s="1126"/>
      <c r="R241" s="1130"/>
      <c r="S241" s="1126"/>
      <c r="T241" s="1145"/>
      <c r="U241" s="1126"/>
      <c r="V241" s="1130"/>
      <c r="W241" s="1126"/>
      <c r="X241" s="1130"/>
      <c r="Y241" s="1126"/>
      <c r="Z241" s="1130"/>
      <c r="AA241" s="1126"/>
      <c r="AB241" s="1198"/>
      <c r="AC241" s="1126"/>
      <c r="AD241" s="1157"/>
      <c r="AE241" s="1158"/>
      <c r="AF241" s="1157"/>
      <c r="AG241" s="1158"/>
      <c r="AH241" s="1232" t="str">
        <f t="shared" si="39"/>
        <v>PI</v>
      </c>
      <c r="AI241" s="747">
        <f>SUM(J241,L241,N241,P241,R241,T241,V241,X241,Z241,AB241,AD241,AF241)</f>
        <v>0</v>
      </c>
      <c r="AJ241" s="747">
        <f>((COUNT((L241,N241,P241,R241,T241,V241,X241,Z241,AD241,AF241)))*2500000)+(J241+AB241)</f>
        <v>0</v>
      </c>
      <c r="AK241" s="747">
        <f t="shared" si="45"/>
        <v>0</v>
      </c>
      <c r="AL241" s="1170"/>
      <c r="AM241" s="1170"/>
      <c r="AN241" s="1209"/>
      <c r="AO241" s="1170"/>
      <c r="AP241" s="1209"/>
      <c r="AQ241" s="1128"/>
      <c r="AR241" s="1173"/>
      <c r="AT241" s="1173"/>
      <c r="AV241" s="1173"/>
      <c r="AX241" s="1173"/>
      <c r="AY241" s="1176"/>
      <c r="AZ241" s="1173"/>
    </row>
    <row r="242" spans="1:52" s="2" customFormat="1" x14ac:dyDescent="0.25">
      <c r="A242" s="19">
        <v>228</v>
      </c>
      <c r="B242" s="57">
        <v>62</v>
      </c>
      <c r="C242" s="38">
        <v>849110050</v>
      </c>
      <c r="D242" s="37" t="s">
        <v>410</v>
      </c>
      <c r="E242" s="28" t="s">
        <v>32</v>
      </c>
      <c r="F242" s="57">
        <v>2010</v>
      </c>
      <c r="G242" s="28"/>
      <c r="H242" s="58" t="str">
        <f t="shared" si="46"/>
        <v xml:space="preserve">   </v>
      </c>
      <c r="I242" s="58" t="str">
        <f t="shared" si="47"/>
        <v xml:space="preserve">   </v>
      </c>
      <c r="J242" s="1130"/>
      <c r="K242" s="1126"/>
      <c r="L242" s="1130">
        <v>2500000</v>
      </c>
      <c r="M242" s="1126"/>
      <c r="N242" s="1130">
        <v>2500000</v>
      </c>
      <c r="O242" s="1126" t="s">
        <v>196</v>
      </c>
      <c r="P242" s="1130">
        <v>2500000</v>
      </c>
      <c r="Q242" s="1126">
        <v>40795</v>
      </c>
      <c r="R242" s="1130">
        <v>2500000</v>
      </c>
      <c r="S242" s="1126" t="s">
        <v>98</v>
      </c>
      <c r="T242" s="1145">
        <v>2500000</v>
      </c>
      <c r="U242" s="1126">
        <v>40976</v>
      </c>
      <c r="V242" s="1130"/>
      <c r="W242" s="1126"/>
      <c r="X242" s="1130"/>
      <c r="Y242" s="1126"/>
      <c r="Z242" s="1130"/>
      <c r="AA242" s="1126"/>
      <c r="AB242" s="1198">
        <v>1000000</v>
      </c>
      <c r="AC242" s="1126" t="s">
        <v>295</v>
      </c>
      <c r="AD242" s="1157"/>
      <c r="AE242" s="1158"/>
      <c r="AF242" s="1157"/>
      <c r="AG242" s="1158"/>
      <c r="AH242" s="1232" t="str">
        <f t="shared" si="39"/>
        <v>PI</v>
      </c>
      <c r="AI242" s="747">
        <f>SUM(J242,L242,N242,P242,R242,T242,V242,X242,Z242,AB242,AD242,AF242)</f>
        <v>13500000</v>
      </c>
      <c r="AJ242" s="747">
        <f>((COUNT((L242,N242,P242,R242,T242,V242,X242,Z242,AD242,AF242)))*2500000)+(J242+AB242)</f>
        <v>13500000</v>
      </c>
      <c r="AK242" s="747">
        <f t="shared" si="45"/>
        <v>0</v>
      </c>
      <c r="AL242" s="1170"/>
      <c r="AM242" s="1170"/>
      <c r="AN242" s="1209"/>
      <c r="AO242" s="1170"/>
      <c r="AP242" s="1209"/>
      <c r="AQ242" s="1128"/>
      <c r="AR242" s="1173"/>
      <c r="AT242" s="1173"/>
      <c r="AV242" s="1173"/>
      <c r="AX242" s="1173"/>
      <c r="AY242" s="1176"/>
      <c r="AZ242" s="1173"/>
    </row>
    <row r="243" spans="1:52" s="2" customFormat="1" x14ac:dyDescent="0.25">
      <c r="A243" s="19">
        <v>229</v>
      </c>
      <c r="B243" s="59">
        <v>63</v>
      </c>
      <c r="C243" s="40">
        <v>849110031</v>
      </c>
      <c r="D243" s="39" t="s">
        <v>411</v>
      </c>
      <c r="E243" s="23" t="s">
        <v>32</v>
      </c>
      <c r="F243" s="59">
        <v>2010</v>
      </c>
      <c r="G243" s="31" t="s">
        <v>33</v>
      </c>
      <c r="H243" s="24" t="str">
        <f t="shared" si="46"/>
        <v xml:space="preserve">   </v>
      </c>
      <c r="I243" s="24" t="str">
        <f t="shared" si="47"/>
        <v xml:space="preserve">   </v>
      </c>
      <c r="J243" s="1178"/>
      <c r="K243" s="1124"/>
      <c r="L243" s="1178"/>
      <c r="M243" s="1124"/>
      <c r="N243" s="1178">
        <f>2000000+500000</f>
        <v>2500000</v>
      </c>
      <c r="O243" s="1124" t="s">
        <v>372</v>
      </c>
      <c r="P243" s="1178">
        <v>2500000</v>
      </c>
      <c r="Q243" s="1124" t="s">
        <v>372</v>
      </c>
      <c r="R243" s="1178">
        <v>2500000</v>
      </c>
      <c r="S243" s="1124">
        <v>41184</v>
      </c>
      <c r="T243" s="1188">
        <v>2500000</v>
      </c>
      <c r="U243" s="1124">
        <v>40976</v>
      </c>
      <c r="V243" s="1178">
        <v>600000</v>
      </c>
      <c r="W243" s="1124">
        <v>41396</v>
      </c>
      <c r="X243" s="1178">
        <v>600000</v>
      </c>
      <c r="Y243" s="1124" t="s">
        <v>412</v>
      </c>
      <c r="Z243" s="1178">
        <v>600000</v>
      </c>
      <c r="AA243" s="1124" t="s">
        <v>413</v>
      </c>
      <c r="AB243" s="1198"/>
      <c r="AC243" s="1126"/>
      <c r="AD243" s="1199">
        <v>600000</v>
      </c>
      <c r="AE243" s="2294" t="s">
        <v>414</v>
      </c>
      <c r="AF243" s="1199">
        <v>600000</v>
      </c>
      <c r="AG243" s="1206"/>
      <c r="AH243" s="1232" t="str">
        <f t="shared" si="39"/>
        <v>PI</v>
      </c>
      <c r="AI243" s="747" t="e">
        <f>SUM(J243,L243,N243,P243,R243,T243,V243,X243,Z243,AB243,AD243,AF243,#REF!)</f>
        <v>#REF!</v>
      </c>
      <c r="AJ243" s="747">
        <f>(COUNT(L243,N243,P243,R243,T243)*2500000)+(COUNT(V243,X243,Z243,AD243,AF243)*600000)+(AB243+J243)</f>
        <v>13000000</v>
      </c>
      <c r="AK243" s="747" t="e">
        <f t="shared" si="45"/>
        <v>#REF!</v>
      </c>
      <c r="AL243" s="1170"/>
      <c r="AM243" s="1170"/>
      <c r="AN243" s="1209"/>
      <c r="AO243" s="1170"/>
      <c r="AP243" s="1209"/>
      <c r="AQ243" s="1128"/>
      <c r="AR243" s="1173"/>
      <c r="AT243" s="1173"/>
      <c r="AV243" s="1173"/>
      <c r="AX243" s="1173"/>
      <c r="AY243" s="1176"/>
      <c r="AZ243" s="1173"/>
    </row>
    <row r="244" spans="1:52" s="2" customFormat="1" x14ac:dyDescent="0.25">
      <c r="A244" s="19">
        <v>230</v>
      </c>
      <c r="B244" s="57">
        <v>64</v>
      </c>
      <c r="C244" s="38"/>
      <c r="D244" s="37" t="s">
        <v>415</v>
      </c>
      <c r="E244" s="28" t="s">
        <v>32</v>
      </c>
      <c r="F244" s="57">
        <v>2010</v>
      </c>
      <c r="G244" s="28"/>
      <c r="H244" s="58" t="str">
        <f t="shared" si="46"/>
        <v xml:space="preserve">   </v>
      </c>
      <c r="I244" s="58" t="str">
        <f t="shared" si="47"/>
        <v xml:space="preserve">   </v>
      </c>
      <c r="J244" s="1130">
        <v>935000</v>
      </c>
      <c r="K244" s="1126">
        <v>40180</v>
      </c>
      <c r="L244" s="1130">
        <v>2500000</v>
      </c>
      <c r="M244" s="1126">
        <v>40196</v>
      </c>
      <c r="N244" s="1130">
        <v>2500000</v>
      </c>
      <c r="O244" s="1126">
        <v>40818</v>
      </c>
      <c r="P244" s="1130">
        <v>2500000</v>
      </c>
      <c r="Q244" s="1126" t="s">
        <v>307</v>
      </c>
      <c r="R244" s="1130">
        <v>2500000</v>
      </c>
      <c r="S244" s="1126" t="s">
        <v>416</v>
      </c>
      <c r="T244" s="1237"/>
      <c r="U244" s="1126"/>
      <c r="V244" s="1238"/>
      <c r="W244" s="1126"/>
      <c r="X244" s="1238"/>
      <c r="Y244" s="1126"/>
      <c r="Z244" s="1238"/>
      <c r="AA244" s="1126"/>
      <c r="AB244" s="1242">
        <v>1000000</v>
      </c>
      <c r="AC244" s="1126" t="s">
        <v>187</v>
      </c>
      <c r="AD244" s="1243"/>
      <c r="AE244" s="1158"/>
      <c r="AF244" s="1243"/>
      <c r="AG244" s="1158"/>
      <c r="AH244" s="1232" t="str">
        <f t="shared" si="39"/>
        <v>PI</v>
      </c>
      <c r="AI244" s="747">
        <f>SUM(J244,L244,N244,P244,R244,T244,V244,X244,Z244,AB244,AD244,AF244)</f>
        <v>11935000</v>
      </c>
      <c r="AJ244" s="747">
        <f>((COUNT((L244,N244,P244,R244,T244,V244,X244,Z244,AD244,AF244)))*2500000)+(J244+AB244)</f>
        <v>11935000</v>
      </c>
      <c r="AK244" s="747">
        <f t="shared" si="45"/>
        <v>0</v>
      </c>
      <c r="AL244" s="1170"/>
      <c r="AM244" s="1170"/>
      <c r="AN244" s="1209"/>
      <c r="AO244" s="1170"/>
      <c r="AP244" s="1209"/>
      <c r="AQ244" s="1128"/>
      <c r="AR244" s="1173"/>
      <c r="AT244" s="1173"/>
      <c r="AV244" s="1173"/>
      <c r="AX244" s="1173"/>
      <c r="AY244" s="1176"/>
      <c r="AZ244" s="1173"/>
    </row>
    <row r="245" spans="1:52" s="2" customFormat="1" x14ac:dyDescent="0.25">
      <c r="A245" s="72"/>
      <c r="B245" s="72"/>
      <c r="C245" s="62"/>
      <c r="D245" s="73"/>
      <c r="E245" s="63"/>
      <c r="F245" s="64" t="s">
        <v>61</v>
      </c>
      <c r="G245" s="63"/>
      <c r="H245" s="65" t="str">
        <f t="shared" si="46"/>
        <v xml:space="preserve">   </v>
      </c>
      <c r="I245" s="65" t="str">
        <f t="shared" si="47"/>
        <v xml:space="preserve">   </v>
      </c>
      <c r="J245" s="87"/>
      <c r="K245" s="1137"/>
      <c r="L245" s="87"/>
      <c r="M245" s="1137"/>
      <c r="N245" s="87"/>
      <c r="O245" s="1137"/>
      <c r="P245" s="87"/>
      <c r="Q245" s="1137"/>
      <c r="R245" s="87"/>
      <c r="S245" s="1141"/>
      <c r="T245" s="87"/>
      <c r="U245" s="1137"/>
      <c r="V245" s="87"/>
      <c r="W245" s="1137"/>
      <c r="X245" s="87"/>
      <c r="Y245" s="1137"/>
      <c r="Z245" s="87"/>
      <c r="AA245" s="1137"/>
      <c r="AB245" s="1229"/>
      <c r="AC245" s="1137"/>
      <c r="AD245" s="747"/>
      <c r="AE245" s="1155"/>
      <c r="AF245" s="747"/>
      <c r="AG245" s="1155"/>
      <c r="AH245" s="1168">
        <f t="shared" si="39"/>
        <v>0</v>
      </c>
      <c r="AI245" s="747"/>
      <c r="AJ245" s="747"/>
      <c r="AK245" s="747"/>
      <c r="AL245" s="1170"/>
      <c r="AM245" s="1170"/>
      <c r="AN245" s="1209"/>
      <c r="AO245" s="1170"/>
      <c r="AP245" s="1209"/>
      <c r="AQ245" s="1128"/>
      <c r="AR245" s="1173"/>
      <c r="AT245" s="1173"/>
      <c r="AV245" s="1173"/>
      <c r="AX245" s="1173"/>
      <c r="AY245" s="1176"/>
      <c r="AZ245" s="1173"/>
    </row>
    <row r="246" spans="1:52" s="2" customFormat="1" x14ac:dyDescent="0.25">
      <c r="A246" s="72"/>
      <c r="B246" s="54" t="s">
        <v>417</v>
      </c>
      <c r="C246" s="62"/>
      <c r="D246" s="74"/>
      <c r="E246" s="63"/>
      <c r="F246" s="64" t="s">
        <v>61</v>
      </c>
      <c r="G246" s="63"/>
      <c r="H246" s="65" t="str">
        <f t="shared" si="46"/>
        <v xml:space="preserve">   </v>
      </c>
      <c r="I246" s="65" t="str">
        <f t="shared" si="47"/>
        <v xml:space="preserve">   </v>
      </c>
      <c r="J246" s="87"/>
      <c r="K246" s="1137"/>
      <c r="L246" s="87"/>
      <c r="M246" s="1137"/>
      <c r="N246" s="87"/>
      <c r="O246" s="1137"/>
      <c r="P246" s="87"/>
      <c r="Q246" s="1137"/>
      <c r="R246" s="87"/>
      <c r="S246" s="1141"/>
      <c r="T246" s="87"/>
      <c r="U246" s="1137"/>
      <c r="V246" s="87"/>
      <c r="W246" s="1137"/>
      <c r="X246" s="87"/>
      <c r="Y246" s="1137"/>
      <c r="Z246" s="87"/>
      <c r="AA246" s="1137"/>
      <c r="AB246" s="1229"/>
      <c r="AC246" s="1137"/>
      <c r="AD246" s="747"/>
      <c r="AE246" s="1155"/>
      <c r="AF246" s="747"/>
      <c r="AG246" s="1155"/>
      <c r="AH246" s="1168">
        <f t="shared" si="39"/>
        <v>0</v>
      </c>
      <c r="AI246" s="1170"/>
      <c r="AJ246" s="747"/>
      <c r="AK246" s="747"/>
      <c r="AL246" s="1170"/>
      <c r="AM246" s="1170"/>
      <c r="AN246" s="1209"/>
      <c r="AO246" s="1170"/>
      <c r="AP246" s="1209"/>
      <c r="AQ246" s="1128"/>
      <c r="AR246" s="1173"/>
      <c r="AT246" s="1173"/>
      <c r="AV246" s="1173"/>
      <c r="AX246" s="1173"/>
      <c r="AY246" s="1176"/>
      <c r="AZ246" s="1173"/>
    </row>
    <row r="247" spans="1:52" s="2" customFormat="1" x14ac:dyDescent="0.25">
      <c r="A247" s="19">
        <v>231</v>
      </c>
      <c r="B247" s="67">
        <v>1</v>
      </c>
      <c r="C247" s="44">
        <v>49110079</v>
      </c>
      <c r="D247" s="43" t="s">
        <v>418</v>
      </c>
      <c r="E247" s="45" t="s">
        <v>32</v>
      </c>
      <c r="F247" s="67">
        <v>2010</v>
      </c>
      <c r="G247" s="45"/>
      <c r="H247" s="68" t="str">
        <f t="shared" si="46"/>
        <v xml:space="preserve">   </v>
      </c>
      <c r="I247" s="68" t="str">
        <f t="shared" si="47"/>
        <v xml:space="preserve">   </v>
      </c>
      <c r="J247" s="1130"/>
      <c r="K247" s="1126"/>
      <c r="L247" s="1130"/>
      <c r="M247" s="1126"/>
      <c r="N247" s="1130"/>
      <c r="O247" s="1126"/>
      <c r="P247" s="1130"/>
      <c r="Q247" s="1126"/>
      <c r="R247" s="1130"/>
      <c r="S247" s="1126"/>
      <c r="T247" s="1145"/>
      <c r="U247" s="1126"/>
      <c r="V247" s="1239"/>
      <c r="W247" s="1146"/>
      <c r="X247" s="1130"/>
      <c r="Y247" s="1126"/>
      <c r="Z247" s="1130"/>
      <c r="AA247" s="1126"/>
      <c r="AB247" s="1198"/>
      <c r="AC247" s="1126"/>
      <c r="AD247" s="1157"/>
      <c r="AE247" s="1158"/>
      <c r="AF247" s="1157"/>
      <c r="AG247" s="1158"/>
      <c r="AH247" s="1232" t="str">
        <f t="shared" si="39"/>
        <v>PI</v>
      </c>
      <c r="AI247" s="1248">
        <f>SUM(J247,L247,N247,P247,R247,T247,V247,X247,Z247,AB247,AD247,AF247)</f>
        <v>0</v>
      </c>
      <c r="AJ247" s="1248">
        <f>((COUNT((L247,N247,P247,R247,T247,V247,X247,Z247,AD247,AF247)))*L247)+(J247+AB247)</f>
        <v>0</v>
      </c>
      <c r="AK247" s="1248">
        <f t="shared" ref="AK247:AK259" si="48">AJ247-AI247</f>
        <v>0</v>
      </c>
      <c r="AL247" s="1170"/>
      <c r="AM247" s="1170"/>
      <c r="AN247" s="1209"/>
      <c r="AO247" s="1170"/>
      <c r="AP247" s="1209"/>
      <c r="AQ247" s="1128"/>
      <c r="AR247" s="1173"/>
      <c r="AT247" s="1173"/>
      <c r="AV247" s="1173"/>
      <c r="AX247" s="1173"/>
      <c r="AY247" s="1176"/>
      <c r="AZ247" s="1173"/>
    </row>
    <row r="248" spans="1:52" s="2" customFormat="1" x14ac:dyDescent="0.25">
      <c r="A248" s="19">
        <v>232</v>
      </c>
      <c r="B248" s="67">
        <v>2</v>
      </c>
      <c r="C248" s="44">
        <v>49110082</v>
      </c>
      <c r="D248" s="43" t="s">
        <v>419</v>
      </c>
      <c r="E248" s="45" t="s">
        <v>32</v>
      </c>
      <c r="F248" s="67">
        <v>2010</v>
      </c>
      <c r="G248" s="45"/>
      <c r="H248" s="68" t="str">
        <f t="shared" si="46"/>
        <v xml:space="preserve">   </v>
      </c>
      <c r="I248" s="68" t="str">
        <f t="shared" si="47"/>
        <v xml:space="preserve">   </v>
      </c>
      <c r="J248" s="1130"/>
      <c r="K248" s="1126"/>
      <c r="L248" s="1130"/>
      <c r="M248" s="1126"/>
      <c r="N248" s="1130"/>
      <c r="O248" s="1126"/>
      <c r="P248" s="1130"/>
      <c r="Q248" s="1126"/>
      <c r="R248" s="1130"/>
      <c r="S248" s="1126"/>
      <c r="T248" s="1145"/>
      <c r="U248" s="1126"/>
      <c r="V248" s="1239"/>
      <c r="W248" s="1126"/>
      <c r="X248" s="1130"/>
      <c r="Y248" s="1126"/>
      <c r="Z248" s="1130"/>
      <c r="AA248" s="1126"/>
      <c r="AB248" s="1198"/>
      <c r="AC248" s="1227"/>
      <c r="AD248" s="1157"/>
      <c r="AE248" s="1158"/>
      <c r="AF248" s="1157"/>
      <c r="AG248" s="1158"/>
      <c r="AH248" s="1232" t="str">
        <f t="shared" si="39"/>
        <v>PI</v>
      </c>
      <c r="AI248" s="1248">
        <f>SUM(J248,L248,N248,P248,R248,T248,V248,X248,Z248,AB248,AD248,AF248)</f>
        <v>0</v>
      </c>
      <c r="AJ248" s="1248">
        <f>((COUNT((L248,N248,P248,R248,T248,V248,X248,Z248,AD248,AF248)))*L248)+(J248+AB248)</f>
        <v>0</v>
      </c>
      <c r="AK248" s="1248">
        <f t="shared" si="48"/>
        <v>0</v>
      </c>
      <c r="AL248" s="1170"/>
      <c r="AM248" s="1170"/>
      <c r="AN248" s="1209"/>
      <c r="AO248" s="1170"/>
      <c r="AP248" s="1209"/>
      <c r="AQ248" s="1128"/>
      <c r="AR248" s="1173"/>
      <c r="AT248" s="1173"/>
      <c r="AV248" s="1173"/>
      <c r="AX248" s="1173"/>
      <c r="AY248" s="1176"/>
      <c r="AZ248" s="1173"/>
    </row>
    <row r="249" spans="1:52" s="2" customFormat="1" x14ac:dyDescent="0.25">
      <c r="A249" s="19">
        <v>233</v>
      </c>
      <c r="B249" s="59">
        <v>3</v>
      </c>
      <c r="C249" s="40">
        <v>849110074</v>
      </c>
      <c r="D249" s="39" t="s">
        <v>420</v>
      </c>
      <c r="E249" s="23" t="s">
        <v>32</v>
      </c>
      <c r="F249" s="59">
        <v>2010</v>
      </c>
      <c r="G249" s="31" t="s">
        <v>33</v>
      </c>
      <c r="H249" s="24" t="str">
        <f t="shared" si="46"/>
        <v xml:space="preserve">   </v>
      </c>
      <c r="I249" s="24">
        <f t="shared" si="47"/>
        <v>41275</v>
      </c>
      <c r="J249" s="1178"/>
      <c r="K249" s="1124"/>
      <c r="L249" s="1178"/>
      <c r="M249" s="1124"/>
      <c r="N249" s="1178">
        <v>3000000</v>
      </c>
      <c r="O249" s="1124" t="s">
        <v>207</v>
      </c>
      <c r="P249" s="1178">
        <v>3000000</v>
      </c>
      <c r="Q249" s="1124" t="s">
        <v>93</v>
      </c>
      <c r="R249" s="1178">
        <v>3000000</v>
      </c>
      <c r="S249" s="1124">
        <v>41068</v>
      </c>
      <c r="T249" s="1188">
        <v>3000000</v>
      </c>
      <c r="U249" s="1143" t="s">
        <v>421</v>
      </c>
      <c r="V249" s="1239"/>
      <c r="W249" s="1196"/>
      <c r="X249" s="1240"/>
      <c r="Y249" s="1196"/>
      <c r="Z249" s="1240"/>
      <c r="AA249" s="1196"/>
      <c r="AB249" s="1244">
        <v>1000000</v>
      </c>
      <c r="AC249" s="1245" t="s">
        <v>422</v>
      </c>
      <c r="AD249" s="1246"/>
      <c r="AE249" s="1247"/>
      <c r="AF249" s="1246"/>
      <c r="AG249" s="1247"/>
      <c r="AH249" s="1232" t="str">
        <f t="shared" si="39"/>
        <v>PI</v>
      </c>
      <c r="AI249" s="747">
        <f>SUM(J249,L249,N249,P249,R249,T249,V249,X249,Z249,AB249,AD249,AF249)</f>
        <v>13000000</v>
      </c>
      <c r="AJ249" s="747">
        <f>((COUNT((L249,N249,P249,R249,T249,V249,X249,Z249,AD249,AF249)))*3000000)+(J249+AB249)</f>
        <v>13000000</v>
      </c>
      <c r="AK249" s="747">
        <f t="shared" si="48"/>
        <v>0</v>
      </c>
      <c r="AL249" s="1170"/>
      <c r="AM249" s="1170"/>
      <c r="AN249" s="1209"/>
      <c r="AO249" s="1170"/>
      <c r="AP249" s="1209"/>
      <c r="AQ249" s="1128"/>
      <c r="AR249" s="1173"/>
      <c r="AT249" s="1173"/>
      <c r="AV249" s="1173"/>
      <c r="AX249" s="1173"/>
      <c r="AY249" s="1176"/>
      <c r="AZ249" s="1173"/>
    </row>
    <row r="250" spans="1:52" s="2" customFormat="1" x14ac:dyDescent="0.25">
      <c r="A250" s="19">
        <v>234</v>
      </c>
      <c r="B250" s="67">
        <v>4</v>
      </c>
      <c r="C250" s="44">
        <v>49110083</v>
      </c>
      <c r="D250" s="43" t="s">
        <v>423</v>
      </c>
      <c r="E250" s="45" t="s">
        <v>32</v>
      </c>
      <c r="F250" s="67">
        <v>2010</v>
      </c>
      <c r="G250" s="45"/>
      <c r="H250" s="68" t="str">
        <f t="shared" si="46"/>
        <v xml:space="preserve">   </v>
      </c>
      <c r="I250" s="68" t="str">
        <f t="shared" si="47"/>
        <v xml:space="preserve">   </v>
      </c>
      <c r="J250" s="1130"/>
      <c r="K250" s="1126"/>
      <c r="L250" s="1130"/>
      <c r="M250" s="1126"/>
      <c r="N250" s="1130">
        <v>3000000</v>
      </c>
      <c r="O250" s="1126" t="s">
        <v>224</v>
      </c>
      <c r="P250" s="1130">
        <v>3000000</v>
      </c>
      <c r="Q250" s="1126" t="s">
        <v>351</v>
      </c>
      <c r="R250" s="1130"/>
      <c r="S250" s="1126"/>
      <c r="T250" s="1145"/>
      <c r="U250" s="1227"/>
      <c r="V250" s="1239"/>
      <c r="W250" s="1126"/>
      <c r="X250" s="1130"/>
      <c r="Y250" s="1126"/>
      <c r="Z250" s="1130"/>
      <c r="AA250" s="1126"/>
      <c r="AB250" s="1198"/>
      <c r="AC250" s="1227"/>
      <c r="AD250" s="1157"/>
      <c r="AE250" s="1158"/>
      <c r="AF250" s="1157"/>
      <c r="AG250" s="1158"/>
      <c r="AH250" s="1232" t="str">
        <f t="shared" si="39"/>
        <v>PI</v>
      </c>
      <c r="AI250" s="1248">
        <f>SUM(J250,L250,N250,P250,R250,T250,V250,X250,Z250,AB250,AD250,AF250)</f>
        <v>6000000</v>
      </c>
      <c r="AJ250" s="1248">
        <f>((COUNT((L250,N250,P250,R250,T250,V250,X250,Z250,AD250,AF250)))*3000000)+(J250+AB250)</f>
        <v>6000000</v>
      </c>
      <c r="AK250" s="1248">
        <f t="shared" si="48"/>
        <v>0</v>
      </c>
      <c r="AL250" s="1170"/>
      <c r="AM250" s="1170"/>
      <c r="AN250" s="1209"/>
      <c r="AO250" s="1170"/>
      <c r="AP250" s="1209"/>
      <c r="AQ250" s="1128"/>
      <c r="AR250" s="1173"/>
      <c r="AT250" s="1173"/>
      <c r="AV250" s="1173"/>
      <c r="AX250" s="1173"/>
      <c r="AY250" s="1176"/>
      <c r="AZ250" s="1173"/>
    </row>
    <row r="251" spans="1:52" s="2" customFormat="1" x14ac:dyDescent="0.25">
      <c r="A251" s="19">
        <v>235</v>
      </c>
      <c r="B251" s="57">
        <v>5</v>
      </c>
      <c r="C251" s="38">
        <v>849110069</v>
      </c>
      <c r="D251" s="37" t="s">
        <v>424</v>
      </c>
      <c r="E251" s="28" t="s">
        <v>32</v>
      </c>
      <c r="F251" s="57">
        <v>2010</v>
      </c>
      <c r="G251" s="28"/>
      <c r="H251" s="58" t="str">
        <f t="shared" si="46"/>
        <v xml:space="preserve">   </v>
      </c>
      <c r="I251" s="58" t="str">
        <f t="shared" si="47"/>
        <v xml:space="preserve">   </v>
      </c>
      <c r="J251" s="1130"/>
      <c r="K251" s="1126"/>
      <c r="L251" s="1130"/>
      <c r="M251" s="1126"/>
      <c r="N251" s="1130">
        <v>3000000</v>
      </c>
      <c r="O251" s="1126" t="s">
        <v>154</v>
      </c>
      <c r="P251" s="1130">
        <v>3000000</v>
      </c>
      <c r="Q251" s="1126" t="s">
        <v>125</v>
      </c>
      <c r="R251" s="1130">
        <v>3000000</v>
      </c>
      <c r="S251" s="1126">
        <v>40976</v>
      </c>
      <c r="T251" s="1145"/>
      <c r="U251" s="1227"/>
      <c r="V251" s="1239"/>
      <c r="W251" s="1126"/>
      <c r="X251" s="1130"/>
      <c r="Y251" s="1126"/>
      <c r="Z251" s="1130"/>
      <c r="AA251" s="1126"/>
      <c r="AB251" s="1198"/>
      <c r="AC251" s="1227"/>
      <c r="AD251" s="1157"/>
      <c r="AE251" s="1158"/>
      <c r="AF251" s="1157"/>
      <c r="AG251" s="1158"/>
      <c r="AH251" s="1232" t="str">
        <f t="shared" si="39"/>
        <v>PI</v>
      </c>
      <c r="AI251" s="747">
        <f>SUM(J251,L251,N251,P251,R251,T251,V251,X251,Z251,AB251,AD251,AF251)</f>
        <v>9000000</v>
      </c>
      <c r="AJ251" s="747">
        <f>((COUNT((L251,N251,P251,R251,T251,V251,X251,Z251,AD251,AF251)))*3000000)+(J251+AB251)</f>
        <v>9000000</v>
      </c>
      <c r="AK251" s="747">
        <f t="shared" si="48"/>
        <v>0</v>
      </c>
      <c r="AL251" s="1170"/>
      <c r="AM251" s="1170"/>
      <c r="AN251" s="1209"/>
      <c r="AO251" s="1170"/>
      <c r="AP251" s="1209"/>
      <c r="AQ251" s="1128"/>
      <c r="AR251" s="1173"/>
      <c r="AT251" s="1173"/>
      <c r="AV251" s="1173"/>
      <c r="AX251" s="1173"/>
      <c r="AY251" s="1176"/>
      <c r="AZ251" s="1173"/>
    </row>
    <row r="252" spans="1:52" s="2" customFormat="1" x14ac:dyDescent="0.25">
      <c r="A252" s="19">
        <v>236</v>
      </c>
      <c r="B252" s="59">
        <v>6</v>
      </c>
      <c r="C252" s="40">
        <v>849110110</v>
      </c>
      <c r="D252" s="39" t="s">
        <v>425</v>
      </c>
      <c r="E252" s="23" t="s">
        <v>32</v>
      </c>
      <c r="F252" s="59">
        <v>2010</v>
      </c>
      <c r="G252" s="23" t="s">
        <v>33</v>
      </c>
      <c r="H252" s="60" t="str">
        <f t="shared" si="46"/>
        <v xml:space="preserve">   </v>
      </c>
      <c r="I252" s="60">
        <f t="shared" si="47"/>
        <v>42143</v>
      </c>
      <c r="J252" s="1178"/>
      <c r="K252" s="1124"/>
      <c r="L252" s="1178">
        <f>3000000+1200000</f>
        <v>4200000</v>
      </c>
      <c r="M252" s="1124">
        <v>40521</v>
      </c>
      <c r="N252" s="1178">
        <v>1000000</v>
      </c>
      <c r="O252" s="1124" t="s">
        <v>307</v>
      </c>
      <c r="P252" s="1178">
        <v>3000000</v>
      </c>
      <c r="Q252" s="1124">
        <v>41155</v>
      </c>
      <c r="R252" s="1178">
        <v>0</v>
      </c>
      <c r="S252" s="1124"/>
      <c r="T252" s="1188">
        <v>8000000</v>
      </c>
      <c r="U252" s="1143" t="s">
        <v>426</v>
      </c>
      <c r="V252" s="1178">
        <v>3000000</v>
      </c>
      <c r="W252" s="1124">
        <v>41956</v>
      </c>
      <c r="X252" s="1178">
        <v>3000000</v>
      </c>
      <c r="Y252" s="1143" t="s">
        <v>427</v>
      </c>
      <c r="Z252" s="1178">
        <v>3000000</v>
      </c>
      <c r="AA252" s="1124" t="s">
        <v>427</v>
      </c>
      <c r="AB252" s="1244">
        <v>1000000</v>
      </c>
      <c r="AC252" s="1245" t="s">
        <v>428</v>
      </c>
      <c r="AD252" s="1246"/>
      <c r="AE252" s="1247"/>
      <c r="AF252" s="1246"/>
      <c r="AG252" s="1247"/>
      <c r="AH252" s="1232" t="str">
        <f t="shared" si="39"/>
        <v>PI</v>
      </c>
      <c r="AI252" s="747" t="e">
        <f>SUM(J252,L252,N252,P252,R252,T252,V252,X252,Z252,AB252,AD252,AF252,#REF!)</f>
        <v>#REF!</v>
      </c>
      <c r="AJ252" s="747">
        <f>((COUNT((L252,N252,P252,R252,T252,V252,X252,Z252,AD252,AF252)))*3000000)+(J252+AB252)</f>
        <v>25000000</v>
      </c>
      <c r="AK252" s="747" t="e">
        <f t="shared" si="48"/>
        <v>#REF!</v>
      </c>
      <c r="AL252" s="1170"/>
      <c r="AM252" s="1170"/>
      <c r="AN252" s="1209"/>
      <c r="AO252" s="1170"/>
      <c r="AP252" s="1209"/>
      <c r="AQ252" s="1128"/>
      <c r="AR252" s="1173"/>
      <c r="AT252" s="1173"/>
      <c r="AV252" s="1173"/>
      <c r="AX252" s="1173"/>
      <c r="AY252" s="1176"/>
      <c r="AZ252" s="1173"/>
    </row>
    <row r="253" spans="1:52" s="2" customFormat="1" x14ac:dyDescent="0.25">
      <c r="A253" s="19">
        <v>237</v>
      </c>
      <c r="B253" s="67">
        <v>7</v>
      </c>
      <c r="C253" s="44">
        <v>49110107</v>
      </c>
      <c r="D253" s="43" t="s">
        <v>429</v>
      </c>
      <c r="E253" s="45" t="s">
        <v>32</v>
      </c>
      <c r="F253" s="67">
        <v>2010</v>
      </c>
      <c r="G253" s="45"/>
      <c r="H253" s="68" t="str">
        <f t="shared" si="46"/>
        <v xml:space="preserve">   </v>
      </c>
      <c r="I253" s="68" t="str">
        <f t="shared" si="47"/>
        <v xml:space="preserve">   </v>
      </c>
      <c r="J253" s="1130"/>
      <c r="K253" s="1126"/>
      <c r="L253" s="1130"/>
      <c r="M253" s="1126"/>
      <c r="N253" s="1130"/>
      <c r="O253" s="1126"/>
      <c r="P253" s="1130"/>
      <c r="Q253" s="1126"/>
      <c r="R253" s="1130"/>
      <c r="S253" s="1126"/>
      <c r="T253" s="1145"/>
      <c r="U253" s="1227"/>
      <c r="V253" s="1130"/>
      <c r="W253" s="1126"/>
      <c r="X253" s="1130"/>
      <c r="Y253" s="1227"/>
      <c r="Z253" s="1130"/>
      <c r="AA253" s="1126"/>
      <c r="AB253" s="1198"/>
      <c r="AC253" s="1227"/>
      <c r="AD253" s="1157"/>
      <c r="AE253" s="1158"/>
      <c r="AF253" s="1157"/>
      <c r="AG253" s="1158"/>
      <c r="AH253" s="1232" t="str">
        <f t="shared" si="39"/>
        <v>PI</v>
      </c>
      <c r="AI253" s="1248">
        <f>SUM(J253,L253,N253,P253,R253,T253,V253,X253,Z253,AB253,AD253,AF253)</f>
        <v>0</v>
      </c>
      <c r="AJ253" s="1248">
        <f>((COUNT((L253,N253,P253,R253,T253,V253,X253,Z253,AD253,AF253)))*L253)+(J253+AB253)</f>
        <v>0</v>
      </c>
      <c r="AK253" s="1248">
        <f t="shared" si="48"/>
        <v>0</v>
      </c>
      <c r="AL253" s="1170"/>
      <c r="AM253" s="1170"/>
      <c r="AN253" s="1209"/>
      <c r="AO253" s="1170"/>
      <c r="AP253" s="1209"/>
      <c r="AQ253" s="1128"/>
      <c r="AR253" s="1173"/>
      <c r="AT253" s="1173"/>
      <c r="AV253" s="1173"/>
      <c r="AX253" s="1173"/>
      <c r="AY253" s="1176"/>
      <c r="AZ253" s="1173"/>
    </row>
    <row r="254" spans="1:52" s="2" customFormat="1" x14ac:dyDescent="0.25">
      <c r="A254" s="19">
        <v>238</v>
      </c>
      <c r="B254" s="67">
        <v>8</v>
      </c>
      <c r="C254" s="44">
        <v>49110070</v>
      </c>
      <c r="D254" s="43" t="s">
        <v>430</v>
      </c>
      <c r="E254" s="45" t="s">
        <v>32</v>
      </c>
      <c r="F254" s="67">
        <v>2010</v>
      </c>
      <c r="G254" s="45"/>
      <c r="H254" s="68" t="str">
        <f t="shared" si="46"/>
        <v xml:space="preserve">   </v>
      </c>
      <c r="I254" s="68" t="str">
        <f t="shared" si="47"/>
        <v xml:space="preserve">   </v>
      </c>
      <c r="J254" s="1130"/>
      <c r="K254" s="1126"/>
      <c r="L254" s="1130"/>
      <c r="M254" s="1126"/>
      <c r="N254" s="1130"/>
      <c r="O254" s="1126"/>
      <c r="P254" s="1130"/>
      <c r="Q254" s="1126"/>
      <c r="R254" s="1130"/>
      <c r="S254" s="1126"/>
      <c r="T254" s="1145"/>
      <c r="U254" s="1227"/>
      <c r="V254" s="1130"/>
      <c r="W254" s="1126"/>
      <c r="X254" s="1130"/>
      <c r="Y254" s="1227"/>
      <c r="Z254" s="1130"/>
      <c r="AA254" s="1126"/>
      <c r="AB254" s="1198"/>
      <c r="AC254" s="1227"/>
      <c r="AD254" s="1157"/>
      <c r="AE254" s="1158"/>
      <c r="AF254" s="1157"/>
      <c r="AG254" s="1158"/>
      <c r="AH254" s="1232" t="str">
        <f t="shared" si="39"/>
        <v>PI</v>
      </c>
      <c r="AI254" s="1248">
        <f>SUM(J254,L254,N254,P254,R254,T254,V254,X254,Z254,AB254,AD254,AF254)</f>
        <v>0</v>
      </c>
      <c r="AJ254" s="1248">
        <f>((COUNT((L254,N254,P254,R254,T254,V254,X254,Z254,AD254,AF254)))*L254)+(J254+AB254)</f>
        <v>0</v>
      </c>
      <c r="AK254" s="1248">
        <f t="shared" si="48"/>
        <v>0</v>
      </c>
      <c r="AL254" s="1170"/>
      <c r="AM254" s="1170"/>
      <c r="AN254" s="1209"/>
      <c r="AO254" s="1170"/>
      <c r="AP254" s="1209"/>
      <c r="AQ254" s="1128"/>
      <c r="AR254" s="1173"/>
      <c r="AT254" s="1173"/>
      <c r="AV254" s="1173"/>
      <c r="AX254" s="1173"/>
      <c r="AY254" s="1176"/>
      <c r="AZ254" s="1173"/>
    </row>
    <row r="255" spans="1:52" s="2" customFormat="1" x14ac:dyDescent="0.25">
      <c r="A255" s="19">
        <v>239</v>
      </c>
      <c r="B255" s="59">
        <v>9</v>
      </c>
      <c r="C255" s="40">
        <v>849110072</v>
      </c>
      <c r="D255" s="39" t="s">
        <v>431</v>
      </c>
      <c r="E255" s="23" t="s">
        <v>32</v>
      </c>
      <c r="F255" s="59">
        <v>2010</v>
      </c>
      <c r="G255" s="23" t="s">
        <v>33</v>
      </c>
      <c r="H255" s="60" t="str">
        <f t="shared" si="46"/>
        <v xml:space="preserve">   </v>
      </c>
      <c r="I255" s="60">
        <f t="shared" si="47"/>
        <v>42504</v>
      </c>
      <c r="J255" s="1178"/>
      <c r="K255" s="1124"/>
      <c r="L255" s="1178"/>
      <c r="M255" s="1124"/>
      <c r="N255" s="1178">
        <v>3000000</v>
      </c>
      <c r="O255" s="1124" t="s">
        <v>215</v>
      </c>
      <c r="P255" s="1178">
        <v>3000000</v>
      </c>
      <c r="Q255" s="1124" t="s">
        <v>93</v>
      </c>
      <c r="R255" s="1178">
        <v>3000000</v>
      </c>
      <c r="S255" s="1124">
        <v>40947</v>
      </c>
      <c r="T255" s="1188">
        <v>3000000</v>
      </c>
      <c r="U255" s="1143">
        <v>41428</v>
      </c>
      <c r="V255" s="1222" t="s">
        <v>137</v>
      </c>
      <c r="W255" s="1241"/>
      <c r="X255" s="1178">
        <v>3000000</v>
      </c>
      <c r="Y255" s="1143" t="s">
        <v>432</v>
      </c>
      <c r="Z255" s="1178">
        <v>3000000</v>
      </c>
      <c r="AA255" s="1124" t="s">
        <v>433</v>
      </c>
      <c r="AB255" s="1244">
        <v>1000000</v>
      </c>
      <c r="AC255" s="1143" t="s">
        <v>433</v>
      </c>
      <c r="AD255" s="1199">
        <v>3000000</v>
      </c>
      <c r="AE255" s="1206">
        <v>42264</v>
      </c>
      <c r="AF255" s="1199"/>
      <c r="AG255" s="1206"/>
      <c r="AH255" s="1232" t="str">
        <f t="shared" si="39"/>
        <v>PI</v>
      </c>
      <c r="AI255" s="747">
        <f>SUM(J255,L255,N255,P255,R255,T255,X255,Z255,AB255,AD255,AF255)</f>
        <v>22000000</v>
      </c>
      <c r="AJ255" s="747">
        <f>((COUNT((L255,N255,P255,R255,T255,V255,X255,Z255,AD255,AF255)))*3000000)+(J255+AB255)</f>
        <v>22000000</v>
      </c>
      <c r="AK255" s="747">
        <f t="shared" si="48"/>
        <v>0</v>
      </c>
      <c r="AL255" s="1170"/>
      <c r="AM255" s="1170"/>
      <c r="AN255" s="1209"/>
      <c r="AO255" s="1170"/>
      <c r="AP255" s="1209"/>
      <c r="AQ255" s="1128"/>
      <c r="AR255" s="1173"/>
      <c r="AT255" s="1173"/>
      <c r="AV255" s="1173"/>
      <c r="AX255" s="1173"/>
      <c r="AY255" s="1176"/>
      <c r="AZ255" s="1173"/>
    </row>
    <row r="256" spans="1:52" s="2" customFormat="1" x14ac:dyDescent="0.25">
      <c r="A256" s="19">
        <v>240</v>
      </c>
      <c r="B256" s="67">
        <v>10</v>
      </c>
      <c r="C256" s="44">
        <v>49110073</v>
      </c>
      <c r="D256" s="43" t="s">
        <v>434</v>
      </c>
      <c r="E256" s="45" t="s">
        <v>32</v>
      </c>
      <c r="F256" s="67">
        <v>2010</v>
      </c>
      <c r="G256" s="45"/>
      <c r="H256" s="68" t="str">
        <f t="shared" si="46"/>
        <v xml:space="preserve">   </v>
      </c>
      <c r="I256" s="68" t="str">
        <f t="shared" si="47"/>
        <v xml:space="preserve">   </v>
      </c>
      <c r="J256" s="1130"/>
      <c r="K256" s="1126"/>
      <c r="L256" s="1130"/>
      <c r="M256" s="1126"/>
      <c r="N256" s="1130"/>
      <c r="O256" s="1126"/>
      <c r="P256" s="1130"/>
      <c r="Q256" s="1126"/>
      <c r="R256" s="1130"/>
      <c r="S256" s="1126"/>
      <c r="T256" s="1145"/>
      <c r="U256" s="1227"/>
      <c r="V256" s="1130"/>
      <c r="W256" s="1126"/>
      <c r="X256" s="1130"/>
      <c r="Y256" s="1126"/>
      <c r="Z256" s="1130"/>
      <c r="AA256" s="1126"/>
      <c r="AB256" s="1198"/>
      <c r="AC256" s="1227"/>
      <c r="AD256" s="1157"/>
      <c r="AE256" s="1158"/>
      <c r="AF256" s="1157"/>
      <c r="AG256" s="1158"/>
      <c r="AH256" s="1232" t="str">
        <f t="shared" si="39"/>
        <v>PI</v>
      </c>
      <c r="AI256" s="1248">
        <f>SUM(J256,L256,N256,P256,R256,T256,V256,X256,Z256,AB256,AD256,AF256)</f>
        <v>0</v>
      </c>
      <c r="AJ256" s="1248">
        <f>((COUNT((L256,N256,P256,R256,T256,V256,X256,Z256,AD256,AF256)))*L256)+(J256+AB256)</f>
        <v>0</v>
      </c>
      <c r="AK256" s="1248">
        <f t="shared" si="48"/>
        <v>0</v>
      </c>
      <c r="AL256" s="1170"/>
      <c r="AM256" s="1170"/>
      <c r="AN256" s="1209"/>
      <c r="AO256" s="1170"/>
      <c r="AP256" s="1209"/>
      <c r="AQ256" s="1128"/>
      <c r="AR256" s="1173"/>
      <c r="AT256" s="1173"/>
      <c r="AV256" s="1173"/>
      <c r="AX256" s="1173"/>
      <c r="AY256" s="1176"/>
      <c r="AZ256" s="1173"/>
    </row>
    <row r="257" spans="1:52" s="2" customFormat="1" x14ac:dyDescent="0.25">
      <c r="A257" s="19">
        <v>241</v>
      </c>
      <c r="B257" s="59">
        <v>11</v>
      </c>
      <c r="C257" s="40">
        <v>849110080</v>
      </c>
      <c r="D257" s="39" t="s">
        <v>435</v>
      </c>
      <c r="E257" s="23" t="s">
        <v>32</v>
      </c>
      <c r="F257" s="59">
        <v>2010</v>
      </c>
      <c r="G257" s="31" t="s">
        <v>33</v>
      </c>
      <c r="H257" s="24" t="str">
        <f t="shared" si="46"/>
        <v xml:space="preserve">   </v>
      </c>
      <c r="I257" s="24">
        <f t="shared" si="47"/>
        <v>41640</v>
      </c>
      <c r="J257" s="1249"/>
      <c r="K257" s="1124"/>
      <c r="L257" s="1178"/>
      <c r="M257" s="1124"/>
      <c r="N257" s="1178">
        <v>3000000</v>
      </c>
      <c r="O257" s="1124" t="s">
        <v>215</v>
      </c>
      <c r="P257" s="1178">
        <v>3000000</v>
      </c>
      <c r="Q257" s="1124" t="s">
        <v>98</v>
      </c>
      <c r="R257" s="1178">
        <v>3000000</v>
      </c>
      <c r="S257" s="1124" t="s">
        <v>436</v>
      </c>
      <c r="T257" s="1188">
        <v>3000000</v>
      </c>
      <c r="U257" s="1143">
        <v>41309</v>
      </c>
      <c r="V257" s="1178">
        <v>3000000</v>
      </c>
      <c r="W257" s="1124" t="s">
        <v>437</v>
      </c>
      <c r="X257" s="1240"/>
      <c r="Y257" s="1196"/>
      <c r="Z257" s="1240"/>
      <c r="AA257" s="1196"/>
      <c r="AB257" s="1244">
        <v>1000000</v>
      </c>
      <c r="AC257" s="1245" t="s">
        <v>437</v>
      </c>
      <c r="AD257" s="1246"/>
      <c r="AE257" s="1247"/>
      <c r="AF257" s="1246"/>
      <c r="AG257" s="1247"/>
      <c r="AH257" s="1232" t="str">
        <f t="shared" si="39"/>
        <v>PI</v>
      </c>
      <c r="AI257" s="747">
        <f>SUM(J257,L257,N257,P257,R257,T257,V257,X257,Z257,AB257,AD257,AF257)</f>
        <v>16000000</v>
      </c>
      <c r="AJ257" s="747">
        <f>((COUNT((L257,N257,P257,R257,T257,V257,X257,Z257,AD257,AF257)))*3000000)+(J257+AB257)</f>
        <v>16000000</v>
      </c>
      <c r="AK257" s="747">
        <f t="shared" si="48"/>
        <v>0</v>
      </c>
      <c r="AL257" s="1170"/>
      <c r="AM257" s="1170"/>
      <c r="AN257" s="1209"/>
      <c r="AO257" s="1170"/>
      <c r="AP257" s="1209"/>
      <c r="AQ257" s="1128"/>
      <c r="AR257" s="1173"/>
      <c r="AT257" s="1173"/>
      <c r="AV257" s="1173"/>
      <c r="AX257" s="1173"/>
      <c r="AY257" s="1176"/>
      <c r="AZ257" s="1173"/>
    </row>
    <row r="258" spans="1:52" s="2" customFormat="1" x14ac:dyDescent="0.25">
      <c r="A258" s="19">
        <v>242</v>
      </c>
      <c r="B258" s="59">
        <v>12</v>
      </c>
      <c r="C258" s="40">
        <v>849110081</v>
      </c>
      <c r="D258" s="39" t="s">
        <v>438</v>
      </c>
      <c r="E258" s="23" t="s">
        <v>32</v>
      </c>
      <c r="F258" s="59">
        <v>2010</v>
      </c>
      <c r="G258" s="31" t="s">
        <v>33</v>
      </c>
      <c r="H258" s="24" t="str">
        <f t="shared" si="46"/>
        <v xml:space="preserve">   </v>
      </c>
      <c r="I258" s="24">
        <f t="shared" si="47"/>
        <v>41275</v>
      </c>
      <c r="J258" s="1249"/>
      <c r="K258" s="1124"/>
      <c r="L258" s="1178"/>
      <c r="M258" s="1124"/>
      <c r="N258" s="1178">
        <v>3000000</v>
      </c>
      <c r="O258" s="1124" t="s">
        <v>394</v>
      </c>
      <c r="P258" s="1178">
        <v>3000000</v>
      </c>
      <c r="Q258" s="1124" t="s">
        <v>98</v>
      </c>
      <c r="R258" s="1178">
        <v>3000000</v>
      </c>
      <c r="S258" s="1124" t="s">
        <v>370</v>
      </c>
      <c r="T258" s="1188"/>
      <c r="U258" s="1143"/>
      <c r="V258" s="1178"/>
      <c r="W258" s="1124"/>
      <c r="X258" s="1240"/>
      <c r="Y258" s="1196"/>
      <c r="Z258" s="1240"/>
      <c r="AA258" s="1196"/>
      <c r="AB258" s="1244"/>
      <c r="AC258" s="1245"/>
      <c r="AD258" s="1246"/>
      <c r="AE258" s="1247"/>
      <c r="AF258" s="1246"/>
      <c r="AG258" s="1247"/>
      <c r="AH258" s="1232" t="str">
        <f t="shared" si="39"/>
        <v>PI</v>
      </c>
      <c r="AI258" s="747">
        <f>SUM(J258,L258,N258,P258,R258,T258,V258,X258,Z258,AB258,AD258,AF258)</f>
        <v>9000000</v>
      </c>
      <c r="AJ258" s="747">
        <f>((COUNT((L258,N258,P258,R258,T258,V258,X258,Z258,AD258,AF258)))*3000000)+(J258+AB258)</f>
        <v>9000000</v>
      </c>
      <c r="AK258" s="747">
        <f t="shared" si="48"/>
        <v>0</v>
      </c>
      <c r="AL258" s="1170"/>
      <c r="AM258" s="1170"/>
      <c r="AN258" s="1209"/>
      <c r="AO258" s="1170"/>
      <c r="AP258" s="1209"/>
      <c r="AQ258" s="1128"/>
      <c r="AR258" s="1173"/>
      <c r="AT258" s="1173"/>
      <c r="AV258" s="1173"/>
      <c r="AX258" s="1173"/>
      <c r="AY258" s="1176"/>
      <c r="AZ258" s="1173"/>
    </row>
    <row r="259" spans="1:52" s="2" customFormat="1" x14ac:dyDescent="0.25">
      <c r="A259" s="19">
        <v>243</v>
      </c>
      <c r="B259" s="57">
        <v>13</v>
      </c>
      <c r="C259" s="38">
        <v>49110066</v>
      </c>
      <c r="D259" s="37" t="s">
        <v>439</v>
      </c>
      <c r="E259" s="28" t="s">
        <v>32</v>
      </c>
      <c r="F259" s="57">
        <v>2010</v>
      </c>
      <c r="G259" s="28"/>
      <c r="H259" s="58" t="str">
        <f t="shared" si="46"/>
        <v xml:space="preserve">   </v>
      </c>
      <c r="I259" s="58" t="str">
        <f t="shared" si="47"/>
        <v xml:space="preserve">   </v>
      </c>
      <c r="J259" s="1130"/>
      <c r="K259" s="1126"/>
      <c r="L259" s="1130"/>
      <c r="M259" s="1126"/>
      <c r="N259" s="1130">
        <f>1000000+2000000</f>
        <v>3000000</v>
      </c>
      <c r="O259" s="1126" t="s">
        <v>207</v>
      </c>
      <c r="P259" s="1130">
        <v>3000000</v>
      </c>
      <c r="Q259" s="1126" t="s">
        <v>365</v>
      </c>
      <c r="R259" s="1130"/>
      <c r="S259" s="1126"/>
      <c r="T259" s="1145">
        <v>3000000</v>
      </c>
      <c r="U259" s="1227" t="s">
        <v>440</v>
      </c>
      <c r="V259" s="1130"/>
      <c r="W259" s="1126"/>
      <c r="X259" s="1130"/>
      <c r="Y259" s="1126"/>
      <c r="Z259" s="1130"/>
      <c r="AA259" s="1126"/>
      <c r="AB259" s="1198"/>
      <c r="AC259" s="1227"/>
      <c r="AD259" s="1157"/>
      <c r="AE259" s="1158"/>
      <c r="AF259" s="1157"/>
      <c r="AG259" s="1158"/>
      <c r="AH259" s="1232" t="str">
        <f t="shared" si="39"/>
        <v>PI</v>
      </c>
      <c r="AI259" s="747" t="e">
        <f>SUM(J259,L259,N259,P259,R259,T259,V259,X259,Z259,AB259,AD259,AF259,#REF!)</f>
        <v>#REF!</v>
      </c>
      <c r="AJ259" s="747">
        <f>((COUNT((L259,N259,P259,R259,T259,V259,X259,Z259,AD259,AF259)))*3000000)+(J259+AB259)</f>
        <v>9000000</v>
      </c>
      <c r="AK259" s="747" t="e">
        <f t="shared" si="48"/>
        <v>#REF!</v>
      </c>
      <c r="AL259" s="1170"/>
      <c r="AM259" s="1170"/>
      <c r="AN259" s="1209"/>
      <c r="AO259" s="1170"/>
      <c r="AP259" s="1209"/>
      <c r="AQ259" s="1128"/>
      <c r="AR259" s="1173"/>
      <c r="AT259" s="1173"/>
      <c r="AV259" s="1173"/>
      <c r="AX259" s="1173"/>
      <c r="AY259" s="1176"/>
      <c r="AZ259" s="1173"/>
    </row>
    <row r="260" spans="1:52" s="2" customFormat="1" x14ac:dyDescent="0.25">
      <c r="A260" s="19">
        <v>244</v>
      </c>
      <c r="B260" s="59">
        <v>14</v>
      </c>
      <c r="C260" s="40">
        <v>849110078</v>
      </c>
      <c r="D260" s="39" t="s">
        <v>441</v>
      </c>
      <c r="E260" s="23" t="s">
        <v>32</v>
      </c>
      <c r="F260" s="59">
        <v>2010</v>
      </c>
      <c r="G260" s="31" t="s">
        <v>33</v>
      </c>
      <c r="H260" s="24" t="str">
        <f t="shared" si="46"/>
        <v xml:space="preserve">   </v>
      </c>
      <c r="I260" s="24">
        <f t="shared" si="47"/>
        <v>41275</v>
      </c>
      <c r="J260" s="1249"/>
      <c r="K260" s="1124"/>
      <c r="L260" s="1178"/>
      <c r="M260" s="1124"/>
      <c r="N260" s="1178">
        <v>3000000</v>
      </c>
      <c r="O260" s="1124" t="s">
        <v>224</v>
      </c>
      <c r="P260" s="1178"/>
      <c r="Q260" s="1124"/>
      <c r="R260" s="1178">
        <v>3000000</v>
      </c>
      <c r="S260" s="1124" t="s">
        <v>442</v>
      </c>
      <c r="T260" s="1188">
        <v>3000000</v>
      </c>
      <c r="U260" s="1143">
        <v>41337</v>
      </c>
      <c r="V260" s="1240"/>
      <c r="W260" s="1196"/>
      <c r="X260" s="1240"/>
      <c r="Y260" s="1196"/>
      <c r="Z260" s="1240"/>
      <c r="AA260" s="1196"/>
      <c r="AB260" s="1244">
        <v>1000000</v>
      </c>
      <c r="AC260" s="1245">
        <v>41582</v>
      </c>
      <c r="AD260" s="1246"/>
      <c r="AE260" s="1247"/>
      <c r="AF260" s="1246"/>
      <c r="AG260" s="1247"/>
      <c r="AH260" s="1232" t="str">
        <f t="shared" si="39"/>
        <v>PI</v>
      </c>
      <c r="AI260" s="747">
        <f>SUM(J260,L260,N260,P260,R260,T260,V260,X260,Z260,AB260,AD260,AF260)</f>
        <v>10000000</v>
      </c>
      <c r="AJ260" s="747">
        <f t="shared" ref="AJ260:AJ270" si="49">((COUNT((L260,N260,P260,R260,T260,V260,X260,Z260,AD260,AF260)))*3000000)+(J260+AB260)</f>
        <v>10000000</v>
      </c>
      <c r="AK260" s="747">
        <f t="shared" ref="AK260:AK270" si="50">AJ260-AI260</f>
        <v>0</v>
      </c>
      <c r="AL260" s="1170"/>
      <c r="AM260" s="1170"/>
      <c r="AN260" s="1209"/>
      <c r="AO260" s="1170"/>
      <c r="AP260" s="1209"/>
      <c r="AQ260" s="1128"/>
      <c r="AR260" s="1173"/>
      <c r="AT260" s="1173"/>
      <c r="AV260" s="1173"/>
      <c r="AX260" s="1173"/>
      <c r="AY260" s="1176"/>
      <c r="AZ260" s="1173"/>
    </row>
    <row r="261" spans="1:52" s="2" customFormat="1" x14ac:dyDescent="0.25">
      <c r="A261" s="19">
        <v>245</v>
      </c>
      <c r="B261" s="67">
        <v>15</v>
      </c>
      <c r="C261" s="44">
        <v>849110076</v>
      </c>
      <c r="D261" s="43" t="s">
        <v>443</v>
      </c>
      <c r="E261" s="45" t="s">
        <v>32</v>
      </c>
      <c r="F261" s="67">
        <v>2010</v>
      </c>
      <c r="G261" s="45"/>
      <c r="H261" s="68" t="str">
        <f t="shared" si="46"/>
        <v xml:space="preserve">   </v>
      </c>
      <c r="I261" s="68">
        <f t="shared" si="47"/>
        <v>41275</v>
      </c>
      <c r="J261" s="1181"/>
      <c r="K261" s="1180"/>
      <c r="L261" s="1181"/>
      <c r="M261" s="1180"/>
      <c r="N261" s="1181">
        <v>3000000</v>
      </c>
      <c r="O261" s="1180" t="s">
        <v>444</v>
      </c>
      <c r="P261" s="1130"/>
      <c r="Q261" s="1126"/>
      <c r="R261" s="1130"/>
      <c r="S261" s="1126"/>
      <c r="T261" s="1145"/>
      <c r="U261" s="1227"/>
      <c r="V261" s="1130"/>
      <c r="W261" s="1126"/>
      <c r="X261" s="1130"/>
      <c r="Y261" s="1126"/>
      <c r="Z261" s="1130"/>
      <c r="AA261" s="1126"/>
      <c r="AB261" s="1198"/>
      <c r="AC261" s="1227"/>
      <c r="AD261" s="1157"/>
      <c r="AE261" s="1158"/>
      <c r="AF261" s="1157"/>
      <c r="AG261" s="1158"/>
      <c r="AH261" s="1232" t="str">
        <f t="shared" ref="AH261:AH324" si="51">E261</f>
        <v>PI</v>
      </c>
      <c r="AI261" s="1248">
        <f>SUM(J261,L261,N261,P261,R261,T261,V261,X261,Z261,AB261,AD261,AF261)</f>
        <v>3000000</v>
      </c>
      <c r="AJ261" s="1248">
        <f t="shared" si="49"/>
        <v>9000000</v>
      </c>
      <c r="AK261" s="747">
        <f t="shared" si="50"/>
        <v>6000000</v>
      </c>
      <c r="AL261" s="1170"/>
      <c r="AM261" s="1170"/>
      <c r="AN261" s="1209"/>
      <c r="AO261" s="1170"/>
      <c r="AP261" s="1209"/>
      <c r="AQ261" s="1128"/>
      <c r="AR261" s="1173"/>
      <c r="AT261" s="1173"/>
      <c r="AV261" s="1173"/>
      <c r="AX261" s="1173"/>
      <c r="AY261" s="1176"/>
      <c r="AZ261" s="1173"/>
    </row>
    <row r="262" spans="1:52" s="2" customFormat="1" x14ac:dyDescent="0.25">
      <c r="A262" s="19">
        <v>246</v>
      </c>
      <c r="B262" s="59">
        <v>16</v>
      </c>
      <c r="C262" s="40">
        <v>849110077</v>
      </c>
      <c r="D262" s="39" t="s">
        <v>445</v>
      </c>
      <c r="E262" s="23" t="s">
        <v>32</v>
      </c>
      <c r="F262" s="59">
        <v>2010</v>
      </c>
      <c r="G262" s="23"/>
      <c r="H262" s="60" t="str">
        <f t="shared" si="46"/>
        <v xml:space="preserve">   </v>
      </c>
      <c r="I262" s="60" t="str">
        <f t="shared" si="47"/>
        <v xml:space="preserve">   </v>
      </c>
      <c r="J262" s="1178"/>
      <c r="K262" s="1124"/>
      <c r="L262" s="1178"/>
      <c r="M262" s="1124"/>
      <c r="N262" s="1178">
        <v>3000000</v>
      </c>
      <c r="O262" s="1124" t="s">
        <v>199</v>
      </c>
      <c r="P262" s="1178">
        <v>3000000</v>
      </c>
      <c r="Q262" s="1124" t="s">
        <v>98</v>
      </c>
      <c r="R262" s="1178">
        <v>3000000</v>
      </c>
      <c r="S262" s="1124">
        <v>41191</v>
      </c>
      <c r="T262" s="1188">
        <v>3000000</v>
      </c>
      <c r="U262" s="1143" t="s">
        <v>446</v>
      </c>
      <c r="V262" s="1130"/>
      <c r="W262" s="1126"/>
      <c r="X262" s="1130"/>
      <c r="Y262" s="1126"/>
      <c r="Z262" s="1130"/>
      <c r="AA262" s="1126"/>
      <c r="AB262" s="1198"/>
      <c r="AC262" s="1227"/>
      <c r="AD262" s="1157"/>
      <c r="AE262" s="1158"/>
      <c r="AF262" s="1157"/>
      <c r="AG262" s="1158"/>
      <c r="AH262" s="1232" t="str">
        <f t="shared" si="51"/>
        <v>PI</v>
      </c>
      <c r="AI262" s="747">
        <f>SUM(J262,L262,N262,P262,R262,T262,V262,X262,Z262,AB262,AD262,AF262)</f>
        <v>12000000</v>
      </c>
      <c r="AJ262" s="747">
        <f t="shared" si="49"/>
        <v>9000000</v>
      </c>
      <c r="AK262" s="747">
        <f t="shared" si="50"/>
        <v>-3000000</v>
      </c>
      <c r="AL262" s="1170"/>
      <c r="AM262" s="1170"/>
      <c r="AN262" s="1209"/>
      <c r="AO262" s="1170"/>
      <c r="AP262" s="1209"/>
      <c r="AQ262" s="1128"/>
      <c r="AR262" s="1173"/>
      <c r="AT262" s="1173"/>
      <c r="AV262" s="1173"/>
      <c r="AX262" s="1173"/>
      <c r="AY262" s="1176"/>
      <c r="AZ262" s="1173"/>
    </row>
    <row r="263" spans="1:52" s="2" customFormat="1" x14ac:dyDescent="0.25">
      <c r="A263" s="19">
        <v>247</v>
      </c>
      <c r="B263" s="59">
        <v>17</v>
      </c>
      <c r="C263" s="40">
        <v>849110068</v>
      </c>
      <c r="D263" s="39" t="s">
        <v>447</v>
      </c>
      <c r="E263" s="23" t="s">
        <v>32</v>
      </c>
      <c r="F263" s="59">
        <v>2010</v>
      </c>
      <c r="G263" s="31" t="s">
        <v>33</v>
      </c>
      <c r="H263" s="24" t="str">
        <f t="shared" si="46"/>
        <v xml:space="preserve">   </v>
      </c>
      <c r="I263" s="24">
        <f t="shared" si="47"/>
        <v>41275</v>
      </c>
      <c r="J263" s="1178"/>
      <c r="K263" s="1124"/>
      <c r="L263" s="1178"/>
      <c r="M263" s="1124"/>
      <c r="N263" s="1178">
        <v>3000000</v>
      </c>
      <c r="O263" s="1124" t="s">
        <v>307</v>
      </c>
      <c r="P263" s="1178">
        <v>3000000</v>
      </c>
      <c r="Q263" s="1124" t="s">
        <v>448</v>
      </c>
      <c r="R263" s="1178">
        <v>3000000</v>
      </c>
      <c r="S263" s="1124">
        <v>41186</v>
      </c>
      <c r="T263" s="1188">
        <v>3000000</v>
      </c>
      <c r="U263" s="1143" t="s">
        <v>449</v>
      </c>
      <c r="V263" s="1130"/>
      <c r="W263" s="1126"/>
      <c r="X263" s="1130"/>
      <c r="Y263" s="1126"/>
      <c r="Z263" s="1130"/>
      <c r="AA263" s="1126"/>
      <c r="AB263" s="1198"/>
      <c r="AC263" s="1227"/>
      <c r="AD263" s="1157"/>
      <c r="AE263" s="1158"/>
      <c r="AF263" s="1157"/>
      <c r="AG263" s="1158"/>
      <c r="AH263" s="1232" t="str">
        <f t="shared" si="51"/>
        <v>PI</v>
      </c>
      <c r="AI263" s="747">
        <f>SUM(J263,L263,N263,P263,R263,T263,V263,X263,Z263,AB263,AD263,AF263)</f>
        <v>12000000</v>
      </c>
      <c r="AJ263" s="747">
        <f t="shared" si="49"/>
        <v>9000000</v>
      </c>
      <c r="AK263" s="747">
        <f t="shared" si="50"/>
        <v>-3000000</v>
      </c>
      <c r="AL263" s="1170"/>
      <c r="AM263" s="1170"/>
      <c r="AN263" s="1209"/>
      <c r="AO263" s="1170"/>
      <c r="AP263" s="1209"/>
      <c r="AQ263" s="1128"/>
      <c r="AR263" s="1173"/>
      <c r="AT263" s="1173"/>
      <c r="AV263" s="1173"/>
      <c r="AX263" s="1173"/>
      <c r="AY263" s="1176"/>
      <c r="AZ263" s="1173"/>
    </row>
    <row r="264" spans="1:52" s="2" customFormat="1" x14ac:dyDescent="0.25">
      <c r="A264" s="19">
        <v>248</v>
      </c>
      <c r="B264" s="59">
        <v>18</v>
      </c>
      <c r="C264" s="40">
        <v>849110067</v>
      </c>
      <c r="D264" s="39" t="s">
        <v>450</v>
      </c>
      <c r="E264" s="76" t="s">
        <v>32</v>
      </c>
      <c r="F264" s="77">
        <v>2010</v>
      </c>
      <c r="G264" s="31" t="s">
        <v>33</v>
      </c>
      <c r="H264" s="24" t="str">
        <f t="shared" si="46"/>
        <v xml:space="preserve">   </v>
      </c>
      <c r="I264" s="24">
        <f t="shared" si="47"/>
        <v>41275</v>
      </c>
      <c r="J264" s="1249"/>
      <c r="K264" s="1124"/>
      <c r="L264" s="1250"/>
      <c r="M264" s="1251"/>
      <c r="N264" s="1250">
        <v>3000000</v>
      </c>
      <c r="O264" s="1251" t="s">
        <v>372</v>
      </c>
      <c r="P264" s="1250">
        <v>3000000</v>
      </c>
      <c r="Q264" s="1251"/>
      <c r="R264" s="1250">
        <v>3000000</v>
      </c>
      <c r="S264" s="1251">
        <v>41186</v>
      </c>
      <c r="T264" s="1254"/>
      <c r="U264" s="1245"/>
      <c r="V264" s="1240"/>
      <c r="W264" s="1196"/>
      <c r="X264" s="1240"/>
      <c r="Y264" s="1196"/>
      <c r="Z264" s="1240"/>
      <c r="AA264" s="1196"/>
      <c r="AB264" s="1244"/>
      <c r="AC264" s="1245"/>
      <c r="AD264" s="1246"/>
      <c r="AE264" s="1247"/>
      <c r="AF264" s="1246"/>
      <c r="AG264" s="1247"/>
      <c r="AH264" s="1232" t="str">
        <f t="shared" si="51"/>
        <v>PI</v>
      </c>
      <c r="AI264" s="747">
        <f>SUM(J264,L264,N264,P264,R264,T264,V264,X264,Z264,AB264,AD264,AF264)</f>
        <v>9000000</v>
      </c>
      <c r="AJ264" s="747">
        <f t="shared" si="49"/>
        <v>9000000</v>
      </c>
      <c r="AK264" s="747">
        <f t="shared" si="50"/>
        <v>0</v>
      </c>
      <c r="AL264" s="1170"/>
      <c r="AM264" s="1170"/>
      <c r="AN264" s="1209"/>
      <c r="AO264" s="1170"/>
      <c r="AP264" s="1209"/>
      <c r="AQ264" s="1128"/>
      <c r="AR264" s="1173"/>
      <c r="AT264" s="1173"/>
      <c r="AV264" s="1173"/>
      <c r="AX264" s="1173"/>
      <c r="AY264" s="1176"/>
      <c r="AZ264" s="1173"/>
    </row>
    <row r="265" spans="1:52" s="2" customFormat="1" x14ac:dyDescent="0.25">
      <c r="A265" s="19">
        <v>249</v>
      </c>
      <c r="B265" s="59">
        <v>19</v>
      </c>
      <c r="C265" s="40">
        <v>849110090</v>
      </c>
      <c r="D265" s="39" t="s">
        <v>451</v>
      </c>
      <c r="E265" s="76" t="s">
        <v>32</v>
      </c>
      <c r="F265" s="77">
        <v>2010</v>
      </c>
      <c r="G265" s="31" t="s">
        <v>33</v>
      </c>
      <c r="H265" s="24" t="str">
        <f t="shared" si="46"/>
        <v xml:space="preserve">   </v>
      </c>
      <c r="I265" s="24">
        <f t="shared" si="47"/>
        <v>41275</v>
      </c>
      <c r="J265" s="1249"/>
      <c r="K265" s="1124"/>
      <c r="L265" s="1250"/>
      <c r="M265" s="1251"/>
      <c r="N265" s="1250"/>
      <c r="O265" s="1144" t="s">
        <v>137</v>
      </c>
      <c r="P265" s="1250">
        <f>2000000+1000000</f>
        <v>3000000</v>
      </c>
      <c r="Q265" s="1251">
        <v>41387</v>
      </c>
      <c r="R265" s="1250">
        <f>1500000+1500000</f>
        <v>3000000</v>
      </c>
      <c r="S265" s="1251" t="s">
        <v>452</v>
      </c>
      <c r="T265" s="1254"/>
      <c r="U265" s="1245"/>
      <c r="V265" s="1240"/>
      <c r="W265" s="1196"/>
      <c r="X265" s="1240"/>
      <c r="Y265" s="1196"/>
      <c r="Z265" s="1240"/>
      <c r="AA265" s="1196"/>
      <c r="AB265" s="1244">
        <v>1000000</v>
      </c>
      <c r="AC265" s="1245" t="s">
        <v>453</v>
      </c>
      <c r="AD265" s="1246"/>
      <c r="AE265" s="1247"/>
      <c r="AF265" s="1246"/>
      <c r="AG265" s="1247"/>
      <c r="AH265" s="1232" t="str">
        <f t="shared" si="51"/>
        <v>PI</v>
      </c>
      <c r="AI265" s="747" t="e">
        <f>SUM(J265,L265,N265,P265,R265,T265,V265,X265,Z265,AB265,AD265,AF265,#REF!,#REF!)</f>
        <v>#REF!</v>
      </c>
      <c r="AJ265" s="747">
        <f t="shared" si="49"/>
        <v>10000000</v>
      </c>
      <c r="AK265" s="747" t="e">
        <f t="shared" si="50"/>
        <v>#REF!</v>
      </c>
      <c r="AL265" s="1170"/>
      <c r="AM265" s="1170"/>
      <c r="AN265" s="1209"/>
      <c r="AO265" s="1170"/>
      <c r="AP265" s="1209"/>
      <c r="AQ265" s="1128"/>
      <c r="AR265" s="1173"/>
      <c r="AT265" s="1173"/>
      <c r="AV265" s="1173"/>
      <c r="AX265" s="1173"/>
      <c r="AY265" s="1176"/>
      <c r="AZ265" s="1173"/>
    </row>
    <row r="266" spans="1:52" s="2" customFormat="1" x14ac:dyDescent="0.25">
      <c r="A266" s="19">
        <v>250</v>
      </c>
      <c r="B266" s="67">
        <v>20</v>
      </c>
      <c r="C266" s="44">
        <v>49110091</v>
      </c>
      <c r="D266" s="43" t="s">
        <v>454</v>
      </c>
      <c r="E266" s="45" t="s">
        <v>32</v>
      </c>
      <c r="F266" s="67">
        <v>2010</v>
      </c>
      <c r="G266" s="45"/>
      <c r="H266" s="68" t="str">
        <f t="shared" si="46"/>
        <v xml:space="preserve">   </v>
      </c>
      <c r="I266" s="68" t="str">
        <f t="shared" si="47"/>
        <v xml:space="preserve">   </v>
      </c>
      <c r="J266" s="1130"/>
      <c r="K266" s="1126"/>
      <c r="L266" s="1130"/>
      <c r="M266" s="1126"/>
      <c r="N266" s="1130"/>
      <c r="O266" s="1126"/>
      <c r="P266" s="1130"/>
      <c r="Q266" s="1126"/>
      <c r="R266" s="1130"/>
      <c r="S266" s="1126"/>
      <c r="T266" s="1145"/>
      <c r="U266" s="1227"/>
      <c r="V266" s="1130"/>
      <c r="W266" s="1126"/>
      <c r="X266" s="1130"/>
      <c r="Y266" s="1126"/>
      <c r="Z266" s="1130"/>
      <c r="AA266" s="1126"/>
      <c r="AB266" s="1198"/>
      <c r="AC266" s="1227"/>
      <c r="AD266" s="1157"/>
      <c r="AE266" s="1158"/>
      <c r="AF266" s="1157"/>
      <c r="AG266" s="1158"/>
      <c r="AH266" s="1232" t="str">
        <f t="shared" si="51"/>
        <v>PI</v>
      </c>
      <c r="AI266" s="1248">
        <f>SUM(J266,L266,N266,P266,R266,T266,V266,X266,Z266,AB266,AD266,AF266)</f>
        <v>0</v>
      </c>
      <c r="AJ266" s="1248">
        <f t="shared" si="49"/>
        <v>9000000</v>
      </c>
      <c r="AK266" s="1248">
        <f t="shared" si="50"/>
        <v>9000000</v>
      </c>
      <c r="AL266" s="1170"/>
      <c r="AM266" s="1170"/>
      <c r="AN266" s="1209"/>
      <c r="AO266" s="1170"/>
      <c r="AP266" s="1209"/>
      <c r="AQ266" s="1128"/>
      <c r="AR266" s="1173"/>
      <c r="AT266" s="1173"/>
      <c r="AV266" s="1173"/>
      <c r="AX266" s="1173"/>
      <c r="AY266" s="1176"/>
      <c r="AZ266" s="1173"/>
    </row>
    <row r="267" spans="1:52" s="2" customFormat="1" x14ac:dyDescent="0.25">
      <c r="A267" s="19">
        <v>251</v>
      </c>
      <c r="B267" s="59">
        <v>21</v>
      </c>
      <c r="C267" s="40">
        <v>849110093</v>
      </c>
      <c r="D267" s="39" t="s">
        <v>455</v>
      </c>
      <c r="E267" s="23" t="s">
        <v>32</v>
      </c>
      <c r="F267" s="59">
        <v>2010</v>
      </c>
      <c r="G267" s="31" t="s">
        <v>33</v>
      </c>
      <c r="H267" s="24" t="str">
        <f t="shared" si="46"/>
        <v xml:space="preserve">   </v>
      </c>
      <c r="I267" s="24">
        <f t="shared" si="47"/>
        <v>41275</v>
      </c>
      <c r="J267" s="1249"/>
      <c r="K267" s="1124"/>
      <c r="L267" s="1178"/>
      <c r="M267" s="1124"/>
      <c r="N267" s="1178">
        <v>3000000</v>
      </c>
      <c r="O267" s="1124" t="s">
        <v>241</v>
      </c>
      <c r="P267" s="1178">
        <v>3000000</v>
      </c>
      <c r="Q267" s="1124" t="s">
        <v>365</v>
      </c>
      <c r="R267" s="1178">
        <v>3000000</v>
      </c>
      <c r="S267" s="1124" t="s">
        <v>343</v>
      </c>
      <c r="T267" s="1188">
        <v>3000000</v>
      </c>
      <c r="U267" s="1143">
        <v>41614</v>
      </c>
      <c r="V267" s="1240"/>
      <c r="W267" s="1196"/>
      <c r="X267" s="1240"/>
      <c r="Y267" s="1196"/>
      <c r="Z267" s="1240"/>
      <c r="AA267" s="1196"/>
      <c r="AB267" s="1244"/>
      <c r="AC267" s="1245">
        <v>41614</v>
      </c>
      <c r="AD267" s="1246"/>
      <c r="AE267" s="1247"/>
      <c r="AF267" s="1246"/>
      <c r="AG267" s="1247"/>
      <c r="AH267" s="1232" t="str">
        <f t="shared" si="51"/>
        <v>PI</v>
      </c>
      <c r="AI267" s="747">
        <f>SUM(J267,L267,N267,P267,R267,T267,V267,X267,Z267,AB267,AD267,AF267)</f>
        <v>12000000</v>
      </c>
      <c r="AJ267" s="747">
        <f t="shared" si="49"/>
        <v>9000000</v>
      </c>
      <c r="AK267" s="747">
        <f t="shared" si="50"/>
        <v>-3000000</v>
      </c>
      <c r="AL267" s="1170"/>
      <c r="AM267" s="1170"/>
      <c r="AN267" s="1209"/>
      <c r="AO267" s="1170"/>
      <c r="AP267" s="1209"/>
      <c r="AQ267" s="1128"/>
      <c r="AR267" s="1173"/>
      <c r="AT267" s="1173"/>
      <c r="AV267" s="1173"/>
      <c r="AX267" s="1173"/>
      <c r="AY267" s="1176"/>
      <c r="AZ267" s="1173"/>
    </row>
    <row r="268" spans="1:52" s="2" customFormat="1" x14ac:dyDescent="0.25">
      <c r="A268" s="19">
        <v>252</v>
      </c>
      <c r="B268" s="57">
        <v>22</v>
      </c>
      <c r="C268" s="38">
        <v>849110087</v>
      </c>
      <c r="D268" s="37" t="s">
        <v>456</v>
      </c>
      <c r="E268" s="28" t="s">
        <v>32</v>
      </c>
      <c r="F268" s="57">
        <v>2010</v>
      </c>
      <c r="G268" s="28"/>
      <c r="H268" s="58" t="str">
        <f t="shared" si="46"/>
        <v xml:space="preserve">   </v>
      </c>
      <c r="I268" s="58" t="str">
        <f t="shared" si="47"/>
        <v xml:space="preserve">   </v>
      </c>
      <c r="J268" s="1130"/>
      <c r="K268" s="1126"/>
      <c r="L268" s="1130"/>
      <c r="M268" s="1126"/>
      <c r="N268" s="1130">
        <v>3000000</v>
      </c>
      <c r="O268" s="1126" t="s">
        <v>221</v>
      </c>
      <c r="P268" s="1130">
        <v>3000000</v>
      </c>
      <c r="Q268" s="1126">
        <v>40911</v>
      </c>
      <c r="R268" s="1130">
        <v>3000000</v>
      </c>
      <c r="S268" s="1126" t="s">
        <v>457</v>
      </c>
      <c r="T268" s="1145">
        <v>3000000</v>
      </c>
      <c r="U268" s="1227" t="s">
        <v>457</v>
      </c>
      <c r="V268" s="1130">
        <v>3000000</v>
      </c>
      <c r="W268" s="1126" t="s">
        <v>457</v>
      </c>
      <c r="X268" s="1130"/>
      <c r="Y268" s="1126"/>
      <c r="Z268" s="1130"/>
      <c r="AA268" s="1126"/>
      <c r="AB268" s="1198"/>
      <c r="AC268" s="1227"/>
      <c r="AD268" s="1157"/>
      <c r="AE268" s="1158"/>
      <c r="AF268" s="1157"/>
      <c r="AG268" s="1158"/>
      <c r="AH268" s="1232" t="str">
        <f t="shared" si="51"/>
        <v>PI</v>
      </c>
      <c r="AI268" s="747">
        <f>SUM(J268,L268,N268,P268,R268,T268,V268,X268,Z268,AB268,AD268,AF268)</f>
        <v>15000000</v>
      </c>
      <c r="AJ268" s="747">
        <f t="shared" si="49"/>
        <v>9000000</v>
      </c>
      <c r="AK268" s="747">
        <f t="shared" si="50"/>
        <v>-6000000</v>
      </c>
      <c r="AL268" s="1170"/>
      <c r="AM268" s="1170"/>
      <c r="AN268" s="1209"/>
      <c r="AO268" s="1170"/>
      <c r="AP268" s="1209"/>
      <c r="AQ268" s="1128"/>
      <c r="AR268" s="1173"/>
      <c r="AT268" s="1173"/>
      <c r="AV268" s="1173"/>
      <c r="AX268" s="1173"/>
      <c r="AY268" s="1176"/>
      <c r="AZ268" s="1173"/>
    </row>
    <row r="269" spans="1:52" s="2" customFormat="1" x14ac:dyDescent="0.25">
      <c r="A269" s="19">
        <v>253</v>
      </c>
      <c r="B269" s="59">
        <v>23</v>
      </c>
      <c r="C269" s="40">
        <v>849110085</v>
      </c>
      <c r="D269" s="39" t="s">
        <v>458</v>
      </c>
      <c r="E269" s="23" t="s">
        <v>32</v>
      </c>
      <c r="F269" s="59">
        <v>2010</v>
      </c>
      <c r="G269" s="31" t="s">
        <v>33</v>
      </c>
      <c r="H269" s="24" t="str">
        <f t="shared" si="46"/>
        <v xml:space="preserve">   </v>
      </c>
      <c r="I269" s="24">
        <f t="shared" si="47"/>
        <v>41275</v>
      </c>
      <c r="J269" s="1178"/>
      <c r="K269" s="1124"/>
      <c r="L269" s="1178"/>
      <c r="M269" s="1124"/>
      <c r="N269" s="1178">
        <v>3000000</v>
      </c>
      <c r="O269" s="1124" t="s">
        <v>241</v>
      </c>
      <c r="P269" s="1178">
        <v>3000000</v>
      </c>
      <c r="Q269" s="1124" t="s">
        <v>292</v>
      </c>
      <c r="R269" s="1178">
        <v>3000000</v>
      </c>
      <c r="S269" s="1124">
        <v>40976</v>
      </c>
      <c r="T269" s="1188">
        <v>3000000</v>
      </c>
      <c r="U269" s="1143" t="s">
        <v>459</v>
      </c>
      <c r="V269" s="1178">
        <v>3000000</v>
      </c>
      <c r="W269" s="1124" t="s">
        <v>460</v>
      </c>
      <c r="X269" s="1130"/>
      <c r="Y269" s="1126"/>
      <c r="Z269" s="1130"/>
      <c r="AA269" s="1126"/>
      <c r="AB269" s="1198">
        <v>1000000</v>
      </c>
      <c r="AC269" s="1227" t="s">
        <v>460</v>
      </c>
      <c r="AD269" s="1157"/>
      <c r="AE269" s="1158"/>
      <c r="AF269" s="1157"/>
      <c r="AG269" s="1158"/>
      <c r="AH269" s="1232" t="str">
        <f t="shared" si="51"/>
        <v>PI</v>
      </c>
      <c r="AI269" s="747">
        <f>SUM(J269,L269,N269,P269,R269,T269,V269,X269,Z269,AB269,AD269,AF269)</f>
        <v>16000000</v>
      </c>
      <c r="AJ269" s="747">
        <f t="shared" si="49"/>
        <v>10000000</v>
      </c>
      <c r="AK269" s="747">
        <f t="shared" si="50"/>
        <v>-6000000</v>
      </c>
      <c r="AL269" s="1170"/>
      <c r="AM269" s="1170"/>
      <c r="AN269" s="1209"/>
      <c r="AO269" s="1170"/>
      <c r="AP269" s="1209"/>
      <c r="AQ269" s="1128"/>
      <c r="AR269" s="1173"/>
      <c r="AT269" s="1173"/>
      <c r="AV269" s="1173"/>
      <c r="AX269" s="1173"/>
      <c r="AY269" s="1176"/>
      <c r="AZ269" s="1173"/>
    </row>
    <row r="270" spans="1:52" s="2" customFormat="1" x14ac:dyDescent="0.25">
      <c r="A270" s="19">
        <v>254</v>
      </c>
      <c r="B270" s="67">
        <v>24</v>
      </c>
      <c r="C270" s="44">
        <v>49110086</v>
      </c>
      <c r="D270" s="43" t="s">
        <v>461</v>
      </c>
      <c r="E270" s="45" t="s">
        <v>32</v>
      </c>
      <c r="F270" s="67">
        <v>2010</v>
      </c>
      <c r="G270" s="45"/>
      <c r="H270" s="68" t="str">
        <f t="shared" si="46"/>
        <v xml:space="preserve">   </v>
      </c>
      <c r="I270" s="68" t="str">
        <f t="shared" si="47"/>
        <v xml:space="preserve">   </v>
      </c>
      <c r="J270" s="1130"/>
      <c r="K270" s="1126"/>
      <c r="L270" s="1130"/>
      <c r="M270" s="1126"/>
      <c r="N270" s="1130">
        <f>1500000+1500000</f>
        <v>3000000</v>
      </c>
      <c r="O270" s="1126" t="s">
        <v>307</v>
      </c>
      <c r="P270" s="1130"/>
      <c r="Q270" s="1126"/>
      <c r="R270" s="1130"/>
      <c r="S270" s="1126"/>
      <c r="T270" s="1145"/>
      <c r="U270" s="1227"/>
      <c r="V270" s="1130"/>
      <c r="W270" s="1126"/>
      <c r="X270" s="1130"/>
      <c r="Y270" s="1126"/>
      <c r="Z270" s="1130"/>
      <c r="AA270" s="1126"/>
      <c r="AB270" s="1198"/>
      <c r="AC270" s="1227"/>
      <c r="AD270" s="1157"/>
      <c r="AE270" s="1158"/>
      <c r="AF270" s="1157"/>
      <c r="AG270" s="1158"/>
      <c r="AH270" s="1232" t="str">
        <f t="shared" si="51"/>
        <v>PI</v>
      </c>
      <c r="AI270" s="1248">
        <f>SUM(J270,L270,N270,P270,R270,T270,V270,X270,Z270,AB270,AD270,AF270)</f>
        <v>3000000</v>
      </c>
      <c r="AJ270" s="1248">
        <f t="shared" si="49"/>
        <v>9000000</v>
      </c>
      <c r="AK270" s="1248">
        <f t="shared" si="50"/>
        <v>6000000</v>
      </c>
      <c r="AL270" s="1170"/>
      <c r="AM270" s="1170"/>
      <c r="AN270" s="1209"/>
      <c r="AO270" s="1170"/>
      <c r="AP270" s="1209"/>
      <c r="AQ270" s="1128"/>
      <c r="AR270" s="1173"/>
      <c r="AT270" s="1173"/>
      <c r="AV270" s="1173"/>
      <c r="AX270" s="1173"/>
      <c r="AY270" s="1176"/>
      <c r="AZ270" s="1173"/>
    </row>
    <row r="271" spans="1:52" s="2" customFormat="1" x14ac:dyDescent="0.25">
      <c r="A271" s="19">
        <v>255</v>
      </c>
      <c r="B271" s="59">
        <v>25</v>
      </c>
      <c r="C271" s="40">
        <v>849110084</v>
      </c>
      <c r="D271" s="39" t="s">
        <v>462</v>
      </c>
      <c r="E271" s="23" t="s">
        <v>32</v>
      </c>
      <c r="F271" s="59">
        <v>2010</v>
      </c>
      <c r="G271" s="31" t="s">
        <v>33</v>
      </c>
      <c r="H271" s="24" t="str">
        <f t="shared" si="46"/>
        <v xml:space="preserve">   </v>
      </c>
      <c r="I271" s="24">
        <f t="shared" si="47"/>
        <v>41275</v>
      </c>
      <c r="J271" s="1249"/>
      <c r="K271" s="1124"/>
      <c r="L271" s="1178"/>
      <c r="M271" s="1124"/>
      <c r="N271" s="1178">
        <v>3000000</v>
      </c>
      <c r="O271" s="1124">
        <v>40731</v>
      </c>
      <c r="P271" s="1178">
        <v>3000000</v>
      </c>
      <c r="Q271" s="1124" t="s">
        <v>351</v>
      </c>
      <c r="R271" s="1178">
        <v>3000000</v>
      </c>
      <c r="S271" s="1124" t="s">
        <v>286</v>
      </c>
      <c r="T271" s="1255"/>
      <c r="U271" s="1256" t="s">
        <v>463</v>
      </c>
      <c r="V271" s="1257"/>
      <c r="W271" s="1258"/>
      <c r="X271" s="747"/>
      <c r="Y271" s="1258"/>
      <c r="Z271" s="1257"/>
      <c r="AA271" s="1258"/>
      <c r="AB271" s="1244">
        <v>1000000</v>
      </c>
      <c r="AC271" s="1245" t="s">
        <v>286</v>
      </c>
      <c r="AD271" s="1246"/>
      <c r="AE271" s="1247"/>
      <c r="AF271" s="1246"/>
      <c r="AG271" s="1247"/>
      <c r="AH271" s="1232" t="str">
        <f t="shared" si="51"/>
        <v>PI</v>
      </c>
      <c r="AI271" s="747">
        <f t="shared" ref="AI271:AI277" si="52">SUM(J271,L271,N271,P271,R271,T271,V271,X271,Z271,AB271,AD271,AF271)</f>
        <v>10000000</v>
      </c>
      <c r="AJ271" s="747">
        <f t="shared" ref="AJ271:AJ278" si="53">((COUNT((L271,N271,P271,R271,T271,V271,X271,Z271,AD271,AF271)))*3000000)+(J271+AB271)</f>
        <v>10000000</v>
      </c>
      <c r="AK271" s="747">
        <f t="shared" ref="AK271:AK278" si="54">AJ271-AI271</f>
        <v>0</v>
      </c>
      <c r="AL271" s="1170"/>
      <c r="AM271" s="1170"/>
      <c r="AN271" s="1209"/>
      <c r="AO271" s="1170"/>
      <c r="AP271" s="1209"/>
      <c r="AQ271" s="1128"/>
      <c r="AR271" s="1173"/>
      <c r="AT271" s="1173"/>
      <c r="AV271" s="1173"/>
      <c r="AX271" s="1173"/>
      <c r="AY271" s="1176"/>
      <c r="AZ271" s="1173"/>
    </row>
    <row r="272" spans="1:52" s="2" customFormat="1" x14ac:dyDescent="0.25">
      <c r="A272" s="19">
        <v>256</v>
      </c>
      <c r="B272" s="59">
        <v>26</v>
      </c>
      <c r="C272" s="40">
        <v>849110097</v>
      </c>
      <c r="D272" s="39" t="s">
        <v>464</v>
      </c>
      <c r="E272" s="23" t="s">
        <v>32</v>
      </c>
      <c r="F272" s="59">
        <v>2010</v>
      </c>
      <c r="G272" s="31" t="s">
        <v>33</v>
      </c>
      <c r="H272" s="24" t="str">
        <f t="shared" si="46"/>
        <v xml:space="preserve">   </v>
      </c>
      <c r="I272" s="24">
        <f t="shared" si="47"/>
        <v>41640</v>
      </c>
      <c r="J272" s="1249"/>
      <c r="K272" s="1124"/>
      <c r="L272" s="1178"/>
      <c r="M272" s="1124"/>
      <c r="N272" s="1178">
        <v>3000000</v>
      </c>
      <c r="O272" s="1124" t="s">
        <v>465</v>
      </c>
      <c r="P272" s="1178">
        <v>3000000</v>
      </c>
      <c r="Q272" s="1124" t="s">
        <v>466</v>
      </c>
      <c r="R272" s="1178">
        <v>3000000</v>
      </c>
      <c r="S272" s="1124" t="s">
        <v>467</v>
      </c>
      <c r="T272" s="1188">
        <v>3000000</v>
      </c>
      <c r="U272" s="1143" t="s">
        <v>468</v>
      </c>
      <c r="V272" s="1178">
        <v>3000000</v>
      </c>
      <c r="W272" s="1124">
        <v>41646</v>
      </c>
      <c r="X272" s="1178">
        <v>3000000</v>
      </c>
      <c r="Y272" s="1143">
        <v>41646</v>
      </c>
      <c r="Z272" s="747"/>
      <c r="AA272" s="1127"/>
      <c r="AB272" s="1205">
        <v>1000000</v>
      </c>
      <c r="AC272" s="1124">
        <v>41646</v>
      </c>
      <c r="AD272" s="1271" t="s">
        <v>276</v>
      </c>
      <c r="AE272" s="1272"/>
      <c r="AF272" s="1273"/>
      <c r="AG272" s="1272"/>
      <c r="AH272" s="1279" t="str">
        <f t="shared" si="51"/>
        <v>PI</v>
      </c>
      <c r="AI272" s="747">
        <f t="shared" si="52"/>
        <v>19000000</v>
      </c>
      <c r="AJ272" s="747">
        <f t="shared" si="53"/>
        <v>10000000</v>
      </c>
      <c r="AK272" s="747">
        <f t="shared" si="54"/>
        <v>-9000000</v>
      </c>
      <c r="AL272" s="1170"/>
      <c r="AM272" s="1170"/>
      <c r="AN272" s="1209"/>
      <c r="AO272" s="1170"/>
      <c r="AP272" s="1209"/>
      <c r="AQ272" s="1128"/>
      <c r="AR272" s="1173"/>
      <c r="AT272" s="1173"/>
      <c r="AV272" s="1173"/>
      <c r="AX272" s="1173"/>
      <c r="AY272" s="1176"/>
      <c r="AZ272" s="1173"/>
    </row>
    <row r="273" spans="1:52" s="2" customFormat="1" x14ac:dyDescent="0.25">
      <c r="A273" s="19">
        <v>257</v>
      </c>
      <c r="B273" s="57">
        <v>27</v>
      </c>
      <c r="C273" s="38">
        <v>849110116</v>
      </c>
      <c r="D273" s="37" t="s">
        <v>469</v>
      </c>
      <c r="E273" s="28" t="s">
        <v>32</v>
      </c>
      <c r="F273" s="57">
        <v>2010</v>
      </c>
      <c r="G273" s="28"/>
      <c r="H273" s="58" t="str">
        <f t="shared" si="46"/>
        <v xml:space="preserve">   </v>
      </c>
      <c r="I273" s="58" t="str">
        <f t="shared" si="47"/>
        <v xml:space="preserve">   </v>
      </c>
      <c r="J273" s="1130"/>
      <c r="K273" s="1126"/>
      <c r="L273" s="1130"/>
      <c r="M273" s="1126"/>
      <c r="N273" s="1130">
        <v>3000000</v>
      </c>
      <c r="O273" s="1126" t="s">
        <v>470</v>
      </c>
      <c r="P273" s="1130"/>
      <c r="Q273" s="1126"/>
      <c r="R273" s="1130">
        <v>3000000</v>
      </c>
      <c r="S273" s="1126">
        <v>41518</v>
      </c>
      <c r="T273" s="1145"/>
      <c r="U273" s="1227"/>
      <c r="V273" s="1130"/>
      <c r="W273" s="1126"/>
      <c r="X273" s="1130"/>
      <c r="Y273" s="1126"/>
      <c r="Z273" s="1130"/>
      <c r="AA273" s="1126"/>
      <c r="AB273" s="1198"/>
      <c r="AC273" s="1227"/>
      <c r="AD273" s="1157"/>
      <c r="AE273" s="1158"/>
      <c r="AF273" s="1157"/>
      <c r="AG273" s="1158"/>
      <c r="AH273" s="1232" t="str">
        <f t="shared" si="51"/>
        <v>PI</v>
      </c>
      <c r="AI273" s="747">
        <f t="shared" si="52"/>
        <v>6000000</v>
      </c>
      <c r="AJ273" s="747">
        <f t="shared" si="53"/>
        <v>9000000</v>
      </c>
      <c r="AK273" s="747">
        <f t="shared" si="54"/>
        <v>3000000</v>
      </c>
      <c r="AL273" s="1170"/>
      <c r="AM273" s="1170"/>
      <c r="AN273" s="1209"/>
      <c r="AO273" s="1170"/>
      <c r="AP273" s="1209"/>
      <c r="AQ273" s="1128"/>
      <c r="AR273" s="1173"/>
      <c r="AT273" s="1173"/>
      <c r="AV273" s="1173"/>
      <c r="AX273" s="1173"/>
      <c r="AY273" s="1176"/>
      <c r="AZ273" s="1173"/>
    </row>
    <row r="274" spans="1:52" s="2" customFormat="1" x14ac:dyDescent="0.25">
      <c r="A274" s="19">
        <v>258</v>
      </c>
      <c r="B274" s="77">
        <v>28</v>
      </c>
      <c r="C274" s="40">
        <v>849110096</v>
      </c>
      <c r="D274" s="39" t="s">
        <v>471</v>
      </c>
      <c r="E274" s="23" t="s">
        <v>32</v>
      </c>
      <c r="F274" s="59">
        <v>2010</v>
      </c>
      <c r="G274" s="31" t="s">
        <v>33</v>
      </c>
      <c r="H274" s="24" t="str">
        <f t="shared" si="46"/>
        <v xml:space="preserve">   </v>
      </c>
      <c r="I274" s="24">
        <f t="shared" si="47"/>
        <v>41275</v>
      </c>
      <c r="J274" s="1249"/>
      <c r="K274" s="1124"/>
      <c r="L274" s="1178"/>
      <c r="M274" s="1124"/>
      <c r="N274" s="1178">
        <v>3000000</v>
      </c>
      <c r="O274" s="1124" t="s">
        <v>224</v>
      </c>
      <c r="P274" s="1178">
        <v>3000000</v>
      </c>
      <c r="Q274" s="1124" t="s">
        <v>365</v>
      </c>
      <c r="R274" s="1178">
        <v>3000000</v>
      </c>
      <c r="S274" s="1124">
        <v>41098</v>
      </c>
      <c r="T274" s="1188">
        <v>3000000</v>
      </c>
      <c r="U274" s="1143" t="s">
        <v>440</v>
      </c>
      <c r="V274" s="1259" t="s">
        <v>276</v>
      </c>
      <c r="W274" s="1127"/>
      <c r="X274" s="1257"/>
      <c r="Y274" s="1258"/>
      <c r="Z274" s="1257"/>
      <c r="AA274" s="1258"/>
      <c r="AB274" s="1244">
        <v>1000000</v>
      </c>
      <c r="AC274" s="1245">
        <v>41524</v>
      </c>
      <c r="AD274" s="1273"/>
      <c r="AE274" s="1272"/>
      <c r="AF274" s="1246"/>
      <c r="AG274" s="1247"/>
      <c r="AH274" s="1232" t="str">
        <f t="shared" si="51"/>
        <v>PI</v>
      </c>
      <c r="AI274" s="747">
        <f t="shared" si="52"/>
        <v>13000000</v>
      </c>
      <c r="AJ274" s="747">
        <f t="shared" si="53"/>
        <v>10000000</v>
      </c>
      <c r="AK274" s="747">
        <f t="shared" si="54"/>
        <v>-3000000</v>
      </c>
      <c r="AL274" s="1170"/>
      <c r="AM274" s="1170"/>
      <c r="AN274" s="1209"/>
      <c r="AO274" s="1170"/>
      <c r="AP274" s="1209"/>
      <c r="AQ274" s="1128"/>
      <c r="AR274" s="1173"/>
      <c r="AT274" s="1173"/>
      <c r="AV274" s="1173"/>
      <c r="AX274" s="1173"/>
      <c r="AY274" s="1176"/>
      <c r="AZ274" s="1173"/>
    </row>
    <row r="275" spans="1:52" s="2" customFormat="1" x14ac:dyDescent="0.25">
      <c r="A275" s="19">
        <v>259</v>
      </c>
      <c r="B275" s="77">
        <v>29</v>
      </c>
      <c r="C275" s="40">
        <v>849110089</v>
      </c>
      <c r="D275" s="39" t="s">
        <v>472</v>
      </c>
      <c r="E275" s="23" t="s">
        <v>32</v>
      </c>
      <c r="F275" s="59">
        <v>2010</v>
      </c>
      <c r="G275" s="31" t="s">
        <v>33</v>
      </c>
      <c r="H275" s="24" t="str">
        <f t="shared" si="46"/>
        <v xml:space="preserve">   </v>
      </c>
      <c r="I275" s="24">
        <f t="shared" si="47"/>
        <v>41640</v>
      </c>
      <c r="J275" s="1249"/>
      <c r="K275" s="1124"/>
      <c r="L275" s="1178"/>
      <c r="M275" s="1124"/>
      <c r="N275" s="1178">
        <v>3000000</v>
      </c>
      <c r="O275" s="1124" t="s">
        <v>241</v>
      </c>
      <c r="P275" s="1178">
        <v>3000000</v>
      </c>
      <c r="Q275" s="1124" t="s">
        <v>292</v>
      </c>
      <c r="R275" s="1178">
        <v>3000000</v>
      </c>
      <c r="S275" s="1124" t="s">
        <v>335</v>
      </c>
      <c r="T275" s="1188">
        <v>3000000</v>
      </c>
      <c r="U275" s="1143" t="s">
        <v>335</v>
      </c>
      <c r="V275" s="1178">
        <v>3000000</v>
      </c>
      <c r="W275" s="1124">
        <v>41612</v>
      </c>
      <c r="X275" s="1259" t="s">
        <v>276</v>
      </c>
      <c r="Y275" s="1196"/>
      <c r="Z275" s="1240"/>
      <c r="AA275" s="1196"/>
      <c r="AB275" s="1244">
        <v>1000000</v>
      </c>
      <c r="AC275" s="1245" t="s">
        <v>473</v>
      </c>
      <c r="AD275" s="1246"/>
      <c r="AE275" s="1247"/>
      <c r="AF275" s="1246"/>
      <c r="AG275" s="1247"/>
      <c r="AH275" s="1232" t="str">
        <f t="shared" si="51"/>
        <v>PI</v>
      </c>
      <c r="AI275" s="747">
        <f t="shared" si="52"/>
        <v>16000000</v>
      </c>
      <c r="AJ275" s="747">
        <f t="shared" si="53"/>
        <v>10000000</v>
      </c>
      <c r="AK275" s="747">
        <f t="shared" si="54"/>
        <v>-6000000</v>
      </c>
      <c r="AL275" s="1170"/>
      <c r="AM275" s="1170"/>
      <c r="AN275" s="1209"/>
      <c r="AO275" s="1170"/>
      <c r="AP275" s="1209"/>
      <c r="AQ275" s="1128"/>
      <c r="AR275" s="1173"/>
      <c r="AT275" s="1173"/>
      <c r="AV275" s="1173"/>
      <c r="AX275" s="1173"/>
      <c r="AY275" s="1176"/>
      <c r="AZ275" s="1173"/>
    </row>
    <row r="276" spans="1:52" s="2" customFormat="1" x14ac:dyDescent="0.25">
      <c r="A276" s="19">
        <v>260</v>
      </c>
      <c r="B276" s="77">
        <v>30</v>
      </c>
      <c r="C276" s="40">
        <v>849110088</v>
      </c>
      <c r="D276" s="39" t="s">
        <v>474</v>
      </c>
      <c r="E276" s="23" t="s">
        <v>32</v>
      </c>
      <c r="F276" s="59">
        <v>2010</v>
      </c>
      <c r="G276" s="31" t="s">
        <v>33</v>
      </c>
      <c r="H276" s="24" t="str">
        <f t="shared" si="46"/>
        <v xml:space="preserve">   </v>
      </c>
      <c r="I276" s="24">
        <f t="shared" si="47"/>
        <v>41275</v>
      </c>
      <c r="J276" s="1249"/>
      <c r="K276" s="1124"/>
      <c r="L276" s="1178"/>
      <c r="M276" s="1252" t="s">
        <v>475</v>
      </c>
      <c r="N276" s="1178"/>
      <c r="O276" s="1124"/>
      <c r="P276" s="1178">
        <v>3000000</v>
      </c>
      <c r="Q276" s="1124" t="s">
        <v>476</v>
      </c>
      <c r="R276" s="1178">
        <v>3000000</v>
      </c>
      <c r="S276" s="1124" t="s">
        <v>335</v>
      </c>
      <c r="T276" s="1188">
        <v>3000000</v>
      </c>
      <c r="U276" s="1143" t="s">
        <v>477</v>
      </c>
      <c r="V276" s="1259" t="s">
        <v>276</v>
      </c>
      <c r="W276" s="1127"/>
      <c r="X276" s="1240"/>
      <c r="Y276" s="1196"/>
      <c r="Z276" s="1240"/>
      <c r="AA276" s="1196"/>
      <c r="AB276" s="1244">
        <v>1000000</v>
      </c>
      <c r="AC276" s="1245">
        <v>41612</v>
      </c>
      <c r="AD276" s="1246"/>
      <c r="AE276" s="1247"/>
      <c r="AF276" s="1246"/>
      <c r="AG276" s="1247"/>
      <c r="AH276" s="1232" t="str">
        <f t="shared" si="51"/>
        <v>PI</v>
      </c>
      <c r="AI276" s="747">
        <f t="shared" si="52"/>
        <v>10000000</v>
      </c>
      <c r="AJ276" s="747">
        <f t="shared" si="53"/>
        <v>10000000</v>
      </c>
      <c r="AK276" s="747">
        <f t="shared" si="54"/>
        <v>0</v>
      </c>
      <c r="AL276" s="1170"/>
      <c r="AM276" s="1170"/>
      <c r="AN276" s="1209"/>
      <c r="AO276" s="1170"/>
      <c r="AP276" s="1209"/>
      <c r="AQ276" s="1128"/>
      <c r="AR276" s="1173"/>
      <c r="AT276" s="1173"/>
      <c r="AV276" s="1173"/>
      <c r="AX276" s="1173"/>
      <c r="AY276" s="1176"/>
      <c r="AZ276" s="1173"/>
    </row>
    <row r="277" spans="1:52" s="2" customFormat="1" x14ac:dyDescent="0.25">
      <c r="A277" s="19">
        <v>261</v>
      </c>
      <c r="B277" s="59">
        <v>31</v>
      </c>
      <c r="C277" s="40">
        <v>849110092</v>
      </c>
      <c r="D277" s="39" t="s">
        <v>478</v>
      </c>
      <c r="E277" s="23" t="s">
        <v>32</v>
      </c>
      <c r="F277" s="59">
        <v>2010</v>
      </c>
      <c r="G277" s="31" t="s">
        <v>33</v>
      </c>
      <c r="H277" s="24" t="str">
        <f t="shared" si="46"/>
        <v xml:space="preserve">   </v>
      </c>
      <c r="I277" s="24">
        <f t="shared" si="47"/>
        <v>41275</v>
      </c>
      <c r="J277" s="1178"/>
      <c r="K277" s="1124"/>
      <c r="L277" s="1178"/>
      <c r="M277" s="1124"/>
      <c r="N277" s="1178">
        <v>3000000</v>
      </c>
      <c r="O277" s="1124" t="s">
        <v>224</v>
      </c>
      <c r="P277" s="1178">
        <v>3000000</v>
      </c>
      <c r="Q277" s="1124" t="s">
        <v>365</v>
      </c>
      <c r="R277" s="1178">
        <v>3000000</v>
      </c>
      <c r="S277" s="1124">
        <v>41068</v>
      </c>
      <c r="T277" s="1188">
        <v>3000000</v>
      </c>
      <c r="U277" s="1143" t="s">
        <v>460</v>
      </c>
      <c r="V277" s="1130"/>
      <c r="W277" s="1126"/>
      <c r="X277" s="1130"/>
      <c r="Y277" s="1126"/>
      <c r="Z277" s="1130"/>
      <c r="AA277" s="1126"/>
      <c r="AB277" s="1198">
        <v>1000000</v>
      </c>
      <c r="AC277" s="1227" t="s">
        <v>460</v>
      </c>
      <c r="AD277" s="1157"/>
      <c r="AE277" s="1158"/>
      <c r="AF277" s="1157"/>
      <c r="AG277" s="1158"/>
      <c r="AH277" s="1232" t="str">
        <f t="shared" si="51"/>
        <v>PI</v>
      </c>
      <c r="AI277" s="747">
        <f t="shared" si="52"/>
        <v>13000000</v>
      </c>
      <c r="AJ277" s="747">
        <f t="shared" si="53"/>
        <v>10000000</v>
      </c>
      <c r="AK277" s="747">
        <f t="shared" si="54"/>
        <v>-3000000</v>
      </c>
      <c r="AL277" s="1170"/>
      <c r="AM277" s="1170"/>
      <c r="AN277" s="1209"/>
      <c r="AO277" s="1170"/>
      <c r="AP277" s="1209"/>
      <c r="AQ277" s="1128"/>
      <c r="AR277" s="1173"/>
      <c r="AT277" s="1173"/>
      <c r="AV277" s="1173"/>
      <c r="AX277" s="1173"/>
      <c r="AY277" s="1176"/>
      <c r="AZ277" s="1173"/>
    </row>
    <row r="278" spans="1:52" s="2" customFormat="1" x14ac:dyDescent="0.25">
      <c r="A278" s="19">
        <v>262</v>
      </c>
      <c r="B278" s="59">
        <v>32</v>
      </c>
      <c r="C278" s="40">
        <v>849110094</v>
      </c>
      <c r="D278" s="39" t="s">
        <v>479</v>
      </c>
      <c r="E278" s="23" t="s">
        <v>32</v>
      </c>
      <c r="F278" s="59">
        <v>2010</v>
      </c>
      <c r="G278" s="31" t="s">
        <v>33</v>
      </c>
      <c r="H278" s="24" t="str">
        <f t="shared" si="46"/>
        <v xml:space="preserve">   </v>
      </c>
      <c r="I278" s="24">
        <f t="shared" si="47"/>
        <v>41275</v>
      </c>
      <c r="J278" s="1178"/>
      <c r="K278" s="1124"/>
      <c r="L278" s="1178"/>
      <c r="M278" s="1124"/>
      <c r="N278" s="1178">
        <f>1000000+2000000</f>
        <v>3000000</v>
      </c>
      <c r="O278" s="1124">
        <v>40830</v>
      </c>
      <c r="P278" s="1178">
        <v>3000000</v>
      </c>
      <c r="Q278" s="1124">
        <v>41093</v>
      </c>
      <c r="R278" s="1178">
        <v>3000000</v>
      </c>
      <c r="S278" s="1124" t="s">
        <v>480</v>
      </c>
      <c r="T278" s="1188">
        <v>3000000</v>
      </c>
      <c r="U278" s="1143" t="s">
        <v>481</v>
      </c>
      <c r="V278" s="1130"/>
      <c r="W278" s="1126"/>
      <c r="X278" s="1130"/>
      <c r="Y278" s="1126"/>
      <c r="Z278" s="1130"/>
      <c r="AA278" s="1126"/>
      <c r="AB278" s="1198">
        <v>1000000</v>
      </c>
      <c r="AC278" s="1227" t="s">
        <v>481</v>
      </c>
      <c r="AD278" s="1157"/>
      <c r="AE278" s="1158"/>
      <c r="AF278" s="1157"/>
      <c r="AG278" s="1158"/>
      <c r="AH278" s="1232" t="str">
        <f t="shared" si="51"/>
        <v>PI</v>
      </c>
      <c r="AI278" s="747" t="e">
        <f>SUM(J278,L278,N278,P278,R278,T278,V278,X278,Z278,AB278,AD278,AF278,#REF!)</f>
        <v>#REF!</v>
      </c>
      <c r="AJ278" s="747">
        <f t="shared" si="53"/>
        <v>10000000</v>
      </c>
      <c r="AK278" s="747" t="e">
        <f t="shared" si="54"/>
        <v>#REF!</v>
      </c>
      <c r="AL278" s="1170"/>
      <c r="AM278" s="1170"/>
      <c r="AN278" s="1209"/>
      <c r="AO278" s="1170"/>
      <c r="AP278" s="1209"/>
      <c r="AQ278" s="1128"/>
      <c r="AR278" s="1173"/>
      <c r="AT278" s="1173"/>
      <c r="AV278" s="1173"/>
      <c r="AX278" s="1173"/>
      <c r="AY278" s="1176"/>
      <c r="AZ278" s="1173"/>
    </row>
    <row r="279" spans="1:52" s="2" customFormat="1" x14ac:dyDescent="0.25">
      <c r="A279" s="19">
        <v>263</v>
      </c>
      <c r="B279" s="67">
        <v>33</v>
      </c>
      <c r="C279" s="44">
        <v>49110098</v>
      </c>
      <c r="D279" s="43" t="s">
        <v>482</v>
      </c>
      <c r="E279" s="45" t="s">
        <v>32</v>
      </c>
      <c r="F279" s="67">
        <v>2010</v>
      </c>
      <c r="G279" s="45"/>
      <c r="H279" s="68" t="str">
        <f t="shared" si="46"/>
        <v xml:space="preserve">   </v>
      </c>
      <c r="I279" s="68" t="str">
        <f t="shared" si="47"/>
        <v xml:space="preserve">   </v>
      </c>
      <c r="J279" s="1130"/>
      <c r="K279" s="1126"/>
      <c r="L279" s="1130"/>
      <c r="M279" s="1126"/>
      <c r="N279" s="1130"/>
      <c r="O279" s="1126"/>
      <c r="P279" s="1130"/>
      <c r="Q279" s="1126"/>
      <c r="R279" s="1130"/>
      <c r="S279" s="1126"/>
      <c r="T279" s="1145"/>
      <c r="U279" s="1227"/>
      <c r="V279" s="1130"/>
      <c r="W279" s="1126"/>
      <c r="X279" s="1130"/>
      <c r="Y279" s="1126"/>
      <c r="Z279" s="1130"/>
      <c r="AA279" s="1126"/>
      <c r="AB279" s="1198"/>
      <c r="AC279" s="1227"/>
      <c r="AD279" s="1157"/>
      <c r="AE279" s="1158"/>
      <c r="AF279" s="1157"/>
      <c r="AG279" s="1158"/>
      <c r="AH279" s="1232" t="str">
        <f t="shared" si="51"/>
        <v>PI</v>
      </c>
      <c r="AI279" s="1248">
        <f t="shared" ref="AI279:AI285" si="55">SUM(J279,L279,N279,P279,R279,T279,V279,X279,Z279,AB279,AD279,AF279)</f>
        <v>0</v>
      </c>
      <c r="AJ279" s="1248">
        <f t="shared" ref="AJ279:AJ286" si="56">((COUNT((L279,N279,P279,R279,T279,V279,X279,Z279,AD279,AF279)))*3000000)+(J279+AB279)</f>
        <v>0</v>
      </c>
      <c r="AK279" s="1248">
        <f t="shared" ref="AK279:AK286" si="57">AJ279-AI279</f>
        <v>0</v>
      </c>
      <c r="AL279" s="1170"/>
      <c r="AM279" s="1170"/>
      <c r="AN279" s="1209"/>
      <c r="AO279" s="1170"/>
      <c r="AP279" s="1209"/>
      <c r="AQ279" s="1128"/>
      <c r="AR279" s="1173"/>
      <c r="AT279" s="1173"/>
      <c r="AV279" s="1173"/>
      <c r="AX279" s="1173"/>
      <c r="AY279" s="1176"/>
      <c r="AZ279" s="1173"/>
    </row>
    <row r="280" spans="1:52" s="2" customFormat="1" x14ac:dyDescent="0.25">
      <c r="A280" s="19">
        <v>264</v>
      </c>
      <c r="B280" s="57">
        <v>34</v>
      </c>
      <c r="C280" s="38">
        <v>849110099</v>
      </c>
      <c r="D280" s="37" t="s">
        <v>483</v>
      </c>
      <c r="E280" s="28" t="s">
        <v>32</v>
      </c>
      <c r="F280" s="57">
        <v>2010</v>
      </c>
      <c r="G280" s="28"/>
      <c r="H280" s="58" t="str">
        <f t="shared" si="46"/>
        <v xml:space="preserve">   </v>
      </c>
      <c r="I280" s="58" t="str">
        <f t="shared" si="47"/>
        <v xml:space="preserve">   </v>
      </c>
      <c r="J280" s="1130"/>
      <c r="K280" s="1126"/>
      <c r="L280" s="1130">
        <v>0</v>
      </c>
      <c r="M280" s="1126"/>
      <c r="N280" s="1130">
        <v>3000000</v>
      </c>
      <c r="O280" s="1126" t="s">
        <v>221</v>
      </c>
      <c r="P280" s="1130">
        <v>3000000</v>
      </c>
      <c r="Q280" s="1126" t="s">
        <v>365</v>
      </c>
      <c r="R280" s="1260">
        <v>9000000</v>
      </c>
      <c r="S280" s="1196">
        <v>41371</v>
      </c>
      <c r="T280" s="1261">
        <v>0</v>
      </c>
      <c r="U280" s="1245"/>
      <c r="V280" s="1260"/>
      <c r="W280" s="1196"/>
      <c r="X280" s="1130">
        <v>3000000</v>
      </c>
      <c r="Y280" s="1227" t="s">
        <v>484</v>
      </c>
      <c r="Z280" s="1130"/>
      <c r="AA280" s="1126"/>
      <c r="AB280" s="1198"/>
      <c r="AC280" s="1227"/>
      <c r="AD280" s="1157"/>
      <c r="AE280" s="1158"/>
      <c r="AF280" s="1157"/>
      <c r="AG280" s="1158"/>
      <c r="AH280" s="1232" t="str">
        <f t="shared" si="51"/>
        <v>PI</v>
      </c>
      <c r="AI280" s="747">
        <f t="shared" si="55"/>
        <v>18000000</v>
      </c>
      <c r="AJ280" s="747">
        <f t="shared" si="56"/>
        <v>0</v>
      </c>
      <c r="AK280" s="747">
        <f t="shared" si="57"/>
        <v>-18000000</v>
      </c>
      <c r="AL280" s="1170"/>
      <c r="AM280" s="1170"/>
      <c r="AN280" s="1209"/>
      <c r="AO280" s="1170"/>
      <c r="AP280" s="1209"/>
      <c r="AQ280" s="1128"/>
      <c r="AR280" s="1173"/>
      <c r="AT280" s="1173"/>
      <c r="AV280" s="1173"/>
      <c r="AX280" s="1173"/>
      <c r="AY280" s="1176"/>
      <c r="AZ280" s="1173"/>
    </row>
    <row r="281" spans="1:52" s="2" customFormat="1" x14ac:dyDescent="0.25">
      <c r="A281" s="19">
        <v>265</v>
      </c>
      <c r="B281" s="77">
        <v>35</v>
      </c>
      <c r="C281" s="40">
        <v>849110113</v>
      </c>
      <c r="D281" s="39" t="s">
        <v>485</v>
      </c>
      <c r="E281" s="23" t="s">
        <v>32</v>
      </c>
      <c r="F281" s="59">
        <v>2010</v>
      </c>
      <c r="G281" s="31" t="s">
        <v>33</v>
      </c>
      <c r="H281" s="60" t="str">
        <f t="shared" si="46"/>
        <v xml:space="preserve">   </v>
      </c>
      <c r="I281" s="60">
        <f t="shared" si="47"/>
        <v>41275</v>
      </c>
      <c r="J281" s="1249"/>
      <c r="K281" s="1124"/>
      <c r="L281" s="1178">
        <v>3000000</v>
      </c>
      <c r="M281" s="1124" t="s">
        <v>486</v>
      </c>
      <c r="N281" s="1178">
        <v>3000000</v>
      </c>
      <c r="O281" s="1124" t="s">
        <v>487</v>
      </c>
      <c r="P281" s="1178">
        <v>3000000</v>
      </c>
      <c r="Q281" s="1124" t="s">
        <v>486</v>
      </c>
      <c r="R281" s="1178">
        <v>1000000</v>
      </c>
      <c r="S281" s="1124">
        <v>41493</v>
      </c>
      <c r="T281" s="1188">
        <v>1000000</v>
      </c>
      <c r="U281" s="1143">
        <v>41493</v>
      </c>
      <c r="V281" s="1178">
        <v>3000000</v>
      </c>
      <c r="W281" s="1124">
        <v>41314</v>
      </c>
      <c r="X281" s="1259" t="s">
        <v>276</v>
      </c>
      <c r="Y281" s="1127"/>
      <c r="Z281" s="1240"/>
      <c r="AA281" s="1196"/>
      <c r="AB281" s="1244"/>
      <c r="AC281" s="1245"/>
      <c r="AD281" s="1246"/>
      <c r="AE281" s="1247"/>
      <c r="AF281" s="1246"/>
      <c r="AG281" s="1247"/>
      <c r="AH281" s="1232" t="str">
        <f t="shared" si="51"/>
        <v>PI</v>
      </c>
      <c r="AI281" s="747">
        <f t="shared" si="55"/>
        <v>14000000</v>
      </c>
      <c r="AJ281" s="747">
        <f t="shared" si="56"/>
        <v>0</v>
      </c>
      <c r="AK281" s="747">
        <f t="shared" si="57"/>
        <v>-14000000</v>
      </c>
      <c r="AL281" s="1170"/>
      <c r="AM281" s="1170"/>
      <c r="AN281" s="1209"/>
      <c r="AO281" s="1170"/>
      <c r="AP281" s="1209"/>
      <c r="AQ281" s="1128"/>
      <c r="AR281" s="1173"/>
      <c r="AT281" s="1173"/>
      <c r="AV281" s="1173"/>
      <c r="AX281" s="1173"/>
      <c r="AY281" s="1176"/>
      <c r="AZ281" s="1173"/>
    </row>
    <row r="282" spans="1:52" s="2" customFormat="1" x14ac:dyDescent="0.25">
      <c r="A282" s="19">
        <v>266</v>
      </c>
      <c r="B282" s="77">
        <v>36</v>
      </c>
      <c r="C282" s="40">
        <v>849110121</v>
      </c>
      <c r="D282" s="39" t="s">
        <v>488</v>
      </c>
      <c r="E282" s="23" t="s">
        <v>32</v>
      </c>
      <c r="F282" s="59">
        <v>2010</v>
      </c>
      <c r="G282" s="23"/>
      <c r="H282" s="60" t="str">
        <f t="shared" si="46"/>
        <v xml:space="preserve">   </v>
      </c>
      <c r="I282" s="60" t="str">
        <f t="shared" si="47"/>
        <v xml:space="preserve">   </v>
      </c>
      <c r="J282" s="1249"/>
      <c r="K282" s="1124"/>
      <c r="L282" s="1178">
        <v>3000000</v>
      </c>
      <c r="M282" s="1124"/>
      <c r="N282" s="1178">
        <v>3000000</v>
      </c>
      <c r="O282" s="1124" t="s">
        <v>224</v>
      </c>
      <c r="P282" s="1178">
        <v>3000000</v>
      </c>
      <c r="Q282" s="1124" t="s">
        <v>365</v>
      </c>
      <c r="R282" s="1178">
        <v>3000000</v>
      </c>
      <c r="S282" s="1124" t="s">
        <v>326</v>
      </c>
      <c r="T282" s="1262" t="s">
        <v>276</v>
      </c>
      <c r="U282" s="1127"/>
      <c r="V282" s="1240"/>
      <c r="W282" s="1196"/>
      <c r="X282" s="1240"/>
      <c r="Y282" s="1245"/>
      <c r="Z282" s="1240"/>
      <c r="AA282" s="1196"/>
      <c r="AB282" s="1244">
        <v>1000000</v>
      </c>
      <c r="AC282" s="1245" t="s">
        <v>326</v>
      </c>
      <c r="AD282" s="1246"/>
      <c r="AE282" s="1247"/>
      <c r="AF282" s="1246"/>
      <c r="AG282" s="1247"/>
      <c r="AH282" s="1232" t="str">
        <f t="shared" si="51"/>
        <v>PI</v>
      </c>
      <c r="AI282" s="747">
        <f t="shared" si="55"/>
        <v>13000000</v>
      </c>
      <c r="AJ282" s="747">
        <f t="shared" si="56"/>
        <v>1000000</v>
      </c>
      <c r="AK282" s="747">
        <f t="shared" si="57"/>
        <v>-12000000</v>
      </c>
      <c r="AL282" s="1170"/>
      <c r="AM282" s="1170"/>
      <c r="AN282" s="1209"/>
      <c r="AO282" s="1170"/>
      <c r="AP282" s="1209"/>
      <c r="AQ282" s="1128"/>
      <c r="AR282" s="1173"/>
      <c r="AT282" s="1173"/>
      <c r="AV282" s="1173"/>
      <c r="AX282" s="1173"/>
      <c r="AY282" s="1176"/>
      <c r="AZ282" s="1173"/>
    </row>
    <row r="283" spans="1:52" s="2" customFormat="1" x14ac:dyDescent="0.25">
      <c r="A283" s="19">
        <v>267</v>
      </c>
      <c r="B283" s="77">
        <v>37</v>
      </c>
      <c r="C283" s="40">
        <v>849110120</v>
      </c>
      <c r="D283" s="39" t="s">
        <v>489</v>
      </c>
      <c r="E283" s="23" t="s">
        <v>32</v>
      </c>
      <c r="F283" s="59">
        <v>2010</v>
      </c>
      <c r="G283" s="31" t="s">
        <v>33</v>
      </c>
      <c r="H283" s="60" t="str">
        <f t="shared" si="46"/>
        <v xml:space="preserve">   </v>
      </c>
      <c r="I283" s="60">
        <f t="shared" si="47"/>
        <v>42504</v>
      </c>
      <c r="J283" s="1249"/>
      <c r="K283" s="1124"/>
      <c r="L283" s="1178"/>
      <c r="M283" s="1124"/>
      <c r="N283" s="1178">
        <v>2000000</v>
      </c>
      <c r="O283" s="1124" t="s">
        <v>241</v>
      </c>
      <c r="P283" s="1178">
        <v>3000000</v>
      </c>
      <c r="Q283" s="1124" t="s">
        <v>351</v>
      </c>
      <c r="R283" s="1178">
        <v>3000000</v>
      </c>
      <c r="S283" s="1124" t="s">
        <v>490</v>
      </c>
      <c r="T283" s="1188">
        <v>3000000</v>
      </c>
      <c r="U283" s="1143" t="s">
        <v>490</v>
      </c>
      <c r="V283" s="1250">
        <v>3000000</v>
      </c>
      <c r="W283" s="1251">
        <v>42047</v>
      </c>
      <c r="X283" s="1250">
        <v>3000000</v>
      </c>
      <c r="Y283" s="1274">
        <v>42047</v>
      </c>
      <c r="Z283" s="1250">
        <v>3000000</v>
      </c>
      <c r="AA283" s="1251">
        <v>42047</v>
      </c>
      <c r="AB283" s="1275">
        <v>1000000</v>
      </c>
      <c r="AC283" s="1274">
        <v>42047</v>
      </c>
      <c r="AD283" s="1276">
        <v>3000000</v>
      </c>
      <c r="AE283" s="2296" t="s">
        <v>491</v>
      </c>
      <c r="AF283" s="1276">
        <v>3000000</v>
      </c>
      <c r="AG283" s="2296" t="s">
        <v>491</v>
      </c>
      <c r="AH283" s="1280" t="str">
        <f t="shared" si="51"/>
        <v>PI</v>
      </c>
      <c r="AI283" s="747">
        <f t="shared" si="55"/>
        <v>27000000</v>
      </c>
      <c r="AJ283" s="747">
        <f t="shared" si="56"/>
        <v>1000000</v>
      </c>
      <c r="AK283" s="747">
        <f t="shared" si="57"/>
        <v>-26000000</v>
      </c>
      <c r="AL283" s="1170"/>
      <c r="AM283" s="1170"/>
      <c r="AN283" s="1209"/>
      <c r="AO283" s="1170"/>
      <c r="AP283" s="1209"/>
      <c r="AQ283" s="1128"/>
      <c r="AR283" s="1173"/>
      <c r="AT283" s="1173"/>
      <c r="AV283" s="1173"/>
      <c r="AX283" s="1173"/>
      <c r="AY283" s="1176"/>
      <c r="AZ283" s="1173"/>
    </row>
    <row r="284" spans="1:52" s="2" customFormat="1" x14ac:dyDescent="0.25">
      <c r="A284" s="19">
        <v>268</v>
      </c>
      <c r="B284" s="67">
        <v>38</v>
      </c>
      <c r="C284" s="44">
        <v>49110104</v>
      </c>
      <c r="D284" s="43" t="s">
        <v>492</v>
      </c>
      <c r="E284" s="45" t="s">
        <v>32</v>
      </c>
      <c r="F284" s="67">
        <v>2010</v>
      </c>
      <c r="G284" s="45"/>
      <c r="H284" s="68" t="str">
        <f t="shared" si="46"/>
        <v xml:space="preserve">   </v>
      </c>
      <c r="I284" s="68" t="str">
        <f t="shared" si="47"/>
        <v xml:space="preserve">   </v>
      </c>
      <c r="J284" s="1130"/>
      <c r="K284" s="1126"/>
      <c r="L284" s="1130"/>
      <c r="M284" s="1126"/>
      <c r="N284" s="1130"/>
      <c r="O284" s="1126"/>
      <c r="P284" s="1130"/>
      <c r="Q284" s="1126"/>
      <c r="R284" s="1130"/>
      <c r="S284" s="1126"/>
      <c r="T284" s="1145"/>
      <c r="U284" s="1227"/>
      <c r="V284" s="1130"/>
      <c r="W284" s="1126"/>
      <c r="X284" s="1130"/>
      <c r="Y284" s="1227"/>
      <c r="Z284" s="1130"/>
      <c r="AA284" s="1126"/>
      <c r="AB284" s="1198"/>
      <c r="AC284" s="1126"/>
      <c r="AD284" s="1157"/>
      <c r="AE284" s="1158"/>
      <c r="AF284" s="1157"/>
      <c r="AG284" s="1158"/>
      <c r="AH284" s="1232" t="str">
        <f t="shared" si="51"/>
        <v>PI</v>
      </c>
      <c r="AI284" s="1248">
        <f t="shared" si="55"/>
        <v>0</v>
      </c>
      <c r="AJ284" s="1248">
        <f t="shared" si="56"/>
        <v>0</v>
      </c>
      <c r="AK284" s="1248">
        <f t="shared" si="57"/>
        <v>0</v>
      </c>
      <c r="AL284" s="1170"/>
      <c r="AM284" s="1170"/>
      <c r="AN284" s="1209"/>
      <c r="AO284" s="1170"/>
      <c r="AP284" s="1209"/>
      <c r="AQ284" s="1128"/>
      <c r="AR284" s="1173"/>
      <c r="AT284" s="1173"/>
      <c r="AV284" s="1173"/>
      <c r="AX284" s="1173"/>
      <c r="AY284" s="1176"/>
      <c r="AZ284" s="1173"/>
    </row>
    <row r="285" spans="1:52" s="2" customFormat="1" x14ac:dyDescent="0.25">
      <c r="A285" s="19">
        <v>269</v>
      </c>
      <c r="B285" s="57">
        <v>39</v>
      </c>
      <c r="C285" s="38">
        <v>49110102</v>
      </c>
      <c r="D285" s="37" t="s">
        <v>493</v>
      </c>
      <c r="E285" s="28" t="s">
        <v>32</v>
      </c>
      <c r="F285" s="57">
        <v>2010</v>
      </c>
      <c r="G285" s="28"/>
      <c r="H285" s="58" t="str">
        <f t="shared" si="46"/>
        <v xml:space="preserve">   </v>
      </c>
      <c r="I285" s="58" t="str">
        <f t="shared" si="47"/>
        <v xml:space="preserve">   </v>
      </c>
      <c r="J285" s="1130"/>
      <c r="K285" s="1126"/>
      <c r="L285" s="1130"/>
      <c r="M285" s="1126"/>
      <c r="N285" s="1130">
        <v>3000000</v>
      </c>
      <c r="O285" s="1126" t="s">
        <v>221</v>
      </c>
      <c r="P285" s="1130">
        <v>3000000</v>
      </c>
      <c r="Q285" s="1126" t="s">
        <v>117</v>
      </c>
      <c r="R285" s="1130">
        <v>3000000</v>
      </c>
      <c r="S285" s="1126">
        <v>40976</v>
      </c>
      <c r="T285" s="1145">
        <v>3000000</v>
      </c>
      <c r="U285" s="1227" t="s">
        <v>440</v>
      </c>
      <c r="V285" s="1130"/>
      <c r="W285" s="1126"/>
      <c r="X285" s="1130"/>
      <c r="Y285" s="1227"/>
      <c r="Z285" s="1130"/>
      <c r="AA285" s="1126"/>
      <c r="AB285" s="1198"/>
      <c r="AC285" s="1126"/>
      <c r="AD285" s="1157"/>
      <c r="AE285" s="1158"/>
      <c r="AF285" s="1157"/>
      <c r="AG285" s="1158"/>
      <c r="AH285" s="1232" t="str">
        <f t="shared" si="51"/>
        <v>PI</v>
      </c>
      <c r="AI285" s="747">
        <f t="shared" si="55"/>
        <v>12000000</v>
      </c>
      <c r="AJ285" s="747">
        <f t="shared" si="56"/>
        <v>0</v>
      </c>
      <c r="AK285" s="747">
        <f t="shared" si="57"/>
        <v>-12000000</v>
      </c>
      <c r="AL285" s="1170"/>
      <c r="AM285" s="1170"/>
      <c r="AN285" s="1209"/>
      <c r="AO285" s="1170"/>
      <c r="AP285" s="1209"/>
      <c r="AQ285" s="1128"/>
      <c r="AR285" s="1173"/>
      <c r="AT285" s="1173"/>
      <c r="AV285" s="1173"/>
      <c r="AX285" s="1173"/>
      <c r="AY285" s="1176"/>
      <c r="AZ285" s="1173"/>
    </row>
    <row r="286" spans="1:52" s="2" customFormat="1" x14ac:dyDescent="0.25">
      <c r="A286" s="19">
        <v>270</v>
      </c>
      <c r="B286" s="57">
        <v>40</v>
      </c>
      <c r="C286" s="38">
        <v>49110071</v>
      </c>
      <c r="D286" s="37" t="s">
        <v>494</v>
      </c>
      <c r="E286" s="28" t="s">
        <v>32</v>
      </c>
      <c r="F286" s="57">
        <v>2010</v>
      </c>
      <c r="G286" s="28"/>
      <c r="H286" s="58" t="str">
        <f t="shared" si="46"/>
        <v xml:space="preserve">   </v>
      </c>
      <c r="I286" s="58" t="str">
        <f t="shared" si="47"/>
        <v xml:space="preserve">   </v>
      </c>
      <c r="J286" s="1130"/>
      <c r="K286" s="1126"/>
      <c r="L286" s="1130">
        <v>3000000</v>
      </c>
      <c r="M286" s="1126"/>
      <c r="N286" s="1130">
        <f>1000000+1500000</f>
        <v>2500000</v>
      </c>
      <c r="O286" s="1126">
        <v>40984</v>
      </c>
      <c r="P286" s="1130">
        <f>1000000+1500000</f>
        <v>2500000</v>
      </c>
      <c r="Q286" s="1126">
        <v>40989</v>
      </c>
      <c r="R286" s="1130">
        <v>3000000</v>
      </c>
      <c r="S286" s="1126" t="s">
        <v>495</v>
      </c>
      <c r="T286" s="1145">
        <v>3000000</v>
      </c>
      <c r="U286" s="1227">
        <v>41314</v>
      </c>
      <c r="V286" s="1130">
        <v>3000000</v>
      </c>
      <c r="W286" s="1126">
        <v>41314</v>
      </c>
      <c r="X286" s="1130"/>
      <c r="Y286" s="1227"/>
      <c r="Z286" s="1130"/>
      <c r="AA286" s="1126"/>
      <c r="AB286" s="1198"/>
      <c r="AC286" s="1126"/>
      <c r="AD286" s="1157"/>
      <c r="AE286" s="1158"/>
      <c r="AF286" s="1157"/>
      <c r="AG286" s="1158"/>
      <c r="AH286" s="1232" t="str">
        <f t="shared" si="51"/>
        <v>PI</v>
      </c>
      <c r="AI286" s="747" t="e">
        <f>SUM(J286,L286,N286,P286,R286,T286,V286,X286,Z286,AB286,AD286,AF286+#REF!,#REF!)</f>
        <v>#REF!</v>
      </c>
      <c r="AJ286" s="747">
        <f t="shared" si="56"/>
        <v>0</v>
      </c>
      <c r="AK286" s="747" t="e">
        <f t="shared" si="57"/>
        <v>#REF!</v>
      </c>
      <c r="AL286" s="1170"/>
      <c r="AM286" s="1170"/>
      <c r="AN286" s="1209"/>
      <c r="AO286" s="1170"/>
      <c r="AP286" s="1209"/>
      <c r="AQ286" s="1128"/>
      <c r="AR286" s="1173"/>
      <c r="AT286" s="1173"/>
      <c r="AV286" s="1173"/>
      <c r="AX286" s="1173"/>
      <c r="AY286" s="1176"/>
      <c r="AZ286" s="1173"/>
    </row>
    <row r="287" spans="1:52" s="2" customFormat="1" x14ac:dyDescent="0.25">
      <c r="A287" s="19">
        <v>271</v>
      </c>
      <c r="B287" s="59">
        <v>41</v>
      </c>
      <c r="C287" s="40">
        <v>849110111</v>
      </c>
      <c r="D287" s="39" t="s">
        <v>496</v>
      </c>
      <c r="E287" s="23" t="s">
        <v>32</v>
      </c>
      <c r="F287" s="59">
        <v>2010</v>
      </c>
      <c r="G287" s="31" t="s">
        <v>33</v>
      </c>
      <c r="H287" s="24" t="str">
        <f t="shared" si="46"/>
        <v xml:space="preserve">   </v>
      </c>
      <c r="I287" s="24">
        <f t="shared" si="47"/>
        <v>41275</v>
      </c>
      <c r="J287" s="1249"/>
      <c r="K287" s="1124"/>
      <c r="L287" s="1178"/>
      <c r="M287" s="1124"/>
      <c r="N287" s="1178">
        <v>3000000</v>
      </c>
      <c r="O287" s="1124" t="s">
        <v>497</v>
      </c>
      <c r="P287" s="1178">
        <v>3000000</v>
      </c>
      <c r="Q287" s="1124" t="s">
        <v>498</v>
      </c>
      <c r="R287" s="1178">
        <v>3000000</v>
      </c>
      <c r="S287" s="2293" t="s">
        <v>499</v>
      </c>
      <c r="T287" s="1262" t="s">
        <v>276</v>
      </c>
      <c r="U287" s="1245"/>
      <c r="V287" s="1240"/>
      <c r="W287" s="1127"/>
      <c r="X287" s="1240"/>
      <c r="Y287" s="1245"/>
      <c r="Z287" s="1240"/>
      <c r="AA287" s="1196"/>
      <c r="AB287" s="1244">
        <v>1000000</v>
      </c>
      <c r="AC287" s="1196">
        <v>41276</v>
      </c>
      <c r="AD287" s="1246"/>
      <c r="AE287" s="1247"/>
      <c r="AF287" s="1246"/>
      <c r="AG287" s="1247"/>
      <c r="AH287" s="1232" t="str">
        <f t="shared" si="51"/>
        <v>PI</v>
      </c>
      <c r="AI287" s="747">
        <f t="shared" ref="AI287:AI295" si="58">SUM(J287,L287,N287,P287,R287,T287,V287,X287,Z287,AB287,AD287,AF287)</f>
        <v>10000000</v>
      </c>
      <c r="AJ287" s="747">
        <f t="shared" ref="AJ287:AJ301" si="59">((COUNT((L287,N287,P287,R287,T287,V287,X287,Z287,AD287,AF287)))*3000000)+(J287+AB287)</f>
        <v>10000000</v>
      </c>
      <c r="AK287" s="747">
        <f t="shared" ref="AK287:AK301" si="60">AJ287-AI287</f>
        <v>0</v>
      </c>
      <c r="AL287" s="1170"/>
      <c r="AM287" s="1170"/>
      <c r="AN287" s="1209"/>
      <c r="AO287" s="1170"/>
      <c r="AP287" s="1209"/>
      <c r="AQ287" s="1128"/>
      <c r="AR287" s="1173"/>
      <c r="AT287" s="1173"/>
      <c r="AV287" s="1173"/>
      <c r="AX287" s="1173"/>
      <c r="AY287" s="1176"/>
      <c r="AZ287" s="1173"/>
    </row>
    <row r="288" spans="1:52" s="2" customFormat="1" x14ac:dyDescent="0.25">
      <c r="A288" s="19">
        <v>272</v>
      </c>
      <c r="B288" s="67">
        <v>42</v>
      </c>
      <c r="C288" s="44">
        <v>49110095</v>
      </c>
      <c r="D288" s="43" t="s">
        <v>500</v>
      </c>
      <c r="E288" s="45" t="s">
        <v>32</v>
      </c>
      <c r="F288" s="67">
        <v>2010</v>
      </c>
      <c r="G288" s="45"/>
      <c r="H288" s="68" t="str">
        <f t="shared" si="46"/>
        <v xml:space="preserve">   </v>
      </c>
      <c r="I288" s="68" t="str">
        <f t="shared" si="47"/>
        <v xml:space="preserve">   </v>
      </c>
      <c r="J288" s="1130"/>
      <c r="K288" s="1126"/>
      <c r="L288" s="1130"/>
      <c r="M288" s="1126"/>
      <c r="N288" s="1130">
        <v>3000000</v>
      </c>
      <c r="O288" s="1126" t="s">
        <v>237</v>
      </c>
      <c r="P288" s="1130">
        <v>3000000</v>
      </c>
      <c r="Q288" s="1126" t="s">
        <v>98</v>
      </c>
      <c r="R288" s="1130"/>
      <c r="S288" s="1126"/>
      <c r="T288" s="1145"/>
      <c r="U288" s="1227"/>
      <c r="V288" s="1130"/>
      <c r="W288" s="1126"/>
      <c r="X288" s="1130"/>
      <c r="Y288" s="1227"/>
      <c r="Z288" s="1130"/>
      <c r="AA288" s="1126"/>
      <c r="AB288" s="1198"/>
      <c r="AC288" s="1126"/>
      <c r="AD288" s="1157"/>
      <c r="AE288" s="1158"/>
      <c r="AF288" s="1157"/>
      <c r="AG288" s="1158"/>
      <c r="AH288" s="1232" t="str">
        <f t="shared" si="51"/>
        <v>PI</v>
      </c>
      <c r="AI288" s="1248">
        <f t="shared" si="58"/>
        <v>6000000</v>
      </c>
      <c r="AJ288" s="1248">
        <f t="shared" si="59"/>
        <v>9000000</v>
      </c>
      <c r="AK288" s="1248">
        <f t="shared" si="60"/>
        <v>3000000</v>
      </c>
      <c r="AL288" s="1170"/>
      <c r="AM288" s="1170"/>
      <c r="AN288" s="1209"/>
      <c r="AO288" s="1170"/>
      <c r="AP288" s="1209"/>
      <c r="AQ288" s="1128"/>
      <c r="AR288" s="1173"/>
      <c r="AT288" s="1173"/>
      <c r="AV288" s="1173"/>
      <c r="AX288" s="1173"/>
      <c r="AY288" s="1176"/>
      <c r="AZ288" s="1173"/>
    </row>
    <row r="289" spans="1:52" s="2" customFormat="1" x14ac:dyDescent="0.25">
      <c r="A289" s="19">
        <v>273</v>
      </c>
      <c r="B289" s="59">
        <v>43</v>
      </c>
      <c r="C289" s="40">
        <v>849110106</v>
      </c>
      <c r="D289" s="39" t="s">
        <v>501</v>
      </c>
      <c r="E289" s="23" t="s">
        <v>32</v>
      </c>
      <c r="F289" s="59">
        <v>2010</v>
      </c>
      <c r="G289" s="31" t="s">
        <v>33</v>
      </c>
      <c r="H289" s="24" t="str">
        <f t="shared" si="46"/>
        <v xml:space="preserve">   </v>
      </c>
      <c r="I289" s="24">
        <f t="shared" si="47"/>
        <v>41640</v>
      </c>
      <c r="J289" s="1178"/>
      <c r="K289" s="1124"/>
      <c r="L289" s="1178"/>
      <c r="M289" s="1124"/>
      <c r="N289" s="1253"/>
      <c r="O289" s="1144" t="s">
        <v>137</v>
      </c>
      <c r="P289" s="1178">
        <v>3000000</v>
      </c>
      <c r="Q289" s="1124" t="s">
        <v>117</v>
      </c>
      <c r="R289" s="1178">
        <v>3000000</v>
      </c>
      <c r="S289" s="1124" t="s">
        <v>502</v>
      </c>
      <c r="T289" s="1188">
        <v>3000000</v>
      </c>
      <c r="U289" s="1143" t="s">
        <v>503</v>
      </c>
      <c r="V289" s="1178">
        <v>3000000</v>
      </c>
      <c r="W289" s="1124">
        <v>41914</v>
      </c>
      <c r="X289" s="1130"/>
      <c r="Y289" s="1227"/>
      <c r="Z289" s="1130"/>
      <c r="AA289" s="1126"/>
      <c r="AB289" s="1198">
        <v>1000000</v>
      </c>
      <c r="AC289" s="1126">
        <v>41914</v>
      </c>
      <c r="AD289" s="1157"/>
      <c r="AE289" s="1158"/>
      <c r="AF289" s="1157"/>
      <c r="AG289" s="1158"/>
      <c r="AH289" s="1232" t="str">
        <f t="shared" si="51"/>
        <v>PI</v>
      </c>
      <c r="AI289" s="747">
        <f t="shared" si="58"/>
        <v>13000000</v>
      </c>
      <c r="AJ289" s="747">
        <f t="shared" si="59"/>
        <v>10000000</v>
      </c>
      <c r="AK289" s="747">
        <f t="shared" si="60"/>
        <v>-3000000</v>
      </c>
      <c r="AL289" s="1170"/>
      <c r="AM289" s="1170"/>
      <c r="AN289" s="1209"/>
      <c r="AO289" s="1170"/>
      <c r="AP289" s="1209"/>
      <c r="AQ289" s="1128"/>
      <c r="AR289" s="1173"/>
      <c r="AT289" s="1173"/>
      <c r="AV289" s="1173"/>
      <c r="AX289" s="1173"/>
      <c r="AY289" s="1176"/>
      <c r="AZ289" s="1173"/>
    </row>
    <row r="290" spans="1:52" s="2" customFormat="1" x14ac:dyDescent="0.25">
      <c r="A290" s="19">
        <v>274</v>
      </c>
      <c r="B290" s="59">
        <v>44</v>
      </c>
      <c r="C290" s="40">
        <v>849110103</v>
      </c>
      <c r="D290" s="39" t="s">
        <v>504</v>
      </c>
      <c r="E290" s="23" t="s">
        <v>32</v>
      </c>
      <c r="F290" s="59">
        <v>2010</v>
      </c>
      <c r="G290" s="31" t="s">
        <v>33</v>
      </c>
      <c r="H290" s="24" t="str">
        <f t="shared" si="46"/>
        <v xml:space="preserve">   </v>
      </c>
      <c r="I290" s="24">
        <f t="shared" si="47"/>
        <v>41275</v>
      </c>
      <c r="J290" s="1178"/>
      <c r="K290" s="1124"/>
      <c r="L290" s="1178"/>
      <c r="M290" s="1252" t="s">
        <v>475</v>
      </c>
      <c r="N290" s="1178"/>
      <c r="O290" s="1124"/>
      <c r="P290" s="1178">
        <v>3000000</v>
      </c>
      <c r="Q290" s="1124">
        <v>41062</v>
      </c>
      <c r="R290" s="1178">
        <v>3000000</v>
      </c>
      <c r="S290" s="1124" t="s">
        <v>505</v>
      </c>
      <c r="T290" s="1188">
        <v>3000000</v>
      </c>
      <c r="U290" s="1143" t="s">
        <v>506</v>
      </c>
      <c r="V290" s="1130"/>
      <c r="W290" s="1126"/>
      <c r="X290" s="1130"/>
      <c r="Y290" s="1227"/>
      <c r="Z290" s="1130"/>
      <c r="AA290" s="1126"/>
      <c r="AB290" s="1198">
        <v>1000000</v>
      </c>
      <c r="AC290" s="1126">
        <v>41281</v>
      </c>
      <c r="AD290" s="1157"/>
      <c r="AE290" s="1158"/>
      <c r="AF290" s="1157"/>
      <c r="AG290" s="1158"/>
      <c r="AH290" s="1232" t="str">
        <f t="shared" si="51"/>
        <v>PI</v>
      </c>
      <c r="AI290" s="747">
        <f t="shared" si="58"/>
        <v>10000000</v>
      </c>
      <c r="AJ290" s="747">
        <f t="shared" si="59"/>
        <v>10000000</v>
      </c>
      <c r="AK290" s="747">
        <f t="shared" si="60"/>
        <v>0</v>
      </c>
      <c r="AL290" s="1170"/>
      <c r="AM290" s="1170"/>
      <c r="AN290" s="1209"/>
      <c r="AO290" s="1170"/>
      <c r="AP290" s="1209"/>
      <c r="AQ290" s="1128"/>
      <c r="AR290" s="1173"/>
      <c r="AT290" s="1173"/>
      <c r="AV290" s="1173"/>
      <c r="AX290" s="1173"/>
      <c r="AY290" s="1176"/>
      <c r="AZ290" s="1173"/>
    </row>
    <row r="291" spans="1:52" s="2" customFormat="1" x14ac:dyDescent="0.25">
      <c r="A291" s="19">
        <v>275</v>
      </c>
      <c r="B291" s="67">
        <v>45</v>
      </c>
      <c r="C291" s="44">
        <v>849110112</v>
      </c>
      <c r="D291" s="43" t="s">
        <v>507</v>
      </c>
      <c r="E291" s="45" t="s">
        <v>32</v>
      </c>
      <c r="F291" s="67">
        <v>2010</v>
      </c>
      <c r="G291" s="45"/>
      <c r="H291" s="68" t="str">
        <f t="shared" si="46"/>
        <v xml:space="preserve">   </v>
      </c>
      <c r="I291" s="68" t="str">
        <f t="shared" si="47"/>
        <v xml:space="preserve">   </v>
      </c>
      <c r="J291" s="1130"/>
      <c r="K291" s="1126"/>
      <c r="L291" s="1130"/>
      <c r="M291" s="1126"/>
      <c r="N291" s="1130">
        <v>3000000</v>
      </c>
      <c r="O291" s="1126" t="s">
        <v>215</v>
      </c>
      <c r="P291" s="1130">
        <v>3000000</v>
      </c>
      <c r="Q291" s="1126" t="s">
        <v>93</v>
      </c>
      <c r="R291" s="1130"/>
      <c r="S291" s="1126"/>
      <c r="T291" s="1145"/>
      <c r="U291" s="1227"/>
      <c r="V291" s="1130"/>
      <c r="W291" s="1126"/>
      <c r="X291" s="1130"/>
      <c r="Y291" s="1227"/>
      <c r="Z291" s="1130"/>
      <c r="AA291" s="1126"/>
      <c r="AB291" s="1198"/>
      <c r="AC291" s="1126"/>
      <c r="AD291" s="1157"/>
      <c r="AE291" s="1158"/>
      <c r="AF291" s="1157"/>
      <c r="AG291" s="1158"/>
      <c r="AH291" s="1232" t="str">
        <f t="shared" si="51"/>
        <v>PI</v>
      </c>
      <c r="AI291" s="1248">
        <f t="shared" si="58"/>
        <v>6000000</v>
      </c>
      <c r="AJ291" s="1248">
        <f t="shared" si="59"/>
        <v>9000000</v>
      </c>
      <c r="AK291" s="1248">
        <f t="shared" si="60"/>
        <v>3000000</v>
      </c>
      <c r="AL291" s="1170"/>
      <c r="AM291" s="1170"/>
      <c r="AN291" s="1209"/>
      <c r="AO291" s="1170"/>
      <c r="AP291" s="1209"/>
      <c r="AQ291" s="1128"/>
      <c r="AR291" s="1173"/>
      <c r="AT291" s="1173"/>
      <c r="AV291" s="1173"/>
      <c r="AX291" s="1173"/>
      <c r="AY291" s="1176"/>
      <c r="AZ291" s="1173"/>
    </row>
    <row r="292" spans="1:52" s="2" customFormat="1" x14ac:dyDescent="0.25">
      <c r="A292" s="19">
        <v>276</v>
      </c>
      <c r="B292" s="67">
        <v>46</v>
      </c>
      <c r="C292" s="44">
        <v>849110100</v>
      </c>
      <c r="D292" s="43" t="s">
        <v>508</v>
      </c>
      <c r="E292" s="45" t="s">
        <v>32</v>
      </c>
      <c r="F292" s="67">
        <v>2010</v>
      </c>
      <c r="G292" s="45"/>
      <c r="H292" s="68" t="str">
        <f t="shared" si="46"/>
        <v xml:space="preserve">   </v>
      </c>
      <c r="I292" s="68" t="str">
        <f t="shared" si="47"/>
        <v xml:space="preserve">   </v>
      </c>
      <c r="J292" s="1130"/>
      <c r="K292" s="1126"/>
      <c r="L292" s="1130"/>
      <c r="M292" s="1126"/>
      <c r="N292" s="1130"/>
      <c r="O292" s="1126"/>
      <c r="P292" s="1130"/>
      <c r="Q292" s="1126"/>
      <c r="R292" s="1130"/>
      <c r="S292" s="1126"/>
      <c r="T292" s="1145"/>
      <c r="U292" s="1227"/>
      <c r="V292" s="1130"/>
      <c r="W292" s="1126"/>
      <c r="X292" s="1130"/>
      <c r="Y292" s="1227"/>
      <c r="Z292" s="1130"/>
      <c r="AA292" s="1126"/>
      <c r="AB292" s="1198"/>
      <c r="AC292" s="1126"/>
      <c r="AD292" s="1157"/>
      <c r="AE292" s="1158"/>
      <c r="AF292" s="1157"/>
      <c r="AG292" s="1158"/>
      <c r="AH292" s="1232" t="str">
        <f t="shared" si="51"/>
        <v>PI</v>
      </c>
      <c r="AI292" s="1248">
        <f t="shared" si="58"/>
        <v>0</v>
      </c>
      <c r="AJ292" s="1248">
        <f t="shared" si="59"/>
        <v>9000000</v>
      </c>
      <c r="AK292" s="1248">
        <f t="shared" si="60"/>
        <v>9000000</v>
      </c>
      <c r="AL292" s="1170"/>
      <c r="AM292" s="1170"/>
      <c r="AN292" s="1209"/>
      <c r="AO292" s="1170"/>
      <c r="AP292" s="1209"/>
      <c r="AQ292" s="1128"/>
      <c r="AR292" s="1173"/>
      <c r="AT292" s="1173"/>
      <c r="AV292" s="1173"/>
      <c r="AX292" s="1173"/>
      <c r="AY292" s="1176"/>
      <c r="AZ292" s="1173"/>
    </row>
    <row r="293" spans="1:52" s="2" customFormat="1" x14ac:dyDescent="0.25">
      <c r="A293" s="19">
        <v>277</v>
      </c>
      <c r="B293" s="59">
        <v>47</v>
      </c>
      <c r="C293" s="38">
        <v>849110105</v>
      </c>
      <c r="D293" s="39" t="s">
        <v>509</v>
      </c>
      <c r="E293" s="23" t="s">
        <v>32</v>
      </c>
      <c r="F293" s="59">
        <v>2010</v>
      </c>
      <c r="G293" s="31" t="s">
        <v>33</v>
      </c>
      <c r="H293" s="24" t="str">
        <f t="shared" si="46"/>
        <v xml:space="preserve">   </v>
      </c>
      <c r="I293" s="24">
        <f t="shared" si="47"/>
        <v>41275</v>
      </c>
      <c r="J293" s="1130"/>
      <c r="K293" s="1126"/>
      <c r="L293" s="1130"/>
      <c r="M293" s="1126"/>
      <c r="N293" s="1130">
        <v>3000000</v>
      </c>
      <c r="O293" s="1126" t="s">
        <v>237</v>
      </c>
      <c r="P293" s="1130">
        <v>3000000</v>
      </c>
      <c r="Q293" s="1126" t="s">
        <v>93</v>
      </c>
      <c r="R293" s="1130">
        <v>3000000</v>
      </c>
      <c r="S293" s="1126" t="s">
        <v>510</v>
      </c>
      <c r="T293" s="1145"/>
      <c r="U293" s="1227"/>
      <c r="V293" s="1130"/>
      <c r="W293" s="1126"/>
      <c r="X293" s="1130"/>
      <c r="Y293" s="1227"/>
      <c r="Z293" s="1130"/>
      <c r="AA293" s="1126"/>
      <c r="AB293" s="1198"/>
      <c r="AC293" s="1126"/>
      <c r="AD293" s="1157"/>
      <c r="AE293" s="1158"/>
      <c r="AF293" s="1157"/>
      <c r="AG293" s="1158"/>
      <c r="AH293" s="1232" t="str">
        <f t="shared" si="51"/>
        <v>PI</v>
      </c>
      <c r="AI293" s="747">
        <f t="shared" si="58"/>
        <v>9000000</v>
      </c>
      <c r="AJ293" s="747">
        <f t="shared" si="59"/>
        <v>9000000</v>
      </c>
      <c r="AK293" s="747">
        <f t="shared" si="60"/>
        <v>0</v>
      </c>
      <c r="AL293" s="1170"/>
      <c r="AM293" s="1170"/>
      <c r="AN293" s="1209"/>
      <c r="AO293" s="1170"/>
      <c r="AP293" s="1209"/>
      <c r="AQ293" s="1128"/>
      <c r="AR293" s="1173"/>
      <c r="AT293" s="1173"/>
      <c r="AV293" s="1173"/>
      <c r="AX293" s="1173"/>
      <c r="AY293" s="1176"/>
      <c r="AZ293" s="1173"/>
    </row>
    <row r="294" spans="1:52" s="2" customFormat="1" x14ac:dyDescent="0.25">
      <c r="A294" s="19">
        <v>278</v>
      </c>
      <c r="B294" s="67">
        <v>48</v>
      </c>
      <c r="C294" s="44">
        <v>849110109</v>
      </c>
      <c r="D294" s="43" t="s">
        <v>511</v>
      </c>
      <c r="E294" s="45" t="s">
        <v>32</v>
      </c>
      <c r="F294" s="67">
        <v>2010</v>
      </c>
      <c r="G294" s="45"/>
      <c r="H294" s="68" t="str">
        <f t="shared" si="46"/>
        <v xml:space="preserve">   </v>
      </c>
      <c r="I294" s="68" t="str">
        <f t="shared" si="47"/>
        <v xml:space="preserve">   </v>
      </c>
      <c r="J294" s="1130"/>
      <c r="K294" s="1126"/>
      <c r="L294" s="1130"/>
      <c r="M294" s="1126"/>
      <c r="N294" s="1130">
        <v>3000000</v>
      </c>
      <c r="O294" s="1126" t="s">
        <v>298</v>
      </c>
      <c r="P294" s="1130"/>
      <c r="Q294" s="1126"/>
      <c r="R294" s="1130"/>
      <c r="S294" s="1126"/>
      <c r="T294" s="1145"/>
      <c r="U294" s="1227"/>
      <c r="V294" s="1130"/>
      <c r="W294" s="1126"/>
      <c r="X294" s="1130"/>
      <c r="Y294" s="1227"/>
      <c r="Z294" s="1130"/>
      <c r="AA294" s="1126"/>
      <c r="AB294" s="1198"/>
      <c r="AC294" s="1126"/>
      <c r="AD294" s="1157"/>
      <c r="AE294" s="1158"/>
      <c r="AF294" s="1157"/>
      <c r="AG294" s="1158"/>
      <c r="AH294" s="1232" t="str">
        <f t="shared" si="51"/>
        <v>PI</v>
      </c>
      <c r="AI294" s="1248">
        <f t="shared" si="58"/>
        <v>3000000</v>
      </c>
      <c r="AJ294" s="1248">
        <f t="shared" si="59"/>
        <v>9000000</v>
      </c>
      <c r="AK294" s="1248">
        <f t="shared" si="60"/>
        <v>6000000</v>
      </c>
      <c r="AL294" s="1170"/>
      <c r="AM294" s="1170"/>
      <c r="AN294" s="1209"/>
      <c r="AO294" s="1170"/>
      <c r="AP294" s="1209"/>
      <c r="AQ294" s="1128"/>
      <c r="AR294" s="1173"/>
      <c r="AT294" s="1173"/>
      <c r="AV294" s="1173"/>
      <c r="AX294" s="1173"/>
      <c r="AY294" s="1176"/>
      <c r="AZ294" s="1173"/>
    </row>
    <row r="295" spans="1:52" s="2" customFormat="1" x14ac:dyDescent="0.25">
      <c r="A295" s="19">
        <v>279</v>
      </c>
      <c r="B295" s="59">
        <v>49</v>
      </c>
      <c r="C295" s="38">
        <v>849110115</v>
      </c>
      <c r="D295" s="39" t="s">
        <v>512</v>
      </c>
      <c r="E295" s="23" t="s">
        <v>32</v>
      </c>
      <c r="F295" s="59">
        <v>2010</v>
      </c>
      <c r="G295" s="31" t="s">
        <v>33</v>
      </c>
      <c r="H295" s="24" t="str">
        <f t="shared" si="46"/>
        <v xml:space="preserve">   </v>
      </c>
      <c r="I295" s="24">
        <f t="shared" si="47"/>
        <v>41275</v>
      </c>
      <c r="J295" s="1130"/>
      <c r="K295" s="1126"/>
      <c r="L295" s="1130"/>
      <c r="M295" s="1126"/>
      <c r="N295" s="1130">
        <v>3000000</v>
      </c>
      <c r="O295" s="1126">
        <v>40885</v>
      </c>
      <c r="P295" s="1130"/>
      <c r="Q295" s="1126" t="s">
        <v>262</v>
      </c>
      <c r="R295" s="1130">
        <v>3000000</v>
      </c>
      <c r="S295" s="1126" t="s">
        <v>513</v>
      </c>
      <c r="T295" s="1145">
        <v>3000000</v>
      </c>
      <c r="U295" s="1227" t="s">
        <v>514</v>
      </c>
      <c r="V295" s="1130"/>
      <c r="W295" s="1126"/>
      <c r="X295" s="1130"/>
      <c r="Y295" s="1227"/>
      <c r="Z295" s="1130"/>
      <c r="AA295" s="1126"/>
      <c r="AB295" s="1198"/>
      <c r="AC295" s="1126"/>
      <c r="AD295" s="1157"/>
      <c r="AE295" s="1158"/>
      <c r="AF295" s="1157"/>
      <c r="AG295" s="1158"/>
      <c r="AH295" s="1232" t="str">
        <f t="shared" si="51"/>
        <v>PI</v>
      </c>
      <c r="AI295" s="747">
        <f t="shared" si="58"/>
        <v>9000000</v>
      </c>
      <c r="AJ295" s="747">
        <f t="shared" si="59"/>
        <v>9000000</v>
      </c>
      <c r="AK295" s="747">
        <f t="shared" si="60"/>
        <v>0</v>
      </c>
      <c r="AL295" s="1170"/>
      <c r="AM295" s="1170"/>
      <c r="AN295" s="1209"/>
      <c r="AO295" s="1170"/>
      <c r="AP295" s="1209"/>
      <c r="AQ295" s="1128"/>
      <c r="AR295" s="1173"/>
      <c r="AT295" s="1173"/>
      <c r="AV295" s="1173"/>
      <c r="AX295" s="1173"/>
      <c r="AY295" s="1176"/>
      <c r="AZ295" s="1173"/>
    </row>
    <row r="296" spans="1:52" s="2" customFormat="1" x14ac:dyDescent="0.25">
      <c r="A296" s="19">
        <v>280</v>
      </c>
      <c r="B296" s="59">
        <v>50</v>
      </c>
      <c r="C296" s="40">
        <v>849110108</v>
      </c>
      <c r="D296" s="39" t="s">
        <v>515</v>
      </c>
      <c r="E296" s="23" t="s">
        <v>32</v>
      </c>
      <c r="F296" s="59">
        <v>2010</v>
      </c>
      <c r="G296" s="31" t="s">
        <v>33</v>
      </c>
      <c r="H296" s="24" t="str">
        <f t="shared" si="46"/>
        <v xml:space="preserve">   </v>
      </c>
      <c r="I296" s="24">
        <f t="shared" si="47"/>
        <v>41275</v>
      </c>
      <c r="J296" s="1249"/>
      <c r="K296" s="1124"/>
      <c r="L296" s="1178"/>
      <c r="M296" s="1124"/>
      <c r="N296" s="1178">
        <v>3000000</v>
      </c>
      <c r="O296" s="1124" t="s">
        <v>215</v>
      </c>
      <c r="P296" s="1178">
        <v>3000000</v>
      </c>
      <c r="Q296" s="1124" t="s">
        <v>93</v>
      </c>
      <c r="R296" s="1178">
        <f>2000000+1000000</f>
        <v>3000000</v>
      </c>
      <c r="S296" s="1124">
        <v>41338</v>
      </c>
      <c r="T296" s="1188">
        <v>3000000</v>
      </c>
      <c r="U296" s="1143">
        <v>41397</v>
      </c>
      <c r="V296" s="1240"/>
      <c r="W296" s="1263" t="s">
        <v>276</v>
      </c>
      <c r="X296" s="1240"/>
      <c r="Y296" s="1245"/>
      <c r="Z296" s="1240"/>
      <c r="AA296" s="1196"/>
      <c r="AB296" s="1244">
        <v>1000000</v>
      </c>
      <c r="AC296" s="1196">
        <v>41397</v>
      </c>
      <c r="AD296" s="1246"/>
      <c r="AE296" s="1247"/>
      <c r="AF296" s="1246"/>
      <c r="AG296" s="1247"/>
      <c r="AH296" s="1232" t="str">
        <f t="shared" si="51"/>
        <v>PI</v>
      </c>
      <c r="AI296" s="747" t="e">
        <f>SUM(J296,L296,N296,P296,R296,T296,V296,X296,Z296,AB296,AD296,AF296,#REF!)</f>
        <v>#REF!</v>
      </c>
      <c r="AJ296" s="747">
        <f t="shared" si="59"/>
        <v>10000000</v>
      </c>
      <c r="AK296" s="747" t="e">
        <f t="shared" si="60"/>
        <v>#REF!</v>
      </c>
      <c r="AL296" s="1170"/>
      <c r="AM296" s="1170"/>
      <c r="AN296" s="1209"/>
      <c r="AO296" s="1170"/>
      <c r="AP296" s="1209"/>
      <c r="AQ296" s="1128"/>
      <c r="AR296" s="1173"/>
      <c r="AT296" s="1173"/>
      <c r="AV296" s="1173"/>
      <c r="AX296" s="1173"/>
      <c r="AY296" s="1176"/>
      <c r="AZ296" s="1173"/>
    </row>
    <row r="297" spans="1:52" s="2" customFormat="1" x14ac:dyDescent="0.25">
      <c r="A297" s="19">
        <v>281</v>
      </c>
      <c r="B297" s="59">
        <v>51</v>
      </c>
      <c r="C297" s="40">
        <v>849110118</v>
      </c>
      <c r="D297" s="39" t="s">
        <v>516</v>
      </c>
      <c r="E297" s="23" t="s">
        <v>32</v>
      </c>
      <c r="F297" s="59">
        <v>2010</v>
      </c>
      <c r="G297" s="31" t="s">
        <v>33</v>
      </c>
      <c r="H297" s="24" t="str">
        <f t="shared" si="46"/>
        <v xml:space="preserve">   </v>
      </c>
      <c r="I297" s="24">
        <f t="shared" si="47"/>
        <v>41275</v>
      </c>
      <c r="J297" s="1178"/>
      <c r="K297" s="1124"/>
      <c r="L297" s="1178">
        <v>4200000</v>
      </c>
      <c r="M297" s="1124" t="s">
        <v>517</v>
      </c>
      <c r="N297" s="1178">
        <v>3000000</v>
      </c>
      <c r="O297" s="1124" t="s">
        <v>321</v>
      </c>
      <c r="P297" s="1178">
        <v>3000000</v>
      </c>
      <c r="Q297" s="1124" t="s">
        <v>317</v>
      </c>
      <c r="R297" s="1178">
        <v>3000000</v>
      </c>
      <c r="S297" s="1124" t="s">
        <v>518</v>
      </c>
      <c r="T297" s="1145"/>
      <c r="U297" s="1227"/>
      <c r="V297" s="1130"/>
      <c r="W297" s="1126"/>
      <c r="X297" s="1130"/>
      <c r="Y297" s="1227"/>
      <c r="Z297" s="1130"/>
      <c r="AA297" s="1126"/>
      <c r="AB297" s="1198"/>
      <c r="AC297" s="1126"/>
      <c r="AD297" s="1157"/>
      <c r="AE297" s="1158"/>
      <c r="AF297" s="1157"/>
      <c r="AG297" s="1158"/>
      <c r="AH297" s="1232" t="str">
        <f t="shared" si="51"/>
        <v>PI</v>
      </c>
      <c r="AI297" s="747">
        <f>SUM(J297,L297,N297,P297,R297,T297,V297,X297,Z297,AB297,AD297,AF297)</f>
        <v>13200000</v>
      </c>
      <c r="AJ297" s="747">
        <f t="shared" si="59"/>
        <v>9000000</v>
      </c>
      <c r="AK297" s="747">
        <f t="shared" si="60"/>
        <v>-4200000</v>
      </c>
      <c r="AL297" s="1170"/>
      <c r="AM297" s="1170"/>
      <c r="AN297" s="1209"/>
      <c r="AO297" s="1170"/>
      <c r="AP297" s="1209"/>
      <c r="AQ297" s="1128"/>
      <c r="AR297" s="1173"/>
      <c r="AT297" s="1173"/>
      <c r="AV297" s="1173"/>
      <c r="AX297" s="1173"/>
      <c r="AY297" s="1176"/>
      <c r="AZ297" s="1173"/>
    </row>
    <row r="298" spans="1:52" s="2" customFormat="1" x14ac:dyDescent="0.25">
      <c r="A298" s="19">
        <v>282</v>
      </c>
      <c r="B298" s="67">
        <v>52</v>
      </c>
      <c r="C298" s="44">
        <v>849110101</v>
      </c>
      <c r="D298" s="43" t="s">
        <v>519</v>
      </c>
      <c r="E298" s="45" t="s">
        <v>32</v>
      </c>
      <c r="F298" s="67">
        <v>2010</v>
      </c>
      <c r="G298" s="45" t="s">
        <v>33</v>
      </c>
      <c r="H298" s="68" t="str">
        <f t="shared" si="46"/>
        <v xml:space="preserve">   </v>
      </c>
      <c r="I298" s="68">
        <f t="shared" si="47"/>
        <v>41275</v>
      </c>
      <c r="J298" s="1181"/>
      <c r="K298" s="1180"/>
      <c r="L298" s="1181"/>
      <c r="M298" s="1180"/>
      <c r="N298" s="1181">
        <v>3000000</v>
      </c>
      <c r="O298" s="1180">
        <v>40610</v>
      </c>
      <c r="P298" s="1130"/>
      <c r="Q298" s="1126"/>
      <c r="R298" s="1130"/>
      <c r="S298" s="1126"/>
      <c r="T298" s="1145"/>
      <c r="U298" s="1227"/>
      <c r="V298" s="1130"/>
      <c r="W298" s="1126"/>
      <c r="X298" s="1130"/>
      <c r="Y298" s="1227"/>
      <c r="Z298" s="1130"/>
      <c r="AA298" s="1126"/>
      <c r="AB298" s="1198"/>
      <c r="AC298" s="1126"/>
      <c r="AD298" s="1157"/>
      <c r="AE298" s="1158"/>
      <c r="AF298" s="1157"/>
      <c r="AG298" s="1158"/>
      <c r="AH298" s="1232" t="str">
        <f t="shared" si="51"/>
        <v>PI</v>
      </c>
      <c r="AI298" s="1248">
        <f>SUM(J298,L298,N298,P298,R298,T298,V298,X298,Z298,AB298,AD298,AF298)</f>
        <v>3000000</v>
      </c>
      <c r="AJ298" s="1248">
        <f t="shared" si="59"/>
        <v>9000000</v>
      </c>
      <c r="AK298" s="1248">
        <f t="shared" si="60"/>
        <v>6000000</v>
      </c>
      <c r="AL298" s="1170"/>
      <c r="AM298" s="1170"/>
      <c r="AN298" s="1209"/>
      <c r="AO298" s="1170"/>
      <c r="AP298" s="1209"/>
      <c r="AQ298" s="1128"/>
      <c r="AR298" s="1173"/>
      <c r="AT298" s="1173"/>
      <c r="AV298" s="1173"/>
      <c r="AX298" s="1173"/>
      <c r="AY298" s="1176"/>
      <c r="AZ298" s="1173"/>
    </row>
    <row r="299" spans="1:52" s="2" customFormat="1" x14ac:dyDescent="0.25">
      <c r="A299" s="19">
        <v>283</v>
      </c>
      <c r="B299" s="59">
        <v>53</v>
      </c>
      <c r="C299" s="40">
        <v>849110117</v>
      </c>
      <c r="D299" s="39" t="s">
        <v>520</v>
      </c>
      <c r="E299" s="23" t="s">
        <v>32</v>
      </c>
      <c r="F299" s="59">
        <v>2010</v>
      </c>
      <c r="G299" s="23" t="s">
        <v>33</v>
      </c>
      <c r="H299" s="60" t="str">
        <f t="shared" si="46"/>
        <v xml:space="preserve">   </v>
      </c>
      <c r="I299" s="60">
        <f t="shared" si="47"/>
        <v>42329</v>
      </c>
      <c r="J299" s="1178"/>
      <c r="K299" s="1124"/>
      <c r="L299" s="1178">
        <v>4200000</v>
      </c>
      <c r="M299" s="1124">
        <v>40560</v>
      </c>
      <c r="N299" s="1178">
        <v>3000000</v>
      </c>
      <c r="O299" s="1124" t="s">
        <v>498</v>
      </c>
      <c r="P299" s="1178">
        <v>3000000</v>
      </c>
      <c r="Q299" s="1124" t="s">
        <v>117</v>
      </c>
      <c r="R299" s="1178">
        <v>3000000</v>
      </c>
      <c r="S299" s="1124">
        <v>40947</v>
      </c>
      <c r="T299" s="1188">
        <v>3000000</v>
      </c>
      <c r="U299" s="1143">
        <v>41674</v>
      </c>
      <c r="V299" s="1178">
        <v>3000000</v>
      </c>
      <c r="W299" s="1124">
        <v>41674</v>
      </c>
      <c r="X299" s="1178">
        <v>3000000</v>
      </c>
      <c r="Y299" s="1143">
        <v>41674</v>
      </c>
      <c r="Z299" s="1178">
        <v>3000000</v>
      </c>
      <c r="AA299" s="1124">
        <v>42070</v>
      </c>
      <c r="AB299" s="1205">
        <v>1000000</v>
      </c>
      <c r="AC299" s="1124">
        <v>42162</v>
      </c>
      <c r="AD299" s="1142">
        <v>3000000</v>
      </c>
      <c r="AE299" s="1233">
        <v>42188</v>
      </c>
      <c r="AF299" s="1199"/>
      <c r="AG299" s="1206"/>
      <c r="AH299" s="1232" t="str">
        <f t="shared" si="51"/>
        <v>PI</v>
      </c>
      <c r="AI299" s="747">
        <f>SUM(J299,L299,N299,P299,R299,T299,V299,X299,Z299,AB299,AD299,AF299)</f>
        <v>29200000</v>
      </c>
      <c r="AJ299" s="747">
        <f t="shared" si="59"/>
        <v>10000000</v>
      </c>
      <c r="AK299" s="747">
        <f t="shared" si="60"/>
        <v>-19200000</v>
      </c>
      <c r="AL299" s="1170"/>
      <c r="AM299" s="1170"/>
      <c r="AN299" s="1209"/>
      <c r="AO299" s="1170"/>
      <c r="AP299" s="1209"/>
      <c r="AQ299" s="1128"/>
      <c r="AR299" s="1173"/>
      <c r="AT299" s="1173"/>
      <c r="AV299" s="1173"/>
      <c r="AX299" s="1173"/>
      <c r="AY299" s="1176"/>
      <c r="AZ299" s="1173"/>
    </row>
    <row r="300" spans="1:52" s="2" customFormat="1" x14ac:dyDescent="0.25">
      <c r="A300" s="19">
        <v>284</v>
      </c>
      <c r="B300" s="59">
        <v>54</v>
      </c>
      <c r="C300" s="40">
        <v>849110119</v>
      </c>
      <c r="D300" s="39" t="s">
        <v>521</v>
      </c>
      <c r="E300" s="23" t="s">
        <v>32</v>
      </c>
      <c r="F300" s="59">
        <v>2010</v>
      </c>
      <c r="G300" s="31" t="s">
        <v>33</v>
      </c>
      <c r="H300" s="24" t="str">
        <f t="shared" ref="H300:H363" si="61">IFERROR(VLOOKUP(C300,Tlus,3,FALSE),"   ")</f>
        <v xml:space="preserve">   </v>
      </c>
      <c r="I300" s="24">
        <f t="shared" ref="I300:I363" si="62">IFERROR(VLOOKUP(C300,Wis,4,FALSE),"   ")</f>
        <v>41275</v>
      </c>
      <c r="J300" s="1178"/>
      <c r="K300" s="1124"/>
      <c r="L300" s="1178">
        <v>4200000</v>
      </c>
      <c r="M300" s="1124"/>
      <c r="N300" s="1178">
        <v>3000000</v>
      </c>
      <c r="O300" s="1124" t="s">
        <v>307</v>
      </c>
      <c r="P300" s="1178">
        <v>3000000</v>
      </c>
      <c r="Q300" s="1124" t="s">
        <v>522</v>
      </c>
      <c r="R300" s="1178">
        <v>3000000</v>
      </c>
      <c r="S300" s="1124">
        <v>41215</v>
      </c>
      <c r="T300" s="1145"/>
      <c r="U300" s="1264" t="s">
        <v>276</v>
      </c>
      <c r="V300" s="1239"/>
      <c r="W300" s="1126"/>
      <c r="X300" s="1130"/>
      <c r="Y300" s="1126"/>
      <c r="Z300" s="1130"/>
      <c r="AA300" s="1126"/>
      <c r="AB300" s="1198">
        <v>1000000</v>
      </c>
      <c r="AC300" s="1126">
        <v>41312</v>
      </c>
      <c r="AD300" s="1157"/>
      <c r="AE300" s="1158"/>
      <c r="AF300" s="1157"/>
      <c r="AG300" s="1158"/>
      <c r="AH300" s="1232" t="str">
        <f t="shared" si="51"/>
        <v>PI</v>
      </c>
      <c r="AI300" s="747">
        <f>SUM(J300,L300,N300,P300,R300,T300,V300,X300,Z300,AB300,AD300,AF300)</f>
        <v>14200000</v>
      </c>
      <c r="AJ300" s="747">
        <f t="shared" si="59"/>
        <v>10000000</v>
      </c>
      <c r="AK300" s="747">
        <f t="shared" si="60"/>
        <v>-4200000</v>
      </c>
      <c r="AL300" s="1170"/>
      <c r="AM300" s="1170"/>
      <c r="AN300" s="1209"/>
      <c r="AO300" s="1170"/>
      <c r="AP300" s="1209"/>
      <c r="AQ300" s="1128"/>
      <c r="AR300" s="1173"/>
      <c r="AT300" s="1173"/>
      <c r="AV300" s="1173"/>
      <c r="AX300" s="1173"/>
      <c r="AY300" s="1176"/>
      <c r="AZ300" s="1173"/>
    </row>
    <row r="301" spans="1:52" s="2" customFormat="1" x14ac:dyDescent="0.25">
      <c r="A301" s="19">
        <v>285</v>
      </c>
      <c r="B301" s="57">
        <v>55</v>
      </c>
      <c r="C301" s="38">
        <v>49110122</v>
      </c>
      <c r="D301" s="37" t="s">
        <v>523</v>
      </c>
      <c r="E301" s="28" t="s">
        <v>32</v>
      </c>
      <c r="F301" s="57">
        <v>2010</v>
      </c>
      <c r="G301" s="28"/>
      <c r="H301" s="58" t="str">
        <f t="shared" si="61"/>
        <v xml:space="preserve">   </v>
      </c>
      <c r="I301" s="58" t="str">
        <f t="shared" si="62"/>
        <v xml:space="preserve">   </v>
      </c>
      <c r="J301" s="1130"/>
      <c r="K301" s="1126"/>
      <c r="L301" s="1130"/>
      <c r="M301" s="1126"/>
      <c r="N301" s="1130">
        <v>3000000</v>
      </c>
      <c r="O301" s="1126" t="s">
        <v>346</v>
      </c>
      <c r="P301" s="1130">
        <v>3000000</v>
      </c>
      <c r="Q301" s="1126" t="s">
        <v>351</v>
      </c>
      <c r="R301" s="1130">
        <v>3000000</v>
      </c>
      <c r="S301" s="1126">
        <v>41131</v>
      </c>
      <c r="T301" s="1145">
        <v>3000000</v>
      </c>
      <c r="U301" s="1227" t="s">
        <v>524</v>
      </c>
      <c r="V301" s="1239"/>
      <c r="W301" s="1126"/>
      <c r="X301" s="1130"/>
      <c r="Y301" s="1126"/>
      <c r="Z301" s="1130"/>
      <c r="AA301" s="1126"/>
      <c r="AB301" s="1198">
        <v>1000000</v>
      </c>
      <c r="AC301" s="1126">
        <v>41474</v>
      </c>
      <c r="AD301" s="1157"/>
      <c r="AE301" s="1158"/>
      <c r="AF301" s="1157"/>
      <c r="AG301" s="1158"/>
      <c r="AH301" s="1232" t="str">
        <f t="shared" si="51"/>
        <v>PI</v>
      </c>
      <c r="AI301" s="747">
        <f>SUM(J301,L301,N301,P301,R301,T301,V301,X301,Z301,AB301,AD301,AF301)</f>
        <v>13000000</v>
      </c>
      <c r="AJ301" s="747">
        <f t="shared" si="59"/>
        <v>10000000</v>
      </c>
      <c r="AK301" s="747">
        <f t="shared" si="60"/>
        <v>-3000000</v>
      </c>
      <c r="AL301" s="1170"/>
      <c r="AM301" s="1170"/>
      <c r="AN301" s="1209"/>
      <c r="AO301" s="1170"/>
      <c r="AP301" s="1209"/>
      <c r="AQ301" s="1128"/>
      <c r="AR301" s="1173"/>
      <c r="AT301" s="1173"/>
      <c r="AV301" s="1173"/>
      <c r="AX301" s="1173"/>
      <c r="AY301" s="1176"/>
      <c r="AZ301" s="1173"/>
    </row>
    <row r="302" spans="1:52" s="2" customFormat="1" x14ac:dyDescent="0.25">
      <c r="A302" s="72"/>
      <c r="B302" s="72"/>
      <c r="C302" s="62"/>
      <c r="D302" s="73"/>
      <c r="E302" s="63"/>
      <c r="F302" s="64" t="s">
        <v>61</v>
      </c>
      <c r="G302" s="63"/>
      <c r="H302" s="65" t="str">
        <f t="shared" si="61"/>
        <v xml:space="preserve">   </v>
      </c>
      <c r="I302" s="65" t="str">
        <f t="shared" si="62"/>
        <v xml:space="preserve">   </v>
      </c>
      <c r="J302" s="87"/>
      <c r="K302" s="1137"/>
      <c r="L302" s="87"/>
      <c r="M302" s="1137"/>
      <c r="N302" s="87"/>
      <c r="O302" s="1137"/>
      <c r="P302" s="87"/>
      <c r="Q302" s="1137"/>
      <c r="R302" s="87"/>
      <c r="S302" s="1141"/>
      <c r="T302" s="87"/>
      <c r="U302" s="1137"/>
      <c r="V302" s="87"/>
      <c r="W302" s="1137"/>
      <c r="X302" s="87"/>
      <c r="Y302" s="1137"/>
      <c r="Z302" s="87"/>
      <c r="AA302" s="1137"/>
      <c r="AB302" s="1229"/>
      <c r="AC302" s="1137"/>
      <c r="AD302" s="87"/>
      <c r="AE302" s="1230"/>
      <c r="AF302" s="87"/>
      <c r="AG302" s="1230"/>
      <c r="AH302" s="1168">
        <f t="shared" si="51"/>
        <v>0</v>
      </c>
      <c r="AI302" s="747"/>
      <c r="AJ302" s="747"/>
      <c r="AK302" s="747"/>
      <c r="AL302" s="1170"/>
      <c r="AM302" s="1170"/>
      <c r="AN302" s="1209"/>
      <c r="AO302" s="1170"/>
      <c r="AP302" s="1209"/>
      <c r="AQ302" s="1128"/>
      <c r="AR302" s="1173"/>
      <c r="AT302" s="1173"/>
      <c r="AV302" s="1173"/>
      <c r="AX302" s="1173"/>
      <c r="AY302" s="1176"/>
      <c r="AZ302" s="1173"/>
    </row>
    <row r="303" spans="1:52" s="2" customFormat="1" x14ac:dyDescent="0.25">
      <c r="A303" s="72"/>
      <c r="B303" s="41" t="s">
        <v>525</v>
      </c>
      <c r="C303" s="62"/>
      <c r="D303" s="41"/>
      <c r="E303" s="63"/>
      <c r="F303" s="64" t="s">
        <v>61</v>
      </c>
      <c r="G303" s="63"/>
      <c r="H303" s="65" t="str">
        <f t="shared" si="61"/>
        <v xml:space="preserve">   </v>
      </c>
      <c r="I303" s="65" t="str">
        <f t="shared" si="62"/>
        <v xml:space="preserve">   </v>
      </c>
      <c r="J303" s="87"/>
      <c r="K303" s="1137"/>
      <c r="L303" s="87"/>
      <c r="M303" s="1137"/>
      <c r="N303" s="87"/>
      <c r="O303" s="1137"/>
      <c r="P303" s="87"/>
      <c r="Q303" s="1137"/>
      <c r="R303" s="87"/>
      <c r="S303" s="1141"/>
      <c r="T303" s="87"/>
      <c r="U303" s="1137"/>
      <c r="V303" s="87"/>
      <c r="W303" s="1137"/>
      <c r="X303" s="87"/>
      <c r="Y303" s="1137"/>
      <c r="Z303" s="87"/>
      <c r="AA303" s="1137"/>
      <c r="AB303" s="1229"/>
      <c r="AC303" s="1137"/>
      <c r="AD303" s="87"/>
      <c r="AE303" s="1230"/>
      <c r="AF303" s="87"/>
      <c r="AG303" s="1230"/>
      <c r="AH303" s="1168">
        <f t="shared" si="51"/>
        <v>0</v>
      </c>
      <c r="AI303" s="747"/>
      <c r="AJ303" s="747"/>
      <c r="AK303" s="747"/>
      <c r="AL303" s="1170"/>
      <c r="AM303" s="1170"/>
      <c r="AN303" s="1209"/>
      <c r="AO303" s="1170"/>
      <c r="AP303" s="1209"/>
      <c r="AQ303" s="1128"/>
      <c r="AR303" s="1173"/>
      <c r="AT303" s="1173"/>
      <c r="AV303" s="1173"/>
      <c r="AX303" s="1173"/>
      <c r="AY303" s="1176"/>
      <c r="AZ303" s="1173"/>
    </row>
    <row r="304" spans="1:52" s="2" customFormat="1" x14ac:dyDescent="0.25">
      <c r="A304" s="19">
        <v>286</v>
      </c>
      <c r="B304" s="67">
        <v>1</v>
      </c>
      <c r="C304" s="44"/>
      <c r="D304" s="43" t="s">
        <v>526</v>
      </c>
      <c r="E304" s="45" t="s">
        <v>527</v>
      </c>
      <c r="F304" s="67">
        <v>2011</v>
      </c>
      <c r="G304" s="45"/>
      <c r="H304" s="68" t="str">
        <f t="shared" si="61"/>
        <v xml:space="preserve">   </v>
      </c>
      <c r="I304" s="68" t="str">
        <f t="shared" si="62"/>
        <v xml:space="preserve">   </v>
      </c>
      <c r="J304" s="1179"/>
      <c r="K304" s="1180"/>
      <c r="L304" s="1181"/>
      <c r="M304" s="1180"/>
      <c r="N304" s="1181">
        <v>3000000</v>
      </c>
      <c r="O304" s="1180" t="s">
        <v>498</v>
      </c>
      <c r="P304" s="1181">
        <v>3000000</v>
      </c>
      <c r="Q304" s="1180">
        <v>40976</v>
      </c>
      <c r="R304" s="1181">
        <v>3000000</v>
      </c>
      <c r="S304" s="1180" t="s">
        <v>528</v>
      </c>
      <c r="T304" s="1187">
        <v>3000000</v>
      </c>
      <c r="U304" s="1180">
        <v>41557</v>
      </c>
      <c r="V304" s="1265"/>
      <c r="W304" s="1190" t="s">
        <v>137</v>
      </c>
      <c r="X304" s="1266"/>
      <c r="Y304" s="1180"/>
      <c r="Z304" s="1266"/>
      <c r="AA304" s="1180"/>
      <c r="AB304" s="1277">
        <v>1000000</v>
      </c>
      <c r="AC304" s="1180" t="s">
        <v>529</v>
      </c>
      <c r="AD304" s="1243"/>
      <c r="AE304" s="1158"/>
      <c r="AF304" s="1243"/>
      <c r="AG304" s="1158"/>
      <c r="AH304" s="1232" t="str">
        <f t="shared" si="51"/>
        <v>MPI</v>
      </c>
      <c r="AI304" s="747">
        <f t="shared" ref="AI304:AI310" si="63">SUM(J304,L304,N304,P304,R304,T304,V304,X304,Z304,AB304,AD304,AF304)</f>
        <v>13000000</v>
      </c>
      <c r="AJ304" s="747">
        <f t="shared" ref="AJ304:AJ311" si="64">((COUNT((L304,N304,P304,R304,T304,V304,X304,Z304,AD304,AF304)))*3000000)+(J304+AB304)</f>
        <v>13000000</v>
      </c>
      <c r="AK304" s="747">
        <f t="shared" ref="AK304:AK311" si="65">AJ304-AI304</f>
        <v>0</v>
      </c>
      <c r="AL304" s="1170"/>
      <c r="AM304" s="1170"/>
      <c r="AN304" s="1209"/>
      <c r="AO304" s="1170"/>
      <c r="AP304" s="1209"/>
      <c r="AQ304" s="1128"/>
      <c r="AR304" s="1173"/>
      <c r="AT304" s="1173"/>
      <c r="AV304" s="1173"/>
      <c r="AX304" s="1173"/>
      <c r="AY304" s="1176"/>
      <c r="AZ304" s="1173"/>
    </row>
    <row r="305" spans="1:52" s="2" customFormat="1" x14ac:dyDescent="0.25">
      <c r="A305" s="19">
        <v>287</v>
      </c>
      <c r="B305" s="59">
        <v>2</v>
      </c>
      <c r="C305" s="40">
        <v>849110140</v>
      </c>
      <c r="D305" s="39" t="s">
        <v>530</v>
      </c>
      <c r="E305" s="23" t="s">
        <v>527</v>
      </c>
      <c r="F305" s="59">
        <v>2011</v>
      </c>
      <c r="G305" s="31" t="s">
        <v>33</v>
      </c>
      <c r="H305" s="24" t="str">
        <f t="shared" si="61"/>
        <v xml:space="preserve">   </v>
      </c>
      <c r="I305" s="24">
        <f t="shared" si="62"/>
        <v>41275</v>
      </c>
      <c r="J305" s="1239"/>
      <c r="K305" s="1194"/>
      <c r="L305" s="1178">
        <v>3000000</v>
      </c>
      <c r="M305" s="1124">
        <v>40739</v>
      </c>
      <c r="N305" s="1178">
        <v>3000000</v>
      </c>
      <c r="O305" s="1124" t="s">
        <v>292</v>
      </c>
      <c r="P305" s="1178">
        <v>3000000</v>
      </c>
      <c r="Q305" s="1124" t="s">
        <v>335</v>
      </c>
      <c r="R305" s="1178">
        <v>3000000</v>
      </c>
      <c r="S305" s="1124">
        <v>41488</v>
      </c>
      <c r="T305" s="1267"/>
      <c r="U305" s="1264" t="s">
        <v>276</v>
      </c>
      <c r="V305" s="1238"/>
      <c r="W305" s="1227"/>
      <c r="X305" s="1238"/>
      <c r="Y305" s="1126"/>
      <c r="Z305" s="1238"/>
      <c r="AA305" s="1126"/>
      <c r="AB305" s="1198">
        <v>1000000</v>
      </c>
      <c r="AC305" s="1126">
        <v>41282</v>
      </c>
      <c r="AD305" s="1243"/>
      <c r="AE305" s="1278"/>
      <c r="AF305" s="1243"/>
      <c r="AG305" s="1158"/>
      <c r="AH305" s="1232" t="str">
        <f t="shared" si="51"/>
        <v>MPI</v>
      </c>
      <c r="AI305" s="747">
        <f t="shared" si="63"/>
        <v>13000000</v>
      </c>
      <c r="AJ305" s="747">
        <f t="shared" si="64"/>
        <v>13000000</v>
      </c>
      <c r="AK305" s="747">
        <f t="shared" si="65"/>
        <v>0</v>
      </c>
      <c r="AL305" s="1170"/>
      <c r="AM305" s="1170"/>
      <c r="AN305" s="1209"/>
      <c r="AO305" s="1170"/>
      <c r="AP305" s="1209"/>
      <c r="AQ305" s="1128"/>
      <c r="AR305" s="1173"/>
      <c r="AT305" s="1173"/>
      <c r="AV305" s="1173"/>
      <c r="AX305" s="1173"/>
      <c r="AY305" s="1176"/>
      <c r="AZ305" s="1173"/>
    </row>
    <row r="306" spans="1:52" s="2" customFormat="1" x14ac:dyDescent="0.25">
      <c r="A306" s="19">
        <v>288</v>
      </c>
      <c r="B306" s="59">
        <v>3</v>
      </c>
      <c r="C306" s="40"/>
      <c r="D306" s="39" t="s">
        <v>531</v>
      </c>
      <c r="E306" s="23" t="s">
        <v>527</v>
      </c>
      <c r="F306" s="59">
        <v>2011</v>
      </c>
      <c r="G306" s="23"/>
      <c r="H306" s="60" t="str">
        <f t="shared" si="61"/>
        <v xml:space="preserve">   </v>
      </c>
      <c r="I306" s="60" t="str">
        <f t="shared" si="62"/>
        <v xml:space="preserve">   </v>
      </c>
      <c r="J306" s="1239"/>
      <c r="K306" s="1194"/>
      <c r="L306" s="1178"/>
      <c r="M306" s="1124"/>
      <c r="N306" s="1178">
        <v>3000000</v>
      </c>
      <c r="O306" s="1124" t="s">
        <v>317</v>
      </c>
      <c r="P306" s="1178">
        <v>3000000</v>
      </c>
      <c r="Q306" s="1124" t="s">
        <v>532</v>
      </c>
      <c r="R306" s="1178">
        <v>3000000</v>
      </c>
      <c r="S306" s="1124">
        <v>41282</v>
      </c>
      <c r="T306" s="1188">
        <v>3000000</v>
      </c>
      <c r="U306" s="1124">
        <v>41282</v>
      </c>
      <c r="V306" s="1130"/>
      <c r="W306" s="1268">
        <v>2010</v>
      </c>
      <c r="X306" s="1130"/>
      <c r="Y306" s="1126"/>
      <c r="Z306" s="1130"/>
      <c r="AA306" s="1126"/>
      <c r="AB306" s="1244">
        <v>1000000</v>
      </c>
      <c r="AC306" s="1196">
        <v>42096</v>
      </c>
      <c r="AD306" s="1157"/>
      <c r="AE306" s="1278"/>
      <c r="AF306" s="1157"/>
      <c r="AG306" s="1158"/>
      <c r="AH306" s="1232" t="str">
        <f t="shared" si="51"/>
        <v>MPI</v>
      </c>
      <c r="AI306" s="747">
        <f t="shared" si="63"/>
        <v>13000000</v>
      </c>
      <c r="AJ306" s="747">
        <f t="shared" si="64"/>
        <v>13000000</v>
      </c>
      <c r="AK306" s="747">
        <f t="shared" si="65"/>
        <v>0</v>
      </c>
      <c r="AL306" s="1170"/>
      <c r="AM306" s="1170"/>
      <c r="AN306" s="1209"/>
      <c r="AO306" s="1170"/>
      <c r="AP306" s="1209"/>
      <c r="AQ306" s="1128"/>
      <c r="AR306" s="1173"/>
      <c r="AT306" s="1173"/>
      <c r="AV306" s="1173"/>
      <c r="AX306" s="1173"/>
      <c r="AY306" s="1176"/>
      <c r="AZ306" s="1173"/>
    </row>
    <row r="307" spans="1:52" s="2" customFormat="1" x14ac:dyDescent="0.25">
      <c r="A307" s="19">
        <v>289</v>
      </c>
      <c r="B307" s="59">
        <v>4</v>
      </c>
      <c r="C307" s="40">
        <v>849110129</v>
      </c>
      <c r="D307" s="39" t="s">
        <v>533</v>
      </c>
      <c r="E307" s="23" t="s">
        <v>527</v>
      </c>
      <c r="F307" s="59">
        <v>2011</v>
      </c>
      <c r="G307" s="23"/>
      <c r="H307" s="60" t="str">
        <f t="shared" si="61"/>
        <v xml:space="preserve">   </v>
      </c>
      <c r="I307" s="60">
        <f t="shared" si="62"/>
        <v>42143</v>
      </c>
      <c r="J307" s="1239"/>
      <c r="K307" s="1194"/>
      <c r="L307" s="1178"/>
      <c r="M307" s="1124"/>
      <c r="N307" s="1178">
        <v>3000000</v>
      </c>
      <c r="O307" s="1124" t="s">
        <v>317</v>
      </c>
      <c r="P307" s="1178">
        <v>3000000</v>
      </c>
      <c r="Q307" s="1124" t="s">
        <v>317</v>
      </c>
      <c r="R307" s="1178">
        <v>3000000</v>
      </c>
      <c r="S307" s="1124" t="s">
        <v>534</v>
      </c>
      <c r="T307" s="1188">
        <v>3000000</v>
      </c>
      <c r="U307" s="1124" t="s">
        <v>535</v>
      </c>
      <c r="V307" s="1178">
        <v>3000000</v>
      </c>
      <c r="W307" s="1143">
        <v>42096</v>
      </c>
      <c r="X307" s="1178">
        <v>3000000</v>
      </c>
      <c r="Y307" s="1124">
        <v>42039</v>
      </c>
      <c r="Z307" s="1178">
        <v>3000000</v>
      </c>
      <c r="AA307" s="1124">
        <v>42039</v>
      </c>
      <c r="AB307" s="1244">
        <v>1000000</v>
      </c>
      <c r="AC307" s="1196">
        <v>42096</v>
      </c>
      <c r="AD307" s="1271" t="s">
        <v>276</v>
      </c>
      <c r="AE307" s="1272"/>
      <c r="AF307" s="1197"/>
      <c r="AG307" s="1247"/>
      <c r="AH307" s="1232" t="str">
        <f t="shared" si="51"/>
        <v>MPI</v>
      </c>
      <c r="AI307" s="747">
        <f t="shared" si="63"/>
        <v>22000000</v>
      </c>
      <c r="AJ307" s="747">
        <f t="shared" si="64"/>
        <v>13000000</v>
      </c>
      <c r="AK307" s="747">
        <f t="shared" si="65"/>
        <v>-9000000</v>
      </c>
      <c r="AL307" s="1170"/>
      <c r="AM307" s="1170"/>
      <c r="AN307" s="1209"/>
      <c r="AO307" s="1170"/>
      <c r="AP307" s="1209"/>
      <c r="AQ307" s="1128"/>
      <c r="AR307" s="1173"/>
      <c r="AT307" s="1173"/>
      <c r="AV307" s="1173"/>
      <c r="AX307" s="1173"/>
      <c r="AY307" s="1176"/>
      <c r="AZ307" s="1173"/>
    </row>
    <row r="308" spans="1:52" s="2" customFormat="1" x14ac:dyDescent="0.25">
      <c r="A308" s="19">
        <v>290</v>
      </c>
      <c r="B308" s="59">
        <v>5</v>
      </c>
      <c r="C308" s="78"/>
      <c r="D308" s="39" t="s">
        <v>536</v>
      </c>
      <c r="E308" s="23" t="s">
        <v>527</v>
      </c>
      <c r="F308" s="59">
        <v>2011</v>
      </c>
      <c r="G308" s="23"/>
      <c r="H308" s="60" t="str">
        <f t="shared" si="61"/>
        <v xml:space="preserve">   </v>
      </c>
      <c r="I308" s="60" t="str">
        <f t="shared" si="62"/>
        <v xml:space="preserve">   </v>
      </c>
      <c r="J308" s="1239"/>
      <c r="K308" s="1194"/>
      <c r="L308" s="1178"/>
      <c r="M308" s="1124"/>
      <c r="N308" s="1178">
        <v>3000000</v>
      </c>
      <c r="O308" s="1124" t="s">
        <v>317</v>
      </c>
      <c r="P308" s="1178">
        <v>3000000</v>
      </c>
      <c r="Q308" s="1124">
        <v>40947</v>
      </c>
      <c r="R308" s="1178">
        <v>3000000</v>
      </c>
      <c r="S308" s="1124">
        <v>41457</v>
      </c>
      <c r="T308" s="1188">
        <v>3000000</v>
      </c>
      <c r="U308" s="1124" t="s">
        <v>537</v>
      </c>
      <c r="V308" s="1238"/>
      <c r="W308" s="1227"/>
      <c r="X308" s="1238"/>
      <c r="Y308" s="1126"/>
      <c r="Z308" s="1238"/>
      <c r="AA308" s="1126"/>
      <c r="AB308" s="1198">
        <v>1000000</v>
      </c>
      <c r="AC308" s="1126" t="s">
        <v>538</v>
      </c>
      <c r="AD308" s="1243"/>
      <c r="AE308" s="1278"/>
      <c r="AF308" s="1243"/>
      <c r="AG308" s="1158"/>
      <c r="AH308" s="1232" t="str">
        <f t="shared" si="51"/>
        <v>MPI</v>
      </c>
      <c r="AI308" s="747">
        <f t="shared" si="63"/>
        <v>13000000</v>
      </c>
      <c r="AJ308" s="747">
        <f t="shared" si="64"/>
        <v>13000000</v>
      </c>
      <c r="AK308" s="747">
        <f t="shared" si="65"/>
        <v>0</v>
      </c>
      <c r="AL308" s="1170"/>
      <c r="AM308" s="1170"/>
      <c r="AN308" s="1209"/>
      <c r="AO308" s="1170"/>
      <c r="AP308" s="1209"/>
      <c r="AQ308" s="1128"/>
      <c r="AR308" s="1173"/>
      <c r="AT308" s="1173"/>
      <c r="AV308" s="1173"/>
      <c r="AX308" s="1173"/>
      <c r="AY308" s="1176"/>
      <c r="AZ308" s="1173"/>
    </row>
    <row r="309" spans="1:52" s="2" customFormat="1" x14ac:dyDescent="0.25">
      <c r="A309" s="19">
        <v>291</v>
      </c>
      <c r="B309" s="59">
        <v>6</v>
      </c>
      <c r="C309" s="38">
        <v>849110126</v>
      </c>
      <c r="D309" s="39" t="s">
        <v>539</v>
      </c>
      <c r="E309" s="23" t="s">
        <v>527</v>
      </c>
      <c r="F309" s="59">
        <v>2011</v>
      </c>
      <c r="G309" s="31" t="s">
        <v>33</v>
      </c>
      <c r="H309" s="24" t="str">
        <f t="shared" si="61"/>
        <v xml:space="preserve">   </v>
      </c>
      <c r="I309" s="24">
        <f t="shared" si="62"/>
        <v>41275</v>
      </c>
      <c r="J309" s="1239"/>
      <c r="K309" s="1194"/>
      <c r="L309" s="1130"/>
      <c r="M309" s="1126"/>
      <c r="N309" s="1130">
        <v>3000000</v>
      </c>
      <c r="O309" s="1126" t="s">
        <v>365</v>
      </c>
      <c r="P309" s="1130">
        <v>3000000</v>
      </c>
      <c r="Q309" s="1126" t="s">
        <v>290</v>
      </c>
      <c r="R309" s="1130">
        <v>3000000</v>
      </c>
      <c r="S309" s="1126">
        <v>41427</v>
      </c>
      <c r="T309" s="1145"/>
      <c r="U309" s="1126"/>
      <c r="V309" s="1130"/>
      <c r="W309" s="1227"/>
      <c r="X309" s="1130"/>
      <c r="Y309" s="1126"/>
      <c r="Z309" s="1130"/>
      <c r="AA309" s="1126"/>
      <c r="AB309" s="1242"/>
      <c r="AC309" s="1126"/>
      <c r="AD309" s="1157"/>
      <c r="AE309" s="1278"/>
      <c r="AF309" s="1157"/>
      <c r="AG309" s="1158"/>
      <c r="AH309" s="1232" t="str">
        <f t="shared" si="51"/>
        <v>MPI</v>
      </c>
      <c r="AI309" s="747">
        <f t="shared" si="63"/>
        <v>9000000</v>
      </c>
      <c r="AJ309" s="747">
        <f t="shared" si="64"/>
        <v>12000000</v>
      </c>
      <c r="AK309" s="747">
        <f t="shared" si="65"/>
        <v>3000000</v>
      </c>
      <c r="AL309" s="1170"/>
      <c r="AM309" s="1170"/>
      <c r="AN309" s="1209"/>
      <c r="AO309" s="1170"/>
      <c r="AP309" s="1209"/>
      <c r="AQ309" s="1128"/>
      <c r="AR309" s="1173"/>
      <c r="AT309" s="1173"/>
      <c r="AV309" s="1173"/>
      <c r="AX309" s="1173"/>
      <c r="AY309" s="1176"/>
      <c r="AZ309" s="1173"/>
    </row>
    <row r="310" spans="1:52" s="2" customFormat="1" x14ac:dyDescent="0.25">
      <c r="A310" s="19">
        <v>292</v>
      </c>
      <c r="B310" s="59">
        <v>7</v>
      </c>
      <c r="C310" s="40">
        <v>849110124</v>
      </c>
      <c r="D310" s="39" t="s">
        <v>540</v>
      </c>
      <c r="E310" s="23" t="s">
        <v>527</v>
      </c>
      <c r="F310" s="59">
        <v>2011</v>
      </c>
      <c r="G310" s="31" t="s">
        <v>33</v>
      </c>
      <c r="H310" s="24" t="str">
        <f t="shared" si="61"/>
        <v xml:space="preserve">   </v>
      </c>
      <c r="I310" s="24">
        <f t="shared" si="62"/>
        <v>41640</v>
      </c>
      <c r="J310" s="1239"/>
      <c r="K310" s="1194"/>
      <c r="L310" s="1178"/>
      <c r="M310" s="1124"/>
      <c r="N310" s="1178">
        <v>3000000</v>
      </c>
      <c r="O310" s="1124" t="s">
        <v>317</v>
      </c>
      <c r="P310" s="1178">
        <v>3000000</v>
      </c>
      <c r="Q310" s="1124" t="s">
        <v>187</v>
      </c>
      <c r="R310" s="1178">
        <v>3000000</v>
      </c>
      <c r="S310" s="1124">
        <v>41457</v>
      </c>
      <c r="T310" s="1188">
        <v>3000000</v>
      </c>
      <c r="U310" s="1124" t="s">
        <v>537</v>
      </c>
      <c r="V310" s="1238"/>
      <c r="W310" s="1264" t="s">
        <v>276</v>
      </c>
      <c r="X310" s="1238"/>
      <c r="Y310" s="1126"/>
      <c r="Z310" s="1238"/>
      <c r="AA310" s="1126"/>
      <c r="AB310" s="1198"/>
      <c r="AC310" s="1126"/>
      <c r="AD310" s="1243"/>
      <c r="AE310" s="1278"/>
      <c r="AF310" s="1243"/>
      <c r="AG310" s="1158"/>
      <c r="AH310" s="1232" t="str">
        <f t="shared" si="51"/>
        <v>MPI</v>
      </c>
      <c r="AI310" s="747">
        <f t="shared" si="63"/>
        <v>12000000</v>
      </c>
      <c r="AJ310" s="747">
        <f t="shared" si="64"/>
        <v>12000000</v>
      </c>
      <c r="AK310" s="747">
        <f t="shared" si="65"/>
        <v>0</v>
      </c>
      <c r="AL310" s="1170"/>
      <c r="AM310" s="1170"/>
      <c r="AN310" s="1209"/>
      <c r="AO310" s="1170"/>
      <c r="AP310" s="1209"/>
      <c r="AQ310" s="1128"/>
      <c r="AR310" s="1173"/>
      <c r="AT310" s="1173"/>
      <c r="AV310" s="1173"/>
      <c r="AX310" s="1173"/>
      <c r="AY310" s="1176"/>
      <c r="AZ310" s="1173"/>
    </row>
    <row r="311" spans="1:52" s="2" customFormat="1" x14ac:dyDescent="0.25">
      <c r="A311" s="19">
        <v>293</v>
      </c>
      <c r="B311" s="57">
        <v>8</v>
      </c>
      <c r="C311" s="38"/>
      <c r="D311" s="37" t="s">
        <v>541</v>
      </c>
      <c r="E311" s="28" t="s">
        <v>527</v>
      </c>
      <c r="F311" s="57">
        <v>2011</v>
      </c>
      <c r="G311" s="28"/>
      <c r="H311" s="58" t="str">
        <f t="shared" si="61"/>
        <v xml:space="preserve">   </v>
      </c>
      <c r="I311" s="58" t="str">
        <f t="shared" si="62"/>
        <v xml:space="preserve">   </v>
      </c>
      <c r="J311" s="1239"/>
      <c r="K311" s="1194"/>
      <c r="L311" s="1130"/>
      <c r="M311" s="1126"/>
      <c r="N311" s="1130">
        <f>1500000+1500000</f>
        <v>3000000</v>
      </c>
      <c r="O311" s="1126">
        <v>41012</v>
      </c>
      <c r="P311" s="1130">
        <f>1500000+1500000</f>
        <v>3000000</v>
      </c>
      <c r="Q311" s="1126">
        <v>41354</v>
      </c>
      <c r="R311" s="1130">
        <v>3000000</v>
      </c>
      <c r="S311" s="1126">
        <v>41584</v>
      </c>
      <c r="T311" s="1145"/>
      <c r="U311" s="1126"/>
      <c r="V311" s="1130"/>
      <c r="W311" s="1190" t="s">
        <v>137</v>
      </c>
      <c r="X311" s="1130"/>
      <c r="Y311" s="1126"/>
      <c r="Z311" s="1130"/>
      <c r="AA311" s="1126"/>
      <c r="AB311" s="1198"/>
      <c r="AC311" s="1126"/>
      <c r="AD311" s="1157"/>
      <c r="AE311" s="1278"/>
      <c r="AF311" s="1157"/>
      <c r="AG311" s="1158"/>
      <c r="AH311" s="1232" t="str">
        <f t="shared" si="51"/>
        <v>MPI</v>
      </c>
      <c r="AI311" s="747" t="e">
        <f>SUM(J311,L311,N311,P311,R311,T311,V311,X311,Z311,AB311,AD311,AF311,#REF!,#REF!)</f>
        <v>#REF!</v>
      </c>
      <c r="AJ311" s="747">
        <f t="shared" si="64"/>
        <v>12000000</v>
      </c>
      <c r="AK311" s="747" t="e">
        <f t="shared" si="65"/>
        <v>#REF!</v>
      </c>
      <c r="AL311" s="1170"/>
      <c r="AM311" s="1170"/>
      <c r="AN311" s="1209"/>
      <c r="AO311" s="1170"/>
      <c r="AP311" s="1209"/>
      <c r="AQ311" s="1128"/>
      <c r="AR311" s="1173"/>
      <c r="AT311" s="1173"/>
      <c r="AV311" s="1173"/>
      <c r="AX311" s="1173"/>
      <c r="AY311" s="1176"/>
      <c r="AZ311" s="1173"/>
    </row>
    <row r="312" spans="1:52" s="2" customFormat="1" x14ac:dyDescent="0.25">
      <c r="A312" s="19">
        <v>294</v>
      </c>
      <c r="B312" s="57">
        <v>9</v>
      </c>
      <c r="C312" s="79"/>
      <c r="D312" s="37" t="s">
        <v>542</v>
      </c>
      <c r="E312" s="28" t="s">
        <v>527</v>
      </c>
      <c r="F312" s="57">
        <v>2011</v>
      </c>
      <c r="G312" s="28"/>
      <c r="H312" s="58" t="str">
        <f t="shared" si="61"/>
        <v xml:space="preserve">   </v>
      </c>
      <c r="I312" s="58" t="str">
        <f t="shared" si="62"/>
        <v xml:space="preserve">   </v>
      </c>
      <c r="J312" s="1239"/>
      <c r="K312" s="1194"/>
      <c r="L312" s="1130"/>
      <c r="M312" s="1126"/>
      <c r="N312" s="1130">
        <v>3000000</v>
      </c>
      <c r="O312" s="1126" t="s">
        <v>98</v>
      </c>
      <c r="P312" s="1130">
        <v>3000000</v>
      </c>
      <c r="Q312" s="1126" t="s">
        <v>90</v>
      </c>
      <c r="R312" s="1130"/>
      <c r="S312" s="1126"/>
      <c r="T312" s="1145"/>
      <c r="U312" s="1126"/>
      <c r="V312" s="1130"/>
      <c r="W312" s="1227"/>
      <c r="X312" s="1130"/>
      <c r="Y312" s="1126"/>
      <c r="Z312" s="1238"/>
      <c r="AA312" s="1126"/>
      <c r="AB312" s="1242"/>
      <c r="AC312" s="1126"/>
      <c r="AD312" s="1243"/>
      <c r="AE312" s="1278"/>
      <c r="AF312" s="1243"/>
      <c r="AG312" s="1158"/>
      <c r="AH312" s="1232" t="str">
        <f t="shared" si="51"/>
        <v>MPI</v>
      </c>
      <c r="AI312" s="747">
        <f t="shared" ref="AI312:AI324" si="66">SUM(J312,L312,N312,P312,R312,T312,V312,X312,Z312,AB312,AD312,AF312)</f>
        <v>6000000</v>
      </c>
      <c r="AJ312" s="747">
        <f t="shared" ref="AJ312:AJ329" si="67">((COUNT((L312,N312,P312,R312,T312,V312,X312,Z312,AD312,AF312)))*3000000)+(J312+AB312)</f>
        <v>6000000</v>
      </c>
      <c r="AK312" s="747">
        <f t="shared" ref="AK312:AK328" si="68">AJ312-AI312</f>
        <v>0</v>
      </c>
      <c r="AL312" s="1170"/>
      <c r="AM312" s="1170"/>
      <c r="AN312" s="1209"/>
      <c r="AO312" s="1170"/>
      <c r="AP312" s="1209"/>
      <c r="AQ312" s="1128"/>
      <c r="AR312" s="1173"/>
      <c r="AT312" s="1173"/>
      <c r="AV312" s="1173"/>
      <c r="AX312" s="1173"/>
      <c r="AY312" s="1176"/>
      <c r="AZ312" s="1173"/>
    </row>
    <row r="313" spans="1:52" s="2" customFormat="1" x14ac:dyDescent="0.25">
      <c r="A313" s="19">
        <v>295</v>
      </c>
      <c r="B313" s="59">
        <v>10</v>
      </c>
      <c r="C313" s="40">
        <v>849110123</v>
      </c>
      <c r="D313" s="39" t="s">
        <v>543</v>
      </c>
      <c r="E313" s="23" t="s">
        <v>527</v>
      </c>
      <c r="F313" s="59">
        <v>2011</v>
      </c>
      <c r="G313" s="31" t="s">
        <v>33</v>
      </c>
      <c r="H313" s="24" t="str">
        <f t="shared" si="61"/>
        <v xml:space="preserve">   </v>
      </c>
      <c r="I313" s="24">
        <f t="shared" si="62"/>
        <v>41640</v>
      </c>
      <c r="J313" s="1239"/>
      <c r="K313" s="1194"/>
      <c r="L313" s="1178"/>
      <c r="M313" s="1124"/>
      <c r="N313" s="1178">
        <v>3000000</v>
      </c>
      <c r="O313" s="1124" t="s">
        <v>351</v>
      </c>
      <c r="P313" s="1178">
        <v>3000000</v>
      </c>
      <c r="Q313" s="1124" t="s">
        <v>290</v>
      </c>
      <c r="R313" s="1178">
        <v>3000000</v>
      </c>
      <c r="S313" s="1124" t="s">
        <v>544</v>
      </c>
      <c r="T313" s="1188">
        <v>3000000</v>
      </c>
      <c r="U313" s="1124">
        <v>41557</v>
      </c>
      <c r="V313" s="1178">
        <v>3000000</v>
      </c>
      <c r="W313" s="1143">
        <v>41764</v>
      </c>
      <c r="X313" s="1259" t="s">
        <v>276</v>
      </c>
      <c r="Y313" s="1126"/>
      <c r="Z313" s="1238"/>
      <c r="AA313" s="1126"/>
      <c r="AB313" s="1242"/>
      <c r="AC313" s="1126"/>
      <c r="AD313" s="1243"/>
      <c r="AE313" s="1278"/>
      <c r="AF313" s="1243"/>
      <c r="AG313" s="1158"/>
      <c r="AH313" s="1232" t="str">
        <f t="shared" si="51"/>
        <v>MPI</v>
      </c>
      <c r="AI313" s="747">
        <f t="shared" si="66"/>
        <v>15000000</v>
      </c>
      <c r="AJ313" s="747">
        <f t="shared" si="67"/>
        <v>6000000</v>
      </c>
      <c r="AK313" s="747">
        <f t="shared" si="68"/>
        <v>-9000000</v>
      </c>
      <c r="AL313" s="1170"/>
      <c r="AM313" s="1170"/>
      <c r="AN313" s="1209"/>
      <c r="AO313" s="1170"/>
      <c r="AP313" s="1209"/>
      <c r="AQ313" s="1128"/>
      <c r="AR313" s="1173"/>
      <c r="AT313" s="1173"/>
      <c r="AV313" s="1173"/>
      <c r="AX313" s="1173"/>
      <c r="AY313" s="1176"/>
      <c r="AZ313" s="1173"/>
    </row>
    <row r="314" spans="1:52" s="2" customFormat="1" x14ac:dyDescent="0.25">
      <c r="A314" s="19">
        <v>296</v>
      </c>
      <c r="B314" s="59">
        <v>11</v>
      </c>
      <c r="C314" s="40"/>
      <c r="D314" s="39" t="s">
        <v>545</v>
      </c>
      <c r="E314" s="23" t="s">
        <v>527</v>
      </c>
      <c r="F314" s="59">
        <v>2011</v>
      </c>
      <c r="G314" s="23"/>
      <c r="H314" s="60" t="str">
        <f t="shared" si="61"/>
        <v xml:space="preserve">   </v>
      </c>
      <c r="I314" s="60" t="str">
        <f t="shared" si="62"/>
        <v xml:space="preserve">   </v>
      </c>
      <c r="J314" s="1239"/>
      <c r="K314" s="1194"/>
      <c r="L314" s="1178"/>
      <c r="M314" s="1124"/>
      <c r="N314" s="1178">
        <v>3000000</v>
      </c>
      <c r="O314" s="1124" t="s">
        <v>125</v>
      </c>
      <c r="P314" s="1178"/>
      <c r="Q314" s="1124"/>
      <c r="R314" s="1178">
        <v>3000000</v>
      </c>
      <c r="S314" s="1124">
        <v>41820</v>
      </c>
      <c r="T314" s="1269"/>
      <c r="U314" s="1190" t="s">
        <v>137</v>
      </c>
      <c r="V314" s="1178">
        <v>3000000</v>
      </c>
      <c r="W314" s="1143" t="s">
        <v>546</v>
      </c>
      <c r="X314" s="1259" t="s">
        <v>276</v>
      </c>
      <c r="Y314" s="1126"/>
      <c r="Z314" s="1238"/>
      <c r="AA314" s="1126"/>
      <c r="AB314" s="1242"/>
      <c r="AC314" s="1126"/>
      <c r="AD314" s="1243"/>
      <c r="AE314" s="1278"/>
      <c r="AF314" s="1243"/>
      <c r="AG314" s="1158"/>
      <c r="AH314" s="1232" t="str">
        <f t="shared" si="51"/>
        <v>MPI</v>
      </c>
      <c r="AI314" s="747">
        <f t="shared" si="66"/>
        <v>9000000</v>
      </c>
      <c r="AJ314" s="747">
        <f t="shared" si="67"/>
        <v>6000000</v>
      </c>
      <c r="AK314" s="747">
        <f t="shared" si="68"/>
        <v>-3000000</v>
      </c>
      <c r="AL314" s="1170"/>
      <c r="AM314" s="1170"/>
      <c r="AN314" s="1209"/>
      <c r="AO314" s="1170"/>
      <c r="AP314" s="1209"/>
      <c r="AQ314" s="1128"/>
      <c r="AR314" s="1173"/>
      <c r="AT314" s="1173"/>
      <c r="AV314" s="1173"/>
      <c r="AX314" s="1173"/>
      <c r="AY314" s="1176"/>
      <c r="AZ314" s="1173"/>
    </row>
    <row r="315" spans="1:52" s="2" customFormat="1" x14ac:dyDescent="0.25">
      <c r="A315" s="19">
        <v>297</v>
      </c>
      <c r="B315" s="80">
        <v>12</v>
      </c>
      <c r="C315" s="79"/>
      <c r="D315" s="37" t="s">
        <v>547</v>
      </c>
      <c r="E315" s="28" t="s">
        <v>527</v>
      </c>
      <c r="F315" s="57">
        <v>2011</v>
      </c>
      <c r="G315" s="28"/>
      <c r="H315" s="58" t="str">
        <f t="shared" si="61"/>
        <v xml:space="preserve">   </v>
      </c>
      <c r="I315" s="58" t="str">
        <f t="shared" si="62"/>
        <v xml:space="preserve">   </v>
      </c>
      <c r="J315" s="1239"/>
      <c r="K315" s="1194"/>
      <c r="L315" s="1130"/>
      <c r="M315" s="1126"/>
      <c r="N315" s="1130">
        <v>3000000</v>
      </c>
      <c r="O315" s="1126" t="s">
        <v>125</v>
      </c>
      <c r="P315" s="1130">
        <v>3000000</v>
      </c>
      <c r="Q315" s="1126" t="s">
        <v>200</v>
      </c>
      <c r="R315" s="1130">
        <v>3000000</v>
      </c>
      <c r="S315" s="1126">
        <v>41316</v>
      </c>
      <c r="T315" s="1269"/>
      <c r="U315" s="1190" t="s">
        <v>137</v>
      </c>
      <c r="V315" s="1130">
        <v>3000000</v>
      </c>
      <c r="W315" s="1227" t="s">
        <v>546</v>
      </c>
      <c r="X315" s="1238"/>
      <c r="Y315" s="1126"/>
      <c r="Z315" s="1238"/>
      <c r="AA315" s="1126"/>
      <c r="AB315" s="1198">
        <v>1000000</v>
      </c>
      <c r="AC315" s="2295" t="s">
        <v>548</v>
      </c>
      <c r="AD315" s="1243"/>
      <c r="AE315" s="1278"/>
      <c r="AF315" s="1243"/>
      <c r="AG315" s="1158"/>
      <c r="AH315" s="1232" t="str">
        <f t="shared" si="51"/>
        <v>MPI</v>
      </c>
      <c r="AI315" s="747">
        <f t="shared" si="66"/>
        <v>13000000</v>
      </c>
      <c r="AJ315" s="747">
        <f t="shared" si="67"/>
        <v>7000000</v>
      </c>
      <c r="AK315" s="747">
        <f t="shared" si="68"/>
        <v>-6000000</v>
      </c>
      <c r="AL315" s="1170"/>
      <c r="AM315" s="1170"/>
      <c r="AN315" s="1209"/>
      <c r="AO315" s="1170"/>
      <c r="AP315" s="1209"/>
      <c r="AQ315" s="1128"/>
      <c r="AR315" s="1173"/>
      <c r="AT315" s="1173"/>
      <c r="AV315" s="1173"/>
      <c r="AX315" s="1173"/>
      <c r="AY315" s="1176"/>
      <c r="AZ315" s="1173"/>
    </row>
    <row r="316" spans="1:52" s="2" customFormat="1" x14ac:dyDescent="0.25">
      <c r="A316" s="19">
        <v>298</v>
      </c>
      <c r="B316" s="59">
        <v>13</v>
      </c>
      <c r="C316" s="40">
        <v>849110136</v>
      </c>
      <c r="D316" s="39" t="s">
        <v>549</v>
      </c>
      <c r="E316" s="23" t="s">
        <v>527</v>
      </c>
      <c r="F316" s="59">
        <v>2011</v>
      </c>
      <c r="G316" s="31" t="s">
        <v>33</v>
      </c>
      <c r="H316" s="24" t="str">
        <f t="shared" si="61"/>
        <v xml:space="preserve">   </v>
      </c>
      <c r="I316" s="24">
        <f t="shared" si="62"/>
        <v>41640</v>
      </c>
      <c r="J316" s="1239"/>
      <c r="K316" s="1194"/>
      <c r="L316" s="1178"/>
      <c r="M316" s="1124"/>
      <c r="N316" s="1178">
        <v>3000000</v>
      </c>
      <c r="O316" s="1124" t="s">
        <v>93</v>
      </c>
      <c r="P316" s="1178">
        <v>3000000</v>
      </c>
      <c r="Q316" s="1124" t="s">
        <v>200</v>
      </c>
      <c r="R316" s="1178">
        <v>3000000</v>
      </c>
      <c r="S316" s="1124">
        <v>41457</v>
      </c>
      <c r="T316" s="1188">
        <v>3000000</v>
      </c>
      <c r="U316" s="1124">
        <v>41313</v>
      </c>
      <c r="V316" s="1130"/>
      <c r="W316" s="1227"/>
      <c r="X316" s="1130"/>
      <c r="Y316" s="1126"/>
      <c r="Z316" s="1130"/>
      <c r="AA316" s="1126"/>
      <c r="AB316" s="1198"/>
      <c r="AC316" s="1126"/>
      <c r="AD316" s="1157"/>
      <c r="AE316" s="1278"/>
      <c r="AF316" s="1157"/>
      <c r="AG316" s="1158"/>
      <c r="AH316" s="1232" t="str">
        <f t="shared" si="51"/>
        <v>MPI</v>
      </c>
      <c r="AI316" s="747">
        <f t="shared" si="66"/>
        <v>12000000</v>
      </c>
      <c r="AJ316" s="747">
        <f t="shared" si="67"/>
        <v>6000000</v>
      </c>
      <c r="AK316" s="747">
        <f t="shared" si="68"/>
        <v>-6000000</v>
      </c>
      <c r="AL316" s="1170"/>
      <c r="AM316" s="1170"/>
      <c r="AN316" s="1209"/>
      <c r="AO316" s="1170"/>
      <c r="AP316" s="1209"/>
      <c r="AQ316" s="1128"/>
      <c r="AR316" s="1173"/>
      <c r="AT316" s="1173"/>
      <c r="AV316" s="1173"/>
      <c r="AX316" s="1173"/>
      <c r="AY316" s="1176"/>
      <c r="AZ316" s="1173"/>
    </row>
    <row r="317" spans="1:52" s="2" customFormat="1" x14ac:dyDescent="0.25">
      <c r="A317" s="19">
        <v>299</v>
      </c>
      <c r="B317" s="80">
        <v>14</v>
      </c>
      <c r="C317" s="38"/>
      <c r="D317" s="37" t="s">
        <v>550</v>
      </c>
      <c r="E317" s="28" t="s">
        <v>527</v>
      </c>
      <c r="F317" s="57">
        <v>2011</v>
      </c>
      <c r="G317" s="28"/>
      <c r="H317" s="58" t="str">
        <f t="shared" si="61"/>
        <v xml:space="preserve">   </v>
      </c>
      <c r="I317" s="58" t="str">
        <f t="shared" si="62"/>
        <v xml:space="preserve">   </v>
      </c>
      <c r="J317" s="1239"/>
      <c r="K317" s="1194"/>
      <c r="L317" s="1130"/>
      <c r="M317" s="1126"/>
      <c r="N317" s="1130">
        <v>3000000</v>
      </c>
      <c r="O317" s="1126" t="s">
        <v>98</v>
      </c>
      <c r="P317" s="1130">
        <v>3000000</v>
      </c>
      <c r="Q317" s="1126">
        <v>40976</v>
      </c>
      <c r="R317" s="1130">
        <v>3000000</v>
      </c>
      <c r="S317" s="1126">
        <v>41276</v>
      </c>
      <c r="T317" s="1145"/>
      <c r="U317" s="1126"/>
      <c r="V317" s="1130"/>
      <c r="W317" s="1227"/>
      <c r="X317" s="1130"/>
      <c r="Y317" s="1126"/>
      <c r="Z317" s="1130"/>
      <c r="AA317" s="1126"/>
      <c r="AB317" s="1198"/>
      <c r="AC317" s="1126"/>
      <c r="AD317" s="1157"/>
      <c r="AE317" s="1278"/>
      <c r="AF317" s="1157"/>
      <c r="AG317" s="1158"/>
      <c r="AH317" s="1232" t="str">
        <f t="shared" si="51"/>
        <v>MPI</v>
      </c>
      <c r="AI317" s="747">
        <f t="shared" si="66"/>
        <v>9000000</v>
      </c>
      <c r="AJ317" s="747">
        <f t="shared" si="67"/>
        <v>6000000</v>
      </c>
      <c r="AK317" s="747">
        <f t="shared" si="68"/>
        <v>-3000000</v>
      </c>
      <c r="AL317" s="1170"/>
      <c r="AM317" s="1170"/>
      <c r="AN317" s="1209"/>
      <c r="AO317" s="1170"/>
      <c r="AP317" s="1209"/>
      <c r="AQ317" s="1128"/>
      <c r="AR317" s="1173"/>
      <c r="AT317" s="1173"/>
      <c r="AV317" s="1173"/>
      <c r="AX317" s="1173"/>
      <c r="AY317" s="1176"/>
      <c r="AZ317" s="1173"/>
    </row>
    <row r="318" spans="1:52" s="2" customFormat="1" x14ac:dyDescent="0.25">
      <c r="A318" s="19">
        <v>300</v>
      </c>
      <c r="B318" s="59">
        <v>15</v>
      </c>
      <c r="C318" s="40"/>
      <c r="D318" s="39" t="s">
        <v>551</v>
      </c>
      <c r="E318" s="23" t="s">
        <v>527</v>
      </c>
      <c r="F318" s="59">
        <v>2011</v>
      </c>
      <c r="G318" s="23" t="s">
        <v>33</v>
      </c>
      <c r="H318" s="60" t="str">
        <f t="shared" si="61"/>
        <v xml:space="preserve">   </v>
      </c>
      <c r="I318" s="60" t="str">
        <f t="shared" si="62"/>
        <v xml:space="preserve">   </v>
      </c>
      <c r="J318" s="1239"/>
      <c r="K318" s="1194"/>
      <c r="L318" s="1178"/>
      <c r="M318" s="1124"/>
      <c r="N318" s="1178">
        <v>3000000</v>
      </c>
      <c r="O318" s="1124" t="s">
        <v>93</v>
      </c>
      <c r="P318" s="1178">
        <v>3000000</v>
      </c>
      <c r="Q318" s="1124">
        <v>40916</v>
      </c>
      <c r="R318" s="1178">
        <v>3000000</v>
      </c>
      <c r="S318" s="1124">
        <v>41580</v>
      </c>
      <c r="T318" s="1270"/>
      <c r="U318" s="1190" t="s">
        <v>137</v>
      </c>
      <c r="V318" s="1178">
        <v>3000000</v>
      </c>
      <c r="W318" s="1143" t="s">
        <v>432</v>
      </c>
      <c r="X318" s="1259" t="s">
        <v>276</v>
      </c>
      <c r="Y318" s="1126"/>
      <c r="Z318" s="1130"/>
      <c r="AA318" s="1126"/>
      <c r="AB318" s="1242"/>
      <c r="AC318" s="1126"/>
      <c r="AD318" s="1157"/>
      <c r="AE318" s="1278"/>
      <c r="AF318" s="1157"/>
      <c r="AG318" s="1158"/>
      <c r="AH318" s="1232" t="str">
        <f t="shared" si="51"/>
        <v>MPI</v>
      </c>
      <c r="AI318" s="747">
        <f t="shared" si="66"/>
        <v>12000000</v>
      </c>
      <c r="AJ318" s="747">
        <f t="shared" si="67"/>
        <v>6000000</v>
      </c>
      <c r="AK318" s="747">
        <f t="shared" si="68"/>
        <v>-6000000</v>
      </c>
      <c r="AL318" s="1170"/>
      <c r="AM318" s="1170"/>
      <c r="AN318" s="1209"/>
      <c r="AO318" s="1170"/>
      <c r="AP318" s="1209"/>
      <c r="AQ318" s="1128"/>
      <c r="AR318" s="1173"/>
      <c r="AT318" s="1173"/>
      <c r="AV318" s="1173"/>
      <c r="AX318" s="1173"/>
      <c r="AY318" s="1176"/>
      <c r="AZ318" s="1173"/>
    </row>
    <row r="319" spans="1:52" s="2" customFormat="1" x14ac:dyDescent="0.25">
      <c r="A319" s="19">
        <v>301</v>
      </c>
      <c r="B319" s="59">
        <v>16</v>
      </c>
      <c r="C319" s="40"/>
      <c r="D319" s="39" t="s">
        <v>552</v>
      </c>
      <c r="E319" s="23" t="s">
        <v>527</v>
      </c>
      <c r="F319" s="59">
        <v>2011</v>
      </c>
      <c r="G319" s="23" t="s">
        <v>33</v>
      </c>
      <c r="H319" s="60" t="str">
        <f t="shared" si="61"/>
        <v xml:space="preserve">   </v>
      </c>
      <c r="I319" s="60" t="str">
        <f t="shared" si="62"/>
        <v xml:space="preserve">   </v>
      </c>
      <c r="J319" s="1239"/>
      <c r="K319" s="1194"/>
      <c r="L319" s="1178"/>
      <c r="M319" s="1124"/>
      <c r="N319" s="1178">
        <v>3000000</v>
      </c>
      <c r="O319" s="1124" t="s">
        <v>98</v>
      </c>
      <c r="P319" s="1178">
        <v>3000000</v>
      </c>
      <c r="Q319" s="1124">
        <v>40947</v>
      </c>
      <c r="R319" s="1178">
        <v>3000000</v>
      </c>
      <c r="S319" s="1124">
        <v>41277</v>
      </c>
      <c r="T319" s="1188">
        <v>3000000</v>
      </c>
      <c r="U319" s="1124" t="s">
        <v>553</v>
      </c>
      <c r="V319" s="1238"/>
      <c r="W319" s="1264" t="s">
        <v>276</v>
      </c>
      <c r="X319" s="1238"/>
      <c r="Y319" s="1126"/>
      <c r="Z319" s="1238"/>
      <c r="AA319" s="1126"/>
      <c r="AB319" s="1198"/>
      <c r="AC319" s="1126"/>
      <c r="AD319" s="1243"/>
      <c r="AE319" s="1278"/>
      <c r="AF319" s="1243"/>
      <c r="AG319" s="1158"/>
      <c r="AH319" s="1232" t="str">
        <f t="shared" si="51"/>
        <v>MPI</v>
      </c>
      <c r="AI319" s="747">
        <f t="shared" si="66"/>
        <v>12000000</v>
      </c>
      <c r="AJ319" s="747">
        <f t="shared" si="67"/>
        <v>6000000</v>
      </c>
      <c r="AK319" s="747">
        <f t="shared" si="68"/>
        <v>-6000000</v>
      </c>
      <c r="AL319" s="1170"/>
      <c r="AM319" s="1170"/>
      <c r="AN319" s="1209"/>
      <c r="AO319" s="1170"/>
      <c r="AP319" s="1209"/>
      <c r="AQ319" s="1128"/>
      <c r="AR319" s="1173"/>
      <c r="AT319" s="1173"/>
      <c r="AV319" s="1173"/>
      <c r="AX319" s="1173"/>
      <c r="AY319" s="1176"/>
      <c r="AZ319" s="1173"/>
    </row>
    <row r="320" spans="1:52" s="2" customFormat="1" x14ac:dyDescent="0.25">
      <c r="A320" s="19">
        <v>302</v>
      </c>
      <c r="B320" s="59">
        <v>17</v>
      </c>
      <c r="C320" s="40">
        <v>849110149</v>
      </c>
      <c r="D320" s="39" t="s">
        <v>554</v>
      </c>
      <c r="E320" s="23" t="s">
        <v>527</v>
      </c>
      <c r="F320" s="59">
        <v>2011</v>
      </c>
      <c r="G320" s="23" t="s">
        <v>33</v>
      </c>
      <c r="H320" s="60" t="str">
        <f t="shared" si="61"/>
        <v xml:space="preserve">   </v>
      </c>
      <c r="I320" s="60">
        <f t="shared" si="62"/>
        <v>41640</v>
      </c>
      <c r="J320" s="1239"/>
      <c r="K320" s="1194"/>
      <c r="L320" s="1178">
        <v>0</v>
      </c>
      <c r="M320" s="1124"/>
      <c r="N320" s="1178">
        <v>3000000</v>
      </c>
      <c r="O320" s="1124" t="s">
        <v>317</v>
      </c>
      <c r="P320" s="1178">
        <v>3000000</v>
      </c>
      <c r="Q320" s="1124" t="s">
        <v>184</v>
      </c>
      <c r="R320" s="1178">
        <v>1500000</v>
      </c>
      <c r="S320" s="1124">
        <v>41487</v>
      </c>
      <c r="T320" s="1188">
        <v>3000000</v>
      </c>
      <c r="U320" s="1124"/>
      <c r="V320" s="1130"/>
      <c r="W320" s="1264" t="s">
        <v>276</v>
      </c>
      <c r="X320" s="1130"/>
      <c r="Y320" s="1126"/>
      <c r="Z320" s="1130"/>
      <c r="AA320" s="1126"/>
      <c r="AB320" s="1242">
        <v>1000000</v>
      </c>
      <c r="AC320" s="1126" t="s">
        <v>555</v>
      </c>
      <c r="AD320" s="1157"/>
      <c r="AE320" s="1278"/>
      <c r="AF320" s="1157"/>
      <c r="AG320" s="1158"/>
      <c r="AH320" s="1232" t="str">
        <f t="shared" si="51"/>
        <v>MPI</v>
      </c>
      <c r="AI320" s="747">
        <f t="shared" si="66"/>
        <v>11500000</v>
      </c>
      <c r="AJ320" s="747">
        <f t="shared" si="67"/>
        <v>7000000</v>
      </c>
      <c r="AK320" s="747">
        <f t="shared" si="68"/>
        <v>-4500000</v>
      </c>
      <c r="AL320" s="1170"/>
      <c r="AM320" s="1170"/>
      <c r="AN320" s="1209"/>
      <c r="AO320" s="1170"/>
      <c r="AP320" s="1209"/>
      <c r="AQ320" s="1128"/>
      <c r="AR320" s="1173"/>
      <c r="AT320" s="1173"/>
      <c r="AV320" s="1173"/>
      <c r="AX320" s="1173"/>
      <c r="AY320" s="1176"/>
      <c r="AZ320" s="1173"/>
    </row>
    <row r="321" spans="1:52" s="2" customFormat="1" x14ac:dyDescent="0.25">
      <c r="A321" s="19">
        <v>303</v>
      </c>
      <c r="B321" s="59">
        <v>18</v>
      </c>
      <c r="C321" s="40">
        <v>849110128</v>
      </c>
      <c r="D321" s="39" t="s">
        <v>556</v>
      </c>
      <c r="E321" s="23" t="s">
        <v>527</v>
      </c>
      <c r="F321" s="59">
        <v>2011</v>
      </c>
      <c r="G321" s="23" t="s">
        <v>33</v>
      </c>
      <c r="H321" s="24" t="str">
        <f t="shared" si="61"/>
        <v xml:space="preserve">   </v>
      </c>
      <c r="I321" s="24">
        <f t="shared" si="62"/>
        <v>41640</v>
      </c>
      <c r="J321" s="1239"/>
      <c r="K321" s="1194"/>
      <c r="L321" s="1178">
        <v>3000000</v>
      </c>
      <c r="M321" s="1124" t="s">
        <v>557</v>
      </c>
      <c r="N321" s="1178">
        <v>3000000</v>
      </c>
      <c r="O321" s="1124" t="s">
        <v>93</v>
      </c>
      <c r="P321" s="1178" t="s">
        <v>558</v>
      </c>
      <c r="Q321" s="1124" t="s">
        <v>559</v>
      </c>
      <c r="R321" s="1178">
        <v>3000000</v>
      </c>
      <c r="S321" s="1124" t="s">
        <v>560</v>
      </c>
      <c r="T321" s="1188">
        <v>3000000</v>
      </c>
      <c r="U321" s="1124">
        <v>41334</v>
      </c>
      <c r="V321" s="1238"/>
      <c r="W321" s="1264" t="s">
        <v>276</v>
      </c>
      <c r="X321" s="1238"/>
      <c r="Y321" s="1126"/>
      <c r="Z321" s="1238"/>
      <c r="AA321" s="1126"/>
      <c r="AB321" s="1242">
        <v>1000000</v>
      </c>
      <c r="AC321" s="1126">
        <v>41465</v>
      </c>
      <c r="AD321" s="1243"/>
      <c r="AE321" s="1278"/>
      <c r="AF321" s="1243"/>
      <c r="AG321" s="1158"/>
      <c r="AH321" s="1232" t="str">
        <f t="shared" si="51"/>
        <v>MPI</v>
      </c>
      <c r="AI321" s="747">
        <f t="shared" si="66"/>
        <v>13000000</v>
      </c>
      <c r="AJ321" s="747">
        <f t="shared" si="67"/>
        <v>7000000</v>
      </c>
      <c r="AK321" s="747">
        <f t="shared" si="68"/>
        <v>-6000000</v>
      </c>
      <c r="AL321" s="1170"/>
      <c r="AM321" s="1170"/>
      <c r="AN321" s="1209"/>
      <c r="AO321" s="1170"/>
      <c r="AP321" s="1209"/>
      <c r="AQ321" s="1128"/>
      <c r="AR321" s="1173"/>
      <c r="AT321" s="1173"/>
      <c r="AV321" s="1173"/>
      <c r="AX321" s="1173"/>
      <c r="AY321" s="1176"/>
      <c r="AZ321" s="1173"/>
    </row>
    <row r="322" spans="1:52" s="2" customFormat="1" x14ac:dyDescent="0.25">
      <c r="A322" s="19">
        <v>304</v>
      </c>
      <c r="B322" s="59">
        <v>19</v>
      </c>
      <c r="C322" s="40">
        <v>849110150</v>
      </c>
      <c r="D322" s="39" t="s">
        <v>561</v>
      </c>
      <c r="E322" s="23" t="s">
        <v>527</v>
      </c>
      <c r="F322" s="59">
        <v>2011</v>
      </c>
      <c r="G322" s="23" t="s">
        <v>33</v>
      </c>
      <c r="H322" s="24" t="str">
        <f t="shared" si="61"/>
        <v xml:space="preserve">   </v>
      </c>
      <c r="I322" s="24">
        <f t="shared" si="62"/>
        <v>41640</v>
      </c>
      <c r="J322" s="1239"/>
      <c r="K322" s="1194"/>
      <c r="L322" s="1178">
        <v>3000000</v>
      </c>
      <c r="M322" s="2293" t="s">
        <v>69</v>
      </c>
      <c r="N322" s="1178">
        <v>3000000</v>
      </c>
      <c r="O322" s="1124" t="s">
        <v>125</v>
      </c>
      <c r="P322" s="1178">
        <v>3000000</v>
      </c>
      <c r="Q322" s="1124" t="s">
        <v>200</v>
      </c>
      <c r="R322" s="1178">
        <v>3000000</v>
      </c>
      <c r="S322" s="1124">
        <v>41457</v>
      </c>
      <c r="T322" s="1188">
        <v>3000000</v>
      </c>
      <c r="U322" s="1124" t="s">
        <v>562</v>
      </c>
      <c r="V322" s="1238"/>
      <c r="W322" s="1264" t="s">
        <v>276</v>
      </c>
      <c r="X322" s="1238"/>
      <c r="Y322" s="1126"/>
      <c r="Z322" s="1238"/>
      <c r="AA322" s="1126"/>
      <c r="AB322" s="1198">
        <v>1000000</v>
      </c>
      <c r="AC322" s="1126" t="s">
        <v>529</v>
      </c>
      <c r="AD322" s="1243"/>
      <c r="AE322" s="1278"/>
      <c r="AF322" s="1243"/>
      <c r="AG322" s="1158"/>
      <c r="AH322" s="1232" t="str">
        <f t="shared" si="51"/>
        <v>MPI</v>
      </c>
      <c r="AI322" s="747">
        <f t="shared" si="66"/>
        <v>16000000</v>
      </c>
      <c r="AJ322" s="747">
        <f t="shared" si="67"/>
        <v>7000000</v>
      </c>
      <c r="AK322" s="747">
        <f t="shared" si="68"/>
        <v>-9000000</v>
      </c>
      <c r="AL322" s="1170"/>
      <c r="AM322" s="1170"/>
      <c r="AN322" s="1209"/>
      <c r="AO322" s="1170"/>
      <c r="AP322" s="1209"/>
      <c r="AQ322" s="1128"/>
      <c r="AR322" s="1173"/>
      <c r="AT322" s="1173"/>
      <c r="AV322" s="1173"/>
      <c r="AX322" s="1173"/>
      <c r="AY322" s="1176"/>
      <c r="AZ322" s="1173"/>
    </row>
    <row r="323" spans="1:52" s="2" customFormat="1" x14ac:dyDescent="0.25">
      <c r="A323" s="19">
        <v>305</v>
      </c>
      <c r="B323" s="59">
        <v>20</v>
      </c>
      <c r="C323" s="40">
        <v>849110130</v>
      </c>
      <c r="D323" s="39" t="s">
        <v>563</v>
      </c>
      <c r="E323" s="23" t="s">
        <v>527</v>
      </c>
      <c r="F323" s="59">
        <v>2011</v>
      </c>
      <c r="G323" s="23" t="s">
        <v>33</v>
      </c>
      <c r="H323" s="60" t="str">
        <f t="shared" si="61"/>
        <v xml:space="preserve">   </v>
      </c>
      <c r="I323" s="60">
        <f t="shared" si="62"/>
        <v>41275</v>
      </c>
      <c r="J323" s="1239"/>
      <c r="K323" s="1194"/>
      <c r="L323" s="1178"/>
      <c r="M323" s="1124"/>
      <c r="N323" s="1178">
        <v>3000000</v>
      </c>
      <c r="O323" s="1124" t="s">
        <v>351</v>
      </c>
      <c r="P323" s="1178">
        <v>3000000</v>
      </c>
      <c r="Q323" s="1124" t="s">
        <v>184</v>
      </c>
      <c r="R323" s="1178">
        <v>3000000</v>
      </c>
      <c r="S323" s="1124">
        <v>41396</v>
      </c>
      <c r="T323" s="1267"/>
      <c r="U323" s="1264" t="s">
        <v>276</v>
      </c>
      <c r="V323" s="1130"/>
      <c r="W323" s="1227"/>
      <c r="X323" s="1130"/>
      <c r="Y323" s="1126"/>
      <c r="Z323" s="1130"/>
      <c r="AA323" s="1126"/>
      <c r="AB323" s="1198">
        <v>1000000</v>
      </c>
      <c r="AC323" s="1126">
        <v>41615</v>
      </c>
      <c r="AD323" s="1157"/>
      <c r="AE323" s="1278"/>
      <c r="AF323" s="1157"/>
      <c r="AG323" s="1158"/>
      <c r="AH323" s="1232" t="str">
        <f t="shared" si="51"/>
        <v>MPI</v>
      </c>
      <c r="AI323" s="747">
        <f t="shared" si="66"/>
        <v>10000000</v>
      </c>
      <c r="AJ323" s="747">
        <f t="shared" si="67"/>
        <v>7000000</v>
      </c>
      <c r="AK323" s="747">
        <f t="shared" si="68"/>
        <v>-3000000</v>
      </c>
      <c r="AL323" s="1170"/>
      <c r="AM323" s="1170"/>
      <c r="AN323" s="1209"/>
      <c r="AO323" s="1170"/>
      <c r="AP323" s="1209"/>
      <c r="AQ323" s="1128"/>
      <c r="AR323" s="1173"/>
      <c r="AT323" s="1173"/>
      <c r="AV323" s="1173"/>
      <c r="AX323" s="1173"/>
      <c r="AY323" s="1176"/>
      <c r="AZ323" s="1173"/>
    </row>
    <row r="324" spans="1:52" s="2" customFormat="1" x14ac:dyDescent="0.25">
      <c r="A324" s="19">
        <v>306</v>
      </c>
      <c r="B324" s="59">
        <v>21</v>
      </c>
      <c r="C324" s="40"/>
      <c r="D324" s="39" t="s">
        <v>564</v>
      </c>
      <c r="E324" s="23" t="s">
        <v>527</v>
      </c>
      <c r="F324" s="59">
        <v>2011</v>
      </c>
      <c r="G324" s="23" t="s">
        <v>33</v>
      </c>
      <c r="H324" s="60" t="str">
        <f t="shared" si="61"/>
        <v xml:space="preserve">   </v>
      </c>
      <c r="I324" s="60" t="str">
        <f t="shared" si="62"/>
        <v xml:space="preserve">   </v>
      </c>
      <c r="J324" s="1239"/>
      <c r="K324" s="1194"/>
      <c r="L324" s="1178">
        <v>0</v>
      </c>
      <c r="M324" s="1124"/>
      <c r="N324" s="1178">
        <v>0</v>
      </c>
      <c r="O324" s="1124"/>
      <c r="P324" s="1178">
        <v>3000000</v>
      </c>
      <c r="Q324" s="1124">
        <v>40947</v>
      </c>
      <c r="R324" s="1178">
        <v>3000000</v>
      </c>
      <c r="S324" s="1124">
        <v>41396</v>
      </c>
      <c r="T324" s="1267"/>
      <c r="U324" s="1264" t="s">
        <v>276</v>
      </c>
      <c r="V324" s="1130"/>
      <c r="W324" s="1227"/>
      <c r="X324" s="1130"/>
      <c r="Y324" s="1126"/>
      <c r="Z324" s="1130"/>
      <c r="AA324" s="1126"/>
      <c r="AB324" s="1198">
        <v>1000000</v>
      </c>
      <c r="AC324" s="1126">
        <v>42280</v>
      </c>
      <c r="AD324" s="1157"/>
      <c r="AE324" s="1278"/>
      <c r="AF324" s="1157"/>
      <c r="AG324" s="1158"/>
      <c r="AH324" s="1232" t="str">
        <f t="shared" si="51"/>
        <v>MPI</v>
      </c>
      <c r="AI324" s="747">
        <f t="shared" si="66"/>
        <v>7000000</v>
      </c>
      <c r="AJ324" s="747">
        <f t="shared" si="67"/>
        <v>7000000</v>
      </c>
      <c r="AK324" s="747">
        <f t="shared" si="68"/>
        <v>0</v>
      </c>
      <c r="AL324" s="1170"/>
      <c r="AM324" s="1170"/>
      <c r="AN324" s="1209"/>
      <c r="AO324" s="1170"/>
      <c r="AP324" s="1209"/>
      <c r="AQ324" s="1128"/>
      <c r="AR324" s="1173"/>
      <c r="AT324" s="1173"/>
      <c r="AV324" s="1173"/>
      <c r="AX324" s="1173"/>
      <c r="AY324" s="1176"/>
      <c r="AZ324" s="1173"/>
    </row>
    <row r="325" spans="1:52" s="2" customFormat="1" x14ac:dyDescent="0.25">
      <c r="A325" s="19">
        <v>307</v>
      </c>
      <c r="B325" s="59">
        <v>22</v>
      </c>
      <c r="C325" s="40">
        <v>849110144</v>
      </c>
      <c r="D325" s="39" t="s">
        <v>565</v>
      </c>
      <c r="E325" s="23" t="s">
        <v>527</v>
      </c>
      <c r="F325" s="59">
        <v>2011</v>
      </c>
      <c r="G325" s="23" t="s">
        <v>33</v>
      </c>
      <c r="H325" s="60" t="str">
        <f t="shared" si="61"/>
        <v xml:space="preserve">   </v>
      </c>
      <c r="I325" s="60">
        <f t="shared" si="62"/>
        <v>42143</v>
      </c>
      <c r="J325" s="1239"/>
      <c r="K325" s="1194"/>
      <c r="L325" s="1178">
        <v>3000000</v>
      </c>
      <c r="M325" s="1124"/>
      <c r="N325" s="1178">
        <f>1500000+1500000</f>
        <v>3000000</v>
      </c>
      <c r="O325" s="1124" t="s">
        <v>365</v>
      </c>
      <c r="P325" s="1178">
        <f>1500000+1500000</f>
        <v>3000000</v>
      </c>
      <c r="Q325" s="1124">
        <v>40976</v>
      </c>
      <c r="R325" s="1178">
        <v>3000000</v>
      </c>
      <c r="S325" s="1124">
        <v>42314</v>
      </c>
      <c r="T325" s="1188">
        <v>3000000</v>
      </c>
      <c r="U325" s="1124" t="s">
        <v>566</v>
      </c>
      <c r="V325" s="1178">
        <v>3000000</v>
      </c>
      <c r="W325" s="1143" t="s">
        <v>566</v>
      </c>
      <c r="X325" s="1178">
        <v>3000000</v>
      </c>
      <c r="Y325" s="1143" t="s">
        <v>566</v>
      </c>
      <c r="Z325" s="1259" t="s">
        <v>276</v>
      </c>
      <c r="AA325" s="1126"/>
      <c r="AB325" s="1198"/>
      <c r="AC325" s="1126"/>
      <c r="AD325" s="1157"/>
      <c r="AE325" s="1278"/>
      <c r="AF325" s="1157"/>
      <c r="AG325" s="1158"/>
      <c r="AH325" s="1232" t="str">
        <f t="shared" ref="AH325:AH388" si="69">E325</f>
        <v>MPI</v>
      </c>
      <c r="AI325" s="747" t="e">
        <f>SUM(J325,L325,N325,P325,R325,T325,V325,X325,Z325,AB325,AD325,AF325,#REF!,#REF!)</f>
        <v>#REF!</v>
      </c>
      <c r="AJ325" s="747">
        <f t="shared" si="67"/>
        <v>6000000</v>
      </c>
      <c r="AK325" s="747" t="e">
        <f t="shared" si="68"/>
        <v>#REF!</v>
      </c>
      <c r="AL325" s="1170"/>
      <c r="AM325" s="1170"/>
      <c r="AN325" s="1209"/>
      <c r="AO325" s="1170"/>
      <c r="AP325" s="1209"/>
      <c r="AQ325" s="1128"/>
      <c r="AR325" s="1173"/>
      <c r="AT325" s="1173"/>
      <c r="AV325" s="1173"/>
      <c r="AX325" s="1173"/>
      <c r="AY325" s="1176"/>
      <c r="AZ325" s="1173"/>
    </row>
    <row r="326" spans="1:52" s="2" customFormat="1" x14ac:dyDescent="0.25">
      <c r="A326" s="19">
        <v>308</v>
      </c>
      <c r="B326" s="57">
        <v>23</v>
      </c>
      <c r="C326" s="38"/>
      <c r="D326" s="37" t="s">
        <v>567</v>
      </c>
      <c r="E326" s="28" t="s">
        <v>527</v>
      </c>
      <c r="F326" s="57">
        <v>2011</v>
      </c>
      <c r="G326" s="28"/>
      <c r="H326" s="58" t="str">
        <f t="shared" si="61"/>
        <v xml:space="preserve">   </v>
      </c>
      <c r="I326" s="58" t="str">
        <f t="shared" si="62"/>
        <v xml:space="preserve">   </v>
      </c>
      <c r="J326" s="1239"/>
      <c r="K326" s="1194"/>
      <c r="L326" s="1130"/>
      <c r="M326" s="1126"/>
      <c r="N326" s="1130">
        <v>3000000</v>
      </c>
      <c r="O326" s="1126">
        <v>41185</v>
      </c>
      <c r="P326" s="1130">
        <v>3000000</v>
      </c>
      <c r="Q326" s="1126" t="s">
        <v>190</v>
      </c>
      <c r="R326" s="1130"/>
      <c r="S326" s="1126"/>
      <c r="T326" s="1145"/>
      <c r="U326" s="1126"/>
      <c r="V326" s="1130"/>
      <c r="W326" s="1227"/>
      <c r="X326" s="1130"/>
      <c r="Y326" s="1126"/>
      <c r="Z326" s="1130"/>
      <c r="AA326" s="1126"/>
      <c r="AB326" s="1198"/>
      <c r="AC326" s="1126"/>
      <c r="AD326" s="1157"/>
      <c r="AE326" s="1278"/>
      <c r="AF326" s="1157"/>
      <c r="AG326" s="1158"/>
      <c r="AH326" s="1232" t="str">
        <f t="shared" si="69"/>
        <v>MPI</v>
      </c>
      <c r="AI326" s="747">
        <f>SUM(J326,L326,N326,P326,R326,T326,V326,X326,Z326,AB326,AD326,AF326)</f>
        <v>6000000</v>
      </c>
      <c r="AJ326" s="747">
        <f t="shared" si="67"/>
        <v>6000000</v>
      </c>
      <c r="AK326" s="747">
        <f t="shared" si="68"/>
        <v>0</v>
      </c>
      <c r="AL326" s="1170"/>
      <c r="AM326" s="1170"/>
      <c r="AN326" s="1209"/>
      <c r="AO326" s="1170"/>
      <c r="AP326" s="1209"/>
      <c r="AQ326" s="1128"/>
      <c r="AR326" s="1173"/>
      <c r="AT326" s="1173"/>
      <c r="AV326" s="1173"/>
      <c r="AX326" s="1173"/>
      <c r="AY326" s="1176"/>
      <c r="AZ326" s="1173"/>
    </row>
    <row r="327" spans="1:52" s="2" customFormat="1" x14ac:dyDescent="0.25">
      <c r="A327" s="19">
        <v>309</v>
      </c>
      <c r="B327" s="59">
        <v>24</v>
      </c>
      <c r="C327" s="40"/>
      <c r="D327" s="39" t="s">
        <v>568</v>
      </c>
      <c r="E327" s="23" t="s">
        <v>527</v>
      </c>
      <c r="F327" s="59">
        <v>2011</v>
      </c>
      <c r="G327" s="23" t="s">
        <v>33</v>
      </c>
      <c r="H327" s="60" t="str">
        <f t="shared" si="61"/>
        <v xml:space="preserve">   </v>
      </c>
      <c r="I327" s="60" t="str">
        <f t="shared" si="62"/>
        <v xml:space="preserve">   </v>
      </c>
      <c r="J327" s="1239"/>
      <c r="K327" s="1194"/>
      <c r="L327" s="1178">
        <v>3000000</v>
      </c>
      <c r="M327" s="1124">
        <v>40693</v>
      </c>
      <c r="N327" s="1178">
        <v>3000000</v>
      </c>
      <c r="O327" s="1124">
        <v>41155</v>
      </c>
      <c r="P327" s="1178">
        <v>3000000</v>
      </c>
      <c r="Q327" s="1124">
        <v>41099</v>
      </c>
      <c r="R327" s="1178">
        <v>3000000</v>
      </c>
      <c r="S327" s="1124" t="s">
        <v>528</v>
      </c>
      <c r="T327" s="1188">
        <v>3000000</v>
      </c>
      <c r="U327" s="1124" t="s">
        <v>569</v>
      </c>
      <c r="V327" s="1178">
        <v>3000000</v>
      </c>
      <c r="W327" s="1143" t="s">
        <v>569</v>
      </c>
      <c r="X327" s="1178">
        <v>3000000</v>
      </c>
      <c r="Y327" s="1143" t="s">
        <v>569</v>
      </c>
      <c r="Z327" s="1178">
        <v>3000000</v>
      </c>
      <c r="AA327" s="1143" t="s">
        <v>569</v>
      </c>
      <c r="AB327" s="1195">
        <v>1000000</v>
      </c>
      <c r="AC327" s="1196" t="s">
        <v>569</v>
      </c>
      <c r="AD327" s="1199">
        <v>3000000</v>
      </c>
      <c r="AE327" s="2297" t="s">
        <v>569</v>
      </c>
      <c r="AF327" s="1199">
        <v>3000000</v>
      </c>
      <c r="AG327" s="1295" t="s">
        <v>276</v>
      </c>
      <c r="AH327" s="1232" t="str">
        <f t="shared" si="69"/>
        <v>MPI</v>
      </c>
      <c r="AI327" s="747">
        <f>SUM(J327,L327,N327,P327,R327,T327,V327,X327,Z327,AB327,AD327,AF327)</f>
        <v>31000000</v>
      </c>
      <c r="AJ327" s="747">
        <f t="shared" si="67"/>
        <v>7000000</v>
      </c>
      <c r="AK327" s="747">
        <f t="shared" si="68"/>
        <v>-24000000</v>
      </c>
      <c r="AL327" s="1170"/>
      <c r="AM327" s="1170"/>
      <c r="AN327" s="1209"/>
      <c r="AO327" s="1170"/>
      <c r="AP327" s="1209"/>
      <c r="AQ327" s="1128"/>
      <c r="AR327" s="1173"/>
      <c r="AT327" s="1173"/>
      <c r="AV327" s="1173"/>
      <c r="AX327" s="1173"/>
      <c r="AY327" s="1176"/>
      <c r="AZ327" s="1173"/>
    </row>
    <row r="328" spans="1:52" s="2" customFormat="1" x14ac:dyDescent="0.25">
      <c r="A328" s="19">
        <v>310</v>
      </c>
      <c r="B328" s="59">
        <v>25</v>
      </c>
      <c r="C328" s="40">
        <v>849110142</v>
      </c>
      <c r="D328" s="39" t="s">
        <v>570</v>
      </c>
      <c r="E328" s="23" t="s">
        <v>527</v>
      </c>
      <c r="F328" s="59">
        <v>2011</v>
      </c>
      <c r="G328" s="23" t="s">
        <v>33</v>
      </c>
      <c r="H328" s="60" t="str">
        <f t="shared" si="61"/>
        <v xml:space="preserve">   </v>
      </c>
      <c r="I328" s="60">
        <f t="shared" si="62"/>
        <v>42329</v>
      </c>
      <c r="J328" s="1239"/>
      <c r="K328" s="1194"/>
      <c r="L328" s="1178">
        <v>4250000</v>
      </c>
      <c r="M328" s="1124">
        <v>40815</v>
      </c>
      <c r="N328" s="1178">
        <v>3000000</v>
      </c>
      <c r="O328" s="1124">
        <v>41949</v>
      </c>
      <c r="P328" s="1178">
        <v>3000000</v>
      </c>
      <c r="Q328" s="1124">
        <v>41949</v>
      </c>
      <c r="R328" s="1178">
        <f>1500000+1500000</f>
        <v>3000000</v>
      </c>
      <c r="S328" s="1124" t="s">
        <v>571</v>
      </c>
      <c r="T328" s="1188">
        <f>1500000+1500000</f>
        <v>3000000</v>
      </c>
      <c r="U328" s="1124" t="s">
        <v>572</v>
      </c>
      <c r="V328" s="1178">
        <v>3000000</v>
      </c>
      <c r="W328" s="1143" t="s">
        <v>573</v>
      </c>
      <c r="X328" s="1178">
        <v>3000000</v>
      </c>
      <c r="Y328" s="1143" t="s">
        <v>571</v>
      </c>
      <c r="Z328" s="1178">
        <v>3000000</v>
      </c>
      <c r="AA328" s="1143" t="s">
        <v>571</v>
      </c>
      <c r="AB328" s="1195">
        <v>1000000</v>
      </c>
      <c r="AC328" s="1196">
        <v>42100</v>
      </c>
      <c r="AD328" s="1271" t="s">
        <v>276</v>
      </c>
      <c r="AE328" s="1278"/>
      <c r="AF328" s="1157"/>
      <c r="AG328" s="1247"/>
      <c r="AH328" s="1232" t="str">
        <f t="shared" si="69"/>
        <v>MPI</v>
      </c>
      <c r="AI328" s="747" t="e">
        <f>SUM(J328,L328,N328,P328,R328,T328,V328,X328,Z328,AB328,AD328,AF328,#REF!,#REF!)</f>
        <v>#REF!</v>
      </c>
      <c r="AJ328" s="747">
        <f t="shared" si="67"/>
        <v>7000000</v>
      </c>
      <c r="AK328" s="747" t="e">
        <f t="shared" si="68"/>
        <v>#REF!</v>
      </c>
      <c r="AL328" s="1170"/>
      <c r="AM328" s="1170"/>
      <c r="AN328" s="1209"/>
      <c r="AO328" s="1170"/>
      <c r="AP328" s="1209"/>
      <c r="AQ328" s="1128"/>
      <c r="AR328" s="1173"/>
      <c r="AT328" s="1173"/>
      <c r="AV328" s="1173"/>
      <c r="AX328" s="1173"/>
      <c r="AY328" s="1176"/>
      <c r="AZ328" s="1173"/>
    </row>
    <row r="329" spans="1:52" s="2" customFormat="1" x14ac:dyDescent="0.25">
      <c r="A329" s="19">
        <v>311</v>
      </c>
      <c r="B329" s="59">
        <v>26</v>
      </c>
      <c r="C329" s="40">
        <v>849110131</v>
      </c>
      <c r="D329" s="39" t="s">
        <v>574</v>
      </c>
      <c r="E329" s="23" t="s">
        <v>527</v>
      </c>
      <c r="F329" s="59">
        <v>2011</v>
      </c>
      <c r="G329" s="23" t="s">
        <v>33</v>
      </c>
      <c r="H329" s="60" t="str">
        <f t="shared" si="61"/>
        <v xml:space="preserve">   </v>
      </c>
      <c r="I329" s="60">
        <f t="shared" si="62"/>
        <v>42329</v>
      </c>
      <c r="J329" s="1239"/>
      <c r="K329" s="1194"/>
      <c r="L329" s="1178">
        <v>3000000</v>
      </c>
      <c r="M329" s="1124"/>
      <c r="N329" s="1178">
        <v>3000000</v>
      </c>
      <c r="O329" s="1124" t="s">
        <v>125</v>
      </c>
      <c r="P329" s="1178">
        <v>3000000</v>
      </c>
      <c r="Q329" s="1124" t="s">
        <v>200</v>
      </c>
      <c r="R329" s="1178">
        <v>3000000</v>
      </c>
      <c r="S329" s="1124">
        <v>41457</v>
      </c>
      <c r="T329" s="1192" t="s">
        <v>137</v>
      </c>
      <c r="U329" s="1284"/>
      <c r="V329" s="1222" t="s">
        <v>137</v>
      </c>
      <c r="W329" s="1284"/>
      <c r="X329" s="1250">
        <v>0</v>
      </c>
      <c r="Y329" s="1292" t="s">
        <v>575</v>
      </c>
      <c r="Z329" s="1250">
        <v>0</v>
      </c>
      <c r="AA329" s="1292" t="s">
        <v>575</v>
      </c>
      <c r="AB329" s="1198">
        <v>0</v>
      </c>
      <c r="AC329" s="1126" t="s">
        <v>576</v>
      </c>
      <c r="AD329" s="1273"/>
      <c r="AE329" s="1293" t="s">
        <v>276</v>
      </c>
      <c r="AF329" s="1157"/>
      <c r="AG329" s="1158"/>
      <c r="AH329" s="1232" t="str">
        <f t="shared" si="69"/>
        <v>MPI</v>
      </c>
      <c r="AI329" s="747" t="e">
        <f>SUM(J329,L329,N329,P329,R329,T329,V329,X329,Z329,AB329,AD329,AF329,#REF!,#REF!)</f>
        <v>#REF!</v>
      </c>
      <c r="AJ329" s="747">
        <f t="shared" si="67"/>
        <v>6000000</v>
      </c>
      <c r="AK329" s="747" t="e">
        <f>AJ329-AI329+1000000</f>
        <v>#REF!</v>
      </c>
      <c r="AL329" s="1170"/>
      <c r="AM329" s="1170"/>
      <c r="AN329" s="1209"/>
      <c r="AO329" s="1170"/>
      <c r="AP329" s="1209"/>
      <c r="AQ329" s="1128"/>
      <c r="AR329" s="1173"/>
      <c r="AT329" s="1173"/>
      <c r="AV329" s="1173"/>
      <c r="AX329" s="1173"/>
      <c r="AY329" s="1176"/>
      <c r="AZ329" s="1173"/>
    </row>
    <row r="330" spans="1:52" s="2" customFormat="1" x14ac:dyDescent="0.25">
      <c r="A330" s="72"/>
      <c r="B330" s="72"/>
      <c r="C330" s="62"/>
      <c r="D330" s="73"/>
      <c r="E330" s="63"/>
      <c r="F330" s="64" t="s">
        <v>61</v>
      </c>
      <c r="G330" s="63"/>
      <c r="H330" s="65" t="str">
        <f t="shared" si="61"/>
        <v xml:space="preserve">   </v>
      </c>
      <c r="I330" s="65" t="str">
        <f t="shared" si="62"/>
        <v xml:space="preserve">   </v>
      </c>
      <c r="J330" s="747"/>
      <c r="K330" s="1127"/>
      <c r="L330" s="87"/>
      <c r="M330" s="1137"/>
      <c r="N330" s="87"/>
      <c r="O330" s="1137"/>
      <c r="P330" s="87"/>
      <c r="Q330" s="1137"/>
      <c r="R330" s="87"/>
      <c r="S330" s="1141"/>
      <c r="T330" s="87"/>
      <c r="U330" s="1137"/>
      <c r="V330" s="87"/>
      <c r="W330" s="1137"/>
      <c r="X330" s="87"/>
      <c r="Y330" s="1137"/>
      <c r="Z330" s="87"/>
      <c r="AA330" s="1137"/>
      <c r="AB330" s="1229"/>
      <c r="AC330" s="1137"/>
      <c r="AD330" s="87"/>
      <c r="AE330" s="1230"/>
      <c r="AF330" s="87"/>
      <c r="AG330" s="1230"/>
      <c r="AH330" s="1168">
        <f t="shared" si="69"/>
        <v>0</v>
      </c>
      <c r="AI330" s="747"/>
      <c r="AJ330" s="747"/>
      <c r="AK330" s="747"/>
      <c r="AL330" s="1170"/>
      <c r="AM330" s="1170"/>
      <c r="AN330" s="1209"/>
      <c r="AO330" s="1170"/>
      <c r="AP330" s="1209"/>
      <c r="AQ330" s="1128"/>
      <c r="AR330" s="1173"/>
      <c r="AT330" s="1173"/>
      <c r="AV330" s="1173"/>
      <c r="AX330" s="1173"/>
      <c r="AY330" s="1176"/>
      <c r="AZ330" s="1173"/>
    </row>
    <row r="331" spans="1:52" s="4" customFormat="1" x14ac:dyDescent="0.25">
      <c r="A331" s="72"/>
      <c r="B331" s="81" t="s">
        <v>577</v>
      </c>
      <c r="C331" s="49"/>
      <c r="D331" s="81"/>
      <c r="E331" s="82"/>
      <c r="F331" s="83" t="s">
        <v>61</v>
      </c>
      <c r="G331" s="82"/>
      <c r="H331" s="84" t="str">
        <f t="shared" si="61"/>
        <v xml:space="preserve">   </v>
      </c>
      <c r="I331" s="84" t="str">
        <f t="shared" si="62"/>
        <v xml:space="preserve">   </v>
      </c>
      <c r="J331" s="1203"/>
      <c r="K331" s="1185"/>
      <c r="L331" s="1218"/>
      <c r="M331" s="1281"/>
      <c r="N331" s="1218"/>
      <c r="O331" s="1281"/>
      <c r="P331" s="1218"/>
      <c r="Q331" s="1281"/>
      <c r="R331" s="1218"/>
      <c r="S331" s="1285"/>
      <c r="T331" s="1218"/>
      <c r="U331" s="1281"/>
      <c r="V331" s="1218"/>
      <c r="W331" s="1281"/>
      <c r="X331" s="1218"/>
      <c r="Y331" s="1281"/>
      <c r="Z331" s="1184"/>
      <c r="AA331" s="1281"/>
      <c r="AB331" s="1226"/>
      <c r="AC331" s="1185"/>
      <c r="AD331" s="1184"/>
      <c r="AE331" s="1185"/>
      <c r="AF331" s="1184"/>
      <c r="AG331" s="1185"/>
      <c r="AH331" s="1231">
        <f t="shared" si="69"/>
        <v>0</v>
      </c>
      <c r="AI331" s="1213"/>
      <c r="AJ331" s="1213"/>
      <c r="AK331" s="1213"/>
      <c r="AL331" s="1213"/>
      <c r="AM331" s="1213"/>
      <c r="AN331" s="1214"/>
      <c r="AO331" s="1213"/>
      <c r="AP331" s="1214"/>
      <c r="AQ331" s="1215"/>
      <c r="AR331" s="1216"/>
      <c r="AT331" s="1216"/>
      <c r="AV331" s="1216"/>
      <c r="AX331" s="1216"/>
      <c r="AY331" s="1217"/>
      <c r="AZ331" s="1216"/>
    </row>
    <row r="332" spans="1:52" s="2" customFormat="1" x14ac:dyDescent="0.25">
      <c r="A332" s="19">
        <v>312</v>
      </c>
      <c r="B332" s="59">
        <v>1</v>
      </c>
      <c r="C332" s="40">
        <v>849110180</v>
      </c>
      <c r="D332" s="39" t="s">
        <v>578</v>
      </c>
      <c r="E332" s="85" t="s">
        <v>579</v>
      </c>
      <c r="F332" s="59">
        <v>2011</v>
      </c>
      <c r="G332" s="31" t="s">
        <v>33</v>
      </c>
      <c r="H332" s="60" t="str">
        <f t="shared" si="61"/>
        <v xml:space="preserve">   </v>
      </c>
      <c r="I332" s="60">
        <f t="shared" si="62"/>
        <v>41275</v>
      </c>
      <c r="J332" s="1239"/>
      <c r="K332" s="1194"/>
      <c r="L332" s="1178">
        <v>3000000</v>
      </c>
      <c r="M332" s="1124"/>
      <c r="N332" s="1178">
        <v>3000000</v>
      </c>
      <c r="O332" s="1124"/>
      <c r="P332" s="1178">
        <v>3000000</v>
      </c>
      <c r="Q332" s="1124"/>
      <c r="R332" s="1178">
        <v>3000000</v>
      </c>
      <c r="S332" s="1124"/>
      <c r="T332" s="1188">
        <v>3000000</v>
      </c>
      <c r="U332" s="1143" t="s">
        <v>467</v>
      </c>
      <c r="V332" s="1130"/>
      <c r="W332" s="1264" t="s">
        <v>276</v>
      </c>
      <c r="X332" s="1130"/>
      <c r="Y332" s="1126"/>
      <c r="Z332" s="1130"/>
      <c r="AA332" s="1126"/>
      <c r="AB332" s="1198"/>
      <c r="AC332" s="1126"/>
      <c r="AD332" s="1157"/>
      <c r="AE332" s="1158"/>
      <c r="AF332" s="1157"/>
      <c r="AG332" s="1158"/>
      <c r="AH332" s="1232" t="str">
        <f t="shared" si="69"/>
        <v>SUPERVISI</v>
      </c>
      <c r="AI332" s="747">
        <f t="shared" ref="AI332:AI357" si="70">SUM(J332,L332,N332,P332,R332,T332,V332,X332,Z332,AB332,AD332,AF332)</f>
        <v>15000000</v>
      </c>
      <c r="AJ332" s="747">
        <f t="shared" ref="AJ332:AJ357" si="71">((COUNT((L332,N332,P332,R332,T332,V332,X332,Z332,AD332,AF332)))*L332)+(J332+AB332)</f>
        <v>15000000</v>
      </c>
      <c r="AK332" s="747">
        <f t="shared" ref="AK332:AK357" si="72">AJ332-AI332</f>
        <v>0</v>
      </c>
      <c r="AL332" s="1170"/>
      <c r="AM332" s="1170"/>
      <c r="AN332" s="1209"/>
      <c r="AO332" s="1170"/>
      <c r="AP332" s="1209"/>
      <c r="AQ332" s="1128"/>
      <c r="AR332" s="1173"/>
      <c r="AT332" s="1173"/>
      <c r="AV332" s="1173"/>
      <c r="AX332" s="1173"/>
      <c r="AY332" s="1176"/>
      <c r="AZ332" s="1173"/>
    </row>
    <row r="333" spans="1:52" s="2" customFormat="1" x14ac:dyDescent="0.25">
      <c r="A333" s="19">
        <v>313</v>
      </c>
      <c r="B333" s="59">
        <v>2</v>
      </c>
      <c r="C333" s="38">
        <v>849110168</v>
      </c>
      <c r="D333" s="39" t="s">
        <v>580</v>
      </c>
      <c r="E333" s="85" t="s">
        <v>579</v>
      </c>
      <c r="F333" s="59">
        <v>2011</v>
      </c>
      <c r="G333" s="31" t="s">
        <v>33</v>
      </c>
      <c r="H333" s="24" t="str">
        <f t="shared" si="61"/>
        <v xml:space="preserve">   </v>
      </c>
      <c r="I333" s="24">
        <f t="shared" si="62"/>
        <v>41275</v>
      </c>
      <c r="J333" s="1239"/>
      <c r="K333" s="1194"/>
      <c r="L333" s="1178">
        <v>3000000</v>
      </c>
      <c r="M333" s="1124"/>
      <c r="N333" s="1178">
        <v>3000000</v>
      </c>
      <c r="O333" s="1124"/>
      <c r="P333" s="1178">
        <v>3000000</v>
      </c>
      <c r="Q333" s="1124"/>
      <c r="R333" s="1178">
        <v>3000000</v>
      </c>
      <c r="S333" s="1126"/>
      <c r="T333" s="1145"/>
      <c r="U333" s="1227"/>
      <c r="V333" s="1130"/>
      <c r="W333" s="1227"/>
      <c r="X333" s="1130"/>
      <c r="Y333" s="1126"/>
      <c r="Z333" s="1130"/>
      <c r="AA333" s="1126"/>
      <c r="AB333" s="1198">
        <v>1000000</v>
      </c>
      <c r="AC333" s="1126"/>
      <c r="AD333" s="1157"/>
      <c r="AE333" s="1158"/>
      <c r="AF333" s="1157"/>
      <c r="AG333" s="1158"/>
      <c r="AH333" s="1232" t="str">
        <f t="shared" si="69"/>
        <v>SUPERVISI</v>
      </c>
      <c r="AI333" s="747">
        <f t="shared" si="70"/>
        <v>13000000</v>
      </c>
      <c r="AJ333" s="747">
        <f t="shared" si="71"/>
        <v>16000000</v>
      </c>
      <c r="AK333" s="747">
        <f t="shared" si="72"/>
        <v>3000000</v>
      </c>
      <c r="AL333" s="1170"/>
      <c r="AM333" s="1170"/>
      <c r="AN333" s="1209"/>
      <c r="AO333" s="1170"/>
      <c r="AP333" s="1209"/>
      <c r="AQ333" s="1128"/>
      <c r="AR333" s="1173"/>
      <c r="AT333" s="1173"/>
      <c r="AV333" s="1173"/>
      <c r="AX333" s="1173"/>
      <c r="AY333" s="1176"/>
      <c r="AZ333" s="1173"/>
    </row>
    <row r="334" spans="1:52" s="2" customFormat="1" x14ac:dyDescent="0.25">
      <c r="A334" s="19">
        <v>314</v>
      </c>
      <c r="B334" s="59">
        <v>3</v>
      </c>
      <c r="C334" s="40">
        <v>849110167</v>
      </c>
      <c r="D334" s="39" t="s">
        <v>581</v>
      </c>
      <c r="E334" s="85" t="s">
        <v>579</v>
      </c>
      <c r="F334" s="59">
        <v>2011</v>
      </c>
      <c r="G334" s="31" t="s">
        <v>33</v>
      </c>
      <c r="H334" s="60" t="str">
        <f t="shared" si="61"/>
        <v xml:space="preserve">   </v>
      </c>
      <c r="I334" s="60">
        <f t="shared" si="62"/>
        <v>41275</v>
      </c>
      <c r="J334" s="1239"/>
      <c r="K334" s="1194"/>
      <c r="L334" s="1178">
        <v>3000000</v>
      </c>
      <c r="M334" s="1124"/>
      <c r="N334" s="1178">
        <v>3000000</v>
      </c>
      <c r="O334" s="1124"/>
      <c r="P334" s="1178">
        <v>3000000</v>
      </c>
      <c r="Q334" s="1124"/>
      <c r="R334" s="1178">
        <v>3000000</v>
      </c>
      <c r="S334" s="1124"/>
      <c r="T334" s="1188">
        <v>3000000</v>
      </c>
      <c r="U334" s="1143">
        <v>41403</v>
      </c>
      <c r="V334" s="1238"/>
      <c r="W334" s="1264" t="s">
        <v>276</v>
      </c>
      <c r="X334" s="1238"/>
      <c r="Y334" s="1126"/>
      <c r="Z334" s="1238"/>
      <c r="AA334" s="1126"/>
      <c r="AB334" s="1198">
        <v>1000000</v>
      </c>
      <c r="AC334" s="1126"/>
      <c r="AD334" s="1157"/>
      <c r="AE334" s="1158"/>
      <c r="AF334" s="1157"/>
      <c r="AG334" s="1158"/>
      <c r="AH334" s="1232" t="str">
        <f t="shared" si="69"/>
        <v>SUPERVISI</v>
      </c>
      <c r="AI334" s="747">
        <f t="shared" si="70"/>
        <v>16000000</v>
      </c>
      <c r="AJ334" s="747">
        <f t="shared" si="71"/>
        <v>16000000</v>
      </c>
      <c r="AK334" s="747">
        <f t="shared" si="72"/>
        <v>0</v>
      </c>
      <c r="AL334" s="1170"/>
      <c r="AM334" s="1170"/>
      <c r="AN334" s="1209"/>
      <c r="AO334" s="1170"/>
      <c r="AP334" s="1209"/>
      <c r="AQ334" s="1128"/>
      <c r="AR334" s="1173"/>
      <c r="AT334" s="1173"/>
      <c r="AV334" s="1173"/>
      <c r="AX334" s="1173"/>
      <c r="AY334" s="1176"/>
      <c r="AZ334" s="1173"/>
    </row>
    <row r="335" spans="1:52" s="2" customFormat="1" x14ac:dyDescent="0.25">
      <c r="A335" s="19">
        <v>315</v>
      </c>
      <c r="B335" s="59">
        <v>4</v>
      </c>
      <c r="C335" s="40">
        <v>849110158</v>
      </c>
      <c r="D335" s="39" t="s">
        <v>582</v>
      </c>
      <c r="E335" s="85" t="s">
        <v>579</v>
      </c>
      <c r="F335" s="59">
        <v>2011</v>
      </c>
      <c r="G335" s="31" t="s">
        <v>33</v>
      </c>
      <c r="H335" s="24" t="str">
        <f t="shared" si="61"/>
        <v xml:space="preserve">   </v>
      </c>
      <c r="I335" s="24">
        <f t="shared" si="62"/>
        <v>41275</v>
      </c>
      <c r="J335" s="1239"/>
      <c r="K335" s="1194"/>
      <c r="L335" s="1178">
        <v>3000000</v>
      </c>
      <c r="M335" s="1124"/>
      <c r="N335" s="1178">
        <v>3000000</v>
      </c>
      <c r="O335" s="1124"/>
      <c r="P335" s="1178">
        <v>3000000</v>
      </c>
      <c r="Q335" s="1124"/>
      <c r="R335" s="1178">
        <v>3000000</v>
      </c>
      <c r="S335" s="1124"/>
      <c r="T335" s="1237"/>
      <c r="U335" s="1264" t="s">
        <v>276</v>
      </c>
      <c r="V335" s="1238"/>
      <c r="W335" s="1227"/>
      <c r="X335" s="1238"/>
      <c r="Y335" s="1126"/>
      <c r="Z335" s="1238"/>
      <c r="AA335" s="1126"/>
      <c r="AB335" s="1242">
        <v>1000000</v>
      </c>
      <c r="AC335" s="1126"/>
      <c r="AD335" s="1157"/>
      <c r="AE335" s="1158"/>
      <c r="AF335" s="1157"/>
      <c r="AG335" s="1158"/>
      <c r="AH335" s="1232" t="str">
        <f t="shared" si="69"/>
        <v>SUPERVISI</v>
      </c>
      <c r="AI335" s="747">
        <f t="shared" si="70"/>
        <v>13000000</v>
      </c>
      <c r="AJ335" s="747">
        <f t="shared" si="71"/>
        <v>16000000</v>
      </c>
      <c r="AK335" s="747">
        <f t="shared" si="72"/>
        <v>3000000</v>
      </c>
      <c r="AL335" s="1170"/>
      <c r="AM335" s="1170"/>
      <c r="AN335" s="1209"/>
      <c r="AO335" s="1170"/>
      <c r="AP335" s="1209"/>
      <c r="AQ335" s="1128"/>
      <c r="AR335" s="1173"/>
      <c r="AT335" s="1173"/>
      <c r="AV335" s="1173"/>
      <c r="AX335" s="1173"/>
      <c r="AY335" s="1176"/>
      <c r="AZ335" s="1173"/>
    </row>
    <row r="336" spans="1:52" s="2" customFormat="1" x14ac:dyDescent="0.25">
      <c r="A336" s="19">
        <v>316</v>
      </c>
      <c r="B336" s="59">
        <v>5</v>
      </c>
      <c r="C336" s="40">
        <v>849110101</v>
      </c>
      <c r="D336" s="39" t="s">
        <v>519</v>
      </c>
      <c r="E336" s="85" t="s">
        <v>579</v>
      </c>
      <c r="F336" s="59">
        <v>2011</v>
      </c>
      <c r="G336" s="31" t="s">
        <v>33</v>
      </c>
      <c r="H336" s="24" t="str">
        <f t="shared" si="61"/>
        <v xml:space="preserve">   </v>
      </c>
      <c r="I336" s="24">
        <f t="shared" si="62"/>
        <v>41275</v>
      </c>
      <c r="J336" s="1239"/>
      <c r="K336" s="1194"/>
      <c r="L336" s="1178">
        <v>3000000</v>
      </c>
      <c r="M336" s="1124"/>
      <c r="N336" s="1178">
        <v>3000000</v>
      </c>
      <c r="O336" s="1124"/>
      <c r="P336" s="1178">
        <v>3000000</v>
      </c>
      <c r="Q336" s="1124"/>
      <c r="R336" s="1178">
        <v>3000000</v>
      </c>
      <c r="S336" s="1124"/>
      <c r="T336" s="1188">
        <v>3000000</v>
      </c>
      <c r="U336" s="1143" t="s">
        <v>381</v>
      </c>
      <c r="V336" s="1178">
        <v>3000000</v>
      </c>
      <c r="W336" s="1143" t="s">
        <v>467</v>
      </c>
      <c r="X336" s="1238"/>
      <c r="Y336" s="1263" t="s">
        <v>276</v>
      </c>
      <c r="Z336" s="1130"/>
      <c r="AA336" s="1126"/>
      <c r="AB336" s="1242">
        <v>1000000</v>
      </c>
      <c r="AC336" s="1126"/>
      <c r="AD336" s="1157"/>
      <c r="AE336" s="1158"/>
      <c r="AF336" s="1157"/>
      <c r="AG336" s="1158"/>
      <c r="AH336" s="1232" t="str">
        <f t="shared" si="69"/>
        <v>SUPERVISI</v>
      </c>
      <c r="AI336" s="747">
        <f t="shared" si="70"/>
        <v>19000000</v>
      </c>
      <c r="AJ336" s="747">
        <f t="shared" si="71"/>
        <v>16000000</v>
      </c>
      <c r="AK336" s="747">
        <f t="shared" si="72"/>
        <v>-3000000</v>
      </c>
      <c r="AL336" s="1170"/>
      <c r="AM336" s="1170"/>
      <c r="AN336" s="1209"/>
      <c r="AO336" s="1170"/>
      <c r="AP336" s="1209"/>
      <c r="AQ336" s="1128"/>
      <c r="AR336" s="1173"/>
      <c r="AT336" s="1173"/>
      <c r="AV336" s="1173"/>
      <c r="AX336" s="1173"/>
      <c r="AY336" s="1176"/>
      <c r="AZ336" s="1173"/>
    </row>
    <row r="337" spans="1:52" s="2" customFormat="1" x14ac:dyDescent="0.25">
      <c r="A337" s="19">
        <v>317</v>
      </c>
      <c r="B337" s="59">
        <v>6</v>
      </c>
      <c r="C337" s="40">
        <v>849110076</v>
      </c>
      <c r="D337" s="39" t="s">
        <v>443</v>
      </c>
      <c r="E337" s="85" t="s">
        <v>579</v>
      </c>
      <c r="F337" s="59">
        <v>2011</v>
      </c>
      <c r="G337" s="31" t="s">
        <v>33</v>
      </c>
      <c r="H337" s="24" t="str">
        <f t="shared" si="61"/>
        <v xml:space="preserve">   </v>
      </c>
      <c r="I337" s="24">
        <f t="shared" si="62"/>
        <v>41275</v>
      </c>
      <c r="J337" s="1239"/>
      <c r="K337" s="1194"/>
      <c r="L337" s="1178">
        <v>3000000</v>
      </c>
      <c r="M337" s="1124"/>
      <c r="N337" s="1178">
        <v>3000000</v>
      </c>
      <c r="O337" s="1124"/>
      <c r="P337" s="1178">
        <v>3000000</v>
      </c>
      <c r="Q337" s="1124"/>
      <c r="R337" s="1178">
        <v>3000000</v>
      </c>
      <c r="S337" s="1124"/>
      <c r="T337" s="1188">
        <v>3000000</v>
      </c>
      <c r="U337" s="1143"/>
      <c r="V337" s="1178">
        <v>3000000</v>
      </c>
      <c r="W337" s="1143" t="s">
        <v>583</v>
      </c>
      <c r="X337" s="1238"/>
      <c r="Y337" s="1263" t="s">
        <v>276</v>
      </c>
      <c r="Z337" s="1130"/>
      <c r="AA337" s="1126"/>
      <c r="AB337" s="1198">
        <v>1000000</v>
      </c>
      <c r="AC337" s="1126"/>
      <c r="AD337" s="1157"/>
      <c r="AE337" s="1158"/>
      <c r="AF337" s="1157"/>
      <c r="AG337" s="1158"/>
      <c r="AH337" s="1232" t="str">
        <f t="shared" si="69"/>
        <v>SUPERVISI</v>
      </c>
      <c r="AI337" s="747">
        <f t="shared" si="70"/>
        <v>19000000</v>
      </c>
      <c r="AJ337" s="747">
        <f t="shared" si="71"/>
        <v>16000000</v>
      </c>
      <c r="AK337" s="747">
        <f t="shared" si="72"/>
        <v>-3000000</v>
      </c>
      <c r="AL337" s="1170"/>
      <c r="AM337" s="1170"/>
      <c r="AN337" s="1209"/>
      <c r="AO337" s="1170"/>
      <c r="AP337" s="1209"/>
      <c r="AQ337" s="1128"/>
      <c r="AR337" s="1173"/>
      <c r="AT337" s="1173"/>
      <c r="AV337" s="1173"/>
      <c r="AX337" s="1173"/>
      <c r="AY337" s="1176"/>
      <c r="AZ337" s="1173"/>
    </row>
    <row r="338" spans="1:52" s="2" customFormat="1" x14ac:dyDescent="0.25">
      <c r="A338" s="19">
        <v>318</v>
      </c>
      <c r="B338" s="59">
        <v>7</v>
      </c>
      <c r="C338" s="40">
        <v>849110174</v>
      </c>
      <c r="D338" s="39" t="s">
        <v>584</v>
      </c>
      <c r="E338" s="85" t="s">
        <v>579</v>
      </c>
      <c r="F338" s="59">
        <v>2011</v>
      </c>
      <c r="G338" s="31" t="s">
        <v>33</v>
      </c>
      <c r="H338" s="60" t="str">
        <f t="shared" si="61"/>
        <v xml:space="preserve">   </v>
      </c>
      <c r="I338" s="60">
        <f t="shared" si="62"/>
        <v>41275</v>
      </c>
      <c r="J338" s="1239"/>
      <c r="K338" s="1194"/>
      <c r="L338" s="1178">
        <v>3000000</v>
      </c>
      <c r="M338" s="1124"/>
      <c r="N338" s="1178">
        <v>3000000</v>
      </c>
      <c r="O338" s="1124"/>
      <c r="P338" s="1178">
        <v>3000000</v>
      </c>
      <c r="Q338" s="1124"/>
      <c r="R338" s="1178">
        <v>3000000</v>
      </c>
      <c r="S338" s="1124"/>
      <c r="T338" s="1237"/>
      <c r="U338" s="1264" t="s">
        <v>276</v>
      </c>
      <c r="V338" s="1238"/>
      <c r="W338" s="1227"/>
      <c r="X338" s="1238"/>
      <c r="Y338" s="1126"/>
      <c r="Z338" s="1238"/>
      <c r="AA338" s="1126"/>
      <c r="AB338" s="1198">
        <v>1000000</v>
      </c>
      <c r="AC338" s="1126"/>
      <c r="AD338" s="1157"/>
      <c r="AE338" s="1158"/>
      <c r="AF338" s="1157"/>
      <c r="AG338" s="1158"/>
      <c r="AH338" s="1232" t="str">
        <f t="shared" si="69"/>
        <v>SUPERVISI</v>
      </c>
      <c r="AI338" s="747">
        <f t="shared" si="70"/>
        <v>13000000</v>
      </c>
      <c r="AJ338" s="747">
        <f t="shared" si="71"/>
        <v>16000000</v>
      </c>
      <c r="AK338" s="747">
        <f t="shared" si="72"/>
        <v>3000000</v>
      </c>
      <c r="AL338" s="1170"/>
      <c r="AM338" s="1170"/>
      <c r="AN338" s="1209"/>
      <c r="AO338" s="1170"/>
      <c r="AP338" s="1209"/>
      <c r="AQ338" s="1128"/>
      <c r="AR338" s="1173"/>
      <c r="AT338" s="1173"/>
      <c r="AV338" s="1173"/>
      <c r="AX338" s="1173"/>
      <c r="AY338" s="1176"/>
      <c r="AZ338" s="1173"/>
    </row>
    <row r="339" spans="1:52" s="2" customFormat="1" x14ac:dyDescent="0.25">
      <c r="A339" s="19">
        <v>319</v>
      </c>
      <c r="B339" s="59">
        <v>8</v>
      </c>
      <c r="C339" s="40">
        <v>849110151</v>
      </c>
      <c r="D339" s="39" t="s">
        <v>585</v>
      </c>
      <c r="E339" s="85" t="s">
        <v>579</v>
      </c>
      <c r="F339" s="59">
        <v>2011</v>
      </c>
      <c r="G339" s="31" t="s">
        <v>33</v>
      </c>
      <c r="H339" s="60" t="str">
        <f t="shared" si="61"/>
        <v xml:space="preserve">   </v>
      </c>
      <c r="I339" s="60">
        <f t="shared" si="62"/>
        <v>41275</v>
      </c>
      <c r="J339" s="1239"/>
      <c r="K339" s="1194"/>
      <c r="L339" s="1178">
        <v>3000000</v>
      </c>
      <c r="M339" s="1124"/>
      <c r="N339" s="1178">
        <v>3000000</v>
      </c>
      <c r="O339" s="1124"/>
      <c r="P339" s="1178">
        <v>3000000</v>
      </c>
      <c r="Q339" s="1124"/>
      <c r="R339" s="1178">
        <v>3000000</v>
      </c>
      <c r="S339" s="1124"/>
      <c r="T339" s="1188">
        <v>3000000</v>
      </c>
      <c r="U339" s="1143">
        <v>41403</v>
      </c>
      <c r="V339" s="1238"/>
      <c r="W339" s="1264" t="s">
        <v>276</v>
      </c>
      <c r="X339" s="1238"/>
      <c r="Y339" s="1126"/>
      <c r="Z339" s="1238"/>
      <c r="AA339" s="1126"/>
      <c r="AB339" s="1242">
        <v>1000000</v>
      </c>
      <c r="AC339" s="1126"/>
      <c r="AD339" s="1157"/>
      <c r="AE339" s="1158"/>
      <c r="AF339" s="1157"/>
      <c r="AG339" s="1158"/>
      <c r="AH339" s="1232" t="str">
        <f t="shared" si="69"/>
        <v>SUPERVISI</v>
      </c>
      <c r="AI339" s="747">
        <f t="shared" si="70"/>
        <v>16000000</v>
      </c>
      <c r="AJ339" s="747">
        <f t="shared" si="71"/>
        <v>16000000</v>
      </c>
      <c r="AK339" s="747">
        <f t="shared" si="72"/>
        <v>0</v>
      </c>
      <c r="AL339" s="1170"/>
      <c r="AM339" s="1170"/>
      <c r="AN339" s="1209"/>
      <c r="AO339" s="1170"/>
      <c r="AP339" s="1209"/>
      <c r="AQ339" s="1128"/>
      <c r="AR339" s="1173"/>
      <c r="AT339" s="1173"/>
      <c r="AV339" s="1173"/>
      <c r="AX339" s="1173"/>
      <c r="AY339" s="1176"/>
      <c r="AZ339" s="1173"/>
    </row>
    <row r="340" spans="1:52" s="2" customFormat="1" x14ac:dyDescent="0.25">
      <c r="A340" s="19">
        <v>320</v>
      </c>
      <c r="B340" s="59">
        <v>9</v>
      </c>
      <c r="C340" s="40">
        <v>849110182</v>
      </c>
      <c r="D340" s="39" t="s">
        <v>586</v>
      </c>
      <c r="E340" s="85" t="s">
        <v>579</v>
      </c>
      <c r="F340" s="59">
        <v>2011</v>
      </c>
      <c r="G340" s="31" t="s">
        <v>33</v>
      </c>
      <c r="H340" s="24" t="str">
        <f t="shared" si="61"/>
        <v xml:space="preserve">   </v>
      </c>
      <c r="I340" s="24">
        <f t="shared" si="62"/>
        <v>41275</v>
      </c>
      <c r="J340" s="1239"/>
      <c r="K340" s="1194"/>
      <c r="L340" s="1178">
        <v>3000000</v>
      </c>
      <c r="M340" s="1124"/>
      <c r="N340" s="1178">
        <v>3000000</v>
      </c>
      <c r="O340" s="1124"/>
      <c r="P340" s="1178">
        <v>3000000</v>
      </c>
      <c r="Q340" s="1124"/>
      <c r="R340" s="1178">
        <v>3000000</v>
      </c>
      <c r="S340" s="1124"/>
      <c r="T340" s="1237"/>
      <c r="U340" s="1264" t="s">
        <v>276</v>
      </c>
      <c r="V340" s="1238"/>
      <c r="W340" s="1227"/>
      <c r="X340" s="1238"/>
      <c r="Y340" s="1126"/>
      <c r="Z340" s="1238"/>
      <c r="AA340" s="1126"/>
      <c r="AB340" s="1242">
        <v>1000000</v>
      </c>
      <c r="AC340" s="1126"/>
      <c r="AD340" s="1157"/>
      <c r="AE340" s="1158"/>
      <c r="AF340" s="1157"/>
      <c r="AG340" s="1158"/>
      <c r="AH340" s="1232" t="str">
        <f t="shared" si="69"/>
        <v>SUPERVISI</v>
      </c>
      <c r="AI340" s="747">
        <f t="shared" si="70"/>
        <v>13000000</v>
      </c>
      <c r="AJ340" s="747">
        <f t="shared" si="71"/>
        <v>16000000</v>
      </c>
      <c r="AK340" s="747">
        <f t="shared" si="72"/>
        <v>3000000</v>
      </c>
      <c r="AL340" s="1170"/>
      <c r="AM340" s="1170"/>
      <c r="AN340" s="1209"/>
      <c r="AO340" s="1170"/>
      <c r="AP340" s="1209"/>
      <c r="AQ340" s="1128"/>
      <c r="AR340" s="1173"/>
      <c r="AT340" s="1173"/>
      <c r="AV340" s="1173"/>
      <c r="AX340" s="1173"/>
      <c r="AY340" s="1176"/>
      <c r="AZ340" s="1173"/>
    </row>
    <row r="341" spans="1:52" s="2" customFormat="1" x14ac:dyDescent="0.25">
      <c r="A341" s="19">
        <v>321</v>
      </c>
      <c r="B341" s="59">
        <v>10</v>
      </c>
      <c r="C341" s="40">
        <v>849110183</v>
      </c>
      <c r="D341" s="39" t="s">
        <v>587</v>
      </c>
      <c r="E341" s="85" t="s">
        <v>579</v>
      </c>
      <c r="F341" s="59">
        <v>2011</v>
      </c>
      <c r="G341" s="31" t="s">
        <v>33</v>
      </c>
      <c r="H341" s="24" t="str">
        <f t="shared" si="61"/>
        <v xml:space="preserve">   </v>
      </c>
      <c r="I341" s="24">
        <f t="shared" si="62"/>
        <v>41640</v>
      </c>
      <c r="J341" s="1239"/>
      <c r="K341" s="1194"/>
      <c r="L341" s="1178">
        <v>3000000</v>
      </c>
      <c r="M341" s="1124"/>
      <c r="N341" s="1178">
        <v>3000000</v>
      </c>
      <c r="O341" s="1124"/>
      <c r="P341" s="1178">
        <v>3000000</v>
      </c>
      <c r="Q341" s="1124"/>
      <c r="R341" s="1178">
        <v>3000000</v>
      </c>
      <c r="S341" s="1124"/>
      <c r="T341" s="1188">
        <v>3000000</v>
      </c>
      <c r="U341" s="1143" t="s">
        <v>588</v>
      </c>
      <c r="V341" s="1178">
        <v>3000000</v>
      </c>
      <c r="W341" s="1143" t="s">
        <v>589</v>
      </c>
      <c r="X341" s="1238"/>
      <c r="Y341" s="1263" t="s">
        <v>276</v>
      </c>
      <c r="Z341" s="1238"/>
      <c r="AA341" s="1126"/>
      <c r="AB341" s="1242">
        <v>1000000</v>
      </c>
      <c r="AC341" s="1126"/>
      <c r="AD341" s="1157"/>
      <c r="AE341" s="1158"/>
      <c r="AF341" s="1157"/>
      <c r="AG341" s="1158"/>
      <c r="AH341" s="1232" t="str">
        <f t="shared" si="69"/>
        <v>SUPERVISI</v>
      </c>
      <c r="AI341" s="747">
        <f t="shared" si="70"/>
        <v>19000000</v>
      </c>
      <c r="AJ341" s="747">
        <f t="shared" si="71"/>
        <v>16000000</v>
      </c>
      <c r="AK341" s="747">
        <f t="shared" si="72"/>
        <v>-3000000</v>
      </c>
      <c r="AL341" s="1170"/>
      <c r="AM341" s="1170"/>
      <c r="AN341" s="1209"/>
      <c r="AO341" s="1170"/>
      <c r="AP341" s="1209"/>
      <c r="AQ341" s="1128"/>
      <c r="AR341" s="1173"/>
      <c r="AT341" s="1173"/>
      <c r="AV341" s="1173"/>
      <c r="AX341" s="1173"/>
      <c r="AY341" s="1176"/>
      <c r="AZ341" s="1173"/>
    </row>
    <row r="342" spans="1:52" s="2" customFormat="1" x14ac:dyDescent="0.25">
      <c r="A342" s="19">
        <v>322</v>
      </c>
      <c r="B342" s="59">
        <v>11</v>
      </c>
      <c r="C342" s="40">
        <v>849110172</v>
      </c>
      <c r="D342" s="39" t="s">
        <v>590</v>
      </c>
      <c r="E342" s="85" t="s">
        <v>579</v>
      </c>
      <c r="F342" s="59">
        <v>2011</v>
      </c>
      <c r="G342" s="31" t="s">
        <v>33</v>
      </c>
      <c r="H342" s="24" t="str">
        <f t="shared" si="61"/>
        <v xml:space="preserve">   </v>
      </c>
      <c r="I342" s="24">
        <f t="shared" si="62"/>
        <v>41275</v>
      </c>
      <c r="J342" s="1239"/>
      <c r="K342" s="1194"/>
      <c r="L342" s="1178">
        <v>3000000</v>
      </c>
      <c r="M342" s="1124"/>
      <c r="N342" s="1178">
        <v>3000000</v>
      </c>
      <c r="O342" s="1124"/>
      <c r="P342" s="1178">
        <v>3000000</v>
      </c>
      <c r="Q342" s="1124"/>
      <c r="R342" s="1178">
        <v>3000000</v>
      </c>
      <c r="S342" s="1124"/>
      <c r="T342" s="1237"/>
      <c r="U342" s="1264" t="s">
        <v>276</v>
      </c>
      <c r="V342" s="1238"/>
      <c r="W342" s="1227"/>
      <c r="X342" s="1238"/>
      <c r="Y342" s="1126"/>
      <c r="Z342" s="1238"/>
      <c r="AA342" s="1126"/>
      <c r="AB342" s="1242">
        <v>1000000</v>
      </c>
      <c r="AC342" s="1126"/>
      <c r="AD342" s="1157"/>
      <c r="AE342" s="1158"/>
      <c r="AF342" s="1157"/>
      <c r="AG342" s="1158"/>
      <c r="AH342" s="1232" t="str">
        <f t="shared" si="69"/>
        <v>SUPERVISI</v>
      </c>
      <c r="AI342" s="747">
        <f t="shared" si="70"/>
        <v>13000000</v>
      </c>
      <c r="AJ342" s="747">
        <f t="shared" si="71"/>
        <v>16000000</v>
      </c>
      <c r="AK342" s="747">
        <f t="shared" si="72"/>
        <v>3000000</v>
      </c>
      <c r="AL342" s="1170"/>
      <c r="AM342" s="1170"/>
      <c r="AN342" s="1209"/>
      <c r="AO342" s="1170"/>
      <c r="AP342" s="1209"/>
      <c r="AQ342" s="1128"/>
      <c r="AR342" s="1173"/>
      <c r="AT342" s="1173"/>
      <c r="AV342" s="1173"/>
      <c r="AX342" s="1173"/>
      <c r="AY342" s="1176"/>
      <c r="AZ342" s="1173"/>
    </row>
    <row r="343" spans="1:52" s="2" customFormat="1" x14ac:dyDescent="0.25">
      <c r="A343" s="19">
        <v>323</v>
      </c>
      <c r="B343" s="59">
        <v>12</v>
      </c>
      <c r="C343" s="40">
        <v>849110155</v>
      </c>
      <c r="D343" s="39" t="s">
        <v>591</v>
      </c>
      <c r="E343" s="85" t="s">
        <v>579</v>
      </c>
      <c r="F343" s="59">
        <v>2011</v>
      </c>
      <c r="G343" s="31" t="s">
        <v>33</v>
      </c>
      <c r="H343" s="24" t="str">
        <f t="shared" si="61"/>
        <v xml:space="preserve">   </v>
      </c>
      <c r="I343" s="24">
        <f t="shared" si="62"/>
        <v>41275</v>
      </c>
      <c r="J343" s="1239"/>
      <c r="K343" s="1194"/>
      <c r="L343" s="1178">
        <v>3000000</v>
      </c>
      <c r="M343" s="1124"/>
      <c r="N343" s="1178">
        <v>3000000</v>
      </c>
      <c r="O343" s="1124"/>
      <c r="P343" s="1178">
        <v>3000000</v>
      </c>
      <c r="Q343" s="1124"/>
      <c r="R343" s="1178">
        <v>3000000</v>
      </c>
      <c r="S343" s="1124"/>
      <c r="T343" s="1237"/>
      <c r="U343" s="1264" t="s">
        <v>276</v>
      </c>
      <c r="V343" s="1238"/>
      <c r="W343" s="1227"/>
      <c r="X343" s="1238"/>
      <c r="Y343" s="1126"/>
      <c r="Z343" s="1238"/>
      <c r="AA343" s="1126"/>
      <c r="AB343" s="1242">
        <v>1000000</v>
      </c>
      <c r="AC343" s="1126"/>
      <c r="AD343" s="1157"/>
      <c r="AE343" s="1158"/>
      <c r="AF343" s="1157"/>
      <c r="AG343" s="1158"/>
      <c r="AH343" s="1232" t="str">
        <f t="shared" si="69"/>
        <v>SUPERVISI</v>
      </c>
      <c r="AI343" s="747">
        <f t="shared" si="70"/>
        <v>13000000</v>
      </c>
      <c r="AJ343" s="747">
        <f t="shared" si="71"/>
        <v>16000000</v>
      </c>
      <c r="AK343" s="747">
        <f t="shared" si="72"/>
        <v>3000000</v>
      </c>
      <c r="AL343" s="1170"/>
      <c r="AM343" s="1170"/>
      <c r="AN343" s="1209"/>
      <c r="AO343" s="1170"/>
      <c r="AP343" s="1209"/>
      <c r="AQ343" s="1128"/>
      <c r="AR343" s="1173"/>
      <c r="AT343" s="1173"/>
      <c r="AV343" s="1173"/>
      <c r="AX343" s="1173"/>
      <c r="AY343" s="1176"/>
      <c r="AZ343" s="1173"/>
    </row>
    <row r="344" spans="1:52" s="2" customFormat="1" x14ac:dyDescent="0.25">
      <c r="A344" s="19">
        <v>324</v>
      </c>
      <c r="B344" s="59">
        <v>13</v>
      </c>
      <c r="C344" s="40">
        <v>849110160</v>
      </c>
      <c r="D344" s="39" t="s">
        <v>592</v>
      </c>
      <c r="E344" s="85" t="s">
        <v>579</v>
      </c>
      <c r="F344" s="59">
        <v>2011</v>
      </c>
      <c r="G344" s="31" t="s">
        <v>33</v>
      </c>
      <c r="H344" s="24" t="str">
        <f t="shared" si="61"/>
        <v xml:space="preserve">   </v>
      </c>
      <c r="I344" s="24">
        <f t="shared" si="62"/>
        <v>41275</v>
      </c>
      <c r="J344" s="1239"/>
      <c r="K344" s="1194"/>
      <c r="L344" s="1178">
        <v>3000000</v>
      </c>
      <c r="M344" s="1124"/>
      <c r="N344" s="1178">
        <v>3000000</v>
      </c>
      <c r="O344" s="1124"/>
      <c r="P344" s="1178">
        <v>3000000</v>
      </c>
      <c r="Q344" s="1124"/>
      <c r="R344" s="1178">
        <v>3000000</v>
      </c>
      <c r="S344" s="1124"/>
      <c r="T344" s="1237"/>
      <c r="U344" s="1264" t="s">
        <v>276</v>
      </c>
      <c r="V344" s="1238"/>
      <c r="W344" s="1227"/>
      <c r="X344" s="1238"/>
      <c r="Y344" s="1126"/>
      <c r="Z344" s="1238"/>
      <c r="AA344" s="1126"/>
      <c r="AB344" s="1242">
        <v>1000000</v>
      </c>
      <c r="AC344" s="1126"/>
      <c r="AD344" s="1157"/>
      <c r="AE344" s="1158"/>
      <c r="AF344" s="1157"/>
      <c r="AG344" s="1158"/>
      <c r="AH344" s="1232" t="str">
        <f t="shared" si="69"/>
        <v>SUPERVISI</v>
      </c>
      <c r="AI344" s="747">
        <f t="shared" si="70"/>
        <v>13000000</v>
      </c>
      <c r="AJ344" s="747">
        <f t="shared" si="71"/>
        <v>16000000</v>
      </c>
      <c r="AK344" s="747">
        <f t="shared" si="72"/>
        <v>3000000</v>
      </c>
      <c r="AL344" s="1170"/>
      <c r="AM344" s="1170"/>
      <c r="AN344" s="1209"/>
      <c r="AO344" s="1170"/>
      <c r="AP344" s="1209"/>
      <c r="AQ344" s="1128"/>
      <c r="AR344" s="1173"/>
      <c r="AT344" s="1173"/>
      <c r="AV344" s="1173"/>
      <c r="AX344" s="1173"/>
      <c r="AY344" s="1176"/>
      <c r="AZ344" s="1173"/>
    </row>
    <row r="345" spans="1:52" s="2" customFormat="1" x14ac:dyDescent="0.25">
      <c r="A345" s="19">
        <v>325</v>
      </c>
      <c r="B345" s="59">
        <v>14</v>
      </c>
      <c r="C345" s="38">
        <v>849110185</v>
      </c>
      <c r="D345" s="39" t="s">
        <v>593</v>
      </c>
      <c r="E345" s="85" t="s">
        <v>579</v>
      </c>
      <c r="F345" s="59">
        <v>2011</v>
      </c>
      <c r="G345" s="31" t="s">
        <v>33</v>
      </c>
      <c r="H345" s="24" t="str">
        <f t="shared" si="61"/>
        <v xml:space="preserve">   </v>
      </c>
      <c r="I345" s="24">
        <f t="shared" si="62"/>
        <v>41275</v>
      </c>
      <c r="J345" s="1239"/>
      <c r="K345" s="1194"/>
      <c r="L345" s="1178">
        <v>3000000</v>
      </c>
      <c r="M345" s="1124"/>
      <c r="N345" s="1178">
        <v>3000000</v>
      </c>
      <c r="O345" s="1124"/>
      <c r="P345" s="1178">
        <v>3000000</v>
      </c>
      <c r="Q345" s="1124"/>
      <c r="R345" s="1178">
        <v>3000000</v>
      </c>
      <c r="S345" s="1126"/>
      <c r="T345" s="1145"/>
      <c r="U345" s="1227"/>
      <c r="V345" s="1130"/>
      <c r="W345" s="1227"/>
      <c r="X345" s="1130"/>
      <c r="Y345" s="1126"/>
      <c r="Z345" s="1130"/>
      <c r="AA345" s="1126"/>
      <c r="AB345" s="1242">
        <v>1000000</v>
      </c>
      <c r="AC345" s="1126"/>
      <c r="AD345" s="1157"/>
      <c r="AE345" s="1158"/>
      <c r="AF345" s="1157"/>
      <c r="AG345" s="1158"/>
      <c r="AH345" s="1232" t="str">
        <f t="shared" si="69"/>
        <v>SUPERVISI</v>
      </c>
      <c r="AI345" s="747">
        <f t="shared" si="70"/>
        <v>13000000</v>
      </c>
      <c r="AJ345" s="747">
        <f t="shared" si="71"/>
        <v>16000000</v>
      </c>
      <c r="AK345" s="747">
        <f t="shared" si="72"/>
        <v>3000000</v>
      </c>
      <c r="AL345" s="1170"/>
      <c r="AM345" s="1170"/>
      <c r="AN345" s="1209"/>
      <c r="AO345" s="1170"/>
      <c r="AP345" s="1209"/>
      <c r="AQ345" s="1128"/>
      <c r="AR345" s="1173"/>
      <c r="AT345" s="1173"/>
      <c r="AV345" s="1173"/>
      <c r="AX345" s="1173"/>
      <c r="AY345" s="1176"/>
      <c r="AZ345" s="1173"/>
    </row>
    <row r="346" spans="1:52" s="2" customFormat="1" x14ac:dyDescent="0.25">
      <c r="A346" s="19">
        <v>326</v>
      </c>
      <c r="B346" s="59">
        <v>15</v>
      </c>
      <c r="C346" s="40">
        <v>849110164</v>
      </c>
      <c r="D346" s="39" t="s">
        <v>594</v>
      </c>
      <c r="E346" s="85" t="s">
        <v>579</v>
      </c>
      <c r="F346" s="59">
        <v>2011</v>
      </c>
      <c r="G346" s="31" t="s">
        <v>33</v>
      </c>
      <c r="H346" s="24" t="str">
        <f t="shared" si="61"/>
        <v xml:space="preserve">   </v>
      </c>
      <c r="I346" s="24">
        <f t="shared" si="62"/>
        <v>41275</v>
      </c>
      <c r="J346" s="1239"/>
      <c r="K346" s="1194"/>
      <c r="L346" s="1178">
        <v>3000000</v>
      </c>
      <c r="M346" s="1124"/>
      <c r="N346" s="1178">
        <v>3000000</v>
      </c>
      <c r="O346" s="1124"/>
      <c r="P346" s="1178">
        <v>3000000</v>
      </c>
      <c r="Q346" s="1124"/>
      <c r="R346" s="1178">
        <v>3000000</v>
      </c>
      <c r="S346" s="1124"/>
      <c r="T346" s="1188">
        <v>3000000</v>
      </c>
      <c r="U346" s="1143" t="s">
        <v>467</v>
      </c>
      <c r="V346" s="1238"/>
      <c r="W346" s="1264" t="s">
        <v>276</v>
      </c>
      <c r="X346" s="1238"/>
      <c r="Y346" s="1126"/>
      <c r="Z346" s="1238"/>
      <c r="AA346" s="1126"/>
      <c r="AB346" s="1198">
        <v>1000000</v>
      </c>
      <c r="AC346" s="1126"/>
      <c r="AD346" s="1157"/>
      <c r="AE346" s="1158"/>
      <c r="AF346" s="1157"/>
      <c r="AG346" s="1158"/>
      <c r="AH346" s="1232" t="str">
        <f t="shared" si="69"/>
        <v>SUPERVISI</v>
      </c>
      <c r="AI346" s="747">
        <f t="shared" si="70"/>
        <v>16000000</v>
      </c>
      <c r="AJ346" s="747">
        <f t="shared" si="71"/>
        <v>16000000</v>
      </c>
      <c r="AK346" s="747">
        <f t="shared" si="72"/>
        <v>0</v>
      </c>
      <c r="AL346" s="1170"/>
      <c r="AM346" s="1170"/>
      <c r="AN346" s="1209"/>
      <c r="AO346" s="1170"/>
      <c r="AP346" s="1209"/>
      <c r="AQ346" s="1128"/>
      <c r="AR346" s="1173"/>
      <c r="AT346" s="1173"/>
      <c r="AV346" s="1173"/>
      <c r="AX346" s="1173"/>
      <c r="AY346" s="1176"/>
      <c r="AZ346" s="1173"/>
    </row>
    <row r="347" spans="1:52" s="2" customFormat="1" x14ac:dyDescent="0.25">
      <c r="A347" s="19">
        <v>327</v>
      </c>
      <c r="B347" s="59">
        <v>16</v>
      </c>
      <c r="C347" s="38">
        <v>849110170</v>
      </c>
      <c r="D347" s="39" t="s">
        <v>595</v>
      </c>
      <c r="E347" s="85" t="s">
        <v>579</v>
      </c>
      <c r="F347" s="59">
        <v>2011</v>
      </c>
      <c r="G347" s="31" t="s">
        <v>33</v>
      </c>
      <c r="H347" s="24" t="str">
        <f t="shared" si="61"/>
        <v xml:space="preserve">   </v>
      </c>
      <c r="I347" s="24">
        <f t="shared" si="62"/>
        <v>41275</v>
      </c>
      <c r="J347" s="1239"/>
      <c r="K347" s="1194"/>
      <c r="L347" s="1178">
        <v>3000000</v>
      </c>
      <c r="M347" s="1124"/>
      <c r="N347" s="1178">
        <v>3000000</v>
      </c>
      <c r="O347" s="1124"/>
      <c r="P347" s="1178">
        <v>3000000</v>
      </c>
      <c r="Q347" s="1124"/>
      <c r="R347" s="1178">
        <v>3000000</v>
      </c>
      <c r="S347" s="1126"/>
      <c r="T347" s="1145"/>
      <c r="U347" s="1227"/>
      <c r="V347" s="1130"/>
      <c r="W347" s="1227"/>
      <c r="X347" s="1130"/>
      <c r="Y347" s="1126"/>
      <c r="Z347" s="1130"/>
      <c r="AA347" s="1126"/>
      <c r="AB347" s="1242">
        <v>1000000</v>
      </c>
      <c r="AC347" s="1126"/>
      <c r="AD347" s="1157"/>
      <c r="AE347" s="1158"/>
      <c r="AF347" s="1157"/>
      <c r="AG347" s="1158"/>
      <c r="AH347" s="1232" t="str">
        <f t="shared" si="69"/>
        <v>SUPERVISI</v>
      </c>
      <c r="AI347" s="747">
        <f t="shared" si="70"/>
        <v>13000000</v>
      </c>
      <c r="AJ347" s="747">
        <f t="shared" si="71"/>
        <v>16000000</v>
      </c>
      <c r="AK347" s="747">
        <f t="shared" si="72"/>
        <v>3000000</v>
      </c>
      <c r="AL347" s="1170"/>
      <c r="AM347" s="1170"/>
      <c r="AN347" s="1209"/>
      <c r="AO347" s="1170"/>
      <c r="AP347" s="1209"/>
      <c r="AQ347" s="1128"/>
      <c r="AR347" s="1173"/>
      <c r="AT347" s="1173"/>
      <c r="AV347" s="1173"/>
      <c r="AX347" s="1173"/>
      <c r="AY347" s="1176"/>
      <c r="AZ347" s="1173"/>
    </row>
    <row r="348" spans="1:52" s="2" customFormat="1" x14ac:dyDescent="0.25">
      <c r="A348" s="19">
        <v>328</v>
      </c>
      <c r="B348" s="59">
        <v>17</v>
      </c>
      <c r="C348" s="38">
        <v>849110159</v>
      </c>
      <c r="D348" s="39" t="s">
        <v>596</v>
      </c>
      <c r="E348" s="85" t="s">
        <v>579</v>
      </c>
      <c r="F348" s="59">
        <v>2011</v>
      </c>
      <c r="G348" s="31" t="s">
        <v>33</v>
      </c>
      <c r="H348" s="24" t="str">
        <f t="shared" si="61"/>
        <v xml:space="preserve">   </v>
      </c>
      <c r="I348" s="24">
        <f t="shared" si="62"/>
        <v>41275</v>
      </c>
      <c r="J348" s="1239"/>
      <c r="K348" s="1194"/>
      <c r="L348" s="1178">
        <v>3000000</v>
      </c>
      <c r="M348" s="1124"/>
      <c r="N348" s="1178">
        <v>3000000</v>
      </c>
      <c r="O348" s="1124"/>
      <c r="P348" s="1178">
        <v>3000000</v>
      </c>
      <c r="Q348" s="1124"/>
      <c r="R348" s="1178">
        <v>3000000</v>
      </c>
      <c r="S348" s="1126"/>
      <c r="T348" s="1145"/>
      <c r="U348" s="1227"/>
      <c r="V348" s="1130"/>
      <c r="W348" s="1227"/>
      <c r="X348" s="1130"/>
      <c r="Y348" s="1126"/>
      <c r="Z348" s="1130"/>
      <c r="AA348" s="1126"/>
      <c r="AB348" s="1198">
        <v>1000000</v>
      </c>
      <c r="AC348" s="1126"/>
      <c r="AD348" s="1157"/>
      <c r="AE348" s="1158"/>
      <c r="AF348" s="1157"/>
      <c r="AG348" s="1158"/>
      <c r="AH348" s="1232" t="str">
        <f t="shared" si="69"/>
        <v>SUPERVISI</v>
      </c>
      <c r="AI348" s="747">
        <f t="shared" si="70"/>
        <v>13000000</v>
      </c>
      <c r="AJ348" s="747">
        <f t="shared" si="71"/>
        <v>16000000</v>
      </c>
      <c r="AK348" s="747">
        <f t="shared" si="72"/>
        <v>3000000</v>
      </c>
      <c r="AL348" s="1170"/>
      <c r="AM348" s="1170"/>
      <c r="AN348" s="1209"/>
      <c r="AO348" s="1170"/>
      <c r="AP348" s="1209"/>
      <c r="AQ348" s="1128"/>
      <c r="AR348" s="1173"/>
      <c r="AT348" s="1173"/>
      <c r="AV348" s="1173"/>
      <c r="AX348" s="1173"/>
      <c r="AY348" s="1176"/>
      <c r="AZ348" s="1173"/>
    </row>
    <row r="349" spans="1:52" s="2" customFormat="1" x14ac:dyDescent="0.25">
      <c r="A349" s="19">
        <v>329</v>
      </c>
      <c r="B349" s="59">
        <v>18</v>
      </c>
      <c r="C349" s="40">
        <v>849110179</v>
      </c>
      <c r="D349" s="39" t="s">
        <v>597</v>
      </c>
      <c r="E349" s="85" t="s">
        <v>579</v>
      </c>
      <c r="F349" s="59">
        <v>2011</v>
      </c>
      <c r="G349" s="31" t="s">
        <v>33</v>
      </c>
      <c r="H349" s="60" t="str">
        <f t="shared" si="61"/>
        <v xml:space="preserve">   </v>
      </c>
      <c r="I349" s="60">
        <f t="shared" si="62"/>
        <v>41275</v>
      </c>
      <c r="J349" s="1239"/>
      <c r="K349" s="1194"/>
      <c r="L349" s="1178">
        <v>3000000</v>
      </c>
      <c r="M349" s="1124"/>
      <c r="N349" s="1178">
        <v>3000000</v>
      </c>
      <c r="O349" s="1124"/>
      <c r="P349" s="1178">
        <v>3000000</v>
      </c>
      <c r="Q349" s="1124"/>
      <c r="R349" s="1178">
        <v>3000000</v>
      </c>
      <c r="S349" s="1124"/>
      <c r="T349" s="1188">
        <v>3000000</v>
      </c>
      <c r="U349" s="1143">
        <v>41342</v>
      </c>
      <c r="V349" s="1238"/>
      <c r="W349" s="1264" t="s">
        <v>276</v>
      </c>
      <c r="X349" s="1238"/>
      <c r="Y349" s="1126"/>
      <c r="Z349" s="1238"/>
      <c r="AA349" s="1126"/>
      <c r="AB349" s="1198">
        <v>1000000</v>
      </c>
      <c r="AC349" s="1126"/>
      <c r="AD349" s="1157"/>
      <c r="AE349" s="1158"/>
      <c r="AF349" s="1157"/>
      <c r="AG349" s="1158"/>
      <c r="AH349" s="1232" t="str">
        <f t="shared" si="69"/>
        <v>SUPERVISI</v>
      </c>
      <c r="AI349" s="747">
        <f t="shared" si="70"/>
        <v>16000000</v>
      </c>
      <c r="AJ349" s="747">
        <f t="shared" si="71"/>
        <v>16000000</v>
      </c>
      <c r="AK349" s="747">
        <f t="shared" si="72"/>
        <v>0</v>
      </c>
      <c r="AL349" s="1170"/>
      <c r="AM349" s="1170"/>
      <c r="AN349" s="1209"/>
      <c r="AO349" s="1170"/>
      <c r="AP349" s="1209"/>
      <c r="AQ349" s="1128"/>
      <c r="AR349" s="1173"/>
      <c r="AT349" s="1173"/>
      <c r="AV349" s="1173"/>
      <c r="AX349" s="1173"/>
      <c r="AY349" s="1176"/>
      <c r="AZ349" s="1173"/>
    </row>
    <row r="350" spans="1:52" s="2" customFormat="1" x14ac:dyDescent="0.25">
      <c r="A350" s="19">
        <v>330</v>
      </c>
      <c r="B350" s="59">
        <v>19</v>
      </c>
      <c r="C350" s="38">
        <v>849110163</v>
      </c>
      <c r="D350" s="39" t="s">
        <v>598</v>
      </c>
      <c r="E350" s="85" t="s">
        <v>579</v>
      </c>
      <c r="F350" s="59">
        <v>2011</v>
      </c>
      <c r="G350" s="31" t="s">
        <v>33</v>
      </c>
      <c r="H350" s="24" t="str">
        <f t="shared" si="61"/>
        <v xml:space="preserve">   </v>
      </c>
      <c r="I350" s="24">
        <f t="shared" si="62"/>
        <v>41275</v>
      </c>
      <c r="J350" s="1239"/>
      <c r="K350" s="1194"/>
      <c r="L350" s="1178">
        <v>3000000</v>
      </c>
      <c r="M350" s="1124"/>
      <c r="N350" s="1178">
        <v>3000000</v>
      </c>
      <c r="O350" s="1124"/>
      <c r="P350" s="1178">
        <v>3000000</v>
      </c>
      <c r="Q350" s="1124"/>
      <c r="R350" s="1178">
        <v>3000000</v>
      </c>
      <c r="S350" s="1126"/>
      <c r="T350" s="1145"/>
      <c r="U350" s="1227"/>
      <c r="V350" s="1130"/>
      <c r="W350" s="1126"/>
      <c r="X350" s="1130"/>
      <c r="Y350" s="1126"/>
      <c r="Z350" s="1130"/>
      <c r="AA350" s="1126"/>
      <c r="AB350" s="1242">
        <v>1000000</v>
      </c>
      <c r="AC350" s="1126"/>
      <c r="AD350" s="1157"/>
      <c r="AE350" s="1158"/>
      <c r="AF350" s="1157"/>
      <c r="AG350" s="1158"/>
      <c r="AH350" s="1232" t="str">
        <f t="shared" si="69"/>
        <v>SUPERVISI</v>
      </c>
      <c r="AI350" s="747">
        <f t="shared" si="70"/>
        <v>13000000</v>
      </c>
      <c r="AJ350" s="747">
        <f t="shared" si="71"/>
        <v>16000000</v>
      </c>
      <c r="AK350" s="747">
        <f t="shared" si="72"/>
        <v>3000000</v>
      </c>
      <c r="AL350" s="1170"/>
      <c r="AM350" s="1170"/>
      <c r="AN350" s="1209"/>
      <c r="AO350" s="1170"/>
      <c r="AP350" s="1209"/>
      <c r="AQ350" s="1128"/>
      <c r="AR350" s="1173"/>
      <c r="AT350" s="1173"/>
      <c r="AV350" s="1173"/>
      <c r="AX350" s="1173"/>
      <c r="AY350" s="1176"/>
      <c r="AZ350" s="1173"/>
    </row>
    <row r="351" spans="1:52" s="2" customFormat="1" x14ac:dyDescent="0.25">
      <c r="A351" s="19">
        <v>331</v>
      </c>
      <c r="B351" s="59">
        <v>20</v>
      </c>
      <c r="C351" s="40">
        <v>849110169</v>
      </c>
      <c r="D351" s="39" t="s">
        <v>599</v>
      </c>
      <c r="E351" s="85" t="s">
        <v>579</v>
      </c>
      <c r="F351" s="59">
        <v>2011</v>
      </c>
      <c r="G351" s="31" t="s">
        <v>33</v>
      </c>
      <c r="H351" s="24" t="str">
        <f t="shared" si="61"/>
        <v xml:space="preserve">   </v>
      </c>
      <c r="I351" s="24">
        <f t="shared" si="62"/>
        <v>41275</v>
      </c>
      <c r="J351" s="1239"/>
      <c r="K351" s="1194"/>
      <c r="L351" s="1178">
        <v>3000000</v>
      </c>
      <c r="M351" s="1124"/>
      <c r="N351" s="1178">
        <v>3000000</v>
      </c>
      <c r="O351" s="1124"/>
      <c r="P351" s="1178">
        <v>3000000</v>
      </c>
      <c r="Q351" s="1124"/>
      <c r="R351" s="1178">
        <v>3000000</v>
      </c>
      <c r="S351" s="1124"/>
      <c r="T351" s="1237"/>
      <c r="U351" s="1264" t="s">
        <v>276</v>
      </c>
      <c r="V351" s="1238"/>
      <c r="W351" s="1126"/>
      <c r="X351" s="1238"/>
      <c r="Y351" s="1126"/>
      <c r="Z351" s="1238"/>
      <c r="AA351" s="1126"/>
      <c r="AB351" s="1198">
        <v>1000000</v>
      </c>
      <c r="AC351" s="1126"/>
      <c r="AD351" s="1157"/>
      <c r="AE351" s="1158"/>
      <c r="AF351" s="1157"/>
      <c r="AG351" s="1158"/>
      <c r="AH351" s="1232" t="str">
        <f t="shared" si="69"/>
        <v>SUPERVISI</v>
      </c>
      <c r="AI351" s="747">
        <f t="shared" si="70"/>
        <v>13000000</v>
      </c>
      <c r="AJ351" s="747">
        <f t="shared" si="71"/>
        <v>16000000</v>
      </c>
      <c r="AK351" s="747">
        <f t="shared" si="72"/>
        <v>3000000</v>
      </c>
      <c r="AL351" s="1170"/>
      <c r="AM351" s="1170"/>
      <c r="AN351" s="1209"/>
      <c r="AO351" s="1170"/>
      <c r="AP351" s="1209"/>
      <c r="AQ351" s="1128"/>
      <c r="AR351" s="1173"/>
      <c r="AT351" s="1173"/>
      <c r="AV351" s="1173"/>
      <c r="AX351" s="1173"/>
      <c r="AY351" s="1176"/>
      <c r="AZ351" s="1173"/>
    </row>
    <row r="352" spans="1:52" s="2" customFormat="1" x14ac:dyDescent="0.25">
      <c r="A352" s="19">
        <v>332</v>
      </c>
      <c r="B352" s="59">
        <v>21</v>
      </c>
      <c r="C352" s="40">
        <v>849110171</v>
      </c>
      <c r="D352" s="39" t="s">
        <v>600</v>
      </c>
      <c r="E352" s="85" t="s">
        <v>579</v>
      </c>
      <c r="F352" s="59">
        <v>2011</v>
      </c>
      <c r="G352" s="31" t="s">
        <v>33</v>
      </c>
      <c r="H352" s="24" t="str">
        <f t="shared" si="61"/>
        <v xml:space="preserve">   </v>
      </c>
      <c r="I352" s="24">
        <f t="shared" si="62"/>
        <v>41275</v>
      </c>
      <c r="J352" s="1239"/>
      <c r="K352" s="1194"/>
      <c r="L352" s="1178">
        <v>3000000</v>
      </c>
      <c r="M352" s="1124"/>
      <c r="N352" s="1178">
        <v>3000000</v>
      </c>
      <c r="O352" s="1124"/>
      <c r="P352" s="1178">
        <v>3000000</v>
      </c>
      <c r="Q352" s="1124"/>
      <c r="R352" s="1178">
        <v>3000000</v>
      </c>
      <c r="S352" s="1124"/>
      <c r="T352" s="1145"/>
      <c r="U352" s="1264" t="s">
        <v>276</v>
      </c>
      <c r="V352" s="1130"/>
      <c r="W352" s="1126"/>
      <c r="X352" s="1130"/>
      <c r="Y352" s="1126"/>
      <c r="Z352" s="1130"/>
      <c r="AA352" s="1126"/>
      <c r="AB352" s="1242">
        <v>1000000</v>
      </c>
      <c r="AC352" s="1126"/>
      <c r="AD352" s="1157"/>
      <c r="AE352" s="1158"/>
      <c r="AF352" s="1157"/>
      <c r="AG352" s="1158"/>
      <c r="AH352" s="1232" t="str">
        <f t="shared" si="69"/>
        <v>SUPERVISI</v>
      </c>
      <c r="AI352" s="747">
        <f t="shared" si="70"/>
        <v>13000000</v>
      </c>
      <c r="AJ352" s="747">
        <f t="shared" si="71"/>
        <v>16000000</v>
      </c>
      <c r="AK352" s="747">
        <f t="shared" si="72"/>
        <v>3000000</v>
      </c>
      <c r="AL352" s="1170"/>
      <c r="AM352" s="1170"/>
      <c r="AN352" s="1209"/>
      <c r="AO352" s="1170"/>
      <c r="AP352" s="1209"/>
      <c r="AQ352" s="1128"/>
      <c r="AR352" s="1173"/>
      <c r="AT352" s="1173"/>
      <c r="AV352" s="1173"/>
      <c r="AX352" s="1173"/>
      <c r="AY352" s="1176"/>
      <c r="AZ352" s="1173"/>
    </row>
    <row r="353" spans="1:52" s="2" customFormat="1" x14ac:dyDescent="0.25">
      <c r="A353" s="19">
        <v>333</v>
      </c>
      <c r="B353" s="59">
        <v>22</v>
      </c>
      <c r="C353" s="38">
        <v>849110204</v>
      </c>
      <c r="D353" s="39" t="s">
        <v>601</v>
      </c>
      <c r="E353" s="85" t="s">
        <v>579</v>
      </c>
      <c r="F353" s="59">
        <v>2011</v>
      </c>
      <c r="G353" s="31" t="s">
        <v>33</v>
      </c>
      <c r="H353" s="60" t="str">
        <f t="shared" si="61"/>
        <v xml:space="preserve">   </v>
      </c>
      <c r="I353" s="60">
        <f t="shared" si="62"/>
        <v>41275</v>
      </c>
      <c r="J353" s="1239"/>
      <c r="K353" s="1194"/>
      <c r="L353" s="1178">
        <v>3000000</v>
      </c>
      <c r="M353" s="1124"/>
      <c r="N353" s="1178">
        <v>3000000</v>
      </c>
      <c r="O353" s="1124"/>
      <c r="P353" s="1178">
        <v>3000000</v>
      </c>
      <c r="Q353" s="1124"/>
      <c r="R353" s="1178">
        <v>3000000</v>
      </c>
      <c r="S353" s="1126"/>
      <c r="T353" s="1188">
        <v>3000000</v>
      </c>
      <c r="U353" s="1143" t="s">
        <v>583</v>
      </c>
      <c r="V353" s="1130"/>
      <c r="W353" s="1126"/>
      <c r="X353" s="1130"/>
      <c r="Y353" s="1126"/>
      <c r="Z353" s="1130"/>
      <c r="AA353" s="1126"/>
      <c r="AB353" s="1198">
        <v>1000000</v>
      </c>
      <c r="AC353" s="1126"/>
      <c r="AD353" s="1157"/>
      <c r="AE353" s="1158"/>
      <c r="AF353" s="1157"/>
      <c r="AG353" s="1158"/>
      <c r="AH353" s="1232" t="str">
        <f t="shared" si="69"/>
        <v>SUPERVISI</v>
      </c>
      <c r="AI353" s="747">
        <f t="shared" si="70"/>
        <v>16000000</v>
      </c>
      <c r="AJ353" s="747">
        <f t="shared" si="71"/>
        <v>16000000</v>
      </c>
      <c r="AK353" s="747">
        <f t="shared" si="72"/>
        <v>0</v>
      </c>
      <c r="AL353" s="1170"/>
      <c r="AM353" s="1170"/>
      <c r="AN353" s="1209"/>
      <c r="AO353" s="1170"/>
      <c r="AP353" s="1209"/>
      <c r="AQ353" s="1128"/>
      <c r="AR353" s="1173"/>
      <c r="AT353" s="1173"/>
      <c r="AV353" s="1173"/>
      <c r="AX353" s="1173"/>
      <c r="AY353" s="1176"/>
      <c r="AZ353" s="1173"/>
    </row>
    <row r="354" spans="1:52" s="2" customFormat="1" x14ac:dyDescent="0.25">
      <c r="A354" s="19">
        <v>334</v>
      </c>
      <c r="B354" s="59">
        <v>23</v>
      </c>
      <c r="C354" s="38">
        <v>849110154</v>
      </c>
      <c r="D354" s="39" t="s">
        <v>602</v>
      </c>
      <c r="E354" s="85" t="s">
        <v>579</v>
      </c>
      <c r="F354" s="59">
        <v>2011</v>
      </c>
      <c r="G354" s="31" t="s">
        <v>33</v>
      </c>
      <c r="H354" s="24" t="str">
        <f t="shared" si="61"/>
        <v xml:space="preserve">   </v>
      </c>
      <c r="I354" s="24">
        <f t="shared" si="62"/>
        <v>41275</v>
      </c>
      <c r="J354" s="1239"/>
      <c r="K354" s="1194"/>
      <c r="L354" s="1178">
        <v>3000000</v>
      </c>
      <c r="M354" s="1124"/>
      <c r="N354" s="1178">
        <v>3000000</v>
      </c>
      <c r="O354" s="1124"/>
      <c r="P354" s="1178">
        <v>3000000</v>
      </c>
      <c r="Q354" s="1124"/>
      <c r="R354" s="1178">
        <v>3000000</v>
      </c>
      <c r="S354" s="1126"/>
      <c r="T354" s="1145"/>
      <c r="U354" s="1126"/>
      <c r="V354" s="1130"/>
      <c r="W354" s="1126"/>
      <c r="X354" s="1130"/>
      <c r="Y354" s="1126"/>
      <c r="Z354" s="1130"/>
      <c r="AA354" s="1126"/>
      <c r="AB354" s="1198">
        <v>1000000</v>
      </c>
      <c r="AC354" s="1126"/>
      <c r="AD354" s="1157"/>
      <c r="AE354" s="1158"/>
      <c r="AF354" s="1157"/>
      <c r="AG354" s="1158"/>
      <c r="AH354" s="1232" t="str">
        <f t="shared" si="69"/>
        <v>SUPERVISI</v>
      </c>
      <c r="AI354" s="747">
        <f t="shared" si="70"/>
        <v>13000000</v>
      </c>
      <c r="AJ354" s="747">
        <f t="shared" si="71"/>
        <v>16000000</v>
      </c>
      <c r="AK354" s="747">
        <f t="shared" si="72"/>
        <v>3000000</v>
      </c>
      <c r="AL354" s="1170"/>
      <c r="AM354" s="1170"/>
      <c r="AN354" s="1209"/>
      <c r="AO354" s="1170"/>
      <c r="AP354" s="1209"/>
      <c r="AQ354" s="1128"/>
      <c r="AR354" s="1173"/>
      <c r="AT354" s="1173"/>
      <c r="AV354" s="1173"/>
      <c r="AX354" s="1173"/>
      <c r="AY354" s="1176"/>
      <c r="AZ354" s="1173"/>
    </row>
    <row r="355" spans="1:52" s="2" customFormat="1" x14ac:dyDescent="0.25">
      <c r="A355" s="19">
        <v>335</v>
      </c>
      <c r="B355" s="59">
        <v>24</v>
      </c>
      <c r="C355" s="38">
        <v>849110173</v>
      </c>
      <c r="D355" s="39" t="s">
        <v>603</v>
      </c>
      <c r="E355" s="85" t="s">
        <v>579</v>
      </c>
      <c r="F355" s="59">
        <v>2011</v>
      </c>
      <c r="G355" s="31" t="s">
        <v>33</v>
      </c>
      <c r="H355" s="24" t="str">
        <f t="shared" si="61"/>
        <v xml:space="preserve">   </v>
      </c>
      <c r="I355" s="24">
        <f t="shared" si="62"/>
        <v>41275</v>
      </c>
      <c r="J355" s="1239"/>
      <c r="K355" s="1194"/>
      <c r="L355" s="1178">
        <v>3000000</v>
      </c>
      <c r="M355" s="1124"/>
      <c r="N355" s="1178">
        <v>3000000</v>
      </c>
      <c r="O355" s="1124"/>
      <c r="P355" s="1178">
        <v>3000000</v>
      </c>
      <c r="Q355" s="1124"/>
      <c r="R355" s="1178">
        <v>3000000</v>
      </c>
      <c r="S355" s="1126"/>
      <c r="T355" s="1145"/>
      <c r="U355" s="1126"/>
      <c r="V355" s="1130"/>
      <c r="W355" s="1126"/>
      <c r="X355" s="1130"/>
      <c r="Y355" s="1126"/>
      <c r="Z355" s="1130"/>
      <c r="AA355" s="1126"/>
      <c r="AB355" s="1198">
        <v>1000000</v>
      </c>
      <c r="AC355" s="1126"/>
      <c r="AD355" s="1157"/>
      <c r="AE355" s="1158"/>
      <c r="AF355" s="1157"/>
      <c r="AG355" s="1158"/>
      <c r="AH355" s="1232" t="str">
        <f t="shared" si="69"/>
        <v>SUPERVISI</v>
      </c>
      <c r="AI355" s="747">
        <f t="shared" si="70"/>
        <v>13000000</v>
      </c>
      <c r="AJ355" s="747">
        <f t="shared" si="71"/>
        <v>16000000</v>
      </c>
      <c r="AK355" s="747">
        <f t="shared" si="72"/>
        <v>3000000</v>
      </c>
      <c r="AL355" s="1170"/>
      <c r="AM355" s="1170"/>
      <c r="AN355" s="1209"/>
      <c r="AO355" s="1170"/>
      <c r="AP355" s="1209"/>
      <c r="AQ355" s="1128"/>
      <c r="AR355" s="1173"/>
      <c r="AT355" s="1173"/>
      <c r="AV355" s="1173"/>
      <c r="AX355" s="1173"/>
      <c r="AY355" s="1176"/>
      <c r="AZ355" s="1173"/>
    </row>
    <row r="356" spans="1:52" s="2" customFormat="1" x14ac:dyDescent="0.25">
      <c r="A356" s="19">
        <v>336</v>
      </c>
      <c r="B356" s="59">
        <v>25</v>
      </c>
      <c r="C356" s="38">
        <v>849110153</v>
      </c>
      <c r="D356" s="39" t="s">
        <v>604</v>
      </c>
      <c r="E356" s="85" t="s">
        <v>579</v>
      </c>
      <c r="F356" s="59">
        <v>2011</v>
      </c>
      <c r="G356" s="31" t="s">
        <v>33</v>
      </c>
      <c r="H356" s="24" t="str">
        <f t="shared" si="61"/>
        <v xml:space="preserve">   </v>
      </c>
      <c r="I356" s="24">
        <f t="shared" si="62"/>
        <v>41275</v>
      </c>
      <c r="J356" s="1239"/>
      <c r="K356" s="1194"/>
      <c r="L356" s="1178">
        <v>3000000</v>
      </c>
      <c r="M356" s="1124"/>
      <c r="N356" s="1178">
        <v>3000000</v>
      </c>
      <c r="O356" s="1124"/>
      <c r="P356" s="1178">
        <v>3000000</v>
      </c>
      <c r="Q356" s="1124"/>
      <c r="R356" s="1178">
        <v>3000000</v>
      </c>
      <c r="S356" s="1126"/>
      <c r="T356" s="1145"/>
      <c r="U356" s="1126"/>
      <c r="V356" s="1130"/>
      <c r="W356" s="1126"/>
      <c r="X356" s="1130"/>
      <c r="Y356" s="1126"/>
      <c r="Z356" s="1130"/>
      <c r="AA356" s="1126"/>
      <c r="AB356" s="1198">
        <v>1000000</v>
      </c>
      <c r="AC356" s="1126"/>
      <c r="AD356" s="1157"/>
      <c r="AE356" s="1158"/>
      <c r="AF356" s="1157"/>
      <c r="AG356" s="1158"/>
      <c r="AH356" s="1232" t="str">
        <f t="shared" si="69"/>
        <v>SUPERVISI</v>
      </c>
      <c r="AI356" s="747">
        <f t="shared" si="70"/>
        <v>13000000</v>
      </c>
      <c r="AJ356" s="747">
        <f t="shared" si="71"/>
        <v>16000000</v>
      </c>
      <c r="AK356" s="747">
        <f t="shared" si="72"/>
        <v>3000000</v>
      </c>
      <c r="AL356" s="1170"/>
      <c r="AM356" s="1170"/>
      <c r="AN356" s="1209"/>
      <c r="AO356" s="1170"/>
      <c r="AP356" s="1209"/>
      <c r="AQ356" s="1128"/>
      <c r="AR356" s="1173"/>
      <c r="AT356" s="1173"/>
      <c r="AV356" s="1173"/>
      <c r="AX356" s="1173"/>
      <c r="AY356" s="1176"/>
      <c r="AZ356" s="1173"/>
    </row>
    <row r="357" spans="1:52" s="2" customFormat="1" x14ac:dyDescent="0.25">
      <c r="A357" s="86"/>
      <c r="B357" s="86"/>
      <c r="C357" s="88"/>
      <c r="D357" s="87"/>
      <c r="E357" s="89"/>
      <c r="F357" s="90" t="s">
        <v>61</v>
      </c>
      <c r="G357" s="89"/>
      <c r="H357" s="91" t="str">
        <f t="shared" si="61"/>
        <v xml:space="preserve">   </v>
      </c>
      <c r="I357" s="91" t="str">
        <f t="shared" si="62"/>
        <v xml:space="preserve">   </v>
      </c>
      <c r="J357" s="87"/>
      <c r="K357" s="1282"/>
      <c r="L357" s="87"/>
      <c r="M357" s="1282"/>
      <c r="N357" s="87"/>
      <c r="O357" s="1282"/>
      <c r="P357" s="87"/>
      <c r="Q357" s="1282"/>
      <c r="R357" s="87"/>
      <c r="S357" s="1286"/>
      <c r="T357" s="87"/>
      <c r="U357" s="1282"/>
      <c r="V357" s="87"/>
      <c r="W357" s="1282"/>
      <c r="X357" s="87"/>
      <c r="Y357" s="1282"/>
      <c r="Z357" s="87"/>
      <c r="AA357" s="1282"/>
      <c r="AB357" s="1229"/>
      <c r="AC357" s="1282"/>
      <c r="AD357" s="87"/>
      <c r="AE357" s="1230"/>
      <c r="AF357" s="87"/>
      <c r="AG357" s="1230"/>
      <c r="AH357" s="1168">
        <f t="shared" si="69"/>
        <v>0</v>
      </c>
      <c r="AI357" s="747">
        <f t="shared" si="70"/>
        <v>0</v>
      </c>
      <c r="AJ357" s="747">
        <f t="shared" si="71"/>
        <v>0</v>
      </c>
      <c r="AK357" s="747">
        <f t="shared" si="72"/>
        <v>0</v>
      </c>
      <c r="AL357" s="1170"/>
      <c r="AM357" s="1170"/>
      <c r="AN357" s="1209"/>
      <c r="AO357" s="1170"/>
      <c r="AP357" s="1209"/>
      <c r="AQ357" s="1128"/>
      <c r="AR357" s="1173"/>
      <c r="AT357" s="1173"/>
      <c r="AV357" s="1173"/>
      <c r="AX357" s="1173"/>
      <c r="AY357" s="1176"/>
      <c r="AZ357" s="1173"/>
    </row>
    <row r="358" spans="1:52" s="2" customFormat="1" x14ac:dyDescent="0.25">
      <c r="A358" s="86"/>
      <c r="B358" s="92" t="s">
        <v>605</v>
      </c>
      <c r="C358" s="38"/>
      <c r="D358" s="92"/>
      <c r="E358" s="28"/>
      <c r="F358" s="57" t="s">
        <v>61</v>
      </c>
      <c r="G358" s="28"/>
      <c r="H358" s="58" t="str">
        <f t="shared" si="61"/>
        <v xml:space="preserve">   </v>
      </c>
      <c r="I358" s="58" t="str">
        <f t="shared" si="62"/>
        <v xml:space="preserve">   </v>
      </c>
      <c r="J358" s="1283">
        <v>250000</v>
      </c>
      <c r="K358" s="1126"/>
      <c r="L358" s="1283">
        <v>3000000</v>
      </c>
      <c r="M358" s="1126"/>
      <c r="N358" s="1130"/>
      <c r="O358" s="1126"/>
      <c r="P358" s="1130"/>
      <c r="Q358" s="1126"/>
      <c r="R358" s="1130"/>
      <c r="S358" s="1126"/>
      <c r="T358" s="1145"/>
      <c r="U358" s="1126"/>
      <c r="V358" s="1260"/>
      <c r="W358" s="1196"/>
      <c r="X358" s="1260"/>
      <c r="Y358" s="1196"/>
      <c r="Z358" s="1260"/>
      <c r="AA358" s="1196"/>
      <c r="AB358" s="1294">
        <v>1000000</v>
      </c>
      <c r="AC358" s="1196"/>
      <c r="AD358" s="1157"/>
      <c r="AE358" s="1158"/>
      <c r="AF358" s="1157"/>
      <c r="AG358" s="1158"/>
      <c r="AH358" s="1232">
        <f t="shared" si="69"/>
        <v>0</v>
      </c>
      <c r="AI358" s="747"/>
      <c r="AJ358" s="747"/>
      <c r="AK358" s="747"/>
      <c r="AL358" s="1170"/>
      <c r="AM358" s="1170"/>
      <c r="AN358" s="1209"/>
      <c r="AO358" s="1170"/>
      <c r="AP358" s="1209"/>
      <c r="AQ358" s="1128"/>
      <c r="AR358" s="1173"/>
      <c r="AT358" s="1173"/>
      <c r="AV358" s="1173"/>
      <c r="AX358" s="1173"/>
      <c r="AY358" s="1176"/>
      <c r="AZ358" s="1173"/>
    </row>
    <row r="359" spans="1:52" s="2" customFormat="1" x14ac:dyDescent="0.25">
      <c r="A359" s="19">
        <v>337</v>
      </c>
      <c r="B359" s="59">
        <v>1</v>
      </c>
      <c r="C359" s="40">
        <v>849110199</v>
      </c>
      <c r="D359" s="39" t="s">
        <v>606</v>
      </c>
      <c r="E359" s="23" t="s">
        <v>32</v>
      </c>
      <c r="F359" s="59">
        <v>2011</v>
      </c>
      <c r="G359" s="31" t="s">
        <v>33</v>
      </c>
      <c r="H359" s="24" t="str">
        <f t="shared" si="61"/>
        <v xml:space="preserve">   </v>
      </c>
      <c r="I359" s="24">
        <f t="shared" si="62"/>
        <v>41640</v>
      </c>
      <c r="J359" s="1178"/>
      <c r="K359" s="1126"/>
      <c r="L359" s="1178"/>
      <c r="M359" s="1124"/>
      <c r="N359" s="1178">
        <v>250000</v>
      </c>
      <c r="O359" s="1124" t="s">
        <v>317</v>
      </c>
      <c r="P359" s="1178">
        <v>3000000</v>
      </c>
      <c r="Q359" s="1124">
        <v>40976</v>
      </c>
      <c r="R359" s="1178">
        <v>3000000</v>
      </c>
      <c r="S359" s="1124" t="s">
        <v>607</v>
      </c>
      <c r="T359" s="1188">
        <v>3000000</v>
      </c>
      <c r="U359" s="1124">
        <v>41646</v>
      </c>
      <c r="V359" s="1178"/>
      <c r="W359" s="1124">
        <v>41646</v>
      </c>
      <c r="X359" s="1178">
        <v>3000000</v>
      </c>
      <c r="Y359" s="1264" t="s">
        <v>276</v>
      </c>
      <c r="Z359" s="1260"/>
      <c r="AA359" s="1196"/>
      <c r="AB359" s="1198">
        <v>1000000</v>
      </c>
      <c r="AC359" s="1126">
        <v>41646</v>
      </c>
      <c r="AD359" s="1157"/>
      <c r="AE359" s="1158"/>
      <c r="AF359" s="1157"/>
      <c r="AG359" s="1158"/>
      <c r="AH359" s="1232" t="str">
        <f t="shared" si="69"/>
        <v>PI</v>
      </c>
      <c r="AI359" s="747">
        <f>SUM(J359,L359,N359,P359,R359,T359,V359,X359,Z359,AB359,AD359,AF359)</f>
        <v>13250000</v>
      </c>
      <c r="AJ359" s="747">
        <f t="shared" ref="AJ359:AJ377" si="73">(COUNT(L359,J359,P359,R359,T359,V359,X359,Z359,AD359,AF359)*$L$358)+($J$358+$AB$358)</f>
        <v>13250000</v>
      </c>
      <c r="AK359" s="747">
        <f t="shared" ref="AK359:AK377" si="74">AJ359-AI359</f>
        <v>0</v>
      </c>
      <c r="AL359" s="1170"/>
      <c r="AM359" s="1170"/>
      <c r="AN359" s="1209"/>
      <c r="AO359" s="1170"/>
      <c r="AP359" s="1209"/>
      <c r="AQ359" s="1128"/>
      <c r="AR359" s="1173"/>
      <c r="AT359" s="1173"/>
      <c r="AV359" s="1173"/>
      <c r="AX359" s="1173"/>
      <c r="AY359" s="1176"/>
      <c r="AZ359" s="1173"/>
    </row>
    <row r="360" spans="1:52" s="2" customFormat="1" x14ac:dyDescent="0.25">
      <c r="A360" s="19">
        <v>338</v>
      </c>
      <c r="B360" s="59">
        <v>2</v>
      </c>
      <c r="C360" s="40">
        <v>849110157</v>
      </c>
      <c r="D360" s="39" t="s">
        <v>608</v>
      </c>
      <c r="E360" s="23" t="s">
        <v>32</v>
      </c>
      <c r="F360" s="59">
        <v>2011</v>
      </c>
      <c r="G360" s="31" t="s">
        <v>33</v>
      </c>
      <c r="H360" s="24" t="str">
        <f t="shared" si="61"/>
        <v xml:space="preserve">   </v>
      </c>
      <c r="I360" s="24">
        <f t="shared" si="62"/>
        <v>41275</v>
      </c>
      <c r="J360" s="1178"/>
      <c r="K360" s="1126"/>
      <c r="L360" s="1178"/>
      <c r="M360" s="1124"/>
      <c r="N360" s="1178">
        <v>250000</v>
      </c>
      <c r="O360" s="1124" t="s">
        <v>351</v>
      </c>
      <c r="P360" s="1178">
        <v>3000000</v>
      </c>
      <c r="Q360" s="1124" t="s">
        <v>514</v>
      </c>
      <c r="R360" s="1178">
        <v>3000000</v>
      </c>
      <c r="S360" s="1124" t="s">
        <v>609</v>
      </c>
      <c r="T360" s="1188">
        <v>3000000</v>
      </c>
      <c r="U360" s="1124">
        <v>42011</v>
      </c>
      <c r="V360" s="1178"/>
      <c r="W360" s="1124">
        <v>42011</v>
      </c>
      <c r="X360" s="1178">
        <v>3000000</v>
      </c>
      <c r="Y360" s="1264" t="s">
        <v>276</v>
      </c>
      <c r="Z360" s="1259" t="s">
        <v>276</v>
      </c>
      <c r="AA360" s="1196"/>
      <c r="AB360" s="1198"/>
      <c r="AC360" s="1126"/>
      <c r="AD360" s="1157"/>
      <c r="AE360" s="1158"/>
      <c r="AF360" s="1157"/>
      <c r="AG360" s="1158"/>
      <c r="AH360" s="1232" t="str">
        <f t="shared" si="69"/>
        <v>PI</v>
      </c>
      <c r="AI360" s="747">
        <f>SUM(J360,L360,N360,P360,R360,T360,V360,X360,Z360,AB360,AD360,AF360)</f>
        <v>12250000</v>
      </c>
      <c r="AJ360" s="747">
        <f t="shared" si="73"/>
        <v>13250000</v>
      </c>
      <c r="AK360" s="747">
        <f t="shared" si="74"/>
        <v>1000000</v>
      </c>
      <c r="AL360" s="1170"/>
      <c r="AM360" s="1170"/>
      <c r="AN360" s="1209"/>
      <c r="AO360" s="1170"/>
      <c r="AP360" s="1209"/>
      <c r="AQ360" s="1128"/>
      <c r="AR360" s="1173"/>
      <c r="AT360" s="1173"/>
      <c r="AV360" s="1173"/>
      <c r="AX360" s="1173"/>
      <c r="AY360" s="1176"/>
      <c r="AZ360" s="1173"/>
    </row>
    <row r="361" spans="1:52" s="2" customFormat="1" x14ac:dyDescent="0.25">
      <c r="A361" s="19">
        <v>339</v>
      </c>
      <c r="B361" s="57">
        <v>3</v>
      </c>
      <c r="C361" s="38"/>
      <c r="D361" s="37" t="s">
        <v>610</v>
      </c>
      <c r="E361" s="28" t="s">
        <v>32</v>
      </c>
      <c r="F361" s="57">
        <v>2011</v>
      </c>
      <c r="G361" s="28"/>
      <c r="H361" s="58" t="str">
        <f t="shared" si="61"/>
        <v xml:space="preserve">   </v>
      </c>
      <c r="I361" s="58" t="str">
        <f t="shared" si="62"/>
        <v xml:space="preserve">   </v>
      </c>
      <c r="J361" s="1130"/>
      <c r="K361" s="1126"/>
      <c r="L361" s="1130"/>
      <c r="M361" s="1126"/>
      <c r="N361" s="1130">
        <v>250000</v>
      </c>
      <c r="O361" s="1126" t="s">
        <v>351</v>
      </c>
      <c r="P361" s="1130">
        <f>1500000+1500000</f>
        <v>3000000</v>
      </c>
      <c r="Q361" s="1126">
        <v>41680</v>
      </c>
      <c r="R361" s="1186" t="s">
        <v>137</v>
      </c>
      <c r="S361" s="1190" t="s">
        <v>137</v>
      </c>
      <c r="T361" s="1269"/>
      <c r="U361" s="1287"/>
      <c r="V361" s="1288"/>
      <c r="W361" s="1126"/>
      <c r="X361" s="1130"/>
      <c r="Y361" s="1245"/>
      <c r="Z361" s="1260"/>
      <c r="AA361" s="1196"/>
      <c r="AB361" s="1198"/>
      <c r="AC361" s="1126"/>
      <c r="AD361" s="1157"/>
      <c r="AE361" s="1158"/>
      <c r="AF361" s="1157"/>
      <c r="AG361" s="1158"/>
      <c r="AH361" s="1232" t="str">
        <f t="shared" si="69"/>
        <v>PI</v>
      </c>
      <c r="AI361" s="747" t="e">
        <f>SUM(J361,L361,N361,P361,R361,T361,V361,X361,Z361,AB361,AD361,AF361,#REF!)</f>
        <v>#REF!</v>
      </c>
      <c r="AJ361" s="747">
        <f t="shared" si="73"/>
        <v>4250000</v>
      </c>
      <c r="AK361" s="747" t="e">
        <f t="shared" si="74"/>
        <v>#REF!</v>
      </c>
      <c r="AL361" s="1170"/>
      <c r="AM361" s="1170"/>
      <c r="AN361" s="1209"/>
      <c r="AO361" s="1170"/>
      <c r="AP361" s="1209"/>
      <c r="AQ361" s="1128"/>
      <c r="AR361" s="1173"/>
      <c r="AT361" s="1173"/>
      <c r="AV361" s="1173"/>
      <c r="AX361" s="1173"/>
      <c r="AY361" s="1176"/>
      <c r="AZ361" s="1173"/>
    </row>
    <row r="362" spans="1:52" s="2" customFormat="1" x14ac:dyDescent="0.25">
      <c r="A362" s="19">
        <v>340</v>
      </c>
      <c r="B362" s="57">
        <v>4</v>
      </c>
      <c r="C362" s="38"/>
      <c r="D362" s="37" t="s">
        <v>611</v>
      </c>
      <c r="E362" s="28" t="s">
        <v>32</v>
      </c>
      <c r="F362" s="57">
        <v>2011</v>
      </c>
      <c r="G362" s="28"/>
      <c r="H362" s="58" t="str">
        <f t="shared" si="61"/>
        <v xml:space="preserve">   </v>
      </c>
      <c r="I362" s="58" t="str">
        <f t="shared" si="62"/>
        <v xml:space="preserve">   </v>
      </c>
      <c r="J362" s="1130"/>
      <c r="K362" s="1126"/>
      <c r="L362" s="1130"/>
      <c r="M362" s="1126"/>
      <c r="N362" s="1130">
        <v>250000</v>
      </c>
      <c r="O362" s="1126" t="s">
        <v>351</v>
      </c>
      <c r="P362" s="1130">
        <f>1500000+1500000</f>
        <v>3000000</v>
      </c>
      <c r="Q362" s="1126">
        <v>41680</v>
      </c>
      <c r="R362" s="1186" t="s">
        <v>137</v>
      </c>
      <c r="S362" s="1190" t="s">
        <v>137</v>
      </c>
      <c r="T362" s="1269"/>
      <c r="U362" s="1287"/>
      <c r="V362" s="1288"/>
      <c r="W362" s="1126"/>
      <c r="X362" s="1130"/>
      <c r="Y362" s="1245"/>
      <c r="Z362" s="1260"/>
      <c r="AA362" s="1196"/>
      <c r="AB362" s="1198"/>
      <c r="AC362" s="1126"/>
      <c r="AD362" s="1157"/>
      <c r="AE362" s="1158"/>
      <c r="AF362" s="1157"/>
      <c r="AG362" s="1158"/>
      <c r="AH362" s="1232" t="str">
        <f t="shared" si="69"/>
        <v>PI</v>
      </c>
      <c r="AI362" s="747" t="e">
        <f>SUM(J362,L362,N362,P362,R362,T362,V362,X362,Z362,AB362,AD362,AF362,#REF!)</f>
        <v>#REF!</v>
      </c>
      <c r="AJ362" s="747">
        <f t="shared" si="73"/>
        <v>4250000</v>
      </c>
      <c r="AK362" s="747" t="e">
        <f t="shared" si="74"/>
        <v>#REF!</v>
      </c>
      <c r="AL362" s="1170"/>
      <c r="AM362" s="1170"/>
      <c r="AN362" s="1209"/>
      <c r="AO362" s="1170"/>
      <c r="AP362" s="1209"/>
      <c r="AQ362" s="1128"/>
      <c r="AR362" s="1173"/>
      <c r="AT362" s="1173"/>
      <c r="AV362" s="1173"/>
      <c r="AX362" s="1173"/>
      <c r="AY362" s="1176"/>
      <c r="AZ362" s="1173"/>
    </row>
    <row r="363" spans="1:52" s="2" customFormat="1" x14ac:dyDescent="0.25">
      <c r="A363" s="19">
        <v>341</v>
      </c>
      <c r="B363" s="57">
        <v>5</v>
      </c>
      <c r="C363" s="38"/>
      <c r="D363" s="37" t="s">
        <v>612</v>
      </c>
      <c r="E363" s="28" t="s">
        <v>32</v>
      </c>
      <c r="F363" s="57">
        <v>2011</v>
      </c>
      <c r="G363" s="28"/>
      <c r="H363" s="58" t="str">
        <f t="shared" si="61"/>
        <v xml:space="preserve">   </v>
      </c>
      <c r="I363" s="58" t="str">
        <f t="shared" si="62"/>
        <v xml:space="preserve">   </v>
      </c>
      <c r="J363" s="1130"/>
      <c r="K363" s="1126"/>
      <c r="L363" s="1130"/>
      <c r="M363" s="1126"/>
      <c r="N363" s="1130">
        <v>250000</v>
      </c>
      <c r="O363" s="1126">
        <v>40961</v>
      </c>
      <c r="P363" s="1130">
        <v>2000000</v>
      </c>
      <c r="Q363" s="1126">
        <v>41124</v>
      </c>
      <c r="R363" s="1130"/>
      <c r="S363" s="1126"/>
      <c r="T363" s="1145"/>
      <c r="U363" s="1126"/>
      <c r="V363" s="1130"/>
      <c r="W363" s="1126"/>
      <c r="X363" s="1130"/>
      <c r="Y363" s="1245"/>
      <c r="Z363" s="1260"/>
      <c r="AA363" s="1196"/>
      <c r="AB363" s="1198"/>
      <c r="AC363" s="1126"/>
      <c r="AD363" s="1157"/>
      <c r="AE363" s="1158"/>
      <c r="AF363" s="1157"/>
      <c r="AG363" s="1158"/>
      <c r="AH363" s="1232" t="str">
        <f t="shared" si="69"/>
        <v>PI</v>
      </c>
      <c r="AI363" s="747">
        <f>SUM(J363,L363,N363,P363,R363,T363,V363,X363,Z363,AB363,AD363,AF363)</f>
        <v>2250000</v>
      </c>
      <c r="AJ363" s="747">
        <f t="shared" si="73"/>
        <v>4250000</v>
      </c>
      <c r="AK363" s="747">
        <f t="shared" si="74"/>
        <v>2000000</v>
      </c>
      <c r="AL363" s="1170"/>
      <c r="AM363" s="1170"/>
      <c r="AN363" s="1209"/>
      <c r="AO363" s="1170"/>
      <c r="AP363" s="1209"/>
      <c r="AQ363" s="1128"/>
      <c r="AR363" s="1173"/>
      <c r="AT363" s="1173"/>
      <c r="AV363" s="1173"/>
      <c r="AX363" s="1173"/>
      <c r="AY363" s="1176"/>
      <c r="AZ363" s="1173"/>
    </row>
    <row r="364" spans="1:52" s="2" customFormat="1" x14ac:dyDescent="0.25">
      <c r="A364" s="19">
        <v>342</v>
      </c>
      <c r="B364" s="57">
        <v>6</v>
      </c>
      <c r="C364" s="38"/>
      <c r="D364" s="37" t="s">
        <v>613</v>
      </c>
      <c r="E364" s="28" t="s">
        <v>32</v>
      </c>
      <c r="F364" s="57">
        <v>2011</v>
      </c>
      <c r="G364" s="28"/>
      <c r="H364" s="58" t="str">
        <f t="shared" ref="H364:H427" si="75">IFERROR(VLOOKUP(C364,Tlus,3,FALSE),"   ")</f>
        <v xml:space="preserve">   </v>
      </c>
      <c r="I364" s="58" t="str">
        <f t="shared" ref="I364:I427" si="76">IFERROR(VLOOKUP(C364,Wis,4,FALSE),"   ")</f>
        <v xml:space="preserve">   </v>
      </c>
      <c r="J364" s="1130"/>
      <c r="K364" s="1126"/>
      <c r="L364" s="1130"/>
      <c r="M364" s="1126"/>
      <c r="N364" s="1130">
        <v>250000</v>
      </c>
      <c r="O364" s="1126">
        <v>40954</v>
      </c>
      <c r="P364" s="1130"/>
      <c r="Q364" s="1126"/>
      <c r="R364" s="1130"/>
      <c r="S364" s="1126"/>
      <c r="T364" s="1145"/>
      <c r="U364" s="1126"/>
      <c r="V364" s="1130"/>
      <c r="W364" s="1126"/>
      <c r="X364" s="1130"/>
      <c r="Y364" s="1245"/>
      <c r="Z364" s="1260"/>
      <c r="AA364" s="1196"/>
      <c r="AB364" s="1198">
        <v>1000000</v>
      </c>
      <c r="AC364" s="2295" t="s">
        <v>535</v>
      </c>
      <c r="AD364" s="1157"/>
      <c r="AE364" s="1158"/>
      <c r="AF364" s="1157"/>
      <c r="AG364" s="1158"/>
      <c r="AH364" s="1232" t="str">
        <f t="shared" si="69"/>
        <v>PI</v>
      </c>
      <c r="AI364" s="747">
        <f>SUM(J364,L364,N364,P364,R364,T364,V364,X364,Z364,AB364,AD364,AF364)</f>
        <v>1250000</v>
      </c>
      <c r="AJ364" s="747">
        <f t="shared" si="73"/>
        <v>1250000</v>
      </c>
      <c r="AK364" s="747">
        <f t="shared" si="74"/>
        <v>0</v>
      </c>
      <c r="AL364" s="1170"/>
      <c r="AM364" s="1170"/>
      <c r="AN364" s="1209"/>
      <c r="AO364" s="1170"/>
      <c r="AP364" s="1209"/>
      <c r="AQ364" s="1128"/>
      <c r="AR364" s="1173"/>
      <c r="AT364" s="1173"/>
      <c r="AV364" s="1173"/>
      <c r="AX364" s="1173"/>
      <c r="AY364" s="1176"/>
      <c r="AZ364" s="1173"/>
    </row>
    <row r="365" spans="1:52" s="2" customFormat="1" x14ac:dyDescent="0.25">
      <c r="A365" s="19">
        <v>343</v>
      </c>
      <c r="B365" s="59">
        <v>7</v>
      </c>
      <c r="C365" s="93">
        <v>849110161</v>
      </c>
      <c r="D365" s="39" t="s">
        <v>614</v>
      </c>
      <c r="E365" s="23" t="s">
        <v>32</v>
      </c>
      <c r="F365" s="59">
        <v>2011</v>
      </c>
      <c r="G365" s="31" t="s">
        <v>33</v>
      </c>
      <c r="H365" s="24" t="str">
        <f t="shared" si="75"/>
        <v xml:space="preserve">   </v>
      </c>
      <c r="I365" s="24">
        <f t="shared" si="76"/>
        <v>41275</v>
      </c>
      <c r="J365" s="1130"/>
      <c r="K365" s="1126"/>
      <c r="L365" s="1178"/>
      <c r="M365" s="1124"/>
      <c r="N365" s="1178">
        <v>250000</v>
      </c>
      <c r="O365" s="1124">
        <v>41154</v>
      </c>
      <c r="P365" s="1178">
        <v>3000000</v>
      </c>
      <c r="Q365" s="1124">
        <v>41612</v>
      </c>
      <c r="R365" s="1178">
        <v>3000000</v>
      </c>
      <c r="S365" s="1124">
        <v>41612</v>
      </c>
      <c r="T365" s="1145"/>
      <c r="U365" s="1126"/>
      <c r="V365" s="1130"/>
      <c r="W365" s="1126"/>
      <c r="X365" s="1130"/>
      <c r="Y365" s="1245"/>
      <c r="Z365" s="1260"/>
      <c r="AA365" s="1196"/>
      <c r="AB365" s="1198"/>
      <c r="AC365" s="1126"/>
      <c r="AD365" s="1157"/>
      <c r="AE365" s="1158"/>
      <c r="AF365" s="1157"/>
      <c r="AG365" s="1158"/>
      <c r="AH365" s="1232" t="str">
        <f t="shared" si="69"/>
        <v>PI</v>
      </c>
      <c r="AI365" s="747" t="e">
        <f>SUM(J365,L365,N365,P365,R365,T365,V365,X365,Z365,AB365,AD365,AF365,#REF!)</f>
        <v>#REF!</v>
      </c>
      <c r="AJ365" s="747">
        <f t="shared" si="73"/>
        <v>7250000</v>
      </c>
      <c r="AK365" s="747" t="e">
        <f t="shared" si="74"/>
        <v>#REF!</v>
      </c>
      <c r="AL365" s="1170"/>
      <c r="AM365" s="1170"/>
      <c r="AN365" s="1209"/>
      <c r="AO365" s="1170"/>
      <c r="AP365" s="1209"/>
      <c r="AQ365" s="1128"/>
      <c r="AR365" s="1173"/>
      <c r="AT365" s="1173"/>
      <c r="AV365" s="1173"/>
      <c r="AX365" s="1173"/>
      <c r="AY365" s="1176"/>
      <c r="AZ365" s="1173"/>
    </row>
    <row r="366" spans="1:52" s="2" customFormat="1" x14ac:dyDescent="0.25">
      <c r="A366" s="19">
        <v>344</v>
      </c>
      <c r="B366" s="57">
        <v>8</v>
      </c>
      <c r="C366" s="38"/>
      <c r="D366" s="37" t="s">
        <v>615</v>
      </c>
      <c r="E366" s="28" t="s">
        <v>32</v>
      </c>
      <c r="F366" s="57">
        <v>2011</v>
      </c>
      <c r="G366" s="28"/>
      <c r="H366" s="58" t="str">
        <f t="shared" si="75"/>
        <v xml:space="preserve">   </v>
      </c>
      <c r="I366" s="58" t="str">
        <f t="shared" si="76"/>
        <v xml:space="preserve">   </v>
      </c>
      <c r="J366" s="1130"/>
      <c r="K366" s="1126"/>
      <c r="L366" s="1130"/>
      <c r="M366" s="1126"/>
      <c r="N366" s="1130">
        <v>250000</v>
      </c>
      <c r="O366" s="1126" t="s">
        <v>365</v>
      </c>
      <c r="P366" s="1130">
        <f>1500000+1500000</f>
        <v>3000000</v>
      </c>
      <c r="Q366" s="1126">
        <v>41615</v>
      </c>
      <c r="R366" s="1130">
        <v>3000000</v>
      </c>
      <c r="S366" s="1126" t="s">
        <v>481</v>
      </c>
      <c r="T366" s="1145"/>
      <c r="U366" s="1126"/>
      <c r="V366" s="1130"/>
      <c r="W366" s="1126"/>
      <c r="X366" s="1130"/>
      <c r="Y366" s="1245"/>
      <c r="Z366" s="1260"/>
      <c r="AA366" s="1196"/>
      <c r="AB366" s="1198"/>
      <c r="AC366" s="1126"/>
      <c r="AD366" s="1157"/>
      <c r="AE366" s="1158"/>
      <c r="AF366" s="1157"/>
      <c r="AG366" s="1158"/>
      <c r="AH366" s="1232" t="str">
        <f t="shared" si="69"/>
        <v>PI</v>
      </c>
      <c r="AI366" s="747" t="e">
        <f>SUM(J366,L366,N366,P366,R366,T366,V366,X366,Z366,AB366,AD366,AF366,#REF!)</f>
        <v>#REF!</v>
      </c>
      <c r="AJ366" s="747">
        <f t="shared" si="73"/>
        <v>7250000</v>
      </c>
      <c r="AK366" s="747" t="e">
        <f t="shared" si="74"/>
        <v>#REF!</v>
      </c>
      <c r="AL366" s="1170"/>
      <c r="AM366" s="1170"/>
      <c r="AN366" s="1209"/>
      <c r="AO366" s="1170"/>
      <c r="AP366" s="1209"/>
      <c r="AQ366" s="1128"/>
      <c r="AR366" s="1173"/>
      <c r="AT366" s="1173"/>
      <c r="AV366" s="1173"/>
      <c r="AX366" s="1173"/>
      <c r="AY366" s="1176"/>
      <c r="AZ366" s="1173"/>
    </row>
    <row r="367" spans="1:52" s="2" customFormat="1" x14ac:dyDescent="0.25">
      <c r="A367" s="19">
        <v>345</v>
      </c>
      <c r="B367" s="57">
        <v>9</v>
      </c>
      <c r="C367" s="38"/>
      <c r="D367" s="37" t="s">
        <v>616</v>
      </c>
      <c r="E367" s="28" t="s">
        <v>32</v>
      </c>
      <c r="F367" s="57">
        <v>2011</v>
      </c>
      <c r="G367" s="28"/>
      <c r="H367" s="58" t="str">
        <f t="shared" si="75"/>
        <v xml:space="preserve">   </v>
      </c>
      <c r="I367" s="58" t="str">
        <f t="shared" si="76"/>
        <v xml:space="preserve">   </v>
      </c>
      <c r="J367" s="1130"/>
      <c r="K367" s="1126"/>
      <c r="L367" s="1130"/>
      <c r="M367" s="1126"/>
      <c r="N367" s="1130">
        <v>250000</v>
      </c>
      <c r="O367" s="1126" t="s">
        <v>98</v>
      </c>
      <c r="P367" s="1130">
        <v>3000000</v>
      </c>
      <c r="Q367" s="1126" t="s">
        <v>514</v>
      </c>
      <c r="R367" s="1130">
        <f>1500000+1500000</f>
        <v>3000000</v>
      </c>
      <c r="S367" s="1126" t="s">
        <v>514</v>
      </c>
      <c r="T367" s="1145"/>
      <c r="U367" s="1126"/>
      <c r="V367" s="1130"/>
      <c r="W367" s="1126"/>
      <c r="X367" s="1130"/>
      <c r="Y367" s="1245"/>
      <c r="Z367" s="1260"/>
      <c r="AA367" s="1196"/>
      <c r="AB367" s="1198"/>
      <c r="AC367" s="1126"/>
      <c r="AD367" s="1157"/>
      <c r="AE367" s="1158"/>
      <c r="AF367" s="1157"/>
      <c r="AG367" s="1158"/>
      <c r="AH367" s="1232" t="str">
        <f t="shared" si="69"/>
        <v>PI</v>
      </c>
      <c r="AI367" s="747" t="e">
        <f>SUM(J367,L367,N367,P367,R367,T367,V367,X367,Z367,AB367,AD367,AF367,#REF!)</f>
        <v>#REF!</v>
      </c>
      <c r="AJ367" s="747">
        <f t="shared" si="73"/>
        <v>7250000</v>
      </c>
      <c r="AK367" s="747" t="e">
        <f t="shared" si="74"/>
        <v>#REF!</v>
      </c>
      <c r="AL367" s="1170"/>
      <c r="AM367" s="1170"/>
      <c r="AN367" s="1209"/>
      <c r="AO367" s="1170"/>
      <c r="AP367" s="1209"/>
      <c r="AQ367" s="1128"/>
      <c r="AR367" s="1173"/>
      <c r="AT367" s="1173"/>
      <c r="AV367" s="1173"/>
      <c r="AX367" s="1173"/>
      <c r="AY367" s="1176"/>
      <c r="AZ367" s="1173"/>
    </row>
    <row r="368" spans="1:52" s="2" customFormat="1" x14ac:dyDescent="0.25">
      <c r="A368" s="19">
        <v>346</v>
      </c>
      <c r="B368" s="57">
        <v>10</v>
      </c>
      <c r="C368" s="38"/>
      <c r="D368" s="37" t="s">
        <v>617</v>
      </c>
      <c r="E368" s="28" t="s">
        <v>32</v>
      </c>
      <c r="F368" s="57">
        <v>2011</v>
      </c>
      <c r="G368" s="28"/>
      <c r="H368" s="58" t="str">
        <f t="shared" si="75"/>
        <v xml:space="preserve">   </v>
      </c>
      <c r="I368" s="58" t="str">
        <f t="shared" si="76"/>
        <v xml:space="preserve">   </v>
      </c>
      <c r="J368" s="1130"/>
      <c r="K368" s="1126"/>
      <c r="L368" s="1130"/>
      <c r="M368" s="1126"/>
      <c r="N368" s="1130">
        <v>250000</v>
      </c>
      <c r="O368" s="1126" t="s">
        <v>125</v>
      </c>
      <c r="P368" s="1130">
        <f>1500000+1500000</f>
        <v>3000000</v>
      </c>
      <c r="Q368" s="1126">
        <v>41914</v>
      </c>
      <c r="R368" s="1186" t="s">
        <v>137</v>
      </c>
      <c r="S368" s="1190" t="s">
        <v>137</v>
      </c>
      <c r="T368" s="1269"/>
      <c r="U368" s="1287"/>
      <c r="V368" s="1288"/>
      <c r="W368" s="1126">
        <v>41914</v>
      </c>
      <c r="X368" s="1130">
        <v>3000000</v>
      </c>
      <c r="Y368" s="1245"/>
      <c r="Z368" s="1260"/>
      <c r="AA368" s="1196"/>
      <c r="AB368" s="1198"/>
      <c r="AC368" s="1126"/>
      <c r="AD368" s="1157"/>
      <c r="AE368" s="1158"/>
      <c r="AF368" s="1157"/>
      <c r="AG368" s="1158"/>
      <c r="AH368" s="1232" t="str">
        <f t="shared" si="69"/>
        <v>PI</v>
      </c>
      <c r="AI368" s="747" t="e">
        <f>SUM(J368,L368,N368,P368,R368,T368,V368,X368,Z368,AB368,AD368,AF368,#REF!)</f>
        <v>#REF!</v>
      </c>
      <c r="AJ368" s="747">
        <f t="shared" si="73"/>
        <v>7250000</v>
      </c>
      <c r="AK368" s="747" t="e">
        <f t="shared" si="74"/>
        <v>#REF!</v>
      </c>
      <c r="AL368" s="1170"/>
      <c r="AM368" s="1170"/>
      <c r="AN368" s="1209"/>
      <c r="AO368" s="1170"/>
      <c r="AP368" s="1209"/>
      <c r="AQ368" s="1128"/>
      <c r="AR368" s="1173"/>
      <c r="AT368" s="1173"/>
      <c r="AV368" s="1173"/>
      <c r="AX368" s="1173"/>
      <c r="AY368" s="1176"/>
      <c r="AZ368" s="1173"/>
    </row>
    <row r="369" spans="1:52" s="2" customFormat="1" x14ac:dyDescent="0.25">
      <c r="A369" s="19">
        <v>347</v>
      </c>
      <c r="B369" s="59">
        <v>11</v>
      </c>
      <c r="C369" s="40">
        <v>849110213</v>
      </c>
      <c r="D369" s="39" t="s">
        <v>618</v>
      </c>
      <c r="E369" s="23" t="s">
        <v>32</v>
      </c>
      <c r="F369" s="59">
        <v>2011</v>
      </c>
      <c r="G369" s="23" t="s">
        <v>33</v>
      </c>
      <c r="H369" s="60" t="str">
        <f t="shared" si="75"/>
        <v xml:space="preserve">   </v>
      </c>
      <c r="I369" s="60">
        <f t="shared" si="76"/>
        <v>42329</v>
      </c>
      <c r="J369" s="1178"/>
      <c r="K369" s="1126"/>
      <c r="L369" s="1178"/>
      <c r="M369" s="1124"/>
      <c r="N369" s="1178">
        <v>250000</v>
      </c>
      <c r="O369" s="1124" t="s">
        <v>93</v>
      </c>
      <c r="P369" s="1178">
        <v>3000000</v>
      </c>
      <c r="Q369" s="1124"/>
      <c r="R369" s="1178"/>
      <c r="S369" s="1124"/>
      <c r="T369" s="1188"/>
      <c r="U369" s="1124"/>
      <c r="V369" s="1178"/>
      <c r="W369" s="1126"/>
      <c r="X369" s="1130"/>
      <c r="Y369" s="1245"/>
      <c r="Z369" s="1260"/>
      <c r="AA369" s="1196"/>
      <c r="AB369" s="1198"/>
      <c r="AC369" s="2295" t="s">
        <v>69</v>
      </c>
      <c r="AD369" s="1157"/>
      <c r="AE369" s="1158"/>
      <c r="AF369" s="1157"/>
      <c r="AG369" s="1158"/>
      <c r="AH369" s="1232" t="str">
        <f t="shared" si="69"/>
        <v>PI</v>
      </c>
      <c r="AI369" s="747">
        <f>SUM(J369,L369,N369,P369,R369,T369,V369,X369,Z369,AB369,AD369,AF369)</f>
        <v>3250000</v>
      </c>
      <c r="AJ369" s="747">
        <f t="shared" si="73"/>
        <v>4250000</v>
      </c>
      <c r="AK369" s="747">
        <f t="shared" si="74"/>
        <v>1000000</v>
      </c>
      <c r="AL369" s="1170"/>
      <c r="AM369" s="1170"/>
      <c r="AN369" s="1209"/>
      <c r="AO369" s="1170"/>
      <c r="AP369" s="1209"/>
      <c r="AQ369" s="1128"/>
      <c r="AR369" s="1173"/>
      <c r="AT369" s="1173"/>
      <c r="AV369" s="1173"/>
      <c r="AX369" s="1173"/>
      <c r="AY369" s="1176"/>
      <c r="AZ369" s="1173"/>
    </row>
    <row r="370" spans="1:52" s="2" customFormat="1" x14ac:dyDescent="0.25">
      <c r="A370" s="19">
        <v>348</v>
      </c>
      <c r="B370" s="59">
        <v>12</v>
      </c>
      <c r="C370" s="40">
        <v>849110191</v>
      </c>
      <c r="D370" s="39" t="s">
        <v>619</v>
      </c>
      <c r="E370" s="23" t="s">
        <v>32</v>
      </c>
      <c r="F370" s="59">
        <v>2011</v>
      </c>
      <c r="G370" s="31" t="s">
        <v>33</v>
      </c>
      <c r="H370" s="24" t="str">
        <f t="shared" si="75"/>
        <v xml:space="preserve">   </v>
      </c>
      <c r="I370" s="24">
        <f t="shared" si="76"/>
        <v>41640</v>
      </c>
      <c r="J370" s="1178"/>
      <c r="K370" s="1126"/>
      <c r="L370" s="1178"/>
      <c r="M370" s="1124"/>
      <c r="N370" s="1178">
        <v>250000</v>
      </c>
      <c r="O370" s="1124">
        <v>41123</v>
      </c>
      <c r="P370" s="1178">
        <v>3000000</v>
      </c>
      <c r="Q370" s="1124">
        <v>41490</v>
      </c>
      <c r="R370" s="1178">
        <v>3000000</v>
      </c>
      <c r="S370" s="1124" t="s">
        <v>514</v>
      </c>
      <c r="T370" s="1188">
        <v>3000000</v>
      </c>
      <c r="U370" s="1124" t="s">
        <v>555</v>
      </c>
      <c r="V370" s="1178"/>
      <c r="W370" s="1263" t="s">
        <v>276</v>
      </c>
      <c r="X370" s="1130"/>
      <c r="Y370" s="1245"/>
      <c r="Z370" s="1260"/>
      <c r="AA370" s="1196"/>
      <c r="AB370" s="1198">
        <v>1000000</v>
      </c>
      <c r="AC370" s="1126" t="s">
        <v>555</v>
      </c>
      <c r="AD370" s="1157"/>
      <c r="AE370" s="1158"/>
      <c r="AF370" s="1157"/>
      <c r="AG370" s="1158"/>
      <c r="AH370" s="1232" t="str">
        <f t="shared" si="69"/>
        <v>PI</v>
      </c>
      <c r="AI370" s="747" t="e">
        <f>SUM(J370,L370,N370,P370,R370,T370,V370,X370,Z370,AB370,AD370,AF370,#REF!)</f>
        <v>#REF!</v>
      </c>
      <c r="AJ370" s="747">
        <f t="shared" si="73"/>
        <v>10250000</v>
      </c>
      <c r="AK370" s="747" t="e">
        <f t="shared" si="74"/>
        <v>#REF!</v>
      </c>
      <c r="AL370" s="1170"/>
      <c r="AM370" s="1170"/>
      <c r="AN370" s="1209"/>
      <c r="AO370" s="1170"/>
      <c r="AP370" s="1209"/>
      <c r="AQ370" s="1128"/>
      <c r="AR370" s="1173"/>
      <c r="AT370" s="1173"/>
      <c r="AV370" s="1173"/>
      <c r="AX370" s="1173"/>
      <c r="AY370" s="1176"/>
      <c r="AZ370" s="1173"/>
    </row>
    <row r="371" spans="1:52" s="2" customFormat="1" x14ac:dyDescent="0.25">
      <c r="A371" s="19">
        <v>349</v>
      </c>
      <c r="B371" s="59">
        <v>13</v>
      </c>
      <c r="C371" s="40">
        <v>849110197</v>
      </c>
      <c r="D371" s="39" t="s">
        <v>620</v>
      </c>
      <c r="E371" s="23" t="s">
        <v>32</v>
      </c>
      <c r="F371" s="59">
        <v>2011</v>
      </c>
      <c r="G371" s="31" t="s">
        <v>33</v>
      </c>
      <c r="H371" s="60" t="str">
        <f t="shared" si="75"/>
        <v xml:space="preserve">   </v>
      </c>
      <c r="I371" s="60">
        <f t="shared" si="76"/>
        <v>41275</v>
      </c>
      <c r="J371" s="1249"/>
      <c r="K371" s="1126"/>
      <c r="L371" s="1178"/>
      <c r="M371" s="1124"/>
      <c r="N371" s="1178">
        <v>250000</v>
      </c>
      <c r="O371" s="1124" t="s">
        <v>351</v>
      </c>
      <c r="P371" s="1178">
        <v>3000000</v>
      </c>
      <c r="Q371" s="1124" t="s">
        <v>621</v>
      </c>
      <c r="R371" s="1178">
        <v>3000000</v>
      </c>
      <c r="S371" s="1124" t="s">
        <v>621</v>
      </c>
      <c r="T371" s="1188">
        <v>3000000</v>
      </c>
      <c r="U371" s="1124">
        <v>41314</v>
      </c>
      <c r="V371" s="1178"/>
      <c r="W371" s="1263" t="s">
        <v>276</v>
      </c>
      <c r="X371" s="1238"/>
      <c r="Y371" s="1245"/>
      <c r="Z371" s="1240"/>
      <c r="AA371" s="1196"/>
      <c r="AB371" s="1242">
        <v>1000000</v>
      </c>
      <c r="AC371" s="1126">
        <v>41314</v>
      </c>
      <c r="AD371" s="1157"/>
      <c r="AE371" s="1158"/>
      <c r="AF371" s="1157"/>
      <c r="AG371" s="1158"/>
      <c r="AH371" s="1232" t="str">
        <f t="shared" si="69"/>
        <v>PI</v>
      </c>
      <c r="AI371" s="747" t="e">
        <f>SUM(J371,L371,N371,P371,R371,T371,V371,X371,Z371,AB371,AD371,AF371,#REF!)</f>
        <v>#REF!</v>
      </c>
      <c r="AJ371" s="747">
        <f t="shared" si="73"/>
        <v>10250000</v>
      </c>
      <c r="AK371" s="747" t="e">
        <f t="shared" si="74"/>
        <v>#REF!</v>
      </c>
      <c r="AL371" s="1170"/>
      <c r="AM371" s="1170"/>
      <c r="AN371" s="1209"/>
      <c r="AO371" s="1170"/>
      <c r="AP371" s="1209"/>
      <c r="AQ371" s="1128"/>
      <c r="AR371" s="1173"/>
      <c r="AT371" s="1173"/>
      <c r="AV371" s="1173"/>
      <c r="AX371" s="1173"/>
      <c r="AY371" s="1176"/>
      <c r="AZ371" s="1173"/>
    </row>
    <row r="372" spans="1:52" s="2" customFormat="1" x14ac:dyDescent="0.25">
      <c r="A372" s="19">
        <v>350</v>
      </c>
      <c r="B372" s="59">
        <v>14</v>
      </c>
      <c r="C372" s="40">
        <v>849110193</v>
      </c>
      <c r="D372" s="39" t="s">
        <v>622</v>
      </c>
      <c r="E372" s="23" t="s">
        <v>32</v>
      </c>
      <c r="F372" s="59">
        <v>2011</v>
      </c>
      <c r="G372" s="31" t="s">
        <v>33</v>
      </c>
      <c r="H372" s="24" t="str">
        <f t="shared" si="75"/>
        <v xml:space="preserve">   </v>
      </c>
      <c r="I372" s="24">
        <f t="shared" si="76"/>
        <v>41640</v>
      </c>
      <c r="J372" s="1249"/>
      <c r="K372" s="1126"/>
      <c r="L372" s="1178"/>
      <c r="M372" s="1124"/>
      <c r="N372" s="1178">
        <v>250000</v>
      </c>
      <c r="O372" s="1124" t="s">
        <v>93</v>
      </c>
      <c r="P372" s="1178">
        <v>3000000</v>
      </c>
      <c r="Q372" s="1124" t="s">
        <v>623</v>
      </c>
      <c r="R372" s="1178">
        <f>1500000+1500000</f>
        <v>3000000</v>
      </c>
      <c r="S372" s="1124">
        <v>41516</v>
      </c>
      <c r="T372" s="1188">
        <v>3000000</v>
      </c>
      <c r="U372" s="1124" t="s">
        <v>624</v>
      </c>
      <c r="V372" s="1178"/>
      <c r="W372" s="1263" t="s">
        <v>276</v>
      </c>
      <c r="X372" s="1238"/>
      <c r="Y372" s="1245"/>
      <c r="Z372" s="1240"/>
      <c r="AA372" s="1196"/>
      <c r="AB372" s="1242">
        <v>1000000</v>
      </c>
      <c r="AC372" s="1126">
        <v>41679</v>
      </c>
      <c r="AD372" s="1157"/>
      <c r="AE372" s="1158"/>
      <c r="AF372" s="1157"/>
      <c r="AG372" s="1158"/>
      <c r="AH372" s="1232" t="str">
        <f t="shared" si="69"/>
        <v>PI</v>
      </c>
      <c r="AI372" s="747" t="e">
        <f>SUM(J372,L372,N372,P372,R372,T372,V372,X372,Z372,AB372,AD372,AF372,#REF!)</f>
        <v>#REF!</v>
      </c>
      <c r="AJ372" s="747">
        <f t="shared" si="73"/>
        <v>10250000</v>
      </c>
      <c r="AK372" s="747" t="e">
        <f t="shared" si="74"/>
        <v>#REF!</v>
      </c>
      <c r="AL372" s="1170"/>
      <c r="AM372" s="1170"/>
      <c r="AN372" s="1209"/>
      <c r="AO372" s="1170"/>
      <c r="AP372" s="1209"/>
      <c r="AQ372" s="1128"/>
      <c r="AR372" s="1173"/>
      <c r="AT372" s="1173"/>
      <c r="AV372" s="1173"/>
      <c r="AX372" s="1173"/>
      <c r="AY372" s="1176"/>
      <c r="AZ372" s="1173"/>
    </row>
    <row r="373" spans="1:52" s="2" customFormat="1" x14ac:dyDescent="0.25">
      <c r="A373" s="19">
        <v>351</v>
      </c>
      <c r="B373" s="59">
        <v>15</v>
      </c>
      <c r="C373" s="40">
        <v>849110192</v>
      </c>
      <c r="D373" s="39" t="s">
        <v>397</v>
      </c>
      <c r="E373" s="23" t="s">
        <v>32</v>
      </c>
      <c r="F373" s="59">
        <v>2011</v>
      </c>
      <c r="G373" s="31" t="s">
        <v>33</v>
      </c>
      <c r="H373" s="24" t="str">
        <f t="shared" si="75"/>
        <v xml:space="preserve">   </v>
      </c>
      <c r="I373" s="24">
        <f t="shared" si="76"/>
        <v>41640</v>
      </c>
      <c r="J373" s="1249"/>
      <c r="K373" s="1126"/>
      <c r="L373" s="1178"/>
      <c r="M373" s="1124"/>
      <c r="N373" s="1178">
        <v>250000</v>
      </c>
      <c r="O373" s="1124" t="s">
        <v>93</v>
      </c>
      <c r="P373" s="1178">
        <v>3000000</v>
      </c>
      <c r="Q373" s="1124" t="s">
        <v>623</v>
      </c>
      <c r="R373" s="1178">
        <f>2000000+1000000</f>
        <v>3000000</v>
      </c>
      <c r="S373" s="1124">
        <v>41648</v>
      </c>
      <c r="T373" s="1188">
        <v>3000000</v>
      </c>
      <c r="U373" s="1124">
        <v>41883</v>
      </c>
      <c r="V373" s="1178"/>
      <c r="W373" s="1263" t="s">
        <v>276</v>
      </c>
      <c r="X373" s="1238"/>
      <c r="Y373" s="1245"/>
      <c r="Z373" s="1240"/>
      <c r="AA373" s="1196"/>
      <c r="AB373" s="1242">
        <v>1000000</v>
      </c>
      <c r="AC373" s="1126">
        <v>41883</v>
      </c>
      <c r="AD373" s="1157"/>
      <c r="AE373" s="1158"/>
      <c r="AF373" s="1157"/>
      <c r="AG373" s="1158"/>
      <c r="AH373" s="1232" t="str">
        <f t="shared" si="69"/>
        <v>PI</v>
      </c>
      <c r="AI373" s="747" t="e">
        <f>SUM(J373,L373,N373,P373,R373,T373,V373,X373,Z373,AB373,AD373,AF373,#REF!)</f>
        <v>#REF!</v>
      </c>
      <c r="AJ373" s="747">
        <f t="shared" si="73"/>
        <v>10250000</v>
      </c>
      <c r="AK373" s="747" t="e">
        <f t="shared" si="74"/>
        <v>#REF!</v>
      </c>
      <c r="AL373" s="1170"/>
      <c r="AM373" s="1170"/>
      <c r="AN373" s="1209"/>
      <c r="AO373" s="1170"/>
      <c r="AP373" s="1209"/>
      <c r="AQ373" s="1128"/>
      <c r="AR373" s="1173"/>
      <c r="AT373" s="1173"/>
      <c r="AV373" s="1173"/>
      <c r="AX373" s="1173"/>
      <c r="AY373" s="1176"/>
      <c r="AZ373" s="1173"/>
    </row>
    <row r="374" spans="1:52" s="2" customFormat="1" x14ac:dyDescent="0.25">
      <c r="A374" s="19">
        <v>352</v>
      </c>
      <c r="B374" s="59">
        <v>16</v>
      </c>
      <c r="C374" s="40">
        <v>849110214</v>
      </c>
      <c r="D374" s="39" t="s">
        <v>625</v>
      </c>
      <c r="E374" s="23" t="s">
        <v>32</v>
      </c>
      <c r="F374" s="59">
        <v>2011</v>
      </c>
      <c r="G374" s="23" t="s">
        <v>33</v>
      </c>
      <c r="H374" s="60" t="str">
        <f t="shared" si="75"/>
        <v xml:space="preserve">   </v>
      </c>
      <c r="I374" s="60">
        <f t="shared" si="76"/>
        <v>42329</v>
      </c>
      <c r="J374" s="1178"/>
      <c r="K374" s="1126"/>
      <c r="L374" s="1178"/>
      <c r="M374" s="1252" t="s">
        <v>475</v>
      </c>
      <c r="N374" s="1178">
        <v>250000</v>
      </c>
      <c r="O374" s="1124" t="s">
        <v>351</v>
      </c>
      <c r="P374" s="1178">
        <v>3000000</v>
      </c>
      <c r="Q374" s="1124">
        <v>41516</v>
      </c>
      <c r="R374" s="1186" t="s">
        <v>137</v>
      </c>
      <c r="S374" s="1144" t="s">
        <v>137</v>
      </c>
      <c r="T374" s="1188">
        <v>3000000</v>
      </c>
      <c r="U374" s="1124">
        <v>41593</v>
      </c>
      <c r="V374" s="1178"/>
      <c r="W374" s="1124" t="s">
        <v>626</v>
      </c>
      <c r="X374" s="1178">
        <v>3000000</v>
      </c>
      <c r="Y374" s="1143" t="s">
        <v>626</v>
      </c>
      <c r="Z374" s="1178">
        <v>3000000</v>
      </c>
      <c r="AA374" s="1124">
        <v>42160</v>
      </c>
      <c r="AB374" s="1205">
        <v>1000000</v>
      </c>
      <c r="AC374" s="1124" t="s">
        <v>627</v>
      </c>
      <c r="AD374" s="1199">
        <v>3000000</v>
      </c>
      <c r="AE374" s="1295" t="s">
        <v>628</v>
      </c>
      <c r="AF374" s="1207"/>
      <c r="AG374" s="1296"/>
      <c r="AH374" s="1232" t="str">
        <f t="shared" si="69"/>
        <v>PI</v>
      </c>
      <c r="AI374" s="747" t="e">
        <f>SUM(J374,L374,N374,P374,R374,T374,V374,X374,Z374,AB374,AD374,AF374,#REF!,#REF!)</f>
        <v>#REF!</v>
      </c>
      <c r="AJ374" s="747">
        <f t="shared" si="73"/>
        <v>16250000</v>
      </c>
      <c r="AK374" s="747" t="e">
        <f t="shared" si="74"/>
        <v>#REF!</v>
      </c>
      <c r="AL374" s="1170"/>
      <c r="AM374" s="1170"/>
      <c r="AN374" s="1209"/>
      <c r="AO374" s="1170"/>
      <c r="AP374" s="1209"/>
      <c r="AQ374" s="1128"/>
      <c r="AR374" s="1173"/>
      <c r="AT374" s="1173"/>
      <c r="AV374" s="1173"/>
      <c r="AX374" s="1173"/>
      <c r="AY374" s="1176"/>
      <c r="AZ374" s="1173"/>
    </row>
    <row r="375" spans="1:52" s="2" customFormat="1" x14ac:dyDescent="0.25">
      <c r="A375" s="19">
        <v>353</v>
      </c>
      <c r="B375" s="57">
        <v>17</v>
      </c>
      <c r="C375" s="38"/>
      <c r="D375" s="37" t="s">
        <v>629</v>
      </c>
      <c r="E375" s="28" t="s">
        <v>32</v>
      </c>
      <c r="F375" s="57">
        <v>2011</v>
      </c>
      <c r="G375" s="28"/>
      <c r="H375" s="58" t="str">
        <f t="shared" si="75"/>
        <v xml:space="preserve">   </v>
      </c>
      <c r="I375" s="58" t="str">
        <f t="shared" si="76"/>
        <v xml:space="preserve">   </v>
      </c>
      <c r="J375" s="1130"/>
      <c r="K375" s="1126"/>
      <c r="L375" s="1130"/>
      <c r="M375" s="1126"/>
      <c r="N375" s="1130">
        <v>250000</v>
      </c>
      <c r="O375" s="1126" t="s">
        <v>351</v>
      </c>
      <c r="P375" s="1130">
        <f>1500000+1500000</f>
        <v>3000000</v>
      </c>
      <c r="Q375" s="1126">
        <v>41314</v>
      </c>
      <c r="R375" s="1289"/>
      <c r="S375" s="1190" t="s">
        <v>137</v>
      </c>
      <c r="T375" s="1145"/>
      <c r="U375" s="1126">
        <v>41314</v>
      </c>
      <c r="V375" s="1130"/>
      <c r="W375" s="1126"/>
      <c r="X375" s="1130"/>
      <c r="Y375" s="1245"/>
      <c r="Z375" s="1260"/>
      <c r="AA375" s="1196"/>
      <c r="AB375" s="1198"/>
      <c r="AC375" s="1126"/>
      <c r="AD375" s="1207"/>
      <c r="AE375" s="1247"/>
      <c r="AF375" s="1207"/>
      <c r="AG375" s="1296"/>
      <c r="AH375" s="1232" t="str">
        <f t="shared" si="69"/>
        <v>PI</v>
      </c>
      <c r="AI375" s="747" t="e">
        <f>SUM(J375,L375,N375,P375,R375,T375,V375,X375,Z375,AB375,AD375,AF375,#REF!)</f>
        <v>#REF!</v>
      </c>
      <c r="AJ375" s="747">
        <f t="shared" si="73"/>
        <v>4250000</v>
      </c>
      <c r="AK375" s="747" t="e">
        <f t="shared" si="74"/>
        <v>#REF!</v>
      </c>
      <c r="AL375" s="1170"/>
      <c r="AM375" s="1170"/>
      <c r="AN375" s="1209"/>
      <c r="AO375" s="1170"/>
      <c r="AP375" s="1209"/>
      <c r="AQ375" s="1128"/>
      <c r="AR375" s="1173"/>
      <c r="AT375" s="1173"/>
      <c r="AV375" s="1173"/>
      <c r="AX375" s="1173"/>
      <c r="AY375" s="1176"/>
      <c r="AZ375" s="1173"/>
    </row>
    <row r="376" spans="1:52" s="2" customFormat="1" x14ac:dyDescent="0.25">
      <c r="A376" s="19">
        <v>354</v>
      </c>
      <c r="B376" s="57">
        <v>18</v>
      </c>
      <c r="C376" s="38"/>
      <c r="D376" s="37" t="s">
        <v>630</v>
      </c>
      <c r="E376" s="28" t="s">
        <v>32</v>
      </c>
      <c r="F376" s="57">
        <v>2011</v>
      </c>
      <c r="G376" s="28"/>
      <c r="H376" s="58" t="str">
        <f t="shared" si="75"/>
        <v xml:space="preserve">   </v>
      </c>
      <c r="I376" s="58" t="str">
        <f t="shared" si="76"/>
        <v xml:space="preserve">   </v>
      </c>
      <c r="J376" s="1130"/>
      <c r="K376" s="1126"/>
      <c r="L376" s="1130"/>
      <c r="M376" s="1126"/>
      <c r="N376" s="1130">
        <v>250000</v>
      </c>
      <c r="O376" s="1126" t="s">
        <v>93</v>
      </c>
      <c r="P376" s="1130">
        <f>1500000+1500000</f>
        <v>3000000</v>
      </c>
      <c r="Q376" s="1126">
        <v>41914</v>
      </c>
      <c r="R376" s="1186" t="s">
        <v>137</v>
      </c>
      <c r="S376" s="1290">
        <v>41397</v>
      </c>
      <c r="T376" s="1145"/>
      <c r="U376" s="1126"/>
      <c r="V376" s="1130"/>
      <c r="W376" s="1126"/>
      <c r="X376" s="1130"/>
      <c r="Y376" s="1245"/>
      <c r="Z376" s="1260"/>
      <c r="AA376" s="1196"/>
      <c r="AB376" s="1198"/>
      <c r="AC376" s="1126"/>
      <c r="AD376" s="1207"/>
      <c r="AE376" s="1247"/>
      <c r="AF376" s="1207"/>
      <c r="AG376" s="1296"/>
      <c r="AH376" s="1232" t="str">
        <f t="shared" si="69"/>
        <v>PI</v>
      </c>
      <c r="AI376" s="747" t="e">
        <f>SUM(J376,L376,N376,P376,R376,T376,V376,X376,Z376,AB376,AD376,AF376,#REF!)</f>
        <v>#REF!</v>
      </c>
      <c r="AJ376" s="747">
        <f t="shared" si="73"/>
        <v>4250000</v>
      </c>
      <c r="AK376" s="747" t="e">
        <f t="shared" si="74"/>
        <v>#REF!</v>
      </c>
      <c r="AL376" s="1170"/>
      <c r="AM376" s="1170"/>
      <c r="AN376" s="1209"/>
      <c r="AO376" s="1170"/>
      <c r="AP376" s="1209"/>
      <c r="AQ376" s="1128"/>
      <c r="AR376" s="1173"/>
      <c r="AT376" s="1173"/>
      <c r="AV376" s="1173"/>
      <c r="AX376" s="1173"/>
      <c r="AY376" s="1176"/>
      <c r="AZ376" s="1173"/>
    </row>
    <row r="377" spans="1:52" s="2" customFormat="1" x14ac:dyDescent="0.25">
      <c r="A377" s="19">
        <v>355</v>
      </c>
      <c r="B377" s="57">
        <v>19</v>
      </c>
      <c r="C377" s="38"/>
      <c r="D377" s="37" t="s">
        <v>631</v>
      </c>
      <c r="E377" s="28" t="s">
        <v>32</v>
      </c>
      <c r="F377" s="57">
        <v>2011</v>
      </c>
      <c r="G377" s="28"/>
      <c r="H377" s="58" t="str">
        <f t="shared" si="75"/>
        <v xml:space="preserve">   </v>
      </c>
      <c r="I377" s="58" t="str">
        <f t="shared" si="76"/>
        <v xml:space="preserve">   </v>
      </c>
      <c r="J377" s="1130"/>
      <c r="K377" s="1126"/>
      <c r="L377" s="1130"/>
      <c r="M377" s="1126"/>
      <c r="N377" s="1130">
        <v>250000</v>
      </c>
      <c r="O377" s="1126"/>
      <c r="P377" s="1130">
        <f>1500000+1500000</f>
        <v>3000000</v>
      </c>
      <c r="Q377" s="1126">
        <v>41822</v>
      </c>
      <c r="R377" s="1291"/>
      <c r="S377" s="1190" t="s">
        <v>137</v>
      </c>
      <c r="T377" s="1145"/>
      <c r="U377" s="1126"/>
      <c r="V377" s="1130"/>
      <c r="W377" s="1126">
        <v>41822</v>
      </c>
      <c r="X377" s="1130">
        <v>3000000</v>
      </c>
      <c r="Y377" s="1245"/>
      <c r="Z377" s="1260"/>
      <c r="AA377" s="1196"/>
      <c r="AB377" s="1198"/>
      <c r="AC377" s="1126"/>
      <c r="AD377" s="1207"/>
      <c r="AE377" s="1247"/>
      <c r="AF377" s="1207"/>
      <c r="AG377" s="1296"/>
      <c r="AH377" s="1232" t="str">
        <f t="shared" si="69"/>
        <v>PI</v>
      </c>
      <c r="AI377" s="747" t="e">
        <f>SUM(J377,L377,N377,P377,R377,T377,V377,X377,Z377,AB377,AD377,AF377,#REF!)</f>
        <v>#REF!</v>
      </c>
      <c r="AJ377" s="747">
        <f t="shared" si="73"/>
        <v>7250000</v>
      </c>
      <c r="AK377" s="747" t="e">
        <f t="shared" si="74"/>
        <v>#REF!</v>
      </c>
      <c r="AL377" s="1170"/>
      <c r="AM377" s="1170"/>
      <c r="AN377" s="1209"/>
      <c r="AO377" s="1170"/>
      <c r="AP377" s="1209"/>
      <c r="AQ377" s="1128"/>
      <c r="AR377" s="1173"/>
      <c r="AT377" s="1173"/>
      <c r="AV377" s="1173"/>
      <c r="AX377" s="1173"/>
      <c r="AY377" s="1176"/>
      <c r="AZ377" s="1173"/>
    </row>
    <row r="378" spans="1:52" s="2" customFormat="1" x14ac:dyDescent="0.25">
      <c r="A378" s="19">
        <v>356</v>
      </c>
      <c r="B378" s="57">
        <v>20</v>
      </c>
      <c r="C378" s="38"/>
      <c r="D378" s="37" t="s">
        <v>632</v>
      </c>
      <c r="E378" s="28" t="s">
        <v>32</v>
      </c>
      <c r="F378" s="57">
        <v>2011</v>
      </c>
      <c r="G378" s="28"/>
      <c r="H378" s="58" t="str">
        <f t="shared" si="75"/>
        <v xml:space="preserve">   </v>
      </c>
      <c r="I378" s="58" t="str">
        <f t="shared" si="76"/>
        <v xml:space="preserve">   </v>
      </c>
      <c r="J378" s="1130"/>
      <c r="K378" s="1126"/>
      <c r="L378" s="1130"/>
      <c r="M378" s="1126"/>
      <c r="N378" s="1130">
        <v>250000</v>
      </c>
      <c r="O378" s="1126" t="s">
        <v>93</v>
      </c>
      <c r="P378" s="1130">
        <v>1500000</v>
      </c>
      <c r="Q378" s="1126">
        <v>40976</v>
      </c>
      <c r="R378" s="1130"/>
      <c r="S378" s="1126"/>
      <c r="T378" s="1145"/>
      <c r="U378" s="1126"/>
      <c r="V378" s="1130"/>
      <c r="W378" s="1126"/>
      <c r="X378" s="1130"/>
      <c r="Y378" s="1245"/>
      <c r="Z378" s="1260"/>
      <c r="AA378" s="1196"/>
      <c r="AB378" s="1198"/>
      <c r="AC378" s="1126"/>
      <c r="AD378" s="1207"/>
      <c r="AE378" s="1247"/>
      <c r="AF378" s="1207"/>
      <c r="AG378" s="1296"/>
      <c r="AH378" s="1232" t="str">
        <f t="shared" si="69"/>
        <v>PI</v>
      </c>
      <c r="AI378" s="747">
        <f>SUM(J378,L378,N378,P378,R378,T378,V378,X378,Z378,AB378,AD378,AF378)</f>
        <v>1750000</v>
      </c>
      <c r="AJ378" s="747">
        <f t="shared" ref="AJ378:AJ383" si="77">(COUNT(L378,J378,P378,R378,T378,V378,X378,Z378,AD378,AF378)*$L$358)+($J$358+$AB$358)</f>
        <v>4250000</v>
      </c>
      <c r="AK378" s="747">
        <f t="shared" ref="AK378:AK383" si="78">AJ378-AI378</f>
        <v>2500000</v>
      </c>
      <c r="AL378" s="1170"/>
      <c r="AM378" s="1170"/>
      <c r="AN378" s="1209"/>
      <c r="AO378" s="1170"/>
      <c r="AP378" s="1209"/>
      <c r="AQ378" s="1128"/>
      <c r="AR378" s="1173"/>
      <c r="AT378" s="1173"/>
      <c r="AV378" s="1173"/>
      <c r="AX378" s="1173"/>
      <c r="AY378" s="1176"/>
      <c r="AZ378" s="1173"/>
    </row>
    <row r="379" spans="1:52" s="2" customFormat="1" x14ac:dyDescent="0.25">
      <c r="A379" s="19">
        <v>357</v>
      </c>
      <c r="B379" s="20">
        <v>21</v>
      </c>
      <c r="C379" s="22">
        <v>849120062</v>
      </c>
      <c r="D379" s="21" t="s">
        <v>633</v>
      </c>
      <c r="E379" s="23" t="s">
        <v>32</v>
      </c>
      <c r="F379" s="20">
        <v>2011</v>
      </c>
      <c r="G379" s="31" t="s">
        <v>33</v>
      </c>
      <c r="H379" s="24" t="str">
        <f t="shared" si="75"/>
        <v xml:space="preserve">   </v>
      </c>
      <c r="I379" s="24">
        <f t="shared" si="76"/>
        <v>41640</v>
      </c>
      <c r="J379" s="1249"/>
      <c r="K379" s="1126"/>
      <c r="L379" s="1123"/>
      <c r="M379" s="1124"/>
      <c r="N379" s="1123">
        <v>250000</v>
      </c>
      <c r="O379" s="1124" t="s">
        <v>117</v>
      </c>
      <c r="P379" s="1123">
        <v>3000000</v>
      </c>
      <c r="Q379" s="1124" t="s">
        <v>634</v>
      </c>
      <c r="R379" s="1123">
        <v>3000000</v>
      </c>
      <c r="S379" s="1124" t="s">
        <v>634</v>
      </c>
      <c r="T379" s="1132">
        <v>3000000</v>
      </c>
      <c r="U379" s="1124" t="s">
        <v>635</v>
      </c>
      <c r="V379" s="1123"/>
      <c r="W379" s="1263" t="s">
        <v>276</v>
      </c>
      <c r="X379" s="1238"/>
      <c r="Y379" s="1245"/>
      <c r="Z379" s="1240"/>
      <c r="AA379" s="1196"/>
      <c r="AB379" s="1205">
        <v>1000000</v>
      </c>
      <c r="AC379" s="1124" t="s">
        <v>635</v>
      </c>
      <c r="AD379" s="1207"/>
      <c r="AE379" s="1247"/>
      <c r="AF379" s="1207"/>
      <c r="AG379" s="1296"/>
      <c r="AH379" s="1232" t="str">
        <f t="shared" si="69"/>
        <v>PI</v>
      </c>
      <c r="AI379" s="747">
        <f>SUM(J379,L379,N379,P379,R379,T379,V379,X379,Z379,AB379,AD379,AF379)</f>
        <v>10250000</v>
      </c>
      <c r="AJ379" s="747">
        <f t="shared" si="77"/>
        <v>10250000</v>
      </c>
      <c r="AK379" s="747">
        <f t="shared" si="78"/>
        <v>0</v>
      </c>
      <c r="AL379" s="1170"/>
      <c r="AM379" s="1170"/>
      <c r="AN379" s="1209"/>
      <c r="AO379" s="1170"/>
      <c r="AP379" s="1209"/>
      <c r="AQ379" s="1128"/>
      <c r="AR379" s="1173"/>
      <c r="AT379" s="1173"/>
      <c r="AV379" s="1173"/>
      <c r="AX379" s="1173"/>
      <c r="AY379" s="1176"/>
      <c r="AZ379" s="1173"/>
    </row>
    <row r="380" spans="1:52" s="2" customFormat="1" x14ac:dyDescent="0.25">
      <c r="A380" s="19">
        <v>358</v>
      </c>
      <c r="B380" s="57">
        <v>22</v>
      </c>
      <c r="C380" s="38"/>
      <c r="D380" s="37" t="s">
        <v>636</v>
      </c>
      <c r="E380" s="28" t="s">
        <v>32</v>
      </c>
      <c r="F380" s="57">
        <v>2011</v>
      </c>
      <c r="G380" s="28"/>
      <c r="H380" s="58" t="str">
        <f t="shared" si="75"/>
        <v xml:space="preserve">   </v>
      </c>
      <c r="I380" s="58" t="str">
        <f t="shared" si="76"/>
        <v xml:space="preserve">   </v>
      </c>
      <c r="J380" s="1130"/>
      <c r="K380" s="1126"/>
      <c r="L380" s="1130"/>
      <c r="M380" s="1126"/>
      <c r="N380" s="1130">
        <v>250000</v>
      </c>
      <c r="O380" s="1126" t="s">
        <v>93</v>
      </c>
      <c r="P380" s="1130">
        <v>3000000</v>
      </c>
      <c r="Q380" s="1126" t="s">
        <v>637</v>
      </c>
      <c r="R380" s="1130">
        <v>3000000</v>
      </c>
      <c r="S380" s="1126" t="s">
        <v>637</v>
      </c>
      <c r="T380" s="1145"/>
      <c r="U380" s="1126"/>
      <c r="V380" s="1130"/>
      <c r="W380" s="1126"/>
      <c r="X380" s="1130"/>
      <c r="Y380" s="1245"/>
      <c r="Z380" s="1260"/>
      <c r="AA380" s="1196"/>
      <c r="AB380" s="1198"/>
      <c r="AC380" s="1126"/>
      <c r="AD380" s="1207"/>
      <c r="AE380" s="1247"/>
      <c r="AF380" s="1207"/>
      <c r="AG380" s="1296"/>
      <c r="AH380" s="1232" t="str">
        <f t="shared" si="69"/>
        <v>PI</v>
      </c>
      <c r="AI380" s="747">
        <f>SUM(J380,L380,N380,P380,R380,T380,V380,X380,Z380,AB380,AD380,AF380)</f>
        <v>6250000</v>
      </c>
      <c r="AJ380" s="747">
        <f t="shared" si="77"/>
        <v>7250000</v>
      </c>
      <c r="AK380" s="747">
        <f t="shared" si="78"/>
        <v>1000000</v>
      </c>
      <c r="AL380" s="1170"/>
      <c r="AM380" s="1170"/>
      <c r="AN380" s="1209"/>
      <c r="AO380" s="1170"/>
      <c r="AP380" s="1209"/>
      <c r="AQ380" s="1128"/>
      <c r="AR380" s="1173"/>
      <c r="AT380" s="1173"/>
      <c r="AV380" s="1173"/>
      <c r="AX380" s="1173"/>
      <c r="AY380" s="1176"/>
      <c r="AZ380" s="1173"/>
    </row>
    <row r="381" spans="1:52" s="2" customFormat="1" x14ac:dyDescent="0.25">
      <c r="A381" s="19">
        <v>359</v>
      </c>
      <c r="B381" s="57">
        <v>23</v>
      </c>
      <c r="C381" s="38"/>
      <c r="D381" s="37" t="s">
        <v>638</v>
      </c>
      <c r="E381" s="28" t="s">
        <v>32</v>
      </c>
      <c r="F381" s="57">
        <v>2011</v>
      </c>
      <c r="G381" s="28"/>
      <c r="H381" s="58" t="str">
        <f t="shared" si="75"/>
        <v xml:space="preserve">   </v>
      </c>
      <c r="I381" s="58" t="str">
        <f t="shared" si="76"/>
        <v xml:space="preserve">   </v>
      </c>
      <c r="J381" s="1130"/>
      <c r="K381" s="1126"/>
      <c r="L381" s="1130"/>
      <c r="M381" s="1126"/>
      <c r="N381" s="1130">
        <v>250000</v>
      </c>
      <c r="O381" s="1126">
        <v>40962</v>
      </c>
      <c r="P381" s="1130"/>
      <c r="Q381" s="1126"/>
      <c r="R381" s="1130"/>
      <c r="S381" s="1126"/>
      <c r="T381" s="1145"/>
      <c r="U381" s="1126"/>
      <c r="V381" s="1130"/>
      <c r="W381" s="1126"/>
      <c r="X381" s="1130"/>
      <c r="Y381" s="1245"/>
      <c r="Z381" s="1260"/>
      <c r="AA381" s="1196"/>
      <c r="AB381" s="1198"/>
      <c r="AC381" s="1126"/>
      <c r="AD381" s="1207"/>
      <c r="AE381" s="1247"/>
      <c r="AF381" s="1207"/>
      <c r="AG381" s="1296"/>
      <c r="AH381" s="1232" t="str">
        <f t="shared" si="69"/>
        <v>PI</v>
      </c>
      <c r="AI381" s="747">
        <f>SUM(J381,L381,N381,P381,R381,T381,V381,X381,Z381,AB381,AD381,AF381)</f>
        <v>250000</v>
      </c>
      <c r="AJ381" s="747">
        <f t="shared" si="77"/>
        <v>1250000</v>
      </c>
      <c r="AK381" s="747">
        <f t="shared" si="78"/>
        <v>1000000</v>
      </c>
      <c r="AL381" s="1170"/>
      <c r="AM381" s="1170"/>
      <c r="AN381" s="1209"/>
      <c r="AO381" s="1170"/>
      <c r="AP381" s="1209"/>
      <c r="AQ381" s="1128"/>
      <c r="AR381" s="1173"/>
      <c r="AT381" s="1173"/>
      <c r="AV381" s="1173"/>
      <c r="AX381" s="1173"/>
      <c r="AY381" s="1176"/>
      <c r="AZ381" s="1173"/>
    </row>
    <row r="382" spans="1:52" s="2" customFormat="1" x14ac:dyDescent="0.25">
      <c r="A382" s="19">
        <v>360</v>
      </c>
      <c r="B382" s="57">
        <v>24</v>
      </c>
      <c r="C382" s="38"/>
      <c r="D382" s="37" t="s">
        <v>639</v>
      </c>
      <c r="E382" s="28" t="s">
        <v>32</v>
      </c>
      <c r="F382" s="57">
        <v>2011</v>
      </c>
      <c r="G382" s="28"/>
      <c r="H382" s="58" t="str">
        <f t="shared" si="75"/>
        <v xml:space="preserve">   </v>
      </c>
      <c r="I382" s="58" t="str">
        <f t="shared" si="76"/>
        <v xml:space="preserve">   </v>
      </c>
      <c r="J382" s="1130"/>
      <c r="K382" s="1126"/>
      <c r="L382" s="1130"/>
      <c r="M382" s="1126"/>
      <c r="N382" s="1130">
        <v>250000</v>
      </c>
      <c r="O382" s="1126">
        <v>40955</v>
      </c>
      <c r="P382" s="1130"/>
      <c r="Q382" s="1126"/>
      <c r="R382" s="1130"/>
      <c r="S382" s="1126"/>
      <c r="T382" s="1145"/>
      <c r="U382" s="1126"/>
      <c r="V382" s="1130"/>
      <c r="W382" s="1126"/>
      <c r="X382" s="1130"/>
      <c r="Y382" s="1245"/>
      <c r="Z382" s="1260"/>
      <c r="AA382" s="1196"/>
      <c r="AB382" s="1198"/>
      <c r="AC382" s="1126"/>
      <c r="AD382" s="1207"/>
      <c r="AE382" s="1247"/>
      <c r="AF382" s="1207"/>
      <c r="AG382" s="1296"/>
      <c r="AH382" s="1232" t="str">
        <f t="shared" si="69"/>
        <v>PI</v>
      </c>
      <c r="AI382" s="747">
        <f>SUM(J382,L382,N382,P382,R382,T382,V382,X382,Z382,AB382,AD382,AF382)</f>
        <v>250000</v>
      </c>
      <c r="AJ382" s="747">
        <f t="shared" si="77"/>
        <v>1250000</v>
      </c>
      <c r="AK382" s="747">
        <f t="shared" si="78"/>
        <v>1000000</v>
      </c>
      <c r="AL382" s="1170"/>
      <c r="AM382" s="1170"/>
      <c r="AN382" s="1209"/>
      <c r="AO382" s="1170"/>
      <c r="AP382" s="1209"/>
      <c r="AQ382" s="1128"/>
      <c r="AR382" s="1173"/>
      <c r="AT382" s="1173"/>
      <c r="AV382" s="1173"/>
      <c r="AX382" s="1173"/>
      <c r="AY382" s="1176"/>
      <c r="AZ382" s="1173"/>
    </row>
    <row r="383" spans="1:52" s="2" customFormat="1" x14ac:dyDescent="0.25">
      <c r="A383" s="19">
        <v>361</v>
      </c>
      <c r="B383" s="59">
        <v>25</v>
      </c>
      <c r="C383" s="40">
        <v>849110186</v>
      </c>
      <c r="D383" s="39" t="s">
        <v>640</v>
      </c>
      <c r="E383" s="23" t="s">
        <v>32</v>
      </c>
      <c r="F383" s="59">
        <v>2011</v>
      </c>
      <c r="G383" s="31" t="s">
        <v>33</v>
      </c>
      <c r="H383" s="60" t="str">
        <f t="shared" si="75"/>
        <v xml:space="preserve">   </v>
      </c>
      <c r="I383" s="60">
        <f t="shared" si="76"/>
        <v>42504</v>
      </c>
      <c r="J383" s="1178"/>
      <c r="K383" s="1126"/>
      <c r="L383" s="1178"/>
      <c r="M383" s="1124"/>
      <c r="N383" s="1178">
        <v>250000</v>
      </c>
      <c r="O383" s="1124" t="s">
        <v>117</v>
      </c>
      <c r="P383" s="1178">
        <f>1500000+1500000</f>
        <v>3000000</v>
      </c>
      <c r="Q383" s="1124">
        <v>41526</v>
      </c>
      <c r="R383" s="1178">
        <v>3000000</v>
      </c>
      <c r="S383" s="1124" t="s">
        <v>634</v>
      </c>
      <c r="T383" s="1188">
        <v>3000000</v>
      </c>
      <c r="U383" s="1124" t="s">
        <v>641</v>
      </c>
      <c r="V383" s="1178"/>
      <c r="W383" s="1124" t="s">
        <v>642</v>
      </c>
      <c r="X383" s="1178">
        <v>3000000</v>
      </c>
      <c r="Y383" s="1143" t="s">
        <v>642</v>
      </c>
      <c r="Z383" s="1178">
        <v>3000000</v>
      </c>
      <c r="AA383" s="1124" t="s">
        <v>642</v>
      </c>
      <c r="AB383" s="1205">
        <v>1000000</v>
      </c>
      <c r="AC383" s="1124" t="s">
        <v>641</v>
      </c>
      <c r="AD383" s="1199">
        <v>3000000</v>
      </c>
      <c r="AE383" s="1295" t="s">
        <v>276</v>
      </c>
      <c r="AF383" s="1207"/>
      <c r="AG383" s="1296"/>
      <c r="AH383" s="1232" t="str">
        <f t="shared" si="69"/>
        <v>PI</v>
      </c>
      <c r="AI383" s="747" t="e">
        <f>SUM(J383,L383,N383,P383,R383,T383,V383,X383,Z383,AB383,AD383,AF383,#REF!)</f>
        <v>#REF!</v>
      </c>
      <c r="AJ383" s="747">
        <f t="shared" si="77"/>
        <v>19250000</v>
      </c>
      <c r="AK383" s="747" t="e">
        <f t="shared" si="78"/>
        <v>#REF!</v>
      </c>
      <c r="AL383" s="1170"/>
      <c r="AM383" s="1170"/>
      <c r="AN383" s="1209"/>
      <c r="AO383" s="1170"/>
      <c r="AP383" s="1209"/>
      <c r="AQ383" s="1128"/>
      <c r="AR383" s="1173"/>
      <c r="AT383" s="1173"/>
      <c r="AV383" s="1173"/>
      <c r="AX383" s="1173"/>
      <c r="AY383" s="1176"/>
      <c r="AZ383" s="1173"/>
    </row>
    <row r="384" spans="1:52" s="2" customFormat="1" x14ac:dyDescent="0.25">
      <c r="A384" s="19">
        <v>362</v>
      </c>
      <c r="B384" s="59">
        <v>26</v>
      </c>
      <c r="C384" s="40">
        <v>849110198</v>
      </c>
      <c r="D384" s="39" t="s">
        <v>643</v>
      </c>
      <c r="E384" s="23" t="s">
        <v>32</v>
      </c>
      <c r="F384" s="59">
        <v>2011</v>
      </c>
      <c r="G384" s="31" t="s">
        <v>33</v>
      </c>
      <c r="H384" s="24" t="str">
        <f t="shared" si="75"/>
        <v xml:space="preserve">   </v>
      </c>
      <c r="I384" s="24">
        <f t="shared" si="76"/>
        <v>41640</v>
      </c>
      <c r="J384" s="1178"/>
      <c r="K384" s="1126"/>
      <c r="L384" s="1178"/>
      <c r="M384" s="1124"/>
      <c r="N384" s="1178">
        <v>250000</v>
      </c>
      <c r="O384" s="1124" t="s">
        <v>125</v>
      </c>
      <c r="P384" s="1178">
        <v>3000000</v>
      </c>
      <c r="Q384" s="1124" t="s">
        <v>644</v>
      </c>
      <c r="R384" s="1178">
        <f>2000000+1000000</f>
        <v>3000000</v>
      </c>
      <c r="S384" s="1124" t="s">
        <v>644</v>
      </c>
      <c r="T384" s="1188">
        <v>3000000</v>
      </c>
      <c r="U384" s="1124" t="s">
        <v>645</v>
      </c>
      <c r="V384" s="1178"/>
      <c r="W384" s="1263" t="s">
        <v>276</v>
      </c>
      <c r="X384" s="1130"/>
      <c r="Y384" s="1245"/>
      <c r="Z384" s="1260"/>
      <c r="AA384" s="1196"/>
      <c r="AB384" s="1205">
        <v>1000000</v>
      </c>
      <c r="AC384" s="1124" t="s">
        <v>437</v>
      </c>
      <c r="AD384" s="1157"/>
      <c r="AE384" s="1247"/>
      <c r="AF384" s="1207"/>
      <c r="AG384" s="1296"/>
      <c r="AH384" s="1232" t="str">
        <f t="shared" si="69"/>
        <v>PI</v>
      </c>
      <c r="AI384" s="747" t="e">
        <f>SUM(J384,L384,N384,P384,R384,T384,V384,X384,Z384,AB384,AD384,AF384,#REF!)</f>
        <v>#REF!</v>
      </c>
      <c r="AJ384" s="747">
        <f t="shared" ref="AJ384:AJ395" si="79">(COUNT(L384,J384,P384,R384,T384,V384,X384,Z384,AD384,AF384)*$L$358)+($J$358+$AB$358)</f>
        <v>10250000</v>
      </c>
      <c r="AK384" s="747" t="e">
        <f t="shared" ref="AK384:AK395" si="80">AJ384-AI384</f>
        <v>#REF!</v>
      </c>
      <c r="AL384" s="1170"/>
      <c r="AM384" s="1170"/>
      <c r="AN384" s="1209"/>
      <c r="AO384" s="1170"/>
      <c r="AP384" s="1209"/>
      <c r="AQ384" s="1128"/>
      <c r="AR384" s="1173"/>
      <c r="AT384" s="1173"/>
      <c r="AV384" s="1173"/>
      <c r="AX384" s="1173"/>
      <c r="AY384" s="1176"/>
      <c r="AZ384" s="1173"/>
    </row>
    <row r="385" spans="1:52" s="2" customFormat="1" x14ac:dyDescent="0.25">
      <c r="A385" s="19">
        <v>363</v>
      </c>
      <c r="B385" s="59">
        <v>27</v>
      </c>
      <c r="C385" s="38">
        <v>849110195</v>
      </c>
      <c r="D385" s="39" t="s">
        <v>646</v>
      </c>
      <c r="E385" s="23" t="s">
        <v>32</v>
      </c>
      <c r="F385" s="59">
        <v>2011</v>
      </c>
      <c r="G385" s="31" t="s">
        <v>33</v>
      </c>
      <c r="H385" s="24" t="str">
        <f t="shared" si="75"/>
        <v xml:space="preserve">   </v>
      </c>
      <c r="I385" s="24">
        <f t="shared" si="76"/>
        <v>41275</v>
      </c>
      <c r="J385" s="1130"/>
      <c r="K385" s="1126"/>
      <c r="L385" s="1130"/>
      <c r="M385" s="1126"/>
      <c r="N385" s="1130">
        <v>250000</v>
      </c>
      <c r="O385" s="1126" t="s">
        <v>98</v>
      </c>
      <c r="P385" s="1130">
        <v>3000000</v>
      </c>
      <c r="Q385" s="1126" t="s">
        <v>647</v>
      </c>
      <c r="R385" s="1130">
        <f>1500000+1500000</f>
        <v>3000000</v>
      </c>
      <c r="S385" s="1126" t="s">
        <v>648</v>
      </c>
      <c r="T385" s="1145"/>
      <c r="U385" s="1126"/>
      <c r="V385" s="1130"/>
      <c r="W385" s="1126"/>
      <c r="X385" s="1130"/>
      <c r="Y385" s="1245"/>
      <c r="Z385" s="1260"/>
      <c r="AA385" s="1196"/>
      <c r="AB385" s="1198"/>
      <c r="AC385" s="1126"/>
      <c r="AD385" s="1157"/>
      <c r="AE385" s="1247"/>
      <c r="AF385" s="1207"/>
      <c r="AG385" s="1296"/>
      <c r="AH385" s="1232" t="str">
        <f t="shared" si="69"/>
        <v>PI</v>
      </c>
      <c r="AI385" s="747" t="e">
        <f>SUM(J385,L385,N385,P385,R385,T385,V385,X385,Z385,AB385,AD385,AF385,#REF!)</f>
        <v>#REF!</v>
      </c>
      <c r="AJ385" s="747">
        <f t="shared" si="79"/>
        <v>7250000</v>
      </c>
      <c r="AK385" s="747" t="e">
        <f t="shared" si="80"/>
        <v>#REF!</v>
      </c>
      <c r="AL385" s="1170"/>
      <c r="AM385" s="1170"/>
      <c r="AN385" s="1209"/>
      <c r="AO385" s="1170"/>
      <c r="AP385" s="1209"/>
      <c r="AQ385" s="1128"/>
      <c r="AR385" s="1173"/>
      <c r="AT385" s="1173"/>
      <c r="AV385" s="1173"/>
      <c r="AX385" s="1173"/>
      <c r="AY385" s="1176"/>
      <c r="AZ385" s="1173"/>
    </row>
    <row r="386" spans="1:52" s="2" customFormat="1" x14ac:dyDescent="0.25">
      <c r="A386" s="19">
        <v>364</v>
      </c>
      <c r="B386" s="59">
        <v>28</v>
      </c>
      <c r="C386" s="38">
        <v>849110190</v>
      </c>
      <c r="D386" s="39" t="s">
        <v>649</v>
      </c>
      <c r="E386" s="23" t="s">
        <v>32</v>
      </c>
      <c r="F386" s="59">
        <v>2011</v>
      </c>
      <c r="G386" s="31" t="s">
        <v>33</v>
      </c>
      <c r="H386" s="24" t="str">
        <f t="shared" si="75"/>
        <v xml:space="preserve">   </v>
      </c>
      <c r="I386" s="24">
        <f t="shared" si="76"/>
        <v>41640</v>
      </c>
      <c r="J386" s="1130"/>
      <c r="K386" s="1126"/>
      <c r="L386" s="1130"/>
      <c r="M386" s="1126"/>
      <c r="N386" s="1130">
        <v>250000</v>
      </c>
      <c r="O386" s="1126" t="s">
        <v>650</v>
      </c>
      <c r="P386" s="1130">
        <v>3000000</v>
      </c>
      <c r="Q386" s="1126">
        <v>40976</v>
      </c>
      <c r="R386" s="1130">
        <f>1500000+1500000</f>
        <v>3000000</v>
      </c>
      <c r="S386" s="1126">
        <v>41373</v>
      </c>
      <c r="T386" s="1145">
        <v>3000000</v>
      </c>
      <c r="U386" s="1126">
        <v>41314</v>
      </c>
      <c r="V386" s="1130"/>
      <c r="W386" s="1126"/>
      <c r="X386" s="1130"/>
      <c r="Y386" s="1245"/>
      <c r="Z386" s="1260"/>
      <c r="AA386" s="1196"/>
      <c r="AB386" s="1198">
        <v>1000000</v>
      </c>
      <c r="AC386" s="1126">
        <v>41314</v>
      </c>
      <c r="AD386" s="1157"/>
      <c r="AE386" s="1247"/>
      <c r="AF386" s="1207"/>
      <c r="AG386" s="1296"/>
      <c r="AH386" s="1232" t="str">
        <f t="shared" si="69"/>
        <v>PI</v>
      </c>
      <c r="AI386" s="747" t="e">
        <f>SUM(J386,L386,N386,P386,R386,T386,V386,X386,Z386,AB386,AD386,AF386,#REF!)</f>
        <v>#REF!</v>
      </c>
      <c r="AJ386" s="747">
        <f t="shared" si="79"/>
        <v>10250000</v>
      </c>
      <c r="AK386" s="747" t="e">
        <f t="shared" si="80"/>
        <v>#REF!</v>
      </c>
      <c r="AL386" s="1170"/>
      <c r="AM386" s="1170"/>
      <c r="AN386" s="1209"/>
      <c r="AO386" s="1170"/>
      <c r="AP386" s="1209"/>
      <c r="AQ386" s="1128"/>
      <c r="AR386" s="1173"/>
      <c r="AT386" s="1173"/>
      <c r="AV386" s="1173"/>
      <c r="AX386" s="1173"/>
      <c r="AY386" s="1176"/>
      <c r="AZ386" s="1173"/>
    </row>
    <row r="387" spans="1:52" s="2" customFormat="1" x14ac:dyDescent="0.25">
      <c r="A387" s="19">
        <v>365</v>
      </c>
      <c r="B387" s="20">
        <v>29</v>
      </c>
      <c r="C387" s="22">
        <v>849110201</v>
      </c>
      <c r="D387" s="21" t="s">
        <v>651</v>
      </c>
      <c r="E387" s="23" t="s">
        <v>32</v>
      </c>
      <c r="F387" s="20">
        <v>2011</v>
      </c>
      <c r="G387" s="31" t="s">
        <v>33</v>
      </c>
      <c r="H387" s="24" t="str">
        <f t="shared" si="75"/>
        <v xml:space="preserve">   </v>
      </c>
      <c r="I387" s="24">
        <f t="shared" si="76"/>
        <v>41275</v>
      </c>
      <c r="J387" s="1178"/>
      <c r="K387" s="1126"/>
      <c r="L387" s="1123"/>
      <c r="M387" s="1124"/>
      <c r="N387" s="1123">
        <v>250000</v>
      </c>
      <c r="O387" s="1124" t="s">
        <v>317</v>
      </c>
      <c r="P387" s="1123">
        <v>3000000</v>
      </c>
      <c r="Q387" s="1124">
        <v>40976</v>
      </c>
      <c r="R387" s="1123">
        <v>3000000</v>
      </c>
      <c r="S387" s="1124" t="s">
        <v>652</v>
      </c>
      <c r="T387" s="1188">
        <v>3000000</v>
      </c>
      <c r="U387" s="1124" t="s">
        <v>634</v>
      </c>
      <c r="V387" s="1178"/>
      <c r="W387" s="1124" t="s">
        <v>641</v>
      </c>
      <c r="X387" s="1178">
        <v>3000000</v>
      </c>
      <c r="Y387" s="1264" t="s">
        <v>276</v>
      </c>
      <c r="Z387" s="1257"/>
      <c r="AA387" s="1196"/>
      <c r="AB387" s="1205">
        <v>1000000</v>
      </c>
      <c r="AC387" s="1124" t="s">
        <v>652</v>
      </c>
      <c r="AD387" s="1157"/>
      <c r="AE387" s="1247"/>
      <c r="AF387" s="1207"/>
      <c r="AG387" s="1296"/>
      <c r="AH387" s="1232" t="str">
        <f t="shared" si="69"/>
        <v>PI</v>
      </c>
      <c r="AI387" s="747" t="e">
        <f>SUM(J387,L387,N387,P387,R387,T387,V387,X387,Z387,AB387,AD387,AF387,#REF!)</f>
        <v>#REF!</v>
      </c>
      <c r="AJ387" s="747">
        <f t="shared" si="79"/>
        <v>13250000</v>
      </c>
      <c r="AK387" s="747" t="e">
        <f t="shared" si="80"/>
        <v>#REF!</v>
      </c>
      <c r="AL387" s="1170"/>
      <c r="AM387" s="1170"/>
      <c r="AN387" s="1209"/>
      <c r="AO387" s="1170"/>
      <c r="AP387" s="1209"/>
      <c r="AQ387" s="1128"/>
      <c r="AR387" s="1173"/>
      <c r="AT387" s="1173"/>
      <c r="AV387" s="1173"/>
      <c r="AX387" s="1173"/>
      <c r="AY387" s="1176"/>
      <c r="AZ387" s="1173"/>
    </row>
    <row r="388" spans="1:52" s="2" customFormat="1" x14ac:dyDescent="0.25">
      <c r="A388" s="19">
        <v>366</v>
      </c>
      <c r="B388" s="59">
        <v>30</v>
      </c>
      <c r="C388" s="40">
        <v>849110188</v>
      </c>
      <c r="D388" s="39" t="s">
        <v>653</v>
      </c>
      <c r="E388" s="23" t="s">
        <v>32</v>
      </c>
      <c r="F388" s="59">
        <v>2011</v>
      </c>
      <c r="G388" s="31" t="s">
        <v>33</v>
      </c>
      <c r="H388" s="60" t="str">
        <f t="shared" si="75"/>
        <v xml:space="preserve">   </v>
      </c>
      <c r="I388" s="60">
        <f t="shared" si="76"/>
        <v>41275</v>
      </c>
      <c r="J388" s="1130"/>
      <c r="K388" s="1126"/>
      <c r="L388" s="1130"/>
      <c r="M388" s="1126"/>
      <c r="N388" s="1130">
        <v>250000</v>
      </c>
      <c r="O388" s="1126" t="s">
        <v>93</v>
      </c>
      <c r="P388" s="1130">
        <v>3000000</v>
      </c>
      <c r="Q388" s="1126">
        <v>40943</v>
      </c>
      <c r="R388" s="1130">
        <f>1500000+1500000</f>
        <v>3000000</v>
      </c>
      <c r="S388" s="1126" t="s">
        <v>532</v>
      </c>
      <c r="T388" s="1145"/>
      <c r="U388" s="1126"/>
      <c r="V388" s="1130"/>
      <c r="W388" s="1126"/>
      <c r="X388" s="1130"/>
      <c r="Y388" s="1245"/>
      <c r="Z388" s="1260"/>
      <c r="AA388" s="1196"/>
      <c r="AB388" s="1198"/>
      <c r="AC388" s="1126"/>
      <c r="AD388" s="1157"/>
      <c r="AE388" s="1247"/>
      <c r="AF388" s="1207"/>
      <c r="AG388" s="1296"/>
      <c r="AH388" s="1232" t="str">
        <f t="shared" si="69"/>
        <v>PI</v>
      </c>
      <c r="AI388" s="747" t="e">
        <f>SUM(J388,L388,N388,P388,R388,T388,V388,X388,Z388,AB388,AD388,AF388,#REF!)</f>
        <v>#REF!</v>
      </c>
      <c r="AJ388" s="747">
        <f t="shared" si="79"/>
        <v>7250000</v>
      </c>
      <c r="AK388" s="747" t="e">
        <f t="shared" si="80"/>
        <v>#REF!</v>
      </c>
      <c r="AL388" s="1170"/>
      <c r="AM388" s="1170"/>
      <c r="AN388" s="1209"/>
      <c r="AO388" s="1170"/>
      <c r="AP388" s="1209"/>
      <c r="AQ388" s="1128"/>
      <c r="AR388" s="1173"/>
      <c r="AT388" s="1173"/>
      <c r="AV388" s="1173"/>
      <c r="AX388" s="1173"/>
      <c r="AY388" s="1176"/>
      <c r="AZ388" s="1173"/>
    </row>
    <row r="389" spans="1:52" s="2" customFormat="1" x14ac:dyDescent="0.25">
      <c r="A389" s="19">
        <v>367</v>
      </c>
      <c r="B389" s="59">
        <v>31</v>
      </c>
      <c r="C389" s="38">
        <v>849110194</v>
      </c>
      <c r="D389" s="39" t="s">
        <v>654</v>
      </c>
      <c r="E389" s="23" t="s">
        <v>32</v>
      </c>
      <c r="F389" s="59">
        <v>2011</v>
      </c>
      <c r="G389" s="31" t="s">
        <v>33</v>
      </c>
      <c r="H389" s="24" t="str">
        <f t="shared" si="75"/>
        <v xml:space="preserve">   </v>
      </c>
      <c r="I389" s="24">
        <f t="shared" si="76"/>
        <v>41275</v>
      </c>
      <c r="J389" s="1130"/>
      <c r="K389" s="1126"/>
      <c r="L389" s="1130"/>
      <c r="M389" s="1126"/>
      <c r="N389" s="1130">
        <v>250000</v>
      </c>
      <c r="O389" s="1126" t="s">
        <v>351</v>
      </c>
      <c r="P389" s="1130">
        <v>3000000</v>
      </c>
      <c r="Q389" s="1126">
        <v>40976</v>
      </c>
      <c r="R389" s="1130">
        <f>1500000+1500000</f>
        <v>3000000</v>
      </c>
      <c r="S389" s="1126" t="s">
        <v>655</v>
      </c>
      <c r="T389" s="1145"/>
      <c r="U389" s="1126"/>
      <c r="V389" s="1130"/>
      <c r="W389" s="1126"/>
      <c r="X389" s="1130"/>
      <c r="Y389" s="1245"/>
      <c r="Z389" s="1260"/>
      <c r="AA389" s="1196"/>
      <c r="AB389" s="1198">
        <v>1000000</v>
      </c>
      <c r="AC389" s="1126" t="s">
        <v>537</v>
      </c>
      <c r="AD389" s="1157"/>
      <c r="AE389" s="1247"/>
      <c r="AF389" s="1207"/>
      <c r="AG389" s="1296"/>
      <c r="AH389" s="1232" t="str">
        <f t="shared" ref="AH389:AH452" si="81">E389</f>
        <v>PI</v>
      </c>
      <c r="AI389" s="747" t="e">
        <f>SUM(J389,L389,N389,P389,R389,T389,V389,X389,Z389,AB389,AD389,AF389,#REF!)</f>
        <v>#REF!</v>
      </c>
      <c r="AJ389" s="747">
        <f t="shared" si="79"/>
        <v>7250000</v>
      </c>
      <c r="AK389" s="747" t="e">
        <f t="shared" si="80"/>
        <v>#REF!</v>
      </c>
      <c r="AL389" s="1170"/>
      <c r="AM389" s="1170"/>
      <c r="AN389" s="1209"/>
      <c r="AO389" s="1170"/>
      <c r="AP389" s="1209"/>
      <c r="AQ389" s="1128"/>
      <c r="AR389" s="1173"/>
      <c r="AT389" s="1173"/>
      <c r="AV389" s="1173"/>
      <c r="AX389" s="1173"/>
      <c r="AY389" s="1176"/>
      <c r="AZ389" s="1173"/>
    </row>
    <row r="390" spans="1:52" s="2" customFormat="1" x14ac:dyDescent="0.25">
      <c r="A390" s="19">
        <v>368</v>
      </c>
      <c r="B390" s="59">
        <v>32</v>
      </c>
      <c r="C390" s="40"/>
      <c r="D390" s="39" t="s">
        <v>656</v>
      </c>
      <c r="E390" s="23" t="s">
        <v>32</v>
      </c>
      <c r="F390" s="59">
        <v>2011</v>
      </c>
      <c r="G390" s="23"/>
      <c r="H390" s="60" t="str">
        <f t="shared" si="75"/>
        <v xml:space="preserve">   </v>
      </c>
      <c r="I390" s="60" t="str">
        <f t="shared" si="76"/>
        <v xml:space="preserve">   </v>
      </c>
      <c r="J390" s="1178"/>
      <c r="K390" s="1126"/>
      <c r="L390" s="1178"/>
      <c r="M390" s="1124"/>
      <c r="N390" s="1178">
        <v>250000</v>
      </c>
      <c r="O390" s="1124" t="s">
        <v>292</v>
      </c>
      <c r="P390" s="1178">
        <v>2500000</v>
      </c>
      <c r="Q390" s="1124">
        <v>40976</v>
      </c>
      <c r="R390" s="1178">
        <v>3000000</v>
      </c>
      <c r="S390" s="1124">
        <v>41488</v>
      </c>
      <c r="T390" s="1188">
        <v>3000000</v>
      </c>
      <c r="U390" s="1124" t="s">
        <v>657</v>
      </c>
      <c r="V390" s="1178"/>
      <c r="W390" s="1263" t="s">
        <v>276</v>
      </c>
      <c r="X390" s="1130"/>
      <c r="Y390" s="1245"/>
      <c r="Z390" s="1260"/>
      <c r="AA390" s="1196"/>
      <c r="AB390" s="1205">
        <v>1000000</v>
      </c>
      <c r="AC390" s="1124">
        <v>41314</v>
      </c>
      <c r="AD390" s="1157"/>
      <c r="AE390" s="1247"/>
      <c r="AF390" s="1207"/>
      <c r="AG390" s="1296"/>
      <c r="AH390" s="1232" t="str">
        <f t="shared" si="81"/>
        <v>PI</v>
      </c>
      <c r="AI390" s="747">
        <f>SUM(J390,L390,N390,P390,R390,T390,V390,X390,Z390,AB390,AD390,AF390)</f>
        <v>9750000</v>
      </c>
      <c r="AJ390" s="747">
        <f t="shared" si="79"/>
        <v>10250000</v>
      </c>
      <c r="AK390" s="747">
        <f t="shared" si="80"/>
        <v>500000</v>
      </c>
      <c r="AL390" s="1170"/>
      <c r="AM390" s="1170"/>
      <c r="AN390" s="1209"/>
      <c r="AO390" s="1170"/>
      <c r="AP390" s="1209"/>
      <c r="AQ390" s="1128"/>
      <c r="AR390" s="1173"/>
      <c r="AT390" s="1173"/>
      <c r="AV390" s="1173"/>
      <c r="AX390" s="1173"/>
      <c r="AY390" s="1176"/>
      <c r="AZ390" s="1173"/>
    </row>
    <row r="391" spans="1:52" s="2" customFormat="1" x14ac:dyDescent="0.25">
      <c r="A391" s="19">
        <v>369</v>
      </c>
      <c r="B391" s="59">
        <v>33</v>
      </c>
      <c r="C391" s="40">
        <v>849110202</v>
      </c>
      <c r="D391" s="39" t="s">
        <v>658</v>
      </c>
      <c r="E391" s="23" t="s">
        <v>32</v>
      </c>
      <c r="F391" s="59">
        <v>2011</v>
      </c>
      <c r="G391" s="31" t="s">
        <v>33</v>
      </c>
      <c r="H391" s="24" t="str">
        <f t="shared" si="75"/>
        <v xml:space="preserve">   </v>
      </c>
      <c r="I391" s="24">
        <f t="shared" si="76"/>
        <v>41640</v>
      </c>
      <c r="J391" s="1178"/>
      <c r="K391" s="1126"/>
      <c r="L391" s="1178"/>
      <c r="M391" s="1124"/>
      <c r="N391" s="1178">
        <v>250000</v>
      </c>
      <c r="O391" s="1124" t="s">
        <v>93</v>
      </c>
      <c r="P391" s="1178">
        <v>3000000</v>
      </c>
      <c r="Q391" s="1124">
        <v>41600</v>
      </c>
      <c r="R391" s="1186" t="s">
        <v>137</v>
      </c>
      <c r="S391" s="1144" t="s">
        <v>137</v>
      </c>
      <c r="T391" s="1188">
        <v>3000000</v>
      </c>
      <c r="U391" s="1124" t="s">
        <v>659</v>
      </c>
      <c r="V391" s="1178"/>
      <c r="W391" s="1124">
        <v>41736</v>
      </c>
      <c r="X391" s="1178">
        <v>3000000</v>
      </c>
      <c r="Y391" s="1264" t="s">
        <v>276</v>
      </c>
      <c r="Z391" s="1257"/>
      <c r="AA391" s="1196"/>
      <c r="AB391" s="1205">
        <v>1000000</v>
      </c>
      <c r="AC391" s="1124">
        <v>41736</v>
      </c>
      <c r="AD391" s="1157"/>
      <c r="AE391" s="1247"/>
      <c r="AF391" s="1207"/>
      <c r="AG391" s="1296"/>
      <c r="AH391" s="1232" t="str">
        <f t="shared" si="81"/>
        <v>PI</v>
      </c>
      <c r="AI391" s="747" t="e">
        <f>SUM(J391,L391,N391,P391,R391,T391,V391,X391,Z391,AB391,AD391,AF391,#REF!)</f>
        <v>#REF!</v>
      </c>
      <c r="AJ391" s="747">
        <f t="shared" si="79"/>
        <v>10250000</v>
      </c>
      <c r="AK391" s="747" t="e">
        <f t="shared" si="80"/>
        <v>#REF!</v>
      </c>
      <c r="AL391" s="1170"/>
      <c r="AM391" s="1170"/>
      <c r="AN391" s="1209"/>
      <c r="AO391" s="1170"/>
      <c r="AP391" s="1209"/>
      <c r="AQ391" s="1128"/>
      <c r="AR391" s="1173"/>
      <c r="AT391" s="1173"/>
      <c r="AV391" s="1173"/>
      <c r="AX391" s="1173"/>
      <c r="AY391" s="1176"/>
      <c r="AZ391" s="1173"/>
    </row>
    <row r="392" spans="1:52" s="2" customFormat="1" x14ac:dyDescent="0.25">
      <c r="A392" s="19">
        <v>370</v>
      </c>
      <c r="B392" s="59">
        <v>34</v>
      </c>
      <c r="C392" s="40">
        <v>849110177</v>
      </c>
      <c r="D392" s="39" t="s">
        <v>660</v>
      </c>
      <c r="E392" s="23" t="s">
        <v>32</v>
      </c>
      <c r="F392" s="59">
        <v>2011</v>
      </c>
      <c r="G392" s="31" t="s">
        <v>33</v>
      </c>
      <c r="H392" s="24" t="str">
        <f t="shared" si="75"/>
        <v xml:space="preserve">   </v>
      </c>
      <c r="I392" s="24">
        <f t="shared" si="76"/>
        <v>41640</v>
      </c>
      <c r="J392" s="1178"/>
      <c r="K392" s="1126"/>
      <c r="L392" s="1178"/>
      <c r="M392" s="1124"/>
      <c r="N392" s="1178">
        <v>250000</v>
      </c>
      <c r="O392" s="1124" t="s">
        <v>117</v>
      </c>
      <c r="P392" s="1178">
        <v>3000000</v>
      </c>
      <c r="Q392" s="1124" t="s">
        <v>661</v>
      </c>
      <c r="R392" s="1186" t="s">
        <v>137</v>
      </c>
      <c r="S392" s="1144" t="s">
        <v>137</v>
      </c>
      <c r="T392" s="1188">
        <v>3000000</v>
      </c>
      <c r="U392" s="1124" t="s">
        <v>661</v>
      </c>
      <c r="V392" s="1178"/>
      <c r="W392" s="1124" t="s">
        <v>662</v>
      </c>
      <c r="X392" s="1178">
        <v>3000000</v>
      </c>
      <c r="Y392" s="1264" t="s">
        <v>276</v>
      </c>
      <c r="Z392" s="1257"/>
      <c r="AA392" s="1196"/>
      <c r="AB392" s="1205">
        <v>1000000</v>
      </c>
      <c r="AC392" s="1124" t="s">
        <v>663</v>
      </c>
      <c r="AD392" s="1157"/>
      <c r="AE392" s="1247"/>
      <c r="AF392" s="1207"/>
      <c r="AG392" s="1296"/>
      <c r="AH392" s="1232" t="str">
        <f t="shared" si="81"/>
        <v>PI</v>
      </c>
      <c r="AI392" s="747">
        <f>SUM(J392,L392,N392,P392,R392,T392,V392,X392,Z392,AB392,AD392,AF392)</f>
        <v>10250000</v>
      </c>
      <c r="AJ392" s="747">
        <f t="shared" si="79"/>
        <v>10250000</v>
      </c>
      <c r="AK392" s="747">
        <f t="shared" si="80"/>
        <v>0</v>
      </c>
      <c r="AL392" s="1170"/>
      <c r="AM392" s="1170"/>
      <c r="AN392" s="1209"/>
      <c r="AO392" s="1170"/>
      <c r="AP392" s="1209"/>
      <c r="AQ392" s="1128"/>
      <c r="AR392" s="1173"/>
      <c r="AT392" s="1173"/>
      <c r="AV392" s="1173"/>
      <c r="AX392" s="1173"/>
      <c r="AY392" s="1176"/>
      <c r="AZ392" s="1173"/>
    </row>
    <row r="393" spans="1:52" s="2" customFormat="1" x14ac:dyDescent="0.25">
      <c r="A393" s="19">
        <v>371</v>
      </c>
      <c r="B393" s="57">
        <v>35</v>
      </c>
      <c r="C393" s="38"/>
      <c r="D393" s="37" t="s">
        <v>664</v>
      </c>
      <c r="E393" s="28" t="s">
        <v>32</v>
      </c>
      <c r="F393" s="57">
        <v>2011</v>
      </c>
      <c r="G393" s="28"/>
      <c r="H393" s="58" t="str">
        <f t="shared" si="75"/>
        <v xml:space="preserve">   </v>
      </c>
      <c r="I393" s="58" t="str">
        <f t="shared" si="76"/>
        <v xml:space="preserve">   </v>
      </c>
      <c r="J393" s="1130"/>
      <c r="K393" s="1126"/>
      <c r="L393" s="1130"/>
      <c r="M393" s="1126"/>
      <c r="N393" s="1130">
        <v>250000</v>
      </c>
      <c r="O393" s="1126" t="s">
        <v>665</v>
      </c>
      <c r="P393" s="1130">
        <v>3000000</v>
      </c>
      <c r="Q393" s="1126">
        <v>40976</v>
      </c>
      <c r="R393" s="1289">
        <v>0</v>
      </c>
      <c r="S393" s="1146"/>
      <c r="T393" s="1145">
        <v>0</v>
      </c>
      <c r="U393" s="1126"/>
      <c r="V393" s="1130">
        <v>0</v>
      </c>
      <c r="W393" s="1126"/>
      <c r="X393" s="1130">
        <v>0</v>
      </c>
      <c r="Y393" s="1245"/>
      <c r="Z393" s="1260">
        <v>0</v>
      </c>
      <c r="AA393" s="1196"/>
      <c r="AB393" s="1198">
        <v>0</v>
      </c>
      <c r="AC393" s="1126"/>
      <c r="AD393" s="1157"/>
      <c r="AE393" s="1247"/>
      <c r="AF393" s="1207"/>
      <c r="AG393" s="1296"/>
      <c r="AH393" s="1232" t="str">
        <f t="shared" si="81"/>
        <v>PI</v>
      </c>
      <c r="AI393" s="747">
        <f>SUM(J393,L393,N393,P393,R393,T393,V393,X393,Z393,AB393,AD393,AF393)</f>
        <v>3250000</v>
      </c>
      <c r="AJ393" s="747">
        <f t="shared" si="79"/>
        <v>19250000</v>
      </c>
      <c r="AK393" s="747">
        <f t="shared" si="80"/>
        <v>16000000</v>
      </c>
      <c r="AL393" s="1170"/>
      <c r="AM393" s="1170"/>
      <c r="AN393" s="1209"/>
      <c r="AO393" s="1170"/>
      <c r="AP393" s="1209"/>
      <c r="AQ393" s="1128"/>
      <c r="AR393" s="1173"/>
      <c r="AT393" s="1173"/>
      <c r="AV393" s="1173"/>
      <c r="AX393" s="1173"/>
      <c r="AY393" s="1176"/>
      <c r="AZ393" s="1173"/>
    </row>
    <row r="394" spans="1:52" s="2" customFormat="1" x14ac:dyDescent="0.25">
      <c r="A394" s="19">
        <v>372</v>
      </c>
      <c r="B394" s="57">
        <v>36</v>
      </c>
      <c r="C394" s="38"/>
      <c r="D394" s="37" t="s">
        <v>666</v>
      </c>
      <c r="E394" s="28" t="s">
        <v>32</v>
      </c>
      <c r="F394" s="57">
        <v>2011</v>
      </c>
      <c r="G394" s="28"/>
      <c r="H394" s="58" t="str">
        <f t="shared" si="75"/>
        <v xml:space="preserve">   </v>
      </c>
      <c r="I394" s="58" t="str">
        <f t="shared" si="76"/>
        <v xml:space="preserve">   </v>
      </c>
      <c r="J394" s="1130"/>
      <c r="K394" s="1126"/>
      <c r="L394" s="1130"/>
      <c r="M394" s="1126"/>
      <c r="N394" s="1130">
        <v>250000</v>
      </c>
      <c r="O394" s="1126" t="s">
        <v>98</v>
      </c>
      <c r="P394" s="1130">
        <v>1500000</v>
      </c>
      <c r="Q394" s="1126">
        <v>40976</v>
      </c>
      <c r="R394" s="1289">
        <v>0</v>
      </c>
      <c r="S394" s="1146"/>
      <c r="T394" s="1145">
        <v>0</v>
      </c>
      <c r="U394" s="1126"/>
      <c r="V394" s="1130">
        <v>0</v>
      </c>
      <c r="W394" s="1126"/>
      <c r="X394" s="1130">
        <v>0</v>
      </c>
      <c r="Y394" s="1245"/>
      <c r="Z394" s="1260">
        <v>0</v>
      </c>
      <c r="AA394" s="1196"/>
      <c r="AB394" s="1198">
        <v>0</v>
      </c>
      <c r="AC394" s="1126"/>
      <c r="AD394" s="1157"/>
      <c r="AE394" s="1247"/>
      <c r="AF394" s="1207"/>
      <c r="AG394" s="1296"/>
      <c r="AH394" s="1232" t="str">
        <f t="shared" si="81"/>
        <v>PI</v>
      </c>
      <c r="AI394" s="747">
        <f>SUM(J394,L394,N394,P394,R394,T394,V394,X394,Z394,AB394,AD394,AF394)</f>
        <v>1750000</v>
      </c>
      <c r="AJ394" s="747">
        <f t="shared" si="79"/>
        <v>19250000</v>
      </c>
      <c r="AK394" s="747">
        <f t="shared" si="80"/>
        <v>17500000</v>
      </c>
      <c r="AL394" s="1170"/>
      <c r="AM394" s="1170"/>
      <c r="AN394" s="1209"/>
      <c r="AO394" s="1170"/>
      <c r="AP394" s="1209"/>
      <c r="AQ394" s="1128"/>
      <c r="AR394" s="1173"/>
      <c r="AT394" s="1173"/>
      <c r="AV394" s="1173"/>
      <c r="AX394" s="1173"/>
      <c r="AY394" s="1176"/>
      <c r="AZ394" s="1173"/>
    </row>
    <row r="395" spans="1:52" s="2" customFormat="1" x14ac:dyDescent="0.25">
      <c r="A395" s="19">
        <v>373</v>
      </c>
      <c r="B395" s="59">
        <v>37</v>
      </c>
      <c r="C395" s="40">
        <v>849110219</v>
      </c>
      <c r="D395" s="39" t="s">
        <v>667</v>
      </c>
      <c r="E395" s="23" t="s">
        <v>32</v>
      </c>
      <c r="F395" s="59">
        <v>2011</v>
      </c>
      <c r="G395" s="31" t="s">
        <v>33</v>
      </c>
      <c r="H395" s="24" t="str">
        <f t="shared" si="75"/>
        <v xml:space="preserve">   </v>
      </c>
      <c r="I395" s="24">
        <f t="shared" si="76"/>
        <v>41640</v>
      </c>
      <c r="J395" s="1178"/>
      <c r="K395" s="1126"/>
      <c r="L395" s="1178"/>
      <c r="M395" s="1124"/>
      <c r="N395" s="1178">
        <v>250000</v>
      </c>
      <c r="O395" s="1124" t="s">
        <v>117</v>
      </c>
      <c r="P395" s="1178">
        <f>1500000+1500000</f>
        <v>3000000</v>
      </c>
      <c r="Q395" s="1126">
        <v>41373</v>
      </c>
      <c r="R395" s="1186" t="s">
        <v>137</v>
      </c>
      <c r="S395" s="1144" t="s">
        <v>137</v>
      </c>
      <c r="T395" s="1188">
        <f>1500000+1500000</f>
        <v>3000000</v>
      </c>
      <c r="U395" s="1126">
        <v>41373</v>
      </c>
      <c r="V395" s="1178"/>
      <c r="W395" s="1124">
        <v>41677</v>
      </c>
      <c r="X395" s="1178">
        <v>3000000</v>
      </c>
      <c r="Y395" s="1264" t="s">
        <v>276</v>
      </c>
      <c r="Z395" s="1257"/>
      <c r="AA395" s="1196"/>
      <c r="AB395" s="1205">
        <v>1000000</v>
      </c>
      <c r="AC395" s="1124">
        <v>41677</v>
      </c>
      <c r="AD395" s="1157"/>
      <c r="AE395" s="1247"/>
      <c r="AF395" s="1207"/>
      <c r="AG395" s="1296"/>
      <c r="AH395" s="1232" t="str">
        <f t="shared" si="81"/>
        <v>PI</v>
      </c>
      <c r="AI395" s="747" t="e">
        <f>SUM(J395,L395,N395,P395,R395,T395,V395,X395,Z395,AB395,AD395,AF395,#REF!)</f>
        <v>#REF!</v>
      </c>
      <c r="AJ395" s="747">
        <f t="shared" si="79"/>
        <v>10250000</v>
      </c>
      <c r="AK395" s="747" t="e">
        <f t="shared" si="80"/>
        <v>#REF!</v>
      </c>
      <c r="AL395" s="1170"/>
      <c r="AM395" s="1170"/>
      <c r="AN395" s="1209"/>
      <c r="AO395" s="1170"/>
      <c r="AP395" s="1209"/>
      <c r="AQ395" s="1128"/>
      <c r="AR395" s="1173"/>
      <c r="AT395" s="1173"/>
      <c r="AV395" s="1173"/>
      <c r="AX395" s="1173"/>
      <c r="AY395" s="1176"/>
      <c r="AZ395" s="1173"/>
    </row>
    <row r="396" spans="1:52" s="2" customFormat="1" x14ac:dyDescent="0.25">
      <c r="A396" s="19">
        <v>374</v>
      </c>
      <c r="B396" s="57">
        <v>38</v>
      </c>
      <c r="C396" s="38"/>
      <c r="D396" s="37" t="s">
        <v>668</v>
      </c>
      <c r="E396" s="28" t="s">
        <v>32</v>
      </c>
      <c r="F396" s="57">
        <v>2011</v>
      </c>
      <c r="G396" s="28"/>
      <c r="H396" s="58" t="str">
        <f t="shared" si="75"/>
        <v xml:space="preserve">   </v>
      </c>
      <c r="I396" s="58" t="str">
        <f t="shared" si="76"/>
        <v xml:space="preserve">   </v>
      </c>
      <c r="J396" s="1130"/>
      <c r="K396" s="1126"/>
      <c r="L396" s="1130"/>
      <c r="M396" s="1126"/>
      <c r="N396" s="1130">
        <v>250000</v>
      </c>
      <c r="O396" s="1126" t="s">
        <v>669</v>
      </c>
      <c r="P396" s="1130">
        <v>0</v>
      </c>
      <c r="Q396" s="1126"/>
      <c r="R396" s="1289">
        <v>0</v>
      </c>
      <c r="S396" s="1146"/>
      <c r="T396" s="1145">
        <v>0</v>
      </c>
      <c r="U396" s="1126"/>
      <c r="V396" s="1130">
        <v>0</v>
      </c>
      <c r="W396" s="1126"/>
      <c r="X396" s="1130">
        <v>0</v>
      </c>
      <c r="Y396" s="1245"/>
      <c r="Z396" s="1260">
        <v>0</v>
      </c>
      <c r="AA396" s="1196"/>
      <c r="AB396" s="1198">
        <v>0</v>
      </c>
      <c r="AC396" s="1126"/>
      <c r="AD396" s="1157"/>
      <c r="AE396" s="1247"/>
      <c r="AF396" s="1207"/>
      <c r="AG396" s="1296"/>
      <c r="AH396" s="1232" t="str">
        <f t="shared" si="81"/>
        <v>PI</v>
      </c>
      <c r="AI396" s="747">
        <f>SUM(J396,L396,N396,P396,R396,T396,V396,X396,Z396,AB396,AD396,AF396)</f>
        <v>250000</v>
      </c>
      <c r="AJ396" s="747">
        <f t="shared" ref="AJ396:AJ401" si="82">(COUNT(L396,J396,P396,R396,T396,V396,X396,Z396,AD396,AF396)*$L$358)+($J$358+$AB$358)</f>
        <v>19250000</v>
      </c>
      <c r="AK396" s="747">
        <f t="shared" ref="AK396:AK401" si="83">AJ396-AI396</f>
        <v>19000000</v>
      </c>
      <c r="AL396" s="1170"/>
      <c r="AM396" s="1170"/>
      <c r="AN396" s="1209"/>
      <c r="AO396" s="1170"/>
      <c r="AP396" s="1209"/>
      <c r="AQ396" s="1128"/>
      <c r="AR396" s="1173"/>
      <c r="AT396" s="1173"/>
      <c r="AV396" s="1173"/>
      <c r="AX396" s="1173"/>
      <c r="AY396" s="1176"/>
      <c r="AZ396" s="1173"/>
    </row>
    <row r="397" spans="1:52" s="2" customFormat="1" x14ac:dyDescent="0.25">
      <c r="A397" s="19">
        <v>375</v>
      </c>
      <c r="B397" s="59">
        <v>39</v>
      </c>
      <c r="C397" s="38">
        <v>849110206</v>
      </c>
      <c r="D397" s="39" t="s">
        <v>670</v>
      </c>
      <c r="E397" s="23" t="s">
        <v>32</v>
      </c>
      <c r="F397" s="59">
        <v>2011</v>
      </c>
      <c r="G397" s="31" t="s">
        <v>33</v>
      </c>
      <c r="H397" s="24" t="str">
        <f t="shared" si="75"/>
        <v xml:space="preserve">   </v>
      </c>
      <c r="I397" s="24">
        <f t="shared" si="76"/>
        <v>41640</v>
      </c>
      <c r="J397" s="1130"/>
      <c r="K397" s="1126"/>
      <c r="L397" s="1130"/>
      <c r="M397" s="1126"/>
      <c r="N397" s="1130">
        <v>250000</v>
      </c>
      <c r="O397" s="1126"/>
      <c r="P397" s="1130">
        <f>1500000+1500000</f>
        <v>3000000</v>
      </c>
      <c r="Q397" s="1126" t="s">
        <v>671</v>
      </c>
      <c r="R397" s="1289"/>
      <c r="S397" s="1146"/>
      <c r="T397" s="1145"/>
      <c r="U397" s="1126"/>
      <c r="V397" s="1130"/>
      <c r="W397" s="1126"/>
      <c r="X397" s="1130"/>
      <c r="Y397" s="1245"/>
      <c r="Z397" s="1260"/>
      <c r="AA397" s="1196"/>
      <c r="AB397" s="1198"/>
      <c r="AC397" s="1126"/>
      <c r="AD397" s="1157"/>
      <c r="AE397" s="1247"/>
      <c r="AF397" s="1207"/>
      <c r="AG397" s="1296"/>
      <c r="AH397" s="1232" t="str">
        <f t="shared" si="81"/>
        <v>PI</v>
      </c>
      <c r="AI397" s="747" t="e">
        <f>SUM(J397,L397,N397,P397,R397,T397,V397,X397,Z397,AB397,AD397,AF397,#REF!)</f>
        <v>#REF!</v>
      </c>
      <c r="AJ397" s="747">
        <f t="shared" si="82"/>
        <v>4250000</v>
      </c>
      <c r="AK397" s="747" t="e">
        <f t="shared" si="83"/>
        <v>#REF!</v>
      </c>
      <c r="AL397" s="1170"/>
      <c r="AM397" s="1170"/>
      <c r="AN397" s="1209"/>
      <c r="AO397" s="1170"/>
      <c r="AP397" s="1209"/>
      <c r="AQ397" s="1128"/>
      <c r="AR397" s="1173"/>
      <c r="AT397" s="1173"/>
      <c r="AV397" s="1173"/>
      <c r="AX397" s="1173"/>
      <c r="AY397" s="1176"/>
      <c r="AZ397" s="1173"/>
    </row>
    <row r="398" spans="1:52" s="2" customFormat="1" x14ac:dyDescent="0.25">
      <c r="A398" s="19">
        <v>376</v>
      </c>
      <c r="B398" s="59">
        <v>40</v>
      </c>
      <c r="C398" s="38">
        <v>849110220</v>
      </c>
      <c r="D398" s="39" t="s">
        <v>672</v>
      </c>
      <c r="E398" s="23" t="s">
        <v>32</v>
      </c>
      <c r="F398" s="59">
        <v>2011</v>
      </c>
      <c r="G398" s="31" t="s">
        <v>33</v>
      </c>
      <c r="H398" s="24" t="str">
        <f t="shared" si="75"/>
        <v xml:space="preserve">   </v>
      </c>
      <c r="I398" s="24">
        <f t="shared" si="76"/>
        <v>41640</v>
      </c>
      <c r="J398" s="1130"/>
      <c r="K398" s="1126"/>
      <c r="L398" s="1130"/>
      <c r="M398" s="1252" t="s">
        <v>673</v>
      </c>
      <c r="N398" s="1130"/>
      <c r="O398" s="1252" t="s">
        <v>673</v>
      </c>
      <c r="P398" s="1130">
        <f>1500000+1500000</f>
        <v>3000000</v>
      </c>
      <c r="Q398" s="1126">
        <v>41761</v>
      </c>
      <c r="R398" s="1186" t="s">
        <v>137</v>
      </c>
      <c r="S398" s="1290">
        <v>41397</v>
      </c>
      <c r="T398" s="1192" t="s">
        <v>137</v>
      </c>
      <c r="U398" s="1290"/>
      <c r="V398" s="1300"/>
      <c r="W398" s="1126">
        <v>41710</v>
      </c>
      <c r="X398" s="1130">
        <v>4500000</v>
      </c>
      <c r="Y398" s="1245"/>
      <c r="Z398" s="1260"/>
      <c r="AA398" s="1196"/>
      <c r="AB398" s="1198">
        <v>1000000</v>
      </c>
      <c r="AC398" s="1126" t="s">
        <v>674</v>
      </c>
      <c r="AD398" s="1157"/>
      <c r="AE398" s="1247"/>
      <c r="AF398" s="1207"/>
      <c r="AG398" s="1296"/>
      <c r="AH398" s="1232" t="str">
        <f t="shared" si="81"/>
        <v>PI</v>
      </c>
      <c r="AI398" s="747" t="e">
        <f>SUM(J398,L398,N398,P398,R398,T398,V398,X398,Z398,AB398,AD398,AF398,#REF!,#REF!)</f>
        <v>#REF!</v>
      </c>
      <c r="AJ398" s="747">
        <f t="shared" si="82"/>
        <v>7250000</v>
      </c>
      <c r="AK398" s="747" t="e">
        <f t="shared" si="83"/>
        <v>#REF!</v>
      </c>
      <c r="AL398" s="1170"/>
      <c r="AM398" s="1170"/>
      <c r="AN398" s="1209"/>
      <c r="AO398" s="1170"/>
      <c r="AP398" s="1209"/>
      <c r="AQ398" s="1128"/>
      <c r="AR398" s="1173"/>
      <c r="AT398" s="1173"/>
      <c r="AV398" s="1173"/>
      <c r="AX398" s="1173"/>
      <c r="AY398" s="1176"/>
      <c r="AZ398" s="1173"/>
    </row>
    <row r="399" spans="1:52" s="2" customFormat="1" x14ac:dyDescent="0.25">
      <c r="A399" s="19">
        <v>377</v>
      </c>
      <c r="B399" s="80">
        <v>41</v>
      </c>
      <c r="C399" s="38"/>
      <c r="D399" s="37" t="s">
        <v>675</v>
      </c>
      <c r="E399" s="28" t="s">
        <v>32</v>
      </c>
      <c r="F399" s="57">
        <v>2011</v>
      </c>
      <c r="G399" s="28"/>
      <c r="H399" s="58" t="str">
        <f t="shared" si="75"/>
        <v xml:space="preserve">   </v>
      </c>
      <c r="I399" s="58" t="str">
        <f t="shared" si="76"/>
        <v xml:space="preserve">   </v>
      </c>
      <c r="J399" s="1130"/>
      <c r="K399" s="1126"/>
      <c r="L399" s="1130"/>
      <c r="M399" s="1126"/>
      <c r="N399" s="1130">
        <v>250000</v>
      </c>
      <c r="O399" s="1126" t="s">
        <v>93</v>
      </c>
      <c r="P399" s="1130">
        <f>1500000+1500000</f>
        <v>3000000</v>
      </c>
      <c r="Q399" s="1126">
        <v>41914</v>
      </c>
      <c r="R399" s="1186" t="s">
        <v>137</v>
      </c>
      <c r="S399" s="1301">
        <v>41397</v>
      </c>
      <c r="T399" s="1302" t="s">
        <v>262</v>
      </c>
      <c r="U399" s="1301"/>
      <c r="V399" s="1303"/>
      <c r="W399" s="1126"/>
      <c r="X399" s="1130"/>
      <c r="Y399" s="1245"/>
      <c r="Z399" s="1260"/>
      <c r="AA399" s="1196"/>
      <c r="AB399" s="1198"/>
      <c r="AC399" s="1126"/>
      <c r="AD399" s="1157"/>
      <c r="AE399" s="1247"/>
      <c r="AF399" s="1207"/>
      <c r="AG399" s="1296"/>
      <c r="AH399" s="1232" t="str">
        <f t="shared" si="81"/>
        <v>PI</v>
      </c>
      <c r="AI399" s="747" t="e">
        <f>SUM(J399,L399,N399,P399,R399,T399,V399,X399,Z399,AB399,AD399,AF399,#REF!)</f>
        <v>#REF!</v>
      </c>
      <c r="AJ399" s="747">
        <f t="shared" si="82"/>
        <v>4250000</v>
      </c>
      <c r="AK399" s="747" t="e">
        <f t="shared" si="83"/>
        <v>#REF!</v>
      </c>
      <c r="AL399" s="1170"/>
      <c r="AM399" s="1170"/>
      <c r="AN399" s="1209"/>
      <c r="AO399" s="1170"/>
      <c r="AP399" s="1209"/>
      <c r="AQ399" s="1128"/>
      <c r="AR399" s="1173"/>
      <c r="AT399" s="1173"/>
      <c r="AV399" s="1173"/>
      <c r="AX399" s="1173"/>
      <c r="AY399" s="1176"/>
      <c r="AZ399" s="1173"/>
    </row>
    <row r="400" spans="1:52" s="2" customFormat="1" x14ac:dyDescent="0.25">
      <c r="A400" s="19">
        <v>378</v>
      </c>
      <c r="B400" s="59">
        <v>42</v>
      </c>
      <c r="C400" s="40">
        <v>849110187</v>
      </c>
      <c r="D400" s="39" t="s">
        <v>676</v>
      </c>
      <c r="E400" s="23" t="s">
        <v>32</v>
      </c>
      <c r="F400" s="59">
        <v>2011</v>
      </c>
      <c r="G400" s="31" t="s">
        <v>33</v>
      </c>
      <c r="H400" s="24" t="str">
        <f t="shared" si="75"/>
        <v xml:space="preserve">   </v>
      </c>
      <c r="I400" s="24">
        <f t="shared" si="76"/>
        <v>41640</v>
      </c>
      <c r="J400" s="1178"/>
      <c r="K400" s="1126"/>
      <c r="L400" s="1178">
        <v>250000</v>
      </c>
      <c r="M400" s="1124" t="s">
        <v>677</v>
      </c>
      <c r="N400" s="1178">
        <v>250000</v>
      </c>
      <c r="O400" s="1124" t="s">
        <v>559</v>
      </c>
      <c r="P400" s="1178">
        <v>6000000</v>
      </c>
      <c r="Q400" s="2293" t="s">
        <v>428</v>
      </c>
      <c r="R400" s="1250"/>
      <c r="S400" s="1251"/>
      <c r="T400" s="1188">
        <v>3000000</v>
      </c>
      <c r="U400" s="1124" t="s">
        <v>678</v>
      </c>
      <c r="V400" s="1178"/>
      <c r="W400" s="1124">
        <v>41736</v>
      </c>
      <c r="X400" s="1178">
        <v>3000000</v>
      </c>
      <c r="Y400" s="1264" t="s">
        <v>276</v>
      </c>
      <c r="Z400" s="1257"/>
      <c r="AA400" s="1196"/>
      <c r="AB400" s="1205">
        <v>1000000</v>
      </c>
      <c r="AC400" s="1124">
        <v>41736</v>
      </c>
      <c r="AD400" s="1157"/>
      <c r="AE400" s="1247"/>
      <c r="AF400" s="1207"/>
      <c r="AG400" s="1296"/>
      <c r="AH400" s="1232" t="str">
        <f t="shared" si="81"/>
        <v>PI</v>
      </c>
      <c r="AI400" s="747">
        <f>SUM(J400,L400,N400,P400,R400,T400,V400,X400,Z400,AB400,AD400,AF400)</f>
        <v>13500000</v>
      </c>
      <c r="AJ400" s="747">
        <f t="shared" si="82"/>
        <v>13250000</v>
      </c>
      <c r="AK400" s="747">
        <f t="shared" si="83"/>
        <v>-250000</v>
      </c>
      <c r="AL400" s="1170"/>
      <c r="AM400" s="1170"/>
      <c r="AN400" s="1209"/>
      <c r="AO400" s="1170"/>
      <c r="AP400" s="1209"/>
      <c r="AQ400" s="1128"/>
      <c r="AR400" s="1173"/>
      <c r="AT400" s="1173"/>
      <c r="AV400" s="1173"/>
      <c r="AX400" s="1173"/>
      <c r="AY400" s="1176"/>
      <c r="AZ400" s="1173"/>
    </row>
    <row r="401" spans="1:52" s="2" customFormat="1" x14ac:dyDescent="0.25">
      <c r="A401" s="19">
        <v>379</v>
      </c>
      <c r="B401" s="57">
        <v>43</v>
      </c>
      <c r="C401" s="38"/>
      <c r="D401" s="37" t="s">
        <v>679</v>
      </c>
      <c r="E401" s="28" t="s">
        <v>32</v>
      </c>
      <c r="F401" s="57">
        <v>2011</v>
      </c>
      <c r="G401" s="28"/>
      <c r="H401" s="58" t="str">
        <f t="shared" si="75"/>
        <v xml:space="preserve">   </v>
      </c>
      <c r="I401" s="58" t="str">
        <f t="shared" si="76"/>
        <v xml:space="preserve">   </v>
      </c>
      <c r="J401" s="1130"/>
      <c r="K401" s="1126"/>
      <c r="L401" s="1130"/>
      <c r="M401" s="1126"/>
      <c r="N401" s="1130">
        <v>250000</v>
      </c>
      <c r="O401" s="1126"/>
      <c r="P401" s="1130">
        <f>1500000+1500000</f>
        <v>3000000</v>
      </c>
      <c r="Q401" s="1126" t="s">
        <v>680</v>
      </c>
      <c r="R401" s="1186" t="s">
        <v>137</v>
      </c>
      <c r="S401" s="1144" t="s">
        <v>137</v>
      </c>
      <c r="T401" s="1145">
        <f>1500000+1500000</f>
        <v>3000000</v>
      </c>
      <c r="U401" s="1126" t="s">
        <v>681</v>
      </c>
      <c r="V401" s="1130"/>
      <c r="W401" s="1126">
        <v>41736</v>
      </c>
      <c r="X401" s="1130">
        <v>3000000</v>
      </c>
      <c r="Y401" s="1245"/>
      <c r="Z401" s="1260"/>
      <c r="AA401" s="1196"/>
      <c r="AB401" s="1198">
        <v>1000000</v>
      </c>
      <c r="AC401" s="1126">
        <v>41736</v>
      </c>
      <c r="AD401" s="1157"/>
      <c r="AE401" s="1247"/>
      <c r="AF401" s="1207"/>
      <c r="AG401" s="1296"/>
      <c r="AH401" s="1232" t="str">
        <f t="shared" si="81"/>
        <v>PI</v>
      </c>
      <c r="AI401" s="747" t="e">
        <f>SUM(J401,L401,N401,P401,R401,T401,V401,X401,Z401,AB401,AD401,AF401,#REF!,#REF!)</f>
        <v>#REF!</v>
      </c>
      <c r="AJ401" s="747">
        <f t="shared" si="82"/>
        <v>10250000</v>
      </c>
      <c r="AK401" s="747" t="e">
        <f t="shared" si="83"/>
        <v>#REF!</v>
      </c>
      <c r="AL401" s="1170"/>
      <c r="AM401" s="1170"/>
      <c r="AN401" s="1209"/>
      <c r="AO401" s="1170"/>
      <c r="AP401" s="1209"/>
      <c r="AQ401" s="1128"/>
      <c r="AR401" s="1173"/>
      <c r="AT401" s="1173"/>
      <c r="AV401" s="1173"/>
      <c r="AX401" s="1173"/>
      <c r="AY401" s="1176"/>
      <c r="AZ401" s="1173"/>
    </row>
    <row r="402" spans="1:52" s="2" customFormat="1" x14ac:dyDescent="0.25">
      <c r="A402" s="72"/>
      <c r="B402" s="72"/>
      <c r="C402" s="62"/>
      <c r="D402" s="73"/>
      <c r="E402" s="63"/>
      <c r="F402" s="64" t="s">
        <v>61</v>
      </c>
      <c r="G402" s="63"/>
      <c r="H402" s="65" t="str">
        <f t="shared" si="75"/>
        <v xml:space="preserve">   </v>
      </c>
      <c r="I402" s="65" t="str">
        <f t="shared" si="76"/>
        <v xml:space="preserve">   </v>
      </c>
      <c r="J402" s="87"/>
      <c r="K402" s="1137"/>
      <c r="L402" s="87"/>
      <c r="M402" s="1137"/>
      <c r="N402" s="87"/>
      <c r="O402" s="1137"/>
      <c r="P402" s="87"/>
      <c r="Q402" s="1137"/>
      <c r="R402" s="87"/>
      <c r="S402" s="1141"/>
      <c r="T402" s="87"/>
      <c r="U402" s="1137"/>
      <c r="V402" s="87"/>
      <c r="W402" s="1137"/>
      <c r="X402" s="87"/>
      <c r="Y402" s="1137"/>
      <c r="Z402" s="87"/>
      <c r="AA402" s="1137"/>
      <c r="AB402" s="1229"/>
      <c r="AC402" s="1137"/>
      <c r="AD402" s="87"/>
      <c r="AE402" s="1230"/>
      <c r="AF402" s="747"/>
      <c r="AG402" s="1155"/>
      <c r="AH402" s="1168">
        <f t="shared" si="81"/>
        <v>0</v>
      </c>
      <c r="AI402" s="747"/>
      <c r="AJ402" s="747"/>
      <c r="AK402" s="747"/>
      <c r="AL402" s="1170"/>
      <c r="AM402" s="1170"/>
      <c r="AN402" s="1209"/>
      <c r="AO402" s="1170"/>
      <c r="AP402" s="1209"/>
      <c r="AQ402" s="1128"/>
      <c r="AR402" s="1173"/>
      <c r="AT402" s="1173"/>
      <c r="AV402" s="1173"/>
      <c r="AX402" s="1173"/>
      <c r="AY402" s="1176"/>
      <c r="AZ402" s="1173"/>
    </row>
    <row r="403" spans="1:52" s="2" customFormat="1" x14ac:dyDescent="0.25">
      <c r="A403" s="72"/>
      <c r="B403" s="41" t="s">
        <v>682</v>
      </c>
      <c r="C403" s="38"/>
      <c r="D403" s="41"/>
      <c r="E403" s="28"/>
      <c r="F403" s="57" t="s">
        <v>61</v>
      </c>
      <c r="G403" s="28"/>
      <c r="H403" s="58" t="str">
        <f t="shared" si="75"/>
        <v xml:space="preserve">   </v>
      </c>
      <c r="I403" s="58" t="str">
        <f t="shared" si="76"/>
        <v xml:space="preserve">   </v>
      </c>
      <c r="J403" s="1283">
        <v>1250000</v>
      </c>
      <c r="K403" s="1126"/>
      <c r="L403" s="1283">
        <v>3000000</v>
      </c>
      <c r="M403" s="1126"/>
      <c r="N403" s="1130"/>
      <c r="O403" s="1126"/>
      <c r="P403" s="1130"/>
      <c r="Q403" s="1126"/>
      <c r="R403" s="1130"/>
      <c r="S403" s="1126"/>
      <c r="T403" s="1145"/>
      <c r="U403" s="1126"/>
      <c r="V403" s="1260"/>
      <c r="W403" s="1196"/>
      <c r="X403" s="1260"/>
      <c r="Y403" s="1196"/>
      <c r="Z403" s="1260"/>
      <c r="AA403" s="1196"/>
      <c r="AB403" s="1294">
        <v>1000000</v>
      </c>
      <c r="AC403" s="1196"/>
      <c r="AD403" s="1157"/>
      <c r="AE403" s="1158"/>
      <c r="AF403" s="1157"/>
      <c r="AG403" s="1158"/>
      <c r="AH403" s="1232">
        <f t="shared" si="81"/>
        <v>0</v>
      </c>
      <c r="AI403" s="747"/>
      <c r="AJ403" s="747"/>
      <c r="AK403" s="747"/>
      <c r="AL403" s="1170"/>
      <c r="AM403" s="1170"/>
      <c r="AN403" s="1209"/>
      <c r="AO403" s="1170"/>
      <c r="AP403" s="1209"/>
      <c r="AQ403" s="1128"/>
      <c r="AR403" s="1173"/>
      <c r="AT403" s="1173"/>
      <c r="AV403" s="1173"/>
      <c r="AX403" s="1173"/>
      <c r="AY403" s="1176"/>
      <c r="AZ403" s="1173"/>
    </row>
    <row r="404" spans="1:52" s="2" customFormat="1" x14ac:dyDescent="0.25">
      <c r="A404" s="19">
        <v>380</v>
      </c>
      <c r="B404" s="57">
        <v>1</v>
      </c>
      <c r="C404" s="38">
        <v>49110221</v>
      </c>
      <c r="D404" s="37" t="s">
        <v>683</v>
      </c>
      <c r="E404" s="28" t="s">
        <v>32</v>
      </c>
      <c r="F404" s="57">
        <v>2011</v>
      </c>
      <c r="G404" s="28"/>
      <c r="H404" s="58" t="str">
        <f t="shared" si="75"/>
        <v xml:space="preserve">   </v>
      </c>
      <c r="I404" s="58" t="str">
        <f t="shared" si="76"/>
        <v xml:space="preserve">   </v>
      </c>
      <c r="J404" s="1239"/>
      <c r="K404" s="1194"/>
      <c r="L404" s="1130">
        <v>4000000</v>
      </c>
      <c r="M404" s="1126">
        <v>41123</v>
      </c>
      <c r="N404" s="1130">
        <f>1500000+1500000</f>
        <v>3000000</v>
      </c>
      <c r="O404" s="1126">
        <v>41610</v>
      </c>
      <c r="P404" s="1260">
        <v>3000000</v>
      </c>
      <c r="Q404" s="1126">
        <v>41610</v>
      </c>
      <c r="R404" s="1130"/>
      <c r="S404" s="1144" t="s">
        <v>684</v>
      </c>
      <c r="T404" s="1145"/>
      <c r="U404" s="1144" t="s">
        <v>684</v>
      </c>
      <c r="V404" s="1265">
        <v>0</v>
      </c>
      <c r="W404" s="1196"/>
      <c r="X404" s="1181">
        <v>0</v>
      </c>
      <c r="Y404" s="1196"/>
      <c r="Z404" s="1265">
        <v>0</v>
      </c>
      <c r="AA404" s="1194"/>
      <c r="AB404" s="1309">
        <v>0</v>
      </c>
      <c r="AC404" s="1258"/>
      <c r="AD404" s="1310"/>
      <c r="AE404" s="1296"/>
      <c r="AF404" s="1157"/>
      <c r="AG404" s="1158"/>
      <c r="AH404" s="1232" t="str">
        <f t="shared" si="81"/>
        <v>PI</v>
      </c>
      <c r="AI404" s="747" t="e">
        <f>SUM(J404,L404,N404,P404,R404,T404,V404,X404,Z404,AB404,AD404,AF404,#REF!)</f>
        <v>#REF!</v>
      </c>
      <c r="AJ404" s="747">
        <f>(COUNT(L404,N404,P404,R404,T404,V404,X404,Z404,AD404,AF404)*$L$403)+($J$403+$AB$403)</f>
        <v>20250000</v>
      </c>
      <c r="AK404" s="747" t="e">
        <f>AJ404-AI404</f>
        <v>#REF!</v>
      </c>
      <c r="AL404" s="1170"/>
      <c r="AM404" s="1170"/>
      <c r="AN404" s="1209"/>
      <c r="AO404" s="1170"/>
      <c r="AP404" s="1209"/>
      <c r="AQ404" s="1128"/>
      <c r="AR404" s="1173"/>
      <c r="AT404" s="1173"/>
      <c r="AV404" s="1173"/>
      <c r="AX404" s="1173"/>
      <c r="AY404" s="1176"/>
      <c r="AZ404" s="1173"/>
    </row>
    <row r="405" spans="1:52" s="2" customFormat="1" x14ac:dyDescent="0.25">
      <c r="A405" s="19">
        <v>381</v>
      </c>
      <c r="B405" s="59">
        <v>2</v>
      </c>
      <c r="C405" s="95">
        <v>849110222</v>
      </c>
      <c r="D405" s="39" t="s">
        <v>685</v>
      </c>
      <c r="E405" s="23" t="s">
        <v>32</v>
      </c>
      <c r="F405" s="59">
        <v>2011</v>
      </c>
      <c r="G405" s="23"/>
      <c r="H405" s="60" t="str">
        <f t="shared" si="75"/>
        <v xml:space="preserve">   </v>
      </c>
      <c r="I405" s="60">
        <f t="shared" si="76"/>
        <v>41275</v>
      </c>
      <c r="J405" s="1123">
        <v>1250000</v>
      </c>
      <c r="K405" s="1124"/>
      <c r="L405" s="1178">
        <v>3000000</v>
      </c>
      <c r="M405" s="1124">
        <v>40970</v>
      </c>
      <c r="N405" s="1178">
        <v>3000000</v>
      </c>
      <c r="O405" s="1124">
        <v>40916</v>
      </c>
      <c r="P405" s="1178">
        <v>3000000</v>
      </c>
      <c r="Q405" s="1124">
        <v>41427</v>
      </c>
      <c r="R405" s="1178">
        <v>3000000</v>
      </c>
      <c r="S405" s="1124">
        <v>41481</v>
      </c>
      <c r="T405" s="1145"/>
      <c r="U405" s="1126"/>
      <c r="V405" s="1130"/>
      <c r="W405" s="1126"/>
      <c r="X405" s="1260"/>
      <c r="Y405" s="1196"/>
      <c r="Z405" s="1260"/>
      <c r="AA405" s="1196"/>
      <c r="AB405" s="1195"/>
      <c r="AC405" s="1196"/>
      <c r="AD405" s="1197"/>
      <c r="AE405" s="1158"/>
      <c r="AF405" s="1157"/>
      <c r="AG405" s="1158"/>
      <c r="AH405" s="1232" t="str">
        <f t="shared" si="81"/>
        <v>PI</v>
      </c>
      <c r="AI405" s="747">
        <f t="shared" ref="AI405:AI424" si="84">SUM(J405,L405,N405,P405,R405,T405,V405,X405,Z405,AB405,AD405,AF405)</f>
        <v>13250000</v>
      </c>
      <c r="AJ405" s="747">
        <f t="shared" ref="AJ405:AJ429" si="85">(COUNT(L405,N405,P405,R405,T405,V405,X405,Z405,AD405,AF405)*$L$403)+($J$403+$AB$403)</f>
        <v>14250000</v>
      </c>
      <c r="AK405" s="747">
        <f t="shared" ref="AK405:AK429" si="86">AJ405-AI405</f>
        <v>1000000</v>
      </c>
      <c r="AL405" s="1170"/>
      <c r="AM405" s="1170"/>
      <c r="AN405" s="1209"/>
      <c r="AO405" s="1170"/>
      <c r="AP405" s="1209"/>
      <c r="AQ405" s="1128"/>
      <c r="AR405" s="1173"/>
      <c r="AT405" s="1173"/>
      <c r="AV405" s="1173"/>
      <c r="AX405" s="1173"/>
      <c r="AY405" s="1176"/>
      <c r="AZ405" s="1173"/>
    </row>
    <row r="406" spans="1:52" s="2" customFormat="1" x14ac:dyDescent="0.25">
      <c r="A406" s="19">
        <v>382</v>
      </c>
      <c r="B406" s="59">
        <v>3</v>
      </c>
      <c r="C406" s="40">
        <v>849110223</v>
      </c>
      <c r="D406" s="39" t="s">
        <v>686</v>
      </c>
      <c r="E406" s="23" t="s">
        <v>32</v>
      </c>
      <c r="F406" s="59">
        <v>2011</v>
      </c>
      <c r="G406" s="23" t="s">
        <v>33</v>
      </c>
      <c r="H406" s="60" t="str">
        <f t="shared" si="75"/>
        <v xml:space="preserve">   </v>
      </c>
      <c r="I406" s="60">
        <f t="shared" si="76"/>
        <v>41640</v>
      </c>
      <c r="J406" s="1123">
        <v>1250000</v>
      </c>
      <c r="K406" s="1124"/>
      <c r="L406" s="1178">
        <v>3000000</v>
      </c>
      <c r="M406" s="1124">
        <v>40910</v>
      </c>
      <c r="N406" s="1178">
        <v>3000000</v>
      </c>
      <c r="O406" s="1124" t="s">
        <v>90</v>
      </c>
      <c r="P406" s="1178">
        <v>3000000</v>
      </c>
      <c r="Q406" s="1124">
        <v>41427</v>
      </c>
      <c r="R406" s="1178">
        <v>3000000</v>
      </c>
      <c r="S406" s="1124">
        <v>41546</v>
      </c>
      <c r="T406" s="1188"/>
      <c r="U406" s="1263" t="s">
        <v>276</v>
      </c>
      <c r="V406" s="1130"/>
      <c r="W406" s="1126"/>
      <c r="X406" s="1260"/>
      <c r="Y406" s="1126"/>
      <c r="Z406" s="1130"/>
      <c r="AA406" s="1126"/>
      <c r="AB406" s="1311">
        <v>1000000</v>
      </c>
      <c r="AC406" s="1251" t="s">
        <v>437</v>
      </c>
      <c r="AD406" s="1197"/>
      <c r="AE406" s="1158"/>
      <c r="AF406" s="1157"/>
      <c r="AG406" s="1278"/>
      <c r="AH406" s="1232" t="str">
        <f t="shared" si="81"/>
        <v>PI</v>
      </c>
      <c r="AI406" s="747">
        <f t="shared" si="84"/>
        <v>14250000</v>
      </c>
      <c r="AJ406" s="747">
        <f t="shared" si="85"/>
        <v>14250000</v>
      </c>
      <c r="AK406" s="747">
        <f t="shared" si="86"/>
        <v>0</v>
      </c>
      <c r="AL406" s="1170"/>
      <c r="AM406" s="1170"/>
      <c r="AN406" s="1209"/>
      <c r="AO406" s="1170"/>
      <c r="AP406" s="1209"/>
      <c r="AQ406" s="1128"/>
      <c r="AR406" s="1173"/>
      <c r="AT406" s="1173"/>
      <c r="AV406" s="1173"/>
      <c r="AX406" s="1173"/>
      <c r="AY406" s="1176"/>
      <c r="AZ406" s="1173"/>
    </row>
    <row r="407" spans="1:52" s="2" customFormat="1" x14ac:dyDescent="0.25">
      <c r="A407" s="19">
        <v>383</v>
      </c>
      <c r="B407" s="59">
        <v>4</v>
      </c>
      <c r="C407" s="40">
        <v>849110224</v>
      </c>
      <c r="D407" s="39" t="s">
        <v>687</v>
      </c>
      <c r="E407" s="23" t="s">
        <v>32</v>
      </c>
      <c r="F407" s="59">
        <v>2011</v>
      </c>
      <c r="G407" s="23" t="s">
        <v>33</v>
      </c>
      <c r="H407" s="60" t="str">
        <f t="shared" si="75"/>
        <v xml:space="preserve">   </v>
      </c>
      <c r="I407" s="60">
        <f t="shared" si="76"/>
        <v>41640</v>
      </c>
      <c r="J407" s="1123"/>
      <c r="K407" s="1124"/>
      <c r="L407" s="1178">
        <v>4000000</v>
      </c>
      <c r="M407" s="1124">
        <v>40910</v>
      </c>
      <c r="N407" s="1178">
        <v>3000000</v>
      </c>
      <c r="O407" s="1124">
        <v>40976</v>
      </c>
      <c r="P407" s="1178">
        <v>3000000</v>
      </c>
      <c r="Q407" s="1124">
        <v>41488</v>
      </c>
      <c r="R407" s="1178">
        <v>3000000</v>
      </c>
      <c r="S407" s="1124">
        <v>41478</v>
      </c>
      <c r="T407" s="1188"/>
      <c r="U407" s="1263" t="s">
        <v>276</v>
      </c>
      <c r="V407" s="1130"/>
      <c r="W407" s="1126"/>
      <c r="X407" s="1260"/>
      <c r="Y407" s="1126"/>
      <c r="Z407" s="1130"/>
      <c r="AA407" s="1126"/>
      <c r="AB407" s="1311">
        <v>1000000</v>
      </c>
      <c r="AC407" s="1251">
        <v>41914</v>
      </c>
      <c r="AD407" s="1197"/>
      <c r="AE407" s="1158"/>
      <c r="AF407" s="1157"/>
      <c r="AG407" s="1278"/>
      <c r="AH407" s="1232" t="str">
        <f t="shared" si="81"/>
        <v>PI</v>
      </c>
      <c r="AI407" s="747">
        <f t="shared" si="84"/>
        <v>14000000</v>
      </c>
      <c r="AJ407" s="747">
        <f t="shared" si="85"/>
        <v>14250000</v>
      </c>
      <c r="AK407" s="747">
        <f t="shared" si="86"/>
        <v>250000</v>
      </c>
      <c r="AL407" s="1170"/>
      <c r="AM407" s="1170"/>
      <c r="AN407" s="1209"/>
      <c r="AO407" s="1170"/>
      <c r="AP407" s="1209"/>
      <c r="AQ407" s="1128"/>
      <c r="AR407" s="1173"/>
      <c r="AT407" s="1173"/>
      <c r="AV407" s="1173"/>
      <c r="AX407" s="1173"/>
      <c r="AY407" s="1176"/>
      <c r="AZ407" s="1173"/>
    </row>
    <row r="408" spans="1:52" s="2" customFormat="1" x14ac:dyDescent="0.25">
      <c r="A408" s="19">
        <v>384</v>
      </c>
      <c r="B408" s="59">
        <v>5</v>
      </c>
      <c r="C408" s="40">
        <v>849110225</v>
      </c>
      <c r="D408" s="39" t="s">
        <v>688</v>
      </c>
      <c r="E408" s="23" t="s">
        <v>32</v>
      </c>
      <c r="F408" s="59">
        <v>2011</v>
      </c>
      <c r="G408" s="23" t="s">
        <v>33</v>
      </c>
      <c r="H408" s="60" t="str">
        <f t="shared" si="75"/>
        <v xml:space="preserve">   </v>
      </c>
      <c r="I408" s="60">
        <f t="shared" si="76"/>
        <v>41640</v>
      </c>
      <c r="J408" s="1123"/>
      <c r="K408" s="1124"/>
      <c r="L408" s="1178">
        <v>4150000</v>
      </c>
      <c r="M408" s="1124" t="s">
        <v>689</v>
      </c>
      <c r="N408" s="1178">
        <v>3000000</v>
      </c>
      <c r="O408" s="1124">
        <v>40947</v>
      </c>
      <c r="P408" s="1178">
        <v>3000000</v>
      </c>
      <c r="Q408" s="1124">
        <v>41488</v>
      </c>
      <c r="R408" s="1178">
        <v>3000000</v>
      </c>
      <c r="S408" s="1124" t="s">
        <v>652</v>
      </c>
      <c r="T408" s="1188">
        <v>3000000</v>
      </c>
      <c r="U408" s="1124" t="s">
        <v>690</v>
      </c>
      <c r="V408" s="1178"/>
      <c r="W408" s="1263" t="s">
        <v>276</v>
      </c>
      <c r="X408" s="1260"/>
      <c r="Y408" s="1126"/>
      <c r="Z408" s="1130"/>
      <c r="AA408" s="1126"/>
      <c r="AB408" s="1311">
        <v>1000000</v>
      </c>
      <c r="AC408" s="1251" t="s">
        <v>691</v>
      </c>
      <c r="AD408" s="1197"/>
      <c r="AE408" s="1158"/>
      <c r="AF408" s="1157"/>
      <c r="AG408" s="1278"/>
      <c r="AH408" s="1232" t="str">
        <f t="shared" si="81"/>
        <v>PI</v>
      </c>
      <c r="AI408" s="747">
        <f t="shared" si="84"/>
        <v>17150000</v>
      </c>
      <c r="AJ408" s="747">
        <f t="shared" si="85"/>
        <v>17250000</v>
      </c>
      <c r="AK408" s="747">
        <f t="shared" si="86"/>
        <v>100000</v>
      </c>
      <c r="AL408" s="1170"/>
      <c r="AM408" s="1170"/>
      <c r="AN408" s="1209"/>
      <c r="AO408" s="1170"/>
      <c r="AP408" s="1209"/>
      <c r="AQ408" s="1128"/>
      <c r="AR408" s="1173"/>
      <c r="AT408" s="1173"/>
      <c r="AV408" s="1173"/>
      <c r="AX408" s="1173"/>
      <c r="AY408" s="1176"/>
      <c r="AZ408" s="1173"/>
    </row>
    <row r="409" spans="1:52" s="2" customFormat="1" x14ac:dyDescent="0.25">
      <c r="A409" s="19">
        <v>385</v>
      </c>
      <c r="B409" s="59">
        <v>6</v>
      </c>
      <c r="C409" s="40">
        <v>849110226</v>
      </c>
      <c r="D409" s="39" t="s">
        <v>692</v>
      </c>
      <c r="E409" s="23" t="s">
        <v>32</v>
      </c>
      <c r="F409" s="59">
        <v>2011</v>
      </c>
      <c r="G409" s="23" t="s">
        <v>33</v>
      </c>
      <c r="H409" s="60" t="str">
        <f t="shared" si="75"/>
        <v xml:space="preserve">   </v>
      </c>
      <c r="I409" s="60">
        <f t="shared" si="76"/>
        <v>41640</v>
      </c>
      <c r="J409" s="1123">
        <v>1250000</v>
      </c>
      <c r="K409" s="1124"/>
      <c r="L409" s="1178">
        <v>3000000</v>
      </c>
      <c r="M409" s="1124">
        <v>40910</v>
      </c>
      <c r="N409" s="1178">
        <v>3000000</v>
      </c>
      <c r="O409" s="1124"/>
      <c r="P409" s="1178">
        <v>3000000</v>
      </c>
      <c r="Q409" s="1124" t="s">
        <v>693</v>
      </c>
      <c r="R409" s="1178">
        <v>3000000</v>
      </c>
      <c r="S409" s="1124" t="s">
        <v>537</v>
      </c>
      <c r="T409" s="1304"/>
      <c r="U409" s="1263" t="s">
        <v>276</v>
      </c>
      <c r="V409" s="1238"/>
      <c r="W409" s="1126"/>
      <c r="X409" s="1240"/>
      <c r="Y409" s="1126"/>
      <c r="Z409" s="1238"/>
      <c r="AA409" s="1126"/>
      <c r="AB409" s="1311"/>
      <c r="AC409" s="1251"/>
      <c r="AD409" s="1246"/>
      <c r="AE409" s="1158"/>
      <c r="AF409" s="1243"/>
      <c r="AG409" s="1278"/>
      <c r="AH409" s="1232" t="str">
        <f t="shared" si="81"/>
        <v>PI</v>
      </c>
      <c r="AI409" s="747">
        <f t="shared" si="84"/>
        <v>13250000</v>
      </c>
      <c r="AJ409" s="747">
        <f t="shared" si="85"/>
        <v>14250000</v>
      </c>
      <c r="AK409" s="747">
        <f t="shared" si="86"/>
        <v>1000000</v>
      </c>
      <c r="AL409" s="1170"/>
      <c r="AM409" s="1170"/>
      <c r="AN409" s="1209"/>
      <c r="AO409" s="1170"/>
      <c r="AP409" s="1209"/>
      <c r="AQ409" s="1128"/>
      <c r="AR409" s="1173"/>
      <c r="AT409" s="1173"/>
      <c r="AV409" s="1173"/>
      <c r="AX409" s="1173"/>
      <c r="AY409" s="1176"/>
      <c r="AZ409" s="1173"/>
    </row>
    <row r="410" spans="1:52" s="2" customFormat="1" x14ac:dyDescent="0.25">
      <c r="A410" s="19">
        <v>386</v>
      </c>
      <c r="B410" s="57">
        <v>7</v>
      </c>
      <c r="C410" s="38">
        <v>849110227</v>
      </c>
      <c r="D410" s="37" t="s">
        <v>694</v>
      </c>
      <c r="E410" s="28" t="s">
        <v>32</v>
      </c>
      <c r="F410" s="57">
        <v>2011</v>
      </c>
      <c r="G410" s="28"/>
      <c r="H410" s="58" t="str">
        <f t="shared" si="75"/>
        <v xml:space="preserve">   </v>
      </c>
      <c r="I410" s="58" t="str">
        <f t="shared" si="76"/>
        <v xml:space="preserve">   </v>
      </c>
      <c r="J410" s="1125">
        <v>1250000</v>
      </c>
      <c r="K410" s="1126"/>
      <c r="L410" s="1130">
        <v>3000000</v>
      </c>
      <c r="M410" s="1126" t="s">
        <v>695</v>
      </c>
      <c r="N410" s="1130"/>
      <c r="O410" s="1126"/>
      <c r="P410" s="1130"/>
      <c r="Q410" s="1126"/>
      <c r="R410" s="1130"/>
      <c r="S410" s="1126"/>
      <c r="T410" s="1145"/>
      <c r="U410" s="1126"/>
      <c r="V410" s="1130"/>
      <c r="W410" s="1126"/>
      <c r="X410" s="1260"/>
      <c r="Y410" s="1126"/>
      <c r="Z410" s="1130"/>
      <c r="AA410" s="1126"/>
      <c r="AB410" s="1311"/>
      <c r="AC410" s="1251"/>
      <c r="AD410" s="1197"/>
      <c r="AE410" s="1158"/>
      <c r="AF410" s="1157"/>
      <c r="AG410" s="1278"/>
      <c r="AH410" s="1232" t="str">
        <f t="shared" si="81"/>
        <v>PI</v>
      </c>
      <c r="AI410" s="747">
        <f t="shared" si="84"/>
        <v>4250000</v>
      </c>
      <c r="AJ410" s="747">
        <f t="shared" si="85"/>
        <v>5250000</v>
      </c>
      <c r="AK410" s="747">
        <f t="shared" si="86"/>
        <v>1000000</v>
      </c>
      <c r="AL410" s="1170"/>
      <c r="AM410" s="1170"/>
      <c r="AN410" s="1209"/>
      <c r="AO410" s="1170"/>
      <c r="AP410" s="1209"/>
      <c r="AQ410" s="1128"/>
      <c r="AR410" s="1173"/>
      <c r="AT410" s="1173"/>
      <c r="AV410" s="1173"/>
      <c r="AX410" s="1173"/>
      <c r="AY410" s="1176"/>
      <c r="AZ410" s="1173"/>
    </row>
    <row r="411" spans="1:52" s="2" customFormat="1" x14ac:dyDescent="0.25">
      <c r="A411" s="19">
        <v>387</v>
      </c>
      <c r="B411" s="59">
        <v>8</v>
      </c>
      <c r="C411" s="40">
        <v>849110228</v>
      </c>
      <c r="D411" s="39" t="s">
        <v>696</v>
      </c>
      <c r="E411" s="23" t="s">
        <v>32</v>
      </c>
      <c r="F411" s="59">
        <v>2011</v>
      </c>
      <c r="G411" s="23" t="s">
        <v>33</v>
      </c>
      <c r="H411" s="60" t="str">
        <f t="shared" si="75"/>
        <v xml:space="preserve">   </v>
      </c>
      <c r="I411" s="60">
        <f t="shared" si="76"/>
        <v>41640</v>
      </c>
      <c r="J411" s="1123">
        <v>1250000</v>
      </c>
      <c r="K411" s="1124" t="s">
        <v>689</v>
      </c>
      <c r="L411" s="1178">
        <v>3000000</v>
      </c>
      <c r="M411" s="1124" t="s">
        <v>689</v>
      </c>
      <c r="N411" s="1178">
        <v>3000000</v>
      </c>
      <c r="O411" s="1124">
        <v>40976</v>
      </c>
      <c r="P411" s="1178">
        <v>3000000</v>
      </c>
      <c r="Q411" s="1124">
        <v>41457</v>
      </c>
      <c r="R411" s="1178">
        <v>3000000</v>
      </c>
      <c r="S411" s="1124" t="s">
        <v>697</v>
      </c>
      <c r="T411" s="1304"/>
      <c r="U411" s="1263" t="s">
        <v>276</v>
      </c>
      <c r="V411" s="1238"/>
      <c r="W411" s="1126"/>
      <c r="X411" s="1240"/>
      <c r="Y411" s="1126"/>
      <c r="Z411" s="1238"/>
      <c r="AA411" s="1126"/>
      <c r="AB411" s="1311">
        <v>1000000</v>
      </c>
      <c r="AC411" s="1251" t="s">
        <v>553</v>
      </c>
      <c r="AD411" s="1246"/>
      <c r="AE411" s="1158"/>
      <c r="AF411" s="1243"/>
      <c r="AG411" s="1278"/>
      <c r="AH411" s="1232" t="str">
        <f t="shared" si="81"/>
        <v>PI</v>
      </c>
      <c r="AI411" s="747">
        <f t="shared" si="84"/>
        <v>14250000</v>
      </c>
      <c r="AJ411" s="747">
        <f t="shared" si="85"/>
        <v>14250000</v>
      </c>
      <c r="AK411" s="747">
        <f t="shared" si="86"/>
        <v>0</v>
      </c>
      <c r="AL411" s="1170"/>
      <c r="AM411" s="1170"/>
      <c r="AN411" s="1209"/>
      <c r="AO411" s="1170"/>
      <c r="AP411" s="1209"/>
      <c r="AQ411" s="1128"/>
      <c r="AR411" s="1173"/>
      <c r="AT411" s="1173"/>
      <c r="AV411" s="1173"/>
      <c r="AX411" s="1173"/>
      <c r="AY411" s="1176"/>
      <c r="AZ411" s="1173"/>
    </row>
    <row r="412" spans="1:52" s="2" customFormat="1" x14ac:dyDescent="0.25">
      <c r="A412" s="19">
        <v>388</v>
      </c>
      <c r="B412" s="59">
        <v>9</v>
      </c>
      <c r="C412" s="40">
        <v>849110229</v>
      </c>
      <c r="D412" s="39" t="s">
        <v>698</v>
      </c>
      <c r="E412" s="23" t="s">
        <v>32</v>
      </c>
      <c r="F412" s="59">
        <v>2011</v>
      </c>
      <c r="G412" s="23" t="s">
        <v>33</v>
      </c>
      <c r="H412" s="60" t="str">
        <f t="shared" si="75"/>
        <v xml:space="preserve">   </v>
      </c>
      <c r="I412" s="60">
        <f t="shared" si="76"/>
        <v>41640</v>
      </c>
      <c r="J412" s="1123">
        <v>1250000</v>
      </c>
      <c r="K412" s="1124"/>
      <c r="L412" s="1178">
        <v>3000000</v>
      </c>
      <c r="M412" s="1124" t="s">
        <v>689</v>
      </c>
      <c r="N412" s="1178">
        <v>3000000</v>
      </c>
      <c r="O412" s="1124">
        <v>40976</v>
      </c>
      <c r="P412" s="1178">
        <v>3000000</v>
      </c>
      <c r="Q412" s="1124">
        <v>41457</v>
      </c>
      <c r="R412" s="1178">
        <v>3000000</v>
      </c>
      <c r="S412" s="1124" t="s">
        <v>421</v>
      </c>
      <c r="T412" s="1304"/>
      <c r="U412" s="1263" t="s">
        <v>276</v>
      </c>
      <c r="V412" s="1238"/>
      <c r="W412" s="1126"/>
      <c r="X412" s="1240"/>
      <c r="Y412" s="1126"/>
      <c r="Z412" s="1238"/>
      <c r="AA412" s="1126"/>
      <c r="AB412" s="1311">
        <v>1000000</v>
      </c>
      <c r="AC412" s="1251" t="s">
        <v>437</v>
      </c>
      <c r="AD412" s="1246"/>
      <c r="AE412" s="1158"/>
      <c r="AF412" s="1243"/>
      <c r="AG412" s="1278"/>
      <c r="AH412" s="1232" t="str">
        <f t="shared" si="81"/>
        <v>PI</v>
      </c>
      <c r="AI412" s="747">
        <f t="shared" si="84"/>
        <v>14250000</v>
      </c>
      <c r="AJ412" s="747">
        <f t="shared" si="85"/>
        <v>14250000</v>
      </c>
      <c r="AK412" s="747">
        <f t="shared" si="86"/>
        <v>0</v>
      </c>
      <c r="AL412" s="1170"/>
      <c r="AM412" s="1170"/>
      <c r="AN412" s="1209"/>
      <c r="AO412" s="1170"/>
      <c r="AP412" s="1209"/>
      <c r="AQ412" s="1128"/>
      <c r="AR412" s="1173"/>
      <c r="AT412" s="1173"/>
      <c r="AV412" s="1173"/>
      <c r="AX412" s="1173"/>
      <c r="AY412" s="1176"/>
      <c r="AZ412" s="1173"/>
    </row>
    <row r="413" spans="1:52" s="2" customFormat="1" x14ac:dyDescent="0.25">
      <c r="A413" s="19">
        <v>389</v>
      </c>
      <c r="B413" s="59">
        <v>10</v>
      </c>
      <c r="C413" s="40">
        <v>849110230</v>
      </c>
      <c r="D413" s="39" t="s">
        <v>699</v>
      </c>
      <c r="E413" s="23" t="s">
        <v>32</v>
      </c>
      <c r="F413" s="59">
        <v>2011</v>
      </c>
      <c r="G413" s="23" t="s">
        <v>33</v>
      </c>
      <c r="H413" s="60" t="str">
        <f t="shared" si="75"/>
        <v xml:space="preserve">   </v>
      </c>
      <c r="I413" s="60">
        <f t="shared" si="76"/>
        <v>41640</v>
      </c>
      <c r="J413" s="1123"/>
      <c r="K413" s="1124"/>
      <c r="L413" s="1178">
        <v>3750000</v>
      </c>
      <c r="M413" s="1124">
        <v>41062</v>
      </c>
      <c r="N413" s="1178">
        <v>3000000</v>
      </c>
      <c r="O413" s="1124">
        <v>40916</v>
      </c>
      <c r="P413" s="1178">
        <v>3000000</v>
      </c>
      <c r="Q413" s="1124">
        <v>41427</v>
      </c>
      <c r="R413" s="1178">
        <v>3000000</v>
      </c>
      <c r="S413" s="1124">
        <v>41313</v>
      </c>
      <c r="T413" s="1188">
        <v>3000000</v>
      </c>
      <c r="U413" s="1124">
        <v>41792</v>
      </c>
      <c r="V413" s="1249"/>
      <c r="W413" s="1263" t="s">
        <v>276</v>
      </c>
      <c r="X413" s="1240"/>
      <c r="Y413" s="1126"/>
      <c r="Z413" s="1238"/>
      <c r="AA413" s="1126"/>
      <c r="AB413" s="1311">
        <v>1000000</v>
      </c>
      <c r="AC413" s="1251">
        <v>41827</v>
      </c>
      <c r="AD413" s="1246"/>
      <c r="AE413" s="1158"/>
      <c r="AF413" s="1243"/>
      <c r="AG413" s="1278"/>
      <c r="AH413" s="1232" t="str">
        <f t="shared" si="81"/>
        <v>PI</v>
      </c>
      <c r="AI413" s="747">
        <f t="shared" si="84"/>
        <v>16750000</v>
      </c>
      <c r="AJ413" s="747">
        <f t="shared" si="85"/>
        <v>17250000</v>
      </c>
      <c r="AK413" s="747">
        <f t="shared" si="86"/>
        <v>500000</v>
      </c>
      <c r="AL413" s="1170"/>
      <c r="AM413" s="1170"/>
      <c r="AN413" s="1209"/>
      <c r="AO413" s="1170"/>
      <c r="AP413" s="1209"/>
      <c r="AQ413" s="1128"/>
      <c r="AR413" s="1173"/>
      <c r="AT413" s="1173"/>
      <c r="AV413" s="1173"/>
      <c r="AX413" s="1173"/>
      <c r="AY413" s="1176"/>
      <c r="AZ413" s="1173"/>
    </row>
    <row r="414" spans="1:52" s="2" customFormat="1" x14ac:dyDescent="0.25">
      <c r="A414" s="19">
        <v>390</v>
      </c>
      <c r="B414" s="59">
        <v>11</v>
      </c>
      <c r="C414" s="40">
        <v>849110231</v>
      </c>
      <c r="D414" s="39" t="s">
        <v>700</v>
      </c>
      <c r="E414" s="23" t="s">
        <v>32</v>
      </c>
      <c r="F414" s="59">
        <v>2011</v>
      </c>
      <c r="G414" s="23" t="s">
        <v>33</v>
      </c>
      <c r="H414" s="60" t="str">
        <f t="shared" si="75"/>
        <v xml:space="preserve">   </v>
      </c>
      <c r="I414" s="60">
        <f t="shared" si="76"/>
        <v>41640</v>
      </c>
      <c r="J414" s="1123">
        <v>1250000</v>
      </c>
      <c r="K414" s="1124"/>
      <c r="L414" s="1178">
        <v>3000000</v>
      </c>
      <c r="M414" s="1124" t="s">
        <v>689</v>
      </c>
      <c r="N414" s="1178">
        <v>3000000</v>
      </c>
      <c r="O414" s="1124" t="s">
        <v>190</v>
      </c>
      <c r="P414" s="1178">
        <v>3000000</v>
      </c>
      <c r="Q414" s="1124" t="s">
        <v>701</v>
      </c>
      <c r="R414" s="1178">
        <v>3000000</v>
      </c>
      <c r="S414" s="1124" t="s">
        <v>697</v>
      </c>
      <c r="T414" s="1304"/>
      <c r="U414" s="1263" t="s">
        <v>276</v>
      </c>
      <c r="V414" s="1249"/>
      <c r="W414" s="1124"/>
      <c r="X414" s="1240"/>
      <c r="Y414" s="1126"/>
      <c r="Z414" s="1238"/>
      <c r="AA414" s="1126"/>
      <c r="AB414" s="1311">
        <v>1000000</v>
      </c>
      <c r="AC414" s="1251" t="s">
        <v>697</v>
      </c>
      <c r="AD414" s="1246"/>
      <c r="AE414" s="1158"/>
      <c r="AF414" s="1243"/>
      <c r="AG414" s="1278"/>
      <c r="AH414" s="1232" t="str">
        <f t="shared" si="81"/>
        <v>PI</v>
      </c>
      <c r="AI414" s="747">
        <f t="shared" si="84"/>
        <v>14250000</v>
      </c>
      <c r="AJ414" s="747">
        <f t="shared" si="85"/>
        <v>14250000</v>
      </c>
      <c r="AK414" s="747">
        <f t="shared" si="86"/>
        <v>0</v>
      </c>
      <c r="AL414" s="1170"/>
      <c r="AM414" s="1170"/>
      <c r="AN414" s="1209"/>
      <c r="AO414" s="1170"/>
      <c r="AP414" s="1209"/>
      <c r="AQ414" s="1128"/>
      <c r="AR414" s="1173"/>
      <c r="AT414" s="1173"/>
      <c r="AV414" s="1173"/>
      <c r="AX414" s="1173"/>
      <c r="AY414" s="1176"/>
      <c r="AZ414" s="1173"/>
    </row>
    <row r="415" spans="1:52" s="2" customFormat="1" x14ac:dyDescent="0.25">
      <c r="A415" s="19">
        <v>391</v>
      </c>
      <c r="B415" s="59">
        <v>12</v>
      </c>
      <c r="C415" s="40">
        <v>849110232</v>
      </c>
      <c r="D415" s="39" t="s">
        <v>702</v>
      </c>
      <c r="E415" s="23" t="s">
        <v>32</v>
      </c>
      <c r="F415" s="59">
        <v>2011</v>
      </c>
      <c r="G415" s="23" t="s">
        <v>33</v>
      </c>
      <c r="H415" s="60" t="str">
        <f t="shared" si="75"/>
        <v xml:space="preserve">   </v>
      </c>
      <c r="I415" s="60">
        <f t="shared" si="76"/>
        <v>41640</v>
      </c>
      <c r="J415" s="1123">
        <v>1250000</v>
      </c>
      <c r="K415" s="1124"/>
      <c r="L415" s="1178">
        <v>3000000</v>
      </c>
      <c r="M415" s="1124" t="s">
        <v>219</v>
      </c>
      <c r="N415" s="1178">
        <v>3000000</v>
      </c>
      <c r="O415" s="1124" t="s">
        <v>290</v>
      </c>
      <c r="P415" s="1178">
        <v>3000000</v>
      </c>
      <c r="Q415" s="1124" t="s">
        <v>486</v>
      </c>
      <c r="R415" s="1178">
        <v>3000000</v>
      </c>
      <c r="S415" s="1124" t="s">
        <v>652</v>
      </c>
      <c r="T415" s="1188">
        <v>3000000</v>
      </c>
      <c r="U415" s="1124">
        <v>41646</v>
      </c>
      <c r="V415" s="1249"/>
      <c r="W415" s="1263" t="s">
        <v>276</v>
      </c>
      <c r="X415" s="1240"/>
      <c r="Y415" s="1126"/>
      <c r="Z415" s="1238"/>
      <c r="AA415" s="1126"/>
      <c r="AB415" s="1311">
        <v>1000000</v>
      </c>
      <c r="AC415" s="1251">
        <v>41646</v>
      </c>
      <c r="AD415" s="1246"/>
      <c r="AE415" s="1158"/>
      <c r="AF415" s="1243"/>
      <c r="AG415" s="1278"/>
      <c r="AH415" s="1232" t="str">
        <f t="shared" si="81"/>
        <v>PI</v>
      </c>
      <c r="AI415" s="747">
        <f t="shared" si="84"/>
        <v>17250000</v>
      </c>
      <c r="AJ415" s="747">
        <f t="shared" si="85"/>
        <v>17250000</v>
      </c>
      <c r="AK415" s="747">
        <f t="shared" si="86"/>
        <v>0</v>
      </c>
      <c r="AL415" s="1170"/>
      <c r="AM415" s="1170"/>
      <c r="AN415" s="1209"/>
      <c r="AO415" s="1170"/>
      <c r="AP415" s="1209"/>
      <c r="AQ415" s="1128"/>
      <c r="AR415" s="1173"/>
      <c r="AT415" s="1173"/>
      <c r="AV415" s="1173"/>
      <c r="AX415" s="1173"/>
      <c r="AY415" s="1176"/>
      <c r="AZ415" s="1173"/>
    </row>
    <row r="416" spans="1:52" s="2" customFormat="1" x14ac:dyDescent="0.25">
      <c r="A416" s="19">
        <v>392</v>
      </c>
      <c r="B416" s="59">
        <v>13</v>
      </c>
      <c r="C416" s="40">
        <v>849110233</v>
      </c>
      <c r="D416" s="39" t="s">
        <v>703</v>
      </c>
      <c r="E416" s="23" t="s">
        <v>32</v>
      </c>
      <c r="F416" s="59">
        <v>2011</v>
      </c>
      <c r="G416" s="23" t="s">
        <v>33</v>
      </c>
      <c r="H416" s="60" t="str">
        <f t="shared" si="75"/>
        <v xml:space="preserve">   </v>
      </c>
      <c r="I416" s="60">
        <f t="shared" si="76"/>
        <v>41640</v>
      </c>
      <c r="J416" s="1123">
        <v>1250000</v>
      </c>
      <c r="K416" s="1124"/>
      <c r="L416" s="1178">
        <v>3000000</v>
      </c>
      <c r="M416" s="1124" t="s">
        <v>704</v>
      </c>
      <c r="N416" s="1178">
        <v>3000000</v>
      </c>
      <c r="O416" s="1124" t="s">
        <v>290</v>
      </c>
      <c r="P416" s="1178">
        <v>3000000</v>
      </c>
      <c r="Q416" s="1124">
        <v>41276</v>
      </c>
      <c r="R416" s="1178">
        <v>3000000</v>
      </c>
      <c r="S416" s="1124">
        <v>41313</v>
      </c>
      <c r="T416" s="1188">
        <v>3000000</v>
      </c>
      <c r="U416" s="1124" t="s">
        <v>705</v>
      </c>
      <c r="V416" s="1178"/>
      <c r="W416" s="1263" t="s">
        <v>276</v>
      </c>
      <c r="X416" s="1260"/>
      <c r="Y416" s="1126"/>
      <c r="Z416" s="1130"/>
      <c r="AA416" s="1126"/>
      <c r="AB416" s="1311">
        <v>1000000</v>
      </c>
      <c r="AC416" s="1251" t="s">
        <v>706</v>
      </c>
      <c r="AD416" s="1197"/>
      <c r="AE416" s="1158"/>
      <c r="AF416" s="1157"/>
      <c r="AG416" s="1278"/>
      <c r="AH416" s="1232" t="str">
        <f t="shared" si="81"/>
        <v>PI</v>
      </c>
      <c r="AI416" s="747">
        <f t="shared" si="84"/>
        <v>17250000</v>
      </c>
      <c r="AJ416" s="747">
        <f t="shared" si="85"/>
        <v>17250000</v>
      </c>
      <c r="AK416" s="747">
        <f t="shared" si="86"/>
        <v>0</v>
      </c>
      <c r="AL416" s="1170"/>
      <c r="AM416" s="1170"/>
      <c r="AN416" s="1209"/>
      <c r="AO416" s="1170"/>
      <c r="AP416" s="1209"/>
      <c r="AQ416" s="1128"/>
      <c r="AR416" s="1173"/>
      <c r="AT416" s="1173"/>
      <c r="AV416" s="1173"/>
      <c r="AX416" s="1173"/>
      <c r="AY416" s="1176"/>
      <c r="AZ416" s="1173"/>
    </row>
    <row r="417" spans="1:52" s="2" customFormat="1" x14ac:dyDescent="0.25">
      <c r="A417" s="19">
        <v>393</v>
      </c>
      <c r="B417" s="59">
        <v>14</v>
      </c>
      <c r="C417" s="40">
        <v>849110234</v>
      </c>
      <c r="D417" s="39" t="s">
        <v>707</v>
      </c>
      <c r="E417" s="23" t="s">
        <v>32</v>
      </c>
      <c r="F417" s="59">
        <v>2011</v>
      </c>
      <c r="G417" s="23" t="s">
        <v>33</v>
      </c>
      <c r="H417" s="60" t="str">
        <f t="shared" si="75"/>
        <v xml:space="preserve">   </v>
      </c>
      <c r="I417" s="60" t="str">
        <f t="shared" si="76"/>
        <v xml:space="preserve">   </v>
      </c>
      <c r="J417" s="1123">
        <v>1250000</v>
      </c>
      <c r="K417" s="1124"/>
      <c r="L417" s="1178">
        <v>3000000</v>
      </c>
      <c r="M417" s="1124" t="s">
        <v>708</v>
      </c>
      <c r="N417" s="1178"/>
      <c r="O417" s="1124"/>
      <c r="P417" s="1178">
        <v>3000000</v>
      </c>
      <c r="Q417" s="1124">
        <v>41488</v>
      </c>
      <c r="R417" s="1178"/>
      <c r="S417" s="1144" t="s">
        <v>684</v>
      </c>
      <c r="T417" s="1188">
        <v>3000000</v>
      </c>
      <c r="U417" s="1124">
        <v>41914</v>
      </c>
      <c r="V417" s="1178"/>
      <c r="W417" s="1263" t="s">
        <v>276</v>
      </c>
      <c r="X417" s="1260"/>
      <c r="Y417" s="1126"/>
      <c r="Z417" s="1130"/>
      <c r="AA417" s="1126"/>
      <c r="AB417" s="1311">
        <v>1000000</v>
      </c>
      <c r="AC417" s="1251">
        <v>41914</v>
      </c>
      <c r="AD417" s="1197"/>
      <c r="AE417" s="1158"/>
      <c r="AF417" s="1157"/>
      <c r="AG417" s="1278"/>
      <c r="AH417" s="1232" t="str">
        <f t="shared" si="81"/>
        <v>PI</v>
      </c>
      <c r="AI417" s="747">
        <f t="shared" si="84"/>
        <v>11250000</v>
      </c>
      <c r="AJ417" s="747">
        <f t="shared" si="85"/>
        <v>11250000</v>
      </c>
      <c r="AK417" s="747">
        <f t="shared" si="86"/>
        <v>0</v>
      </c>
      <c r="AL417" s="1170"/>
      <c r="AM417" s="1170"/>
      <c r="AN417" s="1209"/>
      <c r="AO417" s="1170"/>
      <c r="AP417" s="1209"/>
      <c r="AQ417" s="1128"/>
      <c r="AR417" s="1173"/>
      <c r="AT417" s="1173"/>
      <c r="AV417" s="1173"/>
      <c r="AX417" s="1173"/>
      <c r="AY417" s="1176"/>
      <c r="AZ417" s="1173"/>
    </row>
    <row r="418" spans="1:52" s="2" customFormat="1" x14ac:dyDescent="0.25">
      <c r="A418" s="19">
        <v>394</v>
      </c>
      <c r="B418" s="59">
        <v>15</v>
      </c>
      <c r="C418" s="40">
        <v>849110236</v>
      </c>
      <c r="D418" s="39" t="s">
        <v>709</v>
      </c>
      <c r="E418" s="23" t="s">
        <v>32</v>
      </c>
      <c r="F418" s="59">
        <v>2011</v>
      </c>
      <c r="G418" s="23"/>
      <c r="H418" s="60" t="str">
        <f t="shared" si="75"/>
        <v xml:space="preserve">   </v>
      </c>
      <c r="I418" s="60" t="str">
        <f t="shared" si="76"/>
        <v xml:space="preserve">   </v>
      </c>
      <c r="J418" s="1239">
        <v>1250000</v>
      </c>
      <c r="K418" s="1194"/>
      <c r="L418" s="1178">
        <v>3000000</v>
      </c>
      <c r="M418" s="1124" t="s">
        <v>710</v>
      </c>
      <c r="N418" s="1178">
        <v>3000000</v>
      </c>
      <c r="O418" s="1124"/>
      <c r="P418" s="1178">
        <v>3000000</v>
      </c>
      <c r="Q418" s="1124" t="s">
        <v>528</v>
      </c>
      <c r="R418" s="1178">
        <v>3000000</v>
      </c>
      <c r="S418" s="1124">
        <v>41313</v>
      </c>
      <c r="T418" s="1145">
        <v>0</v>
      </c>
      <c r="U418" s="1305"/>
      <c r="V418" s="1130">
        <v>0</v>
      </c>
      <c r="W418" s="1126"/>
      <c r="X418" s="1260">
        <v>0</v>
      </c>
      <c r="Y418" s="1126"/>
      <c r="Z418" s="1130">
        <v>0</v>
      </c>
      <c r="AA418" s="1126"/>
      <c r="AB418" s="1311">
        <v>0</v>
      </c>
      <c r="AC418" s="1251"/>
      <c r="AD418" s="1197">
        <v>0</v>
      </c>
      <c r="AE418" s="1158"/>
      <c r="AF418" s="1157">
        <v>0</v>
      </c>
      <c r="AG418" s="1278"/>
      <c r="AH418" s="1232" t="str">
        <f t="shared" si="81"/>
        <v>PI</v>
      </c>
      <c r="AI418" s="747">
        <f t="shared" si="84"/>
        <v>13250000</v>
      </c>
      <c r="AJ418" s="747">
        <f t="shared" si="85"/>
        <v>32250000</v>
      </c>
      <c r="AK418" s="747">
        <f t="shared" si="86"/>
        <v>19000000</v>
      </c>
      <c r="AL418" s="1170"/>
      <c r="AM418" s="1170"/>
      <c r="AN418" s="1209"/>
      <c r="AO418" s="1170"/>
      <c r="AP418" s="1209"/>
      <c r="AQ418" s="1128"/>
      <c r="AR418" s="1173"/>
      <c r="AT418" s="1173"/>
      <c r="AV418" s="1173"/>
      <c r="AX418" s="1173"/>
      <c r="AY418" s="1176"/>
      <c r="AZ418" s="1173"/>
    </row>
    <row r="419" spans="1:52" s="2" customFormat="1" x14ac:dyDescent="0.25">
      <c r="A419" s="19">
        <v>395</v>
      </c>
      <c r="B419" s="77">
        <v>16</v>
      </c>
      <c r="C419" s="40">
        <v>849110237</v>
      </c>
      <c r="D419" s="39" t="s">
        <v>711</v>
      </c>
      <c r="E419" s="23" t="s">
        <v>32</v>
      </c>
      <c r="F419" s="59">
        <v>2011</v>
      </c>
      <c r="G419" s="23" t="s">
        <v>33</v>
      </c>
      <c r="H419" s="60" t="str">
        <f t="shared" si="75"/>
        <v xml:space="preserve">   </v>
      </c>
      <c r="I419" s="60">
        <f t="shared" si="76"/>
        <v>41640</v>
      </c>
      <c r="J419" s="1123">
        <v>1250000</v>
      </c>
      <c r="K419" s="1124"/>
      <c r="L419" s="1178">
        <v>3000000</v>
      </c>
      <c r="M419" s="1124" t="s">
        <v>712</v>
      </c>
      <c r="N419" s="1178">
        <v>3000000</v>
      </c>
      <c r="O419" s="1124">
        <v>40916</v>
      </c>
      <c r="P419" s="1178">
        <v>3000000</v>
      </c>
      <c r="Q419" s="1124">
        <v>41427</v>
      </c>
      <c r="R419" s="1178">
        <v>3000000</v>
      </c>
      <c r="S419" s="1124">
        <v>41312</v>
      </c>
      <c r="T419" s="1304"/>
      <c r="U419" s="1263" t="s">
        <v>276</v>
      </c>
      <c r="V419" s="1238"/>
      <c r="W419" s="1126"/>
      <c r="X419" s="1240"/>
      <c r="Y419" s="1126"/>
      <c r="Z419" s="1238"/>
      <c r="AA419" s="1126"/>
      <c r="AB419" s="1311">
        <v>1000000</v>
      </c>
      <c r="AC419" s="1251">
        <v>41671</v>
      </c>
      <c r="AD419" s="1246"/>
      <c r="AE419" s="1158"/>
      <c r="AF419" s="1243"/>
      <c r="AG419" s="1278"/>
      <c r="AH419" s="1232" t="str">
        <f t="shared" si="81"/>
        <v>PI</v>
      </c>
      <c r="AI419" s="747">
        <f t="shared" si="84"/>
        <v>14250000</v>
      </c>
      <c r="AJ419" s="747">
        <f t="shared" si="85"/>
        <v>14250000</v>
      </c>
      <c r="AK419" s="747">
        <f t="shared" si="86"/>
        <v>0</v>
      </c>
      <c r="AL419" s="1170"/>
      <c r="AM419" s="1170"/>
      <c r="AN419" s="1209"/>
      <c r="AO419" s="1170"/>
      <c r="AP419" s="1209"/>
      <c r="AQ419" s="1128"/>
      <c r="AR419" s="1173"/>
      <c r="AT419" s="1173"/>
      <c r="AV419" s="1173"/>
      <c r="AX419" s="1173"/>
      <c r="AY419" s="1176"/>
      <c r="AZ419" s="1173"/>
    </row>
    <row r="420" spans="1:52" s="2" customFormat="1" x14ac:dyDescent="0.25">
      <c r="A420" s="19">
        <v>396</v>
      </c>
      <c r="B420" s="77">
        <v>17</v>
      </c>
      <c r="C420" s="40">
        <v>849110238</v>
      </c>
      <c r="D420" s="39" t="s">
        <v>713</v>
      </c>
      <c r="E420" s="23" t="s">
        <v>32</v>
      </c>
      <c r="F420" s="59">
        <v>2011</v>
      </c>
      <c r="G420" s="23" t="s">
        <v>33</v>
      </c>
      <c r="H420" s="60" t="str">
        <f t="shared" si="75"/>
        <v xml:space="preserve">   </v>
      </c>
      <c r="I420" s="60">
        <f t="shared" si="76"/>
        <v>41640</v>
      </c>
      <c r="J420" s="1123">
        <v>1250000</v>
      </c>
      <c r="K420" s="1124"/>
      <c r="L420" s="1178">
        <v>3000000</v>
      </c>
      <c r="M420" s="1124" t="s">
        <v>714</v>
      </c>
      <c r="N420" s="1178">
        <v>3000000</v>
      </c>
      <c r="O420" s="1124">
        <v>40947</v>
      </c>
      <c r="P420" s="1178">
        <v>3000000</v>
      </c>
      <c r="Q420" s="1124">
        <v>41488</v>
      </c>
      <c r="R420" s="1178">
        <v>3000000</v>
      </c>
      <c r="S420" s="1124" t="s">
        <v>648</v>
      </c>
      <c r="T420" s="1304"/>
      <c r="U420" s="1263" t="s">
        <v>276</v>
      </c>
      <c r="V420" s="1238"/>
      <c r="W420" s="1126"/>
      <c r="X420" s="1240"/>
      <c r="Y420" s="1126"/>
      <c r="Z420" s="1238"/>
      <c r="AA420" s="1126"/>
      <c r="AB420" s="1311"/>
      <c r="AC420" s="1251"/>
      <c r="AD420" s="1246"/>
      <c r="AE420" s="1158"/>
      <c r="AF420" s="1243"/>
      <c r="AG420" s="1278"/>
      <c r="AH420" s="1232" t="str">
        <f t="shared" si="81"/>
        <v>PI</v>
      </c>
      <c r="AI420" s="747">
        <f t="shared" si="84"/>
        <v>13250000</v>
      </c>
      <c r="AJ420" s="747">
        <f t="shared" si="85"/>
        <v>14250000</v>
      </c>
      <c r="AK420" s="747">
        <f t="shared" si="86"/>
        <v>1000000</v>
      </c>
      <c r="AL420" s="1170"/>
      <c r="AM420" s="1170"/>
      <c r="AN420" s="1209"/>
      <c r="AO420" s="1170"/>
      <c r="AP420" s="1209"/>
      <c r="AQ420" s="1128"/>
      <c r="AR420" s="1173"/>
      <c r="AT420" s="1173"/>
      <c r="AV420" s="1173"/>
      <c r="AX420" s="1173"/>
      <c r="AY420" s="1176"/>
      <c r="AZ420" s="1173"/>
    </row>
    <row r="421" spans="1:52" s="2" customFormat="1" x14ac:dyDescent="0.25">
      <c r="A421" s="19">
        <v>397</v>
      </c>
      <c r="B421" s="59">
        <v>18</v>
      </c>
      <c r="C421" s="40">
        <v>849110239</v>
      </c>
      <c r="D421" s="39" t="s">
        <v>715</v>
      </c>
      <c r="E421" s="23" t="s">
        <v>32</v>
      </c>
      <c r="F421" s="59">
        <v>2011</v>
      </c>
      <c r="G421" s="23" t="s">
        <v>33</v>
      </c>
      <c r="H421" s="60" t="str">
        <f t="shared" si="75"/>
        <v xml:space="preserve">   </v>
      </c>
      <c r="I421" s="60" t="str">
        <f t="shared" si="76"/>
        <v xml:space="preserve">   </v>
      </c>
      <c r="J421" s="1123">
        <v>1250000</v>
      </c>
      <c r="K421" s="1124"/>
      <c r="L421" s="1178">
        <v>3000000</v>
      </c>
      <c r="M421" s="1124" t="s">
        <v>716</v>
      </c>
      <c r="N421" s="1178">
        <v>3000000</v>
      </c>
      <c r="O421" s="1124" t="s">
        <v>200</v>
      </c>
      <c r="P421" s="1178">
        <v>3000000</v>
      </c>
      <c r="Q421" s="1124">
        <v>41276</v>
      </c>
      <c r="R421" s="1178">
        <v>3000000</v>
      </c>
      <c r="S421" s="1124">
        <v>41313</v>
      </c>
      <c r="T421" s="1188"/>
      <c r="U421" s="1263" t="s">
        <v>276</v>
      </c>
      <c r="V421" s="1130"/>
      <c r="W421" s="1126"/>
      <c r="X421" s="1260"/>
      <c r="Y421" s="1126"/>
      <c r="Z421" s="1130"/>
      <c r="AA421" s="1126"/>
      <c r="AB421" s="1311"/>
      <c r="AC421" s="1251"/>
      <c r="AD421" s="1197"/>
      <c r="AE421" s="1158"/>
      <c r="AF421" s="1157"/>
      <c r="AG421" s="1278"/>
      <c r="AH421" s="1232" t="str">
        <f t="shared" si="81"/>
        <v>PI</v>
      </c>
      <c r="AI421" s="747">
        <f t="shared" si="84"/>
        <v>13250000</v>
      </c>
      <c r="AJ421" s="747">
        <f t="shared" si="85"/>
        <v>14250000</v>
      </c>
      <c r="AK421" s="747">
        <f t="shared" si="86"/>
        <v>1000000</v>
      </c>
      <c r="AL421" s="1170"/>
      <c r="AM421" s="1170"/>
      <c r="AN421" s="1209"/>
      <c r="AO421" s="1170"/>
      <c r="AP421" s="1209"/>
      <c r="AQ421" s="1128"/>
      <c r="AR421" s="1173"/>
      <c r="AT421" s="1173"/>
      <c r="AV421" s="1173"/>
      <c r="AX421" s="1173"/>
      <c r="AY421" s="1176"/>
      <c r="AZ421" s="1173"/>
    </row>
    <row r="422" spans="1:52" s="2" customFormat="1" x14ac:dyDescent="0.25">
      <c r="A422" s="19">
        <v>398</v>
      </c>
      <c r="B422" s="59">
        <v>19</v>
      </c>
      <c r="C422" s="40">
        <v>849110303</v>
      </c>
      <c r="D422" s="39" t="s">
        <v>717</v>
      </c>
      <c r="E422" s="23" t="s">
        <v>32</v>
      </c>
      <c r="F422" s="59">
        <v>2011</v>
      </c>
      <c r="G422" s="23" t="s">
        <v>33</v>
      </c>
      <c r="H422" s="60" t="str">
        <f t="shared" si="75"/>
        <v xml:space="preserve">   </v>
      </c>
      <c r="I422" s="60">
        <f t="shared" si="76"/>
        <v>41275</v>
      </c>
      <c r="J422" s="1123"/>
      <c r="K422" s="1124"/>
      <c r="L422" s="1178"/>
      <c r="M422" s="1124"/>
      <c r="N422" s="1178">
        <v>3000000</v>
      </c>
      <c r="O422" s="1124">
        <v>40976</v>
      </c>
      <c r="P422" s="1178">
        <v>3000000</v>
      </c>
      <c r="Q422" s="1124">
        <v>41488</v>
      </c>
      <c r="R422" s="1178">
        <v>3000000</v>
      </c>
      <c r="S422" s="1124" t="s">
        <v>657</v>
      </c>
      <c r="T422" s="1304"/>
      <c r="U422" s="1263" t="s">
        <v>276</v>
      </c>
      <c r="V422" s="1238"/>
      <c r="W422" s="1126"/>
      <c r="X422" s="1240"/>
      <c r="Y422" s="1126"/>
      <c r="Z422" s="1238"/>
      <c r="AA422" s="1126"/>
      <c r="AB422" s="1311">
        <v>1000000</v>
      </c>
      <c r="AC422" s="1251" t="s">
        <v>718</v>
      </c>
      <c r="AD422" s="1246"/>
      <c r="AE422" s="1158"/>
      <c r="AF422" s="1243"/>
      <c r="AG422" s="1278"/>
      <c r="AH422" s="1232" t="str">
        <f t="shared" si="81"/>
        <v>PI</v>
      </c>
      <c r="AI422" s="747">
        <f t="shared" si="84"/>
        <v>10000000</v>
      </c>
      <c r="AJ422" s="747">
        <f t="shared" si="85"/>
        <v>11250000</v>
      </c>
      <c r="AK422" s="747">
        <f t="shared" si="86"/>
        <v>1250000</v>
      </c>
      <c r="AL422" s="1170"/>
      <c r="AM422" s="1170"/>
      <c r="AN422" s="1209"/>
      <c r="AO422" s="1170"/>
      <c r="AP422" s="1209"/>
      <c r="AQ422" s="1128"/>
      <c r="AR422" s="1173"/>
      <c r="AT422" s="1173"/>
      <c r="AV422" s="1173"/>
      <c r="AX422" s="1173"/>
      <c r="AY422" s="1176"/>
      <c r="AZ422" s="1173"/>
    </row>
    <row r="423" spans="1:52" s="2" customFormat="1" x14ac:dyDescent="0.25">
      <c r="A423" s="19">
        <v>399</v>
      </c>
      <c r="B423" s="59">
        <v>20</v>
      </c>
      <c r="C423" s="40">
        <v>849110304</v>
      </c>
      <c r="D423" s="39" t="s">
        <v>542</v>
      </c>
      <c r="E423" s="23" t="s">
        <v>32</v>
      </c>
      <c r="F423" s="59">
        <v>2011</v>
      </c>
      <c r="G423" s="23" t="s">
        <v>33</v>
      </c>
      <c r="H423" s="60" t="str">
        <f t="shared" si="75"/>
        <v xml:space="preserve">   </v>
      </c>
      <c r="I423" s="60">
        <f t="shared" si="76"/>
        <v>41640</v>
      </c>
      <c r="J423" s="1123"/>
      <c r="K423" s="1124"/>
      <c r="L423" s="1178"/>
      <c r="M423" s="1124"/>
      <c r="N423" s="1178">
        <v>3000000</v>
      </c>
      <c r="O423" s="1124">
        <v>40916</v>
      </c>
      <c r="P423" s="1178">
        <v>3000000</v>
      </c>
      <c r="Q423" s="2293" t="s">
        <v>719</v>
      </c>
      <c r="R423" s="1178">
        <v>3000000</v>
      </c>
      <c r="S423" s="1124" t="s">
        <v>537</v>
      </c>
      <c r="T423" s="1304"/>
      <c r="U423" s="1263" t="s">
        <v>276</v>
      </c>
      <c r="V423" s="1238"/>
      <c r="W423" s="1196"/>
      <c r="X423" s="1240"/>
      <c r="Y423" s="1126"/>
      <c r="Z423" s="1238"/>
      <c r="AA423" s="1126"/>
      <c r="AB423" s="1311">
        <v>1000000</v>
      </c>
      <c r="AC423" s="1251" t="s">
        <v>720</v>
      </c>
      <c r="AD423" s="1246"/>
      <c r="AE423" s="1158"/>
      <c r="AF423" s="1243"/>
      <c r="AG423" s="1278"/>
      <c r="AH423" s="1232" t="str">
        <f t="shared" si="81"/>
        <v>PI</v>
      </c>
      <c r="AI423" s="747">
        <f t="shared" si="84"/>
        <v>10000000</v>
      </c>
      <c r="AJ423" s="747">
        <f t="shared" si="85"/>
        <v>11250000</v>
      </c>
      <c r="AK423" s="747">
        <f t="shared" si="86"/>
        <v>1250000</v>
      </c>
      <c r="AL423" s="1170"/>
      <c r="AM423" s="1170"/>
      <c r="AN423" s="1209"/>
      <c r="AO423" s="1170"/>
      <c r="AP423" s="1209"/>
      <c r="AQ423" s="1128"/>
      <c r="AR423" s="1173"/>
      <c r="AT423" s="1173"/>
      <c r="AV423" s="1173"/>
      <c r="AX423" s="1173"/>
      <c r="AY423" s="1176"/>
      <c r="AZ423" s="1173"/>
    </row>
    <row r="424" spans="1:52" s="2" customFormat="1" x14ac:dyDescent="0.25">
      <c r="A424" s="19">
        <v>400</v>
      </c>
      <c r="B424" s="57">
        <v>21</v>
      </c>
      <c r="C424" s="38">
        <v>849110272</v>
      </c>
      <c r="D424" s="37" t="s">
        <v>721</v>
      </c>
      <c r="E424" s="28" t="s">
        <v>32</v>
      </c>
      <c r="F424" s="57">
        <v>2011</v>
      </c>
      <c r="G424" s="28"/>
      <c r="H424" s="58" t="str">
        <f t="shared" si="75"/>
        <v xml:space="preserve">   </v>
      </c>
      <c r="I424" s="58" t="str">
        <f t="shared" si="76"/>
        <v xml:space="preserve">   </v>
      </c>
      <c r="J424" s="1125"/>
      <c r="K424" s="1126"/>
      <c r="L424" s="1130">
        <v>1500000</v>
      </c>
      <c r="M424" s="1126">
        <v>41099</v>
      </c>
      <c r="N424" s="1130"/>
      <c r="O424" s="1126"/>
      <c r="P424" s="1130"/>
      <c r="Q424" s="1126"/>
      <c r="R424" s="1130"/>
      <c r="S424" s="1126"/>
      <c r="T424" s="1145"/>
      <c r="U424" s="1126"/>
      <c r="V424" s="1130"/>
      <c r="W424" s="1126"/>
      <c r="X424" s="1260"/>
      <c r="Y424" s="1126"/>
      <c r="Z424" s="1130"/>
      <c r="AA424" s="1126"/>
      <c r="AB424" s="1311"/>
      <c r="AC424" s="1251"/>
      <c r="AD424" s="1197"/>
      <c r="AE424" s="1158"/>
      <c r="AF424" s="1157"/>
      <c r="AG424" s="1278"/>
      <c r="AH424" s="1232" t="str">
        <f t="shared" si="81"/>
        <v>PI</v>
      </c>
      <c r="AI424" s="747">
        <f t="shared" si="84"/>
        <v>1500000</v>
      </c>
      <c r="AJ424" s="747">
        <f t="shared" si="85"/>
        <v>5250000</v>
      </c>
      <c r="AK424" s="747">
        <f t="shared" si="86"/>
        <v>3750000</v>
      </c>
      <c r="AL424" s="1170"/>
      <c r="AM424" s="1170"/>
      <c r="AN424" s="1209"/>
      <c r="AO424" s="1170"/>
      <c r="AP424" s="1209"/>
      <c r="AQ424" s="1128"/>
      <c r="AR424" s="1173"/>
      <c r="AT424" s="1173"/>
      <c r="AV424" s="1173"/>
      <c r="AX424" s="1173"/>
      <c r="AY424" s="1176"/>
      <c r="AZ424" s="1173"/>
    </row>
    <row r="425" spans="1:52" s="2" customFormat="1" x14ac:dyDescent="0.25">
      <c r="A425" s="19">
        <v>401</v>
      </c>
      <c r="B425" s="59">
        <v>22</v>
      </c>
      <c r="C425" s="40">
        <v>849110240</v>
      </c>
      <c r="D425" s="39" t="s">
        <v>722</v>
      </c>
      <c r="E425" s="23" t="s">
        <v>32</v>
      </c>
      <c r="F425" s="59">
        <v>2011</v>
      </c>
      <c r="G425" s="23" t="s">
        <v>33</v>
      </c>
      <c r="H425" s="60" t="str">
        <f t="shared" si="75"/>
        <v xml:space="preserve">   </v>
      </c>
      <c r="I425" s="60" t="str">
        <f t="shared" si="76"/>
        <v xml:space="preserve">   </v>
      </c>
      <c r="J425" s="1123"/>
      <c r="K425" s="1124"/>
      <c r="L425" s="1178">
        <v>3000000</v>
      </c>
      <c r="M425" s="1124">
        <v>41092</v>
      </c>
      <c r="N425" s="1178">
        <v>3000000</v>
      </c>
      <c r="O425" s="1124">
        <v>40976</v>
      </c>
      <c r="P425" s="1178">
        <f>1500000+1500000</f>
        <v>3000000</v>
      </c>
      <c r="Q425" s="1124">
        <v>41374</v>
      </c>
      <c r="R425" s="1178">
        <v>3000000</v>
      </c>
      <c r="S425" s="1124">
        <v>41374</v>
      </c>
      <c r="T425" s="1304"/>
      <c r="U425" s="1263" t="s">
        <v>276</v>
      </c>
      <c r="V425" s="1238"/>
      <c r="W425" s="1126"/>
      <c r="X425" s="1240"/>
      <c r="Y425" s="1126"/>
      <c r="Z425" s="1238"/>
      <c r="AA425" s="1126"/>
      <c r="AB425" s="1311">
        <v>1000000</v>
      </c>
      <c r="AC425" s="1251" t="s">
        <v>723</v>
      </c>
      <c r="AD425" s="1246"/>
      <c r="AE425" s="1158"/>
      <c r="AF425" s="1243"/>
      <c r="AG425" s="1278"/>
      <c r="AH425" s="1232" t="str">
        <f t="shared" si="81"/>
        <v>PI</v>
      </c>
      <c r="AI425" s="747" t="e">
        <f>SUM(J425,L425,N425,P425,R425,T425,V425,X425,Z425,AB425,AD425,AF425,#REF!)</f>
        <v>#REF!</v>
      </c>
      <c r="AJ425" s="747">
        <f t="shared" si="85"/>
        <v>14250000</v>
      </c>
      <c r="AK425" s="747" t="e">
        <f t="shared" si="86"/>
        <v>#REF!</v>
      </c>
      <c r="AL425" s="1170"/>
      <c r="AM425" s="1170"/>
      <c r="AN425" s="1209"/>
      <c r="AO425" s="1170"/>
      <c r="AP425" s="1209"/>
      <c r="AQ425" s="1128"/>
      <c r="AR425" s="1173"/>
      <c r="AT425" s="1173"/>
      <c r="AV425" s="1173"/>
      <c r="AX425" s="1173"/>
      <c r="AY425" s="1176"/>
      <c r="AZ425" s="1173"/>
    </row>
    <row r="426" spans="1:52" s="2" customFormat="1" x14ac:dyDescent="0.25">
      <c r="A426" s="19">
        <v>402</v>
      </c>
      <c r="B426" s="59">
        <v>23</v>
      </c>
      <c r="C426" s="40">
        <v>849110241</v>
      </c>
      <c r="D426" s="96" t="s">
        <v>724</v>
      </c>
      <c r="E426" s="23" t="s">
        <v>32</v>
      </c>
      <c r="F426" s="59">
        <v>2011</v>
      </c>
      <c r="G426" s="23" t="s">
        <v>33</v>
      </c>
      <c r="H426" s="60" t="str">
        <f t="shared" si="75"/>
        <v xml:space="preserve">   </v>
      </c>
      <c r="I426" s="60">
        <f t="shared" si="76"/>
        <v>41640</v>
      </c>
      <c r="J426" s="1123">
        <v>1250000</v>
      </c>
      <c r="K426" s="1124"/>
      <c r="L426" s="1178">
        <v>3000000</v>
      </c>
      <c r="M426" s="1124">
        <v>41092</v>
      </c>
      <c r="N426" s="1178">
        <f>1500000+2000000</f>
        <v>3500000</v>
      </c>
      <c r="O426" s="1124">
        <v>41313</v>
      </c>
      <c r="P426" s="1178">
        <v>2500000</v>
      </c>
      <c r="Q426" s="1124" t="s">
        <v>725</v>
      </c>
      <c r="R426" s="1178">
        <f>2000000+1000000</f>
        <v>3000000</v>
      </c>
      <c r="S426" s="1124">
        <v>41540</v>
      </c>
      <c r="T426" s="1188">
        <v>3000000</v>
      </c>
      <c r="U426" s="1124" t="s">
        <v>723</v>
      </c>
      <c r="V426" s="1249"/>
      <c r="W426" s="1263" t="s">
        <v>276</v>
      </c>
      <c r="X426" s="1240"/>
      <c r="Y426" s="1126"/>
      <c r="Z426" s="1238"/>
      <c r="AA426" s="1126"/>
      <c r="AB426" s="1311">
        <v>1000000</v>
      </c>
      <c r="AC426" s="1251" t="s">
        <v>723</v>
      </c>
      <c r="AD426" s="1246"/>
      <c r="AE426" s="1158"/>
      <c r="AF426" s="1243"/>
      <c r="AG426" s="1278"/>
      <c r="AH426" s="1232" t="str">
        <f t="shared" si="81"/>
        <v>PI</v>
      </c>
      <c r="AI426" s="747" t="e">
        <f>SUM(J426,L426,N426,P426,R426,T426,V426,X426,Z426,AB426,AD426,AF426,#REF!,#REF!)</f>
        <v>#REF!</v>
      </c>
      <c r="AJ426" s="747">
        <f t="shared" si="85"/>
        <v>17250000</v>
      </c>
      <c r="AK426" s="747" t="e">
        <f t="shared" si="86"/>
        <v>#REF!</v>
      </c>
      <c r="AL426" s="1170"/>
      <c r="AM426" s="1170"/>
      <c r="AN426" s="1209"/>
      <c r="AO426" s="1170"/>
      <c r="AP426" s="1209"/>
      <c r="AQ426" s="1128"/>
      <c r="AR426" s="1173"/>
      <c r="AT426" s="1173"/>
      <c r="AV426" s="1173"/>
      <c r="AX426" s="1173"/>
      <c r="AY426" s="1176"/>
      <c r="AZ426" s="1173"/>
    </row>
    <row r="427" spans="1:52" s="2" customFormat="1" x14ac:dyDescent="0.25">
      <c r="A427" s="19">
        <v>403</v>
      </c>
      <c r="B427" s="59">
        <v>24</v>
      </c>
      <c r="C427" s="40">
        <v>849110242</v>
      </c>
      <c r="D427" s="39" t="s">
        <v>726</v>
      </c>
      <c r="E427" s="23" t="s">
        <v>32</v>
      </c>
      <c r="F427" s="59">
        <v>2011</v>
      </c>
      <c r="G427" s="23" t="s">
        <v>33</v>
      </c>
      <c r="H427" s="60" t="str">
        <f t="shared" si="75"/>
        <v xml:space="preserve">   </v>
      </c>
      <c r="I427" s="60">
        <f t="shared" si="76"/>
        <v>41640</v>
      </c>
      <c r="J427" s="1123">
        <v>1250000</v>
      </c>
      <c r="K427" s="1124"/>
      <c r="L427" s="1178">
        <v>3000000</v>
      </c>
      <c r="M427" s="1124">
        <v>40941</v>
      </c>
      <c r="N427" s="1178">
        <v>3000000</v>
      </c>
      <c r="O427" s="1124">
        <v>41129</v>
      </c>
      <c r="P427" s="1178">
        <v>3000000</v>
      </c>
      <c r="Q427" s="1124">
        <v>41580</v>
      </c>
      <c r="R427" s="1178">
        <v>3000000</v>
      </c>
      <c r="S427" s="1124" t="s">
        <v>648</v>
      </c>
      <c r="T427" s="1304"/>
      <c r="U427" s="1263" t="s">
        <v>276</v>
      </c>
      <c r="V427" s="1238"/>
      <c r="W427" s="1126"/>
      <c r="X427" s="1240"/>
      <c r="Y427" s="1126"/>
      <c r="Z427" s="1238"/>
      <c r="AA427" s="1126"/>
      <c r="AB427" s="1311">
        <v>1000000</v>
      </c>
      <c r="AC427" s="1251" t="s">
        <v>253</v>
      </c>
      <c r="AD427" s="1246"/>
      <c r="AE427" s="1158"/>
      <c r="AF427" s="1243"/>
      <c r="AG427" s="1278"/>
      <c r="AH427" s="1232" t="str">
        <f t="shared" si="81"/>
        <v>PI</v>
      </c>
      <c r="AI427" s="747">
        <f>SUM(J427,L427,N427,P427,R427,T427,V427,X427,Z427,AB427,AD427,AF427)</f>
        <v>14250000</v>
      </c>
      <c r="AJ427" s="747">
        <f t="shared" si="85"/>
        <v>14250000</v>
      </c>
      <c r="AK427" s="747">
        <f t="shared" si="86"/>
        <v>0</v>
      </c>
      <c r="AL427" s="1170"/>
      <c r="AM427" s="1170"/>
      <c r="AN427" s="1209"/>
      <c r="AO427" s="1170"/>
      <c r="AP427" s="1209"/>
      <c r="AQ427" s="1128"/>
      <c r="AR427" s="1173"/>
      <c r="AT427" s="1173"/>
      <c r="AV427" s="1173"/>
      <c r="AX427" s="1173"/>
      <c r="AY427" s="1176"/>
      <c r="AZ427" s="1173"/>
    </row>
    <row r="428" spans="1:52" s="2" customFormat="1" x14ac:dyDescent="0.25">
      <c r="A428" s="19">
        <v>404</v>
      </c>
      <c r="B428" s="59">
        <v>25</v>
      </c>
      <c r="C428" s="40">
        <v>849110244</v>
      </c>
      <c r="D428" s="39" t="s">
        <v>727</v>
      </c>
      <c r="E428" s="23" t="s">
        <v>32</v>
      </c>
      <c r="F428" s="59">
        <v>2011</v>
      </c>
      <c r="G428" s="23" t="s">
        <v>33</v>
      </c>
      <c r="H428" s="60" t="str">
        <f t="shared" ref="H428:H491" si="87">IFERROR(VLOOKUP(C428,Tlus,3,FALSE),"   ")</f>
        <v xml:space="preserve">   </v>
      </c>
      <c r="I428" s="60">
        <f t="shared" ref="I428:I491" si="88">IFERROR(VLOOKUP(C428,Wis,4,FALSE),"   ")</f>
        <v>41640</v>
      </c>
      <c r="J428" s="1123">
        <v>1250000</v>
      </c>
      <c r="K428" s="1124"/>
      <c r="L428" s="1178">
        <v>3000000</v>
      </c>
      <c r="M428" s="1124">
        <v>41062</v>
      </c>
      <c r="N428" s="1178">
        <f>2000000+1000000</f>
        <v>3000000</v>
      </c>
      <c r="O428" s="1124">
        <v>41131</v>
      </c>
      <c r="P428" s="1178">
        <v>3000000</v>
      </c>
      <c r="Q428" s="1124" t="s">
        <v>728</v>
      </c>
      <c r="R428" s="1178">
        <v>3000000</v>
      </c>
      <c r="S428" s="1124" t="s">
        <v>728</v>
      </c>
      <c r="T428" s="1188">
        <v>3000000</v>
      </c>
      <c r="U428" s="1124" t="s">
        <v>272</v>
      </c>
      <c r="V428" s="1178"/>
      <c r="W428" s="1263" t="s">
        <v>276</v>
      </c>
      <c r="X428" s="1260"/>
      <c r="Y428" s="1126"/>
      <c r="Z428" s="1130"/>
      <c r="AA428" s="1126"/>
      <c r="AB428" s="1311">
        <v>1000000</v>
      </c>
      <c r="AC428" s="1251" t="s">
        <v>729</v>
      </c>
      <c r="AD428" s="1197"/>
      <c r="AE428" s="1158"/>
      <c r="AF428" s="1157"/>
      <c r="AG428" s="1278"/>
      <c r="AH428" s="1232" t="str">
        <f t="shared" si="81"/>
        <v>PI</v>
      </c>
      <c r="AI428" s="747" t="e">
        <f>SUM(J428,L428,N428,P428,R428,T428,V428,X428,Z428,AB428,AD428,AF428,#REF!)</f>
        <v>#REF!</v>
      </c>
      <c r="AJ428" s="747">
        <f t="shared" si="85"/>
        <v>17250000</v>
      </c>
      <c r="AK428" s="747" t="e">
        <f t="shared" si="86"/>
        <v>#REF!</v>
      </c>
      <c r="AL428" s="1170"/>
      <c r="AM428" s="1170"/>
      <c r="AN428" s="1209"/>
      <c r="AO428" s="1170"/>
      <c r="AP428" s="1209"/>
      <c r="AQ428" s="1128"/>
      <c r="AR428" s="1173"/>
      <c r="AT428" s="1173"/>
      <c r="AV428" s="1173"/>
      <c r="AX428" s="1173"/>
      <c r="AY428" s="1176"/>
      <c r="AZ428" s="1173"/>
    </row>
    <row r="429" spans="1:52" s="2" customFormat="1" x14ac:dyDescent="0.25">
      <c r="A429" s="19">
        <v>405</v>
      </c>
      <c r="B429" s="59">
        <v>26</v>
      </c>
      <c r="C429" s="40">
        <v>849110245</v>
      </c>
      <c r="D429" s="39" t="s">
        <v>730</v>
      </c>
      <c r="E429" s="23" t="s">
        <v>32</v>
      </c>
      <c r="F429" s="59">
        <v>2011</v>
      </c>
      <c r="G429" s="23" t="s">
        <v>33</v>
      </c>
      <c r="H429" s="60" t="str">
        <f t="shared" si="87"/>
        <v xml:space="preserve">   </v>
      </c>
      <c r="I429" s="60">
        <f t="shared" si="88"/>
        <v>41640</v>
      </c>
      <c r="J429" s="1123">
        <v>1250000</v>
      </c>
      <c r="K429" s="1124"/>
      <c r="L429" s="1178">
        <v>3000000</v>
      </c>
      <c r="M429" s="1124">
        <v>40970</v>
      </c>
      <c r="N429" s="1178">
        <f>2000000+1500000</f>
        <v>3500000</v>
      </c>
      <c r="O429" s="1124">
        <v>41550</v>
      </c>
      <c r="P429" s="1178">
        <v>2500000</v>
      </c>
      <c r="Q429" s="1124">
        <v>41457</v>
      </c>
      <c r="R429" s="1178">
        <v>3000000</v>
      </c>
      <c r="S429" s="1124">
        <v>41282</v>
      </c>
      <c r="T429" s="1188">
        <v>3000000</v>
      </c>
      <c r="U429" s="1124" t="s">
        <v>731</v>
      </c>
      <c r="V429" s="1178"/>
      <c r="W429" s="1263" t="s">
        <v>276</v>
      </c>
      <c r="X429" s="1260"/>
      <c r="Y429" s="1126"/>
      <c r="Z429" s="1130"/>
      <c r="AA429" s="1126"/>
      <c r="AB429" s="1311">
        <v>1000000</v>
      </c>
      <c r="AC429" s="1251" t="s">
        <v>732</v>
      </c>
      <c r="AD429" s="1197"/>
      <c r="AE429" s="1158"/>
      <c r="AF429" s="1157"/>
      <c r="AG429" s="1278"/>
      <c r="AH429" s="1232" t="str">
        <f t="shared" si="81"/>
        <v>PI</v>
      </c>
      <c r="AI429" s="747" t="e">
        <f>SUM(J429,L429,N429,P429,R429,T429,V429,X429,Z429,AB429,AD429,AF429,#REF!)</f>
        <v>#REF!</v>
      </c>
      <c r="AJ429" s="747">
        <f t="shared" si="85"/>
        <v>17250000</v>
      </c>
      <c r="AK429" s="747" t="e">
        <f t="shared" si="86"/>
        <v>#REF!</v>
      </c>
      <c r="AL429" s="1170"/>
      <c r="AM429" s="1170"/>
      <c r="AN429" s="1209"/>
      <c r="AO429" s="1170"/>
      <c r="AP429" s="1209"/>
      <c r="AQ429" s="1128"/>
      <c r="AR429" s="1173"/>
      <c r="AT429" s="1173"/>
      <c r="AV429" s="1173"/>
      <c r="AX429" s="1173"/>
      <c r="AY429" s="1176"/>
      <c r="AZ429" s="1173"/>
    </row>
    <row r="430" spans="1:52" s="2" customFormat="1" x14ac:dyDescent="0.25">
      <c r="A430" s="19">
        <v>406</v>
      </c>
      <c r="B430" s="59">
        <v>27</v>
      </c>
      <c r="C430" s="40">
        <v>849110246</v>
      </c>
      <c r="D430" s="97" t="s">
        <v>733</v>
      </c>
      <c r="E430" s="23" t="s">
        <v>32</v>
      </c>
      <c r="F430" s="77">
        <v>2011</v>
      </c>
      <c r="G430" s="23" t="s">
        <v>33</v>
      </c>
      <c r="H430" s="60" t="str">
        <f t="shared" si="87"/>
        <v xml:space="preserve">   </v>
      </c>
      <c r="I430" s="60">
        <f t="shared" si="88"/>
        <v>41275</v>
      </c>
      <c r="J430" s="1123">
        <v>1250000</v>
      </c>
      <c r="K430" s="1124"/>
      <c r="L430" s="1250">
        <v>3000000</v>
      </c>
      <c r="M430" s="1251" t="s">
        <v>219</v>
      </c>
      <c r="N430" s="1250">
        <v>3000000</v>
      </c>
      <c r="O430" s="1251">
        <v>40916</v>
      </c>
      <c r="P430" s="1250">
        <v>3000000</v>
      </c>
      <c r="Q430" s="1251">
        <v>41427</v>
      </c>
      <c r="R430" s="1250">
        <v>3000000</v>
      </c>
      <c r="S430" s="1251" t="s">
        <v>535</v>
      </c>
      <c r="T430" s="1223"/>
      <c r="U430" s="1263" t="s">
        <v>276</v>
      </c>
      <c r="V430" s="1238"/>
      <c r="W430" s="1126"/>
      <c r="X430" s="1240"/>
      <c r="Y430" s="1196"/>
      <c r="Z430" s="1238"/>
      <c r="AA430" s="1126"/>
      <c r="AB430" s="1205">
        <v>1000000</v>
      </c>
      <c r="AC430" s="1124" t="s">
        <v>732</v>
      </c>
      <c r="AD430" s="1246"/>
      <c r="AE430" s="1158"/>
      <c r="AF430" s="1243"/>
      <c r="AG430" s="1158"/>
      <c r="AH430" s="1232" t="str">
        <f t="shared" si="81"/>
        <v>PI</v>
      </c>
      <c r="AI430" s="747">
        <f t="shared" ref="AI430:AI437" si="89">SUM(J430,L430,N430,P430,R430,T430,V430,X430,Z430,AB430,AD430,AF430)</f>
        <v>14250000</v>
      </c>
      <c r="AJ430" s="747">
        <f t="shared" ref="AJ430:AJ438" si="90">(COUNT(L430,N430,P430,R430,T430,V430,X430,Z430,AD430,AF430)*$L$403)+($J$403+$AB$403)</f>
        <v>14250000</v>
      </c>
      <c r="AK430" s="747">
        <f t="shared" ref="AK430:AK438" si="91">AJ430-AI430</f>
        <v>0</v>
      </c>
      <c r="AL430" s="1170"/>
      <c r="AM430" s="1170"/>
      <c r="AN430" s="1209"/>
      <c r="AO430" s="1170"/>
      <c r="AP430" s="1209"/>
      <c r="AQ430" s="1128"/>
      <c r="AR430" s="1173"/>
      <c r="AT430" s="1173"/>
      <c r="AV430" s="1173"/>
      <c r="AX430" s="1173"/>
      <c r="AY430" s="1176"/>
      <c r="AZ430" s="1173"/>
    </row>
    <row r="431" spans="1:52" s="2" customFormat="1" x14ac:dyDescent="0.25">
      <c r="A431" s="19">
        <v>407</v>
      </c>
      <c r="B431" s="59">
        <v>28</v>
      </c>
      <c r="C431" s="40">
        <v>849110247</v>
      </c>
      <c r="D431" s="39" t="s">
        <v>734</v>
      </c>
      <c r="E431" s="23" t="s">
        <v>32</v>
      </c>
      <c r="F431" s="59">
        <v>2011</v>
      </c>
      <c r="G431" s="23" t="s">
        <v>33</v>
      </c>
      <c r="H431" s="60" t="str">
        <f t="shared" si="87"/>
        <v xml:space="preserve">   </v>
      </c>
      <c r="I431" s="60">
        <f t="shared" si="88"/>
        <v>41640</v>
      </c>
      <c r="J431" s="1123">
        <v>1250000</v>
      </c>
      <c r="K431" s="1124"/>
      <c r="L431" s="1178">
        <v>3000000</v>
      </c>
      <c r="M431" s="1124" t="s">
        <v>689</v>
      </c>
      <c r="N431" s="1178">
        <v>3000000</v>
      </c>
      <c r="O431" s="1124">
        <v>40976</v>
      </c>
      <c r="P431" s="1178">
        <v>3000000</v>
      </c>
      <c r="Q431" s="1124">
        <v>41457</v>
      </c>
      <c r="R431" s="1178">
        <v>3000000</v>
      </c>
      <c r="S431" s="1124">
        <v>41282</v>
      </c>
      <c r="T431" s="1223"/>
      <c r="U431" s="1263" t="s">
        <v>276</v>
      </c>
      <c r="V431" s="1289"/>
      <c r="W431" s="1146"/>
      <c r="X431" s="1306"/>
      <c r="Y431" s="1258"/>
      <c r="Z431" s="1130"/>
      <c r="AA431" s="1126"/>
      <c r="AB431" s="1205">
        <v>1000000</v>
      </c>
      <c r="AC431" s="1124" t="s">
        <v>553</v>
      </c>
      <c r="AD431" s="1197"/>
      <c r="AE431" s="1158"/>
      <c r="AF431" s="1157"/>
      <c r="AG431" s="1158"/>
      <c r="AH431" s="1232" t="str">
        <f t="shared" si="81"/>
        <v>PI</v>
      </c>
      <c r="AI431" s="747">
        <f t="shared" si="89"/>
        <v>14250000</v>
      </c>
      <c r="AJ431" s="747">
        <f t="shared" si="90"/>
        <v>14250000</v>
      </c>
      <c r="AK431" s="747">
        <f t="shared" si="91"/>
        <v>0</v>
      </c>
      <c r="AL431" s="1170"/>
      <c r="AM431" s="1170"/>
      <c r="AN431" s="1209"/>
      <c r="AO431" s="1170"/>
      <c r="AP431" s="1209"/>
      <c r="AQ431" s="1128"/>
      <c r="AR431" s="1173"/>
      <c r="AT431" s="1173"/>
      <c r="AV431" s="1173"/>
      <c r="AX431" s="1173"/>
      <c r="AY431" s="1176"/>
      <c r="AZ431" s="1173"/>
    </row>
    <row r="432" spans="1:52" s="2" customFormat="1" x14ac:dyDescent="0.25">
      <c r="A432" s="19">
        <v>408</v>
      </c>
      <c r="B432" s="59">
        <v>29</v>
      </c>
      <c r="C432" s="40">
        <v>849110248</v>
      </c>
      <c r="D432" s="39" t="s">
        <v>735</v>
      </c>
      <c r="E432" s="23" t="s">
        <v>32</v>
      </c>
      <c r="F432" s="59">
        <v>2011</v>
      </c>
      <c r="G432" s="23" t="s">
        <v>33</v>
      </c>
      <c r="H432" s="60" t="str">
        <f t="shared" si="87"/>
        <v xml:space="preserve">   </v>
      </c>
      <c r="I432" s="60">
        <f t="shared" si="88"/>
        <v>41640</v>
      </c>
      <c r="J432" s="1123">
        <v>1250000</v>
      </c>
      <c r="K432" s="1124"/>
      <c r="L432" s="1178">
        <v>3000000</v>
      </c>
      <c r="M432" s="1124">
        <v>40970</v>
      </c>
      <c r="N432" s="1178">
        <v>3000000</v>
      </c>
      <c r="O432" s="1124">
        <v>40916</v>
      </c>
      <c r="P432" s="1178">
        <v>3000000</v>
      </c>
      <c r="Q432" s="1124" t="s">
        <v>693</v>
      </c>
      <c r="R432" s="1178">
        <v>3000000</v>
      </c>
      <c r="S432" s="1124" t="s">
        <v>535</v>
      </c>
      <c r="T432" s="1188">
        <v>3000000</v>
      </c>
      <c r="U432" s="1124">
        <v>41705</v>
      </c>
      <c r="V432" s="1307"/>
      <c r="W432" s="1263" t="s">
        <v>276</v>
      </c>
      <c r="X432" s="1306"/>
      <c r="Y432" s="1258"/>
      <c r="Z432" s="1130"/>
      <c r="AA432" s="1126"/>
      <c r="AB432" s="1205">
        <v>1000000</v>
      </c>
      <c r="AC432" s="1124">
        <v>41705</v>
      </c>
      <c r="AD432" s="1197"/>
      <c r="AE432" s="1158"/>
      <c r="AF432" s="1157"/>
      <c r="AG432" s="1158"/>
      <c r="AH432" s="1232" t="str">
        <f t="shared" si="81"/>
        <v>PI</v>
      </c>
      <c r="AI432" s="747">
        <f t="shared" si="89"/>
        <v>17250000</v>
      </c>
      <c r="AJ432" s="747">
        <f t="shared" si="90"/>
        <v>17250000</v>
      </c>
      <c r="AK432" s="747">
        <f t="shared" si="91"/>
        <v>0</v>
      </c>
      <c r="AL432" s="1170"/>
      <c r="AM432" s="1170"/>
      <c r="AN432" s="1209"/>
      <c r="AO432" s="1170"/>
      <c r="AP432" s="1209"/>
      <c r="AQ432" s="1128"/>
      <c r="AR432" s="1173"/>
      <c r="AT432" s="1173"/>
      <c r="AV432" s="1173"/>
      <c r="AX432" s="1173"/>
      <c r="AY432" s="1176"/>
      <c r="AZ432" s="1173"/>
    </row>
    <row r="433" spans="1:52" s="2" customFormat="1" x14ac:dyDescent="0.25">
      <c r="A433" s="19">
        <v>409</v>
      </c>
      <c r="B433" s="59">
        <v>30</v>
      </c>
      <c r="C433" s="40">
        <v>849110249</v>
      </c>
      <c r="D433" s="97" t="s">
        <v>736</v>
      </c>
      <c r="E433" s="23" t="s">
        <v>32</v>
      </c>
      <c r="F433" s="77">
        <v>2011</v>
      </c>
      <c r="G433" s="23" t="s">
        <v>33</v>
      </c>
      <c r="H433" s="60" t="str">
        <f t="shared" si="87"/>
        <v xml:space="preserve">   </v>
      </c>
      <c r="I433" s="60">
        <f t="shared" si="88"/>
        <v>41640</v>
      </c>
      <c r="J433" s="1123">
        <v>1250000</v>
      </c>
      <c r="K433" s="1124"/>
      <c r="L433" s="1250">
        <v>3000000</v>
      </c>
      <c r="M433" s="1251" t="s">
        <v>737</v>
      </c>
      <c r="N433" s="1250">
        <v>3000000</v>
      </c>
      <c r="O433" s="1251" t="s">
        <v>286</v>
      </c>
      <c r="P433" s="1250">
        <v>3000000</v>
      </c>
      <c r="Q433" s="1251">
        <v>41396</v>
      </c>
      <c r="R433" s="1250">
        <v>3000000</v>
      </c>
      <c r="S433" s="1251">
        <v>41282</v>
      </c>
      <c r="T433" s="1308">
        <v>3000000</v>
      </c>
      <c r="U433" s="1251">
        <v>41705</v>
      </c>
      <c r="V433" s="1249"/>
      <c r="W433" s="1263" t="s">
        <v>276</v>
      </c>
      <c r="X433" s="1240"/>
      <c r="Y433" s="1196"/>
      <c r="Z433" s="1238"/>
      <c r="AA433" s="1126"/>
      <c r="AB433" s="1205">
        <v>1000000</v>
      </c>
      <c r="AC433" s="1124">
        <v>41705</v>
      </c>
      <c r="AD433" s="1246"/>
      <c r="AE433" s="1158"/>
      <c r="AF433" s="1243"/>
      <c r="AG433" s="1158"/>
      <c r="AH433" s="1232" t="str">
        <f t="shared" si="81"/>
        <v>PI</v>
      </c>
      <c r="AI433" s="747">
        <f t="shared" si="89"/>
        <v>17250000</v>
      </c>
      <c r="AJ433" s="747">
        <f t="shared" si="90"/>
        <v>17250000</v>
      </c>
      <c r="AK433" s="747">
        <f t="shared" si="91"/>
        <v>0</v>
      </c>
      <c r="AL433" s="1170"/>
      <c r="AM433" s="1170"/>
      <c r="AN433" s="1209"/>
      <c r="AO433" s="1170"/>
      <c r="AP433" s="1209"/>
      <c r="AQ433" s="1128"/>
      <c r="AR433" s="1173"/>
      <c r="AT433" s="1173"/>
      <c r="AV433" s="1173"/>
      <c r="AX433" s="1173"/>
      <c r="AY433" s="1176"/>
      <c r="AZ433" s="1173"/>
    </row>
    <row r="434" spans="1:52" s="2" customFormat="1" x14ac:dyDescent="0.25">
      <c r="A434" s="19">
        <v>410</v>
      </c>
      <c r="B434" s="59">
        <v>31</v>
      </c>
      <c r="C434" s="40">
        <v>849110250</v>
      </c>
      <c r="D434" s="39" t="s">
        <v>738</v>
      </c>
      <c r="E434" s="23" t="s">
        <v>32</v>
      </c>
      <c r="F434" s="59">
        <v>2011</v>
      </c>
      <c r="G434" s="23" t="s">
        <v>33</v>
      </c>
      <c r="H434" s="60">
        <f t="shared" si="87"/>
        <v>42693</v>
      </c>
      <c r="I434" s="60">
        <f t="shared" si="88"/>
        <v>42693</v>
      </c>
      <c r="J434" s="1123">
        <v>1250000</v>
      </c>
      <c r="K434" s="1124"/>
      <c r="L434" s="1178">
        <v>3000000</v>
      </c>
      <c r="M434" s="1124" t="s">
        <v>689</v>
      </c>
      <c r="N434" s="1297"/>
      <c r="O434" s="1144" t="s">
        <v>137</v>
      </c>
      <c r="P434" s="1178">
        <v>3000000</v>
      </c>
      <c r="Q434" s="1124">
        <v>41313</v>
      </c>
      <c r="R434" s="1297"/>
      <c r="S434" s="1144" t="s">
        <v>684</v>
      </c>
      <c r="T434" s="1188">
        <v>3000000</v>
      </c>
      <c r="U434" s="1124">
        <v>41767</v>
      </c>
      <c r="V434" s="1178">
        <v>3000000</v>
      </c>
      <c r="W434" s="1124" t="s">
        <v>739</v>
      </c>
      <c r="X434" s="1259" t="s">
        <v>276</v>
      </c>
      <c r="Y434" s="1256" t="s">
        <v>740</v>
      </c>
      <c r="Z434" s="1130"/>
      <c r="AA434" s="1126"/>
      <c r="AB434" s="1205">
        <v>1000000</v>
      </c>
      <c r="AC434" s="1124">
        <v>41767</v>
      </c>
      <c r="AD434" s="1197"/>
      <c r="AE434" s="1158"/>
      <c r="AF434" s="1157"/>
      <c r="AG434" s="1158"/>
      <c r="AH434" s="1232" t="str">
        <f t="shared" si="81"/>
        <v>PI</v>
      </c>
      <c r="AI434" s="747">
        <f t="shared" si="89"/>
        <v>14250000</v>
      </c>
      <c r="AJ434" s="747">
        <f t="shared" si="90"/>
        <v>14250000</v>
      </c>
      <c r="AK434" s="747">
        <f t="shared" si="91"/>
        <v>0</v>
      </c>
      <c r="AL434" s="1170"/>
      <c r="AM434" s="1170"/>
      <c r="AN434" s="1209"/>
      <c r="AO434" s="1170"/>
      <c r="AP434" s="1209"/>
      <c r="AQ434" s="1128"/>
      <c r="AR434" s="1173"/>
      <c r="AT434" s="1173"/>
      <c r="AV434" s="1173"/>
      <c r="AX434" s="1173"/>
      <c r="AY434" s="1176"/>
      <c r="AZ434" s="1173"/>
    </row>
    <row r="435" spans="1:52" s="2" customFormat="1" x14ac:dyDescent="0.25">
      <c r="A435" s="19">
        <v>411</v>
      </c>
      <c r="B435" s="59">
        <v>32</v>
      </c>
      <c r="C435" s="40">
        <v>849110251</v>
      </c>
      <c r="D435" s="39" t="s">
        <v>741</v>
      </c>
      <c r="E435" s="23" t="s">
        <v>32</v>
      </c>
      <c r="F435" s="59">
        <v>2011</v>
      </c>
      <c r="G435" s="23" t="s">
        <v>33</v>
      </c>
      <c r="H435" s="60" t="str">
        <f t="shared" si="87"/>
        <v xml:space="preserve">   </v>
      </c>
      <c r="I435" s="60">
        <f t="shared" si="88"/>
        <v>41275</v>
      </c>
      <c r="J435" s="1123">
        <v>1250000</v>
      </c>
      <c r="K435" s="1124"/>
      <c r="L435" s="1178">
        <v>3000000</v>
      </c>
      <c r="M435" s="1124">
        <v>40970</v>
      </c>
      <c r="N435" s="1178">
        <v>3000000</v>
      </c>
      <c r="O435" s="1124">
        <v>40976</v>
      </c>
      <c r="P435" s="1178">
        <v>3000000</v>
      </c>
      <c r="Q435" s="1124">
        <v>41488</v>
      </c>
      <c r="R435" s="1178">
        <v>3000000</v>
      </c>
      <c r="S435" s="1124" t="s">
        <v>621</v>
      </c>
      <c r="T435" s="1223"/>
      <c r="U435" s="1263" t="s">
        <v>276</v>
      </c>
      <c r="V435" s="1130"/>
      <c r="W435" s="1126"/>
      <c r="X435" s="1260"/>
      <c r="Y435" s="1196"/>
      <c r="Z435" s="1130"/>
      <c r="AA435" s="1126"/>
      <c r="AB435" s="1205">
        <v>1000000</v>
      </c>
      <c r="AC435" s="1124" t="s">
        <v>621</v>
      </c>
      <c r="AD435" s="1197"/>
      <c r="AE435" s="1158"/>
      <c r="AF435" s="1157"/>
      <c r="AG435" s="1158"/>
      <c r="AH435" s="1232" t="str">
        <f t="shared" si="81"/>
        <v>PI</v>
      </c>
      <c r="AI435" s="747">
        <f t="shared" si="89"/>
        <v>14250000</v>
      </c>
      <c r="AJ435" s="747">
        <f t="shared" si="90"/>
        <v>14250000</v>
      </c>
      <c r="AK435" s="747">
        <f t="shared" si="91"/>
        <v>0</v>
      </c>
      <c r="AL435" s="1170"/>
      <c r="AM435" s="1170"/>
      <c r="AN435" s="1209"/>
      <c r="AO435" s="1170"/>
      <c r="AP435" s="1209"/>
      <c r="AQ435" s="1128"/>
      <c r="AR435" s="1173"/>
      <c r="AT435" s="1173"/>
      <c r="AV435" s="1173"/>
      <c r="AX435" s="1173"/>
      <c r="AY435" s="1176"/>
      <c r="AZ435" s="1173"/>
    </row>
    <row r="436" spans="1:52" s="2" customFormat="1" x14ac:dyDescent="0.25">
      <c r="A436" s="19">
        <v>412</v>
      </c>
      <c r="B436" s="59">
        <v>33</v>
      </c>
      <c r="C436" s="40">
        <v>849110252</v>
      </c>
      <c r="D436" s="39" t="s">
        <v>742</v>
      </c>
      <c r="E436" s="23" t="s">
        <v>32</v>
      </c>
      <c r="F436" s="59">
        <v>2011</v>
      </c>
      <c r="G436" s="23" t="s">
        <v>33</v>
      </c>
      <c r="H436" s="60" t="str">
        <f t="shared" si="87"/>
        <v xml:space="preserve">   </v>
      </c>
      <c r="I436" s="60">
        <f t="shared" si="88"/>
        <v>41640</v>
      </c>
      <c r="J436" s="1123">
        <v>1250000</v>
      </c>
      <c r="K436" s="1124"/>
      <c r="L436" s="1178">
        <v>3000000</v>
      </c>
      <c r="M436" s="1124" t="s">
        <v>689</v>
      </c>
      <c r="N436" s="1178">
        <v>3000000</v>
      </c>
      <c r="O436" s="1124" t="s">
        <v>184</v>
      </c>
      <c r="P436" s="1178">
        <v>3000000</v>
      </c>
      <c r="Q436" s="1124">
        <v>41366</v>
      </c>
      <c r="R436" s="1178">
        <v>3000000</v>
      </c>
      <c r="S436" s="1124" t="s">
        <v>648</v>
      </c>
      <c r="T436" s="1223"/>
      <c r="U436" s="1263" t="s">
        <v>276</v>
      </c>
      <c r="V436" s="1238"/>
      <c r="W436" s="1126"/>
      <c r="X436" s="1240"/>
      <c r="Y436" s="1196"/>
      <c r="Z436" s="1238"/>
      <c r="AA436" s="1126"/>
      <c r="AB436" s="1205">
        <v>1000000</v>
      </c>
      <c r="AC436" s="1124" t="s">
        <v>743</v>
      </c>
      <c r="AD436" s="1246"/>
      <c r="AE436" s="1158"/>
      <c r="AF436" s="1243"/>
      <c r="AG436" s="1158"/>
      <c r="AH436" s="1232" t="str">
        <f t="shared" si="81"/>
        <v>PI</v>
      </c>
      <c r="AI436" s="747">
        <f t="shared" si="89"/>
        <v>14250000</v>
      </c>
      <c r="AJ436" s="747">
        <f t="shared" si="90"/>
        <v>14250000</v>
      </c>
      <c r="AK436" s="747">
        <f t="shared" si="91"/>
        <v>0</v>
      </c>
      <c r="AL436" s="1170"/>
      <c r="AM436" s="1170"/>
      <c r="AN436" s="1209"/>
      <c r="AO436" s="1170"/>
      <c r="AP436" s="1209"/>
      <c r="AQ436" s="1128"/>
      <c r="AR436" s="1173"/>
      <c r="AT436" s="1173"/>
      <c r="AV436" s="1173"/>
      <c r="AX436" s="1173"/>
      <c r="AY436" s="1176"/>
      <c r="AZ436" s="1173"/>
    </row>
    <row r="437" spans="1:52" s="2" customFormat="1" x14ac:dyDescent="0.25">
      <c r="A437" s="19">
        <v>413</v>
      </c>
      <c r="B437" s="80">
        <v>34</v>
      </c>
      <c r="C437" s="95">
        <v>849110253</v>
      </c>
      <c r="D437" s="98" t="s">
        <v>744</v>
      </c>
      <c r="E437" s="28" t="s">
        <v>32</v>
      </c>
      <c r="F437" s="80">
        <v>2011</v>
      </c>
      <c r="G437" s="99"/>
      <c r="H437" s="100" t="str">
        <f t="shared" si="87"/>
        <v xml:space="preserve">   </v>
      </c>
      <c r="I437" s="100" t="str">
        <f t="shared" si="88"/>
        <v xml:space="preserve">   </v>
      </c>
      <c r="J437" s="1239">
        <v>1250000</v>
      </c>
      <c r="K437" s="1194"/>
      <c r="L437" s="1260">
        <v>3000000</v>
      </c>
      <c r="M437" s="1196">
        <v>40970</v>
      </c>
      <c r="N437" s="1260">
        <v>3000000</v>
      </c>
      <c r="O437" s="1196">
        <v>40976</v>
      </c>
      <c r="P437" s="1260">
        <v>3000000</v>
      </c>
      <c r="Q437" s="1196">
        <v>41457</v>
      </c>
      <c r="R437" s="1260">
        <v>3000000</v>
      </c>
      <c r="S437" s="1196">
        <v>41282</v>
      </c>
      <c r="T437" s="1255"/>
      <c r="U437" s="1258"/>
      <c r="V437" s="1130"/>
      <c r="W437" s="1126"/>
      <c r="X437" s="1260"/>
      <c r="Y437" s="1196"/>
      <c r="Z437" s="1130"/>
      <c r="AA437" s="1126"/>
      <c r="AB437" s="1205"/>
      <c r="AC437" s="1124"/>
      <c r="AD437" s="1197"/>
      <c r="AE437" s="1158"/>
      <c r="AF437" s="1157"/>
      <c r="AG437" s="1158"/>
      <c r="AH437" s="1232" t="str">
        <f t="shared" si="81"/>
        <v>PI</v>
      </c>
      <c r="AI437" s="747">
        <f t="shared" si="89"/>
        <v>13250000</v>
      </c>
      <c r="AJ437" s="747">
        <f t="shared" si="90"/>
        <v>14250000</v>
      </c>
      <c r="AK437" s="747">
        <f t="shared" si="91"/>
        <v>1000000</v>
      </c>
      <c r="AL437" s="1170"/>
      <c r="AM437" s="1170"/>
      <c r="AN437" s="1209"/>
      <c r="AO437" s="1170"/>
      <c r="AP437" s="1209"/>
      <c r="AQ437" s="1128"/>
      <c r="AR437" s="1173"/>
      <c r="AT437" s="1173"/>
      <c r="AV437" s="1173"/>
      <c r="AX437" s="1173"/>
      <c r="AY437" s="1176"/>
      <c r="AZ437" s="1173"/>
    </row>
    <row r="438" spans="1:52" s="2" customFormat="1" x14ac:dyDescent="0.25">
      <c r="A438" s="19">
        <v>414</v>
      </c>
      <c r="B438" s="59">
        <v>35</v>
      </c>
      <c r="C438" s="40">
        <v>849110254</v>
      </c>
      <c r="D438" s="39" t="s">
        <v>745</v>
      </c>
      <c r="E438" s="23" t="s">
        <v>32</v>
      </c>
      <c r="F438" s="59">
        <v>2011</v>
      </c>
      <c r="G438" s="23" t="s">
        <v>33</v>
      </c>
      <c r="H438" s="60" t="str">
        <f t="shared" si="87"/>
        <v xml:space="preserve">   </v>
      </c>
      <c r="I438" s="60">
        <f t="shared" si="88"/>
        <v>41640</v>
      </c>
      <c r="J438" s="1239">
        <v>1250000</v>
      </c>
      <c r="K438" s="1194"/>
      <c r="L438" s="1178">
        <v>3000000</v>
      </c>
      <c r="M438" s="1124" t="s">
        <v>689</v>
      </c>
      <c r="N438" s="1178">
        <v>3000000</v>
      </c>
      <c r="O438" s="1124" t="s">
        <v>290</v>
      </c>
      <c r="P438" s="1178">
        <f>1500000+1500000</f>
        <v>3000000</v>
      </c>
      <c r="Q438" s="1124" t="s">
        <v>637</v>
      </c>
      <c r="R438" s="1178">
        <v>3000000</v>
      </c>
      <c r="S438" s="1124" t="s">
        <v>746</v>
      </c>
      <c r="T438" s="1224"/>
      <c r="U438" s="1263" t="s">
        <v>276</v>
      </c>
      <c r="V438" s="1130"/>
      <c r="W438" s="1126"/>
      <c r="X438" s="1260"/>
      <c r="Y438" s="1196"/>
      <c r="Z438" s="1130"/>
      <c r="AA438" s="1126"/>
      <c r="AB438" s="1205">
        <v>1000000</v>
      </c>
      <c r="AC438" s="1124" t="s">
        <v>663</v>
      </c>
      <c r="AD438" s="1197"/>
      <c r="AE438" s="1158"/>
      <c r="AF438" s="1157"/>
      <c r="AG438" s="1158"/>
      <c r="AH438" s="1232" t="str">
        <f t="shared" si="81"/>
        <v>PI</v>
      </c>
      <c r="AI438" s="747" t="e">
        <f>SUM(J438,L438,N438,P438,R438,T438,V438,X438,Z438,AB438,AD438,AF438,#REF!)</f>
        <v>#REF!</v>
      </c>
      <c r="AJ438" s="747">
        <f t="shared" si="90"/>
        <v>14250000</v>
      </c>
      <c r="AK438" s="747" t="e">
        <f t="shared" si="91"/>
        <v>#REF!</v>
      </c>
      <c r="AL438" s="1170"/>
      <c r="AM438" s="1170"/>
      <c r="AN438" s="1209"/>
      <c r="AO438" s="1170"/>
      <c r="AP438" s="1209"/>
      <c r="AQ438" s="1128"/>
      <c r="AR438" s="1173"/>
      <c r="AT438" s="1173"/>
      <c r="AV438" s="1173"/>
      <c r="AX438" s="1173"/>
      <c r="AY438" s="1176"/>
      <c r="AZ438" s="1173"/>
    </row>
    <row r="439" spans="1:52" s="2" customFormat="1" x14ac:dyDescent="0.25">
      <c r="A439" s="19">
        <v>415</v>
      </c>
      <c r="B439" s="59">
        <v>36</v>
      </c>
      <c r="C439" s="40">
        <v>849110255</v>
      </c>
      <c r="D439" s="39" t="s">
        <v>747</v>
      </c>
      <c r="E439" s="23" t="s">
        <v>32</v>
      </c>
      <c r="F439" s="59">
        <v>2011</v>
      </c>
      <c r="G439" s="23" t="s">
        <v>33</v>
      </c>
      <c r="H439" s="60" t="str">
        <f t="shared" si="87"/>
        <v xml:space="preserve">   </v>
      </c>
      <c r="I439" s="60">
        <f t="shared" si="88"/>
        <v>41640</v>
      </c>
      <c r="J439" s="1123">
        <v>1250000</v>
      </c>
      <c r="K439" s="1124"/>
      <c r="L439" s="1178">
        <v>3000000</v>
      </c>
      <c r="M439" s="1124">
        <v>40941</v>
      </c>
      <c r="N439" s="1178">
        <v>3000000</v>
      </c>
      <c r="O439" s="1124">
        <v>40976</v>
      </c>
      <c r="P439" s="1178">
        <v>3000000</v>
      </c>
      <c r="Q439" s="1124">
        <v>41427</v>
      </c>
      <c r="R439" s="1178">
        <v>3000000</v>
      </c>
      <c r="S439" s="1124" t="s">
        <v>524</v>
      </c>
      <c r="T439" s="1188">
        <v>3000000</v>
      </c>
      <c r="U439" s="1124">
        <v>41705</v>
      </c>
      <c r="V439" s="1307"/>
      <c r="W439" s="1263" t="s">
        <v>276</v>
      </c>
      <c r="X439" s="1260"/>
      <c r="Y439" s="1196"/>
      <c r="Z439" s="1130"/>
      <c r="AA439" s="1126"/>
      <c r="AB439" s="1205">
        <v>1000000</v>
      </c>
      <c r="AC439" s="1124">
        <v>41705</v>
      </c>
      <c r="AD439" s="1197"/>
      <c r="AE439" s="1158"/>
      <c r="AF439" s="1157"/>
      <c r="AG439" s="1158"/>
      <c r="AH439" s="1232" t="str">
        <f t="shared" si="81"/>
        <v>PI</v>
      </c>
      <c r="AI439" s="747">
        <f t="shared" ref="AI439:AI445" si="92">SUM(J439,L439,N439,P439,R439,T439,V439,X439,Z439,AB439,AD439,AF439)</f>
        <v>17250000</v>
      </c>
      <c r="AJ439" s="747">
        <f t="shared" ref="AJ439:AJ446" si="93">(COUNT(L439,N439,P439,R439,T439,V439,X439,Z439,AD439,AF439)*$L$403)+($J$403+$AB$403)</f>
        <v>17250000</v>
      </c>
      <c r="AK439" s="747">
        <f t="shared" ref="AK439:AK446" si="94">AJ439-AI439</f>
        <v>0</v>
      </c>
      <c r="AL439" s="1170"/>
      <c r="AM439" s="1170"/>
      <c r="AN439" s="1209"/>
      <c r="AO439" s="1170"/>
      <c r="AP439" s="1209"/>
      <c r="AQ439" s="1128"/>
      <c r="AR439" s="1173"/>
      <c r="AT439" s="1173"/>
      <c r="AV439" s="1173"/>
      <c r="AX439" s="1173"/>
      <c r="AY439" s="1176"/>
      <c r="AZ439" s="1173"/>
    </row>
    <row r="440" spans="1:52" s="2" customFormat="1" x14ac:dyDescent="0.25">
      <c r="A440" s="19">
        <v>416</v>
      </c>
      <c r="B440" s="59">
        <v>37</v>
      </c>
      <c r="C440" s="40">
        <v>849110256</v>
      </c>
      <c r="D440" s="39" t="s">
        <v>748</v>
      </c>
      <c r="E440" s="23" t="s">
        <v>32</v>
      </c>
      <c r="F440" s="59">
        <v>2011</v>
      </c>
      <c r="G440" s="23" t="s">
        <v>33</v>
      </c>
      <c r="H440" s="60" t="str">
        <f t="shared" si="87"/>
        <v xml:space="preserve">   </v>
      </c>
      <c r="I440" s="60">
        <f t="shared" si="88"/>
        <v>41640</v>
      </c>
      <c r="J440" s="1123">
        <v>1250000</v>
      </c>
      <c r="K440" s="1124"/>
      <c r="L440" s="1178">
        <v>3000000</v>
      </c>
      <c r="M440" s="1124" t="s">
        <v>689</v>
      </c>
      <c r="N440" s="1178">
        <v>3000000</v>
      </c>
      <c r="O440" s="1124">
        <v>40947</v>
      </c>
      <c r="P440" s="1178">
        <v>3000000</v>
      </c>
      <c r="Q440" s="1124" t="s">
        <v>749</v>
      </c>
      <c r="R440" s="1178">
        <v>3000000</v>
      </c>
      <c r="S440" s="1124" t="s">
        <v>750</v>
      </c>
      <c r="T440" s="1223"/>
      <c r="U440" s="1263" t="s">
        <v>276</v>
      </c>
      <c r="V440" s="1130"/>
      <c r="W440" s="1126"/>
      <c r="X440" s="1260"/>
      <c r="Y440" s="1196"/>
      <c r="Z440" s="1130"/>
      <c r="AA440" s="1126"/>
      <c r="AB440" s="1205">
        <v>1000000</v>
      </c>
      <c r="AC440" s="1124" t="s">
        <v>750</v>
      </c>
      <c r="AD440" s="1197"/>
      <c r="AE440" s="1158"/>
      <c r="AF440" s="1157"/>
      <c r="AG440" s="1158"/>
      <c r="AH440" s="1232" t="str">
        <f t="shared" si="81"/>
        <v>PI</v>
      </c>
      <c r="AI440" s="747">
        <f t="shared" si="92"/>
        <v>14250000</v>
      </c>
      <c r="AJ440" s="747">
        <f t="shared" si="93"/>
        <v>14250000</v>
      </c>
      <c r="AK440" s="747">
        <f t="shared" si="94"/>
        <v>0</v>
      </c>
      <c r="AL440" s="1170"/>
      <c r="AM440" s="1170"/>
      <c r="AN440" s="1209"/>
      <c r="AO440" s="1170"/>
      <c r="AP440" s="1209"/>
      <c r="AQ440" s="1128"/>
      <c r="AR440" s="1173"/>
      <c r="AT440" s="1173"/>
      <c r="AV440" s="1173"/>
      <c r="AX440" s="1173"/>
      <c r="AY440" s="1176"/>
      <c r="AZ440" s="1173"/>
    </row>
    <row r="441" spans="1:52" s="2" customFormat="1" x14ac:dyDescent="0.25">
      <c r="A441" s="19">
        <v>417</v>
      </c>
      <c r="B441" s="59">
        <v>38</v>
      </c>
      <c r="C441" s="40">
        <v>849110257</v>
      </c>
      <c r="D441" s="39" t="s">
        <v>751</v>
      </c>
      <c r="E441" s="23" t="s">
        <v>32</v>
      </c>
      <c r="F441" s="59">
        <v>2011</v>
      </c>
      <c r="G441" s="23"/>
      <c r="H441" s="60" t="str">
        <f t="shared" si="87"/>
        <v xml:space="preserve">   </v>
      </c>
      <c r="I441" s="60">
        <f t="shared" si="88"/>
        <v>41640</v>
      </c>
      <c r="J441" s="1123">
        <v>1250000</v>
      </c>
      <c r="K441" s="1124"/>
      <c r="L441" s="1178">
        <v>3000000</v>
      </c>
      <c r="M441" s="1124">
        <v>41092</v>
      </c>
      <c r="N441" s="1178">
        <v>3000000</v>
      </c>
      <c r="O441" s="2293" t="s">
        <v>90</v>
      </c>
      <c r="P441" s="1178">
        <v>3000000</v>
      </c>
      <c r="Q441" s="1124" t="s">
        <v>752</v>
      </c>
      <c r="R441" s="1178">
        <v>3000000</v>
      </c>
      <c r="S441" s="1124" t="s">
        <v>753</v>
      </c>
      <c r="T441" s="1223"/>
      <c r="U441" s="1263" t="s">
        <v>276</v>
      </c>
      <c r="V441" s="1130"/>
      <c r="W441" s="1126"/>
      <c r="X441" s="1260"/>
      <c r="Y441" s="1196"/>
      <c r="Z441" s="1130"/>
      <c r="AA441" s="1126"/>
      <c r="AB441" s="1205">
        <v>1000000</v>
      </c>
      <c r="AC441" s="1124" t="s">
        <v>753</v>
      </c>
      <c r="AD441" s="1197"/>
      <c r="AE441" s="1158"/>
      <c r="AF441" s="1157"/>
      <c r="AG441" s="1158"/>
      <c r="AH441" s="1232" t="str">
        <f t="shared" si="81"/>
        <v>PI</v>
      </c>
      <c r="AI441" s="747">
        <f t="shared" si="92"/>
        <v>14250000</v>
      </c>
      <c r="AJ441" s="747">
        <f t="shared" si="93"/>
        <v>14250000</v>
      </c>
      <c r="AK441" s="747">
        <f t="shared" si="94"/>
        <v>0</v>
      </c>
      <c r="AL441" s="1170"/>
      <c r="AM441" s="1170"/>
      <c r="AN441" s="1209"/>
      <c r="AO441" s="1170"/>
      <c r="AP441" s="1209"/>
      <c r="AQ441" s="1128"/>
      <c r="AR441" s="1173"/>
      <c r="AT441" s="1173"/>
      <c r="AV441" s="1173"/>
      <c r="AX441" s="1173"/>
      <c r="AY441" s="1176"/>
      <c r="AZ441" s="1173"/>
    </row>
    <row r="442" spans="1:52" s="2" customFormat="1" x14ac:dyDescent="0.25">
      <c r="A442" s="19">
        <v>418</v>
      </c>
      <c r="B442" s="101">
        <v>39</v>
      </c>
      <c r="C442" s="93">
        <v>849110258</v>
      </c>
      <c r="D442" s="102" t="s">
        <v>754</v>
      </c>
      <c r="E442" s="104" t="s">
        <v>32</v>
      </c>
      <c r="F442" s="101">
        <v>2011</v>
      </c>
      <c r="G442" s="104"/>
      <c r="H442" s="105" t="str">
        <f t="shared" si="87"/>
        <v xml:space="preserve">   </v>
      </c>
      <c r="I442" s="105" t="str">
        <f t="shared" si="88"/>
        <v xml:space="preserve">   </v>
      </c>
      <c r="J442" s="1239">
        <v>0</v>
      </c>
      <c r="K442" s="1194"/>
      <c r="L442" s="1298">
        <v>2150000</v>
      </c>
      <c r="M442" s="1299">
        <v>41003</v>
      </c>
      <c r="N442" s="1130">
        <v>0</v>
      </c>
      <c r="O442" s="1126"/>
      <c r="P442" s="1130">
        <v>0</v>
      </c>
      <c r="Q442" s="1126"/>
      <c r="R442" s="1130">
        <v>0</v>
      </c>
      <c r="S442" s="1126"/>
      <c r="T442" s="1145">
        <v>0</v>
      </c>
      <c r="U442" s="1126"/>
      <c r="V442" s="1130">
        <v>0</v>
      </c>
      <c r="W442" s="1126"/>
      <c r="X442" s="1260">
        <v>0</v>
      </c>
      <c r="Y442" s="1196"/>
      <c r="Z442" s="1260">
        <v>0</v>
      </c>
      <c r="AA442" s="1196"/>
      <c r="AB442" s="1198">
        <v>0</v>
      </c>
      <c r="AC442" s="1126"/>
      <c r="AD442" s="1197">
        <v>0</v>
      </c>
      <c r="AE442" s="1158"/>
      <c r="AF442" s="1157">
        <v>0</v>
      </c>
      <c r="AG442" s="1158"/>
      <c r="AH442" s="1232" t="str">
        <f t="shared" si="81"/>
        <v>PI</v>
      </c>
      <c r="AI442" s="1248">
        <f t="shared" si="92"/>
        <v>2150000</v>
      </c>
      <c r="AJ442" s="1248">
        <f t="shared" si="93"/>
        <v>32250000</v>
      </c>
      <c r="AK442" s="1248">
        <f t="shared" si="94"/>
        <v>30100000</v>
      </c>
      <c r="AL442" s="1170"/>
      <c r="AM442" s="1170"/>
      <c r="AN442" s="1209"/>
      <c r="AO442" s="1170"/>
      <c r="AP442" s="1209"/>
      <c r="AQ442" s="1128"/>
      <c r="AR442" s="1173"/>
      <c r="AT442" s="1173"/>
      <c r="AV442" s="1173"/>
      <c r="AX442" s="1173"/>
      <c r="AY442" s="1176"/>
      <c r="AZ442" s="1173"/>
    </row>
    <row r="443" spans="1:52" s="2" customFormat="1" x14ac:dyDescent="0.25">
      <c r="A443" s="19">
        <v>419</v>
      </c>
      <c r="B443" s="59">
        <v>40</v>
      </c>
      <c r="C443" s="40">
        <v>849110305</v>
      </c>
      <c r="D443" s="39" t="s">
        <v>755</v>
      </c>
      <c r="E443" s="23" t="s">
        <v>32</v>
      </c>
      <c r="F443" s="59">
        <v>2011</v>
      </c>
      <c r="G443" s="23" t="s">
        <v>33</v>
      </c>
      <c r="H443" s="60" t="str">
        <f t="shared" si="87"/>
        <v xml:space="preserve">   </v>
      </c>
      <c r="I443" s="60">
        <f t="shared" si="88"/>
        <v>41640</v>
      </c>
      <c r="J443" s="1123">
        <v>1250000</v>
      </c>
      <c r="K443" s="1124"/>
      <c r="L443" s="1178">
        <v>3000000</v>
      </c>
      <c r="M443" s="1124">
        <v>41093</v>
      </c>
      <c r="N443" s="1178">
        <v>3000000</v>
      </c>
      <c r="O443" s="1124">
        <v>40916</v>
      </c>
      <c r="P443" s="1178">
        <v>3000000</v>
      </c>
      <c r="Q443" s="1124" t="s">
        <v>756</v>
      </c>
      <c r="R443" s="1178">
        <v>3000000</v>
      </c>
      <c r="S443" s="1124" t="s">
        <v>655</v>
      </c>
      <c r="T443" s="1223"/>
      <c r="U443" s="1263" t="s">
        <v>276</v>
      </c>
      <c r="V443" s="1178"/>
      <c r="W443" s="1124"/>
      <c r="X443" s="1260"/>
      <c r="Y443" s="1196"/>
      <c r="Z443" s="1130"/>
      <c r="AA443" s="1126"/>
      <c r="AB443" s="1205">
        <v>1000000</v>
      </c>
      <c r="AC443" s="1124" t="s">
        <v>757</v>
      </c>
      <c r="AD443" s="1157"/>
      <c r="AE443" s="1158"/>
      <c r="AF443" s="1157"/>
      <c r="AG443" s="1158"/>
      <c r="AH443" s="1232" t="str">
        <f t="shared" si="81"/>
        <v>PI</v>
      </c>
      <c r="AI443" s="747">
        <f t="shared" si="92"/>
        <v>14250000</v>
      </c>
      <c r="AJ443" s="747">
        <f t="shared" si="93"/>
        <v>14250000</v>
      </c>
      <c r="AK443" s="747">
        <f t="shared" si="94"/>
        <v>0</v>
      </c>
      <c r="AL443" s="1170"/>
      <c r="AM443" s="1170"/>
      <c r="AN443" s="1209"/>
      <c r="AO443" s="1170"/>
      <c r="AP443" s="1209"/>
      <c r="AQ443" s="1128"/>
      <c r="AR443" s="1173"/>
      <c r="AT443" s="1173"/>
      <c r="AV443" s="1173"/>
      <c r="AX443" s="1173"/>
      <c r="AY443" s="1176"/>
      <c r="AZ443" s="1173"/>
    </row>
    <row r="444" spans="1:52" s="2" customFormat="1" x14ac:dyDescent="0.25">
      <c r="A444" s="19">
        <v>420</v>
      </c>
      <c r="B444" s="59">
        <v>41</v>
      </c>
      <c r="C444" s="40">
        <v>849110306</v>
      </c>
      <c r="D444" s="39" t="s">
        <v>758</v>
      </c>
      <c r="E444" s="23" t="s">
        <v>32</v>
      </c>
      <c r="F444" s="59">
        <v>2011</v>
      </c>
      <c r="G444" s="23" t="s">
        <v>33</v>
      </c>
      <c r="H444" s="60" t="str">
        <f t="shared" si="87"/>
        <v xml:space="preserve">   </v>
      </c>
      <c r="I444" s="60">
        <f t="shared" si="88"/>
        <v>41640</v>
      </c>
      <c r="J444" s="1123">
        <v>1250000</v>
      </c>
      <c r="K444" s="1124"/>
      <c r="L444" s="1178">
        <v>3000000</v>
      </c>
      <c r="M444" s="1124">
        <v>41489</v>
      </c>
      <c r="N444" s="1178">
        <v>3000000</v>
      </c>
      <c r="O444" s="1124">
        <v>41098</v>
      </c>
      <c r="P444" s="1178">
        <v>3000000</v>
      </c>
      <c r="Q444" s="1124">
        <v>41488</v>
      </c>
      <c r="R444" s="1178">
        <v>3000000</v>
      </c>
      <c r="S444" s="1124" t="s">
        <v>422</v>
      </c>
      <c r="T444" s="1188">
        <v>3000000</v>
      </c>
      <c r="U444" s="1124">
        <v>41677</v>
      </c>
      <c r="V444" s="1307"/>
      <c r="W444" s="1263" t="s">
        <v>276</v>
      </c>
      <c r="X444" s="1260"/>
      <c r="Y444" s="1196"/>
      <c r="Z444" s="1130"/>
      <c r="AA444" s="1126"/>
      <c r="AB444" s="1205">
        <v>1000000</v>
      </c>
      <c r="AC444" s="1196"/>
      <c r="AD444" s="1197"/>
      <c r="AE444" s="1158"/>
      <c r="AF444" s="1157"/>
      <c r="AG444" s="1158"/>
      <c r="AH444" s="1232" t="str">
        <f t="shared" si="81"/>
        <v>PI</v>
      </c>
      <c r="AI444" s="747">
        <f t="shared" si="92"/>
        <v>17250000</v>
      </c>
      <c r="AJ444" s="747">
        <f t="shared" si="93"/>
        <v>17250000</v>
      </c>
      <c r="AK444" s="747">
        <f t="shared" si="94"/>
        <v>0</v>
      </c>
      <c r="AL444" s="1170"/>
      <c r="AM444" s="1170"/>
      <c r="AN444" s="1209"/>
      <c r="AO444" s="1170"/>
      <c r="AP444" s="1209"/>
      <c r="AQ444" s="1128"/>
      <c r="AR444" s="1173"/>
      <c r="AT444" s="1173"/>
      <c r="AV444" s="1173"/>
      <c r="AX444" s="1173"/>
      <c r="AY444" s="1176"/>
      <c r="AZ444" s="1173"/>
    </row>
    <row r="445" spans="1:52" s="2" customFormat="1" x14ac:dyDescent="0.25">
      <c r="A445" s="19">
        <v>421</v>
      </c>
      <c r="B445" s="57">
        <v>42</v>
      </c>
      <c r="C445" s="38">
        <v>849110243</v>
      </c>
      <c r="D445" s="37" t="s">
        <v>759</v>
      </c>
      <c r="E445" s="28" t="s">
        <v>32</v>
      </c>
      <c r="F445" s="57">
        <v>2011</v>
      </c>
      <c r="G445" s="28"/>
      <c r="H445" s="58" t="str">
        <f t="shared" si="87"/>
        <v xml:space="preserve">   </v>
      </c>
      <c r="I445" s="58" t="str">
        <f t="shared" si="88"/>
        <v xml:space="preserve">   </v>
      </c>
      <c r="J445" s="1125"/>
      <c r="K445" s="1126"/>
      <c r="L445" s="1130">
        <v>1400000</v>
      </c>
      <c r="M445" s="1126">
        <v>41003</v>
      </c>
      <c r="N445" s="1130"/>
      <c r="O445" s="1126"/>
      <c r="P445" s="1130"/>
      <c r="Q445" s="1126"/>
      <c r="R445" s="1130"/>
      <c r="S445" s="1126"/>
      <c r="T445" s="1145"/>
      <c r="U445" s="1126"/>
      <c r="V445" s="1130"/>
      <c r="W445" s="1126"/>
      <c r="X445" s="1260"/>
      <c r="Y445" s="1196"/>
      <c r="Z445" s="1130"/>
      <c r="AA445" s="1126"/>
      <c r="AB445" s="1198"/>
      <c r="AC445" s="1196"/>
      <c r="AD445" s="1197"/>
      <c r="AE445" s="1158"/>
      <c r="AF445" s="1157"/>
      <c r="AG445" s="1158"/>
      <c r="AH445" s="1232" t="str">
        <f t="shared" si="81"/>
        <v>PI</v>
      </c>
      <c r="AI445" s="1248">
        <f t="shared" si="92"/>
        <v>1400000</v>
      </c>
      <c r="AJ445" s="1248">
        <f t="shared" si="93"/>
        <v>5250000</v>
      </c>
      <c r="AK445" s="1248">
        <f t="shared" si="94"/>
        <v>3850000</v>
      </c>
      <c r="AL445" s="1170"/>
      <c r="AM445" s="1170"/>
      <c r="AN445" s="1209"/>
      <c r="AO445" s="1170"/>
      <c r="AP445" s="1209"/>
      <c r="AQ445" s="1128"/>
      <c r="AR445" s="1173"/>
      <c r="AT445" s="1173"/>
      <c r="AV445" s="1173"/>
      <c r="AX445" s="1173"/>
      <c r="AY445" s="1176"/>
      <c r="AZ445" s="1173"/>
    </row>
    <row r="446" spans="1:52" s="2" customFormat="1" x14ac:dyDescent="0.25">
      <c r="A446" s="19">
        <v>422</v>
      </c>
      <c r="B446" s="59">
        <v>43</v>
      </c>
      <c r="C446" s="40">
        <v>849110259</v>
      </c>
      <c r="D446" s="39" t="s">
        <v>760</v>
      </c>
      <c r="E446" s="23" t="s">
        <v>32</v>
      </c>
      <c r="F446" s="59">
        <v>2011</v>
      </c>
      <c r="G446" s="23" t="s">
        <v>33</v>
      </c>
      <c r="H446" s="60" t="str">
        <f t="shared" si="87"/>
        <v xml:space="preserve">   </v>
      </c>
      <c r="I446" s="60">
        <f t="shared" si="88"/>
        <v>41640</v>
      </c>
      <c r="J446" s="1123"/>
      <c r="K446" s="1124"/>
      <c r="L446" s="1178">
        <f>2250000+2000000</f>
        <v>4250000</v>
      </c>
      <c r="M446" s="1124" t="s">
        <v>190</v>
      </c>
      <c r="N446" s="1178">
        <v>3000000</v>
      </c>
      <c r="O446" s="1124" t="s">
        <v>761</v>
      </c>
      <c r="P446" s="1178">
        <v>3000000</v>
      </c>
      <c r="Q446" s="1124" t="s">
        <v>428</v>
      </c>
      <c r="R446" s="1178">
        <v>3000000</v>
      </c>
      <c r="S446" s="1124" t="s">
        <v>680</v>
      </c>
      <c r="T446" s="1223"/>
      <c r="U446" s="1263" t="s">
        <v>276</v>
      </c>
      <c r="V446" s="1238"/>
      <c r="W446" s="1126"/>
      <c r="X446" s="1240"/>
      <c r="Y446" s="1196"/>
      <c r="Z446" s="1238"/>
      <c r="AA446" s="1126"/>
      <c r="AB446" s="1205">
        <v>1000000</v>
      </c>
      <c r="AC446" s="1196"/>
      <c r="AD446" s="1246"/>
      <c r="AE446" s="1158"/>
      <c r="AF446" s="1243"/>
      <c r="AG446" s="1158"/>
      <c r="AH446" s="1232" t="str">
        <f t="shared" si="81"/>
        <v>PI</v>
      </c>
      <c r="AI446" s="747" t="e">
        <f>SUM(J446,L446,N446,P446,R446,T446,V446,X446,Z446,AB446,AD446,AF446,#REF!)</f>
        <v>#REF!</v>
      </c>
      <c r="AJ446" s="747">
        <f t="shared" si="93"/>
        <v>14250000</v>
      </c>
      <c r="AK446" s="747" t="e">
        <f t="shared" si="94"/>
        <v>#REF!</v>
      </c>
      <c r="AL446" s="1170"/>
      <c r="AM446" s="1170"/>
      <c r="AN446" s="1209"/>
      <c r="AO446" s="1170"/>
      <c r="AP446" s="1209"/>
      <c r="AQ446" s="1128"/>
      <c r="AR446" s="1173"/>
      <c r="AT446" s="1173"/>
      <c r="AV446" s="1173"/>
      <c r="AX446" s="1173"/>
      <c r="AY446" s="1176"/>
      <c r="AZ446" s="1173"/>
    </row>
    <row r="447" spans="1:52" s="2" customFormat="1" x14ac:dyDescent="0.25">
      <c r="A447" s="19">
        <v>423</v>
      </c>
      <c r="B447" s="57">
        <v>44</v>
      </c>
      <c r="C447" s="38">
        <v>849110260</v>
      </c>
      <c r="D447" s="37" t="s">
        <v>762</v>
      </c>
      <c r="E447" s="28" t="s">
        <v>32</v>
      </c>
      <c r="F447" s="57">
        <v>2011</v>
      </c>
      <c r="G447" s="28"/>
      <c r="H447" s="58" t="str">
        <f t="shared" si="87"/>
        <v xml:space="preserve">   </v>
      </c>
      <c r="I447" s="58" t="str">
        <f t="shared" si="88"/>
        <v xml:space="preserve">   </v>
      </c>
      <c r="J447" s="1125">
        <v>1250000</v>
      </c>
      <c r="K447" s="1126"/>
      <c r="L447" s="1130">
        <v>3000000</v>
      </c>
      <c r="M447" s="1126">
        <v>40970</v>
      </c>
      <c r="N447" s="1130">
        <v>3000000</v>
      </c>
      <c r="O447" s="1126" t="s">
        <v>187</v>
      </c>
      <c r="P447" s="1130">
        <v>3000000</v>
      </c>
      <c r="Q447" s="1126" t="s">
        <v>693</v>
      </c>
      <c r="R447" s="1130"/>
      <c r="S447" s="1126"/>
      <c r="T447" s="1145"/>
      <c r="U447" s="1126"/>
      <c r="V447" s="1130"/>
      <c r="W447" s="1126"/>
      <c r="X447" s="1260"/>
      <c r="Y447" s="1196"/>
      <c r="Z447" s="1260"/>
      <c r="AA447" s="1196"/>
      <c r="AB447" s="1198"/>
      <c r="AC447" s="1126"/>
      <c r="AD447" s="1197"/>
      <c r="AE447" s="1158"/>
      <c r="AF447" s="1157"/>
      <c r="AG447" s="1158"/>
      <c r="AH447" s="1232" t="str">
        <f t="shared" si="81"/>
        <v>PI</v>
      </c>
      <c r="AI447" s="747">
        <f t="shared" ref="AI447:AI475" si="95">SUM(J447,L447,N447,P447,R447,T447,V447,X447,Z447,AB447,AD447,AF447)</f>
        <v>10250000</v>
      </c>
      <c r="AJ447" s="747">
        <f t="shared" ref="AJ447:AJ476" si="96">(COUNT(L447,N447,P447,R447,T447,V447,X447,Z447,AD447,AF447)*$L$403)+($J$403+$AB$403)</f>
        <v>11250000</v>
      </c>
      <c r="AK447" s="747">
        <f t="shared" ref="AK447:AK476" si="97">AJ447-AI447</f>
        <v>1000000</v>
      </c>
      <c r="AL447" s="1170"/>
      <c r="AM447" s="1170"/>
      <c r="AN447" s="1209"/>
      <c r="AO447" s="1170"/>
      <c r="AP447" s="1209"/>
      <c r="AQ447" s="1128"/>
      <c r="AR447" s="1173"/>
      <c r="AT447" s="1173"/>
      <c r="AV447" s="1173"/>
      <c r="AX447" s="1173"/>
      <c r="AY447" s="1176"/>
      <c r="AZ447" s="1173"/>
    </row>
    <row r="448" spans="1:52" s="2" customFormat="1" x14ac:dyDescent="0.25">
      <c r="A448" s="19">
        <v>424</v>
      </c>
      <c r="B448" s="57">
        <v>45</v>
      </c>
      <c r="C448" s="38">
        <v>849110261</v>
      </c>
      <c r="D448" s="37" t="s">
        <v>763</v>
      </c>
      <c r="E448" s="28" t="s">
        <v>32</v>
      </c>
      <c r="F448" s="57">
        <v>2011</v>
      </c>
      <c r="G448" s="28"/>
      <c r="H448" s="58" t="str">
        <f t="shared" si="87"/>
        <v xml:space="preserve">   </v>
      </c>
      <c r="I448" s="58" t="str">
        <f t="shared" si="88"/>
        <v xml:space="preserve">   </v>
      </c>
      <c r="J448" s="1125">
        <v>1250000</v>
      </c>
      <c r="K448" s="1126"/>
      <c r="L448" s="1130">
        <v>3000000</v>
      </c>
      <c r="M448" s="1126">
        <v>40970</v>
      </c>
      <c r="N448" s="1130">
        <v>3000000</v>
      </c>
      <c r="O448" s="1126">
        <v>40976</v>
      </c>
      <c r="P448" s="1130"/>
      <c r="Q448" s="1126"/>
      <c r="R448" s="1130"/>
      <c r="S448" s="1126"/>
      <c r="T448" s="1145"/>
      <c r="U448" s="1126"/>
      <c r="V448" s="1130"/>
      <c r="W448" s="1126"/>
      <c r="X448" s="1260"/>
      <c r="Y448" s="1196"/>
      <c r="Z448" s="1260"/>
      <c r="AA448" s="1196"/>
      <c r="AB448" s="1198"/>
      <c r="AC448" s="1126"/>
      <c r="AD448" s="1197"/>
      <c r="AE448" s="1158"/>
      <c r="AF448" s="1157"/>
      <c r="AG448" s="1158"/>
      <c r="AH448" s="1232" t="str">
        <f t="shared" si="81"/>
        <v>PI</v>
      </c>
      <c r="AI448" s="747">
        <f t="shared" si="95"/>
        <v>7250000</v>
      </c>
      <c r="AJ448" s="747">
        <f t="shared" si="96"/>
        <v>8250000</v>
      </c>
      <c r="AK448" s="747">
        <f t="shared" si="97"/>
        <v>1000000</v>
      </c>
      <c r="AL448" s="1170"/>
      <c r="AM448" s="1170"/>
      <c r="AN448" s="1209"/>
      <c r="AO448" s="1170"/>
      <c r="AP448" s="1209"/>
      <c r="AQ448" s="1128"/>
      <c r="AR448" s="1173"/>
      <c r="AT448" s="1173"/>
      <c r="AV448" s="1173"/>
      <c r="AX448" s="1173"/>
      <c r="AY448" s="1176"/>
      <c r="AZ448" s="1173"/>
    </row>
    <row r="449" spans="1:52" s="2" customFormat="1" x14ac:dyDescent="0.25">
      <c r="A449" s="19">
        <v>425</v>
      </c>
      <c r="B449" s="59">
        <v>46</v>
      </c>
      <c r="C449" s="40">
        <v>849110262</v>
      </c>
      <c r="D449" s="39" t="s">
        <v>764</v>
      </c>
      <c r="E449" s="23" t="s">
        <v>32</v>
      </c>
      <c r="F449" s="59">
        <v>2011</v>
      </c>
      <c r="G449" s="23" t="s">
        <v>33</v>
      </c>
      <c r="H449" s="60" t="str">
        <f t="shared" si="87"/>
        <v xml:space="preserve">   </v>
      </c>
      <c r="I449" s="60" t="str">
        <f t="shared" si="88"/>
        <v xml:space="preserve">   </v>
      </c>
      <c r="J449" s="1123">
        <v>1250000</v>
      </c>
      <c r="K449" s="1124"/>
      <c r="L449" s="1178">
        <v>3000000</v>
      </c>
      <c r="M449" s="1124">
        <v>40970</v>
      </c>
      <c r="N449" s="1178">
        <v>3000000</v>
      </c>
      <c r="O449" s="1124">
        <v>40976</v>
      </c>
      <c r="P449" s="1178">
        <v>3000000</v>
      </c>
      <c r="Q449" s="1124">
        <v>41488</v>
      </c>
      <c r="R449" s="1178">
        <v>3000000</v>
      </c>
      <c r="S449" s="1124">
        <v>41282</v>
      </c>
      <c r="T449" s="1188">
        <v>3000000</v>
      </c>
      <c r="U449" s="1124">
        <v>41643</v>
      </c>
      <c r="V449" s="1312"/>
      <c r="W449" s="1263" t="s">
        <v>276</v>
      </c>
      <c r="X449" s="1240"/>
      <c r="Y449" s="1196"/>
      <c r="Z449" s="1240"/>
      <c r="AA449" s="1196"/>
      <c r="AB449" s="1242"/>
      <c r="AC449" s="1126"/>
      <c r="AD449" s="1246"/>
      <c r="AE449" s="1158"/>
      <c r="AF449" s="1243"/>
      <c r="AG449" s="1158"/>
      <c r="AH449" s="1232" t="str">
        <f t="shared" si="81"/>
        <v>PI</v>
      </c>
      <c r="AI449" s="747">
        <f t="shared" si="95"/>
        <v>16250000</v>
      </c>
      <c r="AJ449" s="747">
        <f t="shared" si="96"/>
        <v>17250000</v>
      </c>
      <c r="AK449" s="747">
        <f t="shared" si="97"/>
        <v>1000000</v>
      </c>
      <c r="AL449" s="1170"/>
      <c r="AM449" s="1170"/>
      <c r="AN449" s="1209"/>
      <c r="AO449" s="1170"/>
      <c r="AP449" s="1209"/>
      <c r="AQ449" s="1128"/>
      <c r="AR449" s="1173"/>
      <c r="AT449" s="1173"/>
      <c r="AV449" s="1173"/>
      <c r="AX449" s="1173"/>
      <c r="AY449" s="1176"/>
      <c r="AZ449" s="1173"/>
    </row>
    <row r="450" spans="1:52" s="2" customFormat="1" x14ac:dyDescent="0.25">
      <c r="A450" s="19">
        <v>426</v>
      </c>
      <c r="B450" s="59">
        <v>47</v>
      </c>
      <c r="C450" s="40">
        <v>849110263</v>
      </c>
      <c r="D450" s="39" t="s">
        <v>765</v>
      </c>
      <c r="E450" s="23" t="s">
        <v>32</v>
      </c>
      <c r="F450" s="59">
        <v>2011</v>
      </c>
      <c r="G450" s="23" t="s">
        <v>33</v>
      </c>
      <c r="H450" s="60" t="str">
        <f t="shared" si="87"/>
        <v xml:space="preserve">   </v>
      </c>
      <c r="I450" s="60">
        <f t="shared" si="88"/>
        <v>41275</v>
      </c>
      <c r="J450" s="1123">
        <v>1250000</v>
      </c>
      <c r="K450" s="1124"/>
      <c r="L450" s="1178">
        <v>3000000</v>
      </c>
      <c r="M450" s="1124">
        <v>40970</v>
      </c>
      <c r="N450" s="1178">
        <v>3000000</v>
      </c>
      <c r="O450" s="1124" t="s">
        <v>190</v>
      </c>
      <c r="P450" s="1178">
        <v>3000000</v>
      </c>
      <c r="Q450" s="1124">
        <v>41276</v>
      </c>
      <c r="R450" s="1178">
        <v>3000000</v>
      </c>
      <c r="S450" s="1124">
        <v>41585</v>
      </c>
      <c r="T450" s="1224"/>
      <c r="U450" s="1263" t="s">
        <v>276</v>
      </c>
      <c r="V450" s="1238"/>
      <c r="W450" s="1126"/>
      <c r="X450" s="1240"/>
      <c r="Y450" s="1196"/>
      <c r="Z450" s="1238"/>
      <c r="AA450" s="1196"/>
      <c r="AB450" s="1205">
        <v>1000000</v>
      </c>
      <c r="AC450" s="1124">
        <v>41282</v>
      </c>
      <c r="AD450" s="1246"/>
      <c r="AE450" s="1158"/>
      <c r="AF450" s="1243"/>
      <c r="AG450" s="1158"/>
      <c r="AH450" s="1232" t="str">
        <f t="shared" si="81"/>
        <v>PI</v>
      </c>
      <c r="AI450" s="747">
        <f t="shared" si="95"/>
        <v>14250000</v>
      </c>
      <c r="AJ450" s="747">
        <f t="shared" si="96"/>
        <v>14250000</v>
      </c>
      <c r="AK450" s="747">
        <f t="shared" si="97"/>
        <v>0</v>
      </c>
      <c r="AL450" s="1170"/>
      <c r="AM450" s="1170"/>
      <c r="AN450" s="1209"/>
      <c r="AO450" s="1170"/>
      <c r="AP450" s="1209"/>
      <c r="AQ450" s="1128"/>
      <c r="AR450" s="1173"/>
      <c r="AT450" s="1173"/>
      <c r="AV450" s="1173"/>
      <c r="AX450" s="1173"/>
      <c r="AY450" s="1176"/>
      <c r="AZ450" s="1173"/>
    </row>
    <row r="451" spans="1:52" s="2" customFormat="1" x14ac:dyDescent="0.25">
      <c r="A451" s="19">
        <v>427</v>
      </c>
      <c r="B451" s="59">
        <v>48</v>
      </c>
      <c r="C451" s="40">
        <v>849110265</v>
      </c>
      <c r="D451" s="39" t="s">
        <v>766</v>
      </c>
      <c r="E451" s="23" t="s">
        <v>32</v>
      </c>
      <c r="F451" s="59">
        <v>2011</v>
      </c>
      <c r="G451" s="23" t="s">
        <v>33</v>
      </c>
      <c r="H451" s="60" t="str">
        <f t="shared" si="87"/>
        <v xml:space="preserve">   </v>
      </c>
      <c r="I451" s="60">
        <f t="shared" si="88"/>
        <v>41275</v>
      </c>
      <c r="J451" s="1123">
        <v>1250000</v>
      </c>
      <c r="K451" s="1124"/>
      <c r="L451" s="1178">
        <v>3000000</v>
      </c>
      <c r="M451" s="1124">
        <v>40909</v>
      </c>
      <c r="N451" s="1178">
        <v>3000000</v>
      </c>
      <c r="O451" s="1124">
        <v>40947</v>
      </c>
      <c r="P451" s="1178">
        <v>3000000</v>
      </c>
      <c r="Q451" s="1124">
        <v>41427</v>
      </c>
      <c r="R451" s="1178">
        <v>3000000</v>
      </c>
      <c r="S451" s="1124">
        <v>41282</v>
      </c>
      <c r="T451" s="1145"/>
      <c r="U451" s="1263" t="s">
        <v>276</v>
      </c>
      <c r="V451" s="1130"/>
      <c r="W451" s="1126"/>
      <c r="X451" s="1260"/>
      <c r="Y451" s="1196"/>
      <c r="Z451" s="1130"/>
      <c r="AA451" s="1196"/>
      <c r="AB451" s="1205">
        <v>1000000</v>
      </c>
      <c r="AC451" s="1124" t="s">
        <v>767</v>
      </c>
      <c r="AD451" s="1197"/>
      <c r="AE451" s="1158"/>
      <c r="AF451" s="1157"/>
      <c r="AG451" s="1158"/>
      <c r="AH451" s="1232" t="str">
        <f t="shared" si="81"/>
        <v>PI</v>
      </c>
      <c r="AI451" s="747">
        <f t="shared" si="95"/>
        <v>14250000</v>
      </c>
      <c r="AJ451" s="747">
        <f t="shared" si="96"/>
        <v>14250000</v>
      </c>
      <c r="AK451" s="747">
        <f t="shared" si="97"/>
        <v>0</v>
      </c>
      <c r="AL451" s="1170"/>
      <c r="AM451" s="1170"/>
      <c r="AN451" s="1209"/>
      <c r="AO451" s="1170"/>
      <c r="AP451" s="1209"/>
      <c r="AQ451" s="1128"/>
      <c r="AR451" s="1173"/>
      <c r="AT451" s="1173"/>
      <c r="AV451" s="1173"/>
      <c r="AX451" s="1173"/>
      <c r="AY451" s="1176"/>
      <c r="AZ451" s="1173"/>
    </row>
    <row r="452" spans="1:52" s="2" customFormat="1" x14ac:dyDescent="0.25">
      <c r="A452" s="19">
        <v>428</v>
      </c>
      <c r="B452" s="59">
        <v>49</v>
      </c>
      <c r="C452" s="40">
        <v>849110266</v>
      </c>
      <c r="D452" s="39" t="s">
        <v>768</v>
      </c>
      <c r="E452" s="23" t="s">
        <v>32</v>
      </c>
      <c r="F452" s="59">
        <v>2011</v>
      </c>
      <c r="G452" s="23" t="s">
        <v>33</v>
      </c>
      <c r="H452" s="60" t="str">
        <f t="shared" si="87"/>
        <v xml:space="preserve">   </v>
      </c>
      <c r="I452" s="60">
        <f t="shared" si="88"/>
        <v>41640</v>
      </c>
      <c r="J452" s="1123">
        <v>1250000</v>
      </c>
      <c r="K452" s="1124"/>
      <c r="L452" s="1178">
        <v>3000000</v>
      </c>
      <c r="M452" s="1124">
        <v>40970</v>
      </c>
      <c r="N452" s="1178">
        <v>3000000</v>
      </c>
      <c r="O452" s="1124">
        <v>40947</v>
      </c>
      <c r="P452" s="1178">
        <v>3000000</v>
      </c>
      <c r="Q452" s="1124">
        <v>41457</v>
      </c>
      <c r="R452" s="1178">
        <v>3000000</v>
      </c>
      <c r="S452" s="1124" t="s">
        <v>652</v>
      </c>
      <c r="T452" s="1188">
        <v>3000000</v>
      </c>
      <c r="U452" s="1124" t="s">
        <v>769</v>
      </c>
      <c r="V452" s="1312"/>
      <c r="W452" s="1263" t="s">
        <v>276</v>
      </c>
      <c r="X452" s="1240"/>
      <c r="Y452" s="1196"/>
      <c r="Z452" s="1238"/>
      <c r="AA452" s="1196"/>
      <c r="AB452" s="1205">
        <v>1000000</v>
      </c>
      <c r="AC452" s="1124" t="s">
        <v>769</v>
      </c>
      <c r="AD452" s="1246"/>
      <c r="AE452" s="1247"/>
      <c r="AF452" s="1243"/>
      <c r="AG452" s="1158"/>
      <c r="AH452" s="1232" t="str">
        <f t="shared" si="81"/>
        <v>PI</v>
      </c>
      <c r="AI452" s="747">
        <f t="shared" si="95"/>
        <v>17250000</v>
      </c>
      <c r="AJ452" s="747">
        <f t="shared" si="96"/>
        <v>17250000</v>
      </c>
      <c r="AK452" s="747">
        <f t="shared" si="97"/>
        <v>0</v>
      </c>
      <c r="AL452" s="1170"/>
      <c r="AM452" s="1170"/>
      <c r="AN452" s="1209"/>
      <c r="AO452" s="1170"/>
      <c r="AP452" s="1209"/>
      <c r="AQ452" s="1128"/>
      <c r="AR452" s="1173"/>
      <c r="AT452" s="1173"/>
      <c r="AV452" s="1173"/>
      <c r="AX452" s="1173"/>
      <c r="AY452" s="1176"/>
      <c r="AZ452" s="1173"/>
    </row>
    <row r="453" spans="1:52" s="2" customFormat="1" x14ac:dyDescent="0.25">
      <c r="A453" s="19">
        <v>429</v>
      </c>
      <c r="B453" s="59">
        <v>50</v>
      </c>
      <c r="C453" s="40">
        <v>849110267</v>
      </c>
      <c r="D453" s="39" t="s">
        <v>770</v>
      </c>
      <c r="E453" s="23" t="s">
        <v>32</v>
      </c>
      <c r="F453" s="59">
        <v>2011</v>
      </c>
      <c r="G453" s="23" t="s">
        <v>33</v>
      </c>
      <c r="H453" s="60" t="str">
        <f t="shared" si="87"/>
        <v xml:space="preserve">   </v>
      </c>
      <c r="I453" s="60">
        <f t="shared" si="88"/>
        <v>41640</v>
      </c>
      <c r="J453" s="1123">
        <v>1250000</v>
      </c>
      <c r="K453" s="1124"/>
      <c r="L453" s="1178">
        <v>3000000</v>
      </c>
      <c r="M453" s="1124">
        <v>40970</v>
      </c>
      <c r="N453" s="1178">
        <v>3000000</v>
      </c>
      <c r="O453" s="1124" t="s">
        <v>200</v>
      </c>
      <c r="P453" s="1178">
        <v>3000000</v>
      </c>
      <c r="Q453" s="1124">
        <v>41457</v>
      </c>
      <c r="R453" s="1178">
        <v>3000000</v>
      </c>
      <c r="S453" s="1124" t="s">
        <v>421</v>
      </c>
      <c r="T453" s="1188">
        <v>3000000</v>
      </c>
      <c r="U453" s="1124" t="s">
        <v>771</v>
      </c>
      <c r="V453" s="1312"/>
      <c r="W453" s="1263" t="s">
        <v>276</v>
      </c>
      <c r="X453" s="1240"/>
      <c r="Y453" s="1196"/>
      <c r="Z453" s="1238"/>
      <c r="AA453" s="1196"/>
      <c r="AB453" s="1205">
        <v>1000000</v>
      </c>
      <c r="AC453" s="1124" t="s">
        <v>772</v>
      </c>
      <c r="AD453" s="1246"/>
      <c r="AE453" s="1247"/>
      <c r="AF453" s="1243"/>
      <c r="AG453" s="1158"/>
      <c r="AH453" s="1232" t="str">
        <f t="shared" ref="AH453:AH516" si="98">E453</f>
        <v>PI</v>
      </c>
      <c r="AI453" s="747">
        <f t="shared" si="95"/>
        <v>17250000</v>
      </c>
      <c r="AJ453" s="747">
        <f t="shared" si="96"/>
        <v>17250000</v>
      </c>
      <c r="AK453" s="747">
        <f t="shared" si="97"/>
        <v>0</v>
      </c>
      <c r="AL453" s="1170"/>
      <c r="AM453" s="1170"/>
      <c r="AN453" s="1209"/>
      <c r="AO453" s="1170"/>
      <c r="AP453" s="1209"/>
      <c r="AQ453" s="1128"/>
      <c r="AR453" s="1173"/>
      <c r="AT453" s="1173"/>
      <c r="AV453" s="1173"/>
      <c r="AX453" s="1173"/>
      <c r="AY453" s="1176"/>
      <c r="AZ453" s="1173"/>
    </row>
    <row r="454" spans="1:52" s="2" customFormat="1" x14ac:dyDescent="0.25">
      <c r="A454" s="19">
        <v>430</v>
      </c>
      <c r="B454" s="59">
        <v>51</v>
      </c>
      <c r="C454" s="40">
        <v>849110268</v>
      </c>
      <c r="D454" s="39" t="s">
        <v>773</v>
      </c>
      <c r="E454" s="23" t="s">
        <v>32</v>
      </c>
      <c r="F454" s="59">
        <v>2011</v>
      </c>
      <c r="G454" s="23" t="s">
        <v>33</v>
      </c>
      <c r="H454" s="60" t="str">
        <f t="shared" si="87"/>
        <v xml:space="preserve">   </v>
      </c>
      <c r="I454" s="60">
        <f t="shared" si="88"/>
        <v>41640</v>
      </c>
      <c r="J454" s="1123">
        <v>1250000</v>
      </c>
      <c r="K454" s="1124"/>
      <c r="L454" s="1178">
        <v>3000000</v>
      </c>
      <c r="M454" s="1124" t="s">
        <v>174</v>
      </c>
      <c r="N454" s="1178">
        <v>3000000</v>
      </c>
      <c r="O454" s="1124">
        <v>40947</v>
      </c>
      <c r="P454" s="1178">
        <v>3000000</v>
      </c>
      <c r="Q454" s="1124">
        <v>41457</v>
      </c>
      <c r="R454" s="1178">
        <v>3000000</v>
      </c>
      <c r="S454" s="1124" t="s">
        <v>538</v>
      </c>
      <c r="T454" s="1224"/>
      <c r="U454" s="1263" t="s">
        <v>276</v>
      </c>
      <c r="V454" s="1238"/>
      <c r="W454" s="1126"/>
      <c r="X454" s="1240"/>
      <c r="Y454" s="1196"/>
      <c r="Z454" s="1238"/>
      <c r="AA454" s="1196"/>
      <c r="AB454" s="1205">
        <v>1000000</v>
      </c>
      <c r="AC454" s="1124" t="s">
        <v>774</v>
      </c>
      <c r="AD454" s="1246"/>
      <c r="AE454" s="1247"/>
      <c r="AF454" s="1243"/>
      <c r="AG454" s="1158"/>
      <c r="AH454" s="1232" t="str">
        <f t="shared" si="98"/>
        <v>PI</v>
      </c>
      <c r="AI454" s="747">
        <f t="shared" si="95"/>
        <v>14250000</v>
      </c>
      <c r="AJ454" s="747">
        <f t="shared" si="96"/>
        <v>14250000</v>
      </c>
      <c r="AK454" s="747">
        <f t="shared" si="97"/>
        <v>0</v>
      </c>
      <c r="AL454" s="1170"/>
      <c r="AM454" s="1170"/>
      <c r="AN454" s="1209"/>
      <c r="AO454" s="1170"/>
      <c r="AP454" s="1209"/>
      <c r="AQ454" s="1128"/>
      <c r="AR454" s="1173"/>
      <c r="AT454" s="1173"/>
      <c r="AV454" s="1173"/>
      <c r="AX454" s="1173"/>
      <c r="AY454" s="1176"/>
      <c r="AZ454" s="1173"/>
    </row>
    <row r="455" spans="1:52" s="2" customFormat="1" x14ac:dyDescent="0.25">
      <c r="A455" s="19">
        <v>431</v>
      </c>
      <c r="B455" s="59">
        <v>52</v>
      </c>
      <c r="C455" s="40">
        <v>849110269</v>
      </c>
      <c r="D455" s="39" t="s">
        <v>775</v>
      </c>
      <c r="E455" s="23" t="s">
        <v>32</v>
      </c>
      <c r="F455" s="59">
        <v>2011</v>
      </c>
      <c r="G455" s="23" t="s">
        <v>33</v>
      </c>
      <c r="H455" s="60">
        <f t="shared" si="87"/>
        <v>42499</v>
      </c>
      <c r="I455" s="60">
        <f t="shared" si="88"/>
        <v>42861</v>
      </c>
      <c r="J455" s="1123">
        <v>1250000</v>
      </c>
      <c r="K455" s="1124"/>
      <c r="L455" s="1178">
        <v>3000000</v>
      </c>
      <c r="M455" s="1124">
        <v>40941</v>
      </c>
      <c r="N455" s="1178">
        <v>3000000</v>
      </c>
      <c r="O455" s="1124">
        <v>40916</v>
      </c>
      <c r="P455" s="1178">
        <v>3000000</v>
      </c>
      <c r="Q455" s="1124">
        <v>41457</v>
      </c>
      <c r="R455" s="1178">
        <v>3000000</v>
      </c>
      <c r="S455" s="1124">
        <v>41313</v>
      </c>
      <c r="T455" s="1188">
        <v>3000000</v>
      </c>
      <c r="U455" s="1124" t="s">
        <v>776</v>
      </c>
      <c r="V455" s="1178">
        <v>3000000</v>
      </c>
      <c r="W455" s="1124" t="s">
        <v>776</v>
      </c>
      <c r="X455" s="1178">
        <v>3000000</v>
      </c>
      <c r="Y455" s="1124" t="s">
        <v>776</v>
      </c>
      <c r="Z455" s="1178">
        <v>3000000</v>
      </c>
      <c r="AA455" s="1194"/>
      <c r="AB455" s="1205">
        <v>1000000</v>
      </c>
      <c r="AC455" s="1124" t="s">
        <v>776</v>
      </c>
      <c r="AD455" s="1199">
        <v>3000000</v>
      </c>
      <c r="AE455" s="1206" t="s">
        <v>776</v>
      </c>
      <c r="AF455" s="12" t="s">
        <v>276</v>
      </c>
      <c r="AG455" s="1158"/>
      <c r="AH455" s="1232" t="str">
        <f t="shared" si="98"/>
        <v>PI</v>
      </c>
      <c r="AI455" s="747">
        <f t="shared" si="95"/>
        <v>29250000</v>
      </c>
      <c r="AJ455" s="747">
        <f t="shared" si="96"/>
        <v>29250000</v>
      </c>
      <c r="AK455" s="747">
        <f t="shared" si="97"/>
        <v>0</v>
      </c>
      <c r="AL455" s="1170"/>
      <c r="AM455" s="1170"/>
      <c r="AN455" s="1209"/>
      <c r="AO455" s="1170"/>
      <c r="AP455" s="1209"/>
      <c r="AQ455" s="1128"/>
      <c r="AR455" s="1173"/>
      <c r="AT455" s="1173"/>
      <c r="AV455" s="1173"/>
      <c r="AX455" s="1173"/>
      <c r="AY455" s="1176"/>
      <c r="AZ455" s="1173"/>
    </row>
    <row r="456" spans="1:52" s="2" customFormat="1" x14ac:dyDescent="0.25">
      <c r="A456" s="19">
        <v>432</v>
      </c>
      <c r="B456" s="59">
        <v>53</v>
      </c>
      <c r="C456" s="40">
        <v>849110270</v>
      </c>
      <c r="D456" s="39" t="s">
        <v>777</v>
      </c>
      <c r="E456" s="23" t="s">
        <v>32</v>
      </c>
      <c r="F456" s="59">
        <v>2011</v>
      </c>
      <c r="G456" s="23" t="s">
        <v>33</v>
      </c>
      <c r="H456" s="60" t="str">
        <f t="shared" si="87"/>
        <v xml:space="preserve">   </v>
      </c>
      <c r="I456" s="60" t="str">
        <f t="shared" si="88"/>
        <v xml:space="preserve">   </v>
      </c>
      <c r="J456" s="1123">
        <v>1250000</v>
      </c>
      <c r="K456" s="1124"/>
      <c r="L456" s="1178">
        <v>3000000</v>
      </c>
      <c r="M456" s="1124">
        <v>40970</v>
      </c>
      <c r="N456" s="1178">
        <v>3000000</v>
      </c>
      <c r="O456" s="1124">
        <v>40976</v>
      </c>
      <c r="P456" s="1178">
        <v>3000000</v>
      </c>
      <c r="Q456" s="1124">
        <v>41488</v>
      </c>
      <c r="R456" s="1178">
        <v>3000000</v>
      </c>
      <c r="S456" s="1124">
        <v>41282</v>
      </c>
      <c r="T456" s="1188">
        <v>3000000</v>
      </c>
      <c r="U456" s="1124" t="s">
        <v>778</v>
      </c>
      <c r="V456" s="1312"/>
      <c r="W456" s="1263" t="s">
        <v>276</v>
      </c>
      <c r="X456" s="1240"/>
      <c r="Y456" s="1196"/>
      <c r="Z456" s="1238"/>
      <c r="AA456" s="1196"/>
      <c r="AB456" s="1205">
        <v>1000000</v>
      </c>
      <c r="AC456" s="1196"/>
      <c r="AD456" s="1246"/>
      <c r="AE456" s="1247"/>
      <c r="AF456" s="1243"/>
      <c r="AG456" s="1158"/>
      <c r="AH456" s="1232" t="str">
        <f t="shared" si="98"/>
        <v>PI</v>
      </c>
      <c r="AI456" s="747">
        <f t="shared" si="95"/>
        <v>17250000</v>
      </c>
      <c r="AJ456" s="747">
        <f t="shared" si="96"/>
        <v>17250000</v>
      </c>
      <c r="AK456" s="747">
        <f t="shared" si="97"/>
        <v>0</v>
      </c>
      <c r="AL456" s="1170"/>
      <c r="AM456" s="1170"/>
      <c r="AN456" s="1209"/>
      <c r="AO456" s="1170"/>
      <c r="AP456" s="1209"/>
      <c r="AQ456" s="1128"/>
      <c r="AR456" s="1173"/>
      <c r="AT456" s="1173"/>
      <c r="AV456" s="1173"/>
      <c r="AX456" s="1173"/>
      <c r="AY456" s="1176"/>
      <c r="AZ456" s="1173"/>
    </row>
    <row r="457" spans="1:52" s="2" customFormat="1" x14ac:dyDescent="0.25">
      <c r="A457" s="19">
        <v>433</v>
      </c>
      <c r="B457" s="57">
        <v>54</v>
      </c>
      <c r="C457" s="38">
        <v>849110271</v>
      </c>
      <c r="D457" s="37" t="s">
        <v>779</v>
      </c>
      <c r="E457" s="28"/>
      <c r="F457" s="57">
        <v>2011</v>
      </c>
      <c r="G457" s="28"/>
      <c r="H457" s="58" t="str">
        <f t="shared" si="87"/>
        <v xml:space="preserve">   </v>
      </c>
      <c r="I457" s="58" t="str">
        <f t="shared" si="88"/>
        <v xml:space="preserve">   </v>
      </c>
      <c r="J457" s="1239">
        <v>1250000</v>
      </c>
      <c r="K457" s="1194"/>
      <c r="L457" s="1130">
        <v>3000000</v>
      </c>
      <c r="M457" s="1126">
        <v>40941</v>
      </c>
      <c r="N457" s="1130">
        <v>3000000</v>
      </c>
      <c r="O457" s="1126">
        <v>40976</v>
      </c>
      <c r="P457" s="1260">
        <v>3000000</v>
      </c>
      <c r="Q457" s="1126">
        <v>41610</v>
      </c>
      <c r="R457" s="1130">
        <v>3000000</v>
      </c>
      <c r="S457" s="1126" t="s">
        <v>780</v>
      </c>
      <c r="T457" s="1192" t="s">
        <v>137</v>
      </c>
      <c r="U457" s="1144" t="s">
        <v>137</v>
      </c>
      <c r="V457" s="1130">
        <v>3000000</v>
      </c>
      <c r="W457" s="1126" t="s">
        <v>781</v>
      </c>
      <c r="X457" s="1257">
        <v>0</v>
      </c>
      <c r="Y457" s="1196" t="s">
        <v>575</v>
      </c>
      <c r="Z457" s="1257">
        <v>0</v>
      </c>
      <c r="AA457" s="1258" t="s">
        <v>575</v>
      </c>
      <c r="AB457" s="1205">
        <v>1000000</v>
      </c>
      <c r="AC457" s="1196" t="s">
        <v>781</v>
      </c>
      <c r="AD457" s="1273">
        <v>0</v>
      </c>
      <c r="AE457" s="1272" t="s">
        <v>575</v>
      </c>
      <c r="AF457" s="1157"/>
      <c r="AG457" s="1158"/>
      <c r="AH457" s="1232">
        <f t="shared" si="98"/>
        <v>0</v>
      </c>
      <c r="AI457" s="747">
        <f t="shared" si="95"/>
        <v>17250000</v>
      </c>
      <c r="AJ457" s="747">
        <f t="shared" si="96"/>
        <v>26250000</v>
      </c>
      <c r="AK457" s="747">
        <f t="shared" si="97"/>
        <v>9000000</v>
      </c>
      <c r="AL457" s="1169"/>
      <c r="AM457" s="1170"/>
      <c r="AN457" s="1171"/>
      <c r="AO457" s="1170"/>
      <c r="AP457" s="1171"/>
      <c r="AQ457" s="1128"/>
      <c r="AR457" s="1173"/>
      <c r="AT457" s="1173"/>
      <c r="AV457" s="1173"/>
      <c r="AX457" s="1173"/>
      <c r="AY457" s="1176"/>
      <c r="AZ457" s="1173"/>
    </row>
    <row r="458" spans="1:52" s="2" customFormat="1" x14ac:dyDescent="0.25">
      <c r="A458" s="19">
        <v>434</v>
      </c>
      <c r="B458" s="59">
        <v>55</v>
      </c>
      <c r="C458" s="40">
        <v>849110273</v>
      </c>
      <c r="D458" s="39" t="s">
        <v>782</v>
      </c>
      <c r="E458" s="23" t="s">
        <v>32</v>
      </c>
      <c r="F458" s="59">
        <v>2011</v>
      </c>
      <c r="G458" s="23" t="s">
        <v>33</v>
      </c>
      <c r="H458" s="60" t="str">
        <f t="shared" si="87"/>
        <v xml:space="preserve">   </v>
      </c>
      <c r="I458" s="60">
        <f t="shared" si="88"/>
        <v>41640</v>
      </c>
      <c r="J458" s="1123">
        <v>1250000</v>
      </c>
      <c r="K458" s="1124"/>
      <c r="L458" s="1178">
        <v>3000000</v>
      </c>
      <c r="M458" s="1124" t="s">
        <v>695</v>
      </c>
      <c r="N458" s="1178">
        <v>3000000</v>
      </c>
      <c r="O458" s="1124">
        <v>40916</v>
      </c>
      <c r="P458" s="1178">
        <v>3000000</v>
      </c>
      <c r="Q458" s="1124">
        <v>41457</v>
      </c>
      <c r="R458" s="1178">
        <v>3000000</v>
      </c>
      <c r="S458" s="1124" t="s">
        <v>648</v>
      </c>
      <c r="T458" s="1188" t="s">
        <v>783</v>
      </c>
      <c r="U458" s="1124">
        <v>41822</v>
      </c>
      <c r="V458" s="1312"/>
      <c r="W458" s="1263" t="s">
        <v>276</v>
      </c>
      <c r="X458" s="1260"/>
      <c r="Y458" s="1196"/>
      <c r="Z458" s="1260"/>
      <c r="AA458" s="1196"/>
      <c r="AB458" s="1198">
        <v>1000000</v>
      </c>
      <c r="AC458" s="1126"/>
      <c r="AD458" s="1197"/>
      <c r="AE458" s="1247"/>
      <c r="AF458" s="1157"/>
      <c r="AG458" s="1158"/>
      <c r="AH458" s="1232" t="str">
        <f t="shared" si="98"/>
        <v>PI</v>
      </c>
      <c r="AI458" s="747">
        <f t="shared" si="95"/>
        <v>14250000</v>
      </c>
      <c r="AJ458" s="747">
        <f t="shared" si="96"/>
        <v>14250000</v>
      </c>
      <c r="AK458" s="747">
        <f t="shared" si="97"/>
        <v>0</v>
      </c>
      <c r="AL458" s="1170"/>
      <c r="AM458" s="1170"/>
      <c r="AN458" s="1209"/>
      <c r="AO458" s="1170"/>
      <c r="AP458" s="1209"/>
      <c r="AQ458" s="1128"/>
      <c r="AR458" s="1173"/>
      <c r="AT458" s="1173"/>
      <c r="AV458" s="1173"/>
      <c r="AX458" s="1173"/>
      <c r="AY458" s="1176"/>
      <c r="AZ458" s="1173"/>
    </row>
    <row r="459" spans="1:52" s="2" customFormat="1" x14ac:dyDescent="0.25">
      <c r="A459" s="19">
        <v>435</v>
      </c>
      <c r="B459" s="59">
        <v>56</v>
      </c>
      <c r="C459" s="40">
        <v>849110274</v>
      </c>
      <c r="D459" s="39" t="s">
        <v>784</v>
      </c>
      <c r="E459" s="23" t="s">
        <v>32</v>
      </c>
      <c r="F459" s="59">
        <v>2011</v>
      </c>
      <c r="G459" s="23" t="s">
        <v>33</v>
      </c>
      <c r="H459" s="60" t="str">
        <f t="shared" si="87"/>
        <v xml:space="preserve">   </v>
      </c>
      <c r="I459" s="60">
        <f t="shared" si="88"/>
        <v>41640</v>
      </c>
      <c r="J459" s="1123">
        <v>1250000</v>
      </c>
      <c r="K459" s="1124"/>
      <c r="L459" s="1178">
        <v>3000000</v>
      </c>
      <c r="M459" s="1124">
        <v>40910</v>
      </c>
      <c r="N459" s="1178">
        <v>3000000</v>
      </c>
      <c r="O459" s="1124">
        <v>40947</v>
      </c>
      <c r="P459" s="1178">
        <v>3000000</v>
      </c>
      <c r="Q459" s="1124">
        <v>41366</v>
      </c>
      <c r="R459" s="1178">
        <v>3000000</v>
      </c>
      <c r="S459" s="1124" t="s">
        <v>535</v>
      </c>
      <c r="T459" s="1145"/>
      <c r="U459" s="1126"/>
      <c r="V459" s="1130"/>
      <c r="W459" s="1126"/>
      <c r="X459" s="1260"/>
      <c r="Y459" s="1196"/>
      <c r="Z459" s="1260"/>
      <c r="AA459" s="1196"/>
      <c r="AB459" s="1205">
        <v>1000000</v>
      </c>
      <c r="AC459" s="1124">
        <v>41822</v>
      </c>
      <c r="AD459" s="1273"/>
      <c r="AE459" s="1247"/>
      <c r="AF459" s="1157"/>
      <c r="AG459" s="1158"/>
      <c r="AH459" s="1232" t="str">
        <f t="shared" si="98"/>
        <v>PI</v>
      </c>
      <c r="AI459" s="747">
        <f t="shared" si="95"/>
        <v>14250000</v>
      </c>
      <c r="AJ459" s="747">
        <f t="shared" si="96"/>
        <v>14250000</v>
      </c>
      <c r="AK459" s="747">
        <f t="shared" si="97"/>
        <v>0</v>
      </c>
      <c r="AL459" s="1170"/>
      <c r="AM459" s="1170"/>
      <c r="AN459" s="1209"/>
      <c r="AO459" s="1170"/>
      <c r="AP459" s="1209"/>
      <c r="AQ459" s="1128"/>
      <c r="AR459" s="1173"/>
      <c r="AT459" s="1173"/>
      <c r="AV459" s="1173"/>
      <c r="AX459" s="1173"/>
      <c r="AY459" s="1176"/>
      <c r="AZ459" s="1173"/>
    </row>
    <row r="460" spans="1:52" s="2" customFormat="1" x14ac:dyDescent="0.25">
      <c r="A460" s="19">
        <v>436</v>
      </c>
      <c r="B460" s="57">
        <v>57</v>
      </c>
      <c r="C460" s="38">
        <v>849110275</v>
      </c>
      <c r="D460" s="37" t="s">
        <v>785</v>
      </c>
      <c r="E460" s="28" t="s">
        <v>32</v>
      </c>
      <c r="F460" s="57">
        <v>2011</v>
      </c>
      <c r="G460" s="28"/>
      <c r="H460" s="58" t="str">
        <f t="shared" si="87"/>
        <v xml:space="preserve">   </v>
      </c>
      <c r="I460" s="58" t="str">
        <f t="shared" si="88"/>
        <v xml:space="preserve">   </v>
      </c>
      <c r="J460" s="1239">
        <v>1250000</v>
      </c>
      <c r="K460" s="1194"/>
      <c r="L460" s="1130">
        <v>3000000</v>
      </c>
      <c r="M460" s="1126">
        <v>40941</v>
      </c>
      <c r="N460" s="1130">
        <v>3000000</v>
      </c>
      <c r="O460" s="1126" t="s">
        <v>90</v>
      </c>
      <c r="P460" s="1130">
        <v>3000000</v>
      </c>
      <c r="Q460" s="1126">
        <v>41488</v>
      </c>
      <c r="R460" s="1130"/>
      <c r="S460" s="1126"/>
      <c r="T460" s="1145"/>
      <c r="U460" s="1126"/>
      <c r="V460" s="1130"/>
      <c r="W460" s="1126"/>
      <c r="X460" s="1260"/>
      <c r="Y460" s="1196"/>
      <c r="Z460" s="1260"/>
      <c r="AA460" s="1196"/>
      <c r="AB460" s="1198">
        <v>1000000</v>
      </c>
      <c r="AC460" s="1126"/>
      <c r="AD460" s="1273"/>
      <c r="AE460" s="1247"/>
      <c r="AF460" s="1157"/>
      <c r="AG460" s="1158"/>
      <c r="AH460" s="1232" t="str">
        <f t="shared" si="98"/>
        <v>PI</v>
      </c>
      <c r="AI460" s="747">
        <f t="shared" si="95"/>
        <v>11250000</v>
      </c>
      <c r="AJ460" s="747">
        <f t="shared" si="96"/>
        <v>11250000</v>
      </c>
      <c r="AK460" s="747">
        <f t="shared" si="97"/>
        <v>0</v>
      </c>
      <c r="AL460" s="1170"/>
      <c r="AM460" s="1170"/>
      <c r="AN460" s="1209"/>
      <c r="AO460" s="1170"/>
      <c r="AP460" s="1209"/>
      <c r="AQ460" s="1128"/>
      <c r="AR460" s="1173"/>
      <c r="AT460" s="1173"/>
      <c r="AV460" s="1173"/>
      <c r="AX460" s="1173"/>
      <c r="AY460" s="1176"/>
      <c r="AZ460" s="1173"/>
    </row>
    <row r="461" spans="1:52" s="2" customFormat="1" x14ac:dyDescent="0.25">
      <c r="A461" s="19">
        <v>437</v>
      </c>
      <c r="B461" s="80">
        <v>58</v>
      </c>
      <c r="C461" s="95">
        <v>849110276</v>
      </c>
      <c r="D461" s="98" t="s">
        <v>786</v>
      </c>
      <c r="E461" s="99" t="s">
        <v>32</v>
      </c>
      <c r="F461" s="80">
        <v>2011</v>
      </c>
      <c r="G461" s="99"/>
      <c r="H461" s="100" t="str">
        <f t="shared" si="87"/>
        <v xml:space="preserve">   </v>
      </c>
      <c r="I461" s="100" t="str">
        <f t="shared" si="88"/>
        <v xml:space="preserve">   </v>
      </c>
      <c r="J461" s="1239">
        <v>1250000</v>
      </c>
      <c r="K461" s="1194"/>
      <c r="L461" s="1260">
        <v>3000000</v>
      </c>
      <c r="M461" s="1196" t="s">
        <v>174</v>
      </c>
      <c r="N461" s="1260">
        <v>3000000</v>
      </c>
      <c r="O461" s="1196" t="s">
        <v>335</v>
      </c>
      <c r="P461" s="1260">
        <v>3000000</v>
      </c>
      <c r="Q461" s="1196" t="s">
        <v>693</v>
      </c>
      <c r="R461" s="1260">
        <v>3000000</v>
      </c>
      <c r="S461" s="1196">
        <v>41497</v>
      </c>
      <c r="T461" s="1145"/>
      <c r="U461" s="1146"/>
      <c r="V461" s="1130"/>
      <c r="W461" s="1126"/>
      <c r="X461" s="1260"/>
      <c r="Y461" s="1196"/>
      <c r="Z461" s="1260"/>
      <c r="AA461" s="1196"/>
      <c r="AB461" s="1205">
        <v>1000000</v>
      </c>
      <c r="AC461" s="1124">
        <v>41437</v>
      </c>
      <c r="AD461" s="1273"/>
      <c r="AE461" s="1247"/>
      <c r="AF461" s="1157"/>
      <c r="AG461" s="1158"/>
      <c r="AH461" s="1232" t="str">
        <f t="shared" si="98"/>
        <v>PI</v>
      </c>
      <c r="AI461" s="747">
        <f t="shared" si="95"/>
        <v>14250000</v>
      </c>
      <c r="AJ461" s="747">
        <f t="shared" si="96"/>
        <v>14250000</v>
      </c>
      <c r="AK461" s="747">
        <f t="shared" si="97"/>
        <v>0</v>
      </c>
      <c r="AL461" s="1170"/>
      <c r="AM461" s="1170"/>
      <c r="AN461" s="1209"/>
      <c r="AO461" s="1170"/>
      <c r="AP461" s="1209"/>
      <c r="AQ461" s="1128"/>
      <c r="AR461" s="1173"/>
      <c r="AT461" s="1173"/>
      <c r="AV461" s="1173"/>
      <c r="AX461" s="1173"/>
      <c r="AY461" s="1176"/>
      <c r="AZ461" s="1173"/>
    </row>
    <row r="462" spans="1:52" s="2" customFormat="1" x14ac:dyDescent="0.25">
      <c r="A462" s="19">
        <v>438</v>
      </c>
      <c r="B462" s="57">
        <v>59</v>
      </c>
      <c r="C462" s="38">
        <v>849110277</v>
      </c>
      <c r="D462" s="37" t="s">
        <v>787</v>
      </c>
      <c r="E462" s="28" t="s">
        <v>32</v>
      </c>
      <c r="F462" s="57">
        <v>2011</v>
      </c>
      <c r="G462" s="28"/>
      <c r="H462" s="58" t="str">
        <f t="shared" si="87"/>
        <v xml:space="preserve">   </v>
      </c>
      <c r="I462" s="58">
        <f t="shared" si="88"/>
        <v>41640</v>
      </c>
      <c r="J462" s="1125">
        <v>1250000</v>
      </c>
      <c r="K462" s="1126"/>
      <c r="L462" s="1130">
        <v>3000000</v>
      </c>
      <c r="M462" s="1126" t="s">
        <v>695</v>
      </c>
      <c r="N462" s="1130">
        <v>3000000</v>
      </c>
      <c r="O462" s="1126">
        <v>41129</v>
      </c>
      <c r="P462" s="1130"/>
      <c r="Q462" s="1126"/>
      <c r="R462" s="1130"/>
      <c r="S462" s="1126"/>
      <c r="T462" s="1145"/>
      <c r="U462" s="1126"/>
      <c r="V462" s="1130"/>
      <c r="W462" s="1126"/>
      <c r="X462" s="1260"/>
      <c r="Y462" s="1196"/>
      <c r="Z462" s="1260"/>
      <c r="AA462" s="1196"/>
      <c r="AB462" s="1205"/>
      <c r="AC462" s="1124"/>
      <c r="AD462" s="1197"/>
      <c r="AE462" s="1247"/>
      <c r="AF462" s="1157"/>
      <c r="AG462" s="1158"/>
      <c r="AH462" s="1232" t="str">
        <f t="shared" si="98"/>
        <v>PI</v>
      </c>
      <c r="AI462" s="1248">
        <f t="shared" si="95"/>
        <v>7250000</v>
      </c>
      <c r="AJ462" s="1248">
        <f t="shared" si="96"/>
        <v>8250000</v>
      </c>
      <c r="AK462" s="1248">
        <f t="shared" si="97"/>
        <v>1000000</v>
      </c>
      <c r="AL462" s="1170"/>
      <c r="AM462" s="1170"/>
      <c r="AN462" s="1209"/>
      <c r="AO462" s="1170"/>
      <c r="AP462" s="1209"/>
      <c r="AQ462" s="1128"/>
      <c r="AR462" s="1173"/>
      <c r="AT462" s="1173"/>
      <c r="AV462" s="1173"/>
      <c r="AX462" s="1173"/>
      <c r="AY462" s="1176"/>
      <c r="AZ462" s="1173"/>
    </row>
    <row r="463" spans="1:52" s="2" customFormat="1" x14ac:dyDescent="0.25">
      <c r="A463" s="19">
        <v>439</v>
      </c>
      <c r="B463" s="59">
        <v>60</v>
      </c>
      <c r="C463" s="40">
        <v>849110300</v>
      </c>
      <c r="D463" s="39" t="s">
        <v>788</v>
      </c>
      <c r="E463" s="23" t="s">
        <v>32</v>
      </c>
      <c r="F463" s="59">
        <v>2011</v>
      </c>
      <c r="G463" s="23" t="s">
        <v>33</v>
      </c>
      <c r="H463" s="60" t="str">
        <f t="shared" si="87"/>
        <v xml:space="preserve">   </v>
      </c>
      <c r="I463" s="60">
        <f t="shared" si="88"/>
        <v>41640</v>
      </c>
      <c r="J463" s="1239"/>
      <c r="K463" s="1194"/>
      <c r="L463" s="1178"/>
      <c r="M463" s="1124"/>
      <c r="N463" s="1178">
        <v>3000000</v>
      </c>
      <c r="O463" s="1124" t="s">
        <v>789</v>
      </c>
      <c r="P463" s="1178">
        <v>3000000</v>
      </c>
      <c r="Q463" s="1124">
        <v>41580</v>
      </c>
      <c r="R463" s="1178">
        <v>3000000</v>
      </c>
      <c r="S463" s="1124" t="s">
        <v>535</v>
      </c>
      <c r="T463" s="1224"/>
      <c r="U463" s="1263" t="s">
        <v>276</v>
      </c>
      <c r="V463" s="1260"/>
      <c r="W463" s="1196"/>
      <c r="X463" s="1240"/>
      <c r="Y463" s="1196"/>
      <c r="Z463" s="1240"/>
      <c r="AA463" s="1196"/>
      <c r="AB463" s="1205">
        <v>1000000</v>
      </c>
      <c r="AC463" s="1124">
        <v>41761</v>
      </c>
      <c r="AD463" s="1246"/>
      <c r="AE463" s="1247"/>
      <c r="AF463" s="1243"/>
      <c r="AG463" s="1158"/>
      <c r="AH463" s="1232" t="str">
        <f t="shared" si="98"/>
        <v>PI</v>
      </c>
      <c r="AI463" s="747">
        <f t="shared" si="95"/>
        <v>10000000</v>
      </c>
      <c r="AJ463" s="747">
        <f t="shared" si="96"/>
        <v>11250000</v>
      </c>
      <c r="AK463" s="747">
        <f t="shared" si="97"/>
        <v>1250000</v>
      </c>
      <c r="AL463" s="1170"/>
      <c r="AM463" s="1170"/>
      <c r="AN463" s="1209"/>
      <c r="AO463" s="1170"/>
      <c r="AP463" s="1209"/>
      <c r="AQ463" s="1128"/>
      <c r="AR463" s="1173"/>
      <c r="AT463" s="1173"/>
      <c r="AV463" s="1173"/>
      <c r="AX463" s="1173"/>
      <c r="AY463" s="1176"/>
      <c r="AZ463" s="1173"/>
    </row>
    <row r="464" spans="1:52" s="2" customFormat="1" x14ac:dyDescent="0.25">
      <c r="A464" s="19">
        <v>440</v>
      </c>
      <c r="B464" s="57">
        <v>61</v>
      </c>
      <c r="C464" s="38">
        <v>849110301</v>
      </c>
      <c r="D464" s="37" t="s">
        <v>790</v>
      </c>
      <c r="E464" s="28" t="s">
        <v>32</v>
      </c>
      <c r="F464" s="57">
        <v>2011</v>
      </c>
      <c r="G464" s="28"/>
      <c r="H464" s="58" t="str">
        <f t="shared" si="87"/>
        <v xml:space="preserve">   </v>
      </c>
      <c r="I464" s="58" t="str">
        <f t="shared" si="88"/>
        <v xml:space="preserve">   </v>
      </c>
      <c r="J464" s="1125"/>
      <c r="K464" s="1126"/>
      <c r="L464" s="1130"/>
      <c r="M464" s="1126"/>
      <c r="N464" s="1130">
        <v>3000000</v>
      </c>
      <c r="O464" s="1126">
        <v>40976</v>
      </c>
      <c r="P464" s="1130">
        <v>3000000</v>
      </c>
      <c r="Q464" s="1126">
        <v>41488</v>
      </c>
      <c r="R464" s="1130"/>
      <c r="S464" s="1126"/>
      <c r="T464" s="1145"/>
      <c r="U464" s="1126"/>
      <c r="V464" s="1130"/>
      <c r="W464" s="1126"/>
      <c r="X464" s="1260"/>
      <c r="Y464" s="1196"/>
      <c r="Z464" s="1260"/>
      <c r="AA464" s="1196"/>
      <c r="AB464" s="1205"/>
      <c r="AC464" s="1124"/>
      <c r="AD464" s="1197"/>
      <c r="AE464" s="1247"/>
      <c r="AF464" s="1157"/>
      <c r="AG464" s="1158"/>
      <c r="AH464" s="1232" t="str">
        <f t="shared" si="98"/>
        <v>PI</v>
      </c>
      <c r="AI464" s="1248">
        <f t="shared" si="95"/>
        <v>6000000</v>
      </c>
      <c r="AJ464" s="1248">
        <f t="shared" si="96"/>
        <v>8250000</v>
      </c>
      <c r="AK464" s="1248">
        <f t="shared" si="97"/>
        <v>2250000</v>
      </c>
      <c r="AL464" s="1170"/>
      <c r="AM464" s="1170"/>
      <c r="AN464" s="1209"/>
      <c r="AO464" s="1170"/>
      <c r="AP464" s="1209"/>
      <c r="AQ464" s="1128"/>
      <c r="AR464" s="1173"/>
      <c r="AT464" s="1173"/>
      <c r="AV464" s="1173"/>
      <c r="AX464" s="1173"/>
      <c r="AY464" s="1176"/>
      <c r="AZ464" s="1173"/>
    </row>
    <row r="465" spans="1:52" s="2" customFormat="1" x14ac:dyDescent="0.25">
      <c r="A465" s="19">
        <v>441</v>
      </c>
      <c r="B465" s="59">
        <v>62</v>
      </c>
      <c r="C465" s="40">
        <v>849110302</v>
      </c>
      <c r="D465" s="39" t="s">
        <v>791</v>
      </c>
      <c r="E465" s="23" t="s">
        <v>32</v>
      </c>
      <c r="F465" s="59">
        <v>2011</v>
      </c>
      <c r="G465" s="23" t="s">
        <v>33</v>
      </c>
      <c r="H465" s="60" t="str">
        <f t="shared" si="87"/>
        <v xml:space="preserve">   </v>
      </c>
      <c r="I465" s="60">
        <f t="shared" si="88"/>
        <v>41640</v>
      </c>
      <c r="J465" s="1239">
        <v>1250000</v>
      </c>
      <c r="K465" s="1194"/>
      <c r="L465" s="1178">
        <v>3000000</v>
      </c>
      <c r="M465" s="1124">
        <v>41063</v>
      </c>
      <c r="N465" s="1178">
        <v>3000000</v>
      </c>
      <c r="O465" s="1124" t="s">
        <v>792</v>
      </c>
      <c r="P465" s="1178"/>
      <c r="Q465" s="1124"/>
      <c r="R465" s="1178">
        <v>3000000</v>
      </c>
      <c r="S465" s="1124">
        <v>41313</v>
      </c>
      <c r="T465" s="1188">
        <v>3000000</v>
      </c>
      <c r="U465" s="1124">
        <v>41914</v>
      </c>
      <c r="V465" s="1312"/>
      <c r="W465" s="1263" t="s">
        <v>276</v>
      </c>
      <c r="X465" s="1240"/>
      <c r="Y465" s="1196"/>
      <c r="Z465" s="1240"/>
      <c r="AA465" s="1196"/>
      <c r="AB465" s="1205">
        <v>1000000</v>
      </c>
      <c r="AC465" s="1124" t="s">
        <v>793</v>
      </c>
      <c r="AD465" s="1246"/>
      <c r="AE465" s="1247"/>
      <c r="AF465" s="1243"/>
      <c r="AG465" s="1158"/>
      <c r="AH465" s="1232" t="str">
        <f t="shared" si="98"/>
        <v>PI</v>
      </c>
      <c r="AI465" s="747">
        <f t="shared" si="95"/>
        <v>14250000</v>
      </c>
      <c r="AJ465" s="747">
        <f t="shared" si="96"/>
        <v>14250000</v>
      </c>
      <c r="AK465" s="747">
        <f t="shared" si="97"/>
        <v>0</v>
      </c>
      <c r="AL465" s="1170"/>
      <c r="AM465" s="1170"/>
      <c r="AN465" s="1209"/>
      <c r="AO465" s="1170"/>
      <c r="AP465" s="1209"/>
      <c r="AQ465" s="1128"/>
      <c r="AR465" s="1173"/>
      <c r="AT465" s="1173"/>
      <c r="AV465" s="1173"/>
      <c r="AX465" s="1173"/>
      <c r="AY465" s="1176"/>
      <c r="AZ465" s="1173"/>
    </row>
    <row r="466" spans="1:52" s="2" customFormat="1" x14ac:dyDescent="0.25">
      <c r="A466" s="19">
        <v>442</v>
      </c>
      <c r="B466" s="59">
        <v>63</v>
      </c>
      <c r="C466" s="40">
        <v>849110279</v>
      </c>
      <c r="D466" s="39" t="s">
        <v>794</v>
      </c>
      <c r="E466" s="23" t="s">
        <v>32</v>
      </c>
      <c r="F466" s="59">
        <v>2011</v>
      </c>
      <c r="G466" s="23" t="s">
        <v>33</v>
      </c>
      <c r="H466" s="60" t="str">
        <f t="shared" si="87"/>
        <v xml:space="preserve">   </v>
      </c>
      <c r="I466" s="60">
        <f t="shared" si="88"/>
        <v>42143</v>
      </c>
      <c r="J466" s="1239">
        <v>1250000</v>
      </c>
      <c r="K466" s="1194"/>
      <c r="L466" s="1178">
        <v>3000000</v>
      </c>
      <c r="M466" s="1124">
        <v>41123</v>
      </c>
      <c r="N466" s="1178">
        <v>3000000</v>
      </c>
      <c r="O466" s="1124">
        <v>40976</v>
      </c>
      <c r="P466" s="1178">
        <v>3000000</v>
      </c>
      <c r="Q466" s="1124" t="s">
        <v>795</v>
      </c>
      <c r="R466" s="1178">
        <v>3000000</v>
      </c>
      <c r="S466" s="1124" t="s">
        <v>796</v>
      </c>
      <c r="T466" s="1188">
        <v>3000000</v>
      </c>
      <c r="U466" s="1124">
        <v>42074</v>
      </c>
      <c r="V466" s="1178">
        <v>3000000</v>
      </c>
      <c r="W466" s="1124">
        <v>42074</v>
      </c>
      <c r="X466" s="1312"/>
      <c r="Y466" s="1263" t="s">
        <v>276</v>
      </c>
      <c r="Z466" s="1240"/>
      <c r="AA466" s="1196"/>
      <c r="AB466" s="1205">
        <v>1000000</v>
      </c>
      <c r="AC466" s="1124">
        <v>42249</v>
      </c>
      <c r="AD466" s="1246"/>
      <c r="AE466" s="1247"/>
      <c r="AF466" s="1243"/>
      <c r="AG466" s="1158"/>
      <c r="AH466" s="1232" t="str">
        <f t="shared" si="98"/>
        <v>PI</v>
      </c>
      <c r="AI466" s="747">
        <f t="shared" si="95"/>
        <v>20250000</v>
      </c>
      <c r="AJ466" s="747">
        <f t="shared" si="96"/>
        <v>20250000</v>
      </c>
      <c r="AK466" s="747">
        <f t="shared" si="97"/>
        <v>0</v>
      </c>
      <c r="AL466" s="1170"/>
      <c r="AM466" s="1170"/>
      <c r="AN466" s="1209"/>
      <c r="AO466" s="1170"/>
      <c r="AP466" s="1209"/>
      <c r="AQ466" s="1128"/>
      <c r="AR466" s="1173"/>
      <c r="AT466" s="1173"/>
      <c r="AV466" s="1173"/>
      <c r="AX466" s="1173"/>
      <c r="AY466" s="1176"/>
      <c r="AZ466" s="1173"/>
    </row>
    <row r="467" spans="1:52" s="2" customFormat="1" x14ac:dyDescent="0.25">
      <c r="A467" s="19">
        <v>443</v>
      </c>
      <c r="B467" s="59">
        <v>64</v>
      </c>
      <c r="C467" s="40">
        <v>849110280</v>
      </c>
      <c r="D467" s="39" t="s">
        <v>797</v>
      </c>
      <c r="E467" s="23" t="s">
        <v>32</v>
      </c>
      <c r="F467" s="59">
        <v>2011</v>
      </c>
      <c r="G467" s="23" t="s">
        <v>33</v>
      </c>
      <c r="H467" s="60" t="str">
        <f t="shared" si="87"/>
        <v xml:space="preserve">   </v>
      </c>
      <c r="I467" s="60">
        <f t="shared" si="88"/>
        <v>41640</v>
      </c>
      <c r="J467" s="1239">
        <v>1250000</v>
      </c>
      <c r="K467" s="1194"/>
      <c r="L467" s="1178">
        <v>3000000</v>
      </c>
      <c r="M467" s="1124" t="s">
        <v>219</v>
      </c>
      <c r="N467" s="1178">
        <v>3000000</v>
      </c>
      <c r="O467" s="1124">
        <v>40947</v>
      </c>
      <c r="P467" s="1178">
        <v>3000000</v>
      </c>
      <c r="Q467" s="1124">
        <v>41457</v>
      </c>
      <c r="R467" s="1178">
        <v>3000000</v>
      </c>
      <c r="S467" s="1124" t="s">
        <v>798</v>
      </c>
      <c r="T467" s="1224"/>
      <c r="U467" s="1263" t="s">
        <v>276</v>
      </c>
      <c r="V467" s="1130"/>
      <c r="W467" s="1126"/>
      <c r="X467" s="1260"/>
      <c r="Y467" s="1196"/>
      <c r="Z467" s="1260"/>
      <c r="AA467" s="1196"/>
      <c r="AB467" s="1205">
        <v>1000000</v>
      </c>
      <c r="AC467" s="1124" t="s">
        <v>799</v>
      </c>
      <c r="AD467" s="1197"/>
      <c r="AE467" s="1247"/>
      <c r="AF467" s="1157"/>
      <c r="AG467" s="1158"/>
      <c r="AH467" s="1232" t="str">
        <f t="shared" si="98"/>
        <v>PI</v>
      </c>
      <c r="AI467" s="747">
        <f t="shared" si="95"/>
        <v>14250000</v>
      </c>
      <c r="AJ467" s="747">
        <f t="shared" si="96"/>
        <v>14250000</v>
      </c>
      <c r="AK467" s="747">
        <f t="shared" si="97"/>
        <v>0</v>
      </c>
      <c r="AL467" s="1170"/>
      <c r="AM467" s="1170"/>
      <c r="AN467" s="1209"/>
      <c r="AO467" s="1170"/>
      <c r="AP467" s="1209"/>
      <c r="AQ467" s="1128"/>
      <c r="AR467" s="1173"/>
      <c r="AT467" s="1173"/>
      <c r="AV467" s="1173"/>
      <c r="AX467" s="1173"/>
      <c r="AY467" s="1176"/>
      <c r="AZ467" s="1173"/>
    </row>
    <row r="468" spans="1:52" s="2" customFormat="1" x14ac:dyDescent="0.25">
      <c r="A468" s="19">
        <v>444</v>
      </c>
      <c r="B468" s="57">
        <v>65</v>
      </c>
      <c r="C468" s="38">
        <v>849110281</v>
      </c>
      <c r="D468" s="37" t="s">
        <v>800</v>
      </c>
      <c r="E468" s="28" t="s">
        <v>32</v>
      </c>
      <c r="F468" s="57">
        <v>2011</v>
      </c>
      <c r="G468" s="28"/>
      <c r="H468" s="58" t="str">
        <f t="shared" si="87"/>
        <v xml:space="preserve">   </v>
      </c>
      <c r="I468" s="58" t="str">
        <f t="shared" si="88"/>
        <v xml:space="preserve">   </v>
      </c>
      <c r="J468" s="1239">
        <v>1250000</v>
      </c>
      <c r="K468" s="1194"/>
      <c r="L468" s="1130">
        <v>3000000</v>
      </c>
      <c r="M468" s="1126">
        <v>40970</v>
      </c>
      <c r="N468" s="1130">
        <v>1500000</v>
      </c>
      <c r="O468" s="1126">
        <v>40976</v>
      </c>
      <c r="P468" s="1130"/>
      <c r="Q468" s="1126"/>
      <c r="R468" s="1313"/>
      <c r="S468" s="1144" t="s">
        <v>137</v>
      </c>
      <c r="T468" s="1261"/>
      <c r="U468" s="1196"/>
      <c r="V468" s="1130"/>
      <c r="W468" s="1126"/>
      <c r="X468" s="1260"/>
      <c r="Y468" s="1196"/>
      <c r="Z468" s="1260"/>
      <c r="AA468" s="1196"/>
      <c r="AB468" s="1198"/>
      <c r="AC468" s="1196"/>
      <c r="AD468" s="1197"/>
      <c r="AE468" s="1247"/>
      <c r="AF468" s="1157"/>
      <c r="AG468" s="1158"/>
      <c r="AH468" s="1232" t="str">
        <f t="shared" si="98"/>
        <v>PI</v>
      </c>
      <c r="AI468" s="1248">
        <f t="shared" si="95"/>
        <v>5750000</v>
      </c>
      <c r="AJ468" s="1248">
        <f t="shared" si="96"/>
        <v>8250000</v>
      </c>
      <c r="AK468" s="1248">
        <f t="shared" si="97"/>
        <v>2500000</v>
      </c>
      <c r="AL468" s="1170"/>
      <c r="AM468" s="1170"/>
      <c r="AN468" s="1209"/>
      <c r="AO468" s="1170"/>
      <c r="AP468" s="1209"/>
      <c r="AQ468" s="1128"/>
      <c r="AR468" s="1173"/>
      <c r="AT468" s="1173"/>
      <c r="AV468" s="1173"/>
      <c r="AX468" s="1173"/>
      <c r="AY468" s="1176"/>
      <c r="AZ468" s="1173"/>
    </row>
    <row r="469" spans="1:52" s="2" customFormat="1" x14ac:dyDescent="0.25">
      <c r="A469" s="19">
        <v>445</v>
      </c>
      <c r="B469" s="59">
        <v>66</v>
      </c>
      <c r="C469" s="40">
        <v>849110283</v>
      </c>
      <c r="D469" s="2298" t="s">
        <v>801</v>
      </c>
      <c r="E469" s="23" t="s">
        <v>32</v>
      </c>
      <c r="F469" s="59">
        <v>2011</v>
      </c>
      <c r="G469" s="23" t="s">
        <v>33</v>
      </c>
      <c r="H469" s="60" t="str">
        <f t="shared" si="87"/>
        <v xml:space="preserve">   </v>
      </c>
      <c r="I469" s="60">
        <f t="shared" si="88"/>
        <v>41640</v>
      </c>
      <c r="J469" s="1239"/>
      <c r="K469" s="1194"/>
      <c r="L469" s="1178" t="s">
        <v>802</v>
      </c>
      <c r="M469" s="1124" t="s">
        <v>174</v>
      </c>
      <c r="N469" s="1178">
        <v>3000000</v>
      </c>
      <c r="O469" s="1124">
        <v>40947</v>
      </c>
      <c r="P469" s="1178">
        <v>3000000</v>
      </c>
      <c r="Q469" s="1124">
        <v>41396</v>
      </c>
      <c r="R469" s="1178">
        <v>3000000</v>
      </c>
      <c r="S469" s="1124" t="s">
        <v>648</v>
      </c>
      <c r="T469" s="1224"/>
      <c r="U469" s="1263" t="s">
        <v>276</v>
      </c>
      <c r="V469" s="1130"/>
      <c r="W469" s="1126"/>
      <c r="X469" s="1260"/>
      <c r="Y469" s="1196"/>
      <c r="Z469" s="1260"/>
      <c r="AA469" s="1196"/>
      <c r="AB469" s="1205">
        <v>1000000</v>
      </c>
      <c r="AC469" s="1124">
        <v>41821</v>
      </c>
      <c r="AD469" s="1197"/>
      <c r="AE469" s="1158"/>
      <c r="AF469" s="1157"/>
      <c r="AG469" s="1158"/>
      <c r="AH469" s="1232" t="str">
        <f t="shared" si="98"/>
        <v>PI</v>
      </c>
      <c r="AI469" s="747">
        <f t="shared" si="95"/>
        <v>10000000</v>
      </c>
      <c r="AJ469" s="747">
        <f t="shared" si="96"/>
        <v>11250000</v>
      </c>
      <c r="AK469" s="747">
        <f t="shared" si="97"/>
        <v>1250000</v>
      </c>
      <c r="AL469" s="1170"/>
      <c r="AM469" s="1170"/>
      <c r="AN469" s="1209"/>
      <c r="AO469" s="1170"/>
      <c r="AP469" s="1209"/>
      <c r="AQ469" s="1128"/>
      <c r="AR469" s="1173"/>
      <c r="AT469" s="1173"/>
      <c r="AV469" s="1173"/>
      <c r="AX469" s="1173"/>
      <c r="AY469" s="1176"/>
      <c r="AZ469" s="1173"/>
    </row>
    <row r="470" spans="1:52" s="2" customFormat="1" x14ac:dyDescent="0.25">
      <c r="A470" s="19">
        <v>446</v>
      </c>
      <c r="B470" s="59">
        <v>67</v>
      </c>
      <c r="C470" s="40">
        <v>849110284</v>
      </c>
      <c r="D470" s="39" t="s">
        <v>803</v>
      </c>
      <c r="E470" s="23" t="s">
        <v>32</v>
      </c>
      <c r="F470" s="59">
        <v>2011</v>
      </c>
      <c r="G470" s="23"/>
      <c r="H470" s="60" t="str">
        <f t="shared" si="87"/>
        <v xml:space="preserve">   </v>
      </c>
      <c r="I470" s="60" t="str">
        <f t="shared" si="88"/>
        <v xml:space="preserve">   </v>
      </c>
      <c r="J470" s="1239">
        <v>1250000</v>
      </c>
      <c r="K470" s="1194"/>
      <c r="L470" s="1178">
        <v>3000000</v>
      </c>
      <c r="M470" s="1124">
        <v>40941</v>
      </c>
      <c r="N470" s="1178">
        <v>3000000</v>
      </c>
      <c r="O470" s="1124">
        <v>41190</v>
      </c>
      <c r="P470" s="1307"/>
      <c r="Q470" s="1144" t="s">
        <v>137</v>
      </c>
      <c r="R470" s="1178">
        <v>3000000</v>
      </c>
      <c r="S470" s="1124">
        <v>41617</v>
      </c>
      <c r="T470" s="1224"/>
      <c r="U470" s="1263" t="s">
        <v>276</v>
      </c>
      <c r="V470" s="1130"/>
      <c r="W470" s="1126"/>
      <c r="X470" s="1260"/>
      <c r="Y470" s="1196"/>
      <c r="Z470" s="1260"/>
      <c r="AA470" s="1196"/>
      <c r="AB470" s="1205">
        <v>1000000</v>
      </c>
      <c r="AC470" s="1124">
        <v>42186</v>
      </c>
      <c r="AD470" s="1197"/>
      <c r="AE470" s="1158"/>
      <c r="AF470" s="1157"/>
      <c r="AG470" s="1158"/>
      <c r="AH470" s="1232" t="str">
        <f t="shared" si="98"/>
        <v>PI</v>
      </c>
      <c r="AI470" s="747">
        <f t="shared" si="95"/>
        <v>11250000</v>
      </c>
      <c r="AJ470" s="747">
        <f t="shared" si="96"/>
        <v>11250000</v>
      </c>
      <c r="AK470" s="747">
        <f t="shared" si="97"/>
        <v>0</v>
      </c>
      <c r="AL470" s="1170"/>
      <c r="AM470" s="1170"/>
      <c r="AN470" s="1209"/>
      <c r="AO470" s="1170"/>
      <c r="AP470" s="1209"/>
      <c r="AQ470" s="1128"/>
      <c r="AR470" s="1173"/>
      <c r="AT470" s="1173"/>
      <c r="AV470" s="1173"/>
      <c r="AX470" s="1173"/>
      <c r="AY470" s="1176"/>
      <c r="AZ470" s="1173"/>
    </row>
    <row r="471" spans="1:52" s="2" customFormat="1" x14ac:dyDescent="0.25">
      <c r="A471" s="19">
        <v>447</v>
      </c>
      <c r="B471" s="59">
        <v>68</v>
      </c>
      <c r="C471" s="40">
        <v>849110285</v>
      </c>
      <c r="D471" s="39" t="s">
        <v>804</v>
      </c>
      <c r="E471" s="23" t="s">
        <v>32</v>
      </c>
      <c r="F471" s="59">
        <v>2011</v>
      </c>
      <c r="G471" s="23" t="s">
        <v>33</v>
      </c>
      <c r="H471" s="60" t="str">
        <f t="shared" si="87"/>
        <v xml:space="preserve">   </v>
      </c>
      <c r="I471" s="60">
        <f t="shared" si="88"/>
        <v>41640</v>
      </c>
      <c r="J471" s="1239">
        <v>1250000</v>
      </c>
      <c r="K471" s="1194"/>
      <c r="L471" s="1178">
        <v>3000000</v>
      </c>
      <c r="M471" s="1124">
        <v>40970</v>
      </c>
      <c r="N471" s="1178">
        <v>3000000</v>
      </c>
      <c r="O471" s="1124">
        <v>40976</v>
      </c>
      <c r="P471" s="1178">
        <v>3000000</v>
      </c>
      <c r="Q471" s="1124">
        <v>41276</v>
      </c>
      <c r="R471" s="1178">
        <v>3000000</v>
      </c>
      <c r="S471" s="1124" t="s">
        <v>535</v>
      </c>
      <c r="T471" s="1224"/>
      <c r="U471" s="1263" t="s">
        <v>276</v>
      </c>
      <c r="V471" s="1130"/>
      <c r="W471" s="1126"/>
      <c r="X471" s="1260"/>
      <c r="Y471" s="1196"/>
      <c r="Z471" s="1260"/>
      <c r="AA471" s="1196"/>
      <c r="AB471" s="1205">
        <v>1000000</v>
      </c>
      <c r="AC471" s="1124" t="s">
        <v>553</v>
      </c>
      <c r="AD471" s="1197"/>
      <c r="AE471" s="1158"/>
      <c r="AF471" s="1157"/>
      <c r="AG471" s="1158"/>
      <c r="AH471" s="1232" t="str">
        <f t="shared" si="98"/>
        <v>PI</v>
      </c>
      <c r="AI471" s="747">
        <f t="shared" si="95"/>
        <v>14250000</v>
      </c>
      <c r="AJ471" s="747">
        <f t="shared" si="96"/>
        <v>14250000</v>
      </c>
      <c r="AK471" s="747">
        <f t="shared" si="97"/>
        <v>0</v>
      </c>
      <c r="AL471" s="1170"/>
      <c r="AM471" s="1170"/>
      <c r="AN471" s="1209"/>
      <c r="AO471" s="1170"/>
      <c r="AP471" s="1209"/>
      <c r="AQ471" s="1128"/>
      <c r="AR471" s="1173"/>
      <c r="AT471" s="1173"/>
      <c r="AV471" s="1173"/>
      <c r="AX471" s="1173"/>
      <c r="AY471" s="1176"/>
      <c r="AZ471" s="1173"/>
    </row>
    <row r="472" spans="1:52" s="2" customFormat="1" x14ac:dyDescent="0.25">
      <c r="A472" s="19">
        <v>448</v>
      </c>
      <c r="B472" s="57">
        <v>69</v>
      </c>
      <c r="C472" s="38">
        <v>849110286</v>
      </c>
      <c r="D472" s="37" t="s">
        <v>805</v>
      </c>
      <c r="E472" s="28" t="s">
        <v>32</v>
      </c>
      <c r="F472" s="57">
        <v>2011</v>
      </c>
      <c r="G472" s="28"/>
      <c r="H472" s="58" t="str">
        <f t="shared" si="87"/>
        <v xml:space="preserve">   </v>
      </c>
      <c r="I472" s="58" t="str">
        <f t="shared" si="88"/>
        <v xml:space="preserve">   </v>
      </c>
      <c r="J472" s="1125"/>
      <c r="K472" s="1126"/>
      <c r="L472" s="1130">
        <v>4000000</v>
      </c>
      <c r="M472" s="1126" t="s">
        <v>275</v>
      </c>
      <c r="N472" s="1130"/>
      <c r="O472" s="1126"/>
      <c r="P472" s="1130"/>
      <c r="Q472" s="1126"/>
      <c r="R472" s="1130"/>
      <c r="S472" s="1126"/>
      <c r="T472" s="1145"/>
      <c r="U472" s="1126"/>
      <c r="V472" s="1130"/>
      <c r="W472" s="1126"/>
      <c r="X472" s="1260"/>
      <c r="Y472" s="1196"/>
      <c r="Z472" s="1260"/>
      <c r="AA472" s="1196"/>
      <c r="AB472" s="1205"/>
      <c r="AC472" s="1124"/>
      <c r="AD472" s="1197"/>
      <c r="AE472" s="1158"/>
      <c r="AF472" s="1157"/>
      <c r="AG472" s="1158"/>
      <c r="AH472" s="1232" t="str">
        <f t="shared" si="98"/>
        <v>PI</v>
      </c>
      <c r="AI472" s="1248">
        <f t="shared" si="95"/>
        <v>4000000</v>
      </c>
      <c r="AJ472" s="1248">
        <f t="shared" si="96"/>
        <v>5250000</v>
      </c>
      <c r="AK472" s="1248">
        <f t="shared" si="97"/>
        <v>1250000</v>
      </c>
      <c r="AL472" s="1170"/>
      <c r="AM472" s="1170"/>
      <c r="AN472" s="1209"/>
      <c r="AO472" s="1170"/>
      <c r="AP472" s="1209"/>
      <c r="AQ472" s="1128"/>
      <c r="AR472" s="1173"/>
      <c r="AT472" s="1173"/>
      <c r="AV472" s="1173"/>
      <c r="AX472" s="1173"/>
      <c r="AY472" s="1176"/>
      <c r="AZ472" s="1173"/>
    </row>
    <row r="473" spans="1:52" s="2" customFormat="1" x14ac:dyDescent="0.25">
      <c r="A473" s="19">
        <v>449</v>
      </c>
      <c r="B473" s="59">
        <v>70</v>
      </c>
      <c r="C473" s="40">
        <v>849110287</v>
      </c>
      <c r="D473" s="39" t="s">
        <v>806</v>
      </c>
      <c r="E473" s="23" t="s">
        <v>32</v>
      </c>
      <c r="F473" s="59">
        <v>2011</v>
      </c>
      <c r="G473" s="23" t="s">
        <v>33</v>
      </c>
      <c r="H473" s="60" t="str">
        <f t="shared" si="87"/>
        <v xml:space="preserve">   </v>
      </c>
      <c r="I473" s="60">
        <f t="shared" si="88"/>
        <v>41640</v>
      </c>
      <c r="J473" s="1239">
        <v>1250000</v>
      </c>
      <c r="K473" s="1194"/>
      <c r="L473" s="1178">
        <v>3000000</v>
      </c>
      <c r="M473" s="1124">
        <v>41062</v>
      </c>
      <c r="N473" s="1178">
        <v>3000000</v>
      </c>
      <c r="O473" s="1124"/>
      <c r="P473" s="1178">
        <v>3000000</v>
      </c>
      <c r="Q473" s="1124">
        <v>41427</v>
      </c>
      <c r="R473" s="1178">
        <v>3000000</v>
      </c>
      <c r="S473" s="1124" t="s">
        <v>648</v>
      </c>
      <c r="T473" s="1188">
        <v>3000000</v>
      </c>
      <c r="U473" s="1124" t="s">
        <v>807</v>
      </c>
      <c r="V473" s="1312"/>
      <c r="W473" s="1263" t="s">
        <v>276</v>
      </c>
      <c r="X473" s="1260"/>
      <c r="Y473" s="1196"/>
      <c r="Z473" s="1260"/>
      <c r="AA473" s="1196"/>
      <c r="AB473" s="1205">
        <v>1000000</v>
      </c>
      <c r="AC473" s="1124" t="s">
        <v>807</v>
      </c>
      <c r="AD473" s="1197"/>
      <c r="AE473" s="1158"/>
      <c r="AF473" s="1157"/>
      <c r="AG473" s="1158"/>
      <c r="AH473" s="1232" t="str">
        <f t="shared" si="98"/>
        <v>PI</v>
      </c>
      <c r="AI473" s="747">
        <f t="shared" si="95"/>
        <v>17250000</v>
      </c>
      <c r="AJ473" s="747">
        <f t="shared" si="96"/>
        <v>17250000</v>
      </c>
      <c r="AK473" s="747">
        <f t="shared" si="97"/>
        <v>0</v>
      </c>
      <c r="AL473" s="1170"/>
      <c r="AM473" s="1170"/>
      <c r="AN473" s="1209"/>
      <c r="AO473" s="1170"/>
      <c r="AP473" s="1209"/>
      <c r="AQ473" s="1128"/>
      <c r="AR473" s="1173"/>
      <c r="AT473" s="1173"/>
      <c r="AV473" s="1173"/>
      <c r="AX473" s="1173"/>
      <c r="AY473" s="1176"/>
      <c r="AZ473" s="1173"/>
    </row>
    <row r="474" spans="1:52" s="2" customFormat="1" x14ac:dyDescent="0.25">
      <c r="A474" s="19">
        <v>450</v>
      </c>
      <c r="B474" s="59">
        <v>71</v>
      </c>
      <c r="C474" s="40">
        <v>849110288</v>
      </c>
      <c r="D474" s="39" t="s">
        <v>808</v>
      </c>
      <c r="E474" s="23" t="s">
        <v>32</v>
      </c>
      <c r="F474" s="59">
        <v>2011</v>
      </c>
      <c r="G474" s="23" t="s">
        <v>33</v>
      </c>
      <c r="H474" s="60" t="str">
        <f t="shared" si="87"/>
        <v xml:space="preserve">   </v>
      </c>
      <c r="I474" s="60" t="str">
        <f t="shared" si="88"/>
        <v xml:space="preserve">   </v>
      </c>
      <c r="J474" s="1239">
        <v>1250000</v>
      </c>
      <c r="K474" s="1194"/>
      <c r="L474" s="1178">
        <v>3000000</v>
      </c>
      <c r="M474" s="1124" t="s">
        <v>219</v>
      </c>
      <c r="N474" s="1178">
        <v>3000000</v>
      </c>
      <c r="O474" s="1124">
        <v>40947</v>
      </c>
      <c r="P474" s="1178">
        <v>3000000</v>
      </c>
      <c r="Q474" s="1124"/>
      <c r="R474" s="1178">
        <v>3000000</v>
      </c>
      <c r="S474" s="1124">
        <v>41488</v>
      </c>
      <c r="T474" s="1188">
        <v>3000000</v>
      </c>
      <c r="U474" s="1124">
        <v>42348</v>
      </c>
      <c r="V474" s="1178">
        <v>3000000</v>
      </c>
      <c r="W474" s="1124">
        <v>42348</v>
      </c>
      <c r="X474" s="1178">
        <v>300000</v>
      </c>
      <c r="Y474" s="1124">
        <v>42348</v>
      </c>
      <c r="Z474" s="1178">
        <v>3000000</v>
      </c>
      <c r="AA474" s="1124">
        <v>42348</v>
      </c>
      <c r="AB474" s="1205">
        <v>1000000</v>
      </c>
      <c r="AC474" s="1124">
        <v>42348</v>
      </c>
      <c r="AD474" s="1310"/>
      <c r="AE474" s="1293" t="s">
        <v>276</v>
      </c>
      <c r="AF474" s="1157"/>
      <c r="AG474" s="1158"/>
      <c r="AH474" s="1232" t="str">
        <f t="shared" si="98"/>
        <v>PI</v>
      </c>
      <c r="AI474" s="747">
        <f t="shared" si="95"/>
        <v>23550000</v>
      </c>
      <c r="AJ474" s="747">
        <f t="shared" si="96"/>
        <v>26250000</v>
      </c>
      <c r="AK474" s="747">
        <f t="shared" si="97"/>
        <v>2700000</v>
      </c>
      <c r="AL474" s="1170"/>
      <c r="AM474" s="1170"/>
      <c r="AN474" s="1209"/>
      <c r="AO474" s="1170"/>
      <c r="AP474" s="1209"/>
      <c r="AQ474" s="1128"/>
      <c r="AR474" s="1173"/>
      <c r="AT474" s="1173"/>
      <c r="AV474" s="1173"/>
      <c r="AX474" s="1173"/>
      <c r="AY474" s="1176"/>
      <c r="AZ474" s="1173"/>
    </row>
    <row r="475" spans="1:52" s="2" customFormat="1" x14ac:dyDescent="0.25">
      <c r="A475" s="19">
        <v>451</v>
      </c>
      <c r="B475" s="59">
        <v>72</v>
      </c>
      <c r="C475" s="40">
        <v>849110289</v>
      </c>
      <c r="D475" s="39" t="s">
        <v>809</v>
      </c>
      <c r="E475" s="23" t="s">
        <v>32</v>
      </c>
      <c r="F475" s="59">
        <v>2011</v>
      </c>
      <c r="G475" s="23" t="s">
        <v>33</v>
      </c>
      <c r="H475" s="60" t="str">
        <f t="shared" si="87"/>
        <v xml:space="preserve">   </v>
      </c>
      <c r="I475" s="60">
        <f t="shared" si="88"/>
        <v>42329</v>
      </c>
      <c r="J475" s="1239">
        <v>1250000</v>
      </c>
      <c r="K475" s="1194"/>
      <c r="L475" s="1178">
        <v>3000000</v>
      </c>
      <c r="M475" s="1124">
        <v>40970</v>
      </c>
      <c r="N475" s="1178">
        <v>1500000</v>
      </c>
      <c r="O475" s="1124">
        <v>41098</v>
      </c>
      <c r="P475" s="1250"/>
      <c r="Q475" s="1144" t="s">
        <v>137</v>
      </c>
      <c r="R475" s="1250"/>
      <c r="S475" s="1144" t="s">
        <v>137</v>
      </c>
      <c r="T475" s="1188">
        <v>4500000</v>
      </c>
      <c r="U475" s="1124" t="s">
        <v>810</v>
      </c>
      <c r="V475" s="1178">
        <v>3000000</v>
      </c>
      <c r="W475" s="1124" t="s">
        <v>811</v>
      </c>
      <c r="X475" s="1178">
        <v>3000000</v>
      </c>
      <c r="Y475" s="1124" t="s">
        <v>811</v>
      </c>
      <c r="Z475" s="1178">
        <v>3000000</v>
      </c>
      <c r="AA475" s="1124" t="s">
        <v>811</v>
      </c>
      <c r="AB475" s="1205">
        <v>1000000</v>
      </c>
      <c r="AC475" s="1124" t="s">
        <v>811</v>
      </c>
      <c r="AD475" s="1310"/>
      <c r="AE475" s="1293" t="s">
        <v>276</v>
      </c>
      <c r="AF475" s="1157"/>
      <c r="AG475" s="1158"/>
      <c r="AH475" s="1232" t="str">
        <f t="shared" si="98"/>
        <v>PI</v>
      </c>
      <c r="AI475" s="747">
        <f t="shared" si="95"/>
        <v>20250000</v>
      </c>
      <c r="AJ475" s="747">
        <f t="shared" si="96"/>
        <v>20250000</v>
      </c>
      <c r="AK475" s="747">
        <f t="shared" si="97"/>
        <v>0</v>
      </c>
      <c r="AL475" s="1170"/>
      <c r="AM475" s="1170"/>
      <c r="AN475" s="1209"/>
      <c r="AO475" s="1170"/>
      <c r="AP475" s="1209"/>
      <c r="AQ475" s="1128"/>
      <c r="AR475" s="1173"/>
      <c r="AT475" s="1173"/>
      <c r="AV475" s="1173"/>
      <c r="AX475" s="1173"/>
      <c r="AY475" s="1176"/>
      <c r="AZ475" s="1173"/>
    </row>
    <row r="476" spans="1:52" s="2" customFormat="1" x14ac:dyDescent="0.25">
      <c r="A476" s="19">
        <v>452</v>
      </c>
      <c r="B476" s="57">
        <v>73</v>
      </c>
      <c r="C476" s="38">
        <v>849110290</v>
      </c>
      <c r="D476" s="37" t="s">
        <v>812</v>
      </c>
      <c r="E476" s="28" t="s">
        <v>32</v>
      </c>
      <c r="F476" s="57">
        <v>2011</v>
      </c>
      <c r="G476" s="28"/>
      <c r="H476" s="58" t="str">
        <f t="shared" si="87"/>
        <v xml:space="preserve">   </v>
      </c>
      <c r="I476" s="58" t="str">
        <f t="shared" si="88"/>
        <v xml:space="preserve">   </v>
      </c>
      <c r="J476" s="1125"/>
      <c r="K476" s="1126"/>
      <c r="L476" s="1130">
        <f>500000+1750000+2000000</f>
        <v>4250000</v>
      </c>
      <c r="M476" s="1126" t="s">
        <v>813</v>
      </c>
      <c r="N476" s="1130">
        <v>1000000</v>
      </c>
      <c r="O476" s="1126" t="s">
        <v>814</v>
      </c>
      <c r="P476" s="1130"/>
      <c r="Q476" s="1126"/>
      <c r="R476" s="1130"/>
      <c r="S476" s="1126"/>
      <c r="T476" s="1145"/>
      <c r="U476" s="1126"/>
      <c r="V476" s="1130"/>
      <c r="W476" s="1126"/>
      <c r="X476" s="1260"/>
      <c r="Y476" s="1196"/>
      <c r="Z476" s="1260"/>
      <c r="AA476" s="1196"/>
      <c r="AB476" s="1198">
        <v>1000000</v>
      </c>
      <c r="AC476" s="1126"/>
      <c r="AD476" s="1273"/>
      <c r="AE476" s="1247"/>
      <c r="AF476" s="1157"/>
      <c r="AG476" s="1158"/>
      <c r="AH476" s="1232" t="str">
        <f t="shared" si="98"/>
        <v>PI</v>
      </c>
      <c r="AI476" s="747" t="e">
        <f>SUM(J476,L476,N476,P476,R476,T476,V476,X476,Z476,AB476,AD476,AF476,#REF!,#REF!)</f>
        <v>#REF!</v>
      </c>
      <c r="AJ476" s="747">
        <f t="shared" si="96"/>
        <v>8250000</v>
      </c>
      <c r="AK476" s="747" t="e">
        <f t="shared" si="97"/>
        <v>#REF!</v>
      </c>
      <c r="AL476" s="1170"/>
      <c r="AM476" s="1170"/>
      <c r="AN476" s="1209"/>
      <c r="AO476" s="1170"/>
      <c r="AP476" s="1209"/>
      <c r="AQ476" s="1128"/>
      <c r="AR476" s="1173"/>
      <c r="AT476" s="1173"/>
      <c r="AV476" s="1173"/>
      <c r="AX476" s="1173"/>
      <c r="AY476" s="1176"/>
      <c r="AZ476" s="1173"/>
    </row>
    <row r="477" spans="1:52" s="2" customFormat="1" x14ac:dyDescent="0.25">
      <c r="A477" s="19">
        <v>453</v>
      </c>
      <c r="B477" s="59">
        <v>74</v>
      </c>
      <c r="C477" s="40">
        <v>849110291</v>
      </c>
      <c r="D477" s="39" t="s">
        <v>815</v>
      </c>
      <c r="E477" s="23" t="s">
        <v>32</v>
      </c>
      <c r="F477" s="59">
        <v>2011</v>
      </c>
      <c r="G477" s="23" t="s">
        <v>33</v>
      </c>
      <c r="H477" s="60" t="str">
        <f t="shared" si="87"/>
        <v xml:space="preserve">   </v>
      </c>
      <c r="I477" s="60">
        <f t="shared" si="88"/>
        <v>41640</v>
      </c>
      <c r="J477" s="1239">
        <v>1250000</v>
      </c>
      <c r="K477" s="1194"/>
      <c r="L477" s="1178">
        <v>3000000</v>
      </c>
      <c r="M477" s="1124" t="s">
        <v>174</v>
      </c>
      <c r="N477" s="1178">
        <v>3000000</v>
      </c>
      <c r="O477" s="1124" t="s">
        <v>90</v>
      </c>
      <c r="P477" s="1178">
        <v>3000000</v>
      </c>
      <c r="Q477" s="1124">
        <v>41276</v>
      </c>
      <c r="R477" s="1178">
        <v>3000000</v>
      </c>
      <c r="S477" s="1124" t="s">
        <v>648</v>
      </c>
      <c r="T477" s="1224"/>
      <c r="U477" s="1263" t="s">
        <v>276</v>
      </c>
      <c r="V477" s="1289"/>
      <c r="W477" s="1146"/>
      <c r="X477" s="1306"/>
      <c r="Y477" s="1258"/>
      <c r="Z477" s="1306"/>
      <c r="AA477" s="1258"/>
      <c r="AB477" s="1205">
        <v>1000000</v>
      </c>
      <c r="AC477" s="1124" t="s">
        <v>816</v>
      </c>
      <c r="AD477" s="1197"/>
      <c r="AE477" s="1158"/>
      <c r="AF477" s="1157"/>
      <c r="AG477" s="1158"/>
      <c r="AH477" s="1232" t="str">
        <f t="shared" si="98"/>
        <v>PI</v>
      </c>
      <c r="AI477" s="747">
        <f t="shared" ref="AI477:AI487" si="99">SUM(J477,L477,N477,P477,R477,T477,V477,X477,Z477,AB477,AD477,AF477)</f>
        <v>14250000</v>
      </c>
      <c r="AJ477" s="747">
        <f t="shared" ref="AJ477:AJ488" si="100">(COUNT(L477,N477,P477,R477,T477,V477,X477,Z477,AD477,AF477)*$L$403)+($J$403+$AB$403)</f>
        <v>14250000</v>
      </c>
      <c r="AK477" s="747">
        <f t="shared" ref="AK477:AK488" si="101">AJ477-AI477</f>
        <v>0</v>
      </c>
      <c r="AL477" s="1170"/>
      <c r="AM477" s="1170"/>
      <c r="AN477" s="1209"/>
      <c r="AO477" s="1170"/>
      <c r="AP477" s="1209"/>
      <c r="AQ477" s="1128"/>
      <c r="AR477" s="1173"/>
      <c r="AT477" s="1173"/>
      <c r="AV477" s="1173"/>
      <c r="AX477" s="1173"/>
      <c r="AY477" s="1176"/>
      <c r="AZ477" s="1173"/>
    </row>
    <row r="478" spans="1:52" s="2" customFormat="1" x14ac:dyDescent="0.25">
      <c r="A478" s="19">
        <v>454</v>
      </c>
      <c r="B478" s="59">
        <v>75</v>
      </c>
      <c r="C478" s="40">
        <v>849110292</v>
      </c>
      <c r="D478" s="39" t="s">
        <v>817</v>
      </c>
      <c r="E478" s="23" t="s">
        <v>32</v>
      </c>
      <c r="F478" s="59">
        <v>2011</v>
      </c>
      <c r="G478" s="23" t="s">
        <v>33</v>
      </c>
      <c r="H478" s="60" t="str">
        <f t="shared" si="87"/>
        <v xml:space="preserve">   </v>
      </c>
      <c r="I478" s="60">
        <f t="shared" si="88"/>
        <v>41640</v>
      </c>
      <c r="J478" s="1239">
        <v>1250000</v>
      </c>
      <c r="K478" s="1194"/>
      <c r="L478" s="1178">
        <v>3000000</v>
      </c>
      <c r="M478" s="1124">
        <v>40970</v>
      </c>
      <c r="N478" s="1178">
        <v>3000000</v>
      </c>
      <c r="O478" s="1124" t="s">
        <v>290</v>
      </c>
      <c r="P478" s="1178">
        <v>3000000</v>
      </c>
      <c r="Q478" s="1124" t="s">
        <v>818</v>
      </c>
      <c r="R478" s="1178">
        <v>3000000</v>
      </c>
      <c r="S478" s="1124" t="s">
        <v>538</v>
      </c>
      <c r="T478" s="1224"/>
      <c r="U478" s="1263" t="s">
        <v>276</v>
      </c>
      <c r="V478" s="1289"/>
      <c r="W478" s="1146"/>
      <c r="X478" s="1306"/>
      <c r="Y478" s="1258"/>
      <c r="Z478" s="1306"/>
      <c r="AA478" s="1258"/>
      <c r="AB478" s="1205">
        <v>1000000</v>
      </c>
      <c r="AC478" s="1124" t="s">
        <v>819</v>
      </c>
      <c r="AD478" s="1197"/>
      <c r="AE478" s="1158"/>
      <c r="AF478" s="1157"/>
      <c r="AG478" s="1158"/>
      <c r="AH478" s="1232" t="str">
        <f t="shared" si="98"/>
        <v>PI</v>
      </c>
      <c r="AI478" s="747">
        <f t="shared" si="99"/>
        <v>14250000</v>
      </c>
      <c r="AJ478" s="747">
        <f t="shared" si="100"/>
        <v>14250000</v>
      </c>
      <c r="AK478" s="747">
        <f t="shared" si="101"/>
        <v>0</v>
      </c>
      <c r="AL478" s="1170"/>
      <c r="AM478" s="1170"/>
      <c r="AN478" s="1209"/>
      <c r="AO478" s="1170"/>
      <c r="AP478" s="1209"/>
      <c r="AQ478" s="1128"/>
      <c r="AR478" s="1173"/>
      <c r="AT478" s="1173"/>
      <c r="AV478" s="1173"/>
      <c r="AX478" s="1173"/>
      <c r="AY478" s="1176"/>
      <c r="AZ478" s="1173"/>
    </row>
    <row r="479" spans="1:52" s="2" customFormat="1" x14ac:dyDescent="0.25">
      <c r="A479" s="19">
        <v>455</v>
      </c>
      <c r="B479" s="59">
        <v>76</v>
      </c>
      <c r="C479" s="40">
        <v>849110293</v>
      </c>
      <c r="D479" s="39" t="s">
        <v>820</v>
      </c>
      <c r="E479" s="23" t="s">
        <v>32</v>
      </c>
      <c r="F479" s="59">
        <v>2011</v>
      </c>
      <c r="G479" s="23" t="s">
        <v>33</v>
      </c>
      <c r="H479" s="60" t="str">
        <f t="shared" si="87"/>
        <v xml:space="preserve">   </v>
      </c>
      <c r="I479" s="60">
        <f t="shared" si="88"/>
        <v>41640</v>
      </c>
      <c r="J479" s="1239">
        <v>1250000</v>
      </c>
      <c r="K479" s="1194"/>
      <c r="L479" s="1178">
        <v>3000000</v>
      </c>
      <c r="M479" s="1124">
        <v>40941</v>
      </c>
      <c r="N479" s="1178">
        <v>3000000</v>
      </c>
      <c r="O479" s="1124" t="s">
        <v>90</v>
      </c>
      <c r="P479" s="1178">
        <v>3000000</v>
      </c>
      <c r="Q479" s="1124">
        <v>41488</v>
      </c>
      <c r="R479" s="1178">
        <v>3000000</v>
      </c>
      <c r="S479" s="1124">
        <v>41527</v>
      </c>
      <c r="T479" s="1224"/>
      <c r="U479" s="1263" t="s">
        <v>276</v>
      </c>
      <c r="V479" s="1238"/>
      <c r="W479" s="1126"/>
      <c r="X479" s="1240"/>
      <c r="Y479" s="1196"/>
      <c r="Z479" s="1240"/>
      <c r="AA479" s="1196"/>
      <c r="AB479" s="1205">
        <v>1000000</v>
      </c>
      <c r="AC479" s="1124" t="s">
        <v>821</v>
      </c>
      <c r="AD479" s="1246"/>
      <c r="AE479" s="1158"/>
      <c r="AF479" s="1243"/>
      <c r="AG479" s="1158"/>
      <c r="AH479" s="1232" t="str">
        <f t="shared" si="98"/>
        <v>PI</v>
      </c>
      <c r="AI479" s="747">
        <f t="shared" si="99"/>
        <v>14250000</v>
      </c>
      <c r="AJ479" s="747">
        <f t="shared" si="100"/>
        <v>14250000</v>
      </c>
      <c r="AK479" s="747">
        <f t="shared" si="101"/>
        <v>0</v>
      </c>
      <c r="AL479" s="1170"/>
      <c r="AM479" s="1170"/>
      <c r="AN479" s="1209"/>
      <c r="AO479" s="1170"/>
      <c r="AP479" s="1209"/>
      <c r="AQ479" s="1128"/>
      <c r="AR479" s="1173"/>
      <c r="AT479" s="1173"/>
      <c r="AV479" s="1173"/>
      <c r="AX479" s="1173"/>
      <c r="AY479" s="1176"/>
      <c r="AZ479" s="1173"/>
    </row>
    <row r="480" spans="1:52" s="2" customFormat="1" x14ac:dyDescent="0.25">
      <c r="A480" s="19">
        <v>456</v>
      </c>
      <c r="B480" s="57">
        <v>77</v>
      </c>
      <c r="C480" s="38">
        <v>849110294</v>
      </c>
      <c r="D480" s="37" t="s">
        <v>822</v>
      </c>
      <c r="E480" s="28" t="s">
        <v>32</v>
      </c>
      <c r="F480" s="57">
        <v>2011</v>
      </c>
      <c r="G480" s="28"/>
      <c r="H480" s="58" t="str">
        <f t="shared" si="87"/>
        <v xml:space="preserve">   </v>
      </c>
      <c r="I480" s="58" t="str">
        <f t="shared" si="88"/>
        <v xml:space="preserve">   </v>
      </c>
      <c r="J480" s="1125">
        <v>1250000</v>
      </c>
      <c r="K480" s="1126"/>
      <c r="L480" s="1130">
        <v>3000000</v>
      </c>
      <c r="M480" s="1126" t="s">
        <v>695</v>
      </c>
      <c r="N480" s="1130"/>
      <c r="O480" s="1126"/>
      <c r="P480" s="1130"/>
      <c r="Q480" s="1126"/>
      <c r="R480" s="1130"/>
      <c r="S480" s="1126"/>
      <c r="T480" s="1145"/>
      <c r="U480" s="1126"/>
      <c r="V480" s="1130"/>
      <c r="W480" s="1126"/>
      <c r="X480" s="1260"/>
      <c r="Y480" s="1196"/>
      <c r="Z480" s="1260"/>
      <c r="AA480" s="1196"/>
      <c r="AB480" s="1195"/>
      <c r="AC480" s="1126"/>
      <c r="AD480" s="1197"/>
      <c r="AE480" s="1158"/>
      <c r="AF480" s="1157"/>
      <c r="AG480" s="1158"/>
      <c r="AH480" s="1232" t="str">
        <f t="shared" si="98"/>
        <v>PI</v>
      </c>
      <c r="AI480" s="747">
        <f t="shared" si="99"/>
        <v>4250000</v>
      </c>
      <c r="AJ480" s="747">
        <f t="shared" si="100"/>
        <v>5250000</v>
      </c>
      <c r="AK480" s="747">
        <f t="shared" si="101"/>
        <v>1000000</v>
      </c>
      <c r="AL480" s="1170"/>
      <c r="AM480" s="1170"/>
      <c r="AN480" s="1209"/>
      <c r="AO480" s="1170"/>
      <c r="AP480" s="1209"/>
      <c r="AQ480" s="1128"/>
      <c r="AR480" s="1173"/>
      <c r="AT480" s="1173"/>
      <c r="AV480" s="1173"/>
      <c r="AX480" s="1173"/>
      <c r="AY480" s="1176"/>
      <c r="AZ480" s="1173"/>
    </row>
    <row r="481" spans="1:52" s="2" customFormat="1" x14ac:dyDescent="0.25">
      <c r="A481" s="19">
        <v>457</v>
      </c>
      <c r="B481" s="57">
        <v>78</v>
      </c>
      <c r="C481" s="38">
        <v>849110295</v>
      </c>
      <c r="D481" s="37" t="s">
        <v>823</v>
      </c>
      <c r="E481" s="28" t="s">
        <v>32</v>
      </c>
      <c r="F481" s="57">
        <v>2011</v>
      </c>
      <c r="G481" s="28"/>
      <c r="H481" s="58" t="str">
        <f t="shared" si="87"/>
        <v xml:space="preserve">   </v>
      </c>
      <c r="I481" s="58" t="str">
        <f t="shared" si="88"/>
        <v xml:space="preserve">   </v>
      </c>
      <c r="J481" s="1125">
        <v>1250000</v>
      </c>
      <c r="K481" s="1126"/>
      <c r="L481" s="1130">
        <v>3000000</v>
      </c>
      <c r="M481" s="1126">
        <v>40970</v>
      </c>
      <c r="N481" s="1130"/>
      <c r="O481" s="1126"/>
      <c r="P481" s="1130"/>
      <c r="Q481" s="1126"/>
      <c r="R481" s="1130"/>
      <c r="S481" s="1126"/>
      <c r="T481" s="1145"/>
      <c r="U481" s="1126"/>
      <c r="V481" s="1130"/>
      <c r="W481" s="1126"/>
      <c r="X481" s="1260"/>
      <c r="Y481" s="1196"/>
      <c r="Z481" s="1260"/>
      <c r="AA481" s="1196"/>
      <c r="AB481" s="1195"/>
      <c r="AC481" s="1196"/>
      <c r="AD481" s="1197"/>
      <c r="AE481" s="1158"/>
      <c r="AF481" s="1157"/>
      <c r="AG481" s="1158"/>
      <c r="AH481" s="1232" t="str">
        <f t="shared" si="98"/>
        <v>PI</v>
      </c>
      <c r="AI481" s="747">
        <f t="shared" si="99"/>
        <v>4250000</v>
      </c>
      <c r="AJ481" s="747">
        <f t="shared" si="100"/>
        <v>5250000</v>
      </c>
      <c r="AK481" s="747">
        <f t="shared" si="101"/>
        <v>1000000</v>
      </c>
      <c r="AL481" s="1170"/>
      <c r="AM481" s="1170"/>
      <c r="AN481" s="1209"/>
      <c r="AO481" s="1170"/>
      <c r="AP481" s="1209"/>
      <c r="AQ481" s="1128"/>
      <c r="AR481" s="1173"/>
      <c r="AT481" s="1173"/>
      <c r="AV481" s="1173"/>
      <c r="AX481" s="1173"/>
      <c r="AY481" s="1176"/>
      <c r="AZ481" s="1173"/>
    </row>
    <row r="482" spans="1:52" s="2" customFormat="1" x14ac:dyDescent="0.25">
      <c r="A482" s="19">
        <v>458</v>
      </c>
      <c r="B482" s="59">
        <v>79</v>
      </c>
      <c r="C482" s="40">
        <v>849110296</v>
      </c>
      <c r="D482" s="39" t="s">
        <v>824</v>
      </c>
      <c r="E482" s="23" t="s">
        <v>32</v>
      </c>
      <c r="F482" s="59">
        <v>2011</v>
      </c>
      <c r="G482" s="23" t="s">
        <v>33</v>
      </c>
      <c r="H482" s="60" t="str">
        <f t="shared" si="87"/>
        <v xml:space="preserve">   </v>
      </c>
      <c r="I482" s="60">
        <f t="shared" si="88"/>
        <v>41640</v>
      </c>
      <c r="J482" s="1239">
        <v>1250000</v>
      </c>
      <c r="K482" s="1194"/>
      <c r="L482" s="1178">
        <v>3000000</v>
      </c>
      <c r="M482" s="1124">
        <v>41062</v>
      </c>
      <c r="N482" s="1178"/>
      <c r="O482" s="1124"/>
      <c r="P482" s="1178"/>
      <c r="Q482" s="1124"/>
      <c r="R482" s="1178">
        <v>3000000</v>
      </c>
      <c r="S482" s="1124" t="s">
        <v>825</v>
      </c>
      <c r="T482" s="1224"/>
      <c r="U482" s="1263" t="s">
        <v>276</v>
      </c>
      <c r="V482" s="1238"/>
      <c r="W482" s="1126"/>
      <c r="X482" s="1240"/>
      <c r="Y482" s="1196"/>
      <c r="Z482" s="1240"/>
      <c r="AA482" s="1196"/>
      <c r="AB482" s="1205">
        <v>1000000</v>
      </c>
      <c r="AC482" s="1124" t="s">
        <v>757</v>
      </c>
      <c r="AD482" s="1246"/>
      <c r="AE482" s="1158"/>
      <c r="AF482" s="1243"/>
      <c r="AG482" s="1158"/>
      <c r="AH482" s="1232" t="str">
        <f t="shared" si="98"/>
        <v>PI</v>
      </c>
      <c r="AI482" s="747">
        <f t="shared" si="99"/>
        <v>8250000</v>
      </c>
      <c r="AJ482" s="747">
        <f t="shared" si="100"/>
        <v>8250000</v>
      </c>
      <c r="AK482" s="747">
        <f t="shared" si="101"/>
        <v>0</v>
      </c>
      <c r="AL482" s="1170"/>
      <c r="AM482" s="1170"/>
      <c r="AN482" s="1209"/>
      <c r="AO482" s="1170"/>
      <c r="AP482" s="1209"/>
      <c r="AQ482" s="1128"/>
      <c r="AR482" s="1173"/>
      <c r="AT482" s="1173"/>
      <c r="AV482" s="1173"/>
      <c r="AX482" s="1173"/>
      <c r="AY482" s="1176"/>
      <c r="AZ482" s="1173"/>
    </row>
    <row r="483" spans="1:52" s="2" customFormat="1" x14ac:dyDescent="0.25">
      <c r="A483" s="19">
        <v>459</v>
      </c>
      <c r="B483" s="59">
        <v>80</v>
      </c>
      <c r="C483" s="40">
        <v>849110297</v>
      </c>
      <c r="D483" s="39" t="s">
        <v>826</v>
      </c>
      <c r="E483" s="23" t="s">
        <v>32</v>
      </c>
      <c r="F483" s="59">
        <v>2011</v>
      </c>
      <c r="G483" s="23" t="s">
        <v>33</v>
      </c>
      <c r="H483" s="60" t="str">
        <f t="shared" si="87"/>
        <v xml:space="preserve">   </v>
      </c>
      <c r="I483" s="60" t="str">
        <f t="shared" si="88"/>
        <v xml:space="preserve">   </v>
      </c>
      <c r="J483" s="1239">
        <v>1250000</v>
      </c>
      <c r="K483" s="1194"/>
      <c r="L483" s="1178">
        <v>3000000</v>
      </c>
      <c r="M483" s="1124">
        <v>41458</v>
      </c>
      <c r="N483" s="1178">
        <v>3000000</v>
      </c>
      <c r="O483" s="1124">
        <v>40976</v>
      </c>
      <c r="P483" s="1178">
        <v>3000000</v>
      </c>
      <c r="Q483" s="1124">
        <v>41488</v>
      </c>
      <c r="R483" s="1178">
        <v>3000000</v>
      </c>
      <c r="S483" s="1124">
        <v>41282</v>
      </c>
      <c r="T483" s="1145"/>
      <c r="U483" s="1263" t="s">
        <v>276</v>
      </c>
      <c r="V483" s="1130"/>
      <c r="W483" s="1126"/>
      <c r="X483" s="1260"/>
      <c r="Y483" s="1196"/>
      <c r="Z483" s="1260"/>
      <c r="AA483" s="1196"/>
      <c r="AB483" s="1198"/>
      <c r="AC483" s="1126"/>
      <c r="AD483" s="1273">
        <v>1500000</v>
      </c>
      <c r="AE483" s="1158"/>
      <c r="AF483" s="1157"/>
      <c r="AG483" s="1158"/>
      <c r="AH483" s="1232" t="str">
        <f t="shared" si="98"/>
        <v>PI</v>
      </c>
      <c r="AI483" s="747">
        <f t="shared" si="99"/>
        <v>14750000</v>
      </c>
      <c r="AJ483" s="747">
        <f t="shared" si="100"/>
        <v>17250000</v>
      </c>
      <c r="AK483" s="747">
        <f t="shared" si="101"/>
        <v>2500000</v>
      </c>
      <c r="AL483" s="1170"/>
      <c r="AM483" s="1170"/>
      <c r="AN483" s="1209"/>
      <c r="AO483" s="1170"/>
      <c r="AP483" s="1209"/>
      <c r="AQ483" s="1128"/>
      <c r="AR483" s="1173"/>
      <c r="AT483" s="1173"/>
      <c r="AV483" s="1173"/>
      <c r="AX483" s="1173"/>
      <c r="AY483" s="1176"/>
      <c r="AZ483" s="1173"/>
    </row>
    <row r="484" spans="1:52" s="2" customFormat="1" x14ac:dyDescent="0.25">
      <c r="A484" s="19">
        <v>460</v>
      </c>
      <c r="B484" s="80">
        <v>81</v>
      </c>
      <c r="C484" s="38">
        <v>849110298</v>
      </c>
      <c r="D484" s="37" t="s">
        <v>827</v>
      </c>
      <c r="E484" s="28" t="s">
        <v>32</v>
      </c>
      <c r="F484" s="57">
        <v>2011</v>
      </c>
      <c r="G484" s="28"/>
      <c r="H484" s="58" t="str">
        <f t="shared" si="87"/>
        <v xml:space="preserve">   </v>
      </c>
      <c r="I484" s="58">
        <f t="shared" si="88"/>
        <v>41640</v>
      </c>
      <c r="J484" s="1239"/>
      <c r="K484" s="1194"/>
      <c r="L484" s="1130"/>
      <c r="M484" s="1126"/>
      <c r="N484" s="1130">
        <v>3000000</v>
      </c>
      <c r="O484" s="1126">
        <v>40947</v>
      </c>
      <c r="P484" s="1130">
        <v>3000000</v>
      </c>
      <c r="Q484" s="1126">
        <v>41427</v>
      </c>
      <c r="R484" s="1130">
        <v>3000000</v>
      </c>
      <c r="S484" s="1126">
        <v>41617</v>
      </c>
      <c r="T484" s="1145"/>
      <c r="U484" s="1126"/>
      <c r="V484" s="1130"/>
      <c r="W484" s="1126"/>
      <c r="X484" s="1260"/>
      <c r="Y484" s="1196"/>
      <c r="Z484" s="1260"/>
      <c r="AA484" s="1196"/>
      <c r="AB484" s="1205">
        <v>1000000</v>
      </c>
      <c r="AC484" s="1124" t="s">
        <v>774</v>
      </c>
      <c r="AD484" s="1197"/>
      <c r="AE484" s="1158"/>
      <c r="AF484" s="1157"/>
      <c r="AG484" s="1158"/>
      <c r="AH484" s="1232" t="str">
        <f t="shared" si="98"/>
        <v>PI</v>
      </c>
      <c r="AI484" s="747">
        <f t="shared" si="99"/>
        <v>10000000</v>
      </c>
      <c r="AJ484" s="747">
        <f t="shared" si="100"/>
        <v>11250000</v>
      </c>
      <c r="AK484" s="747">
        <f t="shared" si="101"/>
        <v>1250000</v>
      </c>
      <c r="AL484" s="1170"/>
      <c r="AM484" s="1170"/>
      <c r="AN484" s="1209"/>
      <c r="AO484" s="1170"/>
      <c r="AP484" s="1209"/>
      <c r="AQ484" s="1128"/>
      <c r="AR484" s="1173"/>
      <c r="AT484" s="1173"/>
      <c r="AV484" s="1173"/>
      <c r="AX484" s="1173"/>
      <c r="AY484" s="1176"/>
      <c r="AZ484" s="1173"/>
    </row>
    <row r="485" spans="1:52" s="2" customFormat="1" x14ac:dyDescent="0.25">
      <c r="A485" s="19">
        <v>461</v>
      </c>
      <c r="B485" s="59">
        <v>82</v>
      </c>
      <c r="C485" s="40">
        <v>849110299</v>
      </c>
      <c r="D485" s="39" t="s">
        <v>828</v>
      </c>
      <c r="E485" s="23" t="s">
        <v>32</v>
      </c>
      <c r="F485" s="59">
        <v>2011</v>
      </c>
      <c r="G485" s="23" t="s">
        <v>33</v>
      </c>
      <c r="H485" s="60">
        <f t="shared" si="87"/>
        <v>42693</v>
      </c>
      <c r="I485" s="60">
        <f t="shared" si="88"/>
        <v>42693</v>
      </c>
      <c r="J485" s="1239">
        <v>1250000</v>
      </c>
      <c r="K485" s="1194"/>
      <c r="L485" s="1178">
        <v>3000000</v>
      </c>
      <c r="M485" s="1124">
        <v>41124</v>
      </c>
      <c r="N485" s="1178">
        <v>3000000</v>
      </c>
      <c r="O485" s="1124" t="s">
        <v>90</v>
      </c>
      <c r="P485" s="1178">
        <v>3000000</v>
      </c>
      <c r="Q485" s="1124">
        <v>41427</v>
      </c>
      <c r="R485" s="1178">
        <v>3000000</v>
      </c>
      <c r="S485" s="1124" t="s">
        <v>798</v>
      </c>
      <c r="T485" s="1188">
        <v>3000000</v>
      </c>
      <c r="U485" s="1124" t="s">
        <v>829</v>
      </c>
      <c r="V485" s="1178">
        <v>3000000</v>
      </c>
      <c r="W485" s="1124">
        <v>42684</v>
      </c>
      <c r="X485" s="1178">
        <v>3000000</v>
      </c>
      <c r="Y485" s="1124">
        <v>42684</v>
      </c>
      <c r="Z485" s="1178">
        <v>3000000</v>
      </c>
      <c r="AA485" s="1124">
        <v>42684</v>
      </c>
      <c r="AB485" s="1205">
        <v>1000000</v>
      </c>
      <c r="AC485" s="1124">
        <v>42684</v>
      </c>
      <c r="AD485" s="1199">
        <v>3000000</v>
      </c>
      <c r="AE485" s="1206">
        <v>42684</v>
      </c>
      <c r="AF485" s="1199">
        <v>3000000</v>
      </c>
      <c r="AG485" s="1206">
        <v>42684</v>
      </c>
      <c r="AH485" s="1316" t="str">
        <f t="shared" si="98"/>
        <v>PI</v>
      </c>
      <c r="AI485" s="747">
        <f t="shared" si="99"/>
        <v>32250000</v>
      </c>
      <c r="AJ485" s="747">
        <f t="shared" si="100"/>
        <v>32250000</v>
      </c>
      <c r="AK485" s="747">
        <f t="shared" si="101"/>
        <v>0</v>
      </c>
      <c r="AL485" s="1170"/>
      <c r="AM485" s="1170"/>
      <c r="AN485" s="1209"/>
      <c r="AO485" s="1170"/>
      <c r="AP485" s="1209"/>
      <c r="AQ485" s="1128"/>
      <c r="AR485" s="1173"/>
      <c r="AT485" s="1173"/>
      <c r="AV485" s="1173"/>
      <c r="AX485" s="1173"/>
      <c r="AY485" s="1176"/>
      <c r="AZ485" s="1173"/>
    </row>
    <row r="486" spans="1:52" s="2" customFormat="1" x14ac:dyDescent="0.25">
      <c r="A486" s="19">
        <v>462</v>
      </c>
      <c r="B486" s="59">
        <v>83</v>
      </c>
      <c r="C486" s="40">
        <v>83911010</v>
      </c>
      <c r="D486" s="39" t="s">
        <v>830</v>
      </c>
      <c r="E486" s="23" t="s">
        <v>32</v>
      </c>
      <c r="F486" s="59">
        <v>2011</v>
      </c>
      <c r="G486" s="23" t="s">
        <v>33</v>
      </c>
      <c r="H486" s="60" t="str">
        <f t="shared" si="87"/>
        <v xml:space="preserve">   </v>
      </c>
      <c r="I486" s="60">
        <f t="shared" si="88"/>
        <v>41640</v>
      </c>
      <c r="J486" s="1239">
        <v>1250000</v>
      </c>
      <c r="K486" s="1194"/>
      <c r="L486" s="1178">
        <v>3000000</v>
      </c>
      <c r="M486" s="1124">
        <v>40910</v>
      </c>
      <c r="N486" s="1178">
        <v>3000000</v>
      </c>
      <c r="O486" s="1124" t="s">
        <v>90</v>
      </c>
      <c r="P486" s="1178">
        <v>3000000</v>
      </c>
      <c r="Q486" s="1124">
        <v>41396</v>
      </c>
      <c r="R486" s="1178">
        <v>3000000</v>
      </c>
      <c r="S486" s="1124" t="s">
        <v>697</v>
      </c>
      <c r="T486" s="1188">
        <v>3000000</v>
      </c>
      <c r="U486" s="1124"/>
      <c r="V486" s="1312"/>
      <c r="W486" s="1263" t="s">
        <v>276</v>
      </c>
      <c r="X486" s="1240"/>
      <c r="Y486" s="1196"/>
      <c r="Z486" s="1240"/>
      <c r="AA486" s="1196"/>
      <c r="AB486" s="1205">
        <v>1000000</v>
      </c>
      <c r="AC486" s="1124"/>
      <c r="AD486" s="1243"/>
      <c r="AE486" s="1247"/>
      <c r="AF486" s="1243"/>
      <c r="AG486" s="1158"/>
      <c r="AH486" s="1232" t="str">
        <f t="shared" si="98"/>
        <v>PI</v>
      </c>
      <c r="AI486" s="747">
        <f t="shared" si="99"/>
        <v>17250000</v>
      </c>
      <c r="AJ486" s="747">
        <f t="shared" si="100"/>
        <v>17250000</v>
      </c>
      <c r="AK486" s="747">
        <f t="shared" si="101"/>
        <v>0</v>
      </c>
      <c r="AL486" s="1170"/>
      <c r="AM486" s="1170"/>
      <c r="AN486" s="1209"/>
      <c r="AO486" s="1170"/>
      <c r="AP486" s="1209"/>
      <c r="AQ486" s="1128"/>
      <c r="AR486" s="1173"/>
      <c r="AT486" s="1173"/>
      <c r="AV486" s="1173"/>
      <c r="AX486" s="1173"/>
      <c r="AY486" s="1176"/>
      <c r="AZ486" s="1173"/>
    </row>
    <row r="487" spans="1:52" s="2" customFormat="1" x14ac:dyDescent="0.25">
      <c r="A487" s="19">
        <v>463</v>
      </c>
      <c r="B487" s="59">
        <v>84</v>
      </c>
      <c r="C487" s="40">
        <v>83911018</v>
      </c>
      <c r="D487" s="39" t="s">
        <v>831</v>
      </c>
      <c r="E487" s="23" t="s">
        <v>32</v>
      </c>
      <c r="F487" s="59">
        <v>2011</v>
      </c>
      <c r="G487" s="23" t="s">
        <v>33</v>
      </c>
      <c r="H487" s="60" t="str">
        <f t="shared" si="87"/>
        <v xml:space="preserve">   </v>
      </c>
      <c r="I487" s="60">
        <f t="shared" si="88"/>
        <v>41640</v>
      </c>
      <c r="J487" s="1239">
        <v>1250000</v>
      </c>
      <c r="K487" s="1194"/>
      <c r="L487" s="1178">
        <v>3000000</v>
      </c>
      <c r="M487" s="1124">
        <v>41062</v>
      </c>
      <c r="N487" s="1178">
        <v>3000000</v>
      </c>
      <c r="O487" s="1124">
        <v>40947</v>
      </c>
      <c r="P487" s="1178">
        <v>3000000</v>
      </c>
      <c r="Q487" s="1124">
        <v>41427</v>
      </c>
      <c r="R487" s="1178">
        <v>3000000</v>
      </c>
      <c r="S487" s="1124">
        <v>41313</v>
      </c>
      <c r="T487" s="1188">
        <v>3000000</v>
      </c>
      <c r="U487" s="1124">
        <v>41761</v>
      </c>
      <c r="V487" s="1312"/>
      <c r="W487" s="1263" t="s">
        <v>276</v>
      </c>
      <c r="X487" s="1240"/>
      <c r="Y487" s="1196"/>
      <c r="Z487" s="1240"/>
      <c r="AA487" s="1196"/>
      <c r="AB487" s="1205">
        <v>1000000</v>
      </c>
      <c r="AC487" s="1124">
        <v>41827</v>
      </c>
      <c r="AD487" s="1243"/>
      <c r="AE487" s="1247"/>
      <c r="AF487" s="1243"/>
      <c r="AG487" s="1158"/>
      <c r="AH487" s="1232" t="str">
        <f t="shared" si="98"/>
        <v>PI</v>
      </c>
      <c r="AI487" s="747">
        <f t="shared" si="99"/>
        <v>17250000</v>
      </c>
      <c r="AJ487" s="747">
        <f t="shared" si="100"/>
        <v>17250000</v>
      </c>
      <c r="AK487" s="747">
        <f t="shared" si="101"/>
        <v>0</v>
      </c>
      <c r="AL487" s="1170"/>
      <c r="AM487" s="1170"/>
      <c r="AN487" s="1209"/>
      <c r="AO487" s="1170"/>
      <c r="AP487" s="1209"/>
      <c r="AQ487" s="1128"/>
      <c r="AR487" s="1173"/>
      <c r="AT487" s="1173"/>
      <c r="AV487" s="1173"/>
      <c r="AX487" s="1173"/>
      <c r="AY487" s="1176"/>
      <c r="AZ487" s="1173"/>
    </row>
    <row r="488" spans="1:52" s="2" customFormat="1" x14ac:dyDescent="0.25">
      <c r="A488" s="19">
        <v>464</v>
      </c>
      <c r="B488" s="59">
        <v>85</v>
      </c>
      <c r="C488" s="40">
        <v>83911021</v>
      </c>
      <c r="D488" s="39" t="s">
        <v>832</v>
      </c>
      <c r="E488" s="23" t="s">
        <v>32</v>
      </c>
      <c r="F488" s="59">
        <v>2011</v>
      </c>
      <c r="G488" s="23" t="s">
        <v>33</v>
      </c>
      <c r="H488" s="60" t="str">
        <f t="shared" si="87"/>
        <v xml:space="preserve">   </v>
      </c>
      <c r="I488" s="60">
        <f t="shared" si="88"/>
        <v>41640</v>
      </c>
      <c r="J488" s="1239"/>
      <c r="K488" s="1194"/>
      <c r="L488" s="1178">
        <v>3750000</v>
      </c>
      <c r="M488" s="1124">
        <v>41062</v>
      </c>
      <c r="N488" s="1178">
        <v>3000000</v>
      </c>
      <c r="O488" s="1124">
        <v>40947</v>
      </c>
      <c r="P488" s="1178">
        <v>3000000</v>
      </c>
      <c r="Q488" s="1124">
        <v>41427</v>
      </c>
      <c r="R488" s="1178">
        <v>3000000</v>
      </c>
      <c r="S488" s="1124">
        <v>41313</v>
      </c>
      <c r="T488" s="1188">
        <f>500000+2500000</f>
        <v>3000000</v>
      </c>
      <c r="U488" s="1124" t="s">
        <v>833</v>
      </c>
      <c r="V488" s="1178">
        <v>3000000</v>
      </c>
      <c r="W488" s="1124" t="s">
        <v>834</v>
      </c>
      <c r="X488" s="1312"/>
      <c r="Y488" s="1263" t="s">
        <v>276</v>
      </c>
      <c r="Z488" s="1260"/>
      <c r="AA488" s="1196"/>
      <c r="AB488" s="1205">
        <v>1000000</v>
      </c>
      <c r="AC488" s="1124" t="s">
        <v>834</v>
      </c>
      <c r="AD488" s="1157"/>
      <c r="AE488" s="1247"/>
      <c r="AF488" s="1157"/>
      <c r="AG488" s="1158"/>
      <c r="AH488" s="1232" t="str">
        <f t="shared" si="98"/>
        <v>PI</v>
      </c>
      <c r="AI488" s="747" t="e">
        <f>SUM(J488,L488,N488,P488,R488,T488,V488,X488,Z488,AB488,AD488,AF488,#REF!)</f>
        <v>#REF!</v>
      </c>
      <c r="AJ488" s="747">
        <f t="shared" si="100"/>
        <v>20250000</v>
      </c>
      <c r="AK488" s="747" t="e">
        <f t="shared" si="101"/>
        <v>#REF!</v>
      </c>
      <c r="AL488" s="1170"/>
      <c r="AM488" s="1170"/>
      <c r="AN488" s="1209"/>
      <c r="AO488" s="1170"/>
      <c r="AP488" s="1209"/>
      <c r="AQ488" s="1128"/>
      <c r="AR488" s="1173"/>
      <c r="AT488" s="1173"/>
      <c r="AV488" s="1173"/>
      <c r="AX488" s="1173"/>
      <c r="AY488" s="1176"/>
      <c r="AZ488" s="1173"/>
    </row>
    <row r="489" spans="1:52" s="2" customFormat="1" x14ac:dyDescent="0.25">
      <c r="A489" s="19">
        <v>465</v>
      </c>
      <c r="B489" s="59">
        <v>86</v>
      </c>
      <c r="C489" s="40">
        <v>83911005</v>
      </c>
      <c r="D489" s="39" t="s">
        <v>835</v>
      </c>
      <c r="E489" s="23" t="s">
        <v>32</v>
      </c>
      <c r="F489" s="59">
        <v>2011</v>
      </c>
      <c r="G489" s="23" t="s">
        <v>33</v>
      </c>
      <c r="H489" s="60" t="str">
        <f t="shared" si="87"/>
        <v xml:space="preserve">   </v>
      </c>
      <c r="I489" s="60">
        <f t="shared" si="88"/>
        <v>41640</v>
      </c>
      <c r="J489" s="1239"/>
      <c r="K489" s="1194"/>
      <c r="L489" s="1178">
        <v>4000000</v>
      </c>
      <c r="M489" s="1124">
        <v>40910</v>
      </c>
      <c r="N489" s="1178">
        <v>3000000</v>
      </c>
      <c r="O489" s="1124">
        <v>40947</v>
      </c>
      <c r="P489" s="1178">
        <v>3000000</v>
      </c>
      <c r="Q489" s="1124">
        <v>41427</v>
      </c>
      <c r="R489" s="1178">
        <v>3000000</v>
      </c>
      <c r="S489" s="1124">
        <v>41585</v>
      </c>
      <c r="T489" s="1224"/>
      <c r="U489" s="1263" t="s">
        <v>276</v>
      </c>
      <c r="V489" s="1240"/>
      <c r="W489" s="1196"/>
      <c r="X489" s="1240"/>
      <c r="Y489" s="1196"/>
      <c r="Z489" s="1240"/>
      <c r="AA489" s="1196"/>
      <c r="AB489" s="1205">
        <v>1000000</v>
      </c>
      <c r="AC489" s="1124" t="s">
        <v>836</v>
      </c>
      <c r="AD489" s="1246"/>
      <c r="AE489" s="1247"/>
      <c r="AF489" s="1246"/>
      <c r="AG489" s="1158"/>
      <c r="AH489" s="1232" t="str">
        <f t="shared" si="98"/>
        <v>PI</v>
      </c>
      <c r="AI489" s="747">
        <f t="shared" ref="AI489:AI497" si="102">SUM(J489,L489,N489,P489,R489,T489,V489,X489,Z489,AB489,AD489,AF489)</f>
        <v>14000000</v>
      </c>
      <c r="AJ489" s="747">
        <f t="shared" ref="AJ489:AJ497" si="103">(COUNT(L489,N489,P489,R489,T489,V489,X489,Z489,AD489,AF489)*$L$403)+($J$403+$AB$403)</f>
        <v>14250000</v>
      </c>
      <c r="AK489" s="747">
        <f t="shared" ref="AK489:AK497" si="104">AJ489-AI489</f>
        <v>250000</v>
      </c>
      <c r="AL489" s="1170"/>
      <c r="AM489" s="1170"/>
      <c r="AN489" s="1209"/>
      <c r="AO489" s="1170"/>
      <c r="AP489" s="1209"/>
      <c r="AQ489" s="1128"/>
      <c r="AR489" s="1173"/>
      <c r="AT489" s="1173"/>
      <c r="AV489" s="1173"/>
      <c r="AX489" s="1173"/>
      <c r="AY489" s="1176"/>
      <c r="AZ489" s="1173"/>
    </row>
    <row r="490" spans="1:52" s="2" customFormat="1" x14ac:dyDescent="0.25">
      <c r="A490" s="19">
        <v>466</v>
      </c>
      <c r="B490" s="59">
        <v>87</v>
      </c>
      <c r="C490" s="40">
        <v>83911008</v>
      </c>
      <c r="D490" s="39" t="s">
        <v>837</v>
      </c>
      <c r="E490" s="23" t="s">
        <v>32</v>
      </c>
      <c r="F490" s="59">
        <v>2011</v>
      </c>
      <c r="G490" s="23" t="s">
        <v>33</v>
      </c>
      <c r="H490" s="60" t="str">
        <f t="shared" si="87"/>
        <v xml:space="preserve">   </v>
      </c>
      <c r="I490" s="60">
        <f t="shared" si="88"/>
        <v>41640</v>
      </c>
      <c r="J490" s="1239">
        <v>1250000</v>
      </c>
      <c r="K490" s="1194"/>
      <c r="L490" s="1178">
        <v>3000000</v>
      </c>
      <c r="M490" s="1124">
        <v>40970</v>
      </c>
      <c r="N490" s="1178">
        <v>3000000</v>
      </c>
      <c r="O490" s="1124">
        <v>40947</v>
      </c>
      <c r="P490" s="1178">
        <v>3000000</v>
      </c>
      <c r="Q490" s="1124">
        <v>41366</v>
      </c>
      <c r="R490" s="1178">
        <v>3000000</v>
      </c>
      <c r="S490" s="1124" t="s">
        <v>538</v>
      </c>
      <c r="T490" s="1224"/>
      <c r="U490" s="1263" t="s">
        <v>276</v>
      </c>
      <c r="V490" s="1130"/>
      <c r="W490" s="1126"/>
      <c r="X490" s="1260"/>
      <c r="Y490" s="1196"/>
      <c r="Z490" s="1260"/>
      <c r="AA490" s="1196"/>
      <c r="AB490" s="1205">
        <v>1000000</v>
      </c>
      <c r="AC490" s="1124" t="s">
        <v>838</v>
      </c>
      <c r="AD490" s="1157"/>
      <c r="AE490" s="1247"/>
      <c r="AF490" s="1157"/>
      <c r="AG490" s="1158"/>
      <c r="AH490" s="1232" t="str">
        <f t="shared" si="98"/>
        <v>PI</v>
      </c>
      <c r="AI490" s="747">
        <f t="shared" si="102"/>
        <v>14250000</v>
      </c>
      <c r="AJ490" s="747">
        <f t="shared" si="103"/>
        <v>14250000</v>
      </c>
      <c r="AK490" s="747">
        <f t="shared" si="104"/>
        <v>0</v>
      </c>
      <c r="AL490" s="1170"/>
      <c r="AM490" s="1170"/>
      <c r="AN490" s="1209"/>
      <c r="AO490" s="1170"/>
      <c r="AP490" s="1209"/>
      <c r="AQ490" s="1128"/>
      <c r="AR490" s="1173"/>
      <c r="AT490" s="1173"/>
      <c r="AV490" s="1173"/>
      <c r="AX490" s="1173"/>
      <c r="AY490" s="1176"/>
      <c r="AZ490" s="1173"/>
    </row>
    <row r="491" spans="1:52" s="2" customFormat="1" x14ac:dyDescent="0.25">
      <c r="A491" s="19">
        <v>467</v>
      </c>
      <c r="B491" s="59">
        <v>88</v>
      </c>
      <c r="C491" s="40">
        <v>83911017</v>
      </c>
      <c r="D491" s="39" t="s">
        <v>839</v>
      </c>
      <c r="E491" s="23" t="s">
        <v>32</v>
      </c>
      <c r="F491" s="59">
        <v>2011</v>
      </c>
      <c r="G491" s="23" t="s">
        <v>33</v>
      </c>
      <c r="H491" s="60" t="str">
        <f t="shared" si="87"/>
        <v xml:space="preserve">   </v>
      </c>
      <c r="I491" s="60">
        <f t="shared" si="88"/>
        <v>42329</v>
      </c>
      <c r="J491" s="1239">
        <v>1250000</v>
      </c>
      <c r="K491" s="1194"/>
      <c r="L491" s="1178">
        <v>3000000</v>
      </c>
      <c r="M491" s="1124">
        <v>41092</v>
      </c>
      <c r="N491" s="1178">
        <v>3000000</v>
      </c>
      <c r="O491" s="1124">
        <v>40947</v>
      </c>
      <c r="P491" s="1178">
        <v>3000000</v>
      </c>
      <c r="Q491" s="1124">
        <v>41427</v>
      </c>
      <c r="R491" s="1178">
        <v>3000000</v>
      </c>
      <c r="S491" s="1124" t="s">
        <v>648</v>
      </c>
      <c r="T491" s="1188">
        <v>3000000</v>
      </c>
      <c r="U491" s="1124" t="s">
        <v>840</v>
      </c>
      <c r="V491" s="1178">
        <v>3000000</v>
      </c>
      <c r="W491" s="1124" t="s">
        <v>840</v>
      </c>
      <c r="X491" s="1312"/>
      <c r="Y491" s="1263" t="s">
        <v>276</v>
      </c>
      <c r="Z491" s="1306"/>
      <c r="AA491" s="1146"/>
      <c r="AB491" s="1205">
        <v>1000000</v>
      </c>
      <c r="AC491" s="1124" t="s">
        <v>840</v>
      </c>
      <c r="AD491" s="1157"/>
      <c r="AE491" s="1272"/>
      <c r="AF491" s="1157"/>
      <c r="AG491" s="1158"/>
      <c r="AH491" s="1232" t="str">
        <f t="shared" si="98"/>
        <v>PI</v>
      </c>
      <c r="AI491" s="747">
        <f t="shared" si="102"/>
        <v>20250000</v>
      </c>
      <c r="AJ491" s="747">
        <f t="shared" si="103"/>
        <v>20250000</v>
      </c>
      <c r="AK491" s="747">
        <f t="shared" si="104"/>
        <v>0</v>
      </c>
      <c r="AL491" s="1170"/>
      <c r="AM491" s="1170"/>
      <c r="AN491" s="1209"/>
      <c r="AO491" s="1170"/>
      <c r="AP491" s="1209"/>
      <c r="AQ491" s="1128"/>
      <c r="AR491" s="1173"/>
      <c r="AT491" s="1173"/>
      <c r="AV491" s="1173"/>
      <c r="AX491" s="1173"/>
      <c r="AY491" s="1176"/>
      <c r="AZ491" s="1173"/>
    </row>
    <row r="492" spans="1:52" s="2" customFormat="1" x14ac:dyDescent="0.25">
      <c r="A492" s="19">
        <v>468</v>
      </c>
      <c r="B492" s="59">
        <v>89</v>
      </c>
      <c r="C492" s="40">
        <v>83911016</v>
      </c>
      <c r="D492" s="39" t="s">
        <v>841</v>
      </c>
      <c r="E492" s="23" t="s">
        <v>32</v>
      </c>
      <c r="F492" s="59">
        <v>2011</v>
      </c>
      <c r="G492" s="23" t="s">
        <v>33</v>
      </c>
      <c r="H492" s="60" t="str">
        <f t="shared" ref="H492:H555" si="105">IFERROR(VLOOKUP(C492,Tlus,3,FALSE),"   ")</f>
        <v xml:space="preserve">   </v>
      </c>
      <c r="I492" s="60">
        <f t="shared" ref="I492:I555" si="106">IFERROR(VLOOKUP(C492,Wis,4,FALSE),"   ")</f>
        <v>41640</v>
      </c>
      <c r="J492" s="1239">
        <v>1250000</v>
      </c>
      <c r="K492" s="1194"/>
      <c r="L492" s="1178">
        <v>3000000</v>
      </c>
      <c r="M492" s="1124" t="s">
        <v>689</v>
      </c>
      <c r="N492" s="1178">
        <v>3000000</v>
      </c>
      <c r="O492" s="1124">
        <v>40976</v>
      </c>
      <c r="P492" s="1178">
        <v>3000000</v>
      </c>
      <c r="Q492" s="1124">
        <v>41457</v>
      </c>
      <c r="R492" s="1178">
        <v>3000000</v>
      </c>
      <c r="S492" s="1124" t="s">
        <v>842</v>
      </c>
      <c r="T492" s="1188">
        <v>3000000</v>
      </c>
      <c r="U492" s="1124">
        <v>41735</v>
      </c>
      <c r="V492" s="1130"/>
      <c r="W492" s="1263" t="s">
        <v>276</v>
      </c>
      <c r="X492" s="1260"/>
      <c r="Y492" s="1196"/>
      <c r="Z492" s="1306"/>
      <c r="AA492" s="1146"/>
      <c r="AB492" s="1314"/>
      <c r="AC492" s="1258"/>
      <c r="AD492" s="1157"/>
      <c r="AE492" s="1272"/>
      <c r="AF492" s="1157"/>
      <c r="AG492" s="1278"/>
      <c r="AH492" s="1232" t="str">
        <f t="shared" si="98"/>
        <v>PI</v>
      </c>
      <c r="AI492" s="747">
        <f t="shared" si="102"/>
        <v>16250000</v>
      </c>
      <c r="AJ492" s="747">
        <f t="shared" si="103"/>
        <v>17250000</v>
      </c>
      <c r="AK492" s="747">
        <f t="shared" si="104"/>
        <v>1000000</v>
      </c>
      <c r="AL492" s="1170"/>
      <c r="AM492" s="1170"/>
      <c r="AN492" s="1209"/>
      <c r="AO492" s="1170"/>
      <c r="AP492" s="1209"/>
      <c r="AQ492" s="1128"/>
      <c r="AR492" s="1173"/>
      <c r="AT492" s="1173"/>
      <c r="AV492" s="1173"/>
      <c r="AX492" s="1173"/>
      <c r="AY492" s="1176"/>
      <c r="AZ492" s="1173"/>
    </row>
    <row r="493" spans="1:52" s="2" customFormat="1" x14ac:dyDescent="0.25">
      <c r="A493" s="19">
        <v>469</v>
      </c>
      <c r="B493" s="59">
        <v>90</v>
      </c>
      <c r="C493" s="40">
        <v>83911020</v>
      </c>
      <c r="D493" s="39" t="s">
        <v>843</v>
      </c>
      <c r="E493" s="23" t="s">
        <v>32</v>
      </c>
      <c r="F493" s="59">
        <v>2011</v>
      </c>
      <c r="G493" s="23" t="s">
        <v>33</v>
      </c>
      <c r="H493" s="60" t="str">
        <f t="shared" si="105"/>
        <v xml:space="preserve">   </v>
      </c>
      <c r="I493" s="60">
        <f t="shared" si="106"/>
        <v>41640</v>
      </c>
      <c r="J493" s="1239">
        <v>1250000</v>
      </c>
      <c r="K493" s="1194"/>
      <c r="L493" s="1178">
        <v>3000000</v>
      </c>
      <c r="M493" s="1124">
        <v>40970</v>
      </c>
      <c r="N493" s="1178">
        <v>3000000</v>
      </c>
      <c r="O493" s="1124">
        <v>40976</v>
      </c>
      <c r="P493" s="1178">
        <v>3000000</v>
      </c>
      <c r="Q493" s="1124" t="s">
        <v>844</v>
      </c>
      <c r="R493" s="1178">
        <v>3000000</v>
      </c>
      <c r="S493" s="1124" t="s">
        <v>845</v>
      </c>
      <c r="T493" s="1188">
        <v>3000000</v>
      </c>
      <c r="U493" s="1124" t="s">
        <v>846</v>
      </c>
      <c r="V493" s="1312"/>
      <c r="W493" s="1263" t="s">
        <v>276</v>
      </c>
      <c r="X493" s="1260"/>
      <c r="Y493" s="1196"/>
      <c r="Z493" s="1260"/>
      <c r="AA493" s="1196"/>
      <c r="AB493" s="1195"/>
      <c r="AC493" s="1196" t="s">
        <v>262</v>
      </c>
      <c r="AD493" s="1197"/>
      <c r="AE493" s="1247"/>
      <c r="AF493" s="1197"/>
      <c r="AG493" s="1158"/>
      <c r="AH493" s="1232" t="str">
        <f t="shared" si="98"/>
        <v>PI</v>
      </c>
      <c r="AI493" s="747">
        <f t="shared" si="102"/>
        <v>16250000</v>
      </c>
      <c r="AJ493" s="747">
        <f t="shared" si="103"/>
        <v>17250000</v>
      </c>
      <c r="AK493" s="747">
        <f t="shared" si="104"/>
        <v>1000000</v>
      </c>
      <c r="AL493" s="1170"/>
      <c r="AM493" s="1170"/>
      <c r="AN493" s="1209"/>
      <c r="AO493" s="1170"/>
      <c r="AP493" s="1209"/>
      <c r="AQ493" s="1128"/>
      <c r="AR493" s="1173"/>
      <c r="AT493" s="1173"/>
      <c r="AV493" s="1173"/>
      <c r="AX493" s="1173"/>
      <c r="AY493" s="1176"/>
      <c r="AZ493" s="1173"/>
    </row>
    <row r="494" spans="1:52" s="2" customFormat="1" x14ac:dyDescent="0.25">
      <c r="A494" s="19">
        <v>470</v>
      </c>
      <c r="B494" s="59">
        <v>91</v>
      </c>
      <c r="C494" s="40">
        <v>83911024</v>
      </c>
      <c r="D494" s="97" t="s">
        <v>847</v>
      </c>
      <c r="E494" s="23" t="s">
        <v>848</v>
      </c>
      <c r="F494" s="59">
        <v>2011</v>
      </c>
      <c r="G494" s="23" t="s">
        <v>33</v>
      </c>
      <c r="H494" s="60">
        <f t="shared" si="105"/>
        <v>42782</v>
      </c>
      <c r="I494" s="60" t="str">
        <f t="shared" si="106"/>
        <v xml:space="preserve">   </v>
      </c>
      <c r="J494" s="1239">
        <v>1250000</v>
      </c>
      <c r="K494" s="1194"/>
      <c r="L494" s="1178">
        <v>3000000</v>
      </c>
      <c r="M494" s="1124" t="s">
        <v>695</v>
      </c>
      <c r="N494" s="1178">
        <v>3000000</v>
      </c>
      <c r="O494" s="1124">
        <v>40947</v>
      </c>
      <c r="P494" s="1178">
        <v>3000000</v>
      </c>
      <c r="Q494" s="1124">
        <v>41396</v>
      </c>
      <c r="R494" s="1178">
        <v>3000000</v>
      </c>
      <c r="S494" s="1124">
        <v>41313</v>
      </c>
      <c r="T494" s="1224"/>
      <c r="U494" s="1144" t="s">
        <v>137</v>
      </c>
      <c r="V494" s="1312"/>
      <c r="W494" s="1144" t="s">
        <v>137</v>
      </c>
      <c r="X494" s="1178">
        <v>3000000</v>
      </c>
      <c r="Y494" s="1124" t="s">
        <v>849</v>
      </c>
      <c r="Z494" s="1178">
        <v>3000000</v>
      </c>
      <c r="AA494" s="1124" t="s">
        <v>849</v>
      </c>
      <c r="AB494" s="1205">
        <v>1000000</v>
      </c>
      <c r="AC494" s="1124" t="s">
        <v>849</v>
      </c>
      <c r="AD494" s="1315">
        <v>3000000</v>
      </c>
      <c r="AE494" s="1206">
        <v>42950</v>
      </c>
      <c r="AF494" s="1271" t="s">
        <v>276</v>
      </c>
      <c r="AG494" s="1278"/>
      <c r="AH494" s="1232" t="str">
        <f t="shared" si="98"/>
        <v>HK</v>
      </c>
      <c r="AI494" s="747">
        <f t="shared" si="102"/>
        <v>23250000</v>
      </c>
      <c r="AJ494" s="747">
        <f t="shared" si="103"/>
        <v>23250000</v>
      </c>
      <c r="AK494" s="747">
        <f t="shared" si="104"/>
        <v>0</v>
      </c>
      <c r="AL494" s="1170"/>
      <c r="AM494" s="1170"/>
      <c r="AN494" s="1209"/>
      <c r="AO494" s="1170"/>
      <c r="AP494" s="1209"/>
      <c r="AQ494" s="1128"/>
      <c r="AR494" s="1173"/>
      <c r="AT494" s="1173"/>
      <c r="AV494" s="1173"/>
      <c r="AX494" s="1173"/>
      <c r="AY494" s="1176"/>
      <c r="AZ494" s="1173"/>
    </row>
    <row r="495" spans="1:52" s="2" customFormat="1" x14ac:dyDescent="0.25">
      <c r="A495" s="19">
        <v>471</v>
      </c>
      <c r="B495" s="80">
        <v>92</v>
      </c>
      <c r="C495" s="38"/>
      <c r="D495" s="37" t="s">
        <v>850</v>
      </c>
      <c r="E495" s="28" t="s">
        <v>32</v>
      </c>
      <c r="F495" s="57">
        <v>2011</v>
      </c>
      <c r="G495" s="28"/>
      <c r="H495" s="58" t="str">
        <f t="shared" si="105"/>
        <v xml:space="preserve">   </v>
      </c>
      <c r="I495" s="58" t="str">
        <f t="shared" si="106"/>
        <v xml:space="preserve">   </v>
      </c>
      <c r="J495" s="1239">
        <v>1250000</v>
      </c>
      <c r="K495" s="1194"/>
      <c r="L495" s="1130">
        <v>3000000</v>
      </c>
      <c r="M495" s="1126">
        <v>40970</v>
      </c>
      <c r="N495" s="1130">
        <v>3000000</v>
      </c>
      <c r="O495" s="1126">
        <v>41098</v>
      </c>
      <c r="P495" s="1130">
        <v>3000000</v>
      </c>
      <c r="Q495" s="1126">
        <v>41366</v>
      </c>
      <c r="R495" s="1130">
        <v>3000000</v>
      </c>
      <c r="S495" s="1126" t="s">
        <v>648</v>
      </c>
      <c r="T495" s="1145"/>
      <c r="U495" s="1126"/>
      <c r="V495" s="1130"/>
      <c r="W495" s="1126"/>
      <c r="X495" s="1260"/>
      <c r="Y495" s="1196"/>
      <c r="Z495" s="1260"/>
      <c r="AA495" s="1196"/>
      <c r="AB495" s="1205">
        <v>1000000</v>
      </c>
      <c r="AC495" s="1124" t="s">
        <v>708</v>
      </c>
      <c r="AD495" s="1157"/>
      <c r="AE495" s="1247"/>
      <c r="AF495" s="1157"/>
      <c r="AG495" s="1158"/>
      <c r="AH495" s="1232" t="str">
        <f t="shared" si="98"/>
        <v>PI</v>
      </c>
      <c r="AI495" s="747">
        <f t="shared" si="102"/>
        <v>14250000</v>
      </c>
      <c r="AJ495" s="747">
        <f t="shared" si="103"/>
        <v>14250000</v>
      </c>
      <c r="AK495" s="747">
        <f t="shared" si="104"/>
        <v>0</v>
      </c>
      <c r="AL495" s="1170"/>
      <c r="AM495" s="1170"/>
      <c r="AN495" s="1209"/>
      <c r="AO495" s="1170"/>
      <c r="AP495" s="1209"/>
      <c r="AQ495" s="1128"/>
      <c r="AR495" s="1173"/>
      <c r="AT495" s="1173"/>
      <c r="AV495" s="1173"/>
      <c r="AX495" s="1173"/>
      <c r="AY495" s="1176"/>
      <c r="AZ495" s="1173"/>
    </row>
    <row r="496" spans="1:52" s="2" customFormat="1" x14ac:dyDescent="0.25">
      <c r="A496" s="19">
        <v>472</v>
      </c>
      <c r="B496" s="59">
        <v>93</v>
      </c>
      <c r="C496" s="40">
        <v>83911013</v>
      </c>
      <c r="D496" s="39" t="s">
        <v>851</v>
      </c>
      <c r="E496" s="23" t="s">
        <v>32</v>
      </c>
      <c r="F496" s="59">
        <v>2011</v>
      </c>
      <c r="G496" s="23" t="s">
        <v>33</v>
      </c>
      <c r="H496" s="60" t="str">
        <f t="shared" si="105"/>
        <v xml:space="preserve">   </v>
      </c>
      <c r="I496" s="60">
        <f t="shared" si="106"/>
        <v>42504</v>
      </c>
      <c r="J496" s="1239">
        <v>1250000</v>
      </c>
      <c r="K496" s="1194"/>
      <c r="L496" s="1178">
        <v>3000000</v>
      </c>
      <c r="M496" s="1124">
        <v>41062</v>
      </c>
      <c r="N496" s="1178">
        <v>3000000</v>
      </c>
      <c r="O496" s="1124" t="s">
        <v>290</v>
      </c>
      <c r="P496" s="1178">
        <v>3000000</v>
      </c>
      <c r="Q496" s="1124">
        <v>41488</v>
      </c>
      <c r="R496" s="1178">
        <v>3000000</v>
      </c>
      <c r="S496" s="1124" t="s">
        <v>652</v>
      </c>
      <c r="T496" s="1188">
        <v>3000000</v>
      </c>
      <c r="U496" s="1124" t="s">
        <v>852</v>
      </c>
      <c r="V496" s="1178">
        <v>3000000</v>
      </c>
      <c r="W496" s="1124" t="s">
        <v>853</v>
      </c>
      <c r="X496" s="1312"/>
      <c r="Y496" s="1263" t="s">
        <v>276</v>
      </c>
      <c r="Z496" s="1260"/>
      <c r="AA496" s="1196"/>
      <c r="AB496" s="1275">
        <v>1000000</v>
      </c>
      <c r="AC496" s="1251" t="s">
        <v>854</v>
      </c>
      <c r="AD496" s="1157"/>
      <c r="AE496" s="1247"/>
      <c r="AF496" s="1157"/>
      <c r="AG496" s="1278"/>
      <c r="AH496" s="1232" t="str">
        <f t="shared" si="98"/>
        <v>PI</v>
      </c>
      <c r="AI496" s="747">
        <f t="shared" si="102"/>
        <v>20250000</v>
      </c>
      <c r="AJ496" s="747">
        <f t="shared" si="103"/>
        <v>20250000</v>
      </c>
      <c r="AK496" s="747">
        <f t="shared" si="104"/>
        <v>0</v>
      </c>
      <c r="AL496" s="1170"/>
      <c r="AM496" s="1170"/>
      <c r="AN496" s="1209"/>
      <c r="AO496" s="1170"/>
      <c r="AP496" s="1209"/>
      <c r="AQ496" s="1128"/>
      <c r="AR496" s="1173"/>
      <c r="AT496" s="1173"/>
      <c r="AV496" s="1173"/>
      <c r="AX496" s="1173"/>
      <c r="AY496" s="1176"/>
      <c r="AZ496" s="1173"/>
    </row>
    <row r="497" spans="1:52" s="2" customFormat="1" x14ac:dyDescent="0.25">
      <c r="A497" s="19">
        <v>473</v>
      </c>
      <c r="B497" s="59">
        <v>94</v>
      </c>
      <c r="C497" s="40">
        <v>83911030</v>
      </c>
      <c r="D497" s="39" t="s">
        <v>855</v>
      </c>
      <c r="E497" s="23" t="s">
        <v>32</v>
      </c>
      <c r="F497" s="59">
        <v>2011</v>
      </c>
      <c r="G497" s="23" t="s">
        <v>33</v>
      </c>
      <c r="H497" s="60" t="str">
        <f t="shared" si="105"/>
        <v xml:space="preserve">   </v>
      </c>
      <c r="I497" s="60">
        <f t="shared" si="106"/>
        <v>42329</v>
      </c>
      <c r="J497" s="1239"/>
      <c r="K497" s="1194"/>
      <c r="L497" s="1178">
        <f>3000000+1250000</f>
        <v>4250000</v>
      </c>
      <c r="M497" s="1124">
        <v>40972</v>
      </c>
      <c r="N497" s="1178">
        <v>3000000</v>
      </c>
      <c r="O497" s="1124">
        <v>40976</v>
      </c>
      <c r="P497" s="1178">
        <v>3000000</v>
      </c>
      <c r="Q497" s="1124">
        <v>41488</v>
      </c>
      <c r="R497" s="1178">
        <v>3000000</v>
      </c>
      <c r="S497" s="1124">
        <v>41313</v>
      </c>
      <c r="T497" s="1188">
        <v>3000000</v>
      </c>
      <c r="U497" s="1124">
        <v>42099</v>
      </c>
      <c r="V497" s="1178">
        <v>3000000</v>
      </c>
      <c r="W497" s="1124">
        <v>42099</v>
      </c>
      <c r="X497" s="1178">
        <v>3000000</v>
      </c>
      <c r="Y497" s="1124">
        <v>42099</v>
      </c>
      <c r="Z497" s="1259" t="s">
        <v>276</v>
      </c>
      <c r="AA497" s="1146"/>
      <c r="AB497" s="1275">
        <v>1000000</v>
      </c>
      <c r="AC497" s="1251"/>
      <c r="AD497" s="1157"/>
      <c r="AE497" s="1272">
        <v>42311</v>
      </c>
      <c r="AF497" s="1157"/>
      <c r="AG497" s="1278"/>
      <c r="AH497" s="1232" t="str">
        <f t="shared" si="98"/>
        <v>PI</v>
      </c>
      <c r="AI497" s="747">
        <f t="shared" si="102"/>
        <v>23250000</v>
      </c>
      <c r="AJ497" s="747">
        <f t="shared" si="103"/>
        <v>23250000</v>
      </c>
      <c r="AK497" s="747">
        <f t="shared" si="104"/>
        <v>0</v>
      </c>
      <c r="AL497" s="1170"/>
      <c r="AM497" s="1170"/>
      <c r="AN497" s="1209"/>
      <c r="AO497" s="1170"/>
      <c r="AP497" s="1209"/>
      <c r="AQ497" s="1128"/>
      <c r="AR497" s="1173"/>
      <c r="AT497" s="1173"/>
      <c r="AV497" s="1173"/>
      <c r="AX497" s="1173"/>
      <c r="AY497" s="1176"/>
      <c r="AZ497" s="1173"/>
    </row>
    <row r="498" spans="1:52" s="2" customFormat="1" x14ac:dyDescent="0.25">
      <c r="A498" s="19">
        <v>474</v>
      </c>
      <c r="B498" s="59">
        <v>95</v>
      </c>
      <c r="C498" s="40">
        <v>83911011</v>
      </c>
      <c r="D498" s="39" t="s">
        <v>856</v>
      </c>
      <c r="E498" s="23" t="s">
        <v>32</v>
      </c>
      <c r="F498" s="59">
        <v>2011</v>
      </c>
      <c r="G498" s="23" t="s">
        <v>33</v>
      </c>
      <c r="H498" s="60" t="str">
        <f t="shared" si="105"/>
        <v xml:space="preserve">   </v>
      </c>
      <c r="I498" s="60">
        <f t="shared" si="106"/>
        <v>41640</v>
      </c>
      <c r="J498" s="1239">
        <v>1250000</v>
      </c>
      <c r="K498" s="1194"/>
      <c r="L498" s="1178">
        <v>3000000</v>
      </c>
      <c r="M498" s="1124">
        <v>40910</v>
      </c>
      <c r="N498" s="1178">
        <v>3000000</v>
      </c>
      <c r="O498" s="1124" t="s">
        <v>290</v>
      </c>
      <c r="P498" s="1178">
        <v>3000000</v>
      </c>
      <c r="Q498" s="1124">
        <v>41457</v>
      </c>
      <c r="R498" s="1178">
        <v>3000000</v>
      </c>
      <c r="S498" s="1124">
        <v>41282</v>
      </c>
      <c r="T498" s="1224"/>
      <c r="U498" s="1263" t="s">
        <v>276</v>
      </c>
      <c r="V498" s="1260"/>
      <c r="W498" s="1196"/>
      <c r="X498" s="1260"/>
      <c r="Y498" s="1196"/>
      <c r="Z498" s="1260"/>
      <c r="AA498" s="1196"/>
      <c r="AB498" s="1205">
        <v>1000000</v>
      </c>
      <c r="AC498" s="1124" t="s">
        <v>816</v>
      </c>
      <c r="AD498" s="1197"/>
      <c r="AE498" s="1158"/>
      <c r="AF498" s="1157"/>
      <c r="AG498" s="1158"/>
      <c r="AH498" s="1232" t="str">
        <f t="shared" si="98"/>
        <v>PI</v>
      </c>
      <c r="AI498" s="747">
        <f t="shared" ref="AI498:AI515" si="107">SUM(J498,L498,N498,P498,R498,T498,V498,X498,Z498,AB498,AD498,AF498)</f>
        <v>14250000</v>
      </c>
      <c r="AJ498" s="747">
        <f t="shared" ref="AJ498:AJ515" si="108">(COUNT(L498,N498,P498,R498,T498,V498,X498,Z498,AD498,AF498)*$L$403)+($J$403+$AB$403)</f>
        <v>14250000</v>
      </c>
      <c r="AK498" s="747">
        <f t="shared" ref="AK498:AK515" si="109">AJ498-AI498</f>
        <v>0</v>
      </c>
      <c r="AL498" s="1170"/>
      <c r="AM498" s="1170"/>
      <c r="AN498" s="1209"/>
      <c r="AO498" s="1170"/>
      <c r="AP498" s="1209"/>
      <c r="AQ498" s="1128"/>
      <c r="AR498" s="1173"/>
      <c r="AT498" s="1173"/>
      <c r="AV498" s="1173"/>
      <c r="AX498" s="1173"/>
      <c r="AY498" s="1176"/>
      <c r="AZ498" s="1173"/>
    </row>
    <row r="499" spans="1:52" s="2" customFormat="1" x14ac:dyDescent="0.25">
      <c r="A499" s="19">
        <v>475</v>
      </c>
      <c r="B499" s="59">
        <v>96</v>
      </c>
      <c r="C499" s="40">
        <v>83911029</v>
      </c>
      <c r="D499" s="39" t="s">
        <v>857</v>
      </c>
      <c r="E499" s="23" t="s">
        <v>32</v>
      </c>
      <c r="F499" s="59">
        <v>2011</v>
      </c>
      <c r="G499" s="23" t="s">
        <v>33</v>
      </c>
      <c r="H499" s="60" t="str">
        <f t="shared" si="105"/>
        <v xml:space="preserve">   </v>
      </c>
      <c r="I499" s="60">
        <f t="shared" si="106"/>
        <v>41640</v>
      </c>
      <c r="J499" s="1239"/>
      <c r="K499" s="1194"/>
      <c r="L499" s="1178"/>
      <c r="M499" s="1124"/>
      <c r="N499" s="1178">
        <v>3000000</v>
      </c>
      <c r="O499" s="1124" t="s">
        <v>90</v>
      </c>
      <c r="P499" s="1178">
        <v>3000000</v>
      </c>
      <c r="Q499" s="1124">
        <v>41457</v>
      </c>
      <c r="R499" s="1178">
        <v>3000000</v>
      </c>
      <c r="S499" s="1124">
        <v>41313</v>
      </c>
      <c r="T499" s="1188">
        <v>3000000</v>
      </c>
      <c r="U499" s="1124">
        <v>42923</v>
      </c>
      <c r="V499" s="1312"/>
      <c r="W499" s="1263" t="s">
        <v>276</v>
      </c>
      <c r="X499" s="1240"/>
      <c r="Y499" s="1196"/>
      <c r="Z499" s="1240"/>
      <c r="AA499" s="1196"/>
      <c r="AB499" s="1205">
        <v>1000000</v>
      </c>
      <c r="AC499" s="1124">
        <v>41827</v>
      </c>
      <c r="AD499" s="1246"/>
      <c r="AE499" s="1247"/>
      <c r="AF499" s="1246"/>
      <c r="AG499" s="1158"/>
      <c r="AH499" s="1232" t="str">
        <f t="shared" si="98"/>
        <v>PI</v>
      </c>
      <c r="AI499" s="747">
        <f t="shared" si="107"/>
        <v>13000000</v>
      </c>
      <c r="AJ499" s="747">
        <f t="shared" si="108"/>
        <v>14250000</v>
      </c>
      <c r="AK499" s="747">
        <f t="shared" si="109"/>
        <v>1250000</v>
      </c>
      <c r="AL499" s="1170"/>
      <c r="AM499" s="1170"/>
      <c r="AN499" s="1209"/>
      <c r="AO499" s="1170"/>
      <c r="AP499" s="1209"/>
      <c r="AQ499" s="1128"/>
      <c r="AR499" s="1173"/>
      <c r="AT499" s="1173"/>
      <c r="AV499" s="1173"/>
      <c r="AX499" s="1173"/>
      <c r="AY499" s="1176"/>
      <c r="AZ499" s="1173"/>
    </row>
    <row r="500" spans="1:52" s="2" customFormat="1" x14ac:dyDescent="0.25">
      <c r="A500" s="19">
        <v>476</v>
      </c>
      <c r="B500" s="59">
        <v>97</v>
      </c>
      <c r="C500" s="40">
        <v>83911014</v>
      </c>
      <c r="D500" s="39" t="s">
        <v>858</v>
      </c>
      <c r="E500" s="23" t="s">
        <v>32</v>
      </c>
      <c r="F500" s="59">
        <v>2011</v>
      </c>
      <c r="G500" s="23" t="s">
        <v>33</v>
      </c>
      <c r="H500" s="60" t="str">
        <f t="shared" si="105"/>
        <v xml:space="preserve">   </v>
      </c>
      <c r="I500" s="60">
        <f t="shared" si="106"/>
        <v>41640</v>
      </c>
      <c r="J500" s="1239">
        <v>1250000</v>
      </c>
      <c r="K500" s="1194"/>
      <c r="L500" s="1178">
        <v>3000000</v>
      </c>
      <c r="M500" s="1124">
        <v>40910</v>
      </c>
      <c r="N500" s="1178">
        <v>3000000</v>
      </c>
      <c r="O500" s="1124">
        <v>40916</v>
      </c>
      <c r="P500" s="1178">
        <v>3000000</v>
      </c>
      <c r="Q500" s="1124" t="s">
        <v>693</v>
      </c>
      <c r="R500" s="1178">
        <v>3000000</v>
      </c>
      <c r="S500" s="1124" t="s">
        <v>537</v>
      </c>
      <c r="T500" s="1224"/>
      <c r="U500" s="1263" t="s">
        <v>276</v>
      </c>
      <c r="V500" s="1238"/>
      <c r="W500" s="1126"/>
      <c r="X500" s="1240"/>
      <c r="Y500" s="1196"/>
      <c r="Z500" s="1240"/>
      <c r="AA500" s="1196"/>
      <c r="AB500" s="1205">
        <v>1000000</v>
      </c>
      <c r="AC500" s="1124" t="s">
        <v>816</v>
      </c>
      <c r="AD500" s="1246"/>
      <c r="AE500" s="1158"/>
      <c r="AF500" s="1243"/>
      <c r="AG500" s="1158"/>
      <c r="AH500" s="1232" t="str">
        <f t="shared" si="98"/>
        <v>PI</v>
      </c>
      <c r="AI500" s="747">
        <f t="shared" si="107"/>
        <v>14250000</v>
      </c>
      <c r="AJ500" s="747">
        <f t="shared" si="108"/>
        <v>14250000</v>
      </c>
      <c r="AK500" s="747">
        <f t="shared" si="109"/>
        <v>0</v>
      </c>
      <c r="AL500" s="1170"/>
      <c r="AM500" s="1170"/>
      <c r="AN500" s="1209"/>
      <c r="AO500" s="1170"/>
      <c r="AP500" s="1209"/>
      <c r="AQ500" s="1128"/>
      <c r="AR500" s="1173"/>
      <c r="AT500" s="1173"/>
      <c r="AV500" s="1173"/>
      <c r="AX500" s="1173"/>
      <c r="AY500" s="1176"/>
      <c r="AZ500" s="1173"/>
    </row>
    <row r="501" spans="1:52" s="2" customFormat="1" x14ac:dyDescent="0.25">
      <c r="A501" s="19">
        <v>477</v>
      </c>
      <c r="B501" s="59">
        <v>98</v>
      </c>
      <c r="C501" s="40">
        <v>83911028</v>
      </c>
      <c r="D501" s="39" t="s">
        <v>859</v>
      </c>
      <c r="E501" s="23" t="s">
        <v>32</v>
      </c>
      <c r="F501" s="59">
        <v>2011</v>
      </c>
      <c r="G501" s="23" t="s">
        <v>33</v>
      </c>
      <c r="H501" s="60" t="str">
        <f t="shared" si="105"/>
        <v xml:space="preserve">   </v>
      </c>
      <c r="I501" s="60">
        <f t="shared" si="106"/>
        <v>41640</v>
      </c>
      <c r="J501" s="1239">
        <v>1250000</v>
      </c>
      <c r="K501" s="1194"/>
      <c r="L501" s="1178">
        <v>3000000</v>
      </c>
      <c r="M501" s="1124">
        <v>40941</v>
      </c>
      <c r="N501" s="1178">
        <v>3000000</v>
      </c>
      <c r="O501" s="1124">
        <v>41129</v>
      </c>
      <c r="P501" s="1178">
        <v>3000000</v>
      </c>
      <c r="Q501" s="1124">
        <v>41488</v>
      </c>
      <c r="R501" s="1178">
        <v>3000000</v>
      </c>
      <c r="S501" s="1124">
        <v>41313</v>
      </c>
      <c r="T501" s="1188">
        <v>3000000</v>
      </c>
      <c r="U501" s="1124">
        <v>41006</v>
      </c>
      <c r="V501" s="1312"/>
      <c r="W501" s="1263" t="s">
        <v>276</v>
      </c>
      <c r="X501" s="1240"/>
      <c r="Y501" s="1196"/>
      <c r="Z501" s="1240"/>
      <c r="AA501" s="1196"/>
      <c r="AB501" s="1205">
        <v>1000000</v>
      </c>
      <c r="AC501" s="1124">
        <v>41827</v>
      </c>
      <c r="AD501" s="1246"/>
      <c r="AE501" s="1158"/>
      <c r="AF501" s="1243"/>
      <c r="AG501" s="1158"/>
      <c r="AH501" s="1232" t="str">
        <f t="shared" si="98"/>
        <v>PI</v>
      </c>
      <c r="AI501" s="747">
        <f t="shared" si="107"/>
        <v>17250000</v>
      </c>
      <c r="AJ501" s="747">
        <f t="shared" si="108"/>
        <v>17250000</v>
      </c>
      <c r="AK501" s="747">
        <f t="shared" si="109"/>
        <v>0</v>
      </c>
      <c r="AL501" s="1170"/>
      <c r="AM501" s="1170"/>
      <c r="AN501" s="1209"/>
      <c r="AO501" s="1170"/>
      <c r="AP501" s="1209"/>
      <c r="AQ501" s="1128"/>
      <c r="AR501" s="1173"/>
      <c r="AT501" s="1173"/>
      <c r="AV501" s="1173"/>
      <c r="AX501" s="1173"/>
      <c r="AY501" s="1176"/>
      <c r="AZ501" s="1173"/>
    </row>
    <row r="502" spans="1:52" s="2" customFormat="1" x14ac:dyDescent="0.25">
      <c r="A502" s="19">
        <v>478</v>
      </c>
      <c r="B502" s="59">
        <v>99</v>
      </c>
      <c r="C502" s="40">
        <v>83911015</v>
      </c>
      <c r="D502" s="39" t="s">
        <v>860</v>
      </c>
      <c r="E502" s="23" t="s">
        <v>32</v>
      </c>
      <c r="F502" s="59">
        <v>2011</v>
      </c>
      <c r="G502" s="23" t="s">
        <v>33</v>
      </c>
      <c r="H502" s="60" t="str">
        <f t="shared" si="105"/>
        <v xml:space="preserve">   </v>
      </c>
      <c r="I502" s="60">
        <f t="shared" si="106"/>
        <v>41640</v>
      </c>
      <c r="J502" s="1239">
        <v>1250000</v>
      </c>
      <c r="K502" s="1194"/>
      <c r="L502" s="1178">
        <v>3000000</v>
      </c>
      <c r="M502" s="1124">
        <v>40941</v>
      </c>
      <c r="N502" s="1178">
        <v>3000000</v>
      </c>
      <c r="O502" s="1124" t="s">
        <v>290</v>
      </c>
      <c r="P502" s="1178">
        <v>3000000</v>
      </c>
      <c r="Q502" s="1124">
        <v>41457</v>
      </c>
      <c r="R502" s="1178">
        <v>3000000</v>
      </c>
      <c r="S502" s="1124" t="s">
        <v>648</v>
      </c>
      <c r="T502" s="1224"/>
      <c r="U502" s="1263" t="s">
        <v>276</v>
      </c>
      <c r="V502" s="1238"/>
      <c r="W502" s="1126"/>
      <c r="X502" s="1240"/>
      <c r="Y502" s="1196"/>
      <c r="Z502" s="1240"/>
      <c r="AA502" s="1196"/>
      <c r="AB502" s="1205">
        <v>1000000</v>
      </c>
      <c r="AC502" s="1124">
        <v>41590</v>
      </c>
      <c r="AD502" s="1246"/>
      <c r="AE502" s="1158"/>
      <c r="AF502" s="1243"/>
      <c r="AG502" s="1158"/>
      <c r="AH502" s="1232" t="str">
        <f t="shared" si="98"/>
        <v>PI</v>
      </c>
      <c r="AI502" s="747">
        <f t="shared" si="107"/>
        <v>14250000</v>
      </c>
      <c r="AJ502" s="747">
        <f t="shared" si="108"/>
        <v>14250000</v>
      </c>
      <c r="AK502" s="747">
        <f t="shared" si="109"/>
        <v>0</v>
      </c>
      <c r="AL502" s="1170"/>
      <c r="AM502" s="1170"/>
      <c r="AN502" s="1209"/>
      <c r="AO502" s="1170"/>
      <c r="AP502" s="1209"/>
      <c r="AQ502" s="1128"/>
      <c r="AR502" s="1173"/>
      <c r="AT502" s="1173"/>
      <c r="AV502" s="1173"/>
      <c r="AX502" s="1173"/>
      <c r="AY502" s="1176"/>
      <c r="AZ502" s="1173"/>
    </row>
    <row r="503" spans="1:52" s="2" customFormat="1" x14ac:dyDescent="0.25">
      <c r="A503" s="19">
        <v>479</v>
      </c>
      <c r="B503" s="59">
        <v>100</v>
      </c>
      <c r="C503" s="40"/>
      <c r="D503" s="39" t="s">
        <v>861</v>
      </c>
      <c r="E503" s="23" t="s">
        <v>32</v>
      </c>
      <c r="F503" s="59">
        <v>2011</v>
      </c>
      <c r="G503" s="23" t="s">
        <v>33</v>
      </c>
      <c r="H503" s="60" t="str">
        <f t="shared" si="105"/>
        <v xml:space="preserve">   </v>
      </c>
      <c r="I503" s="60" t="str">
        <f t="shared" si="106"/>
        <v xml:space="preserve">   </v>
      </c>
      <c r="J503" s="1239">
        <v>1250000</v>
      </c>
      <c r="K503" s="1194"/>
      <c r="L503" s="1178">
        <v>3000000</v>
      </c>
      <c r="M503" s="1124">
        <v>40941</v>
      </c>
      <c r="N503" s="1178">
        <v>3000000</v>
      </c>
      <c r="O503" s="1124">
        <v>40976</v>
      </c>
      <c r="P503" s="1178">
        <v>3000000</v>
      </c>
      <c r="Q503" s="1124">
        <v>41488</v>
      </c>
      <c r="R503" s="1178">
        <v>3000000</v>
      </c>
      <c r="S503" s="1124">
        <v>41313</v>
      </c>
      <c r="T503" s="1224"/>
      <c r="U503" s="1263" t="s">
        <v>276</v>
      </c>
      <c r="V503" s="1130"/>
      <c r="W503" s="1126"/>
      <c r="X503" s="1260"/>
      <c r="Y503" s="1196"/>
      <c r="Z503" s="1260"/>
      <c r="AA503" s="1196"/>
      <c r="AB503" s="1205">
        <v>1000000</v>
      </c>
      <c r="AC503" s="1124">
        <v>41955</v>
      </c>
      <c r="AD503" s="1197"/>
      <c r="AE503" s="1158"/>
      <c r="AF503" s="1157"/>
      <c r="AG503" s="1158"/>
      <c r="AH503" s="1232" t="str">
        <f t="shared" si="98"/>
        <v>PI</v>
      </c>
      <c r="AI503" s="747">
        <f t="shared" si="107"/>
        <v>14250000</v>
      </c>
      <c r="AJ503" s="747">
        <f t="shared" si="108"/>
        <v>14250000</v>
      </c>
      <c r="AK503" s="747">
        <f t="shared" si="109"/>
        <v>0</v>
      </c>
      <c r="AL503" s="1170"/>
      <c r="AM503" s="1170"/>
      <c r="AN503" s="1209"/>
      <c r="AO503" s="1170"/>
      <c r="AP503" s="1209"/>
      <c r="AQ503" s="1128"/>
      <c r="AR503" s="1173"/>
      <c r="AT503" s="1173"/>
      <c r="AV503" s="1173"/>
      <c r="AX503" s="1173"/>
      <c r="AY503" s="1176"/>
      <c r="AZ503" s="1173"/>
    </row>
    <row r="504" spans="1:52" s="2" customFormat="1" x14ac:dyDescent="0.25">
      <c r="A504" s="19">
        <v>480</v>
      </c>
      <c r="B504" s="59">
        <v>101</v>
      </c>
      <c r="C504" s="40">
        <v>83911006</v>
      </c>
      <c r="D504" s="39" t="s">
        <v>862</v>
      </c>
      <c r="E504" s="23" t="s">
        <v>32</v>
      </c>
      <c r="F504" s="59">
        <v>2011</v>
      </c>
      <c r="G504" s="23" t="s">
        <v>33</v>
      </c>
      <c r="H504" s="60" t="str">
        <f t="shared" si="105"/>
        <v xml:space="preserve">   </v>
      </c>
      <c r="I504" s="60">
        <f t="shared" si="106"/>
        <v>41640</v>
      </c>
      <c r="J504" s="1239">
        <v>1250000</v>
      </c>
      <c r="K504" s="1194"/>
      <c r="L504" s="1178">
        <v>3000000</v>
      </c>
      <c r="M504" s="1124" t="s">
        <v>689</v>
      </c>
      <c r="N504" s="1178">
        <v>3000000</v>
      </c>
      <c r="O504" s="1124" t="s">
        <v>190</v>
      </c>
      <c r="P504" s="1178">
        <v>3000000</v>
      </c>
      <c r="Q504" s="1124" t="s">
        <v>544</v>
      </c>
      <c r="R504" s="1178">
        <v>3000000</v>
      </c>
      <c r="S504" s="1124" t="s">
        <v>655</v>
      </c>
      <c r="T504" s="1188">
        <v>3000000</v>
      </c>
      <c r="U504" s="1124" t="s">
        <v>863</v>
      </c>
      <c r="V504" s="1312"/>
      <c r="W504" s="1263" t="s">
        <v>276</v>
      </c>
      <c r="X504" s="1240"/>
      <c r="Y504" s="1196"/>
      <c r="Z504" s="1240"/>
      <c r="AA504" s="1196"/>
      <c r="AB504" s="1205">
        <v>1000000</v>
      </c>
      <c r="AC504" s="1124" t="s">
        <v>864</v>
      </c>
      <c r="AD504" s="1246"/>
      <c r="AE504" s="1158"/>
      <c r="AF504" s="1243"/>
      <c r="AG504" s="1158"/>
      <c r="AH504" s="1232" t="str">
        <f t="shared" si="98"/>
        <v>PI</v>
      </c>
      <c r="AI504" s="747">
        <f t="shared" si="107"/>
        <v>17250000</v>
      </c>
      <c r="AJ504" s="747">
        <f t="shared" si="108"/>
        <v>17250000</v>
      </c>
      <c r="AK504" s="747">
        <f t="shared" si="109"/>
        <v>0</v>
      </c>
      <c r="AL504" s="1170"/>
      <c r="AM504" s="1170"/>
      <c r="AN504" s="1209"/>
      <c r="AO504" s="1170"/>
      <c r="AP504" s="1209"/>
      <c r="AQ504" s="1128"/>
      <c r="AR504" s="1173"/>
      <c r="AT504" s="1173"/>
      <c r="AV504" s="1173"/>
      <c r="AX504" s="1173"/>
      <c r="AY504" s="1176"/>
      <c r="AZ504" s="1173"/>
    </row>
    <row r="505" spans="1:52" s="2" customFormat="1" x14ac:dyDescent="0.25">
      <c r="A505" s="19">
        <v>481</v>
      </c>
      <c r="B505" s="59">
        <v>102</v>
      </c>
      <c r="C505" s="40">
        <v>83911026</v>
      </c>
      <c r="D505" s="39" t="s">
        <v>865</v>
      </c>
      <c r="E505" s="23" t="s">
        <v>32</v>
      </c>
      <c r="F505" s="59">
        <v>2011</v>
      </c>
      <c r="G505" s="23" t="s">
        <v>33</v>
      </c>
      <c r="H505" s="60" t="str">
        <f t="shared" si="105"/>
        <v xml:space="preserve">   </v>
      </c>
      <c r="I505" s="60">
        <f t="shared" si="106"/>
        <v>41640</v>
      </c>
      <c r="J505" s="1239">
        <v>1250000</v>
      </c>
      <c r="K505" s="1194"/>
      <c r="L505" s="1178">
        <v>3000000</v>
      </c>
      <c r="M505" s="1124">
        <v>40910</v>
      </c>
      <c r="N505" s="1178">
        <v>3000000</v>
      </c>
      <c r="O505" s="1124" t="s">
        <v>335</v>
      </c>
      <c r="P505" s="1178">
        <v>3000000</v>
      </c>
      <c r="Q505" s="1124" t="s">
        <v>693</v>
      </c>
      <c r="R505" s="1178">
        <v>3000000</v>
      </c>
      <c r="S505" s="1124">
        <v>41282</v>
      </c>
      <c r="T505" s="1188">
        <v>3000000</v>
      </c>
      <c r="U505" s="1124">
        <v>41827</v>
      </c>
      <c r="V505" s="1312"/>
      <c r="W505" s="1263" t="s">
        <v>276</v>
      </c>
      <c r="X505" s="1240"/>
      <c r="Y505" s="1196"/>
      <c r="Z505" s="1240"/>
      <c r="AA505" s="1196"/>
      <c r="AB505" s="1205">
        <v>1000000</v>
      </c>
      <c r="AC505" s="1124">
        <v>41827</v>
      </c>
      <c r="AD505" s="1246"/>
      <c r="AE505" s="1158"/>
      <c r="AF505" s="1243"/>
      <c r="AG505" s="1158"/>
      <c r="AH505" s="1232" t="str">
        <f t="shared" si="98"/>
        <v>PI</v>
      </c>
      <c r="AI505" s="747">
        <f t="shared" si="107"/>
        <v>17250000</v>
      </c>
      <c r="AJ505" s="747">
        <f t="shared" si="108"/>
        <v>17250000</v>
      </c>
      <c r="AK505" s="747">
        <f t="shared" si="109"/>
        <v>0</v>
      </c>
      <c r="AL505" s="1170"/>
      <c r="AM505" s="1170"/>
      <c r="AN505" s="1209"/>
      <c r="AO505" s="1170"/>
      <c r="AP505" s="1209"/>
      <c r="AQ505" s="1128"/>
      <c r="AR505" s="1173"/>
      <c r="AT505" s="1173"/>
      <c r="AV505" s="1173"/>
      <c r="AX505" s="1173"/>
      <c r="AY505" s="1176"/>
      <c r="AZ505" s="1173"/>
    </row>
    <row r="506" spans="1:52" s="2" customFormat="1" x14ac:dyDescent="0.25">
      <c r="A506" s="19">
        <v>482</v>
      </c>
      <c r="B506" s="59">
        <v>103</v>
      </c>
      <c r="C506" s="40">
        <v>83911007</v>
      </c>
      <c r="D506" s="39" t="s">
        <v>866</v>
      </c>
      <c r="E506" s="23" t="s">
        <v>32</v>
      </c>
      <c r="F506" s="59">
        <v>2011</v>
      </c>
      <c r="G506" s="23" t="s">
        <v>33</v>
      </c>
      <c r="H506" s="60" t="str">
        <f t="shared" si="105"/>
        <v xml:space="preserve">   </v>
      </c>
      <c r="I506" s="60">
        <f t="shared" si="106"/>
        <v>41640</v>
      </c>
      <c r="J506" s="1239">
        <v>1250000</v>
      </c>
      <c r="K506" s="1194"/>
      <c r="L506" s="1178">
        <v>3000000</v>
      </c>
      <c r="M506" s="1124">
        <v>40970</v>
      </c>
      <c r="N506" s="1178">
        <v>3000000</v>
      </c>
      <c r="O506" s="1124">
        <v>40976</v>
      </c>
      <c r="P506" s="1178">
        <v>3000000</v>
      </c>
      <c r="Q506" s="1124" t="s">
        <v>704</v>
      </c>
      <c r="R506" s="1178">
        <v>3000000</v>
      </c>
      <c r="S506" s="1124" t="s">
        <v>652</v>
      </c>
      <c r="T506" s="1188">
        <v>3000000</v>
      </c>
      <c r="U506" s="1124">
        <v>41827</v>
      </c>
      <c r="V506" s="1312"/>
      <c r="W506" s="1263" t="s">
        <v>276</v>
      </c>
      <c r="X506" s="1240"/>
      <c r="Y506" s="1196"/>
      <c r="Z506" s="1240"/>
      <c r="AA506" s="1196"/>
      <c r="AB506" s="1205">
        <v>1000000</v>
      </c>
      <c r="AC506" s="1124">
        <v>41827</v>
      </c>
      <c r="AD506" s="1246"/>
      <c r="AE506" s="1158"/>
      <c r="AF506" s="1243"/>
      <c r="AG506" s="1158"/>
      <c r="AH506" s="1232" t="str">
        <f t="shared" si="98"/>
        <v>PI</v>
      </c>
      <c r="AI506" s="747">
        <f t="shared" si="107"/>
        <v>17250000</v>
      </c>
      <c r="AJ506" s="747">
        <f t="shared" si="108"/>
        <v>17250000</v>
      </c>
      <c r="AK506" s="747">
        <f t="shared" si="109"/>
        <v>0</v>
      </c>
      <c r="AL506" s="1170"/>
      <c r="AM506" s="1170"/>
      <c r="AN506" s="1209"/>
      <c r="AO506" s="1170"/>
      <c r="AP506" s="1209"/>
      <c r="AQ506" s="1128"/>
      <c r="AR506" s="1173"/>
      <c r="AT506" s="1173"/>
      <c r="AV506" s="1173"/>
      <c r="AX506" s="1173"/>
      <c r="AY506" s="1176"/>
      <c r="AZ506" s="1173"/>
    </row>
    <row r="507" spans="1:52" s="2" customFormat="1" x14ac:dyDescent="0.25">
      <c r="A507" s="19">
        <v>483</v>
      </c>
      <c r="B507" s="59">
        <v>104</v>
      </c>
      <c r="C507" s="40">
        <v>83911004</v>
      </c>
      <c r="D507" s="39" t="s">
        <v>867</v>
      </c>
      <c r="E507" s="23" t="s">
        <v>32</v>
      </c>
      <c r="F507" s="59">
        <v>2011</v>
      </c>
      <c r="G507" s="23" t="s">
        <v>33</v>
      </c>
      <c r="H507" s="60" t="str">
        <f t="shared" si="105"/>
        <v xml:space="preserve">   </v>
      </c>
      <c r="I507" s="60">
        <f t="shared" si="106"/>
        <v>41640</v>
      </c>
      <c r="J507" s="1239">
        <v>1250000</v>
      </c>
      <c r="K507" s="1194"/>
      <c r="L507" s="1178">
        <v>3000000</v>
      </c>
      <c r="M507" s="1124">
        <v>40970</v>
      </c>
      <c r="N507" s="1178">
        <v>3000000</v>
      </c>
      <c r="O507" s="1124">
        <v>40947</v>
      </c>
      <c r="P507" s="1178">
        <v>3000000</v>
      </c>
      <c r="Q507" s="1124" t="s">
        <v>701</v>
      </c>
      <c r="R507" s="1178">
        <v>3000000</v>
      </c>
      <c r="S507" s="1124" t="s">
        <v>537</v>
      </c>
      <c r="T507" s="1188">
        <v>3000000</v>
      </c>
      <c r="U507" s="1124">
        <v>41827</v>
      </c>
      <c r="V507" s="1312"/>
      <c r="W507" s="1263" t="s">
        <v>276</v>
      </c>
      <c r="X507" s="1240"/>
      <c r="Y507" s="1196"/>
      <c r="Z507" s="1240"/>
      <c r="AA507" s="1196"/>
      <c r="AB507" s="1205">
        <v>1000000</v>
      </c>
      <c r="AC507" s="1124">
        <v>41827</v>
      </c>
      <c r="AD507" s="1246"/>
      <c r="AE507" s="1158"/>
      <c r="AF507" s="1243"/>
      <c r="AG507" s="1158"/>
      <c r="AH507" s="1232" t="str">
        <f t="shared" si="98"/>
        <v>PI</v>
      </c>
      <c r="AI507" s="747">
        <f t="shared" si="107"/>
        <v>17250000</v>
      </c>
      <c r="AJ507" s="747">
        <f t="shared" si="108"/>
        <v>17250000</v>
      </c>
      <c r="AK507" s="747">
        <f t="shared" si="109"/>
        <v>0</v>
      </c>
      <c r="AL507" s="1170"/>
      <c r="AM507" s="1170"/>
      <c r="AN507" s="1209"/>
      <c r="AO507" s="1170"/>
      <c r="AP507" s="1209"/>
      <c r="AQ507" s="1128"/>
      <c r="AR507" s="1173"/>
      <c r="AT507" s="1173"/>
      <c r="AV507" s="1173"/>
      <c r="AX507" s="1173"/>
      <c r="AY507" s="1176"/>
      <c r="AZ507" s="1173"/>
    </row>
    <row r="508" spans="1:52" s="2" customFormat="1" x14ac:dyDescent="0.25">
      <c r="A508" s="19">
        <v>484</v>
      </c>
      <c r="B508" s="59">
        <v>105</v>
      </c>
      <c r="C508" s="40">
        <v>83911012</v>
      </c>
      <c r="D508" s="39" t="s">
        <v>868</v>
      </c>
      <c r="E508" s="23" t="s">
        <v>32</v>
      </c>
      <c r="F508" s="59">
        <v>2011</v>
      </c>
      <c r="G508" s="23" t="s">
        <v>33</v>
      </c>
      <c r="H508" s="60" t="str">
        <f t="shared" si="105"/>
        <v xml:space="preserve">   </v>
      </c>
      <c r="I508" s="60">
        <f t="shared" si="106"/>
        <v>41640</v>
      </c>
      <c r="J508" s="1239">
        <v>1250000</v>
      </c>
      <c r="K508" s="1194"/>
      <c r="L508" s="1178">
        <v>3000000</v>
      </c>
      <c r="M508" s="1124" t="s">
        <v>695</v>
      </c>
      <c r="N508" s="1178">
        <v>3000000</v>
      </c>
      <c r="O508" s="1124"/>
      <c r="P508" s="1178">
        <v>3000000</v>
      </c>
      <c r="Q508" s="1124">
        <v>41396</v>
      </c>
      <c r="R508" s="1178">
        <v>3000000</v>
      </c>
      <c r="S508" s="1124" t="s">
        <v>697</v>
      </c>
      <c r="T508" s="1145"/>
      <c r="U508" s="1126"/>
      <c r="V508" s="1130"/>
      <c r="W508" s="1126"/>
      <c r="X508" s="1260"/>
      <c r="Y508" s="1196"/>
      <c r="Z508" s="1260"/>
      <c r="AA508" s="1196"/>
      <c r="AB508" s="1198">
        <v>1000000</v>
      </c>
      <c r="AC508" s="1126">
        <v>41436</v>
      </c>
      <c r="AD508" s="1197"/>
      <c r="AE508" s="1158"/>
      <c r="AF508" s="1157"/>
      <c r="AG508" s="1158"/>
      <c r="AH508" s="1232" t="str">
        <f t="shared" si="98"/>
        <v>PI</v>
      </c>
      <c r="AI508" s="747">
        <f t="shared" si="107"/>
        <v>14250000</v>
      </c>
      <c r="AJ508" s="747">
        <f t="shared" si="108"/>
        <v>14250000</v>
      </c>
      <c r="AK508" s="747">
        <f t="shared" si="109"/>
        <v>0</v>
      </c>
      <c r="AL508" s="1170"/>
      <c r="AM508" s="1170"/>
      <c r="AN508" s="1209"/>
      <c r="AO508" s="1170"/>
      <c r="AP508" s="1209"/>
      <c r="AQ508" s="1128"/>
      <c r="AR508" s="1173"/>
      <c r="AT508" s="1173"/>
      <c r="AV508" s="1173"/>
      <c r="AX508" s="1173"/>
      <c r="AY508" s="1176"/>
      <c r="AZ508" s="1173"/>
    </row>
    <row r="509" spans="1:52" s="2" customFormat="1" x14ac:dyDescent="0.25">
      <c r="A509" s="19">
        <v>485</v>
      </c>
      <c r="B509" s="59">
        <v>106</v>
      </c>
      <c r="C509" s="40">
        <v>83911023</v>
      </c>
      <c r="D509" s="39" t="s">
        <v>869</v>
      </c>
      <c r="E509" s="23" t="s">
        <v>32</v>
      </c>
      <c r="F509" s="59">
        <v>2011</v>
      </c>
      <c r="G509" s="23" t="s">
        <v>33</v>
      </c>
      <c r="H509" s="60" t="str">
        <f t="shared" si="105"/>
        <v xml:space="preserve">   </v>
      </c>
      <c r="I509" s="60">
        <f t="shared" si="106"/>
        <v>41640</v>
      </c>
      <c r="J509" s="1239">
        <v>1250000</v>
      </c>
      <c r="K509" s="1194"/>
      <c r="L509" s="1178">
        <v>3000000</v>
      </c>
      <c r="M509" s="1124" t="s">
        <v>90</v>
      </c>
      <c r="N509" s="1178"/>
      <c r="O509" s="1124"/>
      <c r="P509" s="1178">
        <v>3000000</v>
      </c>
      <c r="Q509" s="1124">
        <v>41580</v>
      </c>
      <c r="R509" s="1178">
        <v>3000000</v>
      </c>
      <c r="S509" s="1124" t="s">
        <v>697</v>
      </c>
      <c r="T509" s="1188">
        <v>3000000</v>
      </c>
      <c r="U509" s="1124" t="s">
        <v>870</v>
      </c>
      <c r="V509" s="1312"/>
      <c r="W509" s="1263" t="s">
        <v>276</v>
      </c>
      <c r="X509" s="1240"/>
      <c r="Y509" s="1196"/>
      <c r="Z509" s="1240"/>
      <c r="AA509" s="1196"/>
      <c r="AB509" s="1205">
        <v>1000000</v>
      </c>
      <c r="AC509" s="1124" t="s">
        <v>871</v>
      </c>
      <c r="AD509" s="1246"/>
      <c r="AE509" s="1158"/>
      <c r="AF509" s="1243"/>
      <c r="AG509" s="1158"/>
      <c r="AH509" s="1232" t="str">
        <f t="shared" si="98"/>
        <v>PI</v>
      </c>
      <c r="AI509" s="747">
        <f t="shared" si="107"/>
        <v>14250000</v>
      </c>
      <c r="AJ509" s="747">
        <f t="shared" si="108"/>
        <v>14250000</v>
      </c>
      <c r="AK509" s="747">
        <f t="shared" si="109"/>
        <v>0</v>
      </c>
      <c r="AL509" s="1170"/>
      <c r="AM509" s="1170"/>
      <c r="AN509" s="1209"/>
      <c r="AO509" s="1170"/>
      <c r="AP509" s="1209"/>
      <c r="AQ509" s="1128"/>
      <c r="AR509" s="1173"/>
      <c r="AT509" s="1173"/>
      <c r="AV509" s="1173"/>
      <c r="AX509" s="1173"/>
      <c r="AY509" s="1176"/>
      <c r="AZ509" s="1173"/>
    </row>
    <row r="510" spans="1:52" s="2" customFormat="1" x14ac:dyDescent="0.25">
      <c r="A510" s="19">
        <v>486</v>
      </c>
      <c r="B510" s="59">
        <v>107</v>
      </c>
      <c r="C510" s="40">
        <v>83911003</v>
      </c>
      <c r="D510" s="39" t="s">
        <v>872</v>
      </c>
      <c r="E510" s="23" t="s">
        <v>32</v>
      </c>
      <c r="F510" s="59">
        <v>2011</v>
      </c>
      <c r="G510" s="23" t="s">
        <v>33</v>
      </c>
      <c r="H510" s="60" t="str">
        <f t="shared" si="105"/>
        <v xml:space="preserve">   </v>
      </c>
      <c r="I510" s="60">
        <f t="shared" si="106"/>
        <v>41640</v>
      </c>
      <c r="J510" s="1239">
        <v>1250000</v>
      </c>
      <c r="K510" s="1194"/>
      <c r="L510" s="1178">
        <v>3000000</v>
      </c>
      <c r="M510" s="1124">
        <v>40941</v>
      </c>
      <c r="N510" s="1178">
        <v>3000000</v>
      </c>
      <c r="O510" s="1124">
        <v>40947</v>
      </c>
      <c r="P510" s="1178">
        <v>3000000</v>
      </c>
      <c r="Q510" s="1124">
        <v>41457</v>
      </c>
      <c r="R510" s="1178">
        <v>3000000</v>
      </c>
      <c r="S510" s="1124" t="s">
        <v>535</v>
      </c>
      <c r="T510" s="1188">
        <v>3000000</v>
      </c>
      <c r="U510" s="1124">
        <v>41705</v>
      </c>
      <c r="V510" s="1312"/>
      <c r="W510" s="1263" t="s">
        <v>276</v>
      </c>
      <c r="X510" s="1240"/>
      <c r="Y510" s="1196"/>
      <c r="Z510" s="1240"/>
      <c r="AA510" s="1196"/>
      <c r="AB510" s="1205">
        <v>1000000</v>
      </c>
      <c r="AC510" s="1124"/>
      <c r="AD510" s="1246"/>
      <c r="AE510" s="1158"/>
      <c r="AF510" s="1243"/>
      <c r="AG510" s="1158"/>
      <c r="AH510" s="1232" t="str">
        <f t="shared" si="98"/>
        <v>PI</v>
      </c>
      <c r="AI510" s="747">
        <f t="shared" si="107"/>
        <v>17250000</v>
      </c>
      <c r="AJ510" s="747">
        <f t="shared" si="108"/>
        <v>17250000</v>
      </c>
      <c r="AK510" s="747">
        <f t="shared" si="109"/>
        <v>0</v>
      </c>
      <c r="AL510" s="1170"/>
      <c r="AM510" s="1170"/>
      <c r="AN510" s="1209"/>
      <c r="AO510" s="1170"/>
      <c r="AP510" s="1209"/>
      <c r="AQ510" s="1128"/>
      <c r="AR510" s="1173"/>
      <c r="AT510" s="1173"/>
      <c r="AV510" s="1173"/>
      <c r="AX510" s="1173"/>
      <c r="AY510" s="1176"/>
      <c r="AZ510" s="1173"/>
    </row>
    <row r="511" spans="1:52" s="2" customFormat="1" x14ac:dyDescent="0.25">
      <c r="A511" s="19">
        <v>487</v>
      </c>
      <c r="B511" s="59">
        <v>108</v>
      </c>
      <c r="C511" s="40">
        <v>83911019</v>
      </c>
      <c r="D511" s="39" t="s">
        <v>873</v>
      </c>
      <c r="E511" s="23" t="s">
        <v>32</v>
      </c>
      <c r="F511" s="59">
        <v>2011</v>
      </c>
      <c r="G511" s="23" t="s">
        <v>33</v>
      </c>
      <c r="H511" s="60" t="str">
        <f t="shared" si="105"/>
        <v xml:space="preserve">   </v>
      </c>
      <c r="I511" s="60">
        <f t="shared" si="106"/>
        <v>41640</v>
      </c>
      <c r="J511" s="1239">
        <v>1250000</v>
      </c>
      <c r="K511" s="1194"/>
      <c r="L511" s="1178">
        <v>3000000</v>
      </c>
      <c r="M511" s="1124" t="s">
        <v>689</v>
      </c>
      <c r="N511" s="1178">
        <v>3000000</v>
      </c>
      <c r="O511" s="1124">
        <v>40976</v>
      </c>
      <c r="P511" s="1178">
        <v>3000000</v>
      </c>
      <c r="Q511" s="1124">
        <v>41457</v>
      </c>
      <c r="R511" s="1178">
        <v>3000000</v>
      </c>
      <c r="S511" s="1124"/>
      <c r="T511" s="1145"/>
      <c r="U511" s="1263" t="s">
        <v>276</v>
      </c>
      <c r="V511" s="1130"/>
      <c r="W511" s="1126"/>
      <c r="X511" s="1260"/>
      <c r="Y511" s="1196"/>
      <c r="Z511" s="1260"/>
      <c r="AA511" s="1196"/>
      <c r="AB511" s="1198"/>
      <c r="AC511" s="1126"/>
      <c r="AD511" s="1197"/>
      <c r="AE511" s="1247"/>
      <c r="AF511" s="1157"/>
      <c r="AG511" s="1158"/>
      <c r="AH511" s="1232" t="str">
        <f t="shared" si="98"/>
        <v>PI</v>
      </c>
      <c r="AI511" s="747">
        <f t="shared" si="107"/>
        <v>13250000</v>
      </c>
      <c r="AJ511" s="747">
        <f t="shared" si="108"/>
        <v>14250000</v>
      </c>
      <c r="AK511" s="747">
        <f t="shared" si="109"/>
        <v>1000000</v>
      </c>
      <c r="AL511" s="1170"/>
      <c r="AM511" s="1170"/>
      <c r="AN511" s="1209"/>
      <c r="AO511" s="1170"/>
      <c r="AP511" s="1209"/>
      <c r="AQ511" s="1128"/>
      <c r="AR511" s="1173"/>
      <c r="AT511" s="1173"/>
      <c r="AV511" s="1173"/>
      <c r="AX511" s="1173"/>
      <c r="AY511" s="1176"/>
      <c r="AZ511" s="1173"/>
    </row>
    <row r="512" spans="1:52" s="2" customFormat="1" x14ac:dyDescent="0.25">
      <c r="A512" s="19">
        <v>488</v>
      </c>
      <c r="B512" s="57">
        <v>109</v>
      </c>
      <c r="C512" s="38"/>
      <c r="D512" s="37" t="s">
        <v>874</v>
      </c>
      <c r="E512" s="28" t="s">
        <v>32</v>
      </c>
      <c r="F512" s="57">
        <v>2011</v>
      </c>
      <c r="G512" s="28"/>
      <c r="H512" s="58" t="str">
        <f t="shared" si="105"/>
        <v xml:space="preserve">   </v>
      </c>
      <c r="I512" s="58" t="str">
        <f t="shared" si="106"/>
        <v xml:space="preserve">   </v>
      </c>
      <c r="J512" s="1125">
        <v>1250000</v>
      </c>
      <c r="K512" s="1126"/>
      <c r="L512" s="1130">
        <v>3000000</v>
      </c>
      <c r="M512" s="1126" t="s">
        <v>689</v>
      </c>
      <c r="N512" s="1130">
        <v>3000000</v>
      </c>
      <c r="O512" s="1126" t="s">
        <v>875</v>
      </c>
      <c r="P512" s="1130">
        <v>3000000</v>
      </c>
      <c r="Q512" s="1126">
        <v>41488</v>
      </c>
      <c r="R512" s="1130"/>
      <c r="S512" s="1126"/>
      <c r="T512" s="1145"/>
      <c r="U512" s="1126"/>
      <c r="V512" s="1130"/>
      <c r="W512" s="1126"/>
      <c r="X512" s="1260"/>
      <c r="Y512" s="1196"/>
      <c r="Z512" s="1260"/>
      <c r="AA512" s="1196"/>
      <c r="AB512" s="1198"/>
      <c r="AC512" s="1126"/>
      <c r="AD512" s="1197"/>
      <c r="AE512" s="1247"/>
      <c r="AF512" s="1157"/>
      <c r="AG512" s="1158"/>
      <c r="AH512" s="1232" t="str">
        <f t="shared" si="98"/>
        <v>PI</v>
      </c>
      <c r="AI512" s="747">
        <f t="shared" si="107"/>
        <v>10250000</v>
      </c>
      <c r="AJ512" s="747">
        <f t="shared" si="108"/>
        <v>11250000</v>
      </c>
      <c r="AK512" s="747">
        <f t="shared" si="109"/>
        <v>1000000</v>
      </c>
      <c r="AL512" s="1170"/>
      <c r="AM512" s="1170"/>
      <c r="AN512" s="1209"/>
      <c r="AO512" s="1170"/>
      <c r="AP512" s="1209"/>
      <c r="AQ512" s="1128"/>
      <c r="AR512" s="1173"/>
      <c r="AT512" s="1173"/>
      <c r="AV512" s="1173"/>
      <c r="AX512" s="1173"/>
      <c r="AY512" s="1176"/>
      <c r="AZ512" s="1173"/>
    </row>
    <row r="513" spans="1:52" s="2" customFormat="1" x14ac:dyDescent="0.25">
      <c r="A513" s="19">
        <v>489</v>
      </c>
      <c r="B513" s="57">
        <v>110</v>
      </c>
      <c r="C513" s="38"/>
      <c r="D513" s="37" t="s">
        <v>876</v>
      </c>
      <c r="E513" s="28" t="s">
        <v>32</v>
      </c>
      <c r="F513" s="57">
        <v>2011</v>
      </c>
      <c r="G513" s="28"/>
      <c r="H513" s="58" t="str">
        <f t="shared" si="105"/>
        <v xml:space="preserve">   </v>
      </c>
      <c r="I513" s="58" t="str">
        <f t="shared" si="106"/>
        <v xml:space="preserve">   </v>
      </c>
      <c r="J513" s="1125">
        <v>1250000</v>
      </c>
      <c r="K513" s="1126"/>
      <c r="L513" s="1130">
        <v>3000000</v>
      </c>
      <c r="M513" s="1126">
        <v>41062</v>
      </c>
      <c r="N513" s="1130"/>
      <c r="O513" s="1126"/>
      <c r="P513" s="1130"/>
      <c r="Q513" s="1126"/>
      <c r="R513" s="1130"/>
      <c r="S513" s="1126"/>
      <c r="T513" s="1145"/>
      <c r="U513" s="1126"/>
      <c r="V513" s="1130"/>
      <c r="W513" s="1126"/>
      <c r="X513" s="1260"/>
      <c r="Y513" s="1196"/>
      <c r="Z513" s="1260"/>
      <c r="AA513" s="1196"/>
      <c r="AB513" s="1198"/>
      <c r="AC513" s="1126"/>
      <c r="AD513" s="1197"/>
      <c r="AE513" s="1247"/>
      <c r="AF513" s="1157"/>
      <c r="AG513" s="1158"/>
      <c r="AH513" s="1232" t="str">
        <f t="shared" si="98"/>
        <v>PI</v>
      </c>
      <c r="AI513" s="747">
        <f t="shared" si="107"/>
        <v>4250000</v>
      </c>
      <c r="AJ513" s="747">
        <f t="shared" si="108"/>
        <v>5250000</v>
      </c>
      <c r="AK513" s="747">
        <f t="shared" si="109"/>
        <v>1000000</v>
      </c>
      <c r="AL513" s="1170"/>
      <c r="AM513" s="1170"/>
      <c r="AN513" s="1209"/>
      <c r="AO513" s="1170"/>
      <c r="AP513" s="1209"/>
      <c r="AQ513" s="1128"/>
      <c r="AR513" s="1173"/>
      <c r="AT513" s="1173"/>
      <c r="AV513" s="1173"/>
      <c r="AX513" s="1173"/>
      <c r="AY513" s="1176"/>
      <c r="AZ513" s="1173"/>
    </row>
    <row r="514" spans="1:52" s="2" customFormat="1" x14ac:dyDescent="0.25">
      <c r="A514" s="19">
        <v>490</v>
      </c>
      <c r="B514" s="59">
        <v>111</v>
      </c>
      <c r="C514" s="40">
        <v>83911022</v>
      </c>
      <c r="D514" s="39" t="s">
        <v>877</v>
      </c>
      <c r="E514" s="23" t="s">
        <v>848</v>
      </c>
      <c r="F514" s="59">
        <v>2011</v>
      </c>
      <c r="G514" s="23" t="s">
        <v>33</v>
      </c>
      <c r="H514" s="60">
        <f t="shared" si="105"/>
        <v>42693</v>
      </c>
      <c r="I514" s="60">
        <f t="shared" si="106"/>
        <v>42693</v>
      </c>
      <c r="J514" s="1239">
        <v>1250000</v>
      </c>
      <c r="K514" s="1194"/>
      <c r="L514" s="1178">
        <v>3000000</v>
      </c>
      <c r="M514" s="1124">
        <v>40970</v>
      </c>
      <c r="N514" s="1178">
        <v>3000000</v>
      </c>
      <c r="O514" s="1124">
        <v>41277</v>
      </c>
      <c r="P514" s="1178">
        <v>3000000</v>
      </c>
      <c r="Q514" s="1124" t="s">
        <v>732</v>
      </c>
      <c r="R514" s="1178">
        <v>3000000</v>
      </c>
      <c r="S514" s="1124" t="s">
        <v>878</v>
      </c>
      <c r="T514" s="1188">
        <v>3000000</v>
      </c>
      <c r="U514" s="1124" t="s">
        <v>879</v>
      </c>
      <c r="V514" s="1178">
        <v>3000000</v>
      </c>
      <c r="W514" s="1124" t="s">
        <v>880</v>
      </c>
      <c r="X514" s="1178">
        <v>3000000</v>
      </c>
      <c r="Y514" s="1124" t="s">
        <v>880</v>
      </c>
      <c r="Z514" s="1178">
        <v>3000000</v>
      </c>
      <c r="AA514" s="1124" t="s">
        <v>880</v>
      </c>
      <c r="AB514" s="1205">
        <v>1000000</v>
      </c>
      <c r="AC514" s="1124" t="s">
        <v>880</v>
      </c>
      <c r="AD514" s="1199">
        <v>3000000</v>
      </c>
      <c r="AE514" s="1206" t="s">
        <v>881</v>
      </c>
      <c r="AF514" s="1199"/>
      <c r="AG514" s="1158"/>
      <c r="AH514" s="1316" t="str">
        <f t="shared" si="98"/>
        <v>HK</v>
      </c>
      <c r="AI514" s="747">
        <f t="shared" si="107"/>
        <v>29250000</v>
      </c>
      <c r="AJ514" s="747">
        <f t="shared" si="108"/>
        <v>29250000</v>
      </c>
      <c r="AK514" s="747">
        <f t="shared" si="109"/>
        <v>0</v>
      </c>
      <c r="AL514" s="1170"/>
      <c r="AM514" s="1170"/>
      <c r="AN514" s="1209"/>
      <c r="AO514" s="1170"/>
      <c r="AP514" s="1209"/>
      <c r="AQ514" s="1128"/>
      <c r="AR514" s="1173"/>
      <c r="AT514" s="1173"/>
      <c r="AV514" s="1173"/>
      <c r="AX514" s="1173"/>
      <c r="AY514" s="1176"/>
      <c r="AZ514" s="1173"/>
    </row>
    <row r="515" spans="1:52" s="2" customFormat="1" x14ac:dyDescent="0.25">
      <c r="A515" s="19">
        <v>491</v>
      </c>
      <c r="B515" s="80">
        <v>112</v>
      </c>
      <c r="C515" s="38"/>
      <c r="D515" s="37" t="s">
        <v>882</v>
      </c>
      <c r="E515" s="28" t="s">
        <v>32</v>
      </c>
      <c r="F515" s="57">
        <v>2011</v>
      </c>
      <c r="G515" s="28"/>
      <c r="H515" s="58" t="str">
        <f t="shared" si="105"/>
        <v xml:space="preserve">   </v>
      </c>
      <c r="I515" s="58" t="str">
        <f t="shared" si="106"/>
        <v xml:space="preserve">   </v>
      </c>
      <c r="J515" s="1239">
        <v>1250000</v>
      </c>
      <c r="K515" s="1194"/>
      <c r="L515" s="1130">
        <v>3000000</v>
      </c>
      <c r="M515" s="1126">
        <v>41307</v>
      </c>
      <c r="N515" s="1130">
        <v>3000000</v>
      </c>
      <c r="O515" s="1126">
        <v>41610</v>
      </c>
      <c r="P515" s="1130">
        <v>3000000</v>
      </c>
      <c r="Q515" s="1126">
        <v>41615</v>
      </c>
      <c r="R515" s="1130">
        <v>3000000</v>
      </c>
      <c r="S515" s="1126" t="s">
        <v>681</v>
      </c>
      <c r="T515" s="1145"/>
      <c r="U515" s="1126"/>
      <c r="V515" s="1130"/>
      <c r="W515" s="1126"/>
      <c r="X515" s="1260"/>
      <c r="Y515" s="1196"/>
      <c r="Z515" s="1260"/>
      <c r="AA515" s="1196"/>
      <c r="AB515" s="1195"/>
      <c r="AC515" s="1196"/>
      <c r="AD515" s="1157"/>
      <c r="AE515" s="1247"/>
      <c r="AF515" s="1157"/>
      <c r="AG515" s="1158"/>
      <c r="AH515" s="1232" t="str">
        <f t="shared" si="98"/>
        <v>PI</v>
      </c>
      <c r="AI515" s="747">
        <f t="shared" si="107"/>
        <v>13250000</v>
      </c>
      <c r="AJ515" s="747">
        <f t="shared" si="108"/>
        <v>14250000</v>
      </c>
      <c r="AK515" s="747">
        <f t="shared" si="109"/>
        <v>1000000</v>
      </c>
      <c r="AL515" s="1170"/>
      <c r="AM515" s="1170"/>
      <c r="AN515" s="1209"/>
      <c r="AO515" s="1170"/>
      <c r="AP515" s="1209"/>
      <c r="AQ515" s="1128"/>
      <c r="AR515" s="1173"/>
      <c r="AT515" s="1173"/>
      <c r="AV515" s="1173"/>
      <c r="AX515" s="1173"/>
      <c r="AY515" s="1176"/>
      <c r="AZ515" s="1173"/>
    </row>
    <row r="516" spans="1:52" s="2" customFormat="1" x14ac:dyDescent="0.25">
      <c r="A516" s="107"/>
      <c r="B516" s="72"/>
      <c r="C516" s="62"/>
      <c r="D516" s="73"/>
      <c r="E516" s="63"/>
      <c r="F516" s="64" t="s">
        <v>61</v>
      </c>
      <c r="G516" s="63"/>
      <c r="H516" s="65" t="str">
        <f t="shared" si="105"/>
        <v xml:space="preserve">   </v>
      </c>
      <c r="I516" s="65" t="str">
        <f t="shared" si="106"/>
        <v xml:space="preserve">   </v>
      </c>
      <c r="J516" s="87"/>
      <c r="K516" s="1137"/>
      <c r="L516" s="87"/>
      <c r="M516" s="1137"/>
      <c r="N516" s="87"/>
      <c r="O516" s="1137"/>
      <c r="P516" s="87"/>
      <c r="Q516" s="1137"/>
      <c r="R516" s="87"/>
      <c r="S516" s="1141"/>
      <c r="T516" s="87"/>
      <c r="U516" s="1137"/>
      <c r="V516" s="87"/>
      <c r="W516" s="1137"/>
      <c r="X516" s="87"/>
      <c r="Y516" s="1137"/>
      <c r="Z516" s="87"/>
      <c r="AA516" s="1137"/>
      <c r="AB516" s="1229"/>
      <c r="AC516" s="1137"/>
      <c r="AD516" s="87"/>
      <c r="AE516" s="1230"/>
      <c r="AF516" s="87"/>
      <c r="AG516" s="1230"/>
      <c r="AH516" s="1168">
        <f t="shared" si="98"/>
        <v>0</v>
      </c>
      <c r="AI516" s="747"/>
      <c r="AJ516" s="747"/>
      <c r="AK516" s="747"/>
      <c r="AL516" s="1170"/>
      <c r="AM516" s="1170"/>
      <c r="AN516" s="1209"/>
      <c r="AO516" s="1170"/>
      <c r="AP516" s="1209"/>
      <c r="AQ516" s="1128"/>
      <c r="AR516" s="1173"/>
      <c r="AT516" s="1173"/>
      <c r="AV516" s="1173"/>
      <c r="AX516" s="1173"/>
      <c r="AY516" s="1176"/>
      <c r="AZ516" s="1173"/>
    </row>
    <row r="517" spans="1:52" s="4" customFormat="1" x14ac:dyDescent="0.25">
      <c r="A517" s="108"/>
      <c r="B517" s="109" t="s">
        <v>883</v>
      </c>
      <c r="C517" s="49"/>
      <c r="D517" s="110"/>
      <c r="E517" s="111"/>
      <c r="F517" s="83" t="s">
        <v>61</v>
      </c>
      <c r="G517" s="111"/>
      <c r="H517" s="84" t="str">
        <f t="shared" si="105"/>
        <v xml:space="preserve">   </v>
      </c>
      <c r="I517" s="84" t="str">
        <f t="shared" si="106"/>
        <v xml:space="preserve">   </v>
      </c>
      <c r="J517" s="1317">
        <v>1250000</v>
      </c>
      <c r="K517" s="1185"/>
      <c r="L517" s="1317">
        <v>3000000</v>
      </c>
      <c r="M517" s="1185"/>
      <c r="N517" s="1184"/>
      <c r="O517" s="1185"/>
      <c r="P517" s="1184"/>
      <c r="Q517" s="1185"/>
      <c r="R517" s="1184"/>
      <c r="S517" s="1191"/>
      <c r="T517" s="1184"/>
      <c r="U517" s="1185"/>
      <c r="V517" s="1320"/>
      <c r="W517" s="1321"/>
      <c r="X517" s="1320"/>
      <c r="Y517" s="1321"/>
      <c r="Z517" s="1320"/>
      <c r="AA517" s="1321"/>
      <c r="AB517" s="1328">
        <v>1000000</v>
      </c>
      <c r="AC517" s="1281"/>
      <c r="AD517" s="1329"/>
      <c r="AE517" s="1281"/>
      <c r="AF517" s="1329"/>
      <c r="AG517" s="1281"/>
      <c r="AH517" s="1339">
        <f t="shared" ref="AH517:AH580" si="110">E517</f>
        <v>0</v>
      </c>
      <c r="AI517" s="1212"/>
      <c r="AJ517" s="1212"/>
      <c r="AK517" s="1212"/>
      <c r="AL517" s="1213"/>
      <c r="AM517" s="1213"/>
      <c r="AN517" s="1214"/>
      <c r="AO517" s="1213"/>
      <c r="AP517" s="1214"/>
      <c r="AQ517" s="1215"/>
      <c r="AR517" s="1216"/>
      <c r="AT517" s="1216"/>
      <c r="AV517" s="1216"/>
      <c r="AX517" s="1216"/>
      <c r="AY517" s="1217"/>
      <c r="AZ517" s="1216"/>
    </row>
    <row r="518" spans="1:52" s="2" customFormat="1" x14ac:dyDescent="0.25">
      <c r="A518" s="19">
        <v>492</v>
      </c>
      <c r="B518" s="59">
        <v>1</v>
      </c>
      <c r="C518" s="40">
        <v>849120001</v>
      </c>
      <c r="D518" s="97" t="s">
        <v>884</v>
      </c>
      <c r="E518" s="23" t="s">
        <v>32</v>
      </c>
      <c r="F518" s="59">
        <v>2011</v>
      </c>
      <c r="G518" s="23" t="s">
        <v>33</v>
      </c>
      <c r="H518" s="60">
        <f t="shared" si="105"/>
        <v>42900</v>
      </c>
      <c r="I518" s="60">
        <f t="shared" si="106"/>
        <v>43064</v>
      </c>
      <c r="J518" s="1123"/>
      <c r="K518" s="1124"/>
      <c r="L518" s="1178">
        <v>2000000</v>
      </c>
      <c r="M518" s="1124" t="s">
        <v>290</v>
      </c>
      <c r="N518" s="1178">
        <v>3000000</v>
      </c>
      <c r="O518" s="1124">
        <v>42707</v>
      </c>
      <c r="P518" s="1178">
        <v>3000000</v>
      </c>
      <c r="Q518" s="1124">
        <v>42707</v>
      </c>
      <c r="R518" s="1178">
        <v>3000000</v>
      </c>
      <c r="S518" s="1124">
        <v>42707</v>
      </c>
      <c r="T518" s="1188">
        <v>3000000</v>
      </c>
      <c r="U518" s="1124">
        <v>42707</v>
      </c>
      <c r="V518" s="1178">
        <v>3000000</v>
      </c>
      <c r="W518" s="1143">
        <v>42707</v>
      </c>
      <c r="X518" s="1178">
        <v>2750000</v>
      </c>
      <c r="Y518" s="1143">
        <v>42707</v>
      </c>
      <c r="Z518" s="1178">
        <v>3000000</v>
      </c>
      <c r="AA518" s="1143">
        <v>42893</v>
      </c>
      <c r="AB518" s="1205">
        <v>1000000</v>
      </c>
      <c r="AC518" s="1143">
        <v>42893</v>
      </c>
      <c r="AD518" s="1199">
        <v>3000000</v>
      </c>
      <c r="AE518" s="1233">
        <v>42893</v>
      </c>
      <c r="AF518" s="1199">
        <v>3000000</v>
      </c>
      <c r="AG518" s="1233">
        <v>42893</v>
      </c>
      <c r="AH518" s="1232" t="str">
        <f t="shared" si="110"/>
        <v>PI</v>
      </c>
      <c r="AI518" s="1340">
        <f>SUM(J518,L518,N518,P518,R518,T518,V518,X518,Z518,AB518,AD518,AF518,L519)</f>
        <v>32000000</v>
      </c>
      <c r="AJ518" s="1340">
        <f>(COUNT(L518,N518,P518,R518,T518,V518,X518,Z518,AD518,AF518)*$L$517)+($J$517+$AB$517)</f>
        <v>32250000</v>
      </c>
      <c r="AK518" s="1271" t="s">
        <v>276</v>
      </c>
      <c r="AL518" s="1170"/>
      <c r="AM518" s="1170"/>
      <c r="AN518" s="1209"/>
      <c r="AO518" s="1170"/>
      <c r="AP518" s="1209"/>
      <c r="AQ518" s="1128"/>
      <c r="AR518" s="1173"/>
      <c r="AT518" s="1173"/>
      <c r="AV518" s="1173"/>
      <c r="AX518" s="1173"/>
      <c r="AY518" s="1176"/>
      <c r="AZ518" s="1173"/>
    </row>
    <row r="519" spans="1:52" s="2" customFormat="1" x14ac:dyDescent="0.25">
      <c r="A519" s="19">
        <v>493</v>
      </c>
      <c r="B519" s="59"/>
      <c r="C519" s="40"/>
      <c r="D519" s="39"/>
      <c r="E519" s="23"/>
      <c r="F519" s="59">
        <v>2011</v>
      </c>
      <c r="G519" s="23"/>
      <c r="H519" s="60" t="str">
        <f t="shared" si="105"/>
        <v xml:space="preserve">   </v>
      </c>
      <c r="I519" s="60" t="str">
        <f t="shared" si="106"/>
        <v xml:space="preserve">   </v>
      </c>
      <c r="J519" s="1239"/>
      <c r="K519" s="1126"/>
      <c r="L519" s="1178">
        <v>2250000</v>
      </c>
      <c r="M519" s="1124">
        <v>42707</v>
      </c>
      <c r="N519" s="1178"/>
      <c r="O519" s="1124"/>
      <c r="P519" s="1178"/>
      <c r="Q519" s="1124"/>
      <c r="R519" s="1178"/>
      <c r="S519" s="1124"/>
      <c r="T519" s="1188"/>
      <c r="U519" s="1124"/>
      <c r="V519" s="1178"/>
      <c r="W519" s="1143"/>
      <c r="X519" s="1178">
        <v>250000</v>
      </c>
      <c r="Y519" s="1143">
        <v>42893</v>
      </c>
      <c r="Z519" s="1260"/>
      <c r="AA519" s="1196"/>
      <c r="AB519" s="1205"/>
      <c r="AC519" s="1126"/>
      <c r="AD519" s="1246"/>
      <c r="AE519" s="1247"/>
      <c r="AF519" s="1246"/>
      <c r="AG519" s="1247"/>
      <c r="AH519" s="1232">
        <f t="shared" si="110"/>
        <v>0</v>
      </c>
      <c r="AI519" s="747"/>
      <c r="AJ519" s="747"/>
      <c r="AK519" s="747"/>
      <c r="AL519" s="1170"/>
      <c r="AM519" s="1170"/>
      <c r="AN519" s="1209"/>
      <c r="AO519" s="1170"/>
      <c r="AP519" s="1209"/>
      <c r="AQ519" s="1128"/>
      <c r="AR519" s="1173"/>
      <c r="AT519" s="1173"/>
      <c r="AV519" s="1173"/>
      <c r="AX519" s="1173"/>
      <c r="AY519" s="1176"/>
      <c r="AZ519" s="1173"/>
    </row>
    <row r="520" spans="1:52" s="2" customFormat="1" x14ac:dyDescent="0.25">
      <c r="A520" s="19">
        <v>494</v>
      </c>
      <c r="B520" s="59">
        <v>2</v>
      </c>
      <c r="C520" s="40">
        <v>849120002</v>
      </c>
      <c r="D520" s="39" t="s">
        <v>885</v>
      </c>
      <c r="E520" s="23" t="s">
        <v>32</v>
      </c>
      <c r="F520" s="59">
        <v>2011</v>
      </c>
      <c r="G520" s="23"/>
      <c r="H520" s="60" t="str">
        <f t="shared" si="105"/>
        <v xml:space="preserve">   </v>
      </c>
      <c r="I520" s="60" t="str">
        <f t="shared" si="106"/>
        <v xml:space="preserve">   </v>
      </c>
      <c r="J520" s="1239">
        <v>1250000</v>
      </c>
      <c r="K520" s="1126"/>
      <c r="L520" s="1178">
        <v>3000000</v>
      </c>
      <c r="M520" s="1124">
        <v>41220</v>
      </c>
      <c r="N520" s="1178">
        <v>3000000</v>
      </c>
      <c r="O520" s="1124" t="s">
        <v>693</v>
      </c>
      <c r="P520" s="1178">
        <v>3000000</v>
      </c>
      <c r="Q520" s="1124" t="s">
        <v>652</v>
      </c>
      <c r="R520" s="1178">
        <v>3000000</v>
      </c>
      <c r="S520" s="1124">
        <v>41643</v>
      </c>
      <c r="T520" s="1188">
        <v>3000000</v>
      </c>
      <c r="U520" s="1124" t="s">
        <v>886</v>
      </c>
      <c r="V520" s="1178">
        <v>3000000</v>
      </c>
      <c r="W520" s="1143">
        <v>42158</v>
      </c>
      <c r="X520" s="1130">
        <v>0</v>
      </c>
      <c r="Y520" s="1227"/>
      <c r="Z520" s="1330">
        <v>0</v>
      </c>
      <c r="AA520" s="1194"/>
      <c r="AB520" s="1331">
        <v>0</v>
      </c>
      <c r="AC520" s="1126"/>
      <c r="AD520" s="1243"/>
      <c r="AE520" s="1158"/>
      <c r="AF520" s="1243"/>
      <c r="AG520" s="1158"/>
      <c r="AH520" s="1232" t="str">
        <f t="shared" si="110"/>
        <v>PI</v>
      </c>
      <c r="AI520" s="747">
        <f t="shared" ref="AI520:AI526" si="111">SUM(J520,L520,N520,P520,R520,T520,V520,X520,Z520,AB520,AD520,AF520)</f>
        <v>19250000</v>
      </c>
      <c r="AJ520" s="747">
        <f t="shared" ref="AJ520:AJ526" si="112">(COUNT(L520,N520,P520,R520,T520,V520,X520,Z520,AD520,AF520)*$L$517)+($J$517+$AB$517)</f>
        <v>26250000</v>
      </c>
      <c r="AK520" s="747">
        <f t="shared" ref="AK520:AK526" si="113">AJ520-AI520</f>
        <v>7000000</v>
      </c>
      <c r="AL520" s="1170"/>
      <c r="AM520" s="1170"/>
      <c r="AN520" s="1209"/>
      <c r="AO520" s="1170"/>
      <c r="AP520" s="1209"/>
      <c r="AQ520" s="1128"/>
      <c r="AR520" s="1173"/>
      <c r="AT520" s="1173"/>
      <c r="AV520" s="1173"/>
      <c r="AX520" s="1173"/>
      <c r="AY520" s="1176"/>
      <c r="AZ520" s="1173"/>
    </row>
    <row r="521" spans="1:52" s="2" customFormat="1" x14ac:dyDescent="0.25">
      <c r="A521" s="19">
        <v>495</v>
      </c>
      <c r="B521" s="59">
        <v>3</v>
      </c>
      <c r="C521" s="40">
        <v>849120005</v>
      </c>
      <c r="D521" s="39" t="s">
        <v>887</v>
      </c>
      <c r="E521" s="23" t="s">
        <v>32</v>
      </c>
      <c r="F521" s="59">
        <v>2011</v>
      </c>
      <c r="G521" s="23" t="s">
        <v>33</v>
      </c>
      <c r="H521" s="60" t="str">
        <f t="shared" si="105"/>
        <v xml:space="preserve">   </v>
      </c>
      <c r="I521" s="60">
        <f t="shared" si="106"/>
        <v>41640</v>
      </c>
      <c r="J521" s="1239">
        <v>1250000</v>
      </c>
      <c r="K521" s="1126"/>
      <c r="L521" s="1178">
        <v>3000000</v>
      </c>
      <c r="M521" s="1124" t="s">
        <v>888</v>
      </c>
      <c r="N521" s="1178">
        <v>3000000</v>
      </c>
      <c r="O521" s="1124">
        <v>41123</v>
      </c>
      <c r="P521" s="1178">
        <v>3000000</v>
      </c>
      <c r="Q521" s="1124" t="s">
        <v>538</v>
      </c>
      <c r="R521" s="1178">
        <v>3000000</v>
      </c>
      <c r="S521" s="1124" t="s">
        <v>889</v>
      </c>
      <c r="T521" s="1224"/>
      <c r="U521" s="1263" t="s">
        <v>276</v>
      </c>
      <c r="V521" s="1260"/>
      <c r="W521" s="1245"/>
      <c r="X521" s="1260"/>
      <c r="Y521" s="1245"/>
      <c r="Z521" s="1260"/>
      <c r="AA521" s="1194"/>
      <c r="AB521" s="1205">
        <v>1000000</v>
      </c>
      <c r="AC521" s="1124">
        <v>41677</v>
      </c>
      <c r="AD521" s="1157"/>
      <c r="AE521" s="1158"/>
      <c r="AF521" s="1157"/>
      <c r="AG521" s="1158"/>
      <c r="AH521" s="1232" t="str">
        <f t="shared" si="110"/>
        <v>PI</v>
      </c>
      <c r="AI521" s="747">
        <f t="shared" si="111"/>
        <v>14250000</v>
      </c>
      <c r="AJ521" s="747">
        <f t="shared" si="112"/>
        <v>14250000</v>
      </c>
      <c r="AK521" s="747">
        <f t="shared" si="113"/>
        <v>0</v>
      </c>
      <c r="AL521" s="1170"/>
      <c r="AM521" s="1170"/>
      <c r="AN521" s="1209"/>
      <c r="AO521" s="1170"/>
      <c r="AP521" s="1209"/>
      <c r="AQ521" s="1128"/>
      <c r="AR521" s="1173"/>
      <c r="AT521" s="1173"/>
      <c r="AV521" s="1173"/>
      <c r="AX521" s="1173"/>
      <c r="AY521" s="1176"/>
      <c r="AZ521" s="1173"/>
    </row>
    <row r="522" spans="1:52" s="2" customFormat="1" x14ac:dyDescent="0.25">
      <c r="A522" s="19">
        <v>496</v>
      </c>
      <c r="B522" s="59">
        <v>4</v>
      </c>
      <c r="C522" s="40">
        <v>849120006</v>
      </c>
      <c r="D522" s="39" t="s">
        <v>890</v>
      </c>
      <c r="E522" s="23" t="s">
        <v>32</v>
      </c>
      <c r="F522" s="59">
        <v>2011</v>
      </c>
      <c r="G522" s="23" t="s">
        <v>33</v>
      </c>
      <c r="H522" s="60" t="str">
        <f t="shared" si="105"/>
        <v xml:space="preserve">   </v>
      </c>
      <c r="I522" s="60">
        <f t="shared" si="106"/>
        <v>41640</v>
      </c>
      <c r="J522" s="1239">
        <v>1250000</v>
      </c>
      <c r="K522" s="1126"/>
      <c r="L522" s="1178">
        <v>3000000</v>
      </c>
      <c r="M522" s="1124" t="s">
        <v>200</v>
      </c>
      <c r="N522" s="1178">
        <v>3000000</v>
      </c>
      <c r="O522" s="1124">
        <v>41277</v>
      </c>
      <c r="P522" s="1178">
        <v>3000000</v>
      </c>
      <c r="Q522" s="1124" t="s">
        <v>891</v>
      </c>
      <c r="R522" s="1178">
        <v>3000000</v>
      </c>
      <c r="S522" s="1124" t="s">
        <v>892</v>
      </c>
      <c r="T522" s="1261"/>
      <c r="U522" s="1263" t="s">
        <v>276</v>
      </c>
      <c r="V522" s="1260"/>
      <c r="W522" s="1245"/>
      <c r="X522" s="1260"/>
      <c r="Y522" s="1245"/>
      <c r="Z522" s="1260"/>
      <c r="AA522" s="1194"/>
      <c r="AB522" s="1195">
        <v>1000000</v>
      </c>
      <c r="AC522" s="1196">
        <v>41767</v>
      </c>
      <c r="AD522" s="1157"/>
      <c r="AE522" s="1158"/>
      <c r="AF522" s="1157"/>
      <c r="AG522" s="1158"/>
      <c r="AH522" s="1232" t="str">
        <f t="shared" si="110"/>
        <v>PI</v>
      </c>
      <c r="AI522" s="747">
        <f t="shared" si="111"/>
        <v>14250000</v>
      </c>
      <c r="AJ522" s="747">
        <f t="shared" si="112"/>
        <v>14250000</v>
      </c>
      <c r="AK522" s="747">
        <f t="shared" si="113"/>
        <v>0</v>
      </c>
      <c r="AL522" s="1170"/>
      <c r="AM522" s="1170"/>
      <c r="AN522" s="1209"/>
      <c r="AO522" s="1170"/>
      <c r="AP522" s="1209"/>
      <c r="AQ522" s="1128"/>
      <c r="AR522" s="1173"/>
      <c r="AT522" s="1173"/>
      <c r="AV522" s="1173"/>
      <c r="AX522" s="1173"/>
      <c r="AY522" s="1176"/>
      <c r="AZ522" s="1173"/>
    </row>
    <row r="523" spans="1:52" s="2" customFormat="1" x14ac:dyDescent="0.25">
      <c r="A523" s="19">
        <v>497</v>
      </c>
      <c r="B523" s="57">
        <v>5</v>
      </c>
      <c r="C523" s="38">
        <v>849120007</v>
      </c>
      <c r="D523" s="37" t="s">
        <v>893</v>
      </c>
      <c r="E523" s="28" t="s">
        <v>32</v>
      </c>
      <c r="F523" s="57">
        <v>2011</v>
      </c>
      <c r="G523" s="28"/>
      <c r="H523" s="58" t="str">
        <f t="shared" si="105"/>
        <v xml:space="preserve">   </v>
      </c>
      <c r="I523" s="58" t="str">
        <f t="shared" si="106"/>
        <v xml:space="preserve">   </v>
      </c>
      <c r="J523" s="1125"/>
      <c r="K523" s="1126"/>
      <c r="L523" s="1130">
        <v>3000000</v>
      </c>
      <c r="M523" s="1126" t="s">
        <v>343</v>
      </c>
      <c r="N523" s="1130">
        <v>0</v>
      </c>
      <c r="O523" s="1146" t="s">
        <v>894</v>
      </c>
      <c r="P523" s="1130">
        <v>0</v>
      </c>
      <c r="Q523" s="1126"/>
      <c r="R523" s="1130">
        <v>0</v>
      </c>
      <c r="S523" s="1126"/>
      <c r="T523" s="1145">
        <v>0</v>
      </c>
      <c r="U523" s="1126"/>
      <c r="V523" s="1130">
        <v>0</v>
      </c>
      <c r="W523" s="1227"/>
      <c r="X523" s="1130">
        <v>0</v>
      </c>
      <c r="Y523" s="1227"/>
      <c r="Z523" s="1257">
        <v>0</v>
      </c>
      <c r="AA523" s="1194"/>
      <c r="AB523" s="1198"/>
      <c r="AC523" s="1126"/>
      <c r="AD523" s="1246"/>
      <c r="AE523" s="1247"/>
      <c r="AF523" s="1246"/>
      <c r="AG523" s="1247"/>
      <c r="AH523" s="1232" t="str">
        <f t="shared" si="110"/>
        <v>PI</v>
      </c>
      <c r="AI523" s="747">
        <f t="shared" si="111"/>
        <v>3000000</v>
      </c>
      <c r="AJ523" s="747">
        <f t="shared" si="112"/>
        <v>26250000</v>
      </c>
      <c r="AK523" s="747">
        <f t="shared" si="113"/>
        <v>23250000</v>
      </c>
      <c r="AL523" s="1170"/>
      <c r="AM523" s="1170"/>
      <c r="AN523" s="1209"/>
      <c r="AO523" s="1170"/>
      <c r="AP523" s="1209"/>
      <c r="AQ523" s="1128"/>
      <c r="AR523" s="1173"/>
      <c r="AT523" s="1173"/>
      <c r="AV523" s="1173"/>
      <c r="AX523" s="1173"/>
      <c r="AY523" s="1176"/>
      <c r="AZ523" s="1173"/>
    </row>
    <row r="524" spans="1:52" s="2" customFormat="1" x14ac:dyDescent="0.25">
      <c r="A524" s="19">
        <v>498</v>
      </c>
      <c r="B524" s="59">
        <v>6</v>
      </c>
      <c r="C524" s="40">
        <v>849120008</v>
      </c>
      <c r="D524" s="39" t="s">
        <v>895</v>
      </c>
      <c r="E524" s="23" t="s">
        <v>32</v>
      </c>
      <c r="F524" s="59">
        <v>2011</v>
      </c>
      <c r="G524" s="23" t="s">
        <v>33</v>
      </c>
      <c r="H524" s="60" t="str">
        <f t="shared" si="105"/>
        <v xml:space="preserve">   </v>
      </c>
      <c r="I524" s="60" t="str">
        <f t="shared" si="106"/>
        <v xml:space="preserve">   </v>
      </c>
      <c r="J524" s="1239">
        <v>1250000</v>
      </c>
      <c r="K524" s="1126"/>
      <c r="L524" s="1178">
        <v>3000000</v>
      </c>
      <c r="M524" s="1124">
        <v>41250</v>
      </c>
      <c r="N524" s="1178">
        <v>3000000</v>
      </c>
      <c r="O524" s="1124">
        <v>41457</v>
      </c>
      <c r="P524" s="1178">
        <v>3000000</v>
      </c>
      <c r="Q524" s="1124" t="s">
        <v>652</v>
      </c>
      <c r="R524" s="1312"/>
      <c r="S524" s="1263" t="s">
        <v>276</v>
      </c>
      <c r="T524" s="1145"/>
      <c r="U524" s="1126"/>
      <c r="V524" s="1130"/>
      <c r="W524" s="1227"/>
      <c r="X524" s="1130"/>
      <c r="Y524" s="1227"/>
      <c r="Z524" s="1260"/>
      <c r="AA524" s="1196"/>
      <c r="AB524" s="1205">
        <v>1000000</v>
      </c>
      <c r="AC524" s="1124" t="s">
        <v>774</v>
      </c>
      <c r="AD524" s="1157"/>
      <c r="AE524" s="1158"/>
      <c r="AF524" s="1157"/>
      <c r="AG524" s="1158"/>
      <c r="AH524" s="1232" t="str">
        <f t="shared" si="110"/>
        <v>PI</v>
      </c>
      <c r="AI524" s="747">
        <f t="shared" si="111"/>
        <v>11250000</v>
      </c>
      <c r="AJ524" s="747">
        <f t="shared" si="112"/>
        <v>11250000</v>
      </c>
      <c r="AK524" s="747">
        <f t="shared" si="113"/>
        <v>0</v>
      </c>
      <c r="AL524" s="1170"/>
      <c r="AM524" s="1170"/>
      <c r="AN524" s="1209"/>
      <c r="AO524" s="1170"/>
      <c r="AP524" s="1209"/>
      <c r="AQ524" s="1128"/>
      <c r="AR524" s="1173"/>
      <c r="AT524" s="1173"/>
      <c r="AV524" s="1173"/>
      <c r="AX524" s="1173"/>
      <c r="AY524" s="1176"/>
      <c r="AZ524" s="1173"/>
    </row>
    <row r="525" spans="1:52" s="2" customFormat="1" x14ac:dyDescent="0.25">
      <c r="A525" s="19">
        <v>499</v>
      </c>
      <c r="B525" s="59">
        <v>7</v>
      </c>
      <c r="C525" s="40">
        <v>849120009</v>
      </c>
      <c r="D525" s="39" t="s">
        <v>896</v>
      </c>
      <c r="E525" s="23" t="s">
        <v>32</v>
      </c>
      <c r="F525" s="59">
        <v>2011</v>
      </c>
      <c r="G525" s="23" t="s">
        <v>33</v>
      </c>
      <c r="H525" s="60" t="str">
        <f t="shared" si="105"/>
        <v xml:space="preserve">   </v>
      </c>
      <c r="I525" s="60">
        <f t="shared" si="106"/>
        <v>41640</v>
      </c>
      <c r="J525" s="1239">
        <v>1250000</v>
      </c>
      <c r="K525" s="1126"/>
      <c r="L525" s="1178">
        <v>3000000</v>
      </c>
      <c r="M525" s="1124" t="s">
        <v>888</v>
      </c>
      <c r="N525" s="1178">
        <v>3000000</v>
      </c>
      <c r="O525" s="1124" t="s">
        <v>544</v>
      </c>
      <c r="P525" s="1178">
        <v>3000000</v>
      </c>
      <c r="Q525" s="1124">
        <v>41585</v>
      </c>
      <c r="R525" s="1178">
        <v>3000000</v>
      </c>
      <c r="S525" s="1124" t="s">
        <v>774</v>
      </c>
      <c r="T525" s="1188">
        <v>3000000</v>
      </c>
      <c r="U525" s="1124">
        <v>41982</v>
      </c>
      <c r="V525" s="1312"/>
      <c r="W525" s="1264" t="s">
        <v>276</v>
      </c>
      <c r="X525" s="1130"/>
      <c r="Y525" s="1227"/>
      <c r="Z525" s="1260"/>
      <c r="AA525" s="1196"/>
      <c r="AB525" s="1205">
        <v>1000000</v>
      </c>
      <c r="AC525" s="1124" t="s">
        <v>897</v>
      </c>
      <c r="AD525" s="1157"/>
      <c r="AE525" s="1158"/>
      <c r="AF525" s="1157"/>
      <c r="AG525" s="1158"/>
      <c r="AH525" s="1232" t="str">
        <f t="shared" si="110"/>
        <v>PI</v>
      </c>
      <c r="AI525" s="747">
        <f t="shared" si="111"/>
        <v>17250000</v>
      </c>
      <c r="AJ525" s="747">
        <f t="shared" si="112"/>
        <v>17250000</v>
      </c>
      <c r="AK525" s="747">
        <f t="shared" si="113"/>
        <v>0</v>
      </c>
      <c r="AL525" s="1170"/>
      <c r="AM525" s="1170"/>
      <c r="AN525" s="1209"/>
      <c r="AO525" s="1170"/>
      <c r="AP525" s="1209"/>
      <c r="AQ525" s="1128"/>
      <c r="AR525" s="1173"/>
      <c r="AT525" s="1173"/>
      <c r="AV525" s="1173"/>
      <c r="AX525" s="1173"/>
      <c r="AY525" s="1176"/>
      <c r="AZ525" s="1173"/>
    </row>
    <row r="526" spans="1:52" s="2" customFormat="1" x14ac:dyDescent="0.25">
      <c r="A526" s="19">
        <v>500</v>
      </c>
      <c r="B526" s="57">
        <v>8</v>
      </c>
      <c r="C526" s="38">
        <v>849120010</v>
      </c>
      <c r="D526" s="37" t="s">
        <v>898</v>
      </c>
      <c r="E526" s="28" t="s">
        <v>32</v>
      </c>
      <c r="F526" s="57">
        <v>2011</v>
      </c>
      <c r="G526" s="28"/>
      <c r="H526" s="58" t="str">
        <f t="shared" si="105"/>
        <v xml:space="preserve">   </v>
      </c>
      <c r="I526" s="58" t="str">
        <f t="shared" si="106"/>
        <v xml:space="preserve">   </v>
      </c>
      <c r="J526" s="1125"/>
      <c r="K526" s="1126"/>
      <c r="L526" s="1130">
        <f>2750000+1500000</f>
        <v>4250000</v>
      </c>
      <c r="M526" s="1126">
        <v>41109</v>
      </c>
      <c r="N526" s="1130"/>
      <c r="O526" s="1146" t="s">
        <v>894</v>
      </c>
      <c r="P526" s="1130"/>
      <c r="Q526" s="1126"/>
      <c r="R526" s="1130"/>
      <c r="S526" s="1126"/>
      <c r="T526" s="1145"/>
      <c r="U526" s="1126"/>
      <c r="V526" s="1130"/>
      <c r="W526" s="1227"/>
      <c r="X526" s="1130"/>
      <c r="Y526" s="1227"/>
      <c r="Z526" s="1260"/>
      <c r="AA526" s="1196"/>
      <c r="AB526" s="1198"/>
      <c r="AC526" s="1126"/>
      <c r="AD526" s="1197"/>
      <c r="AE526" s="1247"/>
      <c r="AF526" s="1197"/>
      <c r="AG526" s="1247"/>
      <c r="AH526" s="1232" t="str">
        <f t="shared" si="110"/>
        <v>PI</v>
      </c>
      <c r="AI526" s="747">
        <f t="shared" si="111"/>
        <v>4250000</v>
      </c>
      <c r="AJ526" s="747">
        <f t="shared" si="112"/>
        <v>5250000</v>
      </c>
      <c r="AK526" s="747">
        <f t="shared" si="113"/>
        <v>1000000</v>
      </c>
      <c r="AL526" s="1170"/>
      <c r="AM526" s="1170"/>
      <c r="AN526" s="1209"/>
      <c r="AO526" s="1170"/>
      <c r="AP526" s="1209"/>
      <c r="AQ526" s="1128"/>
      <c r="AR526" s="1173"/>
      <c r="AT526" s="1173"/>
      <c r="AV526" s="1173"/>
      <c r="AX526" s="1173"/>
      <c r="AY526" s="1176"/>
      <c r="AZ526" s="1173"/>
    </row>
    <row r="527" spans="1:52" s="2" customFormat="1" x14ac:dyDescent="0.25">
      <c r="A527" s="19">
        <v>501</v>
      </c>
      <c r="B527" s="59">
        <v>9</v>
      </c>
      <c r="C527" s="40">
        <v>849120011</v>
      </c>
      <c r="D527" s="39" t="s">
        <v>899</v>
      </c>
      <c r="E527" s="23" t="s">
        <v>32</v>
      </c>
      <c r="F527" s="59">
        <v>2011</v>
      </c>
      <c r="G527" s="23" t="s">
        <v>33</v>
      </c>
      <c r="H527" s="60" t="str">
        <f t="shared" si="105"/>
        <v xml:space="preserve">   </v>
      </c>
      <c r="I527" s="60">
        <f t="shared" si="106"/>
        <v>41640</v>
      </c>
      <c r="J527" s="1239">
        <v>1250000</v>
      </c>
      <c r="K527" s="1126"/>
      <c r="L527" s="1178">
        <v>3000000</v>
      </c>
      <c r="M527" s="1124" t="s">
        <v>187</v>
      </c>
      <c r="N527" s="1178">
        <v>3000000</v>
      </c>
      <c r="O527" s="1124">
        <v>41276</v>
      </c>
      <c r="P527" s="1178">
        <v>3000000</v>
      </c>
      <c r="Q527" s="1124" t="s">
        <v>538</v>
      </c>
      <c r="R527" s="1178">
        <v>3000000</v>
      </c>
      <c r="S527" s="1124" t="s">
        <v>690</v>
      </c>
      <c r="T527" s="1224"/>
      <c r="U527" s="1263" t="s">
        <v>276</v>
      </c>
      <c r="V527" s="1260"/>
      <c r="W527" s="1245"/>
      <c r="X527" s="1260"/>
      <c r="Y527" s="1245"/>
      <c r="Z527" s="1260"/>
      <c r="AA527" s="1196"/>
      <c r="AB527" s="1205">
        <v>1000000</v>
      </c>
      <c r="AC527" s="1124">
        <v>41827</v>
      </c>
      <c r="AD527" s="1157"/>
      <c r="AE527" s="1158"/>
      <c r="AF527" s="1157"/>
      <c r="AG527" s="1158"/>
      <c r="AH527" s="1232" t="str">
        <f t="shared" si="110"/>
        <v>PI</v>
      </c>
      <c r="AI527" s="747">
        <f t="shared" ref="AI527:AI532" si="114">SUM(J527,L527,N527,P527,R527,T527,V527,X527,Z527,AB527,AD527,AF527)</f>
        <v>14250000</v>
      </c>
      <c r="AJ527" s="747">
        <f t="shared" ref="AJ527:AJ533" si="115">(COUNT(L527,N527,P527,R527,T527,V527,X527,Z527,AD527,AF527)*$L$517)+($J$517+$AB$517)</f>
        <v>14250000</v>
      </c>
      <c r="AK527" s="747">
        <f t="shared" ref="AK527:AK533" si="116">AJ527-AI527</f>
        <v>0</v>
      </c>
      <c r="AL527" s="1170"/>
      <c r="AM527" s="1170"/>
      <c r="AN527" s="1209"/>
      <c r="AO527" s="1170"/>
      <c r="AP527" s="1209"/>
      <c r="AQ527" s="1128"/>
      <c r="AR527" s="1173"/>
      <c r="AT527" s="1173"/>
      <c r="AV527" s="1173"/>
      <c r="AX527" s="1173"/>
      <c r="AY527" s="1176"/>
      <c r="AZ527" s="1173"/>
    </row>
    <row r="528" spans="1:52" s="2" customFormat="1" x14ac:dyDescent="0.25">
      <c r="A528" s="19">
        <v>502</v>
      </c>
      <c r="B528" s="57">
        <v>10</v>
      </c>
      <c r="C528" s="38">
        <v>849120012</v>
      </c>
      <c r="D528" s="37" t="s">
        <v>900</v>
      </c>
      <c r="E528" s="28" t="s">
        <v>32</v>
      </c>
      <c r="F528" s="57">
        <v>2011</v>
      </c>
      <c r="G528" s="28"/>
      <c r="H528" s="58" t="str">
        <f t="shared" si="105"/>
        <v xml:space="preserve">   </v>
      </c>
      <c r="I528" s="58" t="str">
        <f t="shared" si="106"/>
        <v xml:space="preserve">   </v>
      </c>
      <c r="J528" s="1125">
        <v>1250000</v>
      </c>
      <c r="K528" s="1126"/>
      <c r="L528" s="1130">
        <v>3000000</v>
      </c>
      <c r="M528" s="1126" t="s">
        <v>286</v>
      </c>
      <c r="N528" s="1130"/>
      <c r="O528" s="1146" t="s">
        <v>894</v>
      </c>
      <c r="P528" s="1130"/>
      <c r="Q528" s="1126"/>
      <c r="R528" s="1130"/>
      <c r="S528" s="1126"/>
      <c r="T528" s="1145"/>
      <c r="U528" s="1126"/>
      <c r="V528" s="1260"/>
      <c r="W528" s="1227"/>
      <c r="X528" s="1260"/>
      <c r="Y528" s="1245"/>
      <c r="Z528" s="1260"/>
      <c r="AA528" s="1196"/>
      <c r="AB528" s="1195"/>
      <c r="AC528" s="1196"/>
      <c r="AD528" s="1157"/>
      <c r="AE528" s="1158"/>
      <c r="AF528" s="1157"/>
      <c r="AG528" s="1158"/>
      <c r="AH528" s="1232" t="str">
        <f t="shared" si="110"/>
        <v>PI</v>
      </c>
      <c r="AI528" s="747">
        <f t="shared" si="114"/>
        <v>4250000</v>
      </c>
      <c r="AJ528" s="747">
        <f t="shared" si="115"/>
        <v>5250000</v>
      </c>
      <c r="AK528" s="747">
        <f t="shared" si="116"/>
        <v>1000000</v>
      </c>
      <c r="AL528" s="1170"/>
      <c r="AM528" s="1170"/>
      <c r="AN528" s="1209"/>
      <c r="AO528" s="1170"/>
      <c r="AP528" s="1209"/>
      <c r="AQ528" s="1128"/>
      <c r="AR528" s="1173"/>
      <c r="AT528" s="1173"/>
      <c r="AV528" s="1173"/>
      <c r="AX528" s="1173"/>
      <c r="AY528" s="1176"/>
      <c r="AZ528" s="1173"/>
    </row>
    <row r="529" spans="1:52" s="2" customFormat="1" x14ac:dyDescent="0.25">
      <c r="A529" s="19">
        <v>503</v>
      </c>
      <c r="B529" s="59">
        <v>11</v>
      </c>
      <c r="C529" s="40">
        <v>849120013</v>
      </c>
      <c r="D529" s="39" t="s">
        <v>901</v>
      </c>
      <c r="E529" s="23" t="s">
        <v>32</v>
      </c>
      <c r="F529" s="59">
        <v>2011</v>
      </c>
      <c r="G529" s="23"/>
      <c r="H529" s="60" t="str">
        <f t="shared" si="105"/>
        <v xml:space="preserve">   </v>
      </c>
      <c r="I529" s="60">
        <f t="shared" si="106"/>
        <v>42143</v>
      </c>
      <c r="J529" s="1239">
        <v>1250000</v>
      </c>
      <c r="K529" s="1126"/>
      <c r="L529" s="1178">
        <v>3000000</v>
      </c>
      <c r="M529" s="1124" t="s">
        <v>190</v>
      </c>
      <c r="N529" s="1178">
        <v>3000000</v>
      </c>
      <c r="O529" s="1124">
        <v>41396</v>
      </c>
      <c r="P529" s="1178">
        <v>3000000</v>
      </c>
      <c r="Q529" s="1124" t="s">
        <v>535</v>
      </c>
      <c r="R529" s="1178">
        <v>3000000</v>
      </c>
      <c r="S529" s="1124">
        <v>41914</v>
      </c>
      <c r="T529" s="1188">
        <v>3000000</v>
      </c>
      <c r="U529" s="1124" t="s">
        <v>257</v>
      </c>
      <c r="V529" s="1312"/>
      <c r="W529" s="1264" t="s">
        <v>276</v>
      </c>
      <c r="X529" s="1260"/>
      <c r="Y529" s="1245"/>
      <c r="Z529" s="1260"/>
      <c r="AA529" s="1196"/>
      <c r="AB529" s="1205">
        <v>1000000</v>
      </c>
      <c r="AC529" s="1124">
        <v>41914</v>
      </c>
      <c r="AD529" s="1157"/>
      <c r="AE529" s="1158"/>
      <c r="AF529" s="1157"/>
      <c r="AG529" s="1158"/>
      <c r="AH529" s="1232" t="str">
        <f t="shared" si="110"/>
        <v>PI</v>
      </c>
      <c r="AI529" s="747">
        <f t="shared" si="114"/>
        <v>17250000</v>
      </c>
      <c r="AJ529" s="747">
        <f t="shared" si="115"/>
        <v>17250000</v>
      </c>
      <c r="AK529" s="747">
        <f t="shared" si="116"/>
        <v>0</v>
      </c>
      <c r="AL529" s="1170"/>
      <c r="AM529" s="1170"/>
      <c r="AN529" s="1209"/>
      <c r="AO529" s="1170"/>
      <c r="AP529" s="1209"/>
      <c r="AQ529" s="1128"/>
      <c r="AR529" s="1173"/>
      <c r="AT529" s="1173"/>
      <c r="AV529" s="1173"/>
      <c r="AX529" s="1173"/>
      <c r="AY529" s="1176"/>
      <c r="AZ529" s="1173"/>
    </row>
    <row r="530" spans="1:52" s="2" customFormat="1" x14ac:dyDescent="0.25">
      <c r="A530" s="19">
        <v>504</v>
      </c>
      <c r="B530" s="59">
        <v>12</v>
      </c>
      <c r="C530" s="40">
        <v>849120014</v>
      </c>
      <c r="D530" s="39" t="s">
        <v>902</v>
      </c>
      <c r="E530" s="23" t="s">
        <v>32</v>
      </c>
      <c r="F530" s="59">
        <v>2011</v>
      </c>
      <c r="G530" s="23" t="s">
        <v>33</v>
      </c>
      <c r="H530" s="60">
        <f t="shared" si="105"/>
        <v>42691</v>
      </c>
      <c r="I530" s="60">
        <f t="shared" si="106"/>
        <v>42861</v>
      </c>
      <c r="J530" s="1239">
        <v>1250000</v>
      </c>
      <c r="K530" s="1126"/>
      <c r="L530" s="1178">
        <v>3000000</v>
      </c>
      <c r="M530" s="1124" t="s">
        <v>888</v>
      </c>
      <c r="N530" s="1178">
        <v>3000000</v>
      </c>
      <c r="O530" s="1124">
        <v>41488</v>
      </c>
      <c r="P530" s="1178">
        <v>3000000</v>
      </c>
      <c r="Q530" s="1124" t="s">
        <v>538</v>
      </c>
      <c r="R530" s="1178">
        <v>3000000</v>
      </c>
      <c r="S530" s="1124">
        <v>41700</v>
      </c>
      <c r="T530" s="1188">
        <v>3000000</v>
      </c>
      <c r="U530" s="1124" t="s">
        <v>903</v>
      </c>
      <c r="V530" s="1178">
        <v>3000000</v>
      </c>
      <c r="W530" s="1143" t="s">
        <v>904</v>
      </c>
      <c r="X530" s="1178">
        <v>3000000</v>
      </c>
      <c r="Y530" s="1143" t="s">
        <v>905</v>
      </c>
      <c r="Z530" s="1178">
        <v>3000000</v>
      </c>
      <c r="AA530" s="1143" t="s">
        <v>905</v>
      </c>
      <c r="AB530" s="1205">
        <v>1000000</v>
      </c>
      <c r="AC530" s="1124" t="s">
        <v>903</v>
      </c>
      <c r="AD530" s="1199">
        <v>3000000</v>
      </c>
      <c r="AE530" s="1206" t="s">
        <v>906</v>
      </c>
      <c r="AF530" s="1271" t="s">
        <v>907</v>
      </c>
      <c r="AG530" s="1278">
        <v>42693</v>
      </c>
      <c r="AH530" s="1232" t="str">
        <f t="shared" si="110"/>
        <v>PI</v>
      </c>
      <c r="AI530" s="747">
        <f t="shared" si="114"/>
        <v>29250000</v>
      </c>
      <c r="AJ530" s="747">
        <f t="shared" si="115"/>
        <v>29250000</v>
      </c>
      <c r="AK530" s="747">
        <f t="shared" si="116"/>
        <v>0</v>
      </c>
      <c r="AL530" s="1170"/>
      <c r="AM530" s="1170"/>
      <c r="AN530" s="1209"/>
      <c r="AO530" s="1170"/>
      <c r="AP530" s="1209"/>
      <c r="AQ530" s="1128"/>
      <c r="AR530" s="1173"/>
      <c r="AT530" s="1173"/>
      <c r="AV530" s="1173"/>
      <c r="AX530" s="1173"/>
      <c r="AY530" s="1176"/>
      <c r="AZ530" s="1173"/>
    </row>
    <row r="531" spans="1:52" s="2" customFormat="1" x14ac:dyDescent="0.25">
      <c r="A531" s="19">
        <v>505</v>
      </c>
      <c r="B531" s="59">
        <v>13</v>
      </c>
      <c r="C531" s="40">
        <v>849120015</v>
      </c>
      <c r="D531" s="39" t="s">
        <v>908</v>
      </c>
      <c r="E531" s="23" t="s">
        <v>32</v>
      </c>
      <c r="F531" s="59">
        <v>2011</v>
      </c>
      <c r="G531" s="23" t="s">
        <v>33</v>
      </c>
      <c r="H531" s="60">
        <f t="shared" si="105"/>
        <v>42803</v>
      </c>
      <c r="I531" s="60" t="str">
        <f t="shared" si="106"/>
        <v xml:space="preserve">   </v>
      </c>
      <c r="J531" s="1239">
        <v>1250000</v>
      </c>
      <c r="K531" s="1126"/>
      <c r="L531" s="1178">
        <v>3000000</v>
      </c>
      <c r="M531" s="1124">
        <v>41220</v>
      </c>
      <c r="N531" s="1178">
        <v>3000000</v>
      </c>
      <c r="O531" s="1124">
        <v>41276</v>
      </c>
      <c r="P531" s="1178">
        <v>3000000</v>
      </c>
      <c r="Q531" s="1124" t="s">
        <v>909</v>
      </c>
      <c r="R531" s="1178">
        <v>3000000</v>
      </c>
      <c r="S531" s="1124" t="s">
        <v>910</v>
      </c>
      <c r="T531" s="1192" t="s">
        <v>137</v>
      </c>
      <c r="U531" s="1144" t="s">
        <v>137</v>
      </c>
      <c r="V531" s="1178">
        <v>3000000</v>
      </c>
      <c r="W531" s="1143">
        <v>42280</v>
      </c>
      <c r="X531" s="1178">
        <v>3000000</v>
      </c>
      <c r="Y531" s="1143">
        <v>42714</v>
      </c>
      <c r="Z531" s="1178">
        <v>3000000</v>
      </c>
      <c r="AA531" s="1143">
        <v>42714</v>
      </c>
      <c r="AB531" s="1205">
        <v>1000000</v>
      </c>
      <c r="AC531" s="1124">
        <v>42714</v>
      </c>
      <c r="AD531" s="1199">
        <v>3000000</v>
      </c>
      <c r="AE531" s="1206">
        <v>42714</v>
      </c>
      <c r="AF531" s="1199">
        <v>3000000</v>
      </c>
      <c r="AG531" s="1295" t="s">
        <v>911</v>
      </c>
      <c r="AH531" s="1232" t="str">
        <f t="shared" si="110"/>
        <v>PI</v>
      </c>
      <c r="AI531" s="747">
        <f t="shared" si="114"/>
        <v>29250000</v>
      </c>
      <c r="AJ531" s="747">
        <f t="shared" si="115"/>
        <v>29250000</v>
      </c>
      <c r="AK531" s="747">
        <f t="shared" si="116"/>
        <v>0</v>
      </c>
      <c r="AL531" s="1170"/>
      <c r="AM531" s="1170"/>
      <c r="AN531" s="1209"/>
      <c r="AO531" s="1170"/>
      <c r="AP531" s="1209"/>
      <c r="AQ531" s="1128"/>
      <c r="AR531" s="1173"/>
      <c r="AT531" s="1173"/>
      <c r="AV531" s="1173"/>
      <c r="AX531" s="1173"/>
      <c r="AY531" s="1176"/>
      <c r="AZ531" s="1173"/>
    </row>
    <row r="532" spans="1:52" s="2" customFormat="1" x14ac:dyDescent="0.25">
      <c r="A532" s="19">
        <v>506</v>
      </c>
      <c r="B532" s="57">
        <v>14</v>
      </c>
      <c r="C532" s="38">
        <v>849120016</v>
      </c>
      <c r="D532" s="37" t="s">
        <v>912</v>
      </c>
      <c r="E532" s="28" t="s">
        <v>32</v>
      </c>
      <c r="F532" s="57">
        <v>2011</v>
      </c>
      <c r="G532" s="28"/>
      <c r="H532" s="58" t="str">
        <f t="shared" si="105"/>
        <v xml:space="preserve">   </v>
      </c>
      <c r="I532" s="58" t="str">
        <f t="shared" si="106"/>
        <v xml:space="preserve">   </v>
      </c>
      <c r="J532" s="1125">
        <v>1250000</v>
      </c>
      <c r="K532" s="1126"/>
      <c r="L532" s="1130">
        <v>3000000</v>
      </c>
      <c r="M532" s="1126" t="s">
        <v>286</v>
      </c>
      <c r="N532" s="1130"/>
      <c r="O532" s="1146" t="s">
        <v>894</v>
      </c>
      <c r="P532" s="1130"/>
      <c r="Q532" s="1126"/>
      <c r="R532" s="1130"/>
      <c r="S532" s="1126"/>
      <c r="T532" s="1145"/>
      <c r="U532" s="1126"/>
      <c r="V532" s="1130"/>
      <c r="W532" s="1227"/>
      <c r="X532" s="1130"/>
      <c r="Y532" s="1227"/>
      <c r="Z532" s="1260"/>
      <c r="AA532" s="1196"/>
      <c r="AB532" s="1198"/>
      <c r="AC532" s="1196"/>
      <c r="AD532" s="1246"/>
      <c r="AE532" s="1247"/>
      <c r="AF532" s="1246"/>
      <c r="AG532" s="1247"/>
      <c r="AH532" s="1232" t="str">
        <f t="shared" si="110"/>
        <v>PI</v>
      </c>
      <c r="AI532" s="747">
        <f t="shared" si="114"/>
        <v>4250000</v>
      </c>
      <c r="AJ532" s="747">
        <f t="shared" si="115"/>
        <v>5250000</v>
      </c>
      <c r="AK532" s="747">
        <f t="shared" si="116"/>
        <v>1000000</v>
      </c>
      <c r="AL532" s="1170"/>
      <c r="AM532" s="1170"/>
      <c r="AN532" s="1209"/>
      <c r="AO532" s="1170"/>
      <c r="AP532" s="1209"/>
      <c r="AQ532" s="1128"/>
      <c r="AR532" s="1173"/>
      <c r="AT532" s="1173"/>
      <c r="AV532" s="1173"/>
      <c r="AX532" s="1173"/>
      <c r="AY532" s="1176"/>
      <c r="AZ532" s="1173"/>
    </row>
    <row r="533" spans="1:52" s="2" customFormat="1" x14ac:dyDescent="0.25">
      <c r="A533" s="19">
        <v>507</v>
      </c>
      <c r="B533" s="59">
        <v>15</v>
      </c>
      <c r="C533" s="40">
        <v>849120017</v>
      </c>
      <c r="D533" s="39" t="s">
        <v>913</v>
      </c>
      <c r="E533" s="23" t="s">
        <v>32</v>
      </c>
      <c r="F533" s="59">
        <v>2011</v>
      </c>
      <c r="G533" s="23" t="s">
        <v>33</v>
      </c>
      <c r="H533" s="60" t="str">
        <f t="shared" si="105"/>
        <v xml:space="preserve">   </v>
      </c>
      <c r="I533" s="60">
        <f t="shared" si="106"/>
        <v>42504</v>
      </c>
      <c r="J533" s="1239">
        <v>1250000</v>
      </c>
      <c r="K533" s="1126"/>
      <c r="L533" s="1178">
        <v>3000000</v>
      </c>
      <c r="M533" s="1124" t="s">
        <v>792</v>
      </c>
      <c r="N533" s="1178">
        <f>3000000+1500000</f>
        <v>4500000</v>
      </c>
      <c r="O533" s="1124">
        <v>41914</v>
      </c>
      <c r="P533" s="1178">
        <v>3000000</v>
      </c>
      <c r="Q533" s="1124">
        <v>41313</v>
      </c>
      <c r="R533" s="1178">
        <v>3000000</v>
      </c>
      <c r="S533" s="1124">
        <v>41914</v>
      </c>
      <c r="T533" s="1188">
        <v>3000000</v>
      </c>
      <c r="U533" s="1124" t="s">
        <v>914</v>
      </c>
      <c r="V533" s="1178">
        <v>3000000</v>
      </c>
      <c r="W533" s="1143" t="s">
        <v>914</v>
      </c>
      <c r="X533" s="1178">
        <v>3000000</v>
      </c>
      <c r="Y533" s="1143" t="s">
        <v>914</v>
      </c>
      <c r="Z533" s="1259" t="s">
        <v>276</v>
      </c>
      <c r="AA533" s="1146"/>
      <c r="AB533" s="1205">
        <v>1000000</v>
      </c>
      <c r="AC533" s="1124">
        <v>41914</v>
      </c>
      <c r="AD533" s="1243"/>
      <c r="AE533" s="1158"/>
      <c r="AF533" s="1243"/>
      <c r="AG533" s="1158"/>
      <c r="AH533" s="1232" t="str">
        <f t="shared" si="110"/>
        <v>PI</v>
      </c>
      <c r="AI533" s="747" t="e">
        <f>SUM(J533,L533,N533,P533,R533,T533,V533,X533,Z533,AB533,AD533,AF533,#REF!)</f>
        <v>#REF!</v>
      </c>
      <c r="AJ533" s="747">
        <f t="shared" si="115"/>
        <v>23250000</v>
      </c>
      <c r="AK533" s="747" t="e">
        <f t="shared" si="116"/>
        <v>#REF!</v>
      </c>
      <c r="AL533" s="1170"/>
      <c r="AM533" s="1170"/>
      <c r="AN533" s="1209"/>
      <c r="AO533" s="1170"/>
      <c r="AP533" s="1209"/>
      <c r="AQ533" s="1128"/>
      <c r="AR533" s="1173"/>
      <c r="AT533" s="1173"/>
      <c r="AV533" s="1173"/>
      <c r="AX533" s="1173"/>
      <c r="AY533" s="1176"/>
      <c r="AZ533" s="1173"/>
    </row>
    <row r="534" spans="1:52" s="2" customFormat="1" x14ac:dyDescent="0.25">
      <c r="A534" s="19">
        <v>508</v>
      </c>
      <c r="B534" s="59">
        <v>16</v>
      </c>
      <c r="C534" s="40">
        <v>849120018</v>
      </c>
      <c r="D534" s="39" t="s">
        <v>915</v>
      </c>
      <c r="E534" s="23" t="s">
        <v>32</v>
      </c>
      <c r="F534" s="59">
        <v>2011</v>
      </c>
      <c r="G534" s="23" t="s">
        <v>33</v>
      </c>
      <c r="H534" s="60" t="str">
        <f t="shared" si="105"/>
        <v xml:space="preserve">   </v>
      </c>
      <c r="I534" s="60">
        <f t="shared" si="106"/>
        <v>41640</v>
      </c>
      <c r="J534" s="1239">
        <v>1250000</v>
      </c>
      <c r="K534" s="1126"/>
      <c r="L534" s="1178">
        <v>3000000</v>
      </c>
      <c r="M534" s="1124" t="s">
        <v>286</v>
      </c>
      <c r="N534" s="1178">
        <v>2000000</v>
      </c>
      <c r="O534" s="1124" t="s">
        <v>845</v>
      </c>
      <c r="P534" s="1178">
        <v>4000000</v>
      </c>
      <c r="Q534" s="1124" t="s">
        <v>624</v>
      </c>
      <c r="R534" s="1178">
        <v>3000000</v>
      </c>
      <c r="S534" s="1124">
        <v>41795</v>
      </c>
      <c r="T534" s="1224"/>
      <c r="U534" s="1263" t="s">
        <v>276</v>
      </c>
      <c r="V534" s="1260"/>
      <c r="W534" s="1245"/>
      <c r="X534" s="1260"/>
      <c r="Y534" s="1196"/>
      <c r="Z534" s="1260"/>
      <c r="AA534" s="1196"/>
      <c r="AB534" s="1205">
        <v>1000000</v>
      </c>
      <c r="AC534" s="1124">
        <v>41827</v>
      </c>
      <c r="AD534" s="1243"/>
      <c r="AE534" s="1158"/>
      <c r="AF534" s="1243"/>
      <c r="AG534" s="1158"/>
      <c r="AH534" s="1232" t="str">
        <f t="shared" si="110"/>
        <v>PI</v>
      </c>
      <c r="AI534" s="747">
        <f t="shared" ref="AI534:AI540" si="117">SUM(J534,L534,N534,P534,R534,T534,V534,X534,Z534,AB534,AD534,AF534)</f>
        <v>14250000</v>
      </c>
      <c r="AJ534" s="747">
        <f t="shared" ref="AJ534:AJ544" si="118">(COUNT(L534,N534,P534,R534,T534,V534,X534,Z534,AD534,AF534)*$L$517)+($J$517+$AB$517)</f>
        <v>14250000</v>
      </c>
      <c r="AK534" s="747">
        <f t="shared" ref="AK534:AK544" si="119">AJ534-AI534</f>
        <v>0</v>
      </c>
      <c r="AL534" s="1170"/>
      <c r="AM534" s="1170"/>
      <c r="AN534" s="1209"/>
      <c r="AO534" s="1170"/>
      <c r="AP534" s="1209"/>
      <c r="AQ534" s="1128"/>
      <c r="AR534" s="1173"/>
      <c r="AT534" s="1173"/>
      <c r="AV534" s="1173"/>
      <c r="AX534" s="1173"/>
      <c r="AY534" s="1176"/>
      <c r="AZ534" s="1173"/>
    </row>
    <row r="535" spans="1:52" s="2" customFormat="1" x14ac:dyDescent="0.25">
      <c r="A535" s="19">
        <v>509</v>
      </c>
      <c r="B535" s="59">
        <v>17</v>
      </c>
      <c r="C535" s="40">
        <v>849120019</v>
      </c>
      <c r="D535" s="39" t="s">
        <v>916</v>
      </c>
      <c r="E535" s="23" t="s">
        <v>32</v>
      </c>
      <c r="F535" s="59">
        <v>2011</v>
      </c>
      <c r="G535" s="23" t="s">
        <v>33</v>
      </c>
      <c r="H535" s="60" t="str">
        <f t="shared" si="105"/>
        <v xml:space="preserve">   </v>
      </c>
      <c r="I535" s="60">
        <f t="shared" si="106"/>
        <v>41640</v>
      </c>
      <c r="J535" s="1239">
        <v>1250000</v>
      </c>
      <c r="K535" s="1126"/>
      <c r="L535" s="1178">
        <v>3000000</v>
      </c>
      <c r="M535" s="1124">
        <v>41250</v>
      </c>
      <c r="N535" s="1178">
        <v>3000000</v>
      </c>
      <c r="O535" s="1124">
        <v>41366</v>
      </c>
      <c r="P535" s="1178">
        <v>3000000</v>
      </c>
      <c r="Q535" s="1124" t="s">
        <v>535</v>
      </c>
      <c r="R535" s="1178">
        <v>3000000</v>
      </c>
      <c r="S535" s="1124">
        <v>41796</v>
      </c>
      <c r="T535" s="1224"/>
      <c r="U535" s="1263" t="s">
        <v>276</v>
      </c>
      <c r="V535" s="1260"/>
      <c r="W535" s="1245"/>
      <c r="X535" s="1260"/>
      <c r="Y535" s="1196"/>
      <c r="Z535" s="1260"/>
      <c r="AA535" s="1196"/>
      <c r="AB535" s="1205">
        <v>1000000</v>
      </c>
      <c r="AC535" s="1196"/>
      <c r="AD535" s="1243"/>
      <c r="AE535" s="1158"/>
      <c r="AF535" s="1243"/>
      <c r="AG535" s="1158"/>
      <c r="AH535" s="1232" t="str">
        <f t="shared" si="110"/>
        <v>PI</v>
      </c>
      <c r="AI535" s="747">
        <f t="shared" si="117"/>
        <v>14250000</v>
      </c>
      <c r="AJ535" s="747">
        <f t="shared" si="118"/>
        <v>14250000</v>
      </c>
      <c r="AK535" s="747">
        <f t="shared" si="119"/>
        <v>0</v>
      </c>
      <c r="AL535" s="1170"/>
      <c r="AM535" s="1170"/>
      <c r="AN535" s="1209"/>
      <c r="AO535" s="1170"/>
      <c r="AP535" s="1209"/>
      <c r="AQ535" s="1128"/>
      <c r="AR535" s="1173"/>
      <c r="AT535" s="1173"/>
      <c r="AV535" s="1173"/>
      <c r="AX535" s="1173"/>
      <c r="AY535" s="1176"/>
      <c r="AZ535" s="1173"/>
    </row>
    <row r="536" spans="1:52" s="2" customFormat="1" x14ac:dyDescent="0.25">
      <c r="A536" s="19">
        <v>510</v>
      </c>
      <c r="B536" s="59">
        <v>18</v>
      </c>
      <c r="C536" s="40">
        <v>849120020</v>
      </c>
      <c r="D536" s="39" t="s">
        <v>917</v>
      </c>
      <c r="E536" s="23" t="s">
        <v>32</v>
      </c>
      <c r="F536" s="59">
        <v>2011</v>
      </c>
      <c r="G536" s="23" t="s">
        <v>33</v>
      </c>
      <c r="H536" s="60" t="str">
        <f t="shared" si="105"/>
        <v xml:space="preserve">   </v>
      </c>
      <c r="I536" s="60">
        <f t="shared" si="106"/>
        <v>41640</v>
      </c>
      <c r="J536" s="1239">
        <v>1250000</v>
      </c>
      <c r="K536" s="1126"/>
      <c r="L536" s="1178">
        <v>3000000</v>
      </c>
      <c r="M536" s="1124">
        <v>41220</v>
      </c>
      <c r="N536" s="1178">
        <v>3000000</v>
      </c>
      <c r="O536" s="1124">
        <v>41366</v>
      </c>
      <c r="P536" s="1178">
        <v>3000000</v>
      </c>
      <c r="Q536" s="1124" t="s">
        <v>655</v>
      </c>
      <c r="R536" s="1178">
        <v>3000000</v>
      </c>
      <c r="S536" s="1124" t="s">
        <v>918</v>
      </c>
      <c r="T536" s="1224"/>
      <c r="U536" s="1263" t="s">
        <v>276</v>
      </c>
      <c r="V536" s="1260"/>
      <c r="W536" s="1245"/>
      <c r="X536" s="1260"/>
      <c r="Y536" s="1196"/>
      <c r="Z536" s="1260"/>
      <c r="AA536" s="1196"/>
      <c r="AB536" s="1205">
        <v>1000000</v>
      </c>
      <c r="AC536" s="1196"/>
      <c r="AD536" s="1243"/>
      <c r="AE536" s="1158"/>
      <c r="AF536" s="1243"/>
      <c r="AG536" s="1158"/>
      <c r="AH536" s="1232" t="str">
        <f t="shared" si="110"/>
        <v>PI</v>
      </c>
      <c r="AI536" s="747">
        <f t="shared" si="117"/>
        <v>14250000</v>
      </c>
      <c r="AJ536" s="747">
        <f t="shared" si="118"/>
        <v>14250000</v>
      </c>
      <c r="AK536" s="747">
        <f t="shared" si="119"/>
        <v>0</v>
      </c>
      <c r="AL536" s="1170"/>
      <c r="AM536" s="1170"/>
      <c r="AN536" s="1209"/>
      <c r="AO536" s="1170"/>
      <c r="AP536" s="1209"/>
      <c r="AQ536" s="1128"/>
      <c r="AR536" s="1173"/>
      <c r="AT536" s="1173"/>
      <c r="AV536" s="1173"/>
      <c r="AX536" s="1173"/>
      <c r="AY536" s="1176"/>
      <c r="AZ536" s="1173"/>
    </row>
    <row r="537" spans="1:52" s="2" customFormat="1" x14ac:dyDescent="0.25">
      <c r="A537" s="19">
        <v>511</v>
      </c>
      <c r="B537" s="57">
        <v>19</v>
      </c>
      <c r="C537" s="38">
        <v>849120021</v>
      </c>
      <c r="D537" s="37" t="s">
        <v>919</v>
      </c>
      <c r="E537" s="28" t="s">
        <v>32</v>
      </c>
      <c r="F537" s="57">
        <v>2011</v>
      </c>
      <c r="G537" s="28"/>
      <c r="H537" s="58" t="str">
        <f t="shared" si="105"/>
        <v xml:space="preserve">   </v>
      </c>
      <c r="I537" s="58" t="str">
        <f t="shared" si="106"/>
        <v xml:space="preserve">   </v>
      </c>
      <c r="J537" s="1130">
        <v>1250000</v>
      </c>
      <c r="K537" s="1126"/>
      <c r="L537" s="1130">
        <v>3000000</v>
      </c>
      <c r="M537" s="1126" t="s">
        <v>286</v>
      </c>
      <c r="N537" s="1130">
        <v>3000000</v>
      </c>
      <c r="O537" s="1126">
        <v>41488</v>
      </c>
      <c r="P537" s="1130">
        <v>3000000</v>
      </c>
      <c r="Q537" s="1126" t="s">
        <v>681</v>
      </c>
      <c r="R537" s="1130">
        <v>2350000</v>
      </c>
      <c r="S537" s="1126"/>
      <c r="T537" s="1145"/>
      <c r="U537" s="1146" t="s">
        <v>894</v>
      </c>
      <c r="V537" s="1260"/>
      <c r="W537" s="1245"/>
      <c r="X537" s="1260"/>
      <c r="Y537" s="1196"/>
      <c r="Z537" s="1260"/>
      <c r="AA537" s="1126"/>
      <c r="AB537" s="1195"/>
      <c r="AC537" s="1196"/>
      <c r="AD537" s="1243"/>
      <c r="AE537" s="1158"/>
      <c r="AF537" s="1243"/>
      <c r="AG537" s="1158"/>
      <c r="AH537" s="1232" t="str">
        <f t="shared" si="110"/>
        <v>PI</v>
      </c>
      <c r="AI537" s="747">
        <f t="shared" si="117"/>
        <v>12600000</v>
      </c>
      <c r="AJ537" s="747">
        <f t="shared" si="118"/>
        <v>14250000</v>
      </c>
      <c r="AK537" s="747">
        <f t="shared" si="119"/>
        <v>1650000</v>
      </c>
      <c r="AL537" s="1170"/>
      <c r="AM537" s="1170"/>
      <c r="AN537" s="1209"/>
      <c r="AO537" s="1170"/>
      <c r="AP537" s="1209"/>
      <c r="AQ537" s="1128"/>
      <c r="AR537" s="1173"/>
      <c r="AT537" s="1173"/>
      <c r="AV537" s="1173"/>
      <c r="AX537" s="1173"/>
      <c r="AY537" s="1176"/>
      <c r="AZ537" s="1173"/>
    </row>
    <row r="538" spans="1:52" s="2" customFormat="1" x14ac:dyDescent="0.25">
      <c r="A538" s="19">
        <v>512</v>
      </c>
      <c r="B538" s="59">
        <v>20</v>
      </c>
      <c r="C538" s="40">
        <v>849120022</v>
      </c>
      <c r="D538" s="39" t="s">
        <v>920</v>
      </c>
      <c r="E538" s="23" t="s">
        <v>32</v>
      </c>
      <c r="F538" s="59">
        <v>2011</v>
      </c>
      <c r="G538" s="23" t="s">
        <v>33</v>
      </c>
      <c r="H538" s="60" t="str">
        <f t="shared" si="105"/>
        <v xml:space="preserve">   </v>
      </c>
      <c r="I538" s="60">
        <f t="shared" si="106"/>
        <v>41640</v>
      </c>
      <c r="J538" s="1239">
        <v>1250000</v>
      </c>
      <c r="K538" s="1126"/>
      <c r="L538" s="1178">
        <v>3000000</v>
      </c>
      <c r="M538" s="1124">
        <v>41220</v>
      </c>
      <c r="N538" s="1178">
        <v>3000000</v>
      </c>
      <c r="O538" s="1124">
        <v>41396</v>
      </c>
      <c r="P538" s="1178">
        <v>3000000</v>
      </c>
      <c r="Q538" s="1124" t="s">
        <v>538</v>
      </c>
      <c r="R538" s="1178">
        <v>3000000</v>
      </c>
      <c r="S538" s="1124">
        <v>41731</v>
      </c>
      <c r="T538" s="1224"/>
      <c r="U538" s="1263" t="s">
        <v>276</v>
      </c>
      <c r="V538" s="1260"/>
      <c r="W538" s="1245"/>
      <c r="X538" s="1130"/>
      <c r="Y538" s="1126"/>
      <c r="Z538" s="1130"/>
      <c r="AA538" s="1126"/>
      <c r="AB538" s="1205">
        <v>1000000</v>
      </c>
      <c r="AC538" s="1126"/>
      <c r="AD538" s="1243"/>
      <c r="AE538" s="1158"/>
      <c r="AF538" s="1243"/>
      <c r="AG538" s="1158"/>
      <c r="AH538" s="1232" t="str">
        <f t="shared" si="110"/>
        <v>PI</v>
      </c>
      <c r="AI538" s="747">
        <f t="shared" si="117"/>
        <v>14250000</v>
      </c>
      <c r="AJ538" s="747">
        <f t="shared" si="118"/>
        <v>14250000</v>
      </c>
      <c r="AK538" s="747">
        <f t="shared" si="119"/>
        <v>0</v>
      </c>
      <c r="AL538" s="1170"/>
      <c r="AM538" s="1170"/>
      <c r="AN538" s="1209"/>
      <c r="AO538" s="1170"/>
      <c r="AP538" s="1209"/>
      <c r="AQ538" s="1128"/>
      <c r="AR538" s="1173"/>
      <c r="AT538" s="1173"/>
      <c r="AV538" s="1173"/>
      <c r="AX538" s="1173"/>
      <c r="AY538" s="1176"/>
      <c r="AZ538" s="1173"/>
    </row>
    <row r="539" spans="1:52" s="2" customFormat="1" x14ac:dyDescent="0.25">
      <c r="A539" s="19">
        <v>513</v>
      </c>
      <c r="B539" s="57">
        <v>21</v>
      </c>
      <c r="C539" s="38">
        <v>849120023</v>
      </c>
      <c r="D539" s="37" t="s">
        <v>921</v>
      </c>
      <c r="E539" s="28" t="s">
        <v>32</v>
      </c>
      <c r="F539" s="57">
        <v>2011</v>
      </c>
      <c r="G539" s="28"/>
      <c r="H539" s="58" t="str">
        <f t="shared" si="105"/>
        <v xml:space="preserve">   </v>
      </c>
      <c r="I539" s="58">
        <f t="shared" si="106"/>
        <v>41640</v>
      </c>
      <c r="J539" s="1239">
        <v>1250000</v>
      </c>
      <c r="K539" s="1126"/>
      <c r="L539" s="1130">
        <v>3000000</v>
      </c>
      <c r="M539" s="1126" t="s">
        <v>922</v>
      </c>
      <c r="N539" s="1130">
        <v>3000000</v>
      </c>
      <c r="O539" s="1126">
        <v>41457</v>
      </c>
      <c r="P539" s="1130">
        <v>3000000</v>
      </c>
      <c r="Q539" s="1126">
        <v>41313</v>
      </c>
      <c r="R539" s="1130">
        <v>3000000</v>
      </c>
      <c r="S539" s="1126">
        <v>41700</v>
      </c>
      <c r="T539" s="1145"/>
      <c r="U539" s="1146" t="s">
        <v>894</v>
      </c>
      <c r="V539" s="1306"/>
      <c r="W539" s="1256"/>
      <c r="X539" s="1306"/>
      <c r="Y539" s="1258"/>
      <c r="Z539" s="1130"/>
      <c r="AA539" s="1126"/>
      <c r="AB539" s="1198"/>
      <c r="AC539" s="1126"/>
      <c r="AD539" s="1157"/>
      <c r="AE539" s="1158"/>
      <c r="AF539" s="1157"/>
      <c r="AG539" s="1158"/>
      <c r="AH539" s="1232" t="str">
        <f t="shared" si="110"/>
        <v>PI</v>
      </c>
      <c r="AI539" s="747">
        <f t="shared" si="117"/>
        <v>13250000</v>
      </c>
      <c r="AJ539" s="747">
        <f t="shared" si="118"/>
        <v>14250000</v>
      </c>
      <c r="AK539" s="747">
        <f t="shared" si="119"/>
        <v>1000000</v>
      </c>
      <c r="AL539" s="1170"/>
      <c r="AM539" s="1170"/>
      <c r="AN539" s="1209"/>
      <c r="AO539" s="1170"/>
      <c r="AP539" s="1209"/>
      <c r="AQ539" s="1128"/>
      <c r="AR539" s="1173"/>
      <c r="AT539" s="1173"/>
      <c r="AV539" s="1173"/>
      <c r="AX539" s="1173"/>
      <c r="AY539" s="1176"/>
      <c r="AZ539" s="1173"/>
    </row>
    <row r="540" spans="1:52" s="2" customFormat="1" x14ac:dyDescent="0.25">
      <c r="A540" s="19">
        <v>514</v>
      </c>
      <c r="B540" s="59">
        <v>22</v>
      </c>
      <c r="C540" s="40">
        <v>849120024</v>
      </c>
      <c r="D540" s="39" t="s">
        <v>923</v>
      </c>
      <c r="E540" s="23" t="s">
        <v>32</v>
      </c>
      <c r="F540" s="59">
        <v>2011</v>
      </c>
      <c r="G540" s="23" t="s">
        <v>33</v>
      </c>
      <c r="H540" s="60" t="str">
        <f t="shared" si="105"/>
        <v xml:space="preserve">   </v>
      </c>
      <c r="I540" s="60">
        <f t="shared" si="106"/>
        <v>41640</v>
      </c>
      <c r="J540" s="1239">
        <v>1250000</v>
      </c>
      <c r="K540" s="1126"/>
      <c r="L540" s="1178">
        <v>3000000</v>
      </c>
      <c r="M540" s="1124" t="s">
        <v>187</v>
      </c>
      <c r="N540" s="1178">
        <v>3000000</v>
      </c>
      <c r="O540" s="1124">
        <v>41610</v>
      </c>
      <c r="P540" s="1178">
        <v>3000000</v>
      </c>
      <c r="Q540" s="1124" t="s">
        <v>652</v>
      </c>
      <c r="R540" s="1178">
        <v>3000000</v>
      </c>
      <c r="S540" s="1124">
        <v>41792</v>
      </c>
      <c r="T540" s="1224"/>
      <c r="U540" s="1263" t="s">
        <v>276</v>
      </c>
      <c r="V540" s="1306"/>
      <c r="W540" s="1256"/>
      <c r="X540" s="1306"/>
      <c r="Y540" s="1258"/>
      <c r="Z540" s="1130"/>
      <c r="AA540" s="1126"/>
      <c r="AB540" s="1205">
        <v>1000000</v>
      </c>
      <c r="AC540" s="1126"/>
      <c r="AD540" s="1243"/>
      <c r="AE540" s="1158"/>
      <c r="AF540" s="1243"/>
      <c r="AG540" s="1158"/>
      <c r="AH540" s="1232" t="str">
        <f t="shared" si="110"/>
        <v>PI</v>
      </c>
      <c r="AI540" s="747">
        <f t="shared" si="117"/>
        <v>14250000</v>
      </c>
      <c r="AJ540" s="747">
        <f t="shared" si="118"/>
        <v>14250000</v>
      </c>
      <c r="AK540" s="747">
        <f t="shared" si="119"/>
        <v>0</v>
      </c>
      <c r="AL540" s="1170"/>
      <c r="AM540" s="1170"/>
      <c r="AN540" s="1209"/>
      <c r="AO540" s="1170"/>
      <c r="AP540" s="1209"/>
      <c r="AQ540" s="1128"/>
      <c r="AR540" s="1173"/>
      <c r="AT540" s="1173"/>
      <c r="AV540" s="1173"/>
      <c r="AX540" s="1173"/>
      <c r="AY540" s="1176"/>
      <c r="AZ540" s="1173"/>
    </row>
    <row r="541" spans="1:52" s="2" customFormat="1" x14ac:dyDescent="0.25">
      <c r="A541" s="19">
        <v>515</v>
      </c>
      <c r="B541" s="59">
        <v>23</v>
      </c>
      <c r="C541" s="40">
        <v>849120025</v>
      </c>
      <c r="D541" s="39" t="s">
        <v>924</v>
      </c>
      <c r="E541" s="23" t="s">
        <v>32</v>
      </c>
      <c r="F541" s="59">
        <v>2011</v>
      </c>
      <c r="G541" s="23" t="s">
        <v>33</v>
      </c>
      <c r="H541" s="60" t="str">
        <f t="shared" si="105"/>
        <v xml:space="preserve">   </v>
      </c>
      <c r="I541" s="60">
        <f t="shared" si="106"/>
        <v>41640</v>
      </c>
      <c r="J541" s="1239"/>
      <c r="K541" s="1126"/>
      <c r="L541" s="1178">
        <f>1000000+250000+1000000</f>
        <v>2250000</v>
      </c>
      <c r="M541" s="1124" t="s">
        <v>528</v>
      </c>
      <c r="N541" s="1178">
        <v>3000000</v>
      </c>
      <c r="O541" s="1124">
        <v>41488</v>
      </c>
      <c r="P541" s="1178">
        <v>3000000</v>
      </c>
      <c r="Q541" s="1124" t="s">
        <v>732</v>
      </c>
      <c r="R541" s="1178">
        <f>1000000+2000000</f>
        <v>3000000</v>
      </c>
      <c r="S541" s="1124">
        <v>41792</v>
      </c>
      <c r="T541" s="1224"/>
      <c r="U541" s="1263" t="s">
        <v>276</v>
      </c>
      <c r="V541" s="1306"/>
      <c r="W541" s="1256"/>
      <c r="X541" s="1306"/>
      <c r="Y541" s="1258"/>
      <c r="Z541" s="1260"/>
      <c r="AA541" s="1196"/>
      <c r="AB541" s="1205">
        <v>1000000</v>
      </c>
      <c r="AC541" s="1196"/>
      <c r="AD541" s="1243"/>
      <c r="AE541" s="1158"/>
      <c r="AF541" s="1243"/>
      <c r="AG541" s="1158"/>
      <c r="AH541" s="1232" t="str">
        <f t="shared" si="110"/>
        <v>PI</v>
      </c>
      <c r="AI541" s="747" t="e">
        <f>SUM(J541,L541,N541,P541,R541,T541,V541,X541,Z541,AB541,AD541,AF541,#REF!,#REF!,#REF!)</f>
        <v>#REF!</v>
      </c>
      <c r="AJ541" s="747">
        <f t="shared" si="118"/>
        <v>14250000</v>
      </c>
      <c r="AK541" s="747" t="e">
        <f t="shared" si="119"/>
        <v>#REF!</v>
      </c>
      <c r="AL541" s="1170"/>
      <c r="AM541" s="1170"/>
      <c r="AN541" s="1209"/>
      <c r="AO541" s="1170"/>
      <c r="AP541" s="1209"/>
      <c r="AQ541" s="1128"/>
      <c r="AR541" s="1173"/>
      <c r="AT541" s="1173"/>
      <c r="AV541" s="1173"/>
      <c r="AX541" s="1173"/>
      <c r="AY541" s="1176"/>
      <c r="AZ541" s="1173"/>
    </row>
    <row r="542" spans="1:52" s="2" customFormat="1" x14ac:dyDescent="0.25">
      <c r="A542" s="19">
        <v>516</v>
      </c>
      <c r="B542" s="59">
        <v>24</v>
      </c>
      <c r="C542" s="40">
        <v>849120026</v>
      </c>
      <c r="D542" s="39" t="s">
        <v>925</v>
      </c>
      <c r="E542" s="23" t="s">
        <v>32</v>
      </c>
      <c r="F542" s="59">
        <v>2011</v>
      </c>
      <c r="G542" s="23" t="s">
        <v>33</v>
      </c>
      <c r="H542" s="60" t="str">
        <f t="shared" si="105"/>
        <v xml:space="preserve">   </v>
      </c>
      <c r="I542" s="60">
        <f t="shared" si="106"/>
        <v>41640</v>
      </c>
      <c r="J542" s="1239">
        <v>1250000</v>
      </c>
      <c r="K542" s="1126"/>
      <c r="L542" s="1178">
        <v>3000000</v>
      </c>
      <c r="M542" s="1124" t="s">
        <v>926</v>
      </c>
      <c r="N542" s="1178">
        <v>3000000</v>
      </c>
      <c r="O542" s="1124">
        <v>41276</v>
      </c>
      <c r="P542" s="1178">
        <v>3000000</v>
      </c>
      <c r="Q542" s="1124">
        <v>41282</v>
      </c>
      <c r="R542" s="1178">
        <v>3000000</v>
      </c>
      <c r="S542" s="1124" t="s">
        <v>810</v>
      </c>
      <c r="T542" s="1224"/>
      <c r="U542" s="1263" t="s">
        <v>276</v>
      </c>
      <c r="V542" s="1260"/>
      <c r="W542" s="1245"/>
      <c r="X542" s="1260"/>
      <c r="Y542" s="1196"/>
      <c r="Z542" s="1260"/>
      <c r="AA542" s="1196"/>
      <c r="AB542" s="1205">
        <v>1000000</v>
      </c>
      <c r="AC542" s="1124" t="s">
        <v>819</v>
      </c>
      <c r="AD542" s="1157"/>
      <c r="AE542" s="1158"/>
      <c r="AF542" s="1157"/>
      <c r="AG542" s="1158"/>
      <c r="AH542" s="1232" t="str">
        <f t="shared" si="110"/>
        <v>PI</v>
      </c>
      <c r="AI542" s="747">
        <f>SUM(J542,L542,N542,P542,R542,T542,V542,X542,Z542,AB542,AD542,AF542)</f>
        <v>14250000</v>
      </c>
      <c r="AJ542" s="747">
        <f t="shared" si="118"/>
        <v>14250000</v>
      </c>
      <c r="AK542" s="747">
        <f t="shared" si="119"/>
        <v>0</v>
      </c>
      <c r="AL542" s="1170"/>
      <c r="AM542" s="1170"/>
      <c r="AN542" s="1209"/>
      <c r="AO542" s="1170"/>
      <c r="AP542" s="1209"/>
      <c r="AQ542" s="1128"/>
      <c r="AR542" s="1173"/>
      <c r="AT542" s="1173"/>
      <c r="AV542" s="1173"/>
      <c r="AX542" s="1173"/>
      <c r="AY542" s="1176"/>
      <c r="AZ542" s="1173"/>
    </row>
    <row r="543" spans="1:52" s="2" customFormat="1" x14ac:dyDescent="0.25">
      <c r="A543" s="19">
        <v>517</v>
      </c>
      <c r="B543" s="59">
        <v>25</v>
      </c>
      <c r="C543" s="40">
        <v>849120028</v>
      </c>
      <c r="D543" s="39" t="s">
        <v>927</v>
      </c>
      <c r="E543" s="23" t="s">
        <v>32</v>
      </c>
      <c r="F543" s="59">
        <v>2011</v>
      </c>
      <c r="G543" s="23" t="s">
        <v>33</v>
      </c>
      <c r="H543" s="60" t="str">
        <f t="shared" si="105"/>
        <v xml:space="preserve">   </v>
      </c>
      <c r="I543" s="60">
        <f t="shared" si="106"/>
        <v>41640</v>
      </c>
      <c r="J543" s="1239">
        <v>1250000</v>
      </c>
      <c r="K543" s="1126"/>
      <c r="L543" s="1178">
        <v>3000000</v>
      </c>
      <c r="M543" s="1124" t="s">
        <v>792</v>
      </c>
      <c r="N543" s="1178">
        <v>3000000</v>
      </c>
      <c r="O543" s="1124">
        <v>41427</v>
      </c>
      <c r="P543" s="1178">
        <v>3000000</v>
      </c>
      <c r="Q543" s="1124" t="s">
        <v>798</v>
      </c>
      <c r="R543" s="1178">
        <v>3000000</v>
      </c>
      <c r="S543" s="1124">
        <v>41761</v>
      </c>
      <c r="T543" s="1224"/>
      <c r="U543" s="1263" t="s">
        <v>276</v>
      </c>
      <c r="V543" s="1260"/>
      <c r="W543" s="1245"/>
      <c r="X543" s="1130"/>
      <c r="Y543" s="1126"/>
      <c r="Z543" s="1260"/>
      <c r="AA543" s="1196"/>
      <c r="AB543" s="1205">
        <v>1000000</v>
      </c>
      <c r="AC543" s="1124" t="s">
        <v>819</v>
      </c>
      <c r="AD543" s="1157"/>
      <c r="AE543" s="1158"/>
      <c r="AF543" s="1157"/>
      <c r="AG543" s="1158"/>
      <c r="AH543" s="1232" t="str">
        <f t="shared" si="110"/>
        <v>PI</v>
      </c>
      <c r="AI543" s="747">
        <f>SUM(J543,L543,N543,P543,R543,T543,V543,X543,Z543,AB543,AD543,AF543)</f>
        <v>14250000</v>
      </c>
      <c r="AJ543" s="747">
        <f t="shared" si="118"/>
        <v>14250000</v>
      </c>
      <c r="AK543" s="747">
        <f t="shared" si="119"/>
        <v>0</v>
      </c>
      <c r="AL543" s="1170"/>
      <c r="AM543" s="1170"/>
      <c r="AN543" s="1209"/>
      <c r="AO543" s="1170"/>
      <c r="AP543" s="1209"/>
      <c r="AQ543" s="1128"/>
      <c r="AR543" s="1173"/>
      <c r="AT543" s="1173"/>
      <c r="AV543" s="1173"/>
      <c r="AX543" s="1173"/>
      <c r="AY543" s="1176"/>
      <c r="AZ543" s="1173"/>
    </row>
    <row r="544" spans="1:52" s="2" customFormat="1" x14ac:dyDescent="0.25">
      <c r="A544" s="19">
        <v>518</v>
      </c>
      <c r="B544" s="57">
        <v>26</v>
      </c>
      <c r="C544" s="38">
        <v>849120029</v>
      </c>
      <c r="D544" s="37" t="s">
        <v>928</v>
      </c>
      <c r="E544" s="28" t="s">
        <v>32</v>
      </c>
      <c r="F544" s="57">
        <v>2011</v>
      </c>
      <c r="G544" s="28"/>
      <c r="H544" s="58" t="str">
        <f t="shared" si="105"/>
        <v xml:space="preserve">   </v>
      </c>
      <c r="I544" s="58" t="str">
        <f t="shared" si="106"/>
        <v xml:space="preserve">   </v>
      </c>
      <c r="J544" s="1125"/>
      <c r="K544" s="1126"/>
      <c r="L544" s="1130">
        <f>1500000+2750000</f>
        <v>4250000</v>
      </c>
      <c r="M544" s="1126" t="s">
        <v>929</v>
      </c>
      <c r="N544" s="1130"/>
      <c r="O544" s="1146" t="s">
        <v>894</v>
      </c>
      <c r="P544" s="1130"/>
      <c r="Q544" s="1126"/>
      <c r="R544" s="1130"/>
      <c r="S544" s="1126"/>
      <c r="T544" s="1145"/>
      <c r="U544" s="1126"/>
      <c r="V544" s="1260"/>
      <c r="W544" s="1245"/>
      <c r="X544" s="1130"/>
      <c r="Y544" s="1126"/>
      <c r="Z544" s="1260"/>
      <c r="AA544" s="1196"/>
      <c r="AB544" s="1198"/>
      <c r="AC544" s="1126"/>
      <c r="AD544" s="1157"/>
      <c r="AE544" s="1158"/>
      <c r="AF544" s="1157"/>
      <c r="AG544" s="1158"/>
      <c r="AH544" s="1232" t="str">
        <f t="shared" si="110"/>
        <v>PI</v>
      </c>
      <c r="AI544" s="747" t="e">
        <f>SUM(J544,L544,N544,P544,R544,T544,V544,X544,Z544,AB544,AD544,AF544,#REF!)</f>
        <v>#REF!</v>
      </c>
      <c r="AJ544" s="747">
        <f t="shared" si="118"/>
        <v>5250000</v>
      </c>
      <c r="AK544" s="747" t="e">
        <f t="shared" si="119"/>
        <v>#REF!</v>
      </c>
      <c r="AL544" s="1170"/>
      <c r="AM544" s="1170"/>
      <c r="AN544" s="1209"/>
      <c r="AO544" s="1170"/>
      <c r="AP544" s="1209"/>
      <c r="AQ544" s="1128"/>
      <c r="AR544" s="1173"/>
      <c r="AT544" s="1173"/>
      <c r="AV544" s="1173"/>
      <c r="AX544" s="1173"/>
      <c r="AY544" s="1176"/>
      <c r="AZ544" s="1173"/>
    </row>
    <row r="545" spans="1:52" s="2" customFormat="1" x14ac:dyDescent="0.25">
      <c r="A545" s="19">
        <v>519</v>
      </c>
      <c r="B545" s="59">
        <v>27</v>
      </c>
      <c r="C545" s="40">
        <v>849120030</v>
      </c>
      <c r="D545" s="39" t="s">
        <v>930</v>
      </c>
      <c r="E545" s="23" t="s">
        <v>32</v>
      </c>
      <c r="F545" s="59">
        <v>2011</v>
      </c>
      <c r="G545" s="23" t="s">
        <v>33</v>
      </c>
      <c r="H545" s="60" t="str">
        <f t="shared" si="105"/>
        <v xml:space="preserve">   </v>
      </c>
      <c r="I545" s="60" t="str">
        <f t="shared" si="106"/>
        <v xml:space="preserve">   </v>
      </c>
      <c r="J545" s="1239">
        <v>1250000</v>
      </c>
      <c r="K545" s="1126"/>
      <c r="L545" s="1178">
        <v>3000000</v>
      </c>
      <c r="M545" s="1124">
        <v>41220</v>
      </c>
      <c r="N545" s="1178">
        <v>3000000</v>
      </c>
      <c r="O545" s="1124" t="s">
        <v>821</v>
      </c>
      <c r="P545" s="1178">
        <v>3000000</v>
      </c>
      <c r="Q545" s="1124" t="s">
        <v>655</v>
      </c>
      <c r="R545" s="1178">
        <v>3000000</v>
      </c>
      <c r="S545" s="1124" t="s">
        <v>718</v>
      </c>
      <c r="T545" s="1224"/>
      <c r="U545" s="1263" t="s">
        <v>276</v>
      </c>
      <c r="V545" s="1260"/>
      <c r="W545" s="1245"/>
      <c r="X545" s="1130"/>
      <c r="Y545" s="1126"/>
      <c r="Z545" s="1260"/>
      <c r="AA545" s="1196"/>
      <c r="AB545" s="1205">
        <v>1000000</v>
      </c>
      <c r="AC545" s="1124">
        <v>41677</v>
      </c>
      <c r="AD545" s="1157"/>
      <c r="AE545" s="1247"/>
      <c r="AF545" s="1157"/>
      <c r="AG545" s="1158"/>
      <c r="AH545" s="1232" t="str">
        <f t="shared" si="110"/>
        <v>PI</v>
      </c>
      <c r="AI545" s="747">
        <f t="shared" ref="AI545:AI550" si="120">SUM(J545,L545,N545,P545,R545,T545,V545,X545,Z545,AB545,AD545,AF545)</f>
        <v>14250000</v>
      </c>
      <c r="AJ545" s="747">
        <f t="shared" ref="AJ545:AJ556" si="121">(COUNT(L545,N545,P545,R545,T545,V545,X545,Z545,AD545,AF545)*$L$517)+($J$517+$AB$517)</f>
        <v>14250000</v>
      </c>
      <c r="AK545" s="747">
        <f t="shared" ref="AK545:AK556" si="122">AJ545-AI545</f>
        <v>0</v>
      </c>
      <c r="AL545" s="1170"/>
      <c r="AM545" s="1170"/>
      <c r="AN545" s="1209"/>
      <c r="AO545" s="1170"/>
      <c r="AP545" s="1209"/>
      <c r="AQ545" s="1128"/>
      <c r="AR545" s="1173"/>
      <c r="AT545" s="1173"/>
      <c r="AV545" s="1173"/>
      <c r="AX545" s="1173"/>
      <c r="AY545" s="1176"/>
      <c r="AZ545" s="1173"/>
    </row>
    <row r="546" spans="1:52" s="2" customFormat="1" x14ac:dyDescent="0.25">
      <c r="A546" s="19">
        <v>520</v>
      </c>
      <c r="B546" s="59">
        <v>28</v>
      </c>
      <c r="C546" s="40">
        <v>849120031</v>
      </c>
      <c r="D546" s="39" t="s">
        <v>931</v>
      </c>
      <c r="E546" s="23" t="s">
        <v>32</v>
      </c>
      <c r="F546" s="59">
        <v>2011</v>
      </c>
      <c r="G546" s="23" t="s">
        <v>33</v>
      </c>
      <c r="H546" s="60" t="str">
        <f t="shared" si="105"/>
        <v xml:space="preserve">   </v>
      </c>
      <c r="I546" s="60">
        <f t="shared" si="106"/>
        <v>41640</v>
      </c>
      <c r="J546" s="1239">
        <v>1250000</v>
      </c>
      <c r="K546" s="1126"/>
      <c r="L546" s="1178">
        <v>3000000</v>
      </c>
      <c r="M546" s="1124" t="s">
        <v>888</v>
      </c>
      <c r="N546" s="1178">
        <v>3000000</v>
      </c>
      <c r="O546" s="1124" t="s">
        <v>544</v>
      </c>
      <c r="P546" s="1178">
        <v>3000000</v>
      </c>
      <c r="Q546" s="1124">
        <v>41401</v>
      </c>
      <c r="R546" s="1178">
        <v>3000000</v>
      </c>
      <c r="S546" s="1124">
        <v>41792</v>
      </c>
      <c r="T546" s="1224"/>
      <c r="U546" s="1263" t="s">
        <v>276</v>
      </c>
      <c r="V546" s="1260"/>
      <c r="W546" s="1245"/>
      <c r="X546" s="1130"/>
      <c r="Y546" s="1126"/>
      <c r="Z546" s="1260"/>
      <c r="AA546" s="1196"/>
      <c r="AB546" s="1205">
        <v>1000000</v>
      </c>
      <c r="AC546" s="1124">
        <v>41645</v>
      </c>
      <c r="AD546" s="1157"/>
      <c r="AE546" s="1247"/>
      <c r="AF546" s="1157"/>
      <c r="AG546" s="1158"/>
      <c r="AH546" s="1232" t="str">
        <f t="shared" si="110"/>
        <v>PI</v>
      </c>
      <c r="AI546" s="747">
        <f t="shared" si="120"/>
        <v>14250000</v>
      </c>
      <c r="AJ546" s="747">
        <f t="shared" si="121"/>
        <v>14250000</v>
      </c>
      <c r="AK546" s="747">
        <f t="shared" si="122"/>
        <v>0</v>
      </c>
      <c r="AL546" s="1170"/>
      <c r="AM546" s="1170"/>
      <c r="AN546" s="1209"/>
      <c r="AO546" s="1170"/>
      <c r="AP546" s="1209"/>
      <c r="AQ546" s="1128"/>
      <c r="AR546" s="1173"/>
      <c r="AT546" s="1173"/>
      <c r="AV546" s="1173"/>
      <c r="AX546" s="1173"/>
      <c r="AY546" s="1176"/>
      <c r="AZ546" s="1173"/>
    </row>
    <row r="547" spans="1:52" s="2" customFormat="1" x14ac:dyDescent="0.25">
      <c r="A547" s="19">
        <v>521</v>
      </c>
      <c r="B547" s="59">
        <v>29</v>
      </c>
      <c r="C547" s="40">
        <v>849120032</v>
      </c>
      <c r="D547" s="39" t="s">
        <v>932</v>
      </c>
      <c r="E547" s="23" t="s">
        <v>32</v>
      </c>
      <c r="F547" s="59">
        <v>2011</v>
      </c>
      <c r="G547" s="23" t="s">
        <v>33</v>
      </c>
      <c r="H547" s="60" t="str">
        <f t="shared" si="105"/>
        <v xml:space="preserve">   </v>
      </c>
      <c r="I547" s="60">
        <f t="shared" si="106"/>
        <v>41640</v>
      </c>
      <c r="J547" s="1239">
        <v>1250000</v>
      </c>
      <c r="K547" s="1126"/>
      <c r="L547" s="1178">
        <v>3000000</v>
      </c>
      <c r="M547" s="1124">
        <v>41102</v>
      </c>
      <c r="N547" s="1178">
        <v>3000000</v>
      </c>
      <c r="O547" s="1124">
        <v>41276</v>
      </c>
      <c r="P547" s="1178">
        <v>3000000</v>
      </c>
      <c r="Q547" s="1124" t="s">
        <v>798</v>
      </c>
      <c r="R547" s="1178">
        <v>3000000</v>
      </c>
      <c r="S547" s="1124">
        <v>41761</v>
      </c>
      <c r="T547" s="1224"/>
      <c r="U547" s="1263" t="s">
        <v>276</v>
      </c>
      <c r="V547" s="1260"/>
      <c r="W547" s="1245"/>
      <c r="X547" s="1130"/>
      <c r="Y547" s="1126"/>
      <c r="Z547" s="1260"/>
      <c r="AA547" s="1196"/>
      <c r="AB547" s="1205">
        <v>1000000</v>
      </c>
      <c r="AC547" s="1124">
        <v>42042</v>
      </c>
      <c r="AD547" s="1157"/>
      <c r="AE547" s="1247"/>
      <c r="AF547" s="1157"/>
      <c r="AG547" s="1158"/>
      <c r="AH547" s="1232" t="str">
        <f t="shared" si="110"/>
        <v>PI</v>
      </c>
      <c r="AI547" s="747">
        <f t="shared" si="120"/>
        <v>14250000</v>
      </c>
      <c r="AJ547" s="747">
        <f t="shared" si="121"/>
        <v>14250000</v>
      </c>
      <c r="AK547" s="747">
        <f t="shared" si="122"/>
        <v>0</v>
      </c>
      <c r="AL547" s="1170"/>
      <c r="AM547" s="1170"/>
      <c r="AN547" s="1209"/>
      <c r="AO547" s="1170"/>
      <c r="AP547" s="1209"/>
      <c r="AQ547" s="1128"/>
      <c r="AR547" s="1173"/>
      <c r="AT547" s="1173"/>
      <c r="AV547" s="1173"/>
      <c r="AX547" s="1173"/>
      <c r="AY547" s="1176"/>
      <c r="AZ547" s="1173"/>
    </row>
    <row r="548" spans="1:52" s="2" customFormat="1" x14ac:dyDescent="0.25">
      <c r="A548" s="19">
        <v>522</v>
      </c>
      <c r="B548" s="59">
        <v>30</v>
      </c>
      <c r="C548" s="40">
        <v>849120033</v>
      </c>
      <c r="D548" s="39" t="s">
        <v>933</v>
      </c>
      <c r="E548" s="23" t="s">
        <v>32</v>
      </c>
      <c r="F548" s="59">
        <v>2011</v>
      </c>
      <c r="G548" s="23" t="s">
        <v>33</v>
      </c>
      <c r="H548" s="60" t="str">
        <f t="shared" si="105"/>
        <v xml:space="preserve">   </v>
      </c>
      <c r="I548" s="60">
        <f t="shared" si="106"/>
        <v>41640</v>
      </c>
      <c r="J548" s="1239">
        <v>1250000</v>
      </c>
      <c r="K548" s="1126"/>
      <c r="L548" s="1178">
        <v>3000000</v>
      </c>
      <c r="M548" s="1124" t="s">
        <v>335</v>
      </c>
      <c r="N548" s="1178">
        <v>3000000</v>
      </c>
      <c r="O548" s="1124" t="s">
        <v>756</v>
      </c>
      <c r="P548" s="1178">
        <v>3000000</v>
      </c>
      <c r="Q548" s="1124" t="s">
        <v>655</v>
      </c>
      <c r="R548" s="1178">
        <v>3000000</v>
      </c>
      <c r="S548" s="1124" t="s">
        <v>437</v>
      </c>
      <c r="T548" s="1224"/>
      <c r="U548" s="1263" t="s">
        <v>276</v>
      </c>
      <c r="V548" s="1260"/>
      <c r="W548" s="1245"/>
      <c r="X548" s="1130"/>
      <c r="Y548" s="1126"/>
      <c r="Z548" s="1260"/>
      <c r="AA548" s="1196"/>
      <c r="AB548" s="1205">
        <v>1000000</v>
      </c>
      <c r="AC548" s="1124">
        <v>42010</v>
      </c>
      <c r="AD548" s="1157"/>
      <c r="AE548" s="1247"/>
      <c r="AF548" s="1157"/>
      <c r="AG548" s="1158"/>
      <c r="AH548" s="1232" t="str">
        <f t="shared" si="110"/>
        <v>PI</v>
      </c>
      <c r="AI548" s="747">
        <f t="shared" si="120"/>
        <v>14250000</v>
      </c>
      <c r="AJ548" s="747">
        <f t="shared" si="121"/>
        <v>14250000</v>
      </c>
      <c r="AK548" s="747">
        <f t="shared" si="122"/>
        <v>0</v>
      </c>
      <c r="AL548" s="1170"/>
      <c r="AM548" s="1170"/>
      <c r="AN548" s="1209"/>
      <c r="AO548" s="1170"/>
      <c r="AP548" s="1209"/>
      <c r="AQ548" s="1128"/>
      <c r="AR548" s="1173"/>
      <c r="AT548" s="1173"/>
      <c r="AV548" s="1173"/>
      <c r="AX548" s="1173"/>
      <c r="AY548" s="1176"/>
      <c r="AZ548" s="1173"/>
    </row>
    <row r="549" spans="1:52" s="2" customFormat="1" x14ac:dyDescent="0.25">
      <c r="A549" s="19">
        <v>523</v>
      </c>
      <c r="B549" s="59">
        <v>31</v>
      </c>
      <c r="C549" s="40">
        <v>849120034</v>
      </c>
      <c r="D549" s="39" t="s">
        <v>934</v>
      </c>
      <c r="E549" s="23" t="s">
        <v>32</v>
      </c>
      <c r="F549" s="59">
        <v>2011</v>
      </c>
      <c r="G549" s="23"/>
      <c r="H549" s="60" t="str">
        <f t="shared" si="105"/>
        <v xml:space="preserve">   </v>
      </c>
      <c r="I549" s="60" t="str">
        <f t="shared" si="106"/>
        <v xml:space="preserve">   </v>
      </c>
      <c r="J549" s="1239">
        <v>1250000</v>
      </c>
      <c r="K549" s="1126"/>
      <c r="L549" s="1178">
        <v>3000000</v>
      </c>
      <c r="M549" s="1124" t="s">
        <v>335</v>
      </c>
      <c r="N549" s="1178">
        <v>3000000</v>
      </c>
      <c r="O549" s="1124">
        <v>41276</v>
      </c>
      <c r="P549" s="1178">
        <v>3000000</v>
      </c>
      <c r="Q549" s="1124" t="s">
        <v>648</v>
      </c>
      <c r="R549" s="1178">
        <v>3000000</v>
      </c>
      <c r="S549" s="1124">
        <v>41792</v>
      </c>
      <c r="T549" s="1224"/>
      <c r="U549" s="1263" t="s">
        <v>276</v>
      </c>
      <c r="V549" s="1260"/>
      <c r="W549" s="1245"/>
      <c r="X549" s="1130"/>
      <c r="Y549" s="1126"/>
      <c r="Z549" s="1260"/>
      <c r="AA549" s="1196"/>
      <c r="AB549" s="1205">
        <v>1000000</v>
      </c>
      <c r="AC549" s="1124">
        <v>42407</v>
      </c>
      <c r="AD549" s="1157"/>
      <c r="AE549" s="1247"/>
      <c r="AF549" s="1157"/>
      <c r="AG549" s="1158"/>
      <c r="AH549" s="1232" t="str">
        <f t="shared" si="110"/>
        <v>PI</v>
      </c>
      <c r="AI549" s="747">
        <f t="shared" si="120"/>
        <v>14250000</v>
      </c>
      <c r="AJ549" s="747">
        <f t="shared" si="121"/>
        <v>14250000</v>
      </c>
      <c r="AK549" s="747">
        <f t="shared" si="122"/>
        <v>0</v>
      </c>
      <c r="AL549" s="1170"/>
      <c r="AM549" s="1170"/>
      <c r="AN549" s="1209"/>
      <c r="AO549" s="1170"/>
      <c r="AP549" s="1209"/>
      <c r="AQ549" s="1128"/>
      <c r="AR549" s="1173"/>
      <c r="AT549" s="1173"/>
      <c r="AV549" s="1173"/>
      <c r="AX549" s="1173"/>
      <c r="AY549" s="1176"/>
      <c r="AZ549" s="1173"/>
    </row>
    <row r="550" spans="1:52" s="2" customFormat="1" x14ac:dyDescent="0.25">
      <c r="A550" s="19">
        <v>524</v>
      </c>
      <c r="B550" s="59">
        <v>32</v>
      </c>
      <c r="C550" s="40">
        <v>849120036</v>
      </c>
      <c r="D550" s="39" t="s">
        <v>935</v>
      </c>
      <c r="E550" s="23" t="s">
        <v>32</v>
      </c>
      <c r="F550" s="59">
        <v>2011</v>
      </c>
      <c r="G550" s="23" t="s">
        <v>33</v>
      </c>
      <c r="H550" s="60" t="str">
        <f t="shared" si="105"/>
        <v xml:space="preserve">   </v>
      </c>
      <c r="I550" s="60">
        <f t="shared" si="106"/>
        <v>41640</v>
      </c>
      <c r="J550" s="1239">
        <v>1250000</v>
      </c>
      <c r="K550" s="1126"/>
      <c r="L550" s="1178">
        <v>3000000</v>
      </c>
      <c r="M550" s="1124" t="s">
        <v>286</v>
      </c>
      <c r="N550" s="1178">
        <v>3000000</v>
      </c>
      <c r="O550" s="1124">
        <v>41457</v>
      </c>
      <c r="P550" s="1178">
        <v>3000000</v>
      </c>
      <c r="Q550" s="1124" t="s">
        <v>798</v>
      </c>
      <c r="R550" s="1178">
        <v>3000000</v>
      </c>
      <c r="S550" s="1124" t="s">
        <v>936</v>
      </c>
      <c r="T550" s="1224"/>
      <c r="U550" s="1263" t="s">
        <v>276</v>
      </c>
      <c r="V550" s="1260"/>
      <c r="W550" s="1245"/>
      <c r="X550" s="1260"/>
      <c r="Y550" s="1196"/>
      <c r="Z550" s="1260"/>
      <c r="AA550" s="1196"/>
      <c r="AB550" s="1205">
        <v>1000000</v>
      </c>
      <c r="AC550" s="1124" t="s">
        <v>936</v>
      </c>
      <c r="AD550" s="1157"/>
      <c r="AE550" s="1247"/>
      <c r="AF550" s="1157"/>
      <c r="AG550" s="1247"/>
      <c r="AH550" s="1232" t="str">
        <f t="shared" si="110"/>
        <v>PI</v>
      </c>
      <c r="AI550" s="747">
        <f t="shared" si="120"/>
        <v>14250000</v>
      </c>
      <c r="AJ550" s="747">
        <f t="shared" si="121"/>
        <v>14250000</v>
      </c>
      <c r="AK550" s="747">
        <f t="shared" si="122"/>
        <v>0</v>
      </c>
      <c r="AL550" s="1170"/>
      <c r="AM550" s="1170"/>
      <c r="AN550" s="1209"/>
      <c r="AO550" s="1170"/>
      <c r="AP550" s="1209"/>
      <c r="AQ550" s="1128"/>
      <c r="AR550" s="1173"/>
      <c r="AT550" s="1173"/>
      <c r="AV550" s="1173"/>
      <c r="AX550" s="1173"/>
      <c r="AY550" s="1176"/>
      <c r="AZ550" s="1173"/>
    </row>
    <row r="551" spans="1:52" s="2" customFormat="1" x14ac:dyDescent="0.25">
      <c r="A551" s="19">
        <v>525</v>
      </c>
      <c r="B551" s="59">
        <v>33</v>
      </c>
      <c r="C551" s="40">
        <v>849120037</v>
      </c>
      <c r="D551" s="39" t="s">
        <v>937</v>
      </c>
      <c r="E551" s="23" t="s">
        <v>32</v>
      </c>
      <c r="F551" s="59">
        <v>2011</v>
      </c>
      <c r="G551" s="23" t="s">
        <v>33</v>
      </c>
      <c r="H551" s="60" t="str">
        <f t="shared" si="105"/>
        <v xml:space="preserve">   </v>
      </c>
      <c r="I551" s="60">
        <f t="shared" si="106"/>
        <v>41640</v>
      </c>
      <c r="J551" s="1239">
        <v>1250000</v>
      </c>
      <c r="K551" s="1126"/>
      <c r="L551" s="1178">
        <v>3000000</v>
      </c>
      <c r="M551" s="1124" t="s">
        <v>792</v>
      </c>
      <c r="N551" s="1178">
        <v>3000000</v>
      </c>
      <c r="O551" s="1124">
        <v>41580</v>
      </c>
      <c r="P551" s="1178">
        <v>3000000</v>
      </c>
      <c r="Q551" s="1124">
        <v>41313</v>
      </c>
      <c r="R551" s="1178">
        <f>1500000+1500000</f>
        <v>3000000</v>
      </c>
      <c r="S551" s="1124">
        <v>41915</v>
      </c>
      <c r="T551" s="1224"/>
      <c r="U551" s="1263" t="s">
        <v>276</v>
      </c>
      <c r="V551" s="1260"/>
      <c r="W551" s="1245"/>
      <c r="X551" s="1260"/>
      <c r="Y551" s="1196"/>
      <c r="Z551" s="1260"/>
      <c r="AA551" s="1196"/>
      <c r="AB551" s="1205">
        <v>1000000</v>
      </c>
      <c r="AC551" s="1124">
        <v>41736</v>
      </c>
      <c r="AD551" s="1197"/>
      <c r="AE551" s="1247"/>
      <c r="AF551" s="1197"/>
      <c r="AG551" s="1247"/>
      <c r="AH551" s="1232" t="str">
        <f t="shared" si="110"/>
        <v>PI</v>
      </c>
      <c r="AI551" s="747" t="e">
        <f>SUM(J551,L551,N551,P551,R551,T551,V551,X551,Z551,AB551,AD551,AF551,#REF!)</f>
        <v>#REF!</v>
      </c>
      <c r="AJ551" s="747">
        <f t="shared" si="121"/>
        <v>14250000</v>
      </c>
      <c r="AK551" s="747" t="e">
        <f t="shared" si="122"/>
        <v>#REF!</v>
      </c>
      <c r="AL551" s="1170"/>
      <c r="AM551" s="1170"/>
      <c r="AN551" s="1209"/>
      <c r="AO551" s="1170"/>
      <c r="AP551" s="1209"/>
      <c r="AQ551" s="1128"/>
      <c r="AR551" s="1173"/>
      <c r="AT551" s="1173"/>
      <c r="AV551" s="1173"/>
      <c r="AX551" s="1173"/>
      <c r="AY551" s="1176"/>
      <c r="AZ551" s="1173"/>
    </row>
    <row r="552" spans="1:52" s="2" customFormat="1" x14ac:dyDescent="0.25">
      <c r="A552" s="19">
        <v>526</v>
      </c>
      <c r="B552" s="112">
        <v>34</v>
      </c>
      <c r="C552" s="44">
        <v>839120001</v>
      </c>
      <c r="D552" s="113" t="s">
        <v>938</v>
      </c>
      <c r="E552" s="45" t="s">
        <v>32</v>
      </c>
      <c r="F552" s="112">
        <v>2011</v>
      </c>
      <c r="G552" s="115"/>
      <c r="H552" s="68" t="str">
        <f t="shared" si="105"/>
        <v xml:space="preserve">   </v>
      </c>
      <c r="I552" s="68" t="str">
        <f t="shared" si="106"/>
        <v xml:space="preserve">   </v>
      </c>
      <c r="J552" s="1239">
        <v>1250000</v>
      </c>
      <c r="K552" s="1126"/>
      <c r="L552" s="1265">
        <v>3000000</v>
      </c>
      <c r="M552" s="1292" t="s">
        <v>286</v>
      </c>
      <c r="N552" s="1257"/>
      <c r="O552" s="1258" t="s">
        <v>939</v>
      </c>
      <c r="P552" s="1130"/>
      <c r="Q552" s="1126"/>
      <c r="R552" s="1130"/>
      <c r="S552" s="1126"/>
      <c r="T552" s="1145"/>
      <c r="U552" s="1126"/>
      <c r="V552" s="1260"/>
      <c r="W552" s="1245"/>
      <c r="X552" s="1130"/>
      <c r="Y552" s="1126"/>
      <c r="Z552" s="1130"/>
      <c r="AA552" s="1126"/>
      <c r="AB552" s="1198"/>
      <c r="AC552" s="1126"/>
      <c r="AD552" s="1197"/>
      <c r="AE552" s="1247"/>
      <c r="AF552" s="1197"/>
      <c r="AG552" s="1247"/>
      <c r="AH552" s="1232" t="str">
        <f t="shared" si="110"/>
        <v>PI</v>
      </c>
      <c r="AI552" s="747">
        <f>SUM(J552,L552,N552,P552,R552,T552,V552,X552,Z552,AB552,AD552,AF552)</f>
        <v>4250000</v>
      </c>
      <c r="AJ552" s="747">
        <f t="shared" si="121"/>
        <v>5250000</v>
      </c>
      <c r="AK552" s="747">
        <f t="shared" si="122"/>
        <v>1000000</v>
      </c>
      <c r="AL552" s="1170"/>
      <c r="AM552" s="1170"/>
      <c r="AN552" s="1209"/>
      <c r="AO552" s="1170"/>
      <c r="AP552" s="1209"/>
      <c r="AQ552" s="1128"/>
      <c r="AR552" s="1173"/>
      <c r="AT552" s="1173"/>
      <c r="AV552" s="1173"/>
      <c r="AX552" s="1173"/>
      <c r="AY552" s="1176"/>
      <c r="AZ552" s="1173"/>
    </row>
    <row r="553" spans="1:52" s="2" customFormat="1" x14ac:dyDescent="0.25">
      <c r="A553" s="19">
        <v>527</v>
      </c>
      <c r="B553" s="59">
        <v>35</v>
      </c>
      <c r="C553" s="40">
        <v>839120002</v>
      </c>
      <c r="D553" s="39" t="s">
        <v>458</v>
      </c>
      <c r="E553" s="23" t="s">
        <v>32</v>
      </c>
      <c r="F553" s="59">
        <v>2011</v>
      </c>
      <c r="G553" s="23" t="s">
        <v>33</v>
      </c>
      <c r="H553" s="60" t="str">
        <f t="shared" si="105"/>
        <v xml:space="preserve">   </v>
      </c>
      <c r="I553" s="60">
        <f t="shared" si="106"/>
        <v>42143</v>
      </c>
      <c r="J553" s="1239"/>
      <c r="K553" s="1126"/>
      <c r="L553" s="1178">
        <f>1250000+3000000</f>
        <v>4250000</v>
      </c>
      <c r="M553" s="1124" t="s">
        <v>627</v>
      </c>
      <c r="N553" s="1178">
        <f>1500000+1500000</f>
        <v>3000000</v>
      </c>
      <c r="O553" s="1124" t="s">
        <v>626</v>
      </c>
      <c r="P553" s="1178">
        <v>3000000</v>
      </c>
      <c r="Q553" s="1124" t="s">
        <v>626</v>
      </c>
      <c r="R553" s="1178">
        <v>3000000</v>
      </c>
      <c r="S553" s="1124" t="s">
        <v>626</v>
      </c>
      <c r="T553" s="1188">
        <f>1000000+2000000</f>
        <v>3000000</v>
      </c>
      <c r="U553" s="1124">
        <v>42142</v>
      </c>
      <c r="V553" s="1178">
        <v>3000000</v>
      </c>
      <c r="W553" s="1143" t="s">
        <v>940</v>
      </c>
      <c r="X553" s="1259" t="s">
        <v>276</v>
      </c>
      <c r="Y553" s="1146"/>
      <c r="Z553" s="1130"/>
      <c r="AA553" s="1126"/>
      <c r="AB553" s="1205">
        <v>1000000</v>
      </c>
      <c r="AC553" s="1124" t="s">
        <v>723</v>
      </c>
      <c r="AD553" s="1157"/>
      <c r="AE553" s="1158"/>
      <c r="AF553" s="1197"/>
      <c r="AG553" s="1247"/>
      <c r="AH553" s="1232" t="str">
        <f t="shared" si="110"/>
        <v>PI</v>
      </c>
      <c r="AI553" s="747">
        <f>SUM(J553,L553,N553,P553,R553,T553,V553,X553,Z553,AB553,AD553,AF553)</f>
        <v>20250000</v>
      </c>
      <c r="AJ553" s="747">
        <f t="shared" si="121"/>
        <v>20250000</v>
      </c>
      <c r="AK553" s="747">
        <f t="shared" si="122"/>
        <v>0</v>
      </c>
      <c r="AL553" s="1170"/>
      <c r="AM553" s="1170"/>
      <c r="AN553" s="1209"/>
      <c r="AO553" s="1170"/>
      <c r="AP553" s="1209"/>
      <c r="AQ553" s="1128"/>
      <c r="AR553" s="1173"/>
      <c r="AT553" s="1173"/>
      <c r="AV553" s="1173"/>
      <c r="AX553" s="1173"/>
      <c r="AY553" s="1176"/>
      <c r="AZ553" s="1173"/>
    </row>
    <row r="554" spans="1:52" s="2" customFormat="1" x14ac:dyDescent="0.25">
      <c r="A554" s="19">
        <v>528</v>
      </c>
      <c r="B554" s="59">
        <v>36</v>
      </c>
      <c r="C554" s="40">
        <v>839120003</v>
      </c>
      <c r="D554" s="39" t="s">
        <v>941</v>
      </c>
      <c r="E554" s="23" t="s">
        <v>32</v>
      </c>
      <c r="F554" s="59">
        <v>2011</v>
      </c>
      <c r="G554" s="23"/>
      <c r="H554" s="60" t="str">
        <f t="shared" si="105"/>
        <v xml:space="preserve">   </v>
      </c>
      <c r="I554" s="60" t="str">
        <f t="shared" si="106"/>
        <v xml:space="preserve">   </v>
      </c>
      <c r="J554" s="1123">
        <v>1250000</v>
      </c>
      <c r="K554" s="1124"/>
      <c r="L554" s="1178">
        <v>3000000</v>
      </c>
      <c r="M554" s="1124">
        <v>41250</v>
      </c>
      <c r="N554" s="1178">
        <f>1500000+1500000</f>
        <v>3000000</v>
      </c>
      <c r="O554" s="1124" t="s">
        <v>942</v>
      </c>
      <c r="P554" s="1178">
        <v>3000000</v>
      </c>
      <c r="Q554" s="1124">
        <v>41914</v>
      </c>
      <c r="R554" s="1178">
        <v>3000000</v>
      </c>
      <c r="S554" s="1124">
        <v>41796</v>
      </c>
      <c r="T554" s="1322"/>
      <c r="U554" s="1144" t="s">
        <v>943</v>
      </c>
      <c r="V554" s="1222" t="s">
        <v>944</v>
      </c>
      <c r="W554" s="1301"/>
      <c r="X554" s="1130"/>
      <c r="Y554" s="1126"/>
      <c r="Z554" s="1130"/>
      <c r="AA554" s="1126"/>
      <c r="AB554" s="1205">
        <v>1000000</v>
      </c>
      <c r="AC554" s="1126"/>
      <c r="AD554" s="1157"/>
      <c r="AE554" s="1158"/>
      <c r="AF554" s="1197"/>
      <c r="AG554" s="1247"/>
      <c r="AH554" s="1232" t="str">
        <f t="shared" si="110"/>
        <v>PI</v>
      </c>
      <c r="AI554" s="747">
        <f>SUM(J554,L554,N554,P554,R554,T554,V554,X554,Z554,AB554,AD554,AF554)</f>
        <v>14250000</v>
      </c>
      <c r="AJ554" s="747">
        <f t="shared" si="121"/>
        <v>14250000</v>
      </c>
      <c r="AK554" s="747">
        <f t="shared" si="122"/>
        <v>0</v>
      </c>
      <c r="AL554" s="1170"/>
      <c r="AM554" s="1170"/>
      <c r="AN554" s="1209"/>
      <c r="AO554" s="1170"/>
      <c r="AP554" s="1209"/>
      <c r="AQ554" s="1128"/>
      <c r="AR554" s="1173"/>
      <c r="AT554" s="1173"/>
      <c r="AV554" s="1173"/>
      <c r="AX554" s="1173"/>
      <c r="AY554" s="1176"/>
      <c r="AZ554" s="1173"/>
    </row>
    <row r="555" spans="1:52" s="2" customFormat="1" x14ac:dyDescent="0.25">
      <c r="A555" s="19">
        <v>529</v>
      </c>
      <c r="B555" s="57">
        <v>37</v>
      </c>
      <c r="C555" s="38">
        <v>839120005</v>
      </c>
      <c r="D555" s="37" t="s">
        <v>945</v>
      </c>
      <c r="E555" s="28" t="s">
        <v>32</v>
      </c>
      <c r="F555" s="57">
        <v>2011</v>
      </c>
      <c r="G555" s="28"/>
      <c r="H555" s="58" t="str">
        <f t="shared" si="105"/>
        <v xml:space="preserve">   </v>
      </c>
      <c r="I555" s="58" t="str">
        <f t="shared" si="106"/>
        <v xml:space="preserve">   </v>
      </c>
      <c r="J555" s="1125">
        <v>1250000</v>
      </c>
      <c r="K555" s="1126"/>
      <c r="L555" s="1130">
        <v>3000000</v>
      </c>
      <c r="M555" s="1126" t="s">
        <v>792</v>
      </c>
      <c r="N555" s="1186" t="s">
        <v>137</v>
      </c>
      <c r="O555" s="1144" t="s">
        <v>137</v>
      </c>
      <c r="P555" s="1130"/>
      <c r="Q555" s="1146" t="s">
        <v>894</v>
      </c>
      <c r="R555" s="1130"/>
      <c r="S555" s="1126"/>
      <c r="T555" s="1323"/>
      <c r="U555" s="1126"/>
      <c r="V555" s="1306"/>
      <c r="W555" s="1258"/>
      <c r="X555" s="1306"/>
      <c r="Y555" s="1258"/>
      <c r="Z555" s="1260"/>
      <c r="AA555" s="1196"/>
      <c r="AB555" s="1198"/>
      <c r="AC555" s="1126"/>
      <c r="AD555" s="1197"/>
      <c r="AE555" s="1247"/>
      <c r="AF555" s="1197"/>
      <c r="AG555" s="1247"/>
      <c r="AH555" s="1232" t="str">
        <f t="shared" si="110"/>
        <v>PI</v>
      </c>
      <c r="AI555" s="747">
        <f>SUM(J555,L555,N555,P555,R555,T555,V555,X555,Z555,AB555,AD555,AF555)</f>
        <v>4250000</v>
      </c>
      <c r="AJ555" s="747">
        <f t="shared" si="121"/>
        <v>5250000</v>
      </c>
      <c r="AK555" s="747">
        <f t="shared" si="122"/>
        <v>1000000</v>
      </c>
      <c r="AL555" s="1170"/>
      <c r="AM555" s="1170"/>
      <c r="AN555" s="1209"/>
      <c r="AO555" s="1170"/>
      <c r="AP555" s="1209"/>
      <c r="AQ555" s="1128"/>
      <c r="AR555" s="1173"/>
      <c r="AT555" s="1173"/>
      <c r="AV555" s="1173"/>
      <c r="AX555" s="1173"/>
      <c r="AY555" s="1176"/>
      <c r="AZ555" s="1173"/>
    </row>
    <row r="556" spans="1:52" s="2" customFormat="1" x14ac:dyDescent="0.25">
      <c r="A556" s="19">
        <v>530</v>
      </c>
      <c r="B556" s="59">
        <v>38</v>
      </c>
      <c r="C556" s="40">
        <v>839120006</v>
      </c>
      <c r="D556" s="97" t="s">
        <v>946</v>
      </c>
      <c r="E556" s="23" t="s">
        <v>848</v>
      </c>
      <c r="F556" s="59">
        <v>2011</v>
      </c>
      <c r="G556" s="23" t="s">
        <v>33</v>
      </c>
      <c r="H556" s="60">
        <f t="shared" ref="H556:H602" si="123">IFERROR(VLOOKUP(C556,Tlus,3,FALSE),"   ")</f>
        <v>42782</v>
      </c>
      <c r="I556" s="60">
        <f t="shared" ref="I556:I602" si="124">IFERROR(VLOOKUP(C556,Wis,4,FALSE),"   ")</f>
        <v>42861</v>
      </c>
      <c r="J556" s="1239">
        <v>1250000</v>
      </c>
      <c r="K556" s="1126"/>
      <c r="L556" s="1178">
        <v>3000000</v>
      </c>
      <c r="M556" s="1124" t="s">
        <v>184</v>
      </c>
      <c r="N556" s="1178">
        <f>1500000+1500000</f>
        <v>3000000</v>
      </c>
      <c r="O556" s="1196" t="s">
        <v>942</v>
      </c>
      <c r="P556" s="1178">
        <v>3000000</v>
      </c>
      <c r="Q556" s="1124" t="s">
        <v>849</v>
      </c>
      <c r="R556" s="1324"/>
      <c r="S556" s="1325" t="s">
        <v>947</v>
      </c>
      <c r="T556" s="1326">
        <v>0</v>
      </c>
      <c r="U556" s="1180"/>
      <c r="V556" s="1265">
        <v>0</v>
      </c>
      <c r="W556" s="1292"/>
      <c r="X556" s="1265">
        <v>0</v>
      </c>
      <c r="Y556" s="1292"/>
      <c r="Z556" s="1265">
        <v>0</v>
      </c>
      <c r="AA556" s="1292"/>
      <c r="AB556" s="1198"/>
      <c r="AC556" s="1146"/>
      <c r="AD556" s="1332">
        <v>0</v>
      </c>
      <c r="AE556" s="1333"/>
      <c r="AF556" s="1207"/>
      <c r="AG556" s="1247"/>
      <c r="AH556" s="1232" t="str">
        <f t="shared" si="110"/>
        <v>HK</v>
      </c>
      <c r="AI556" s="747" t="e">
        <f>SUM(J556,L556,N556,P556,R556,T556,V556,X556,Z556,AB556,AD556,AF556,#REF!)</f>
        <v>#REF!</v>
      </c>
      <c r="AJ556" s="747">
        <f t="shared" si="121"/>
        <v>26250000</v>
      </c>
      <c r="AK556" s="747" t="e">
        <f t="shared" si="122"/>
        <v>#REF!</v>
      </c>
      <c r="AL556" s="1170"/>
      <c r="AM556" s="1170"/>
      <c r="AN556" s="1209"/>
      <c r="AO556" s="1170"/>
      <c r="AP556" s="1209"/>
      <c r="AQ556" s="1128"/>
      <c r="AR556" s="1173"/>
      <c r="AT556" s="1173"/>
      <c r="AV556" s="1173"/>
      <c r="AX556" s="1173"/>
      <c r="AY556" s="1176"/>
      <c r="AZ556" s="1173"/>
    </row>
    <row r="557" spans="1:52" s="2" customFormat="1" x14ac:dyDescent="0.25">
      <c r="A557" s="19">
        <v>531</v>
      </c>
      <c r="B557" s="80">
        <v>39</v>
      </c>
      <c r="C557" s="95"/>
      <c r="D557" s="98" t="s">
        <v>262</v>
      </c>
      <c r="E557" s="99" t="s">
        <v>32</v>
      </c>
      <c r="F557" s="80">
        <v>2011</v>
      </c>
      <c r="G557" s="99"/>
      <c r="H557" s="100" t="str">
        <f t="shared" si="123"/>
        <v xml:space="preserve">   </v>
      </c>
      <c r="I557" s="100" t="str">
        <f t="shared" si="124"/>
        <v xml:space="preserve">   </v>
      </c>
      <c r="J557" s="1239">
        <v>1250000</v>
      </c>
      <c r="K557" s="1126"/>
      <c r="L557" s="1260">
        <v>3000000</v>
      </c>
      <c r="M557" s="1196">
        <v>41099</v>
      </c>
      <c r="N557" s="1260">
        <v>3000000</v>
      </c>
      <c r="O557" s="1196" t="s">
        <v>440</v>
      </c>
      <c r="P557" s="1260">
        <v>1500000</v>
      </c>
      <c r="Q557" s="1196" t="s">
        <v>535</v>
      </c>
      <c r="R557" s="1257"/>
      <c r="S557" s="1196"/>
      <c r="T557" s="1145"/>
      <c r="U557" s="1258"/>
      <c r="V557" s="1130"/>
      <c r="W557" s="1126"/>
      <c r="X557" s="1130"/>
      <c r="Y557" s="1126"/>
      <c r="Z557" s="1130"/>
      <c r="AA557" s="1126"/>
      <c r="AB557" s="1198"/>
      <c r="AC557" s="1126"/>
      <c r="AD557" s="1197"/>
      <c r="AE557" s="1247"/>
      <c r="AF557" s="1197"/>
      <c r="AG557" s="1247"/>
      <c r="AH557" s="1232" t="str">
        <f t="shared" si="110"/>
        <v>PI</v>
      </c>
      <c r="AI557" s="747">
        <f t="shared" ref="AI557:AI568" si="125">SUM(J557,L557,N557,P557,R557,T557,V557,X557,Z557,AB557,AD557,AF557)</f>
        <v>8750000</v>
      </c>
      <c r="AJ557" s="747">
        <f t="shared" ref="AJ557:AJ568" si="126">(COUNT(L557,N557,P557,R557,T557,V557,X557,Z557,AD557,AF557)*$L$517)+($J$517+$AB$517)</f>
        <v>11250000</v>
      </c>
      <c r="AK557" s="747">
        <f t="shared" ref="AK557:AK568" si="127">AJ557-AI557</f>
        <v>2500000</v>
      </c>
      <c r="AL557" s="1170"/>
      <c r="AM557" s="1170"/>
      <c r="AN557" s="1209"/>
      <c r="AO557" s="1170"/>
      <c r="AP557" s="1209"/>
      <c r="AQ557" s="1128"/>
      <c r="AR557" s="1173"/>
      <c r="AT557" s="1173"/>
      <c r="AV557" s="1173"/>
      <c r="AX557" s="1173"/>
      <c r="AY557" s="1176"/>
      <c r="AZ557" s="1173"/>
    </row>
    <row r="558" spans="1:52" s="2" customFormat="1" x14ac:dyDescent="0.25">
      <c r="A558" s="19">
        <v>532</v>
      </c>
      <c r="B558" s="59">
        <v>40</v>
      </c>
      <c r="C558" s="40"/>
      <c r="D558" s="39" t="s">
        <v>948</v>
      </c>
      <c r="E558" s="23" t="s">
        <v>32</v>
      </c>
      <c r="F558" s="59">
        <v>2011</v>
      </c>
      <c r="G558" s="23" t="s">
        <v>33</v>
      </c>
      <c r="H558" s="60" t="str">
        <f t="shared" si="123"/>
        <v xml:space="preserve">   </v>
      </c>
      <c r="I558" s="60" t="str">
        <f t="shared" si="124"/>
        <v xml:space="preserve">   </v>
      </c>
      <c r="J558" s="1239">
        <v>1250000</v>
      </c>
      <c r="K558" s="1126"/>
      <c r="L558" s="1178">
        <v>3000000</v>
      </c>
      <c r="M558" s="1124">
        <v>41069</v>
      </c>
      <c r="N558" s="1178">
        <v>3000000</v>
      </c>
      <c r="O558" s="1124" t="s">
        <v>528</v>
      </c>
      <c r="P558" s="1178">
        <v>3000000</v>
      </c>
      <c r="Q558" s="1124">
        <v>41372</v>
      </c>
      <c r="R558" s="1178">
        <v>3000000</v>
      </c>
      <c r="S558" s="1124">
        <v>41824</v>
      </c>
      <c r="T558" s="1188">
        <v>3000000</v>
      </c>
      <c r="U558" s="1124">
        <v>41921</v>
      </c>
      <c r="V558" s="1259" t="s">
        <v>276</v>
      </c>
      <c r="W558" s="1146"/>
      <c r="X558" s="1260"/>
      <c r="Y558" s="1196"/>
      <c r="Z558" s="1260"/>
      <c r="AA558" s="1196"/>
      <c r="AB558" s="1205">
        <v>1000000</v>
      </c>
      <c r="AC558" s="1124">
        <v>41921</v>
      </c>
      <c r="AD558" s="1157"/>
      <c r="AE558" s="1158"/>
      <c r="AF558" s="1197"/>
      <c r="AG558" s="1247"/>
      <c r="AH558" s="1232" t="str">
        <f t="shared" si="110"/>
        <v>PI</v>
      </c>
      <c r="AI558" s="747">
        <f t="shared" si="125"/>
        <v>17250000</v>
      </c>
      <c r="AJ558" s="747">
        <f t="shared" si="126"/>
        <v>17250000</v>
      </c>
      <c r="AK558" s="747">
        <f t="shared" si="127"/>
        <v>0</v>
      </c>
      <c r="AL558" s="1170"/>
      <c r="AM558" s="1170"/>
      <c r="AN558" s="1209"/>
      <c r="AO558" s="1170"/>
      <c r="AP558" s="1209"/>
      <c r="AQ558" s="1128"/>
      <c r="AR558" s="1173"/>
      <c r="AT558" s="1173"/>
      <c r="AV558" s="1173"/>
      <c r="AX558" s="1173"/>
      <c r="AY558" s="1176"/>
      <c r="AZ558" s="1173"/>
    </row>
    <row r="559" spans="1:52" s="2" customFormat="1" x14ac:dyDescent="0.25">
      <c r="A559" s="19">
        <v>533</v>
      </c>
      <c r="B559" s="59">
        <v>41</v>
      </c>
      <c r="C559" s="40"/>
      <c r="D559" s="39" t="s">
        <v>949</v>
      </c>
      <c r="E559" s="23" t="s">
        <v>32</v>
      </c>
      <c r="F559" s="59">
        <v>2011</v>
      </c>
      <c r="G559" s="23" t="s">
        <v>33</v>
      </c>
      <c r="H559" s="60" t="str">
        <f t="shared" si="123"/>
        <v xml:space="preserve">   </v>
      </c>
      <c r="I559" s="60" t="str">
        <f t="shared" si="124"/>
        <v xml:space="preserve">   </v>
      </c>
      <c r="J559" s="1239">
        <v>1250000</v>
      </c>
      <c r="K559" s="1126"/>
      <c r="L559" s="1178">
        <v>3000000</v>
      </c>
      <c r="M559" s="1124">
        <v>41069</v>
      </c>
      <c r="N559" s="1178">
        <v>3000000</v>
      </c>
      <c r="O559" s="1124">
        <v>40916</v>
      </c>
      <c r="P559" s="1178">
        <v>3000000</v>
      </c>
      <c r="Q559" s="1124">
        <v>41275</v>
      </c>
      <c r="R559" s="1178">
        <v>3000000</v>
      </c>
      <c r="S559" s="1124" t="s">
        <v>537</v>
      </c>
      <c r="T559" s="1188"/>
      <c r="U559" s="1124"/>
      <c r="V559" s="1259" t="s">
        <v>276</v>
      </c>
      <c r="W559" s="1146"/>
      <c r="X559" s="1260"/>
      <c r="Y559" s="1196"/>
      <c r="Z559" s="1260"/>
      <c r="AA559" s="1196"/>
      <c r="AB559" s="1205">
        <v>1000000</v>
      </c>
      <c r="AC559" s="1124" t="s">
        <v>950</v>
      </c>
      <c r="AD559" s="1157"/>
      <c r="AE559" s="1158"/>
      <c r="AF559" s="1197"/>
      <c r="AG559" s="1247"/>
      <c r="AH559" s="1232" t="str">
        <f t="shared" si="110"/>
        <v>PI</v>
      </c>
      <c r="AI559" s="747">
        <f t="shared" si="125"/>
        <v>14250000</v>
      </c>
      <c r="AJ559" s="747">
        <f t="shared" si="126"/>
        <v>14250000</v>
      </c>
      <c r="AK559" s="747">
        <f t="shared" si="127"/>
        <v>0</v>
      </c>
      <c r="AL559" s="1170"/>
      <c r="AM559" s="1170"/>
      <c r="AN559" s="1209"/>
      <c r="AO559" s="1170"/>
      <c r="AP559" s="1209"/>
      <c r="AQ559" s="1128"/>
      <c r="AR559" s="1173"/>
      <c r="AT559" s="1173"/>
      <c r="AV559" s="1173"/>
      <c r="AX559" s="1173"/>
      <c r="AY559" s="1176"/>
      <c r="AZ559" s="1173"/>
    </row>
    <row r="560" spans="1:52" s="2" customFormat="1" x14ac:dyDescent="0.25">
      <c r="A560" s="19">
        <v>534</v>
      </c>
      <c r="B560" s="67">
        <v>42</v>
      </c>
      <c r="C560" s="44"/>
      <c r="D560" s="43" t="s">
        <v>951</v>
      </c>
      <c r="E560" s="45" t="s">
        <v>32</v>
      </c>
      <c r="F560" s="67">
        <v>2011</v>
      </c>
      <c r="G560" s="45"/>
      <c r="H560" s="68" t="str">
        <f t="shared" si="123"/>
        <v xml:space="preserve">   </v>
      </c>
      <c r="I560" s="68" t="str">
        <f t="shared" si="124"/>
        <v xml:space="preserve">   </v>
      </c>
      <c r="J560" s="1239">
        <v>1250000</v>
      </c>
      <c r="K560" s="1126"/>
      <c r="L560" s="1181">
        <v>3000000</v>
      </c>
      <c r="M560" s="1180">
        <v>41038</v>
      </c>
      <c r="N560" s="1181">
        <v>3000000</v>
      </c>
      <c r="O560" s="1180">
        <v>41488</v>
      </c>
      <c r="P560" s="1181">
        <v>3000000</v>
      </c>
      <c r="Q560" s="1180">
        <v>41282</v>
      </c>
      <c r="R560" s="1181">
        <v>3000000</v>
      </c>
      <c r="S560" s="1180" t="s">
        <v>432</v>
      </c>
      <c r="T560" s="1187">
        <v>3000000</v>
      </c>
      <c r="U560" s="1180" t="s">
        <v>952</v>
      </c>
      <c r="V560" s="1181" t="s">
        <v>953</v>
      </c>
      <c r="W560" s="1180">
        <v>3000000</v>
      </c>
      <c r="X560" s="1181" t="s">
        <v>953</v>
      </c>
      <c r="Y560" s="1180">
        <v>3000000</v>
      </c>
      <c r="Z560" s="1334"/>
      <c r="AA560" s="1292" t="s">
        <v>954</v>
      </c>
      <c r="AB560" s="1335">
        <v>1000000</v>
      </c>
      <c r="AC560" s="1180" t="s">
        <v>955</v>
      </c>
      <c r="AD560" s="1336" t="s">
        <v>954</v>
      </c>
      <c r="AE560" s="1337"/>
      <c r="AF560" s="1338"/>
      <c r="AG560" s="1337"/>
      <c r="AH560" s="1232" t="str">
        <f t="shared" si="110"/>
        <v>PI</v>
      </c>
      <c r="AI560" s="747">
        <f t="shared" si="125"/>
        <v>17250000</v>
      </c>
      <c r="AJ560" s="747">
        <f t="shared" si="126"/>
        <v>17250000</v>
      </c>
      <c r="AK560" s="747">
        <f t="shared" si="127"/>
        <v>0</v>
      </c>
      <c r="AL560" s="1170"/>
      <c r="AM560" s="1170"/>
      <c r="AN560" s="1209"/>
      <c r="AO560" s="1170"/>
      <c r="AP560" s="1209"/>
      <c r="AQ560" s="1128"/>
      <c r="AR560" s="1173"/>
      <c r="AT560" s="1173"/>
      <c r="AV560" s="1173"/>
      <c r="AX560" s="1173"/>
      <c r="AY560" s="1176"/>
      <c r="AZ560" s="1173"/>
    </row>
    <row r="561" spans="1:52" s="2" customFormat="1" x14ac:dyDescent="0.25">
      <c r="A561" s="19">
        <v>535</v>
      </c>
      <c r="B561" s="59">
        <v>43</v>
      </c>
      <c r="C561" s="40">
        <v>849120045</v>
      </c>
      <c r="D561" s="39" t="s">
        <v>956</v>
      </c>
      <c r="E561" s="23" t="s">
        <v>32</v>
      </c>
      <c r="F561" s="59">
        <v>2011</v>
      </c>
      <c r="G561" s="23" t="s">
        <v>33</v>
      </c>
      <c r="H561" s="60" t="str">
        <f t="shared" si="123"/>
        <v xml:space="preserve">   </v>
      </c>
      <c r="I561" s="60">
        <f t="shared" si="124"/>
        <v>41640</v>
      </c>
      <c r="J561" s="1239">
        <v>1250000</v>
      </c>
      <c r="K561" s="1126"/>
      <c r="L561" s="1178">
        <v>3000000</v>
      </c>
      <c r="M561" s="1124">
        <v>41008</v>
      </c>
      <c r="N561" s="1178">
        <v>3000000</v>
      </c>
      <c r="O561" s="1124">
        <v>41488</v>
      </c>
      <c r="P561" s="1178">
        <v>3000000</v>
      </c>
      <c r="Q561" s="1124">
        <v>41615</v>
      </c>
      <c r="R561" s="1178">
        <v>3000000</v>
      </c>
      <c r="S561" s="1124">
        <v>41914</v>
      </c>
      <c r="T561" s="1224"/>
      <c r="U561" s="1263" t="s">
        <v>276</v>
      </c>
      <c r="V561" s="1260"/>
      <c r="W561" s="1196"/>
      <c r="X561" s="1260"/>
      <c r="Y561" s="1196"/>
      <c r="Z561" s="1260"/>
      <c r="AA561" s="1196"/>
      <c r="AB561" s="1195"/>
      <c r="AC561" s="1196"/>
      <c r="AD561" s="1157"/>
      <c r="AE561" s="1158"/>
      <c r="AF561" s="1197"/>
      <c r="AG561" s="1247"/>
      <c r="AH561" s="1232" t="str">
        <f t="shared" si="110"/>
        <v>PI</v>
      </c>
      <c r="AI561" s="747">
        <f t="shared" si="125"/>
        <v>13250000</v>
      </c>
      <c r="AJ561" s="747">
        <f t="shared" si="126"/>
        <v>14250000</v>
      </c>
      <c r="AK561" s="747">
        <f t="shared" si="127"/>
        <v>1000000</v>
      </c>
      <c r="AL561" s="1170"/>
      <c r="AM561" s="1170"/>
      <c r="AN561" s="1209"/>
      <c r="AO561" s="1170"/>
      <c r="AP561" s="1209"/>
      <c r="AQ561" s="1128"/>
      <c r="AR561" s="1173"/>
      <c r="AT561" s="1173"/>
      <c r="AV561" s="1173"/>
      <c r="AX561" s="1173"/>
      <c r="AY561" s="1176"/>
      <c r="AZ561" s="1173"/>
    </row>
    <row r="562" spans="1:52" s="2" customFormat="1" x14ac:dyDescent="0.25">
      <c r="A562" s="19">
        <v>536</v>
      </c>
      <c r="B562" s="59">
        <v>44</v>
      </c>
      <c r="C562" s="40">
        <v>849120038</v>
      </c>
      <c r="D562" s="39" t="s">
        <v>957</v>
      </c>
      <c r="E562" s="23" t="s">
        <v>32</v>
      </c>
      <c r="F562" s="59">
        <v>2011</v>
      </c>
      <c r="G562" s="23" t="s">
        <v>33</v>
      </c>
      <c r="H562" s="60" t="str">
        <f t="shared" si="123"/>
        <v xml:space="preserve">   </v>
      </c>
      <c r="I562" s="60">
        <f t="shared" si="124"/>
        <v>41640</v>
      </c>
      <c r="J562" s="1239">
        <v>1250000</v>
      </c>
      <c r="K562" s="1126"/>
      <c r="L562" s="1178">
        <v>3000000</v>
      </c>
      <c r="M562" s="1124" t="s">
        <v>391</v>
      </c>
      <c r="N562" s="1178">
        <v>3000000</v>
      </c>
      <c r="O562" s="1124">
        <v>41276</v>
      </c>
      <c r="P562" s="1178">
        <v>3000000</v>
      </c>
      <c r="Q562" s="1124">
        <v>41615</v>
      </c>
      <c r="R562" s="1178">
        <v>3000000</v>
      </c>
      <c r="S562" s="1124" t="s">
        <v>958</v>
      </c>
      <c r="T562" s="1224"/>
      <c r="U562" s="1263" t="s">
        <v>276</v>
      </c>
      <c r="V562" s="1130"/>
      <c r="W562" s="1126"/>
      <c r="X562" s="1260"/>
      <c r="Y562" s="1196"/>
      <c r="Z562" s="1130"/>
      <c r="AA562" s="1126"/>
      <c r="AB562" s="1205">
        <v>1000000</v>
      </c>
      <c r="AC562" s="1124" t="s">
        <v>958</v>
      </c>
      <c r="AD562" s="1157"/>
      <c r="AE562" s="1158"/>
      <c r="AF562" s="1197"/>
      <c r="AG562" s="1247"/>
      <c r="AH562" s="1232" t="str">
        <f t="shared" si="110"/>
        <v>PI</v>
      </c>
      <c r="AI562" s="747">
        <f t="shared" si="125"/>
        <v>14250000</v>
      </c>
      <c r="AJ562" s="747">
        <f t="shared" si="126"/>
        <v>14250000</v>
      </c>
      <c r="AK562" s="747">
        <f t="shared" si="127"/>
        <v>0</v>
      </c>
      <c r="AL562" s="1170"/>
      <c r="AM562" s="1170"/>
      <c r="AN562" s="1209"/>
      <c r="AO562" s="1170"/>
      <c r="AP562" s="1209"/>
      <c r="AQ562" s="1128"/>
      <c r="AR562" s="1173"/>
      <c r="AT562" s="1173"/>
      <c r="AV562" s="1173"/>
      <c r="AX562" s="1173"/>
      <c r="AY562" s="1176"/>
      <c r="AZ562" s="1173"/>
    </row>
    <row r="563" spans="1:52" s="2" customFormat="1" x14ac:dyDescent="0.25">
      <c r="A563" s="19">
        <v>537</v>
      </c>
      <c r="B563" s="59">
        <v>45</v>
      </c>
      <c r="C563" s="40">
        <v>849120044</v>
      </c>
      <c r="D563" s="39" t="s">
        <v>649</v>
      </c>
      <c r="E563" s="23" t="s">
        <v>32</v>
      </c>
      <c r="F563" s="59">
        <v>2011</v>
      </c>
      <c r="G563" s="23" t="s">
        <v>33</v>
      </c>
      <c r="H563" s="60" t="str">
        <f t="shared" si="123"/>
        <v xml:space="preserve">   </v>
      </c>
      <c r="I563" s="60">
        <f t="shared" si="124"/>
        <v>41640</v>
      </c>
      <c r="J563" s="1239">
        <v>1250000</v>
      </c>
      <c r="K563" s="1126"/>
      <c r="L563" s="1178">
        <v>3000000</v>
      </c>
      <c r="M563" s="1124" t="s">
        <v>360</v>
      </c>
      <c r="N563" s="1178">
        <v>3000000</v>
      </c>
      <c r="O563" s="1124">
        <v>41427</v>
      </c>
      <c r="P563" s="1178">
        <v>3000000</v>
      </c>
      <c r="Q563" s="1124" t="s">
        <v>648</v>
      </c>
      <c r="R563" s="1178">
        <v>3000000</v>
      </c>
      <c r="S563" s="1124" t="s">
        <v>959</v>
      </c>
      <c r="T563" s="1188">
        <v>3000000</v>
      </c>
      <c r="U563" s="1124">
        <v>41952</v>
      </c>
      <c r="V563" s="1259" t="s">
        <v>276</v>
      </c>
      <c r="W563" s="1146"/>
      <c r="X563" s="1260"/>
      <c r="Y563" s="1196"/>
      <c r="Z563" s="1130"/>
      <c r="AA563" s="1126"/>
      <c r="AB563" s="1205">
        <v>1000000</v>
      </c>
      <c r="AC563" s="1124">
        <v>41921</v>
      </c>
      <c r="AD563" s="1197"/>
      <c r="AE563" s="1247"/>
      <c r="AF563" s="1197"/>
      <c r="AG563" s="1247"/>
      <c r="AH563" s="1232" t="str">
        <f t="shared" si="110"/>
        <v>PI</v>
      </c>
      <c r="AI563" s="747">
        <f t="shared" si="125"/>
        <v>17250000</v>
      </c>
      <c r="AJ563" s="747">
        <f t="shared" si="126"/>
        <v>17250000</v>
      </c>
      <c r="AK563" s="747">
        <f t="shared" si="127"/>
        <v>0</v>
      </c>
      <c r="AL563" s="1170"/>
      <c r="AM563" s="1170"/>
      <c r="AN563" s="1209"/>
      <c r="AO563" s="1170"/>
      <c r="AP563" s="1209"/>
      <c r="AQ563" s="1128"/>
      <c r="AR563" s="1173"/>
      <c r="AT563" s="1173"/>
      <c r="AV563" s="1173"/>
      <c r="AX563" s="1173"/>
      <c r="AY563" s="1176"/>
      <c r="AZ563" s="1173"/>
    </row>
    <row r="564" spans="1:52" s="2" customFormat="1" x14ac:dyDescent="0.25">
      <c r="A564" s="19">
        <v>538</v>
      </c>
      <c r="B564" s="80">
        <v>46</v>
      </c>
      <c r="C564" s="95"/>
      <c r="D564" s="98" t="s">
        <v>960</v>
      </c>
      <c r="E564" s="28" t="s">
        <v>32</v>
      </c>
      <c r="F564" s="80">
        <v>2011</v>
      </c>
      <c r="G564" s="99"/>
      <c r="H564" s="100" t="str">
        <f t="shared" si="123"/>
        <v xml:space="preserve">   </v>
      </c>
      <c r="I564" s="100" t="str">
        <f t="shared" si="124"/>
        <v xml:space="preserve">   </v>
      </c>
      <c r="J564" s="1239">
        <v>1250000</v>
      </c>
      <c r="K564" s="1126"/>
      <c r="L564" s="1260">
        <v>3000000</v>
      </c>
      <c r="M564" s="1196">
        <v>41038</v>
      </c>
      <c r="N564" s="1260">
        <v>3000000</v>
      </c>
      <c r="O564" s="1196" t="s">
        <v>340</v>
      </c>
      <c r="P564" s="1260">
        <v>1000000</v>
      </c>
      <c r="Q564" s="1196" t="s">
        <v>697</v>
      </c>
      <c r="R564" s="1260">
        <v>2000000</v>
      </c>
      <c r="S564" s="1196" t="s">
        <v>961</v>
      </c>
      <c r="T564" s="1145"/>
      <c r="U564" s="1146" t="s">
        <v>894</v>
      </c>
      <c r="V564" s="1260"/>
      <c r="W564" s="1196"/>
      <c r="X564" s="1260"/>
      <c r="Y564" s="1196"/>
      <c r="Z564" s="1260"/>
      <c r="AA564" s="1196"/>
      <c r="AB564" s="1205"/>
      <c r="AC564" s="1126"/>
      <c r="AD564" s="1197"/>
      <c r="AE564" s="1247"/>
      <c r="AF564" s="1197"/>
      <c r="AG564" s="1247"/>
      <c r="AH564" s="1232" t="str">
        <f t="shared" si="110"/>
        <v>PI</v>
      </c>
      <c r="AI564" s="747">
        <f t="shared" si="125"/>
        <v>10250000</v>
      </c>
      <c r="AJ564" s="747">
        <f t="shared" si="126"/>
        <v>14250000</v>
      </c>
      <c r="AK564" s="747">
        <f t="shared" si="127"/>
        <v>4000000</v>
      </c>
      <c r="AL564" s="1170"/>
      <c r="AM564" s="1170"/>
      <c r="AN564" s="1209"/>
      <c r="AO564" s="1170"/>
      <c r="AP564" s="1209"/>
      <c r="AQ564" s="1128"/>
      <c r="AR564" s="1173"/>
      <c r="AT564" s="1173"/>
      <c r="AV564" s="1173"/>
      <c r="AX564" s="1173"/>
      <c r="AY564" s="1176"/>
      <c r="AZ564" s="1173"/>
    </row>
    <row r="565" spans="1:52" s="2" customFormat="1" x14ac:dyDescent="0.25">
      <c r="A565" s="19">
        <v>539</v>
      </c>
      <c r="B565" s="57">
        <v>47</v>
      </c>
      <c r="C565" s="38"/>
      <c r="D565" s="37" t="s">
        <v>962</v>
      </c>
      <c r="E565" s="28" t="s">
        <v>32</v>
      </c>
      <c r="F565" s="57">
        <v>2011</v>
      </c>
      <c r="G565" s="28"/>
      <c r="H565" s="58" t="str">
        <f t="shared" si="123"/>
        <v xml:space="preserve">   </v>
      </c>
      <c r="I565" s="58" t="str">
        <f t="shared" si="124"/>
        <v xml:space="preserve">   </v>
      </c>
      <c r="J565" s="1125"/>
      <c r="K565" s="1126"/>
      <c r="L565" s="1130"/>
      <c r="M565" s="1126"/>
      <c r="N565" s="1130"/>
      <c r="O565" s="1126"/>
      <c r="P565" s="1130">
        <v>2000000</v>
      </c>
      <c r="Q565" s="1126" t="s">
        <v>842</v>
      </c>
      <c r="R565" s="1130">
        <v>1000000</v>
      </c>
      <c r="S565" s="1126" t="s">
        <v>963</v>
      </c>
      <c r="T565" s="1145"/>
      <c r="U565" s="1126"/>
      <c r="V565" s="1130"/>
      <c r="W565" s="1126"/>
      <c r="X565" s="1130"/>
      <c r="Y565" s="1126"/>
      <c r="Z565" s="1130"/>
      <c r="AA565" s="1126"/>
      <c r="AB565" s="1195"/>
      <c r="AC565" s="1126"/>
      <c r="AD565" s="1197"/>
      <c r="AE565" s="1158"/>
      <c r="AF565" s="1197"/>
      <c r="AG565" s="1247"/>
      <c r="AH565" s="1232" t="str">
        <f t="shared" si="110"/>
        <v>PI</v>
      </c>
      <c r="AI565" s="747">
        <f t="shared" si="125"/>
        <v>3000000</v>
      </c>
      <c r="AJ565" s="747">
        <f t="shared" si="126"/>
        <v>8250000</v>
      </c>
      <c r="AK565" s="747">
        <f t="shared" si="127"/>
        <v>5250000</v>
      </c>
      <c r="AL565" s="1170"/>
      <c r="AM565" s="1170"/>
      <c r="AN565" s="1209"/>
      <c r="AO565" s="1170"/>
      <c r="AP565" s="1209"/>
      <c r="AQ565" s="1128"/>
      <c r="AR565" s="1173"/>
      <c r="AT565" s="1173"/>
      <c r="AV565" s="1173"/>
      <c r="AX565" s="1173"/>
      <c r="AY565" s="1176"/>
      <c r="AZ565" s="1173"/>
    </row>
    <row r="566" spans="1:52" s="2" customFormat="1" x14ac:dyDescent="0.25">
      <c r="A566" s="19">
        <v>540</v>
      </c>
      <c r="B566" s="57">
        <v>48</v>
      </c>
      <c r="C566" s="38"/>
      <c r="D566" s="37" t="s">
        <v>964</v>
      </c>
      <c r="E566" s="28" t="s">
        <v>32</v>
      </c>
      <c r="F566" s="57">
        <v>2011</v>
      </c>
      <c r="G566" s="28"/>
      <c r="H566" s="58" t="str">
        <f t="shared" si="123"/>
        <v xml:space="preserve">   </v>
      </c>
      <c r="I566" s="58" t="str">
        <f t="shared" si="124"/>
        <v xml:space="preserve">   </v>
      </c>
      <c r="J566" s="1125">
        <v>1250000</v>
      </c>
      <c r="K566" s="1126"/>
      <c r="L566" s="1130">
        <v>3000000</v>
      </c>
      <c r="M566" s="1126">
        <v>41069</v>
      </c>
      <c r="N566" s="1130">
        <v>3000000</v>
      </c>
      <c r="O566" s="1126">
        <v>41488</v>
      </c>
      <c r="P566" s="1130">
        <v>3000000</v>
      </c>
      <c r="Q566" s="1126" t="s">
        <v>535</v>
      </c>
      <c r="R566" s="1130">
        <v>3000000</v>
      </c>
      <c r="S566" s="1126">
        <v>41914</v>
      </c>
      <c r="T566" s="1145"/>
      <c r="U566" s="1126"/>
      <c r="V566" s="1130"/>
      <c r="W566" s="1126"/>
      <c r="X566" s="1130"/>
      <c r="Y566" s="1126"/>
      <c r="Z566" s="1130"/>
      <c r="AA566" s="1126"/>
      <c r="AB566" s="1195"/>
      <c r="AC566" s="1126"/>
      <c r="AD566" s="1197"/>
      <c r="AE566" s="1247"/>
      <c r="AF566" s="1197"/>
      <c r="AG566" s="1247"/>
      <c r="AH566" s="1232" t="str">
        <f t="shared" si="110"/>
        <v>PI</v>
      </c>
      <c r="AI566" s="747">
        <f t="shared" si="125"/>
        <v>13250000</v>
      </c>
      <c r="AJ566" s="747">
        <f t="shared" si="126"/>
        <v>14250000</v>
      </c>
      <c r="AK566" s="747">
        <f t="shared" si="127"/>
        <v>1000000</v>
      </c>
      <c r="AL566" s="1170"/>
      <c r="AM566" s="1170"/>
      <c r="AN566" s="1209"/>
      <c r="AO566" s="1170"/>
      <c r="AP566" s="1209"/>
      <c r="AQ566" s="1128"/>
      <c r="AR566" s="1173"/>
      <c r="AT566" s="1173"/>
      <c r="AV566" s="1173"/>
      <c r="AX566" s="1173"/>
      <c r="AY566" s="1176"/>
      <c r="AZ566" s="1173"/>
    </row>
    <row r="567" spans="1:52" s="2" customFormat="1" x14ac:dyDescent="0.25">
      <c r="A567" s="19">
        <v>541</v>
      </c>
      <c r="B567" s="57">
        <v>49</v>
      </c>
      <c r="C567" s="38"/>
      <c r="D567" s="37" t="s">
        <v>964</v>
      </c>
      <c r="E567" s="28" t="s">
        <v>32</v>
      </c>
      <c r="F567" s="57">
        <v>2011</v>
      </c>
      <c r="G567" s="28"/>
      <c r="H567" s="58" t="str">
        <f t="shared" si="123"/>
        <v xml:space="preserve">   </v>
      </c>
      <c r="I567" s="58" t="str">
        <f t="shared" si="124"/>
        <v xml:space="preserve">   </v>
      </c>
      <c r="J567" s="1125"/>
      <c r="K567" s="1126"/>
      <c r="L567" s="1130"/>
      <c r="M567" s="1126"/>
      <c r="N567" s="1130">
        <v>3000000</v>
      </c>
      <c r="O567" s="1126" t="s">
        <v>693</v>
      </c>
      <c r="P567" s="1130">
        <v>3000000</v>
      </c>
      <c r="Q567" s="1126" t="s">
        <v>648</v>
      </c>
      <c r="R567" s="1130">
        <v>3000000</v>
      </c>
      <c r="S567" s="1126" t="s">
        <v>432</v>
      </c>
      <c r="T567" s="1224"/>
      <c r="U567" s="1146" t="s">
        <v>894</v>
      </c>
      <c r="V567" s="1130"/>
      <c r="W567" s="1126"/>
      <c r="X567" s="1130"/>
      <c r="Y567" s="1126"/>
      <c r="Z567" s="1130"/>
      <c r="AA567" s="1126"/>
      <c r="AB567" s="1195"/>
      <c r="AC567" s="1126"/>
      <c r="AD567" s="1197"/>
      <c r="AE567" s="1247"/>
      <c r="AF567" s="1197"/>
      <c r="AG567" s="1247"/>
      <c r="AH567" s="1232" t="str">
        <f t="shared" si="110"/>
        <v>PI</v>
      </c>
      <c r="AI567" s="747">
        <f t="shared" si="125"/>
        <v>9000000</v>
      </c>
      <c r="AJ567" s="747">
        <f t="shared" si="126"/>
        <v>11250000</v>
      </c>
      <c r="AK567" s="747">
        <f t="shared" si="127"/>
        <v>2250000</v>
      </c>
      <c r="AL567" s="1170"/>
      <c r="AM567" s="1170"/>
      <c r="AN567" s="1209"/>
      <c r="AO567" s="1170"/>
      <c r="AP567" s="1209"/>
      <c r="AQ567" s="1128"/>
      <c r="AR567" s="1173"/>
      <c r="AT567" s="1173"/>
      <c r="AV567" s="1173"/>
      <c r="AX567" s="1173"/>
      <c r="AY567" s="1176"/>
      <c r="AZ567" s="1173"/>
    </row>
    <row r="568" spans="1:52" s="2" customFormat="1" x14ac:dyDescent="0.25">
      <c r="A568" s="19">
        <v>542</v>
      </c>
      <c r="B568" s="59">
        <v>50</v>
      </c>
      <c r="C568" s="40">
        <v>849120039</v>
      </c>
      <c r="D568" s="97" t="s">
        <v>965</v>
      </c>
      <c r="E568" s="23" t="s">
        <v>32</v>
      </c>
      <c r="F568" s="59">
        <v>2011</v>
      </c>
      <c r="G568" s="23" t="s">
        <v>33</v>
      </c>
      <c r="H568" s="60">
        <f t="shared" si="123"/>
        <v>42985</v>
      </c>
      <c r="I568" s="60">
        <f t="shared" si="124"/>
        <v>43064</v>
      </c>
      <c r="J568" s="1123">
        <v>1250000</v>
      </c>
      <c r="K568" s="1124"/>
      <c r="L568" s="1178">
        <v>3000000</v>
      </c>
      <c r="M568" s="1124">
        <v>41038</v>
      </c>
      <c r="N568" s="1178">
        <v>3000000</v>
      </c>
      <c r="O568" s="1124"/>
      <c r="P568" s="1178">
        <v>3000000</v>
      </c>
      <c r="Q568" s="1124"/>
      <c r="R568" s="1178"/>
      <c r="S568" s="1124"/>
      <c r="T568" s="1188"/>
      <c r="U568" s="1124"/>
      <c r="V568" s="1178"/>
      <c r="W568" s="1124"/>
      <c r="X568" s="1178"/>
      <c r="Y568" s="1124"/>
      <c r="Z568" s="1178"/>
      <c r="AA568" s="1124"/>
      <c r="AB568" s="1205">
        <v>1000000</v>
      </c>
      <c r="AC568" s="1124"/>
      <c r="AD568" s="1199"/>
      <c r="AE568" s="1206"/>
      <c r="AF568" s="1199" t="s">
        <v>966</v>
      </c>
      <c r="AG568" s="1295" t="s">
        <v>276</v>
      </c>
      <c r="AH568" s="1232" t="str">
        <f t="shared" si="110"/>
        <v>PI</v>
      </c>
      <c r="AI568" s="1340">
        <f t="shared" si="125"/>
        <v>11250000</v>
      </c>
      <c r="AJ568" s="1340">
        <f t="shared" si="126"/>
        <v>11250000</v>
      </c>
      <c r="AK568" s="1340">
        <f t="shared" si="127"/>
        <v>0</v>
      </c>
      <c r="AL568" s="1170"/>
      <c r="AM568" s="1170"/>
      <c r="AN568" s="1209"/>
      <c r="AO568" s="1170"/>
      <c r="AP568" s="1209"/>
      <c r="AQ568" s="1128"/>
      <c r="AR568" s="1173"/>
      <c r="AT568" s="1173"/>
      <c r="AV568" s="1173"/>
      <c r="AX568" s="1173"/>
      <c r="AY568" s="1176"/>
      <c r="AZ568" s="1173"/>
    </row>
    <row r="569" spans="1:52" s="2" customFormat="1" x14ac:dyDescent="0.25">
      <c r="A569" s="107"/>
      <c r="B569" s="72"/>
      <c r="C569" s="62"/>
      <c r="D569" s="73"/>
      <c r="E569" s="63"/>
      <c r="F569" s="64" t="s">
        <v>61</v>
      </c>
      <c r="G569" s="63"/>
      <c r="H569" s="65" t="str">
        <f t="shared" si="123"/>
        <v xml:space="preserve">   </v>
      </c>
      <c r="I569" s="65" t="str">
        <f t="shared" si="124"/>
        <v xml:space="preserve">   </v>
      </c>
      <c r="J569" s="87"/>
      <c r="K569" s="1137"/>
      <c r="L569" s="87"/>
      <c r="M569" s="1137"/>
      <c r="N569" s="87"/>
      <c r="O569" s="1137"/>
      <c r="P569" s="87"/>
      <c r="Q569" s="1137"/>
      <c r="R569" s="87"/>
      <c r="S569" s="1141"/>
      <c r="T569" s="87"/>
      <c r="U569" s="1137"/>
      <c r="V569" s="87"/>
      <c r="W569" s="1137"/>
      <c r="X569" s="1327"/>
      <c r="Y569" s="1137"/>
      <c r="Z569" s="87"/>
      <c r="AA569" s="1137"/>
      <c r="AB569" s="1229"/>
      <c r="AC569" s="1137"/>
      <c r="AD569" s="747"/>
      <c r="AE569" s="1155"/>
      <c r="AF569" s="747"/>
      <c r="AG569" s="1155"/>
      <c r="AH569" s="1168">
        <f t="shared" si="110"/>
        <v>0</v>
      </c>
      <c r="AI569" s="747"/>
      <c r="AJ569" s="747"/>
      <c r="AK569" s="747"/>
      <c r="AL569" s="1170"/>
      <c r="AM569" s="1170"/>
      <c r="AN569" s="1209"/>
      <c r="AO569" s="1170"/>
      <c r="AP569" s="1209"/>
      <c r="AQ569" s="1128"/>
      <c r="AR569" s="1173"/>
      <c r="AT569" s="1173"/>
      <c r="AV569" s="1173"/>
      <c r="AX569" s="1173"/>
      <c r="AY569" s="1176"/>
      <c r="AZ569" s="1173"/>
    </row>
    <row r="570" spans="1:52" s="2" customFormat="1" x14ac:dyDescent="0.25">
      <c r="A570" s="107"/>
      <c r="B570" s="92" t="s">
        <v>967</v>
      </c>
      <c r="C570" s="49"/>
      <c r="D570" s="116"/>
      <c r="E570" s="117"/>
      <c r="F570" s="83" t="s">
        <v>61</v>
      </c>
      <c r="G570" s="82"/>
      <c r="H570" s="84" t="str">
        <f t="shared" si="123"/>
        <v xml:space="preserve">   </v>
      </c>
      <c r="I570" s="84" t="str">
        <f t="shared" si="124"/>
        <v xml:space="preserve">   </v>
      </c>
      <c r="J570" s="1184"/>
      <c r="K570" s="1185"/>
      <c r="L570" s="1184"/>
      <c r="M570" s="1185"/>
      <c r="N570" s="1184"/>
      <c r="O570" s="1185"/>
      <c r="P570" s="1184"/>
      <c r="Q570" s="1185"/>
      <c r="R570" s="1184"/>
      <c r="S570" s="1191"/>
      <c r="T570" s="1184"/>
      <c r="U570" s="1185"/>
      <c r="V570" s="1203"/>
      <c r="W570" s="1185"/>
      <c r="X570" s="1184"/>
      <c r="Y570" s="1185"/>
      <c r="Z570" s="1184"/>
      <c r="AA570" s="1185"/>
      <c r="AB570" s="1226"/>
      <c r="AC570" s="1185"/>
      <c r="AD570" s="1184"/>
      <c r="AE570" s="1185"/>
      <c r="AF570" s="1184"/>
      <c r="AG570" s="1185"/>
      <c r="AH570" s="1231">
        <f t="shared" si="110"/>
        <v>0</v>
      </c>
      <c r="AI570" s="1213">
        <f t="shared" ref="AI570:AI596" si="128">SUM(J570,L570,N570,P570,R570,T570,V570,X570,Z570,AB570,AD570,AF570)</f>
        <v>0</v>
      </c>
      <c r="AJ570" s="1213">
        <f t="shared" ref="AJ570:AJ596" si="129">((COUNT((L570,N570,P570,R570,T570,V570,X570,Z570,AD570,AF570)))*L570)+(J570+AB570)</f>
        <v>0</v>
      </c>
      <c r="AK570" s="1213">
        <f t="shared" ref="AK570:AK607" si="130">AJ570-AI570</f>
        <v>0</v>
      </c>
      <c r="AL570" s="1170"/>
      <c r="AM570" s="1170"/>
      <c r="AN570" s="1209"/>
      <c r="AO570" s="1170"/>
      <c r="AP570" s="1209"/>
      <c r="AQ570" s="1128"/>
      <c r="AR570" s="1173"/>
      <c r="AT570" s="1173"/>
      <c r="AV570" s="1173"/>
      <c r="AX570" s="1173"/>
      <c r="AY570" s="1176"/>
      <c r="AZ570" s="1173"/>
    </row>
    <row r="571" spans="1:52" s="2" customFormat="1" x14ac:dyDescent="0.25">
      <c r="A571" s="19">
        <v>543</v>
      </c>
      <c r="B571" s="59">
        <v>1</v>
      </c>
      <c r="C571" s="119">
        <v>849120060</v>
      </c>
      <c r="D571" s="39" t="s">
        <v>968</v>
      </c>
      <c r="E571" s="85" t="s">
        <v>579</v>
      </c>
      <c r="F571" s="59">
        <v>2012</v>
      </c>
      <c r="G571" s="23" t="s">
        <v>33</v>
      </c>
      <c r="H571" s="60" t="str">
        <f t="shared" si="123"/>
        <v xml:space="preserve">   </v>
      </c>
      <c r="I571" s="60">
        <f t="shared" si="124"/>
        <v>41640</v>
      </c>
      <c r="J571" s="1239"/>
      <c r="K571" s="1194"/>
      <c r="L571" s="1318">
        <v>3000000</v>
      </c>
      <c r="M571" s="1319" t="s">
        <v>969</v>
      </c>
      <c r="N571" s="1318">
        <v>3000000</v>
      </c>
      <c r="O571" s="1319" t="s">
        <v>322</v>
      </c>
      <c r="P571" s="1318">
        <v>3000000</v>
      </c>
      <c r="Q571" s="1319" t="s">
        <v>322</v>
      </c>
      <c r="R571" s="1318">
        <v>3000000</v>
      </c>
      <c r="S571" s="1319" t="s">
        <v>970</v>
      </c>
      <c r="T571" s="1224"/>
      <c r="U571" s="1126"/>
      <c r="V571" s="1239"/>
      <c r="W571" s="1126"/>
      <c r="X571" s="1130"/>
      <c r="Y571" s="1126"/>
      <c r="Z571" s="1130"/>
      <c r="AA571" s="1126"/>
      <c r="AB571" s="1205">
        <v>1000000</v>
      </c>
      <c r="AC571" s="1143" t="s">
        <v>971</v>
      </c>
      <c r="AD571" s="1197"/>
      <c r="AE571" s="1247"/>
      <c r="AF571" s="1197"/>
      <c r="AG571" s="1247"/>
      <c r="AH571" s="1232" t="str">
        <f t="shared" si="110"/>
        <v>SUPERVISI</v>
      </c>
      <c r="AI571" s="747">
        <f t="shared" si="128"/>
        <v>13000000</v>
      </c>
      <c r="AJ571" s="747">
        <f t="shared" si="129"/>
        <v>1000000</v>
      </c>
      <c r="AK571" s="747">
        <f t="shared" si="130"/>
        <v>-12000000</v>
      </c>
      <c r="AL571" s="1170"/>
      <c r="AM571" s="1170"/>
      <c r="AN571" s="1209"/>
      <c r="AO571" s="1170"/>
      <c r="AP571" s="1209"/>
      <c r="AQ571" s="1128"/>
      <c r="AR571" s="1173"/>
      <c r="AT571" s="1173"/>
      <c r="AV571" s="1173"/>
      <c r="AX571" s="1173"/>
      <c r="AY571" s="1176"/>
      <c r="AZ571" s="1173"/>
    </row>
    <row r="572" spans="1:52" s="2" customFormat="1" x14ac:dyDescent="0.25">
      <c r="A572" s="19">
        <v>544</v>
      </c>
      <c r="B572" s="59">
        <v>2</v>
      </c>
      <c r="C572" s="119">
        <v>849120058</v>
      </c>
      <c r="D572" s="39" t="s">
        <v>972</v>
      </c>
      <c r="E572" s="85" t="s">
        <v>579</v>
      </c>
      <c r="F572" s="59">
        <v>2012</v>
      </c>
      <c r="G572" s="23" t="s">
        <v>33</v>
      </c>
      <c r="H572" s="60" t="str">
        <f t="shared" si="123"/>
        <v xml:space="preserve">   </v>
      </c>
      <c r="I572" s="60">
        <f t="shared" si="124"/>
        <v>41640</v>
      </c>
      <c r="J572" s="1239"/>
      <c r="K572" s="1194"/>
      <c r="L572" s="1318">
        <v>3000000</v>
      </c>
      <c r="M572" s="1319" t="s">
        <v>973</v>
      </c>
      <c r="N572" s="1318">
        <v>3000000</v>
      </c>
      <c r="O572" s="1319" t="s">
        <v>322</v>
      </c>
      <c r="P572" s="1318">
        <v>3000000</v>
      </c>
      <c r="Q572" s="1319" t="s">
        <v>322</v>
      </c>
      <c r="R572" s="1318">
        <v>3000000</v>
      </c>
      <c r="S572" s="1319" t="s">
        <v>970</v>
      </c>
      <c r="T572" s="1224"/>
      <c r="U572" s="1126"/>
      <c r="V572" s="1239"/>
      <c r="W572" s="1126"/>
      <c r="X572" s="1130"/>
      <c r="Y572" s="1126"/>
      <c r="Z572" s="1130"/>
      <c r="AA572" s="1126"/>
      <c r="AB572" s="1205">
        <v>1000000</v>
      </c>
      <c r="AC572" s="1143" t="s">
        <v>971</v>
      </c>
      <c r="AD572" s="1197"/>
      <c r="AE572" s="1247"/>
      <c r="AF572" s="1197"/>
      <c r="AG572" s="1247"/>
      <c r="AH572" s="1232" t="str">
        <f t="shared" si="110"/>
        <v>SUPERVISI</v>
      </c>
      <c r="AI572" s="747">
        <f t="shared" si="128"/>
        <v>13000000</v>
      </c>
      <c r="AJ572" s="747">
        <f t="shared" si="129"/>
        <v>1000000</v>
      </c>
      <c r="AK572" s="747">
        <f t="shared" si="130"/>
        <v>-12000000</v>
      </c>
      <c r="AL572" s="1170"/>
      <c r="AM572" s="1170"/>
      <c r="AN572" s="1209"/>
      <c r="AO572" s="1170"/>
      <c r="AP572" s="1209"/>
      <c r="AQ572" s="1128"/>
      <c r="AR572" s="1173"/>
      <c r="AT572" s="1173"/>
      <c r="AV572" s="1173"/>
      <c r="AX572" s="1173"/>
      <c r="AY572" s="1176"/>
      <c r="AZ572" s="1173"/>
    </row>
    <row r="573" spans="1:52" s="2" customFormat="1" x14ac:dyDescent="0.25">
      <c r="A573" s="19">
        <v>545</v>
      </c>
      <c r="B573" s="59">
        <v>3</v>
      </c>
      <c r="C573" s="119">
        <v>849120055</v>
      </c>
      <c r="D573" s="39" t="s">
        <v>974</v>
      </c>
      <c r="E573" s="85" t="s">
        <v>579</v>
      </c>
      <c r="F573" s="59">
        <v>2012</v>
      </c>
      <c r="G573" s="23" t="s">
        <v>33</v>
      </c>
      <c r="H573" s="60" t="str">
        <f t="shared" si="123"/>
        <v xml:space="preserve">   </v>
      </c>
      <c r="I573" s="60">
        <f t="shared" si="124"/>
        <v>41640</v>
      </c>
      <c r="J573" s="1239"/>
      <c r="K573" s="1194"/>
      <c r="L573" s="1318">
        <v>3000000</v>
      </c>
      <c r="M573" s="1319" t="s">
        <v>973</v>
      </c>
      <c r="N573" s="1318">
        <v>3000000</v>
      </c>
      <c r="O573" s="1319" t="s">
        <v>322</v>
      </c>
      <c r="P573" s="1318">
        <v>3000000</v>
      </c>
      <c r="Q573" s="1319" t="s">
        <v>322</v>
      </c>
      <c r="R573" s="1318">
        <v>3000000</v>
      </c>
      <c r="S573" s="1319" t="s">
        <v>970</v>
      </c>
      <c r="T573" s="1224"/>
      <c r="U573" s="1126"/>
      <c r="V573" s="1239"/>
      <c r="W573" s="1126"/>
      <c r="X573" s="1130"/>
      <c r="Y573" s="1126"/>
      <c r="Z573" s="1130"/>
      <c r="AA573" s="1126"/>
      <c r="AB573" s="1205">
        <v>1000000</v>
      </c>
      <c r="AC573" s="1143" t="s">
        <v>971</v>
      </c>
      <c r="AD573" s="1197"/>
      <c r="AE573" s="1247"/>
      <c r="AF573" s="1197"/>
      <c r="AG573" s="1247"/>
      <c r="AH573" s="1232" t="str">
        <f t="shared" si="110"/>
        <v>SUPERVISI</v>
      </c>
      <c r="AI573" s="747">
        <f t="shared" si="128"/>
        <v>13000000</v>
      </c>
      <c r="AJ573" s="747">
        <f t="shared" si="129"/>
        <v>1000000</v>
      </c>
      <c r="AK573" s="747">
        <f t="shared" si="130"/>
        <v>-12000000</v>
      </c>
      <c r="AL573" s="1170"/>
      <c r="AM573" s="1170"/>
      <c r="AN573" s="1209"/>
      <c r="AO573" s="1170"/>
      <c r="AP573" s="1209"/>
      <c r="AQ573" s="1128"/>
      <c r="AR573" s="1173"/>
      <c r="AT573" s="1173"/>
      <c r="AV573" s="1173"/>
      <c r="AX573" s="1173"/>
      <c r="AY573" s="1176"/>
      <c r="AZ573" s="1173"/>
    </row>
    <row r="574" spans="1:52" s="2" customFormat="1" x14ac:dyDescent="0.25">
      <c r="A574" s="19">
        <v>546</v>
      </c>
      <c r="B574" s="59">
        <v>4</v>
      </c>
      <c r="C574" s="119"/>
      <c r="D574" s="39" t="s">
        <v>975</v>
      </c>
      <c r="E574" s="85" t="s">
        <v>579</v>
      </c>
      <c r="F574" s="59">
        <v>2012</v>
      </c>
      <c r="G574" s="23"/>
      <c r="H574" s="60" t="str">
        <f t="shared" si="123"/>
        <v xml:space="preserve">   </v>
      </c>
      <c r="I574" s="60" t="str">
        <f t="shared" si="124"/>
        <v xml:space="preserve">   </v>
      </c>
      <c r="J574" s="1239"/>
      <c r="K574" s="1194"/>
      <c r="L574" s="1318">
        <v>3000000</v>
      </c>
      <c r="M574" s="1319" t="s">
        <v>973</v>
      </c>
      <c r="N574" s="1318">
        <v>3000000</v>
      </c>
      <c r="O574" s="1319" t="s">
        <v>322</v>
      </c>
      <c r="P574" s="1318">
        <v>3000000</v>
      </c>
      <c r="Q574" s="1319" t="s">
        <v>322</v>
      </c>
      <c r="R574" s="1318">
        <v>3000000</v>
      </c>
      <c r="S574" s="1319" t="s">
        <v>970</v>
      </c>
      <c r="T574" s="1224"/>
      <c r="U574" s="1126"/>
      <c r="V574" s="1239"/>
      <c r="W574" s="1126"/>
      <c r="X574" s="1130"/>
      <c r="Y574" s="1126"/>
      <c r="Z574" s="1130"/>
      <c r="AA574" s="1126"/>
      <c r="AB574" s="1205">
        <v>1000000</v>
      </c>
      <c r="AC574" s="1143" t="s">
        <v>971</v>
      </c>
      <c r="AD574" s="1197"/>
      <c r="AE574" s="1247"/>
      <c r="AF574" s="1197"/>
      <c r="AG574" s="1247"/>
      <c r="AH574" s="1232" t="str">
        <f t="shared" si="110"/>
        <v>SUPERVISI</v>
      </c>
      <c r="AI574" s="747">
        <f t="shared" si="128"/>
        <v>13000000</v>
      </c>
      <c r="AJ574" s="747">
        <f t="shared" si="129"/>
        <v>1000000</v>
      </c>
      <c r="AK574" s="747">
        <f t="shared" si="130"/>
        <v>-12000000</v>
      </c>
      <c r="AL574" s="1170"/>
      <c r="AM574" s="1170"/>
      <c r="AN574" s="1209"/>
      <c r="AO574" s="1170"/>
      <c r="AP574" s="1209"/>
      <c r="AQ574" s="1128"/>
      <c r="AR574" s="1173"/>
      <c r="AT574" s="1173"/>
      <c r="AV574" s="1173"/>
      <c r="AX574" s="1173"/>
      <c r="AY574" s="1176"/>
      <c r="AZ574" s="1173"/>
    </row>
    <row r="575" spans="1:52" s="2" customFormat="1" x14ac:dyDescent="0.25">
      <c r="A575" s="19">
        <v>547</v>
      </c>
      <c r="B575" s="59">
        <v>5</v>
      </c>
      <c r="C575" s="119">
        <v>849120048</v>
      </c>
      <c r="D575" s="39" t="s">
        <v>976</v>
      </c>
      <c r="E575" s="85" t="s">
        <v>579</v>
      </c>
      <c r="F575" s="59">
        <v>2012</v>
      </c>
      <c r="G575" s="23" t="s">
        <v>33</v>
      </c>
      <c r="H575" s="60" t="str">
        <f t="shared" si="123"/>
        <v xml:space="preserve">   </v>
      </c>
      <c r="I575" s="60">
        <f t="shared" si="124"/>
        <v>41640</v>
      </c>
      <c r="J575" s="1239"/>
      <c r="K575" s="1194"/>
      <c r="L575" s="1318">
        <v>3000000</v>
      </c>
      <c r="M575" s="1319" t="s">
        <v>973</v>
      </c>
      <c r="N575" s="1318">
        <v>3000000</v>
      </c>
      <c r="O575" s="1319" t="s">
        <v>322</v>
      </c>
      <c r="P575" s="1318">
        <v>3000000</v>
      </c>
      <c r="Q575" s="1319" t="s">
        <v>322</v>
      </c>
      <c r="R575" s="1318">
        <v>3000000</v>
      </c>
      <c r="S575" s="1319" t="s">
        <v>970</v>
      </c>
      <c r="T575" s="1224"/>
      <c r="U575" s="1126"/>
      <c r="V575" s="1239"/>
      <c r="W575" s="1126"/>
      <c r="X575" s="1260"/>
      <c r="Y575" s="1196"/>
      <c r="Z575" s="1130"/>
      <c r="AA575" s="1126"/>
      <c r="AB575" s="1205">
        <v>1000000</v>
      </c>
      <c r="AC575" s="1143" t="s">
        <v>971</v>
      </c>
      <c r="AD575" s="1197"/>
      <c r="AE575" s="1247"/>
      <c r="AF575" s="1197"/>
      <c r="AG575" s="1247"/>
      <c r="AH575" s="1232" t="str">
        <f t="shared" si="110"/>
        <v>SUPERVISI</v>
      </c>
      <c r="AI575" s="747">
        <f t="shared" si="128"/>
        <v>13000000</v>
      </c>
      <c r="AJ575" s="747">
        <f t="shared" si="129"/>
        <v>1000000</v>
      </c>
      <c r="AK575" s="747">
        <f t="shared" si="130"/>
        <v>-12000000</v>
      </c>
      <c r="AL575" s="1170"/>
      <c r="AM575" s="1170"/>
      <c r="AN575" s="1209"/>
      <c r="AO575" s="1170"/>
      <c r="AP575" s="1209"/>
      <c r="AQ575" s="1128"/>
      <c r="AR575" s="1173"/>
      <c r="AT575" s="1173"/>
      <c r="AV575" s="1173"/>
      <c r="AX575" s="1173"/>
      <c r="AY575" s="1176"/>
      <c r="AZ575" s="1173"/>
    </row>
    <row r="576" spans="1:52" s="2" customFormat="1" x14ac:dyDescent="0.25">
      <c r="A576" s="19">
        <v>548</v>
      </c>
      <c r="B576" s="59">
        <v>6</v>
      </c>
      <c r="C576" s="119">
        <v>849120062</v>
      </c>
      <c r="D576" s="39" t="s">
        <v>633</v>
      </c>
      <c r="E576" s="85" t="s">
        <v>579</v>
      </c>
      <c r="F576" s="59">
        <v>2012</v>
      </c>
      <c r="G576" s="23" t="s">
        <v>33</v>
      </c>
      <c r="H576" s="60" t="str">
        <f t="shared" si="123"/>
        <v xml:space="preserve">   </v>
      </c>
      <c r="I576" s="60">
        <f t="shared" si="124"/>
        <v>41640</v>
      </c>
      <c r="J576" s="1239"/>
      <c r="K576" s="1194"/>
      <c r="L576" s="1318">
        <v>3000000</v>
      </c>
      <c r="M576" s="1319">
        <v>40969</v>
      </c>
      <c r="N576" s="1318">
        <v>3000000</v>
      </c>
      <c r="O576" s="1319" t="s">
        <v>977</v>
      </c>
      <c r="P576" s="1318">
        <v>3000000</v>
      </c>
      <c r="Q576" s="1319" t="s">
        <v>977</v>
      </c>
      <c r="R576" s="1318">
        <v>3000000</v>
      </c>
      <c r="S576" s="1319" t="s">
        <v>970</v>
      </c>
      <c r="T576" s="1224"/>
      <c r="U576" s="1126"/>
      <c r="V576" s="1239"/>
      <c r="W576" s="1126"/>
      <c r="X576" s="1260"/>
      <c r="Y576" s="1196"/>
      <c r="Z576" s="1260"/>
      <c r="AA576" s="1196"/>
      <c r="AB576" s="1205">
        <v>1000000</v>
      </c>
      <c r="AC576" s="1143" t="s">
        <v>971</v>
      </c>
      <c r="AD576" s="1197"/>
      <c r="AE576" s="1247"/>
      <c r="AF576" s="1197"/>
      <c r="AG576" s="1247"/>
      <c r="AH576" s="1232" t="str">
        <f t="shared" si="110"/>
        <v>SUPERVISI</v>
      </c>
      <c r="AI576" s="747">
        <f t="shared" si="128"/>
        <v>13000000</v>
      </c>
      <c r="AJ576" s="747">
        <f t="shared" si="129"/>
        <v>1000000</v>
      </c>
      <c r="AK576" s="747">
        <f t="shared" si="130"/>
        <v>-12000000</v>
      </c>
      <c r="AL576" s="1170"/>
      <c r="AM576" s="1170"/>
      <c r="AN576" s="1209"/>
      <c r="AO576" s="1170"/>
      <c r="AP576" s="1209"/>
      <c r="AQ576" s="1128"/>
      <c r="AR576" s="1173"/>
      <c r="AT576" s="1173"/>
      <c r="AV576" s="1173"/>
      <c r="AX576" s="1173"/>
      <c r="AY576" s="1176"/>
      <c r="AZ576" s="1173"/>
    </row>
    <row r="577" spans="1:52" s="2" customFormat="1" x14ac:dyDescent="0.25">
      <c r="A577" s="19">
        <v>549</v>
      </c>
      <c r="B577" s="59">
        <v>7</v>
      </c>
      <c r="C577" s="119">
        <v>849120065</v>
      </c>
      <c r="D577" s="39" t="s">
        <v>978</v>
      </c>
      <c r="E577" s="85" t="s">
        <v>579</v>
      </c>
      <c r="F577" s="59">
        <v>2012</v>
      </c>
      <c r="G577" s="23" t="s">
        <v>33</v>
      </c>
      <c r="H577" s="60" t="str">
        <f t="shared" si="123"/>
        <v xml:space="preserve">   </v>
      </c>
      <c r="I577" s="60">
        <f t="shared" si="124"/>
        <v>41640</v>
      </c>
      <c r="J577" s="1239"/>
      <c r="K577" s="1194"/>
      <c r="L577" s="1318">
        <v>3000000</v>
      </c>
      <c r="M577" s="1319">
        <v>41579</v>
      </c>
      <c r="N577" s="1318">
        <v>3000000</v>
      </c>
      <c r="O577" s="1319" t="s">
        <v>979</v>
      </c>
      <c r="P577" s="1318">
        <v>3000000</v>
      </c>
      <c r="Q577" s="1319" t="s">
        <v>979</v>
      </c>
      <c r="R577" s="1318">
        <v>3000000</v>
      </c>
      <c r="S577" s="1319" t="s">
        <v>970</v>
      </c>
      <c r="T577" s="1224"/>
      <c r="U577" s="1126"/>
      <c r="V577" s="1239"/>
      <c r="W577" s="1126"/>
      <c r="X577" s="1260"/>
      <c r="Y577" s="1196"/>
      <c r="Z577" s="1260"/>
      <c r="AA577" s="1196"/>
      <c r="AB577" s="1205">
        <v>1000000</v>
      </c>
      <c r="AC577" s="1143" t="s">
        <v>971</v>
      </c>
      <c r="AD577" s="1197"/>
      <c r="AE577" s="1247"/>
      <c r="AF577" s="1197"/>
      <c r="AG577" s="1247"/>
      <c r="AH577" s="1232" t="str">
        <f t="shared" si="110"/>
        <v>SUPERVISI</v>
      </c>
      <c r="AI577" s="747">
        <f t="shared" si="128"/>
        <v>13000000</v>
      </c>
      <c r="AJ577" s="747">
        <f t="shared" si="129"/>
        <v>1000000</v>
      </c>
      <c r="AK577" s="747">
        <f t="shared" si="130"/>
        <v>-12000000</v>
      </c>
      <c r="AL577" s="1170"/>
      <c r="AM577" s="1170"/>
      <c r="AN577" s="1209"/>
      <c r="AO577" s="1170"/>
      <c r="AP577" s="1209"/>
      <c r="AQ577" s="1128"/>
      <c r="AR577" s="1173"/>
      <c r="AT577" s="1173"/>
      <c r="AV577" s="1173"/>
      <c r="AX577" s="1173"/>
      <c r="AY577" s="1176"/>
      <c r="AZ577" s="1173"/>
    </row>
    <row r="578" spans="1:52" s="2" customFormat="1" x14ac:dyDescent="0.25">
      <c r="A578" s="19">
        <v>550</v>
      </c>
      <c r="B578" s="59">
        <v>8</v>
      </c>
      <c r="C578" s="119">
        <v>849120068</v>
      </c>
      <c r="D578" s="39" t="s">
        <v>980</v>
      </c>
      <c r="E578" s="85" t="s">
        <v>579</v>
      </c>
      <c r="F578" s="59">
        <v>2012</v>
      </c>
      <c r="G578" s="23" t="s">
        <v>33</v>
      </c>
      <c r="H578" s="60" t="str">
        <f t="shared" si="123"/>
        <v xml:space="preserve">   </v>
      </c>
      <c r="I578" s="60">
        <f t="shared" si="124"/>
        <v>41640</v>
      </c>
      <c r="J578" s="1239"/>
      <c r="K578" s="1194"/>
      <c r="L578" s="1318">
        <v>3000000</v>
      </c>
      <c r="M578" s="1319">
        <v>41579</v>
      </c>
      <c r="N578" s="1318">
        <v>3000000</v>
      </c>
      <c r="O578" s="1319" t="s">
        <v>322</v>
      </c>
      <c r="P578" s="1318">
        <v>3000000</v>
      </c>
      <c r="Q578" s="1319" t="s">
        <v>322</v>
      </c>
      <c r="R578" s="1318">
        <v>3000000</v>
      </c>
      <c r="S578" s="1319" t="s">
        <v>970</v>
      </c>
      <c r="T578" s="1224"/>
      <c r="U578" s="1126"/>
      <c r="V578" s="1239"/>
      <c r="W578" s="1126"/>
      <c r="X578" s="1260"/>
      <c r="Y578" s="1196"/>
      <c r="Z578" s="1260"/>
      <c r="AA578" s="1196"/>
      <c r="AB578" s="1205">
        <v>1000000</v>
      </c>
      <c r="AC578" s="1143" t="s">
        <v>971</v>
      </c>
      <c r="AD578" s="1197"/>
      <c r="AE578" s="1247"/>
      <c r="AF578" s="1197"/>
      <c r="AG578" s="1247"/>
      <c r="AH578" s="1232" t="str">
        <f t="shared" si="110"/>
        <v>SUPERVISI</v>
      </c>
      <c r="AI578" s="747">
        <f t="shared" si="128"/>
        <v>13000000</v>
      </c>
      <c r="AJ578" s="747">
        <f t="shared" si="129"/>
        <v>1000000</v>
      </c>
      <c r="AK578" s="747">
        <f t="shared" si="130"/>
        <v>-12000000</v>
      </c>
      <c r="AL578" s="1170"/>
      <c r="AM578" s="1170"/>
      <c r="AN578" s="1209"/>
      <c r="AO578" s="1170"/>
      <c r="AP578" s="1209"/>
      <c r="AQ578" s="1128"/>
      <c r="AR578" s="1173"/>
      <c r="AT578" s="1173"/>
      <c r="AV578" s="1173"/>
      <c r="AX578" s="1173"/>
      <c r="AY578" s="1176"/>
      <c r="AZ578" s="1173"/>
    </row>
    <row r="579" spans="1:52" s="2" customFormat="1" x14ac:dyDescent="0.25">
      <c r="A579" s="19">
        <v>551</v>
      </c>
      <c r="B579" s="59">
        <v>9</v>
      </c>
      <c r="C579" s="119">
        <v>849120059</v>
      </c>
      <c r="D579" s="39" t="s">
        <v>981</v>
      </c>
      <c r="E579" s="85" t="s">
        <v>579</v>
      </c>
      <c r="F579" s="59">
        <v>2012</v>
      </c>
      <c r="G579" s="23" t="s">
        <v>33</v>
      </c>
      <c r="H579" s="60" t="str">
        <f t="shared" si="123"/>
        <v xml:space="preserve">   </v>
      </c>
      <c r="I579" s="60">
        <f t="shared" si="124"/>
        <v>41640</v>
      </c>
      <c r="J579" s="1239"/>
      <c r="K579" s="1194"/>
      <c r="L579" s="1318">
        <v>3000000</v>
      </c>
      <c r="M579" s="1319">
        <v>41579</v>
      </c>
      <c r="N579" s="1318">
        <v>3000000</v>
      </c>
      <c r="O579" s="1319" t="s">
        <v>982</v>
      </c>
      <c r="P579" s="1318">
        <v>3000000</v>
      </c>
      <c r="Q579" s="1319" t="s">
        <v>983</v>
      </c>
      <c r="R579" s="1318">
        <v>3000000</v>
      </c>
      <c r="S579" s="1319" t="s">
        <v>970</v>
      </c>
      <c r="T579" s="1224"/>
      <c r="U579" s="1126"/>
      <c r="V579" s="1239"/>
      <c r="W579" s="1126"/>
      <c r="X579" s="1260"/>
      <c r="Y579" s="1196"/>
      <c r="Z579" s="1260"/>
      <c r="AA579" s="1196"/>
      <c r="AB579" s="1205">
        <v>1000000</v>
      </c>
      <c r="AC579" s="1143" t="s">
        <v>971</v>
      </c>
      <c r="AD579" s="1197"/>
      <c r="AE579" s="1247"/>
      <c r="AF579" s="1197"/>
      <c r="AG579" s="1247"/>
      <c r="AH579" s="1232" t="str">
        <f t="shared" si="110"/>
        <v>SUPERVISI</v>
      </c>
      <c r="AI579" s="747">
        <f t="shared" si="128"/>
        <v>13000000</v>
      </c>
      <c r="AJ579" s="747">
        <f t="shared" si="129"/>
        <v>1000000</v>
      </c>
      <c r="AK579" s="747">
        <f t="shared" si="130"/>
        <v>-12000000</v>
      </c>
      <c r="AL579" s="1170"/>
      <c r="AM579" s="1170"/>
      <c r="AN579" s="1209"/>
      <c r="AO579" s="1170"/>
      <c r="AP579" s="1209"/>
      <c r="AQ579" s="1128"/>
      <c r="AR579" s="1173"/>
      <c r="AT579" s="1173"/>
      <c r="AV579" s="1173"/>
      <c r="AX579" s="1173"/>
      <c r="AY579" s="1176"/>
      <c r="AZ579" s="1173"/>
    </row>
    <row r="580" spans="1:52" s="2" customFormat="1" x14ac:dyDescent="0.25">
      <c r="A580" s="19">
        <v>552</v>
      </c>
      <c r="B580" s="59">
        <v>10</v>
      </c>
      <c r="C580" s="119">
        <v>849120047</v>
      </c>
      <c r="D580" s="39" t="s">
        <v>984</v>
      </c>
      <c r="E580" s="85" t="s">
        <v>579</v>
      </c>
      <c r="F580" s="59">
        <v>2012</v>
      </c>
      <c r="G580" s="23" t="s">
        <v>33</v>
      </c>
      <c r="H580" s="60" t="str">
        <f t="shared" si="123"/>
        <v xml:space="preserve">   </v>
      </c>
      <c r="I580" s="60">
        <f t="shared" si="124"/>
        <v>41640</v>
      </c>
      <c r="J580" s="1239"/>
      <c r="K580" s="1194"/>
      <c r="L580" s="1318">
        <v>3000000</v>
      </c>
      <c r="M580" s="1319">
        <v>41365</v>
      </c>
      <c r="N580" s="1318">
        <v>3000000</v>
      </c>
      <c r="O580" s="1319">
        <v>41345</v>
      </c>
      <c r="P580" s="1318">
        <v>3000000</v>
      </c>
      <c r="Q580" s="1319">
        <v>41345</v>
      </c>
      <c r="R580" s="1318">
        <v>3000000</v>
      </c>
      <c r="S580" s="1319" t="s">
        <v>970</v>
      </c>
      <c r="T580" s="1224"/>
      <c r="U580" s="1126"/>
      <c r="V580" s="1239"/>
      <c r="W580" s="1126"/>
      <c r="X580" s="1260"/>
      <c r="Y580" s="1196"/>
      <c r="Z580" s="1260"/>
      <c r="AA580" s="1196"/>
      <c r="AB580" s="1205">
        <v>1000000</v>
      </c>
      <c r="AC580" s="1143" t="s">
        <v>971</v>
      </c>
      <c r="AD580" s="1197"/>
      <c r="AE580" s="1247"/>
      <c r="AF580" s="1197"/>
      <c r="AG580" s="1247"/>
      <c r="AH580" s="1232" t="str">
        <f t="shared" si="110"/>
        <v>SUPERVISI</v>
      </c>
      <c r="AI580" s="747">
        <f t="shared" si="128"/>
        <v>13000000</v>
      </c>
      <c r="AJ580" s="747">
        <f t="shared" si="129"/>
        <v>1000000</v>
      </c>
      <c r="AK580" s="747">
        <f t="shared" si="130"/>
        <v>-12000000</v>
      </c>
      <c r="AL580" s="1170"/>
      <c r="AM580" s="1170"/>
      <c r="AN580" s="1209"/>
      <c r="AO580" s="1170"/>
      <c r="AP580" s="1209"/>
      <c r="AQ580" s="1128"/>
      <c r="AR580" s="1173"/>
      <c r="AT580" s="1173"/>
      <c r="AV580" s="1173"/>
      <c r="AX580" s="1173"/>
      <c r="AY580" s="1176"/>
      <c r="AZ580" s="1173"/>
    </row>
    <row r="581" spans="1:52" s="2" customFormat="1" x14ac:dyDescent="0.25">
      <c r="A581" s="19">
        <v>553</v>
      </c>
      <c r="B581" s="59">
        <v>11</v>
      </c>
      <c r="C581" s="119">
        <v>849120098</v>
      </c>
      <c r="D581" s="39" t="s">
        <v>985</v>
      </c>
      <c r="E581" s="85" t="s">
        <v>579</v>
      </c>
      <c r="F581" s="59">
        <v>2012</v>
      </c>
      <c r="G581" s="23"/>
      <c r="H581" s="60" t="str">
        <f t="shared" si="123"/>
        <v xml:space="preserve">   </v>
      </c>
      <c r="I581" s="60">
        <f t="shared" si="124"/>
        <v>41640</v>
      </c>
      <c r="J581" s="1239"/>
      <c r="K581" s="1194"/>
      <c r="L581" s="1318">
        <v>3000000</v>
      </c>
      <c r="M581" s="1319" t="s">
        <v>969</v>
      </c>
      <c r="N581" s="1318">
        <v>3000000</v>
      </c>
      <c r="O581" s="1319">
        <v>41345</v>
      </c>
      <c r="P581" s="1318">
        <v>3000000</v>
      </c>
      <c r="Q581" s="1319">
        <v>41345</v>
      </c>
      <c r="R581" s="1318">
        <v>3000000</v>
      </c>
      <c r="S581" s="1319" t="s">
        <v>970</v>
      </c>
      <c r="T581" s="1224"/>
      <c r="U581" s="1126"/>
      <c r="V581" s="1239"/>
      <c r="W581" s="1126"/>
      <c r="X581" s="1260"/>
      <c r="Y581" s="1196"/>
      <c r="Z581" s="1260"/>
      <c r="AA581" s="1196"/>
      <c r="AB581" s="1205">
        <v>1000000</v>
      </c>
      <c r="AC581" s="1143" t="s">
        <v>971</v>
      </c>
      <c r="AD581" s="1197"/>
      <c r="AE581" s="1247"/>
      <c r="AF581" s="1197"/>
      <c r="AG581" s="1247"/>
      <c r="AH581" s="1232" t="str">
        <f t="shared" ref="AH581:AH644" si="131">E581</f>
        <v>SUPERVISI</v>
      </c>
      <c r="AI581" s="747">
        <f t="shared" si="128"/>
        <v>13000000</v>
      </c>
      <c r="AJ581" s="747">
        <f t="shared" si="129"/>
        <v>1000000</v>
      </c>
      <c r="AK581" s="747">
        <f t="shared" si="130"/>
        <v>-12000000</v>
      </c>
      <c r="AL581" s="1170"/>
      <c r="AM581" s="1170"/>
      <c r="AN581" s="1209"/>
      <c r="AO581" s="1170"/>
      <c r="AP581" s="1209"/>
      <c r="AQ581" s="1128"/>
      <c r="AR581" s="1173"/>
      <c r="AT581" s="1173"/>
      <c r="AV581" s="1173"/>
      <c r="AX581" s="1173"/>
      <c r="AY581" s="1176"/>
      <c r="AZ581" s="1173"/>
    </row>
    <row r="582" spans="1:52" s="2" customFormat="1" x14ac:dyDescent="0.25">
      <c r="A582" s="19">
        <v>554</v>
      </c>
      <c r="B582" s="59">
        <v>12</v>
      </c>
      <c r="C582" s="119">
        <v>849120064</v>
      </c>
      <c r="D582" s="39" t="s">
        <v>986</v>
      </c>
      <c r="E582" s="85" t="s">
        <v>579</v>
      </c>
      <c r="F582" s="59">
        <v>2012</v>
      </c>
      <c r="G582" s="23" t="s">
        <v>33</v>
      </c>
      <c r="H582" s="60" t="str">
        <f t="shared" si="123"/>
        <v xml:space="preserve">   </v>
      </c>
      <c r="I582" s="60">
        <f t="shared" si="124"/>
        <v>41640</v>
      </c>
      <c r="J582" s="1239"/>
      <c r="K582" s="1194"/>
      <c r="L582" s="1318">
        <v>3000000</v>
      </c>
      <c r="M582" s="1319" t="s">
        <v>973</v>
      </c>
      <c r="N582" s="1318">
        <v>3000000</v>
      </c>
      <c r="O582" s="1319" t="s">
        <v>322</v>
      </c>
      <c r="P582" s="1318">
        <v>3000000</v>
      </c>
      <c r="Q582" s="1319" t="s">
        <v>322</v>
      </c>
      <c r="R582" s="1318">
        <v>3000000</v>
      </c>
      <c r="S582" s="1319" t="s">
        <v>970</v>
      </c>
      <c r="T582" s="1224"/>
      <c r="U582" s="1126"/>
      <c r="V582" s="1239"/>
      <c r="W582" s="1126"/>
      <c r="X582" s="1260"/>
      <c r="Y582" s="1196"/>
      <c r="Z582" s="1260"/>
      <c r="AA582" s="1196"/>
      <c r="AB582" s="1205">
        <v>1000000</v>
      </c>
      <c r="AC582" s="1143" t="s">
        <v>971</v>
      </c>
      <c r="AD582" s="1197"/>
      <c r="AE582" s="1247"/>
      <c r="AF582" s="1197"/>
      <c r="AG582" s="1247"/>
      <c r="AH582" s="1232" t="str">
        <f t="shared" si="131"/>
        <v>SUPERVISI</v>
      </c>
      <c r="AI582" s="747">
        <f t="shared" si="128"/>
        <v>13000000</v>
      </c>
      <c r="AJ582" s="747">
        <f t="shared" si="129"/>
        <v>1000000</v>
      </c>
      <c r="AK582" s="747">
        <f t="shared" si="130"/>
        <v>-12000000</v>
      </c>
      <c r="AL582" s="1170"/>
      <c r="AM582" s="1170"/>
      <c r="AN582" s="1209"/>
      <c r="AO582" s="1170"/>
      <c r="AP582" s="1209"/>
      <c r="AQ582" s="1128"/>
      <c r="AR582" s="1173"/>
      <c r="AT582" s="1173"/>
      <c r="AV582" s="1173"/>
      <c r="AX582" s="1173"/>
      <c r="AY582" s="1176"/>
      <c r="AZ582" s="1173"/>
    </row>
    <row r="583" spans="1:52" s="2" customFormat="1" x14ac:dyDescent="0.25">
      <c r="A583" s="19">
        <v>555</v>
      </c>
      <c r="B583" s="59">
        <v>13</v>
      </c>
      <c r="C583" s="119">
        <v>849120067</v>
      </c>
      <c r="D583" s="39" t="s">
        <v>987</v>
      </c>
      <c r="E583" s="85" t="s">
        <v>579</v>
      </c>
      <c r="F583" s="59">
        <v>2012</v>
      </c>
      <c r="G583" s="23" t="s">
        <v>33</v>
      </c>
      <c r="H583" s="60" t="str">
        <f t="shared" si="123"/>
        <v xml:space="preserve">   </v>
      </c>
      <c r="I583" s="60">
        <f t="shared" si="124"/>
        <v>41640</v>
      </c>
      <c r="J583" s="1239"/>
      <c r="K583" s="1194"/>
      <c r="L583" s="1318">
        <v>3000000</v>
      </c>
      <c r="M583" s="1319" t="s">
        <v>973</v>
      </c>
      <c r="N583" s="1318">
        <v>3000000</v>
      </c>
      <c r="O583" s="1319" t="s">
        <v>322</v>
      </c>
      <c r="P583" s="1318">
        <v>3000000</v>
      </c>
      <c r="Q583" s="1319" t="s">
        <v>322</v>
      </c>
      <c r="R583" s="1318">
        <v>3000000</v>
      </c>
      <c r="S583" s="1319" t="s">
        <v>970</v>
      </c>
      <c r="T583" s="1224"/>
      <c r="U583" s="1126"/>
      <c r="V583" s="1239"/>
      <c r="W583" s="1126"/>
      <c r="X583" s="1260"/>
      <c r="Y583" s="1196"/>
      <c r="Z583" s="1260"/>
      <c r="AA583" s="1196"/>
      <c r="AB583" s="1205">
        <v>1000000</v>
      </c>
      <c r="AC583" s="1143" t="s">
        <v>971</v>
      </c>
      <c r="AD583" s="1197"/>
      <c r="AE583" s="1247"/>
      <c r="AF583" s="1197"/>
      <c r="AG583" s="1247"/>
      <c r="AH583" s="1232" t="str">
        <f t="shared" si="131"/>
        <v>SUPERVISI</v>
      </c>
      <c r="AI583" s="747">
        <f t="shared" si="128"/>
        <v>13000000</v>
      </c>
      <c r="AJ583" s="747">
        <f t="shared" si="129"/>
        <v>1000000</v>
      </c>
      <c r="AK583" s="747">
        <f t="shared" si="130"/>
        <v>-12000000</v>
      </c>
      <c r="AL583" s="1170"/>
      <c r="AM583" s="1170"/>
      <c r="AN583" s="1209"/>
      <c r="AO583" s="1170"/>
      <c r="AP583" s="1209"/>
      <c r="AQ583" s="1128"/>
      <c r="AR583" s="1173"/>
      <c r="AT583" s="1173"/>
      <c r="AV583" s="1173"/>
      <c r="AX583" s="1173"/>
      <c r="AY583" s="1176"/>
      <c r="AZ583" s="1173"/>
    </row>
    <row r="584" spans="1:52" s="2" customFormat="1" x14ac:dyDescent="0.25">
      <c r="A584" s="19">
        <v>556</v>
      </c>
      <c r="B584" s="59">
        <v>14</v>
      </c>
      <c r="C584" s="119">
        <v>849120052</v>
      </c>
      <c r="D584" s="39" t="s">
        <v>988</v>
      </c>
      <c r="E584" s="85" t="s">
        <v>579</v>
      </c>
      <c r="F584" s="59">
        <v>2012</v>
      </c>
      <c r="G584" s="23" t="s">
        <v>33</v>
      </c>
      <c r="H584" s="60" t="str">
        <f t="shared" si="123"/>
        <v xml:space="preserve">   </v>
      </c>
      <c r="I584" s="60">
        <f t="shared" si="124"/>
        <v>41640</v>
      </c>
      <c r="J584" s="1239"/>
      <c r="K584" s="1194"/>
      <c r="L584" s="1318">
        <v>3000000</v>
      </c>
      <c r="M584" s="1319">
        <v>41579</v>
      </c>
      <c r="N584" s="1318">
        <v>3000000</v>
      </c>
      <c r="O584" s="1319">
        <v>41588</v>
      </c>
      <c r="P584" s="1318">
        <v>3000000</v>
      </c>
      <c r="Q584" s="1319">
        <v>41588</v>
      </c>
      <c r="R584" s="1318">
        <v>3000000</v>
      </c>
      <c r="S584" s="1319" t="s">
        <v>970</v>
      </c>
      <c r="T584" s="1224"/>
      <c r="U584" s="1126"/>
      <c r="V584" s="1239"/>
      <c r="W584" s="1126"/>
      <c r="X584" s="1260"/>
      <c r="Y584" s="1196"/>
      <c r="Z584" s="1260"/>
      <c r="AA584" s="1196"/>
      <c r="AB584" s="1205">
        <v>1000000</v>
      </c>
      <c r="AC584" s="1143" t="s">
        <v>971</v>
      </c>
      <c r="AD584" s="1197"/>
      <c r="AE584" s="1247"/>
      <c r="AF584" s="1197"/>
      <c r="AG584" s="1247"/>
      <c r="AH584" s="1232" t="str">
        <f t="shared" si="131"/>
        <v>SUPERVISI</v>
      </c>
      <c r="AI584" s="747">
        <f t="shared" si="128"/>
        <v>13000000</v>
      </c>
      <c r="AJ584" s="747">
        <f t="shared" si="129"/>
        <v>1000000</v>
      </c>
      <c r="AK584" s="747">
        <f t="shared" si="130"/>
        <v>-12000000</v>
      </c>
      <c r="AL584" s="1170"/>
      <c r="AM584" s="1170"/>
      <c r="AN584" s="1209"/>
      <c r="AO584" s="1170"/>
      <c r="AP584" s="1209"/>
      <c r="AQ584" s="1128"/>
      <c r="AR584" s="1173"/>
      <c r="AT584" s="1173"/>
      <c r="AV584" s="1173"/>
      <c r="AX584" s="1173"/>
      <c r="AY584" s="1176"/>
      <c r="AZ584" s="1173"/>
    </row>
    <row r="585" spans="1:52" s="2" customFormat="1" x14ac:dyDescent="0.25">
      <c r="A585" s="19">
        <v>557</v>
      </c>
      <c r="B585" s="59">
        <v>15</v>
      </c>
      <c r="C585" s="119">
        <v>849120061</v>
      </c>
      <c r="D585" s="39" t="s">
        <v>989</v>
      </c>
      <c r="E585" s="85" t="s">
        <v>579</v>
      </c>
      <c r="F585" s="59">
        <v>2012</v>
      </c>
      <c r="G585" s="23" t="s">
        <v>33</v>
      </c>
      <c r="H585" s="60" t="str">
        <f t="shared" si="123"/>
        <v xml:space="preserve">   </v>
      </c>
      <c r="I585" s="60">
        <f t="shared" si="124"/>
        <v>41640</v>
      </c>
      <c r="J585" s="1239"/>
      <c r="K585" s="1194"/>
      <c r="L585" s="1318">
        <v>3000000</v>
      </c>
      <c r="M585" s="1319">
        <v>41579</v>
      </c>
      <c r="N585" s="1318">
        <v>3000000</v>
      </c>
      <c r="O585" s="1319" t="s">
        <v>322</v>
      </c>
      <c r="P585" s="1318">
        <v>3000000</v>
      </c>
      <c r="Q585" s="1319" t="s">
        <v>322</v>
      </c>
      <c r="R585" s="1318">
        <v>3000000</v>
      </c>
      <c r="S585" s="1319" t="s">
        <v>970</v>
      </c>
      <c r="T585" s="1224"/>
      <c r="U585" s="1126"/>
      <c r="V585" s="1239"/>
      <c r="W585" s="1126"/>
      <c r="X585" s="1260"/>
      <c r="Y585" s="1196"/>
      <c r="Z585" s="1260"/>
      <c r="AA585" s="1196"/>
      <c r="AB585" s="1205">
        <v>1000000</v>
      </c>
      <c r="AC585" s="1143" t="s">
        <v>971</v>
      </c>
      <c r="AD585" s="1197"/>
      <c r="AE585" s="1247"/>
      <c r="AF585" s="1197"/>
      <c r="AG585" s="1247"/>
      <c r="AH585" s="1232" t="str">
        <f t="shared" si="131"/>
        <v>SUPERVISI</v>
      </c>
      <c r="AI585" s="747">
        <f t="shared" si="128"/>
        <v>13000000</v>
      </c>
      <c r="AJ585" s="747">
        <f t="shared" si="129"/>
        <v>1000000</v>
      </c>
      <c r="AK585" s="747">
        <f t="shared" si="130"/>
        <v>-12000000</v>
      </c>
      <c r="AL585" s="1170"/>
      <c r="AM585" s="1170"/>
      <c r="AN585" s="1209"/>
      <c r="AO585" s="1170"/>
      <c r="AP585" s="1209"/>
      <c r="AQ585" s="1128"/>
      <c r="AR585" s="1173"/>
      <c r="AT585" s="1173"/>
      <c r="AV585" s="1173"/>
      <c r="AX585" s="1173"/>
      <c r="AY585" s="1176"/>
      <c r="AZ585" s="1173"/>
    </row>
    <row r="586" spans="1:52" s="2" customFormat="1" x14ac:dyDescent="0.25">
      <c r="A586" s="19">
        <v>558</v>
      </c>
      <c r="B586" s="59">
        <v>16</v>
      </c>
      <c r="C586" s="119">
        <v>849120054</v>
      </c>
      <c r="D586" s="39" t="s">
        <v>990</v>
      </c>
      <c r="E586" s="85" t="s">
        <v>579</v>
      </c>
      <c r="F586" s="59">
        <v>2012</v>
      </c>
      <c r="G586" s="23" t="s">
        <v>33</v>
      </c>
      <c r="H586" s="60" t="str">
        <f t="shared" si="123"/>
        <v xml:space="preserve">   </v>
      </c>
      <c r="I586" s="60">
        <f t="shared" si="124"/>
        <v>41640</v>
      </c>
      <c r="J586" s="1239"/>
      <c r="K586" s="1194"/>
      <c r="L586" s="1318">
        <v>3000000</v>
      </c>
      <c r="M586" s="1319">
        <v>41579</v>
      </c>
      <c r="N586" s="1318">
        <v>3000000</v>
      </c>
      <c r="O586" s="1319" t="s">
        <v>991</v>
      </c>
      <c r="P586" s="1318">
        <v>3000000</v>
      </c>
      <c r="Q586" s="1319" t="s">
        <v>991</v>
      </c>
      <c r="R586" s="1318">
        <v>3000000</v>
      </c>
      <c r="S586" s="1319" t="s">
        <v>970</v>
      </c>
      <c r="T586" s="1224"/>
      <c r="U586" s="1126"/>
      <c r="V586" s="1239"/>
      <c r="W586" s="1126"/>
      <c r="X586" s="1260"/>
      <c r="Y586" s="1196"/>
      <c r="Z586" s="1260"/>
      <c r="AA586" s="1196"/>
      <c r="AB586" s="1205">
        <v>1000000</v>
      </c>
      <c r="AC586" s="1143" t="s">
        <v>971</v>
      </c>
      <c r="AD586" s="1197"/>
      <c r="AE586" s="1247"/>
      <c r="AF586" s="1197"/>
      <c r="AG586" s="1247"/>
      <c r="AH586" s="1232" t="str">
        <f t="shared" si="131"/>
        <v>SUPERVISI</v>
      </c>
      <c r="AI586" s="747">
        <f t="shared" si="128"/>
        <v>13000000</v>
      </c>
      <c r="AJ586" s="747">
        <f t="shared" si="129"/>
        <v>1000000</v>
      </c>
      <c r="AK586" s="747">
        <f t="shared" si="130"/>
        <v>-12000000</v>
      </c>
      <c r="AL586" s="1170"/>
      <c r="AM586" s="1170"/>
      <c r="AN586" s="1209"/>
      <c r="AO586" s="1170"/>
      <c r="AP586" s="1209"/>
      <c r="AQ586" s="1128"/>
      <c r="AR586" s="1173"/>
      <c r="AT586" s="1173"/>
      <c r="AV586" s="1173"/>
      <c r="AX586" s="1173"/>
      <c r="AY586" s="1176"/>
      <c r="AZ586" s="1173"/>
    </row>
    <row r="587" spans="1:52" s="2" customFormat="1" x14ac:dyDescent="0.25">
      <c r="A587" s="19">
        <v>559</v>
      </c>
      <c r="B587" s="59">
        <v>17</v>
      </c>
      <c r="C587" s="119">
        <v>849120056</v>
      </c>
      <c r="D587" s="39" t="s">
        <v>992</v>
      </c>
      <c r="E587" s="85" t="s">
        <v>579</v>
      </c>
      <c r="F587" s="59">
        <v>2012</v>
      </c>
      <c r="G587" s="23" t="s">
        <v>33</v>
      </c>
      <c r="H587" s="60" t="str">
        <f t="shared" si="123"/>
        <v xml:space="preserve">   </v>
      </c>
      <c r="I587" s="60">
        <f t="shared" si="124"/>
        <v>41640</v>
      </c>
      <c r="J587" s="1239"/>
      <c r="K587" s="1194"/>
      <c r="L587" s="1318">
        <v>3000000</v>
      </c>
      <c r="M587" s="1319">
        <v>41579</v>
      </c>
      <c r="N587" s="1318">
        <v>3000000</v>
      </c>
      <c r="O587" s="1319">
        <v>41345</v>
      </c>
      <c r="P587" s="1318">
        <v>3000000</v>
      </c>
      <c r="Q587" s="1319">
        <v>41345</v>
      </c>
      <c r="R587" s="1318">
        <v>3000000</v>
      </c>
      <c r="S587" s="1319" t="s">
        <v>970</v>
      </c>
      <c r="T587" s="1224"/>
      <c r="U587" s="1126"/>
      <c r="V587" s="1239"/>
      <c r="W587" s="1126"/>
      <c r="X587" s="1260"/>
      <c r="Y587" s="1196"/>
      <c r="Z587" s="1260"/>
      <c r="AA587" s="1196"/>
      <c r="AB587" s="1205">
        <v>1000000</v>
      </c>
      <c r="AC587" s="1143" t="s">
        <v>971</v>
      </c>
      <c r="AD587" s="1197"/>
      <c r="AE587" s="1247"/>
      <c r="AF587" s="1197"/>
      <c r="AG587" s="1247"/>
      <c r="AH587" s="1232" t="str">
        <f t="shared" si="131"/>
        <v>SUPERVISI</v>
      </c>
      <c r="AI587" s="747">
        <f t="shared" si="128"/>
        <v>13000000</v>
      </c>
      <c r="AJ587" s="747">
        <f t="shared" si="129"/>
        <v>1000000</v>
      </c>
      <c r="AK587" s="747">
        <f t="shared" si="130"/>
        <v>-12000000</v>
      </c>
      <c r="AL587" s="1170"/>
      <c r="AM587" s="1170"/>
      <c r="AN587" s="1209"/>
      <c r="AO587" s="1170"/>
      <c r="AP587" s="1209"/>
      <c r="AQ587" s="1128"/>
      <c r="AR587" s="1173"/>
      <c r="AT587" s="1173"/>
      <c r="AV587" s="1173"/>
      <c r="AX587" s="1173"/>
      <c r="AY587" s="1176"/>
      <c r="AZ587" s="1173"/>
    </row>
    <row r="588" spans="1:52" s="2" customFormat="1" x14ac:dyDescent="0.25">
      <c r="A588" s="19">
        <v>560</v>
      </c>
      <c r="B588" s="59">
        <v>18</v>
      </c>
      <c r="C588" s="119">
        <v>849120063</v>
      </c>
      <c r="D588" s="39" t="s">
        <v>993</v>
      </c>
      <c r="E588" s="85" t="s">
        <v>579</v>
      </c>
      <c r="F588" s="59">
        <v>2012</v>
      </c>
      <c r="G588" s="23" t="s">
        <v>33</v>
      </c>
      <c r="H588" s="60" t="str">
        <f t="shared" si="123"/>
        <v xml:space="preserve">   </v>
      </c>
      <c r="I588" s="60">
        <f t="shared" si="124"/>
        <v>41640</v>
      </c>
      <c r="J588" s="1239"/>
      <c r="K588" s="1194"/>
      <c r="L588" s="1318">
        <v>3000000</v>
      </c>
      <c r="M588" s="1319">
        <v>41579</v>
      </c>
      <c r="N588" s="1318">
        <v>3000000</v>
      </c>
      <c r="O588" s="1319" t="s">
        <v>991</v>
      </c>
      <c r="P588" s="1318">
        <v>3000000</v>
      </c>
      <c r="Q588" s="1319" t="s">
        <v>991</v>
      </c>
      <c r="R588" s="1318">
        <v>3000000</v>
      </c>
      <c r="S588" s="1319" t="s">
        <v>970</v>
      </c>
      <c r="T588" s="1224"/>
      <c r="U588" s="1126"/>
      <c r="V588" s="1239"/>
      <c r="W588" s="1126"/>
      <c r="X588" s="1260"/>
      <c r="Y588" s="1196"/>
      <c r="Z588" s="1260"/>
      <c r="AA588" s="1196"/>
      <c r="AB588" s="1205">
        <v>1000000</v>
      </c>
      <c r="AC588" s="1143" t="s">
        <v>971</v>
      </c>
      <c r="AD588" s="1197"/>
      <c r="AE588" s="1247"/>
      <c r="AF588" s="1197"/>
      <c r="AG588" s="1247"/>
      <c r="AH588" s="1232" t="str">
        <f t="shared" si="131"/>
        <v>SUPERVISI</v>
      </c>
      <c r="AI588" s="747">
        <f t="shared" si="128"/>
        <v>13000000</v>
      </c>
      <c r="AJ588" s="747">
        <f t="shared" si="129"/>
        <v>1000000</v>
      </c>
      <c r="AK588" s="747">
        <f t="shared" si="130"/>
        <v>-12000000</v>
      </c>
      <c r="AL588" s="1170"/>
      <c r="AM588" s="1170"/>
      <c r="AN588" s="1209"/>
      <c r="AO588" s="1170"/>
      <c r="AP588" s="1209"/>
      <c r="AQ588" s="1128"/>
      <c r="AR588" s="1173"/>
      <c r="AT588" s="1173"/>
      <c r="AV588" s="1173"/>
      <c r="AX588" s="1173"/>
      <c r="AY588" s="1176"/>
      <c r="AZ588" s="1173"/>
    </row>
    <row r="589" spans="1:52" s="2" customFormat="1" x14ac:dyDescent="0.25">
      <c r="A589" s="19">
        <v>561</v>
      </c>
      <c r="B589" s="59">
        <v>19</v>
      </c>
      <c r="C589" s="119">
        <v>849120049</v>
      </c>
      <c r="D589" s="39" t="s">
        <v>994</v>
      </c>
      <c r="E589" s="85" t="s">
        <v>579</v>
      </c>
      <c r="F589" s="59">
        <v>2012</v>
      </c>
      <c r="G589" s="23" t="s">
        <v>33</v>
      </c>
      <c r="H589" s="60" t="str">
        <f t="shared" si="123"/>
        <v xml:space="preserve">   </v>
      </c>
      <c r="I589" s="60">
        <f t="shared" si="124"/>
        <v>41640</v>
      </c>
      <c r="J589" s="1239"/>
      <c r="K589" s="1194"/>
      <c r="L589" s="1318">
        <v>3000000</v>
      </c>
      <c r="M589" s="1319">
        <v>41579</v>
      </c>
      <c r="N589" s="1318">
        <v>3000000</v>
      </c>
      <c r="O589" s="1319" t="s">
        <v>322</v>
      </c>
      <c r="P589" s="1318">
        <v>3000000</v>
      </c>
      <c r="Q589" s="1319" t="s">
        <v>322</v>
      </c>
      <c r="R589" s="1318">
        <v>3000000</v>
      </c>
      <c r="S589" s="1319" t="s">
        <v>970</v>
      </c>
      <c r="T589" s="1224"/>
      <c r="U589" s="1126"/>
      <c r="V589" s="1239"/>
      <c r="W589" s="1126"/>
      <c r="X589" s="1260"/>
      <c r="Y589" s="1196"/>
      <c r="Z589" s="1260"/>
      <c r="AA589" s="1196"/>
      <c r="AB589" s="1205">
        <v>1000000</v>
      </c>
      <c r="AC589" s="1143" t="s">
        <v>971</v>
      </c>
      <c r="AD589" s="1197"/>
      <c r="AE589" s="1247"/>
      <c r="AF589" s="1197"/>
      <c r="AG589" s="1247"/>
      <c r="AH589" s="1232" t="str">
        <f t="shared" si="131"/>
        <v>SUPERVISI</v>
      </c>
      <c r="AI589" s="747">
        <f t="shared" si="128"/>
        <v>13000000</v>
      </c>
      <c r="AJ589" s="747">
        <f t="shared" si="129"/>
        <v>1000000</v>
      </c>
      <c r="AK589" s="747">
        <f t="shared" si="130"/>
        <v>-12000000</v>
      </c>
      <c r="AL589" s="1170"/>
      <c r="AM589" s="1170"/>
      <c r="AN589" s="1209"/>
      <c r="AO589" s="1170"/>
      <c r="AP589" s="1209"/>
      <c r="AQ589" s="1128"/>
      <c r="AR589" s="1173"/>
      <c r="AT589" s="1173"/>
      <c r="AV589" s="1173"/>
      <c r="AX589" s="1173"/>
      <c r="AY589" s="1176"/>
      <c r="AZ589" s="1173"/>
    </row>
    <row r="590" spans="1:52" s="2" customFormat="1" x14ac:dyDescent="0.25">
      <c r="A590" s="19">
        <v>562</v>
      </c>
      <c r="B590" s="59">
        <v>20</v>
      </c>
      <c r="C590" s="119">
        <v>849120051</v>
      </c>
      <c r="D590" s="39" t="s">
        <v>995</v>
      </c>
      <c r="E590" s="85" t="s">
        <v>579</v>
      </c>
      <c r="F590" s="59">
        <v>2012</v>
      </c>
      <c r="G590" s="23" t="s">
        <v>33</v>
      </c>
      <c r="H590" s="60" t="str">
        <f t="shared" si="123"/>
        <v xml:space="preserve">   </v>
      </c>
      <c r="I590" s="60">
        <f t="shared" si="124"/>
        <v>41640</v>
      </c>
      <c r="J590" s="1239"/>
      <c r="K590" s="1194"/>
      <c r="L590" s="1318">
        <v>3000000</v>
      </c>
      <c r="M590" s="1319">
        <v>41579</v>
      </c>
      <c r="N590" s="1318">
        <v>3000000</v>
      </c>
      <c r="O590" s="1319" t="s">
        <v>322</v>
      </c>
      <c r="P590" s="1318">
        <v>3000000</v>
      </c>
      <c r="Q590" s="1319" t="s">
        <v>322</v>
      </c>
      <c r="R590" s="1318">
        <v>3000000</v>
      </c>
      <c r="S590" s="1319" t="s">
        <v>970</v>
      </c>
      <c r="T590" s="1224"/>
      <c r="U590" s="1126"/>
      <c r="V590" s="1239"/>
      <c r="W590" s="1126"/>
      <c r="X590" s="1260"/>
      <c r="Y590" s="1196"/>
      <c r="Z590" s="1260"/>
      <c r="AA590" s="1196"/>
      <c r="AB590" s="1205">
        <v>1000000</v>
      </c>
      <c r="AC590" s="1143" t="s">
        <v>971</v>
      </c>
      <c r="AD590" s="1197"/>
      <c r="AE590" s="1247"/>
      <c r="AF590" s="1197"/>
      <c r="AG590" s="1247"/>
      <c r="AH590" s="1232" t="str">
        <f t="shared" si="131"/>
        <v>SUPERVISI</v>
      </c>
      <c r="AI590" s="747">
        <f t="shared" si="128"/>
        <v>13000000</v>
      </c>
      <c r="AJ590" s="747">
        <f t="shared" si="129"/>
        <v>1000000</v>
      </c>
      <c r="AK590" s="747">
        <f t="shared" si="130"/>
        <v>-12000000</v>
      </c>
      <c r="AL590" s="1170"/>
      <c r="AM590" s="1170"/>
      <c r="AN590" s="1209"/>
      <c r="AO590" s="1170"/>
      <c r="AP590" s="1209"/>
      <c r="AQ590" s="1128"/>
      <c r="AR590" s="1173"/>
      <c r="AT590" s="1173"/>
      <c r="AV590" s="1173"/>
      <c r="AX590" s="1173"/>
      <c r="AY590" s="1176"/>
      <c r="AZ590" s="1173"/>
    </row>
    <row r="591" spans="1:52" s="2" customFormat="1" x14ac:dyDescent="0.25">
      <c r="A591" s="19">
        <v>563</v>
      </c>
      <c r="B591" s="59">
        <v>21</v>
      </c>
      <c r="C591" s="119">
        <v>849120057</v>
      </c>
      <c r="D591" s="39" t="s">
        <v>996</v>
      </c>
      <c r="E591" s="85" t="s">
        <v>579</v>
      </c>
      <c r="F591" s="59">
        <v>2012</v>
      </c>
      <c r="G591" s="23" t="s">
        <v>33</v>
      </c>
      <c r="H591" s="60" t="str">
        <f t="shared" si="123"/>
        <v xml:space="preserve">   </v>
      </c>
      <c r="I591" s="60">
        <f t="shared" si="124"/>
        <v>41640</v>
      </c>
      <c r="J591" s="1239"/>
      <c r="K591" s="1194"/>
      <c r="L591" s="1318">
        <v>3000000</v>
      </c>
      <c r="M591" s="1319">
        <v>41579</v>
      </c>
      <c r="N591" s="1318">
        <v>3000000</v>
      </c>
      <c r="O591" s="1319" t="s">
        <v>991</v>
      </c>
      <c r="P591" s="1318">
        <v>3000000</v>
      </c>
      <c r="Q591" s="1319" t="s">
        <v>991</v>
      </c>
      <c r="R591" s="1318">
        <v>3000000</v>
      </c>
      <c r="S591" s="1319" t="s">
        <v>970</v>
      </c>
      <c r="T591" s="1224"/>
      <c r="U591" s="1126"/>
      <c r="V591" s="1239"/>
      <c r="W591" s="1126"/>
      <c r="X591" s="1260"/>
      <c r="Y591" s="1196"/>
      <c r="Z591" s="1260"/>
      <c r="AA591" s="1196"/>
      <c r="AB591" s="1205">
        <v>1000000</v>
      </c>
      <c r="AC591" s="1143" t="s">
        <v>971</v>
      </c>
      <c r="AD591" s="1197"/>
      <c r="AE591" s="1247"/>
      <c r="AF591" s="1197"/>
      <c r="AG591" s="1247"/>
      <c r="AH591" s="1232" t="str">
        <f t="shared" si="131"/>
        <v>SUPERVISI</v>
      </c>
      <c r="AI591" s="747">
        <f t="shared" si="128"/>
        <v>13000000</v>
      </c>
      <c r="AJ591" s="747">
        <f t="shared" si="129"/>
        <v>1000000</v>
      </c>
      <c r="AK591" s="747">
        <f t="shared" si="130"/>
        <v>-12000000</v>
      </c>
      <c r="AL591" s="1170"/>
      <c r="AM591" s="1170"/>
      <c r="AN591" s="1209"/>
      <c r="AO591" s="1170"/>
      <c r="AP591" s="1209"/>
      <c r="AQ591" s="1128"/>
      <c r="AR591" s="1173"/>
      <c r="AT591" s="1173"/>
      <c r="AV591" s="1173"/>
      <c r="AX591" s="1173"/>
      <c r="AY591" s="1176"/>
      <c r="AZ591" s="1173"/>
    </row>
    <row r="592" spans="1:52" s="2" customFormat="1" x14ac:dyDescent="0.25">
      <c r="A592" s="19">
        <v>564</v>
      </c>
      <c r="B592" s="59">
        <v>22</v>
      </c>
      <c r="C592" s="119">
        <v>849120053</v>
      </c>
      <c r="D592" s="39" t="s">
        <v>997</v>
      </c>
      <c r="E592" s="85" t="s">
        <v>579</v>
      </c>
      <c r="F592" s="59">
        <v>2012</v>
      </c>
      <c r="G592" s="23" t="s">
        <v>33</v>
      </c>
      <c r="H592" s="60" t="str">
        <f t="shared" si="123"/>
        <v xml:space="preserve">   </v>
      </c>
      <c r="I592" s="60">
        <f t="shared" si="124"/>
        <v>41640</v>
      </c>
      <c r="J592" s="1239"/>
      <c r="K592" s="1194"/>
      <c r="L592" s="1318">
        <v>3000000</v>
      </c>
      <c r="M592" s="1319">
        <v>41579</v>
      </c>
      <c r="N592" s="1318">
        <v>3000000</v>
      </c>
      <c r="O592" s="1319">
        <v>41588</v>
      </c>
      <c r="P592" s="1318">
        <v>3000000</v>
      </c>
      <c r="Q592" s="1319">
        <v>41588</v>
      </c>
      <c r="R592" s="1318">
        <v>3000000</v>
      </c>
      <c r="S592" s="1319" t="s">
        <v>970</v>
      </c>
      <c r="T592" s="1224"/>
      <c r="U592" s="1126"/>
      <c r="V592" s="1239"/>
      <c r="W592" s="1126"/>
      <c r="X592" s="1130"/>
      <c r="Y592" s="1126"/>
      <c r="Z592" s="1260"/>
      <c r="AA592" s="1196"/>
      <c r="AB592" s="1205">
        <v>1000000</v>
      </c>
      <c r="AC592" s="1143" t="s">
        <v>971</v>
      </c>
      <c r="AD592" s="1197"/>
      <c r="AE592" s="1247"/>
      <c r="AF592" s="1197"/>
      <c r="AG592" s="1247"/>
      <c r="AH592" s="1232" t="str">
        <f t="shared" si="131"/>
        <v>SUPERVISI</v>
      </c>
      <c r="AI592" s="747">
        <f t="shared" si="128"/>
        <v>13000000</v>
      </c>
      <c r="AJ592" s="747">
        <f t="shared" si="129"/>
        <v>1000000</v>
      </c>
      <c r="AK592" s="747">
        <f t="shared" si="130"/>
        <v>-12000000</v>
      </c>
      <c r="AL592" s="1170"/>
      <c r="AM592" s="1170"/>
      <c r="AN592" s="1209"/>
      <c r="AO592" s="1170"/>
      <c r="AP592" s="1209"/>
      <c r="AQ592" s="1128"/>
      <c r="AR592" s="1173"/>
      <c r="AT592" s="1173"/>
      <c r="AV592" s="1173"/>
      <c r="AX592" s="1173"/>
      <c r="AY592" s="1176"/>
      <c r="AZ592" s="1173"/>
    </row>
    <row r="593" spans="1:52" s="2" customFormat="1" x14ac:dyDescent="0.25">
      <c r="A593" s="19">
        <v>565</v>
      </c>
      <c r="B593" s="59">
        <v>23</v>
      </c>
      <c r="C593" s="119">
        <v>849120069</v>
      </c>
      <c r="D593" s="39" t="s">
        <v>998</v>
      </c>
      <c r="E593" s="85" t="s">
        <v>579</v>
      </c>
      <c r="F593" s="59">
        <v>2012</v>
      </c>
      <c r="G593" s="23" t="s">
        <v>33</v>
      </c>
      <c r="H593" s="60" t="str">
        <f t="shared" si="123"/>
        <v xml:space="preserve">   </v>
      </c>
      <c r="I593" s="60">
        <f t="shared" si="124"/>
        <v>41640</v>
      </c>
      <c r="J593" s="1239"/>
      <c r="K593" s="1194"/>
      <c r="L593" s="1318">
        <v>3000000</v>
      </c>
      <c r="M593" s="1319">
        <v>41518</v>
      </c>
      <c r="N593" s="1318">
        <v>3000000</v>
      </c>
      <c r="O593" s="1319" t="s">
        <v>322</v>
      </c>
      <c r="P593" s="1318">
        <v>3000000</v>
      </c>
      <c r="Q593" s="1319" t="s">
        <v>322</v>
      </c>
      <c r="R593" s="1318">
        <v>3000000</v>
      </c>
      <c r="S593" s="1319" t="s">
        <v>970</v>
      </c>
      <c r="T593" s="1224"/>
      <c r="U593" s="1126"/>
      <c r="V593" s="1239"/>
      <c r="W593" s="1126"/>
      <c r="X593" s="1130"/>
      <c r="Y593" s="1126"/>
      <c r="Z593" s="1260"/>
      <c r="AA593" s="1126"/>
      <c r="AB593" s="1205">
        <v>1000000</v>
      </c>
      <c r="AC593" s="1143" t="s">
        <v>971</v>
      </c>
      <c r="AD593" s="1197"/>
      <c r="AE593" s="1247"/>
      <c r="AF593" s="1197"/>
      <c r="AG593" s="1247"/>
      <c r="AH593" s="1232" t="str">
        <f t="shared" si="131"/>
        <v>SUPERVISI</v>
      </c>
      <c r="AI593" s="747">
        <f t="shared" si="128"/>
        <v>13000000</v>
      </c>
      <c r="AJ593" s="747">
        <f t="shared" si="129"/>
        <v>1000000</v>
      </c>
      <c r="AK593" s="747">
        <f t="shared" si="130"/>
        <v>-12000000</v>
      </c>
      <c r="AL593" s="1170"/>
      <c r="AM593" s="1170"/>
      <c r="AN593" s="1209"/>
      <c r="AO593" s="1170"/>
      <c r="AP593" s="1209"/>
      <c r="AQ593" s="1128"/>
      <c r="AR593" s="1173"/>
      <c r="AT593" s="1173"/>
      <c r="AV593" s="1173"/>
      <c r="AX593" s="1173"/>
      <c r="AY593" s="1176"/>
      <c r="AZ593" s="1173"/>
    </row>
    <row r="594" spans="1:52" s="2" customFormat="1" x14ac:dyDescent="0.25">
      <c r="A594" s="19">
        <v>566</v>
      </c>
      <c r="B594" s="59">
        <v>24</v>
      </c>
      <c r="C594" s="119">
        <v>849120050</v>
      </c>
      <c r="D594" s="39" t="s">
        <v>999</v>
      </c>
      <c r="E594" s="85" t="s">
        <v>579</v>
      </c>
      <c r="F594" s="59">
        <v>2012</v>
      </c>
      <c r="G594" s="23" t="s">
        <v>33</v>
      </c>
      <c r="H594" s="60" t="str">
        <f t="shared" si="123"/>
        <v xml:space="preserve">   </v>
      </c>
      <c r="I594" s="60">
        <f t="shared" si="124"/>
        <v>41640</v>
      </c>
      <c r="J594" s="1239"/>
      <c r="K594" s="1194"/>
      <c r="L594" s="1318">
        <v>3000000</v>
      </c>
      <c r="M594" s="1319">
        <v>41518</v>
      </c>
      <c r="N594" s="1318">
        <v>3000000</v>
      </c>
      <c r="O594" s="1319">
        <v>41345</v>
      </c>
      <c r="P594" s="1318">
        <v>3000000</v>
      </c>
      <c r="Q594" s="1319">
        <v>41345</v>
      </c>
      <c r="R594" s="1318">
        <v>3000000</v>
      </c>
      <c r="S594" s="1319" t="s">
        <v>970</v>
      </c>
      <c r="T594" s="1224"/>
      <c r="U594" s="1126"/>
      <c r="V594" s="1239"/>
      <c r="W594" s="1126"/>
      <c r="X594" s="1260"/>
      <c r="Y594" s="1196"/>
      <c r="Z594" s="1260"/>
      <c r="AA594" s="1196"/>
      <c r="AB594" s="1205">
        <v>1000000</v>
      </c>
      <c r="AC594" s="1143" t="s">
        <v>971</v>
      </c>
      <c r="AD594" s="1197"/>
      <c r="AE594" s="1247"/>
      <c r="AF594" s="1197"/>
      <c r="AG594" s="1247"/>
      <c r="AH594" s="1232" t="str">
        <f t="shared" si="131"/>
        <v>SUPERVISI</v>
      </c>
      <c r="AI594" s="747">
        <f t="shared" si="128"/>
        <v>13000000</v>
      </c>
      <c r="AJ594" s="747">
        <f t="shared" si="129"/>
        <v>1000000</v>
      </c>
      <c r="AK594" s="747">
        <f t="shared" si="130"/>
        <v>-12000000</v>
      </c>
      <c r="AL594" s="1170"/>
      <c r="AM594" s="1170"/>
      <c r="AN594" s="1209"/>
      <c r="AO594" s="1170"/>
      <c r="AP594" s="1209"/>
      <c r="AQ594" s="1128"/>
      <c r="AR594" s="1173"/>
      <c r="AT594" s="1173"/>
      <c r="AV594" s="1173"/>
      <c r="AX594" s="1173"/>
      <c r="AY594" s="1176"/>
      <c r="AZ594" s="1173"/>
    </row>
    <row r="595" spans="1:52" s="2" customFormat="1" x14ac:dyDescent="0.25">
      <c r="A595" s="107"/>
      <c r="B595" s="120"/>
      <c r="C595" s="122"/>
      <c r="D595" s="121"/>
      <c r="E595" s="123"/>
      <c r="F595" s="120" t="s">
        <v>61</v>
      </c>
      <c r="G595" s="123"/>
      <c r="H595" s="124" t="str">
        <f t="shared" si="123"/>
        <v xml:space="preserve">   </v>
      </c>
      <c r="I595" s="124" t="str">
        <f t="shared" si="124"/>
        <v xml:space="preserve">   </v>
      </c>
      <c r="J595" s="747"/>
      <c r="K595" s="1127"/>
      <c r="L595" s="1327"/>
      <c r="M595" s="1341"/>
      <c r="N595" s="1327"/>
      <c r="O595" s="1341"/>
      <c r="P595" s="1327"/>
      <c r="Q595" s="1341"/>
      <c r="R595" s="1327"/>
      <c r="S595" s="1369"/>
      <c r="T595" s="1370"/>
      <c r="U595" s="1371"/>
      <c r="V595" s="1327"/>
      <c r="W595" s="1341"/>
      <c r="X595" s="1327"/>
      <c r="Y595" s="1341"/>
      <c r="Z595" s="1327"/>
      <c r="AA595" s="1341"/>
      <c r="AB595" s="1392"/>
      <c r="AC595" s="1341"/>
      <c r="AD595" s="1327"/>
      <c r="AE595" s="1393"/>
      <c r="AF595" s="1327"/>
      <c r="AG595" s="1393"/>
      <c r="AH595" s="1168">
        <f t="shared" si="131"/>
        <v>0</v>
      </c>
      <c r="AI595" s="747">
        <f t="shared" si="128"/>
        <v>0</v>
      </c>
      <c r="AJ595" s="747">
        <f t="shared" si="129"/>
        <v>0</v>
      </c>
      <c r="AK595" s="747">
        <f t="shared" si="130"/>
        <v>0</v>
      </c>
      <c r="AL595" s="1170"/>
      <c r="AM595" s="1170"/>
      <c r="AN595" s="1209"/>
      <c r="AO595" s="1170"/>
      <c r="AP595" s="1209"/>
      <c r="AQ595" s="1128"/>
      <c r="AR595" s="1173"/>
      <c r="AT595" s="1173"/>
      <c r="AV595" s="1173"/>
      <c r="AX595" s="1173"/>
      <c r="AY595" s="1176"/>
      <c r="AZ595" s="1173"/>
    </row>
    <row r="596" spans="1:52" s="2" customFormat="1" x14ac:dyDescent="0.25">
      <c r="A596" s="125" t="s">
        <v>1000</v>
      </c>
      <c r="B596" s="126"/>
      <c r="C596" s="128" t="s">
        <v>1001</v>
      </c>
      <c r="D596" s="127"/>
      <c r="E596" s="129"/>
      <c r="F596" s="130" t="s">
        <v>61</v>
      </c>
      <c r="G596" s="129"/>
      <c r="H596" s="131" t="str">
        <f t="shared" si="123"/>
        <v xml:space="preserve">   </v>
      </c>
      <c r="I596" s="131" t="str">
        <f t="shared" si="124"/>
        <v xml:space="preserve">   </v>
      </c>
      <c r="J596" s="1342"/>
      <c r="K596" s="1343"/>
      <c r="L596" s="1344"/>
      <c r="M596" s="1343"/>
      <c r="N596" s="1344"/>
      <c r="O596" s="1343"/>
      <c r="P596" s="1344"/>
      <c r="Q596" s="1343"/>
      <c r="R596" s="1344"/>
      <c r="S596" s="1372"/>
      <c r="T596" s="1373"/>
      <c r="U596" s="1374"/>
      <c r="V596" s="1344"/>
      <c r="W596" s="1343"/>
      <c r="X596" s="1344"/>
      <c r="Y596" s="1343"/>
      <c r="Z596" s="1344"/>
      <c r="AA596" s="1343"/>
      <c r="AB596" s="1394"/>
      <c r="AC596" s="1343"/>
      <c r="AD596" s="1197"/>
      <c r="AE596" s="1247"/>
      <c r="AF596" s="1197"/>
      <c r="AG596" s="1247"/>
      <c r="AH596" s="1232">
        <f t="shared" si="131"/>
        <v>0</v>
      </c>
      <c r="AI596" s="747">
        <f t="shared" si="128"/>
        <v>0</v>
      </c>
      <c r="AJ596" s="747">
        <f t="shared" si="129"/>
        <v>0</v>
      </c>
      <c r="AK596" s="747">
        <f t="shared" si="130"/>
        <v>0</v>
      </c>
      <c r="AL596" s="1170"/>
      <c r="AM596" s="1170"/>
      <c r="AN596" s="1209"/>
      <c r="AO596" s="1170"/>
      <c r="AP596" s="1209"/>
      <c r="AQ596" s="1128"/>
      <c r="AR596" s="1173"/>
      <c r="AT596" s="1173"/>
      <c r="AV596" s="1173"/>
      <c r="AX596" s="1173"/>
      <c r="AY596" s="1176"/>
      <c r="AZ596" s="1173"/>
    </row>
    <row r="597" spans="1:52" s="2" customFormat="1" x14ac:dyDescent="0.25">
      <c r="A597" s="132">
        <v>570</v>
      </c>
      <c r="B597" s="59">
        <v>1</v>
      </c>
      <c r="C597" s="40">
        <v>849120087</v>
      </c>
      <c r="D597" s="39" t="s">
        <v>1002</v>
      </c>
      <c r="E597" s="23" t="s">
        <v>1003</v>
      </c>
      <c r="F597" s="59">
        <v>2012</v>
      </c>
      <c r="G597" s="23" t="s">
        <v>33</v>
      </c>
      <c r="H597" s="60" t="str">
        <f t="shared" si="123"/>
        <v xml:space="preserve">   </v>
      </c>
      <c r="I597" s="60">
        <f t="shared" si="124"/>
        <v>41640</v>
      </c>
      <c r="J597" s="1239"/>
      <c r="K597" s="1194"/>
      <c r="L597" s="1178">
        <v>3750000</v>
      </c>
      <c r="M597" s="1124" t="s">
        <v>875</v>
      </c>
      <c r="N597" s="1178">
        <v>2500000</v>
      </c>
      <c r="O597" s="1124" t="s">
        <v>1004</v>
      </c>
      <c r="P597" s="1178">
        <v>2500000</v>
      </c>
      <c r="Q597" s="1124" t="s">
        <v>1005</v>
      </c>
      <c r="R597" s="1178">
        <v>2500000</v>
      </c>
      <c r="S597" s="1124" t="s">
        <v>1006</v>
      </c>
      <c r="T597" s="1224"/>
      <c r="U597" s="1263" t="s">
        <v>276</v>
      </c>
      <c r="V597" s="1260"/>
      <c r="W597" s="1196"/>
      <c r="X597" s="1130"/>
      <c r="Y597" s="1126"/>
      <c r="Z597" s="1130"/>
      <c r="AA597" s="1126"/>
      <c r="AB597" s="1205">
        <v>1000000</v>
      </c>
      <c r="AC597" s="1124" t="s">
        <v>819</v>
      </c>
      <c r="AD597" s="1197"/>
      <c r="AE597" s="1247"/>
      <c r="AF597" s="1197"/>
      <c r="AG597" s="1247"/>
      <c r="AH597" s="1232" t="str">
        <f t="shared" si="131"/>
        <v>PERGUNU</v>
      </c>
      <c r="AI597" s="747" t="e">
        <f>SUM(J597,L597,N597,P597,R597,T597,V597,X597,Z597,AB597,AD597,AF597,#REF!)</f>
        <v>#REF!</v>
      </c>
      <c r="AJ597" s="747">
        <f>((COUNT((L597,N597,P597,R597,T597,V597,X597,Z597,AD597,AF597)))*2500000)+(J597+AB597)</f>
        <v>11000000</v>
      </c>
      <c r="AK597" s="747" t="e">
        <f t="shared" si="130"/>
        <v>#REF!</v>
      </c>
      <c r="AL597" s="1170"/>
      <c r="AM597" s="1170"/>
      <c r="AN597" s="1209"/>
      <c r="AO597" s="1170"/>
      <c r="AP597" s="1209"/>
      <c r="AQ597" s="1128"/>
      <c r="AR597" s="1173"/>
      <c r="AT597" s="1173"/>
      <c r="AV597" s="1173"/>
      <c r="AX597" s="1173"/>
      <c r="AY597" s="1176"/>
      <c r="AZ597" s="1173"/>
    </row>
    <row r="598" spans="1:52" s="2" customFormat="1" x14ac:dyDescent="0.25">
      <c r="A598" s="132">
        <v>571</v>
      </c>
      <c r="B598" s="59">
        <v>2</v>
      </c>
      <c r="C598" s="40">
        <v>849120079</v>
      </c>
      <c r="D598" s="39" t="s">
        <v>1007</v>
      </c>
      <c r="E598" s="23" t="s">
        <v>1003</v>
      </c>
      <c r="F598" s="59">
        <v>2012</v>
      </c>
      <c r="G598" s="23" t="s">
        <v>33</v>
      </c>
      <c r="H598" s="60" t="str">
        <f t="shared" si="123"/>
        <v xml:space="preserve">   </v>
      </c>
      <c r="I598" s="60">
        <f t="shared" si="124"/>
        <v>41640</v>
      </c>
      <c r="J598" s="1239"/>
      <c r="K598" s="1194"/>
      <c r="L598" s="1178">
        <v>2500000</v>
      </c>
      <c r="M598" s="1124" t="s">
        <v>1008</v>
      </c>
      <c r="N598" s="1178">
        <v>0</v>
      </c>
      <c r="O598" s="1124"/>
      <c r="P598" s="1178">
        <v>0</v>
      </c>
      <c r="Q598" s="1124"/>
      <c r="R598" s="1178">
        <v>2500000</v>
      </c>
      <c r="S598" s="1124" t="s">
        <v>1006</v>
      </c>
      <c r="T598" s="1224">
        <v>0</v>
      </c>
      <c r="U598" s="1263" t="s">
        <v>276</v>
      </c>
      <c r="V598" s="1260"/>
      <c r="W598" s="1196"/>
      <c r="X598" s="1130"/>
      <c r="Y598" s="1126"/>
      <c r="Z598" s="1130"/>
      <c r="AA598" s="1126"/>
      <c r="AB598" s="1205">
        <v>1000000</v>
      </c>
      <c r="AC598" s="1124">
        <v>41919</v>
      </c>
      <c r="AD598" s="1197"/>
      <c r="AE598" s="1247"/>
      <c r="AF598" s="1197"/>
      <c r="AG598" s="1247"/>
      <c r="AH598" s="1232" t="str">
        <f t="shared" si="131"/>
        <v>PERGUNU</v>
      </c>
      <c r="AI598" s="747">
        <f t="shared" ref="AI598:AI606" si="132">SUM(J598,L598,N598,P598,R598,T598,V598,X598,Z598,AB598,AD598,AF598)</f>
        <v>6000000</v>
      </c>
      <c r="AJ598" s="747">
        <f t="shared" ref="AJ598:AJ608" si="133">((COUNT((L598,N598,P598,R598,T598,V598,X598,Z598,AD598,AF598)))*2500000)+(J598+AB598)</f>
        <v>13500000</v>
      </c>
      <c r="AK598" s="747">
        <f t="shared" si="130"/>
        <v>7500000</v>
      </c>
      <c r="AL598" s="1170"/>
      <c r="AM598" s="1170"/>
      <c r="AN598" s="1209"/>
      <c r="AO598" s="1170"/>
      <c r="AP598" s="1209"/>
      <c r="AQ598" s="1128"/>
      <c r="AR598" s="1173"/>
      <c r="AT598" s="1173"/>
      <c r="AV598" s="1173"/>
      <c r="AX598" s="1173"/>
      <c r="AY598" s="1176"/>
      <c r="AZ598" s="1173"/>
    </row>
    <row r="599" spans="1:52" s="2" customFormat="1" x14ac:dyDescent="0.25">
      <c r="A599" s="132">
        <v>572</v>
      </c>
      <c r="B599" s="59">
        <v>3</v>
      </c>
      <c r="C599" s="40">
        <v>849120076</v>
      </c>
      <c r="D599" s="39" t="s">
        <v>1009</v>
      </c>
      <c r="E599" s="23" t="s">
        <v>1003</v>
      </c>
      <c r="F599" s="59">
        <v>2012</v>
      </c>
      <c r="G599" s="23"/>
      <c r="H599" s="60" t="str">
        <f t="shared" si="123"/>
        <v xml:space="preserve">   </v>
      </c>
      <c r="I599" s="60">
        <f t="shared" si="124"/>
        <v>42504</v>
      </c>
      <c r="J599" s="1239"/>
      <c r="K599" s="1194"/>
      <c r="L599" s="1178"/>
      <c r="M599" s="1124"/>
      <c r="N599" s="1178">
        <v>2500000</v>
      </c>
      <c r="O599" s="1124">
        <v>41367</v>
      </c>
      <c r="P599" s="1178">
        <v>2500000</v>
      </c>
      <c r="Q599" s="1124">
        <v>41556</v>
      </c>
      <c r="R599" s="1178">
        <v>2500000</v>
      </c>
      <c r="S599" s="1124" t="s">
        <v>1010</v>
      </c>
      <c r="T599" s="1188">
        <v>3000000</v>
      </c>
      <c r="U599" s="1124" t="s">
        <v>1011</v>
      </c>
      <c r="V599" s="1178">
        <v>3000000</v>
      </c>
      <c r="W599" s="1124" t="s">
        <v>1011</v>
      </c>
      <c r="X599" s="1130"/>
      <c r="Y599" s="1263" t="s">
        <v>276</v>
      </c>
      <c r="Z599" s="1130"/>
      <c r="AA599" s="1126"/>
      <c r="AB599" s="1205">
        <v>1000000</v>
      </c>
      <c r="AC599" s="1124" t="s">
        <v>1011</v>
      </c>
      <c r="AD599" s="1197"/>
      <c r="AE599" s="1247"/>
      <c r="AF599" s="1197"/>
      <c r="AG599" s="1247"/>
      <c r="AH599" s="1232" t="str">
        <f t="shared" si="131"/>
        <v>PERGUNU</v>
      </c>
      <c r="AI599" s="747">
        <f t="shared" si="132"/>
        <v>14500000</v>
      </c>
      <c r="AJ599" s="747">
        <f t="shared" si="133"/>
        <v>13500000</v>
      </c>
      <c r="AK599" s="747">
        <f t="shared" si="130"/>
        <v>-1000000</v>
      </c>
      <c r="AL599" s="1170"/>
      <c r="AM599" s="1170"/>
      <c r="AN599" s="1209"/>
      <c r="AO599" s="1170"/>
      <c r="AP599" s="1209"/>
      <c r="AQ599" s="1128"/>
      <c r="AR599" s="1173"/>
      <c r="AT599" s="1173"/>
      <c r="AV599" s="1173"/>
      <c r="AX599" s="1173"/>
      <c r="AY599" s="1176"/>
      <c r="AZ599" s="1173"/>
    </row>
    <row r="600" spans="1:52" s="2" customFormat="1" x14ac:dyDescent="0.25">
      <c r="A600" s="132">
        <v>573</v>
      </c>
      <c r="B600" s="59">
        <v>4</v>
      </c>
      <c r="C600" s="40">
        <v>849120086</v>
      </c>
      <c r="D600" s="39" t="s">
        <v>859</v>
      </c>
      <c r="E600" s="23" t="s">
        <v>1003</v>
      </c>
      <c r="F600" s="59">
        <v>2012</v>
      </c>
      <c r="G600" s="23" t="s">
        <v>33</v>
      </c>
      <c r="H600" s="60" t="str">
        <f t="shared" si="123"/>
        <v xml:space="preserve">   </v>
      </c>
      <c r="I600" s="60">
        <f t="shared" si="124"/>
        <v>41640</v>
      </c>
      <c r="J600" s="1239"/>
      <c r="K600" s="1194"/>
      <c r="L600" s="1178">
        <v>3750000</v>
      </c>
      <c r="M600" s="2293" t="s">
        <v>1012</v>
      </c>
      <c r="N600" s="1178">
        <v>2500000</v>
      </c>
      <c r="O600" s="1124">
        <v>41278</v>
      </c>
      <c r="P600" s="1178">
        <v>2500000</v>
      </c>
      <c r="Q600" s="1124" t="s">
        <v>798</v>
      </c>
      <c r="R600" s="1178">
        <v>2500000</v>
      </c>
      <c r="S600" s="1124">
        <v>41822</v>
      </c>
      <c r="T600" s="1224"/>
      <c r="U600" s="1263" t="s">
        <v>276</v>
      </c>
      <c r="V600" s="1260"/>
      <c r="W600" s="1196"/>
      <c r="X600" s="1130"/>
      <c r="Y600" s="1126"/>
      <c r="Z600" s="1130"/>
      <c r="AA600" s="1126"/>
      <c r="AB600" s="1205">
        <v>1000000</v>
      </c>
      <c r="AC600" s="1124">
        <v>41858</v>
      </c>
      <c r="AD600" s="1197"/>
      <c r="AE600" s="1247"/>
      <c r="AF600" s="1197"/>
      <c r="AG600" s="1247"/>
      <c r="AH600" s="1232" t="str">
        <f t="shared" si="131"/>
        <v>PERGUNU</v>
      </c>
      <c r="AI600" s="747">
        <f t="shared" si="132"/>
        <v>12250000</v>
      </c>
      <c r="AJ600" s="747">
        <f t="shared" si="133"/>
        <v>13500000</v>
      </c>
      <c r="AK600" s="747">
        <f t="shared" si="130"/>
        <v>1250000</v>
      </c>
      <c r="AL600" s="1170"/>
      <c r="AM600" s="1170"/>
      <c r="AN600" s="1209"/>
      <c r="AO600" s="1170"/>
      <c r="AP600" s="1209"/>
      <c r="AQ600" s="1128"/>
      <c r="AR600" s="1173"/>
      <c r="AT600" s="1173"/>
      <c r="AV600" s="1173"/>
      <c r="AX600" s="1173"/>
      <c r="AY600" s="1176"/>
      <c r="AZ600" s="1173"/>
    </row>
    <row r="601" spans="1:52" s="2" customFormat="1" x14ac:dyDescent="0.25">
      <c r="A601" s="132">
        <v>574</v>
      </c>
      <c r="B601" s="59">
        <v>5</v>
      </c>
      <c r="C601" s="40">
        <v>849120075</v>
      </c>
      <c r="D601" s="39" t="s">
        <v>1013</v>
      </c>
      <c r="E601" s="23" t="s">
        <v>1003</v>
      </c>
      <c r="F601" s="59">
        <v>2012</v>
      </c>
      <c r="G601" s="23" t="s">
        <v>33</v>
      </c>
      <c r="H601" s="60" t="str">
        <f t="shared" si="123"/>
        <v xml:space="preserve">   </v>
      </c>
      <c r="I601" s="60">
        <f t="shared" si="124"/>
        <v>41640</v>
      </c>
      <c r="J601" s="1239"/>
      <c r="K601" s="1194"/>
      <c r="L601" s="1178"/>
      <c r="M601" s="1124"/>
      <c r="N601" s="1178">
        <v>2500000</v>
      </c>
      <c r="O601" s="1124" t="s">
        <v>421</v>
      </c>
      <c r="P601" s="1178">
        <v>2500000</v>
      </c>
      <c r="Q601" s="1124" t="s">
        <v>422</v>
      </c>
      <c r="R601" s="1178">
        <v>2500000</v>
      </c>
      <c r="S601" s="1124">
        <v>41761</v>
      </c>
      <c r="T601" s="1224"/>
      <c r="U601" s="1263" t="s">
        <v>276</v>
      </c>
      <c r="V601" s="1260"/>
      <c r="W601" s="1196"/>
      <c r="X601" s="1130"/>
      <c r="Y601" s="1126"/>
      <c r="Z601" s="1130"/>
      <c r="AA601" s="1126"/>
      <c r="AB601" s="1205">
        <v>1000000</v>
      </c>
      <c r="AC601" s="1124"/>
      <c r="AD601" s="1197"/>
      <c r="AE601" s="1247"/>
      <c r="AF601" s="1197"/>
      <c r="AG601" s="1247"/>
      <c r="AH601" s="1232" t="str">
        <f t="shared" si="131"/>
        <v>PERGUNU</v>
      </c>
      <c r="AI601" s="747">
        <f t="shared" si="132"/>
        <v>8500000</v>
      </c>
      <c r="AJ601" s="747">
        <f t="shared" si="133"/>
        <v>13500000</v>
      </c>
      <c r="AK601" s="747">
        <f t="shared" si="130"/>
        <v>5000000</v>
      </c>
      <c r="AL601" s="1170"/>
      <c r="AM601" s="1170"/>
      <c r="AN601" s="1209"/>
      <c r="AO601" s="1170"/>
      <c r="AP601" s="1209"/>
      <c r="AQ601" s="1128"/>
      <c r="AR601" s="1173"/>
      <c r="AT601" s="1173"/>
      <c r="AV601" s="1173"/>
      <c r="AX601" s="1173"/>
      <c r="AY601" s="1176"/>
      <c r="AZ601" s="1173"/>
    </row>
    <row r="602" spans="1:52" s="2" customFormat="1" x14ac:dyDescent="0.25">
      <c r="A602" s="132">
        <v>575</v>
      </c>
      <c r="B602" s="59">
        <v>6</v>
      </c>
      <c r="C602" s="40">
        <v>849120089</v>
      </c>
      <c r="D602" s="39" t="s">
        <v>1014</v>
      </c>
      <c r="E602" s="23" t="s">
        <v>1003</v>
      </c>
      <c r="F602" s="59">
        <v>2012</v>
      </c>
      <c r="G602" s="23" t="s">
        <v>33</v>
      </c>
      <c r="H602" s="60" t="str">
        <f t="shared" si="123"/>
        <v xml:space="preserve">   </v>
      </c>
      <c r="I602" s="60">
        <f t="shared" si="124"/>
        <v>41640</v>
      </c>
      <c r="J602" s="1239"/>
      <c r="K602" s="1194"/>
      <c r="L602" s="1178">
        <v>3750000</v>
      </c>
      <c r="M602" s="1124" t="s">
        <v>513</v>
      </c>
      <c r="N602" s="1178">
        <v>2500000</v>
      </c>
      <c r="O602" s="1124">
        <v>41584</v>
      </c>
      <c r="P602" s="1178">
        <v>2500000</v>
      </c>
      <c r="Q602" s="1124">
        <v>41975</v>
      </c>
      <c r="R602" s="1178">
        <v>2500000</v>
      </c>
      <c r="S602" s="1124">
        <v>41975</v>
      </c>
      <c r="T602" s="1224"/>
      <c r="U602" s="1263" t="s">
        <v>276</v>
      </c>
      <c r="V602" s="1260"/>
      <c r="W602" s="1196"/>
      <c r="X602" s="1130"/>
      <c r="Y602" s="1126"/>
      <c r="Z602" s="1130"/>
      <c r="AA602" s="1126"/>
      <c r="AB602" s="1205">
        <v>1000000</v>
      </c>
      <c r="AC602" s="1124"/>
      <c r="AD602" s="1197"/>
      <c r="AE602" s="1247"/>
      <c r="AF602" s="1197"/>
      <c r="AG602" s="1247"/>
      <c r="AH602" s="1232" t="str">
        <f t="shared" si="131"/>
        <v>PERGUNU</v>
      </c>
      <c r="AI602" s="747">
        <f t="shared" si="132"/>
        <v>12250000</v>
      </c>
      <c r="AJ602" s="747">
        <f t="shared" si="133"/>
        <v>13500000</v>
      </c>
      <c r="AK602" s="747">
        <f t="shared" si="130"/>
        <v>1250000</v>
      </c>
      <c r="AL602" s="1170"/>
      <c r="AM602" s="1170"/>
      <c r="AN602" s="1209"/>
      <c r="AO602" s="1170"/>
      <c r="AP602" s="1209"/>
      <c r="AQ602" s="1128"/>
      <c r="AR602" s="1173"/>
      <c r="AT602" s="1173"/>
      <c r="AV602" s="1173"/>
      <c r="AX602" s="1173"/>
      <c r="AY602" s="1176"/>
      <c r="AZ602" s="1173"/>
    </row>
    <row r="603" spans="1:52" x14ac:dyDescent="0.25">
      <c r="P603" s="761"/>
      <c r="Q603" s="1089"/>
      <c r="S603" s="1375"/>
      <c r="AH603">
        <f t="shared" si="131"/>
        <v>0</v>
      </c>
    </row>
    <row r="604" spans="1:52" s="2" customFormat="1" x14ac:dyDescent="0.25">
      <c r="A604" s="132">
        <v>576</v>
      </c>
      <c r="B604" s="67">
        <v>7</v>
      </c>
      <c r="C604" s="44"/>
      <c r="D604" s="43" t="s">
        <v>1015</v>
      </c>
      <c r="E604" s="45"/>
      <c r="F604" s="67"/>
      <c r="G604" s="45"/>
      <c r="H604" s="68" t="str">
        <f t="shared" ref="H604:H620" si="134">IFERROR(VLOOKUP(C604,Tlus,3,FALSE),"   ")</f>
        <v xml:space="preserve">   </v>
      </c>
      <c r="I604" s="68" t="str">
        <f t="shared" ref="I604:I620" si="135">IFERROR(VLOOKUP(C604,Wis,4,FALSE),"   ")</f>
        <v xml:space="preserve">   </v>
      </c>
      <c r="J604" s="1239"/>
      <c r="K604" s="1194"/>
      <c r="L604" s="1181">
        <v>3750000</v>
      </c>
      <c r="M604" s="1180" t="s">
        <v>1016</v>
      </c>
      <c r="N604" s="1130"/>
      <c r="O604" s="1146" t="s">
        <v>894</v>
      </c>
      <c r="P604" s="1130"/>
      <c r="Q604" s="1126"/>
      <c r="R604" s="1130"/>
      <c r="S604" s="1126"/>
      <c r="T604" s="1145"/>
      <c r="U604" s="1126"/>
      <c r="V604" s="1130"/>
      <c r="W604" s="1196"/>
      <c r="X604" s="1130"/>
      <c r="Y604" s="1126"/>
      <c r="Z604" s="1130"/>
      <c r="AA604" s="1126"/>
      <c r="AB604" s="1198"/>
      <c r="AC604" s="1126"/>
      <c r="AD604" s="1197"/>
      <c r="AE604" s="1247"/>
      <c r="AF604" s="1197"/>
      <c r="AG604" s="1247"/>
      <c r="AH604" s="1232">
        <f t="shared" si="131"/>
        <v>0</v>
      </c>
      <c r="AI604" s="747">
        <f t="shared" si="132"/>
        <v>3750000</v>
      </c>
      <c r="AJ604" s="747">
        <f t="shared" si="133"/>
        <v>12500000</v>
      </c>
      <c r="AK604" s="747">
        <f t="shared" si="130"/>
        <v>8750000</v>
      </c>
      <c r="AL604" s="1170"/>
      <c r="AM604" s="1170"/>
      <c r="AN604" s="1209"/>
      <c r="AO604" s="1170"/>
      <c r="AP604" s="1209"/>
      <c r="AQ604" s="1128"/>
      <c r="AR604" s="1173"/>
      <c r="AT604" s="1173"/>
      <c r="AV604" s="1173"/>
      <c r="AX604" s="1173"/>
      <c r="AY604" s="1176"/>
      <c r="AZ604" s="1173"/>
    </row>
    <row r="605" spans="1:52" s="2" customFormat="1" x14ac:dyDescent="0.25">
      <c r="A605" s="132">
        <v>577</v>
      </c>
      <c r="B605" s="67">
        <v>8</v>
      </c>
      <c r="C605" s="44"/>
      <c r="D605" s="43" t="s">
        <v>1017</v>
      </c>
      <c r="E605" s="45"/>
      <c r="F605" s="67"/>
      <c r="G605" s="45"/>
      <c r="H605" s="68" t="str">
        <f t="shared" si="134"/>
        <v xml:space="preserve">   </v>
      </c>
      <c r="I605" s="68" t="str">
        <f t="shared" si="135"/>
        <v xml:space="preserve">   </v>
      </c>
      <c r="J605" s="1239"/>
      <c r="K605" s="1194"/>
      <c r="L605" s="1181">
        <v>3750000</v>
      </c>
      <c r="M605" s="1180" t="s">
        <v>1018</v>
      </c>
      <c r="N605" s="1130"/>
      <c r="O605" s="1146" t="s">
        <v>894</v>
      </c>
      <c r="P605" s="1130"/>
      <c r="Q605" s="1126"/>
      <c r="R605" s="1130"/>
      <c r="S605" s="1126"/>
      <c r="T605" s="1145"/>
      <c r="U605" s="1126"/>
      <c r="V605" s="1130"/>
      <c r="W605" s="1196"/>
      <c r="X605" s="1130"/>
      <c r="Y605" s="1126"/>
      <c r="Z605" s="1130"/>
      <c r="AA605" s="1126"/>
      <c r="AB605" s="1198"/>
      <c r="AC605" s="1126"/>
      <c r="AD605" s="1197"/>
      <c r="AE605" s="1247"/>
      <c r="AF605" s="1197"/>
      <c r="AG605" s="1247"/>
      <c r="AH605" s="1232">
        <f t="shared" si="131"/>
        <v>0</v>
      </c>
      <c r="AI605" s="747">
        <f t="shared" si="132"/>
        <v>3750000</v>
      </c>
      <c r="AJ605" s="747">
        <f t="shared" si="133"/>
        <v>12500000</v>
      </c>
      <c r="AK605" s="747">
        <f t="shared" si="130"/>
        <v>8750000</v>
      </c>
      <c r="AL605" s="1170"/>
      <c r="AM605" s="1170"/>
      <c r="AN605" s="1209"/>
      <c r="AO605" s="1170"/>
      <c r="AP605" s="1209"/>
      <c r="AQ605" s="1128"/>
      <c r="AR605" s="1173"/>
      <c r="AT605" s="1173"/>
      <c r="AV605" s="1173"/>
      <c r="AX605" s="1173"/>
      <c r="AY605" s="1176"/>
      <c r="AZ605" s="1173"/>
    </row>
    <row r="606" spans="1:52" s="2" customFormat="1" x14ac:dyDescent="0.25">
      <c r="A606" s="132">
        <v>578</v>
      </c>
      <c r="B606" s="67">
        <v>9</v>
      </c>
      <c r="C606" s="44">
        <v>849120092</v>
      </c>
      <c r="D606" s="43" t="s">
        <v>1019</v>
      </c>
      <c r="E606" s="45"/>
      <c r="F606" s="67"/>
      <c r="G606" s="45"/>
      <c r="H606" s="68" t="str">
        <f t="shared" si="134"/>
        <v xml:space="preserve">   </v>
      </c>
      <c r="I606" s="68">
        <f t="shared" si="135"/>
        <v>41640</v>
      </c>
      <c r="J606" s="1239"/>
      <c r="K606" s="1194"/>
      <c r="L606" s="1181">
        <v>1750000</v>
      </c>
      <c r="M606" s="1180" t="s">
        <v>1020</v>
      </c>
      <c r="N606" s="1130"/>
      <c r="O606" s="1146" t="s">
        <v>894</v>
      </c>
      <c r="P606" s="1130"/>
      <c r="Q606" s="1126"/>
      <c r="R606" s="1260"/>
      <c r="S606" s="1126"/>
      <c r="T606" s="1261"/>
      <c r="U606" s="1196"/>
      <c r="V606" s="1260"/>
      <c r="W606" s="1196"/>
      <c r="X606" s="1130"/>
      <c r="Y606" s="1126"/>
      <c r="Z606" s="1130"/>
      <c r="AA606" s="1126"/>
      <c r="AB606" s="1198"/>
      <c r="AC606" s="1126"/>
      <c r="AD606" s="1197"/>
      <c r="AE606" s="1247"/>
      <c r="AF606" s="1197"/>
      <c r="AG606" s="1247"/>
      <c r="AH606" s="1232">
        <f t="shared" si="131"/>
        <v>0</v>
      </c>
      <c r="AI606" s="747">
        <f t="shared" si="132"/>
        <v>1750000</v>
      </c>
      <c r="AJ606" s="747">
        <f t="shared" si="133"/>
        <v>12500000</v>
      </c>
      <c r="AK606" s="747">
        <f t="shared" si="130"/>
        <v>10750000</v>
      </c>
      <c r="AL606" s="1170"/>
      <c r="AM606" s="1170"/>
      <c r="AN606" s="1209"/>
      <c r="AO606" s="1170"/>
      <c r="AP606" s="1209"/>
      <c r="AQ606" s="1128"/>
      <c r="AR606" s="1173"/>
      <c r="AT606" s="1173"/>
      <c r="AV606" s="1173"/>
      <c r="AX606" s="1173"/>
      <c r="AY606" s="1176"/>
      <c r="AZ606" s="1173"/>
    </row>
    <row r="607" spans="1:52" s="2" customFormat="1" x14ac:dyDescent="0.25">
      <c r="A607" s="132">
        <v>579</v>
      </c>
      <c r="B607" s="59">
        <v>11</v>
      </c>
      <c r="C607" s="40"/>
      <c r="D607" s="39" t="s">
        <v>1021</v>
      </c>
      <c r="E607" s="23" t="s">
        <v>1003</v>
      </c>
      <c r="F607" s="59"/>
      <c r="G607" s="23"/>
      <c r="H607" s="60" t="str">
        <f t="shared" si="134"/>
        <v xml:space="preserve">   </v>
      </c>
      <c r="I607" s="60" t="str">
        <f t="shared" si="135"/>
        <v xml:space="preserve">   </v>
      </c>
      <c r="J607" s="1239"/>
      <c r="K607" s="1194"/>
      <c r="L607" s="1178">
        <f>2000000+1750000</f>
        <v>3750000</v>
      </c>
      <c r="M607" s="1124"/>
      <c r="N607" s="1178">
        <v>2500000</v>
      </c>
      <c r="O607" s="1124">
        <v>41310</v>
      </c>
      <c r="P607" s="1178">
        <v>2500000</v>
      </c>
      <c r="Q607" s="1124">
        <v>41922</v>
      </c>
      <c r="R607" s="1178">
        <v>2500000</v>
      </c>
      <c r="S607" s="1124">
        <v>41922</v>
      </c>
      <c r="T607" s="1224"/>
      <c r="U607" s="1263" t="s">
        <v>276</v>
      </c>
      <c r="V607" s="1260"/>
      <c r="W607" s="1196"/>
      <c r="X607" s="1130"/>
      <c r="Y607" s="1126"/>
      <c r="Z607" s="1130"/>
      <c r="AA607" s="1126"/>
      <c r="AB607" s="1205">
        <v>1000000</v>
      </c>
      <c r="AC607" s="1124">
        <v>41827</v>
      </c>
      <c r="AD607" s="1197"/>
      <c r="AE607" s="1247"/>
      <c r="AF607" s="1197"/>
      <c r="AG607" s="1247"/>
      <c r="AH607" s="1232" t="str">
        <f t="shared" si="131"/>
        <v>PERGUNU</v>
      </c>
      <c r="AI607" s="747" t="e">
        <f>SUM(J607,L607,N607,P607,R607,T607,V607,X607,Z607,AB607,AD607,AF607,#REF!)</f>
        <v>#REF!</v>
      </c>
      <c r="AJ607" s="747">
        <f t="shared" si="133"/>
        <v>13500000</v>
      </c>
      <c r="AK607" s="747" t="e">
        <f t="shared" si="130"/>
        <v>#REF!</v>
      </c>
      <c r="AL607" s="1170"/>
      <c r="AM607" s="1170"/>
      <c r="AN607" s="1209"/>
      <c r="AO607" s="1170"/>
      <c r="AP607" s="1209"/>
      <c r="AQ607" s="1128"/>
      <c r="AR607" s="1173"/>
      <c r="AT607" s="1173"/>
      <c r="AV607" s="1173"/>
      <c r="AX607" s="1173"/>
      <c r="AY607" s="1176"/>
      <c r="AZ607" s="1173"/>
    </row>
    <row r="608" spans="1:52" s="2" customFormat="1" x14ac:dyDescent="0.25">
      <c r="A608" s="132">
        <v>580</v>
      </c>
      <c r="B608" s="59">
        <v>12</v>
      </c>
      <c r="C608" s="40"/>
      <c r="D608" s="39" t="s">
        <v>1022</v>
      </c>
      <c r="E608" s="23" t="s">
        <v>1003</v>
      </c>
      <c r="F608" s="59"/>
      <c r="G608" s="23"/>
      <c r="H608" s="60" t="str">
        <f t="shared" si="134"/>
        <v xml:space="preserve">   </v>
      </c>
      <c r="I608" s="60" t="str">
        <f t="shared" si="135"/>
        <v xml:space="preserve">   </v>
      </c>
      <c r="J608" s="1239"/>
      <c r="K608" s="1194"/>
      <c r="L608" s="1178">
        <v>3750000</v>
      </c>
      <c r="M608" s="1124" t="s">
        <v>446</v>
      </c>
      <c r="N608" s="1178">
        <v>2000000</v>
      </c>
      <c r="O608" s="1124" t="s">
        <v>535</v>
      </c>
      <c r="P608" s="1178">
        <v>3000000</v>
      </c>
      <c r="Q608" s="1124">
        <v>41859</v>
      </c>
      <c r="R608" s="1178">
        <v>2500000</v>
      </c>
      <c r="S608" s="1124" t="s">
        <v>1023</v>
      </c>
      <c r="T608" s="1224"/>
      <c r="U608" s="1263" t="s">
        <v>276</v>
      </c>
      <c r="V608" s="1260"/>
      <c r="W608" s="1196"/>
      <c r="X608" s="1130"/>
      <c r="Y608" s="1126"/>
      <c r="Z608" s="1130"/>
      <c r="AA608" s="1126"/>
      <c r="AB608" s="1205">
        <v>1000000</v>
      </c>
      <c r="AC608" s="1124">
        <v>41827</v>
      </c>
      <c r="AD608" s="1197"/>
      <c r="AE608" s="1247"/>
      <c r="AF608" s="1197"/>
      <c r="AG608" s="1247"/>
      <c r="AH608" s="1232" t="str">
        <f t="shared" si="131"/>
        <v>PERGUNU</v>
      </c>
      <c r="AI608" s="747"/>
      <c r="AJ608" s="747">
        <f t="shared" si="133"/>
        <v>13500000</v>
      </c>
      <c r="AK608" s="747">
        <f t="shared" ref="AK608:AK620" si="136">AJ608-AI608</f>
        <v>13500000</v>
      </c>
      <c r="AL608" s="1170"/>
      <c r="AM608" s="1170"/>
      <c r="AN608" s="1209"/>
      <c r="AO608" s="1170"/>
      <c r="AP608" s="1209"/>
      <c r="AQ608" s="1128"/>
      <c r="AR608" s="1173"/>
      <c r="AT608" s="1173"/>
      <c r="AV608" s="1173"/>
      <c r="AX608" s="1173"/>
      <c r="AY608" s="1176"/>
      <c r="AZ608" s="1173"/>
    </row>
    <row r="609" spans="1:52" s="2" customFormat="1" x14ac:dyDescent="0.25">
      <c r="A609" s="132">
        <v>581</v>
      </c>
      <c r="B609" s="59">
        <v>13</v>
      </c>
      <c r="C609" s="40">
        <v>849120084</v>
      </c>
      <c r="D609" s="39" t="s">
        <v>1024</v>
      </c>
      <c r="E609" s="23" t="s">
        <v>1003</v>
      </c>
      <c r="F609" s="59"/>
      <c r="G609" s="23" t="s">
        <v>33</v>
      </c>
      <c r="H609" s="60" t="str">
        <f t="shared" si="134"/>
        <v xml:space="preserve">   </v>
      </c>
      <c r="I609" s="60">
        <f t="shared" si="135"/>
        <v>41640</v>
      </c>
      <c r="J609" s="1239"/>
      <c r="K609" s="1194"/>
      <c r="L609" s="1178">
        <f>2500000+1250000</f>
        <v>3750000</v>
      </c>
      <c r="M609" s="1124" t="s">
        <v>1018</v>
      </c>
      <c r="N609" s="1178">
        <v>2000000</v>
      </c>
      <c r="O609" s="1124">
        <v>41975</v>
      </c>
      <c r="P609" s="1178">
        <v>3000000</v>
      </c>
      <c r="Q609" s="1124">
        <v>41869</v>
      </c>
      <c r="R609" s="1178">
        <v>2500000</v>
      </c>
      <c r="S609" s="1124" t="s">
        <v>1023</v>
      </c>
      <c r="T609" s="1188">
        <v>2500000</v>
      </c>
      <c r="U609" s="1124" t="s">
        <v>1025</v>
      </c>
      <c r="V609" s="1259" t="s">
        <v>276</v>
      </c>
      <c r="W609" s="1194"/>
      <c r="X609" s="1130"/>
      <c r="Y609" s="1126"/>
      <c r="Z609" s="1130"/>
      <c r="AA609" s="1126"/>
      <c r="AB609" s="1205">
        <v>1000000</v>
      </c>
      <c r="AC609" s="1124" t="s">
        <v>819</v>
      </c>
      <c r="AD609" s="1197"/>
      <c r="AE609" s="1247"/>
      <c r="AF609" s="1197"/>
      <c r="AG609" s="1247"/>
      <c r="AH609" s="1232" t="str">
        <f t="shared" si="131"/>
        <v>PERGUNU</v>
      </c>
      <c r="AI609" s="747"/>
      <c r="AJ609" s="747">
        <f>((COUNT((L609,N609,P609,R609,T609,#REF!,X609,Z609,AD609,AF609)))*2500000)+(J609+AB609)</f>
        <v>1000000</v>
      </c>
      <c r="AK609" s="747">
        <f t="shared" si="136"/>
        <v>1000000</v>
      </c>
      <c r="AL609" s="1170"/>
      <c r="AM609" s="1170"/>
      <c r="AN609" s="1209"/>
      <c r="AO609" s="1170"/>
      <c r="AP609" s="1209"/>
      <c r="AQ609" s="1128"/>
      <c r="AR609" s="1173"/>
      <c r="AT609" s="1173"/>
      <c r="AV609" s="1173"/>
      <c r="AX609" s="1173"/>
      <c r="AY609" s="1176"/>
      <c r="AZ609" s="1173"/>
    </row>
    <row r="610" spans="1:52" s="2" customFormat="1" x14ac:dyDescent="0.25">
      <c r="A610" s="20">
        <v>582</v>
      </c>
      <c r="B610" s="59">
        <v>14</v>
      </c>
      <c r="C610" s="40">
        <v>849120082</v>
      </c>
      <c r="D610" s="39" t="s">
        <v>1026</v>
      </c>
      <c r="E610" s="23" t="s">
        <v>1003</v>
      </c>
      <c r="F610" s="59"/>
      <c r="G610" s="23" t="s">
        <v>33</v>
      </c>
      <c r="H610" s="60" t="str">
        <f t="shared" si="134"/>
        <v xml:space="preserve">   </v>
      </c>
      <c r="I610" s="60">
        <f t="shared" si="135"/>
        <v>41640</v>
      </c>
      <c r="J610" s="1239"/>
      <c r="K610" s="1194"/>
      <c r="L610" s="1178">
        <v>3750000</v>
      </c>
      <c r="M610" s="1124" t="s">
        <v>1006</v>
      </c>
      <c r="N610" s="1178">
        <v>2500000</v>
      </c>
      <c r="O610" s="2293" t="s">
        <v>1027</v>
      </c>
      <c r="P610" s="1178">
        <v>2500000</v>
      </c>
      <c r="Q610" s="1124">
        <v>41313</v>
      </c>
      <c r="R610" s="1178">
        <v>2500000</v>
      </c>
      <c r="S610" s="1124" t="s">
        <v>1023</v>
      </c>
      <c r="T610" s="1224"/>
      <c r="U610" s="1263" t="s">
        <v>276</v>
      </c>
      <c r="V610" s="1260"/>
      <c r="W610" s="1194"/>
      <c r="X610" s="1130"/>
      <c r="Y610" s="1126"/>
      <c r="Z610" s="1130"/>
      <c r="AA610" s="1126"/>
      <c r="AB610" s="1205">
        <v>1000000</v>
      </c>
      <c r="AC610" s="1124">
        <v>41919</v>
      </c>
      <c r="AD610" s="1197"/>
      <c r="AE610" s="1247"/>
      <c r="AF610" s="1197"/>
      <c r="AG610" s="1247"/>
      <c r="AH610" s="1232" t="str">
        <f t="shared" si="131"/>
        <v>PERGUNU</v>
      </c>
      <c r="AI610" s="747"/>
      <c r="AJ610" s="747">
        <f>((COUNT((L610,N610,P610,R610,T610,#REF!,X610,Z610,AD610,AF610)))*2500000)+(J610+AB610)</f>
        <v>1000000</v>
      </c>
      <c r="AK610" s="747">
        <f t="shared" si="136"/>
        <v>1000000</v>
      </c>
      <c r="AL610" s="1170"/>
      <c r="AM610" s="1170"/>
      <c r="AN610" s="1209"/>
      <c r="AO610" s="1170"/>
      <c r="AP610" s="1209"/>
      <c r="AQ610" s="1128"/>
      <c r="AR610" s="1173"/>
      <c r="AT610" s="1173"/>
      <c r="AV610" s="1173"/>
      <c r="AX610" s="1173"/>
      <c r="AY610" s="1176"/>
      <c r="AZ610" s="1173"/>
    </row>
    <row r="611" spans="1:52" s="2" customFormat="1" x14ac:dyDescent="0.25">
      <c r="A611" s="20">
        <v>583</v>
      </c>
      <c r="B611" s="59">
        <v>15</v>
      </c>
      <c r="C611" s="40">
        <v>849120090</v>
      </c>
      <c r="D611" s="39" t="s">
        <v>1028</v>
      </c>
      <c r="E611" s="23" t="s">
        <v>1003</v>
      </c>
      <c r="F611" s="59"/>
      <c r="G611" s="23" t="s">
        <v>33</v>
      </c>
      <c r="H611" s="60" t="str">
        <f t="shared" si="134"/>
        <v xml:space="preserve">   </v>
      </c>
      <c r="I611" s="60">
        <f t="shared" si="135"/>
        <v>41640</v>
      </c>
      <c r="J611" s="1239"/>
      <c r="K611" s="1194"/>
      <c r="L611" s="1178"/>
      <c r="M611" s="1124"/>
      <c r="N611" s="1178">
        <v>2500000</v>
      </c>
      <c r="O611" s="1124" t="s">
        <v>1029</v>
      </c>
      <c r="P611" s="1178">
        <v>2500000</v>
      </c>
      <c r="Q611" s="1124" t="s">
        <v>1029</v>
      </c>
      <c r="R611" s="1178">
        <v>2500000</v>
      </c>
      <c r="S611" s="1124" t="s">
        <v>1029</v>
      </c>
      <c r="T611" s="1188">
        <v>2500000</v>
      </c>
      <c r="U611" s="1124">
        <v>41891</v>
      </c>
      <c r="V611" s="1259" t="s">
        <v>276</v>
      </c>
      <c r="W611" s="1194"/>
      <c r="X611" s="1130"/>
      <c r="Y611" s="1126"/>
      <c r="Z611" s="1130"/>
      <c r="AA611" s="1126"/>
      <c r="AB611" s="1205">
        <v>1000000</v>
      </c>
      <c r="AC611" s="1124" t="s">
        <v>819</v>
      </c>
      <c r="AD611" s="1197"/>
      <c r="AE611" s="1247"/>
      <c r="AF611" s="1197"/>
      <c r="AG611" s="1247"/>
      <c r="AH611" s="1232" t="str">
        <f t="shared" si="131"/>
        <v>PERGUNU</v>
      </c>
      <c r="AI611" s="747"/>
      <c r="AJ611" s="747">
        <f>((COUNT((L611,N611,P611,R611,T611,#REF!,X611,Z611,AD611,AF611)))*2500000)+(J611+AB611)</f>
        <v>1000000</v>
      </c>
      <c r="AK611" s="747">
        <f t="shared" si="136"/>
        <v>1000000</v>
      </c>
      <c r="AL611" s="1170"/>
      <c r="AM611" s="1170"/>
      <c r="AN611" s="1209"/>
      <c r="AO611" s="1170"/>
      <c r="AP611" s="1209"/>
      <c r="AQ611" s="1128"/>
      <c r="AR611" s="1173"/>
      <c r="AT611" s="1173"/>
      <c r="AV611" s="1173"/>
      <c r="AX611" s="1173"/>
      <c r="AY611" s="1176"/>
      <c r="AZ611" s="1173"/>
    </row>
    <row r="612" spans="1:52" s="2" customFormat="1" x14ac:dyDescent="0.25">
      <c r="A612" s="20">
        <v>584</v>
      </c>
      <c r="B612" s="59">
        <v>16</v>
      </c>
      <c r="C612" s="40">
        <v>849120080</v>
      </c>
      <c r="D612" s="39" t="s">
        <v>1030</v>
      </c>
      <c r="E612" s="23" t="s">
        <v>1003</v>
      </c>
      <c r="F612" s="59"/>
      <c r="G612" s="23" t="s">
        <v>33</v>
      </c>
      <c r="H612" s="60" t="str">
        <f t="shared" si="134"/>
        <v xml:space="preserve">   </v>
      </c>
      <c r="I612" s="60">
        <f t="shared" si="135"/>
        <v>41640</v>
      </c>
      <c r="J612" s="1239"/>
      <c r="K612" s="1194"/>
      <c r="L612" s="1178">
        <v>1250000</v>
      </c>
      <c r="M612" s="1124" t="s">
        <v>1031</v>
      </c>
      <c r="N612" s="1178">
        <v>7500000</v>
      </c>
      <c r="O612" s="1124" t="s">
        <v>706</v>
      </c>
      <c r="P612" s="1178"/>
      <c r="Q612" s="1124"/>
      <c r="R612" s="1178"/>
      <c r="S612" s="1124"/>
      <c r="T612" s="1262" t="s">
        <v>276</v>
      </c>
      <c r="U612" s="1127"/>
      <c r="V612" s="1260"/>
      <c r="W612" s="1194"/>
      <c r="X612" s="1130"/>
      <c r="Y612" s="1126"/>
      <c r="Z612" s="1130"/>
      <c r="AA612" s="1126"/>
      <c r="AB612" s="1205">
        <v>1000000</v>
      </c>
      <c r="AC612" s="1124">
        <v>41891</v>
      </c>
      <c r="AD612" s="1197"/>
      <c r="AE612" s="1247"/>
      <c r="AF612" s="1197"/>
      <c r="AG612" s="1247"/>
      <c r="AH612" s="1232" t="str">
        <f t="shared" si="131"/>
        <v>PERGUNU</v>
      </c>
      <c r="AI612" s="747"/>
      <c r="AJ612" s="747">
        <f>((COUNT((L612,N612,P612,R612,#REF!,#REF!,X612,Z612,AD612,AF612)))*2500000)+(J612+AB612)</f>
        <v>1000000</v>
      </c>
      <c r="AK612" s="747">
        <f t="shared" si="136"/>
        <v>1000000</v>
      </c>
      <c r="AL612" s="1170"/>
      <c r="AM612" s="1170"/>
      <c r="AN612" s="1209"/>
      <c r="AO612" s="1170"/>
      <c r="AP612" s="1209"/>
      <c r="AQ612" s="1128"/>
      <c r="AR612" s="1173"/>
      <c r="AT612" s="1173"/>
      <c r="AV612" s="1173"/>
      <c r="AX612" s="1173"/>
      <c r="AY612" s="1176"/>
      <c r="AZ612" s="1173"/>
    </row>
    <row r="613" spans="1:52" s="2" customFormat="1" x14ac:dyDescent="0.25">
      <c r="A613" s="20">
        <v>585</v>
      </c>
      <c r="B613" s="59">
        <v>17</v>
      </c>
      <c r="C613" s="40">
        <v>849120073</v>
      </c>
      <c r="D613" s="39" t="s">
        <v>1032</v>
      </c>
      <c r="E613" s="23" t="s">
        <v>1003</v>
      </c>
      <c r="F613" s="59"/>
      <c r="G613" s="23" t="s">
        <v>33</v>
      </c>
      <c r="H613" s="60" t="str">
        <f t="shared" si="134"/>
        <v xml:space="preserve">   </v>
      </c>
      <c r="I613" s="60">
        <f t="shared" si="135"/>
        <v>41640</v>
      </c>
      <c r="J613" s="1239"/>
      <c r="K613" s="1194"/>
      <c r="L613" s="1178">
        <v>2500000</v>
      </c>
      <c r="M613" s="1124" t="s">
        <v>1006</v>
      </c>
      <c r="N613" s="2299" t="s">
        <v>69</v>
      </c>
      <c r="O613" s="1124"/>
      <c r="P613" s="1178"/>
      <c r="Q613" s="1124"/>
      <c r="R613" s="1178">
        <v>7500000</v>
      </c>
      <c r="S613" s="1124">
        <v>41674</v>
      </c>
      <c r="T613" s="1188">
        <v>2500000</v>
      </c>
      <c r="U613" s="1124" t="s">
        <v>1025</v>
      </c>
      <c r="V613" s="1259" t="s">
        <v>276</v>
      </c>
      <c r="W613" s="1194"/>
      <c r="X613" s="1130"/>
      <c r="Y613" s="1126"/>
      <c r="Z613" s="1130"/>
      <c r="AA613" s="1126"/>
      <c r="AB613" s="1205">
        <v>1000000</v>
      </c>
      <c r="AC613" s="1124" t="s">
        <v>1033</v>
      </c>
      <c r="AD613" s="1197"/>
      <c r="AE613" s="1247"/>
      <c r="AF613" s="1197"/>
      <c r="AG613" s="1247"/>
      <c r="AH613" s="1232" t="str">
        <f t="shared" si="131"/>
        <v>PERGUNU</v>
      </c>
      <c r="AI613" s="747"/>
      <c r="AJ613" s="747">
        <f>((COUNT((L613,N613,P613,R613,T613,#REF!,X613,Z613,AD613,AF613)))*2500000)+(J613+AB613)</f>
        <v>1000000</v>
      </c>
      <c r="AK613" s="747">
        <f t="shared" si="136"/>
        <v>1000000</v>
      </c>
      <c r="AL613" s="1170"/>
      <c r="AM613" s="1170"/>
      <c r="AN613" s="1209"/>
      <c r="AO613" s="1170"/>
      <c r="AP613" s="1209"/>
      <c r="AQ613" s="1128"/>
      <c r="AR613" s="1173"/>
      <c r="AT613" s="1173"/>
      <c r="AV613" s="1173"/>
      <c r="AX613" s="1173"/>
      <c r="AY613" s="1176"/>
      <c r="AZ613" s="1173"/>
    </row>
    <row r="614" spans="1:52" s="2" customFormat="1" x14ac:dyDescent="0.25">
      <c r="A614" s="20">
        <v>586</v>
      </c>
      <c r="B614" s="59">
        <v>18</v>
      </c>
      <c r="C614" s="40">
        <v>849120083</v>
      </c>
      <c r="D614" s="39" t="s">
        <v>1034</v>
      </c>
      <c r="E614" s="23" t="s">
        <v>1003</v>
      </c>
      <c r="F614" s="59"/>
      <c r="G614" s="23" t="s">
        <v>33</v>
      </c>
      <c r="H614" s="60" t="str">
        <f t="shared" si="134"/>
        <v xml:space="preserve">   </v>
      </c>
      <c r="I614" s="60">
        <f t="shared" si="135"/>
        <v>41640</v>
      </c>
      <c r="J614" s="1239"/>
      <c r="K614" s="1194"/>
      <c r="L614" s="1178">
        <v>3750000</v>
      </c>
      <c r="M614" s="1124"/>
      <c r="N614" s="1178">
        <v>2500000</v>
      </c>
      <c r="O614" s="1124" t="s">
        <v>421</v>
      </c>
      <c r="P614" s="1178">
        <v>2500000</v>
      </c>
      <c r="Q614" s="1124" t="s">
        <v>422</v>
      </c>
      <c r="R614" s="1178">
        <v>2500000</v>
      </c>
      <c r="S614" s="1124">
        <v>41761</v>
      </c>
      <c r="T614" s="1188">
        <v>2500000</v>
      </c>
      <c r="U614" s="1124" t="s">
        <v>1035</v>
      </c>
      <c r="V614" s="1259" t="s">
        <v>276</v>
      </c>
      <c r="W614" s="1194"/>
      <c r="X614" s="1130"/>
      <c r="Y614" s="1126"/>
      <c r="Z614" s="1130"/>
      <c r="AA614" s="1126"/>
      <c r="AB614" s="1205">
        <v>1000000</v>
      </c>
      <c r="AC614" s="1124">
        <v>41858</v>
      </c>
      <c r="AD614" s="1197"/>
      <c r="AE614" s="1247"/>
      <c r="AF614" s="1197"/>
      <c r="AG614" s="1247"/>
      <c r="AH614" s="1232" t="str">
        <f t="shared" si="131"/>
        <v>PERGUNU</v>
      </c>
      <c r="AI614" s="747"/>
      <c r="AJ614" s="747">
        <f>((COUNT((L614,N614,P614,R614,T614,#REF!,X614,Z614,AD614,AF614)))*2500000)+(J614+AB614)</f>
        <v>1000000</v>
      </c>
      <c r="AK614" s="747">
        <f t="shared" si="136"/>
        <v>1000000</v>
      </c>
      <c r="AL614" s="1170"/>
      <c r="AM614" s="1170"/>
      <c r="AN614" s="1209"/>
      <c r="AO614" s="1170"/>
      <c r="AP614" s="1209"/>
      <c r="AQ614" s="1128"/>
      <c r="AR614" s="1173"/>
      <c r="AT614" s="1173"/>
      <c r="AV614" s="1173"/>
      <c r="AX614" s="1173"/>
      <c r="AY614" s="1176"/>
      <c r="AZ614" s="1173"/>
    </row>
    <row r="615" spans="1:52" s="2" customFormat="1" x14ac:dyDescent="0.25">
      <c r="A615" s="20">
        <v>587</v>
      </c>
      <c r="B615" s="59">
        <v>19</v>
      </c>
      <c r="C615" s="40"/>
      <c r="D615" s="39" t="s">
        <v>1036</v>
      </c>
      <c r="E615" s="23" t="s">
        <v>1003</v>
      </c>
      <c r="F615" s="59"/>
      <c r="G615" s="23" t="s">
        <v>33</v>
      </c>
      <c r="H615" s="60" t="str">
        <f t="shared" si="134"/>
        <v xml:space="preserve">   </v>
      </c>
      <c r="I615" s="60" t="str">
        <f t="shared" si="135"/>
        <v xml:space="preserve">   </v>
      </c>
      <c r="J615" s="1239"/>
      <c r="K615" s="1194"/>
      <c r="L615" s="1178"/>
      <c r="M615" s="1124"/>
      <c r="N615" s="1178">
        <v>2500000</v>
      </c>
      <c r="O615" s="1124">
        <v>41277</v>
      </c>
      <c r="P615" s="1178">
        <v>2500000</v>
      </c>
      <c r="Q615" s="1124">
        <v>41587</v>
      </c>
      <c r="R615" s="1178">
        <v>2500000</v>
      </c>
      <c r="S615" s="1124" t="s">
        <v>771</v>
      </c>
      <c r="T615" s="1188">
        <v>2500000</v>
      </c>
      <c r="U615" s="1124" t="s">
        <v>1035</v>
      </c>
      <c r="V615" s="1259" t="s">
        <v>276</v>
      </c>
      <c r="W615" s="1194"/>
      <c r="X615" s="1130"/>
      <c r="Y615" s="1126"/>
      <c r="Z615" s="1130"/>
      <c r="AA615" s="1126"/>
      <c r="AB615" s="1205">
        <v>1000000</v>
      </c>
      <c r="AC615" s="1124" t="s">
        <v>1035</v>
      </c>
      <c r="AD615" s="1197"/>
      <c r="AE615" s="1247"/>
      <c r="AF615" s="1197"/>
      <c r="AG615" s="1247"/>
      <c r="AH615" s="1232" t="str">
        <f t="shared" si="131"/>
        <v>PERGUNU</v>
      </c>
      <c r="AI615" s="747"/>
      <c r="AJ615" s="747">
        <f>((COUNT((L615,N615,P615,R615,T615,#REF!,X615,Z615,AD615,AF615)))*2500000)+(J615+AB615)</f>
        <v>1000000</v>
      </c>
      <c r="AK615" s="747">
        <f t="shared" si="136"/>
        <v>1000000</v>
      </c>
      <c r="AL615" s="1170"/>
      <c r="AM615" s="1170"/>
      <c r="AN615" s="1209"/>
      <c r="AO615" s="1170"/>
      <c r="AP615" s="1209"/>
      <c r="AQ615" s="1128"/>
      <c r="AR615" s="1173"/>
      <c r="AT615" s="1173"/>
      <c r="AV615" s="1173"/>
      <c r="AX615" s="1173"/>
      <c r="AY615" s="1176"/>
      <c r="AZ615" s="1173"/>
    </row>
    <row r="616" spans="1:52" s="2" customFormat="1" x14ac:dyDescent="0.25">
      <c r="A616" s="20">
        <v>588</v>
      </c>
      <c r="B616" s="59">
        <v>20</v>
      </c>
      <c r="C616" s="40"/>
      <c r="D616" s="39" t="s">
        <v>1037</v>
      </c>
      <c r="E616" s="23" t="s">
        <v>1003</v>
      </c>
      <c r="F616" s="59"/>
      <c r="G616" s="23" t="s">
        <v>33</v>
      </c>
      <c r="H616" s="60" t="str">
        <f t="shared" si="134"/>
        <v xml:space="preserve">   </v>
      </c>
      <c r="I616" s="60" t="str">
        <f t="shared" si="135"/>
        <v xml:space="preserve">   </v>
      </c>
      <c r="J616" s="1239"/>
      <c r="K616" s="1194"/>
      <c r="L616" s="1178"/>
      <c r="M616" s="1124"/>
      <c r="N616" s="1178">
        <v>2500000</v>
      </c>
      <c r="O616" s="1124">
        <v>41795</v>
      </c>
      <c r="P616" s="1178">
        <v>2500000</v>
      </c>
      <c r="Q616" s="1124">
        <v>41795</v>
      </c>
      <c r="R616" s="1178">
        <v>2500000</v>
      </c>
      <c r="S616" s="1124">
        <v>41795</v>
      </c>
      <c r="T616" s="1188">
        <v>2500000</v>
      </c>
      <c r="U616" s="1124" t="s">
        <v>1038</v>
      </c>
      <c r="V616" s="1259" t="s">
        <v>276</v>
      </c>
      <c r="W616" s="1194"/>
      <c r="X616" s="1130"/>
      <c r="Y616" s="1126"/>
      <c r="Z616" s="1130"/>
      <c r="AA616" s="1126"/>
      <c r="AB616" s="1205">
        <v>1000000</v>
      </c>
      <c r="AC616" s="1124" t="s">
        <v>1035</v>
      </c>
      <c r="AD616" s="1197"/>
      <c r="AE616" s="1247"/>
      <c r="AF616" s="1197"/>
      <c r="AG616" s="1247"/>
      <c r="AH616" s="1232" t="str">
        <f t="shared" si="131"/>
        <v>PERGUNU</v>
      </c>
      <c r="AI616" s="747"/>
      <c r="AJ616" s="747">
        <f>((COUNT((L616,N616,P616,R616,T616,#REF!,X616,Z616,AD616,AF616)))*2500000)+(J616+AB616)</f>
        <v>1000000</v>
      </c>
      <c r="AK616" s="747">
        <f t="shared" si="136"/>
        <v>1000000</v>
      </c>
      <c r="AL616" s="1170"/>
      <c r="AM616" s="1170"/>
      <c r="AN616" s="1209"/>
      <c r="AO616" s="1170"/>
      <c r="AP616" s="1209"/>
      <c r="AQ616" s="1128"/>
      <c r="AR616" s="1173"/>
      <c r="AT616" s="1173"/>
      <c r="AV616" s="1173"/>
      <c r="AX616" s="1173"/>
      <c r="AY616" s="1176"/>
      <c r="AZ616" s="1173"/>
    </row>
    <row r="617" spans="1:52" s="2" customFormat="1" x14ac:dyDescent="0.25">
      <c r="A617" s="20">
        <v>589</v>
      </c>
      <c r="B617" s="59">
        <v>21</v>
      </c>
      <c r="C617" s="40">
        <v>849120071</v>
      </c>
      <c r="D617" s="39" t="s">
        <v>1039</v>
      </c>
      <c r="E617" s="23" t="s">
        <v>1003</v>
      </c>
      <c r="F617" s="59"/>
      <c r="G617" s="23" t="s">
        <v>33</v>
      </c>
      <c r="H617" s="60" t="str">
        <f t="shared" si="134"/>
        <v xml:space="preserve">   </v>
      </c>
      <c r="I617" s="60">
        <f t="shared" si="135"/>
        <v>42143</v>
      </c>
      <c r="J617" s="1239"/>
      <c r="K617" s="1194"/>
      <c r="L617" s="1178">
        <v>3750000</v>
      </c>
      <c r="M617" s="1124" t="s">
        <v>1020</v>
      </c>
      <c r="N617" s="1178">
        <v>2500000</v>
      </c>
      <c r="O617" s="1124"/>
      <c r="P617" s="1178">
        <v>2500000</v>
      </c>
      <c r="Q617" s="1124" t="s">
        <v>1040</v>
      </c>
      <c r="R617" s="1178">
        <v>2500000</v>
      </c>
      <c r="S617" s="1124" t="s">
        <v>1040</v>
      </c>
      <c r="T617" s="1262" t="s">
        <v>276</v>
      </c>
      <c r="U617" s="1194"/>
      <c r="V617" s="1130"/>
      <c r="W617" s="1126"/>
      <c r="X617" s="1130"/>
      <c r="Y617" s="1126"/>
      <c r="Z617" s="1130"/>
      <c r="AA617" s="1126"/>
      <c r="AB617" s="1205">
        <v>1000000</v>
      </c>
      <c r="AC617" s="1124" t="s">
        <v>1038</v>
      </c>
      <c r="AD617" s="1197"/>
      <c r="AE617" s="1247"/>
      <c r="AF617" s="1197"/>
      <c r="AG617" s="1247"/>
      <c r="AH617" s="1232" t="str">
        <f t="shared" si="131"/>
        <v>PERGUNU</v>
      </c>
      <c r="AI617" s="747"/>
      <c r="AJ617" s="747">
        <f>((COUNT((L617,N617,P617,R617,#REF!,V617,X617,Z617,AD617,AF617)))*2500000)+(J617+AB617)</f>
        <v>1000000</v>
      </c>
      <c r="AK617" s="747">
        <f t="shared" si="136"/>
        <v>1000000</v>
      </c>
      <c r="AL617" s="1170"/>
      <c r="AM617" s="1170"/>
      <c r="AN617" s="1209"/>
      <c r="AO617" s="1170"/>
      <c r="AP617" s="1209"/>
      <c r="AQ617" s="1128"/>
      <c r="AR617" s="1173"/>
      <c r="AT617" s="1173"/>
      <c r="AV617" s="1173"/>
      <c r="AX617" s="1173"/>
      <c r="AY617" s="1176"/>
      <c r="AZ617" s="1173"/>
    </row>
    <row r="618" spans="1:52" s="2" customFormat="1" x14ac:dyDescent="0.25">
      <c r="A618" s="20">
        <v>590</v>
      </c>
      <c r="B618" s="59">
        <v>22</v>
      </c>
      <c r="C618" s="40">
        <v>849120082</v>
      </c>
      <c r="D618" s="39" t="s">
        <v>1041</v>
      </c>
      <c r="E618" s="23" t="s">
        <v>1003</v>
      </c>
      <c r="F618" s="59"/>
      <c r="G618" s="23" t="s">
        <v>33</v>
      </c>
      <c r="H618" s="60" t="str">
        <f t="shared" si="134"/>
        <v xml:space="preserve">   </v>
      </c>
      <c r="I618" s="60">
        <f t="shared" si="135"/>
        <v>41640</v>
      </c>
      <c r="J618" s="1239"/>
      <c r="K618" s="1194"/>
      <c r="L618" s="1178"/>
      <c r="M618" s="1124"/>
      <c r="N618" s="1178"/>
      <c r="O618" s="1124"/>
      <c r="P618" s="1178"/>
      <c r="Q618" s="1124"/>
      <c r="R618" s="1178">
        <v>7500000</v>
      </c>
      <c r="S618" s="1124" t="s">
        <v>864</v>
      </c>
      <c r="T618" s="1262" t="s">
        <v>276</v>
      </c>
      <c r="U618" s="1194"/>
      <c r="V618" s="1130"/>
      <c r="W618" s="1126"/>
      <c r="X618" s="1130"/>
      <c r="Y618" s="1126"/>
      <c r="Z618" s="1130"/>
      <c r="AA618" s="1126"/>
      <c r="AB618" s="1205">
        <v>1000000</v>
      </c>
      <c r="AC618" s="1124" t="s">
        <v>793</v>
      </c>
      <c r="AD618" s="1197"/>
      <c r="AE618" s="1247"/>
      <c r="AF618" s="1197"/>
      <c r="AG618" s="1247"/>
      <c r="AH618" s="1232" t="str">
        <f t="shared" si="131"/>
        <v>PERGUNU</v>
      </c>
      <c r="AI618" s="747"/>
      <c r="AJ618" s="747">
        <f>((COUNT((L618,N618,P618,R618,#REF!,V618,X618,Z618,AD618,AF618)))*2500000)+(J618+AB618)</f>
        <v>1000000</v>
      </c>
      <c r="AK618" s="747">
        <f t="shared" si="136"/>
        <v>1000000</v>
      </c>
      <c r="AL618" s="1170"/>
      <c r="AM618" s="1170"/>
      <c r="AN618" s="1209"/>
      <c r="AO618" s="1170"/>
      <c r="AP618" s="1209"/>
      <c r="AQ618" s="1128"/>
      <c r="AR618" s="1173"/>
      <c r="AT618" s="1173"/>
      <c r="AV618" s="1173"/>
      <c r="AX618" s="1173"/>
      <c r="AY618" s="1176"/>
      <c r="AZ618" s="1173"/>
    </row>
    <row r="619" spans="1:52" s="2" customFormat="1" x14ac:dyDescent="0.25">
      <c r="A619" s="20">
        <v>591</v>
      </c>
      <c r="B619" s="59">
        <v>23</v>
      </c>
      <c r="C619" s="40">
        <v>849120094</v>
      </c>
      <c r="D619" s="39" t="s">
        <v>1042</v>
      </c>
      <c r="E619" s="23" t="s">
        <v>1003</v>
      </c>
      <c r="F619" s="59"/>
      <c r="G619" s="23" t="s">
        <v>33</v>
      </c>
      <c r="H619" s="60" t="str">
        <f t="shared" si="134"/>
        <v xml:space="preserve">   </v>
      </c>
      <c r="I619" s="60">
        <f t="shared" si="135"/>
        <v>41640</v>
      </c>
      <c r="J619" s="1239"/>
      <c r="K619" s="1194"/>
      <c r="L619" s="1178">
        <v>3750000</v>
      </c>
      <c r="M619" s="1124">
        <v>41859</v>
      </c>
      <c r="N619" s="1178"/>
      <c r="O619" s="1124"/>
      <c r="P619" s="1178"/>
      <c r="Q619" s="1124"/>
      <c r="R619" s="1178">
        <v>7500000</v>
      </c>
      <c r="S619" s="1124">
        <v>41951</v>
      </c>
      <c r="T619" s="1262" t="s">
        <v>276</v>
      </c>
      <c r="U619" s="1194"/>
      <c r="V619" s="1130"/>
      <c r="W619" s="1126"/>
      <c r="X619" s="1130"/>
      <c r="Y619" s="1126"/>
      <c r="Z619" s="1130"/>
      <c r="AA619" s="1126"/>
      <c r="AB619" s="1205">
        <v>1000000</v>
      </c>
      <c r="AC619" s="1124">
        <v>41950</v>
      </c>
      <c r="AD619" s="1197"/>
      <c r="AE619" s="1247"/>
      <c r="AF619" s="1197"/>
      <c r="AG619" s="1247"/>
      <c r="AH619" s="1232" t="str">
        <f t="shared" si="131"/>
        <v>PERGUNU</v>
      </c>
      <c r="AI619" s="747"/>
      <c r="AJ619" s="747">
        <f>((COUNT((L619,N619,P619,R619,#REF!,V619,X619,Z619,AD619,AF619)))*2500000)+(J619+AB619)</f>
        <v>1000000</v>
      </c>
      <c r="AK619" s="747">
        <f t="shared" si="136"/>
        <v>1000000</v>
      </c>
      <c r="AL619" s="1170"/>
      <c r="AM619" s="1170"/>
      <c r="AN619" s="1209"/>
      <c r="AO619" s="1170"/>
      <c r="AP619" s="1209"/>
      <c r="AQ619" s="1128"/>
      <c r="AR619" s="1173"/>
      <c r="AT619" s="1173"/>
      <c r="AV619" s="1173"/>
      <c r="AX619" s="1173"/>
      <c r="AY619" s="1176"/>
      <c r="AZ619" s="1173"/>
    </row>
    <row r="620" spans="1:52" s="2" customFormat="1" x14ac:dyDescent="0.25">
      <c r="A620" s="20">
        <v>592</v>
      </c>
      <c r="B620" s="59">
        <v>24</v>
      </c>
      <c r="C620" s="40">
        <v>849120077</v>
      </c>
      <c r="D620" s="39" t="s">
        <v>1043</v>
      </c>
      <c r="E620" s="23" t="s">
        <v>1003</v>
      </c>
      <c r="F620" s="59"/>
      <c r="G620" s="23" t="s">
        <v>33</v>
      </c>
      <c r="H620" s="60">
        <f t="shared" si="134"/>
        <v>42873</v>
      </c>
      <c r="I620" s="60">
        <f t="shared" si="135"/>
        <v>43064</v>
      </c>
      <c r="J620" s="1239"/>
      <c r="K620" s="1194"/>
      <c r="L620" s="1178">
        <v>3750000</v>
      </c>
      <c r="M620" s="1124"/>
      <c r="N620" s="1178">
        <v>2500000</v>
      </c>
      <c r="O620" s="1124"/>
      <c r="P620" s="1178">
        <v>2500000</v>
      </c>
      <c r="Q620" s="1124">
        <v>41286</v>
      </c>
      <c r="R620" s="1376"/>
      <c r="S620" s="1190" t="s">
        <v>137</v>
      </c>
      <c r="T620" s="1322"/>
      <c r="U620" s="1190" t="s">
        <v>137</v>
      </c>
      <c r="V620" s="1178">
        <v>2500000</v>
      </c>
      <c r="W620" s="1124" t="s">
        <v>1044</v>
      </c>
      <c r="X620" s="1178">
        <v>2500000</v>
      </c>
      <c r="Y620" s="1124">
        <v>2500000</v>
      </c>
      <c r="Z620" s="1178">
        <v>3000000</v>
      </c>
      <c r="AA620" s="1124">
        <v>42867</v>
      </c>
      <c r="AB620" s="1205">
        <v>1000000</v>
      </c>
      <c r="AC620" s="1124" t="s">
        <v>1044</v>
      </c>
      <c r="AD620" s="1197"/>
      <c r="AE620" s="1247"/>
      <c r="AF620" s="1197"/>
      <c r="AG620" s="1247"/>
      <c r="AH620" s="1232" t="str">
        <f t="shared" si="131"/>
        <v>PERGUNU</v>
      </c>
      <c r="AI620" s="747">
        <f>SUM(J620,L620,N620,P620,R620,T620,V620,X620,Z620,AB620,AD620,AF620)</f>
        <v>17750000</v>
      </c>
      <c r="AJ620" s="747">
        <f>((COUNT((L620,N620,P620,R620,T620,V620,X620,Z620,AD620,AF620)))*2500000)+(J620+AB620)</f>
        <v>16000000</v>
      </c>
      <c r="AK620" s="747">
        <f t="shared" si="136"/>
        <v>-1750000</v>
      </c>
      <c r="AL620" s="1170"/>
      <c r="AM620" s="1170"/>
      <c r="AN620" s="1209"/>
      <c r="AO620" s="1170"/>
      <c r="AP620" s="1209"/>
      <c r="AQ620" s="1128"/>
      <c r="AR620" s="1173"/>
      <c r="AT620" s="1173"/>
      <c r="AV620" s="1173"/>
      <c r="AX620" s="1173"/>
      <c r="AY620" s="1176"/>
      <c r="AZ620" s="1173"/>
    </row>
    <row r="621" spans="1:52" x14ac:dyDescent="0.25">
      <c r="P621" s="761"/>
      <c r="Q621" s="1089"/>
      <c r="S621" s="1375"/>
      <c r="AH621">
        <f t="shared" si="131"/>
        <v>0</v>
      </c>
    </row>
    <row r="622" spans="1:52" s="2" customFormat="1" x14ac:dyDescent="0.25">
      <c r="A622" s="133" t="s">
        <v>1045</v>
      </c>
      <c r="B622" s="134"/>
      <c r="C622" s="436"/>
      <c r="D622" s="135" t="s">
        <v>1046</v>
      </c>
      <c r="E622" s="137" t="s">
        <v>61</v>
      </c>
      <c r="F622" s="138" t="s">
        <v>61</v>
      </c>
      <c r="G622" s="135" t="s">
        <v>1047</v>
      </c>
      <c r="H622" s="139"/>
      <c r="I622" s="139"/>
      <c r="J622" s="1345"/>
      <c r="K622" s="1346"/>
      <c r="L622" s="1347"/>
      <c r="M622" s="1348"/>
      <c r="N622" s="1347"/>
      <c r="O622" s="1348"/>
      <c r="P622" s="1347"/>
      <c r="Q622" s="1348"/>
      <c r="R622" s="1377"/>
      <c r="S622" s="1378"/>
      <c r="T622" s="1377"/>
      <c r="U622" s="1348"/>
      <c r="V622" s="1347"/>
      <c r="W622" s="1348"/>
      <c r="X622" s="1347"/>
      <c r="Y622" s="1127"/>
      <c r="Z622" s="1347"/>
      <c r="AA622" s="1127"/>
      <c r="AB622" s="1395"/>
      <c r="AC622" s="1348"/>
      <c r="AD622" s="1347"/>
      <c r="AE622" s="1396"/>
      <c r="AF622" s="1347"/>
      <c r="AG622" s="1407"/>
      <c r="AH622" s="1408" t="str">
        <f t="shared" si="131"/>
        <v>-</v>
      </c>
      <c r="AI622" s="1409"/>
      <c r="AJ622" s="1409"/>
      <c r="AK622" s="1409"/>
      <c r="AL622" s="1410"/>
      <c r="AM622" s="1410"/>
      <c r="AN622" s="1411"/>
      <c r="AO622" s="1410"/>
      <c r="AP622" s="1411"/>
      <c r="AQ622" s="1128"/>
      <c r="AR622" s="1173"/>
      <c r="AT622" s="1173"/>
      <c r="AV622" s="1173"/>
      <c r="AX622" s="1173"/>
      <c r="AY622" s="1176"/>
      <c r="AZ622" s="1173"/>
    </row>
    <row r="623" spans="1:52" s="2" customFormat="1" x14ac:dyDescent="0.25">
      <c r="A623" s="140" t="s">
        <v>1048</v>
      </c>
      <c r="B623" s="141"/>
      <c r="C623" s="366"/>
      <c r="D623" s="142"/>
      <c r="E623" s="144" t="s">
        <v>527</v>
      </c>
      <c r="F623" s="145" t="s">
        <v>61</v>
      </c>
      <c r="G623" s="146">
        <v>3000000</v>
      </c>
      <c r="H623" s="147"/>
      <c r="I623" s="147"/>
      <c r="J623" s="1349">
        <v>1250000</v>
      </c>
      <c r="K623" s="1350"/>
      <c r="L623" s="1351" t="s">
        <v>1049</v>
      </c>
      <c r="M623" s="1352" t="s">
        <v>1050</v>
      </c>
      <c r="N623" s="1351" t="s">
        <v>1051</v>
      </c>
      <c r="O623" s="1352" t="s">
        <v>1052</v>
      </c>
      <c r="P623" s="1351" t="s">
        <v>1053</v>
      </c>
      <c r="Q623" s="1352" t="s">
        <v>1054</v>
      </c>
      <c r="R623" s="1351" t="s">
        <v>1055</v>
      </c>
      <c r="S623" s="1352" t="s">
        <v>1056</v>
      </c>
      <c r="T623" s="1351" t="s">
        <v>1057</v>
      </c>
      <c r="U623" s="1379" t="s">
        <v>1058</v>
      </c>
      <c r="V623" s="1380" t="s">
        <v>1059</v>
      </c>
      <c r="W623" s="1379" t="s">
        <v>1060</v>
      </c>
      <c r="X623" s="1380" t="s">
        <v>1061</v>
      </c>
      <c r="Y623" s="1379" t="s">
        <v>1062</v>
      </c>
      <c r="Z623" s="1380" t="s">
        <v>1063</v>
      </c>
      <c r="AA623" s="1379" t="s">
        <v>1064</v>
      </c>
      <c r="AB623" s="1397">
        <v>1000000</v>
      </c>
      <c r="AC623" s="1127"/>
      <c r="AD623" s="1398" t="s">
        <v>1065</v>
      </c>
      <c r="AE623" s="1399" t="s">
        <v>1066</v>
      </c>
      <c r="AF623" s="1400" t="s">
        <v>1067</v>
      </c>
      <c r="AG623" s="1412" t="s">
        <v>1068</v>
      </c>
      <c r="AH623" s="1413" t="str">
        <f t="shared" si="131"/>
        <v>MPI</v>
      </c>
      <c r="AI623" s="1409"/>
      <c r="AJ623" s="1409"/>
      <c r="AK623" s="1414" t="e">
        <f>SUM(AK624:AK1772)</f>
        <v>#VALUE!</v>
      </c>
      <c r="AL623" s="1410"/>
      <c r="AM623" s="1410"/>
      <c r="AN623" s="1411"/>
      <c r="AO623" s="1410"/>
      <c r="AP623" s="1411"/>
      <c r="AQ623" s="1128"/>
      <c r="AR623" s="1173"/>
      <c r="AT623" s="1173"/>
      <c r="AV623" s="1173"/>
      <c r="AX623" s="1173"/>
      <c r="AY623" s="1176"/>
      <c r="AZ623" s="1173"/>
    </row>
    <row r="624" spans="1:52" s="2" customFormat="1" x14ac:dyDescent="0.25">
      <c r="A624" s="148">
        <v>593</v>
      </c>
      <c r="B624" s="149">
        <v>1</v>
      </c>
      <c r="C624" s="151">
        <v>849113019</v>
      </c>
      <c r="D624" s="150" t="s">
        <v>1069</v>
      </c>
      <c r="E624" s="152" t="s">
        <v>1070</v>
      </c>
      <c r="F624" s="153">
        <v>2013</v>
      </c>
      <c r="G624" s="154" t="s">
        <v>33</v>
      </c>
      <c r="H624" s="155">
        <f t="shared" ref="H624:H645" si="137">IFERROR(VLOOKUP(C624,Tlus,3,FALSE),"   ")</f>
        <v>42898</v>
      </c>
      <c r="I624" s="163">
        <f t="shared" ref="I624:I645" si="138">IFERROR(VLOOKUP(C624,Wis,4,FALSE),"   ")</f>
        <v>43064</v>
      </c>
      <c r="J624" s="1353">
        <v>1250000</v>
      </c>
      <c r="K624" s="1354"/>
      <c r="L624" s="1355">
        <v>3000000</v>
      </c>
      <c r="M624" s="1354">
        <v>41424</v>
      </c>
      <c r="N624" s="1355">
        <v>3000000</v>
      </c>
      <c r="O624" s="1354">
        <v>41705</v>
      </c>
      <c r="P624" s="1355">
        <v>3000000</v>
      </c>
      <c r="Q624" s="1354">
        <v>41923</v>
      </c>
      <c r="R624" s="1355">
        <v>3000000</v>
      </c>
      <c r="S624" s="1354">
        <v>42074</v>
      </c>
      <c r="T624" s="1355">
        <v>3000000</v>
      </c>
      <c r="U624" s="1354">
        <v>42264</v>
      </c>
      <c r="V624" s="1381">
        <v>3000000</v>
      </c>
      <c r="W624" s="1354">
        <v>42465</v>
      </c>
      <c r="X624" s="1381">
        <v>3000000</v>
      </c>
      <c r="Y624" s="1354">
        <v>42579</v>
      </c>
      <c r="Z624" s="1381">
        <v>3000000</v>
      </c>
      <c r="AA624" s="1401">
        <v>42924</v>
      </c>
      <c r="AB624" s="1381">
        <v>1000000</v>
      </c>
      <c r="AC624" s="1354">
        <v>42264</v>
      </c>
      <c r="AD624" s="1402"/>
      <c r="AE624" s="1403"/>
      <c r="AF624" s="1404"/>
      <c r="AG624" s="1415"/>
      <c r="AH624" s="1416" t="str">
        <f t="shared" si="131"/>
        <v>MPI-S2</v>
      </c>
      <c r="AI624" s="1417">
        <f t="shared" ref="AI624" si="139">SUM(J624,L624,N624,P624,R624,T624,V624,X624,Z624,AB624,AD624,AF624)</f>
        <v>26250000</v>
      </c>
      <c r="AJ624" s="1418">
        <f t="shared" ref="AJ624:AJ645" si="140">(COUNT(L624,N624,P624,R624,T624,V624,X624,Z624,AD624,AF624)*$G$623)+(COUNT(J624)*$J$623)+(COUNT(AB624)*$AB$623)</f>
        <v>26250000</v>
      </c>
      <c r="AK624" s="1419">
        <f t="shared" ref="AK624" si="141">AJ624-AI624</f>
        <v>0</v>
      </c>
      <c r="AL624" s="1420" t="str">
        <f t="shared" ref="AL624" si="142">IF(AK624=0,"Lunas","Cek")</f>
        <v>Lunas</v>
      </c>
      <c r="AM624" s="1421" t="e">
        <f>VLOOKUP(C624,SevPay,3,FALSE)</f>
        <v>#NAME?</v>
      </c>
      <c r="AN624" s="1411"/>
      <c r="AO624" s="1421" t="e">
        <f>VLOOKUP(K624,SevPay,3,FALSE)</f>
        <v>#NAME?</v>
      </c>
      <c r="AP624" s="1411"/>
      <c r="AQ624" s="1128"/>
      <c r="AR624" s="1173"/>
      <c r="AT624" s="1173"/>
      <c r="AV624" s="1173"/>
      <c r="AX624" s="1173"/>
      <c r="AY624" s="1176"/>
      <c r="AZ624" s="1173"/>
    </row>
    <row r="625" spans="1:52" s="2" customFormat="1" x14ac:dyDescent="0.25">
      <c r="A625" s="156">
        <v>594</v>
      </c>
      <c r="B625" s="157">
        <v>2</v>
      </c>
      <c r="C625" s="159">
        <v>849113020</v>
      </c>
      <c r="D625" s="158" t="s">
        <v>1071</v>
      </c>
      <c r="E625" s="160" t="s">
        <v>1070</v>
      </c>
      <c r="F625" s="161">
        <v>2013</v>
      </c>
      <c r="G625" s="162" t="s">
        <v>33</v>
      </c>
      <c r="H625" s="163" t="str">
        <f t="shared" si="137"/>
        <v xml:space="preserve">   </v>
      </c>
      <c r="I625" s="163">
        <f t="shared" si="138"/>
        <v>42329</v>
      </c>
      <c r="J625" s="1356">
        <v>1250000</v>
      </c>
      <c r="K625" s="1357"/>
      <c r="L625" s="1358">
        <v>3000000</v>
      </c>
      <c r="M625" s="1357">
        <v>41802</v>
      </c>
      <c r="N625" s="1358">
        <v>3000000</v>
      </c>
      <c r="O625" s="1357">
        <v>41669</v>
      </c>
      <c r="P625" s="1358">
        <v>3000000</v>
      </c>
      <c r="Q625" s="1357">
        <v>41841</v>
      </c>
      <c r="R625" s="1358">
        <v>3000000</v>
      </c>
      <c r="S625" s="1357">
        <v>42041</v>
      </c>
      <c r="T625" s="1382" t="s">
        <v>276</v>
      </c>
      <c r="U625" s="1383">
        <v>42329</v>
      </c>
      <c r="V625" s="1384"/>
      <c r="W625" s="1363"/>
      <c r="X625" s="1384"/>
      <c r="Y625" s="1363"/>
      <c r="Z625" s="1384"/>
      <c r="AA625" s="1363"/>
      <c r="AB625" s="1385">
        <v>1000000</v>
      </c>
      <c r="AC625" s="1357">
        <v>42041</v>
      </c>
      <c r="AD625" s="1402"/>
      <c r="AE625" s="1405"/>
      <c r="AF625" s="1406"/>
      <c r="AG625" s="1422"/>
      <c r="AH625" s="1423" t="str">
        <f t="shared" si="131"/>
        <v>MPI-S2</v>
      </c>
      <c r="AI625" s="1424">
        <f t="shared" ref="AI625:AI645" si="143">SUM(J625,L625,N625,P625,R625,T625,V625,X625,Z625,AB625,AD625,AF625)</f>
        <v>14250000</v>
      </c>
      <c r="AJ625" s="1424">
        <f t="shared" si="140"/>
        <v>14250000</v>
      </c>
      <c r="AK625" s="1425">
        <f t="shared" ref="AK625:AK645" si="144">AJ625-AI625</f>
        <v>0</v>
      </c>
      <c r="AL625" s="1426" t="str">
        <f t="shared" ref="AL625:AL645" si="145">IF(AK625=0,"Lunas","Cek")</f>
        <v>Lunas</v>
      </c>
      <c r="AM625" s="1410"/>
      <c r="AN625" s="1411"/>
      <c r="AO625" s="1410"/>
      <c r="AP625" s="1411"/>
      <c r="AQ625" s="1128"/>
      <c r="AR625" s="1173"/>
      <c r="AT625" s="1173"/>
      <c r="AV625" s="1173"/>
      <c r="AX625" s="1173"/>
      <c r="AY625" s="1176"/>
      <c r="AZ625" s="1173"/>
    </row>
    <row r="626" spans="1:52" s="2" customFormat="1" x14ac:dyDescent="0.25">
      <c r="A626" s="156">
        <v>595</v>
      </c>
      <c r="B626" s="157">
        <v>3</v>
      </c>
      <c r="C626" s="159">
        <v>849113021</v>
      </c>
      <c r="D626" s="158" t="s">
        <v>1072</v>
      </c>
      <c r="E626" s="160" t="s">
        <v>1070</v>
      </c>
      <c r="F626" s="161">
        <v>2013</v>
      </c>
      <c r="G626" s="162" t="s">
        <v>33</v>
      </c>
      <c r="H626" s="163" t="str">
        <f t="shared" si="137"/>
        <v xml:space="preserve">   </v>
      </c>
      <c r="I626" s="163">
        <f t="shared" si="138"/>
        <v>42504</v>
      </c>
      <c r="J626" s="1356">
        <v>1250000</v>
      </c>
      <c r="K626" s="1357"/>
      <c r="L626" s="1358">
        <v>3000000</v>
      </c>
      <c r="M626" s="1357">
        <v>41425</v>
      </c>
      <c r="N626" s="1358">
        <v>3000000</v>
      </c>
      <c r="O626" s="1357">
        <v>41649</v>
      </c>
      <c r="P626" s="1358">
        <v>3000000</v>
      </c>
      <c r="Q626" s="1357">
        <v>41859</v>
      </c>
      <c r="R626" s="1358">
        <v>3000000</v>
      </c>
      <c r="S626" s="1357">
        <v>42115</v>
      </c>
      <c r="T626" s="1358">
        <v>3000000</v>
      </c>
      <c r="U626" s="1357">
        <v>42458</v>
      </c>
      <c r="V626" s="1385">
        <v>3000000</v>
      </c>
      <c r="W626" s="1357">
        <v>42329</v>
      </c>
      <c r="X626" s="1384"/>
      <c r="Y626" s="1363"/>
      <c r="Z626" s="1384"/>
      <c r="AA626" s="1363"/>
      <c r="AB626" s="1385">
        <v>1000000</v>
      </c>
      <c r="AC626" s="1357">
        <v>42456</v>
      </c>
      <c r="AD626" s="1402"/>
      <c r="AE626" s="1405"/>
      <c r="AF626" s="1406"/>
      <c r="AG626" s="1422"/>
      <c r="AH626" s="1423" t="str">
        <f t="shared" si="131"/>
        <v>MPI-S2</v>
      </c>
      <c r="AI626" s="1424">
        <f t="shared" si="143"/>
        <v>20250000</v>
      </c>
      <c r="AJ626" s="1424">
        <f t="shared" si="140"/>
        <v>20250000</v>
      </c>
      <c r="AK626" s="1425">
        <f t="shared" si="144"/>
        <v>0</v>
      </c>
      <c r="AL626" s="1426" t="str">
        <f t="shared" si="145"/>
        <v>Lunas</v>
      </c>
      <c r="AM626" s="1410"/>
      <c r="AN626" s="1411"/>
      <c r="AO626" s="1410"/>
      <c r="AP626" s="1411"/>
      <c r="AQ626" s="1128"/>
      <c r="AR626" s="1173"/>
      <c r="AT626" s="1173"/>
      <c r="AV626" s="1173"/>
      <c r="AX626" s="1173"/>
      <c r="AY626" s="1176"/>
      <c r="AZ626" s="1173"/>
    </row>
    <row r="627" spans="1:52" s="2" customFormat="1" x14ac:dyDescent="0.25">
      <c r="A627" s="156">
        <v>596</v>
      </c>
      <c r="B627" s="157">
        <v>4</v>
      </c>
      <c r="C627" s="159">
        <v>849113022</v>
      </c>
      <c r="D627" s="158" t="s">
        <v>1073</v>
      </c>
      <c r="E627" s="160" t="s">
        <v>1070</v>
      </c>
      <c r="F627" s="161">
        <v>2013</v>
      </c>
      <c r="G627" s="162" t="s">
        <v>33</v>
      </c>
      <c r="H627" s="163" t="str">
        <f t="shared" si="137"/>
        <v xml:space="preserve">   </v>
      </c>
      <c r="I627" s="163">
        <f t="shared" si="138"/>
        <v>42329</v>
      </c>
      <c r="J627" s="1356">
        <v>1250000</v>
      </c>
      <c r="K627" s="1357"/>
      <c r="L627" s="1358">
        <v>3000000</v>
      </c>
      <c r="M627" s="1357">
        <v>41438</v>
      </c>
      <c r="N627" s="1358">
        <v>3000000</v>
      </c>
      <c r="O627" s="1357">
        <v>41673</v>
      </c>
      <c r="P627" s="1358">
        <v>3000000</v>
      </c>
      <c r="Q627" s="1357">
        <v>41874</v>
      </c>
      <c r="R627" s="1358">
        <v>3000000</v>
      </c>
      <c r="S627" s="1357">
        <v>42044</v>
      </c>
      <c r="T627" s="1382" t="s">
        <v>276</v>
      </c>
      <c r="U627" s="1383">
        <v>42329</v>
      </c>
      <c r="V627" s="1384"/>
      <c r="W627" s="1363"/>
      <c r="X627" s="1384"/>
      <c r="Y627" s="1363"/>
      <c r="Z627" s="1384"/>
      <c r="AA627" s="1363"/>
      <c r="AB627" s="1385">
        <v>1000000</v>
      </c>
      <c r="AC627" s="1357">
        <v>42044</v>
      </c>
      <c r="AD627" s="1402"/>
      <c r="AE627" s="1405"/>
      <c r="AF627" s="1406"/>
      <c r="AG627" s="1422"/>
      <c r="AH627" s="1423" t="str">
        <f t="shared" si="131"/>
        <v>MPI-S2</v>
      </c>
      <c r="AI627" s="1424">
        <f t="shared" si="143"/>
        <v>14250000</v>
      </c>
      <c r="AJ627" s="1424">
        <f t="shared" si="140"/>
        <v>14250000</v>
      </c>
      <c r="AK627" s="1425">
        <f t="shared" si="144"/>
        <v>0</v>
      </c>
      <c r="AL627" s="1426" t="str">
        <f t="shared" si="145"/>
        <v>Lunas</v>
      </c>
      <c r="AM627" s="1410"/>
      <c r="AN627" s="1411"/>
      <c r="AO627" s="1410"/>
      <c r="AP627" s="1411"/>
      <c r="AQ627" s="1128"/>
      <c r="AR627" s="1173"/>
      <c r="AT627" s="1173"/>
      <c r="AV627" s="1173"/>
      <c r="AX627" s="1173"/>
      <c r="AY627" s="1176"/>
      <c r="AZ627" s="1173"/>
    </row>
    <row r="628" spans="1:52" s="2" customFormat="1" x14ac:dyDescent="0.25">
      <c r="A628" s="156">
        <v>597</v>
      </c>
      <c r="B628" s="157">
        <v>5</v>
      </c>
      <c r="C628" s="159">
        <v>849113035</v>
      </c>
      <c r="D628" s="158" t="s">
        <v>1074</v>
      </c>
      <c r="E628" s="160" t="s">
        <v>1070</v>
      </c>
      <c r="F628" s="161">
        <v>2013</v>
      </c>
      <c r="G628" s="162" t="s">
        <v>33</v>
      </c>
      <c r="H628" s="163" t="str">
        <f t="shared" si="137"/>
        <v xml:space="preserve">   </v>
      </c>
      <c r="I628" s="163">
        <f t="shared" si="138"/>
        <v>42329</v>
      </c>
      <c r="J628" s="1356">
        <v>1250000</v>
      </c>
      <c r="K628" s="1357">
        <v>41564</v>
      </c>
      <c r="L628" s="1358">
        <v>3000000</v>
      </c>
      <c r="M628" s="1357">
        <v>41438</v>
      </c>
      <c r="N628" s="1358">
        <v>3000000</v>
      </c>
      <c r="O628" s="1357">
        <v>41736</v>
      </c>
      <c r="P628" s="1358">
        <v>3000000</v>
      </c>
      <c r="Q628" s="1357">
        <v>41859</v>
      </c>
      <c r="R628" s="1358">
        <v>3000000</v>
      </c>
      <c r="S628" s="1357">
        <v>42041</v>
      </c>
      <c r="T628" s="1382" t="s">
        <v>276</v>
      </c>
      <c r="U628" s="1383">
        <v>42329</v>
      </c>
      <c r="V628" s="1384"/>
      <c r="W628" s="1363"/>
      <c r="X628" s="1384"/>
      <c r="Y628" s="1363"/>
      <c r="Z628" s="1384"/>
      <c r="AA628" s="1363"/>
      <c r="AB628" s="1385">
        <v>1000000</v>
      </c>
      <c r="AC628" s="1357">
        <v>42157</v>
      </c>
      <c r="AD628" s="1402"/>
      <c r="AE628" s="1405"/>
      <c r="AF628" s="1406"/>
      <c r="AG628" s="1422"/>
      <c r="AH628" s="1423" t="str">
        <f t="shared" si="131"/>
        <v>MPI-S2</v>
      </c>
      <c r="AI628" s="1424">
        <f t="shared" si="143"/>
        <v>14250000</v>
      </c>
      <c r="AJ628" s="1424">
        <f t="shared" si="140"/>
        <v>14250000</v>
      </c>
      <c r="AK628" s="1425">
        <f t="shared" si="144"/>
        <v>0</v>
      </c>
      <c r="AL628" s="1426" t="str">
        <f t="shared" si="145"/>
        <v>Lunas</v>
      </c>
      <c r="AM628" s="1410"/>
      <c r="AN628" s="1411"/>
      <c r="AO628" s="1410"/>
      <c r="AP628" s="1411"/>
      <c r="AQ628" s="1128"/>
      <c r="AR628" s="1173"/>
      <c r="AT628" s="1173"/>
      <c r="AV628" s="1173"/>
      <c r="AX628" s="1173"/>
      <c r="AY628" s="1176"/>
      <c r="AZ628" s="1173"/>
    </row>
    <row r="629" spans="1:52" s="2" customFormat="1" x14ac:dyDescent="0.25">
      <c r="A629" s="156">
        <v>598</v>
      </c>
      <c r="B629" s="157">
        <v>6</v>
      </c>
      <c r="C629" s="159">
        <v>849113024</v>
      </c>
      <c r="D629" s="158" t="s">
        <v>1075</v>
      </c>
      <c r="E629" s="160" t="s">
        <v>1070</v>
      </c>
      <c r="F629" s="161">
        <v>2013</v>
      </c>
      <c r="G629" s="162" t="s">
        <v>33</v>
      </c>
      <c r="H629" s="163">
        <f t="shared" si="137"/>
        <v>42693</v>
      </c>
      <c r="I629" s="163">
        <f t="shared" si="138"/>
        <v>42693</v>
      </c>
      <c r="J629" s="1356">
        <v>1250000</v>
      </c>
      <c r="K629" s="1357">
        <v>41425</v>
      </c>
      <c r="L629" s="1358">
        <v>3000000</v>
      </c>
      <c r="M629" s="1357">
        <v>41425</v>
      </c>
      <c r="N629" s="1358">
        <v>3000000</v>
      </c>
      <c r="O629" s="1357">
        <v>41677</v>
      </c>
      <c r="P629" s="1358">
        <v>3000000</v>
      </c>
      <c r="Q629" s="1357">
        <v>41688</v>
      </c>
      <c r="R629" s="1358">
        <v>3000000</v>
      </c>
      <c r="S629" s="1357">
        <v>42089</v>
      </c>
      <c r="T629" s="1358">
        <v>3000000</v>
      </c>
      <c r="U629" s="1357">
        <v>42466</v>
      </c>
      <c r="V629" s="1385">
        <v>3000000</v>
      </c>
      <c r="W629" s="1357">
        <v>42466</v>
      </c>
      <c r="X629" s="1384"/>
      <c r="Y629" s="1363"/>
      <c r="Z629" s="1384"/>
      <c r="AA629" s="1363"/>
      <c r="AB629" s="1389">
        <v>1000000</v>
      </c>
      <c r="AC629" s="1360">
        <v>42053</v>
      </c>
      <c r="AD629" s="1402"/>
      <c r="AE629" s="1405"/>
      <c r="AF629" s="1406"/>
      <c r="AG629" s="1422"/>
      <c r="AH629" s="1423" t="str">
        <f t="shared" si="131"/>
        <v>MPI-S2</v>
      </c>
      <c r="AI629" s="1424">
        <f t="shared" si="143"/>
        <v>20250000</v>
      </c>
      <c r="AJ629" s="1424">
        <f t="shared" si="140"/>
        <v>20250000</v>
      </c>
      <c r="AK629" s="1425">
        <f t="shared" si="144"/>
        <v>0</v>
      </c>
      <c r="AL629" s="1426" t="str">
        <f t="shared" si="145"/>
        <v>Lunas</v>
      </c>
      <c r="AM629" s="1410"/>
      <c r="AN629" s="1411"/>
      <c r="AO629" s="1410"/>
      <c r="AP629" s="1411"/>
      <c r="AQ629" s="1128"/>
      <c r="AR629" s="1173"/>
      <c r="AT629" s="1173"/>
      <c r="AV629" s="1173"/>
      <c r="AX629" s="1173"/>
      <c r="AY629" s="1176"/>
      <c r="AZ629" s="1173"/>
    </row>
    <row r="630" spans="1:52" s="2" customFormat="1" x14ac:dyDescent="0.25">
      <c r="A630" s="164">
        <v>599</v>
      </c>
      <c r="B630" s="165">
        <v>7</v>
      </c>
      <c r="C630" s="167">
        <v>849113026</v>
      </c>
      <c r="D630" s="166" t="s">
        <v>1076</v>
      </c>
      <c r="E630" s="168" t="s">
        <v>1070</v>
      </c>
      <c r="F630" s="169">
        <v>2013</v>
      </c>
      <c r="G630" s="170" t="s">
        <v>1077</v>
      </c>
      <c r="H630" s="171" t="str">
        <f t="shared" si="137"/>
        <v xml:space="preserve">   </v>
      </c>
      <c r="I630" s="171" t="str">
        <f t="shared" si="138"/>
        <v xml:space="preserve">   </v>
      </c>
      <c r="J630" s="1359">
        <v>1250000</v>
      </c>
      <c r="K630" s="1360">
        <v>41439</v>
      </c>
      <c r="L630" s="1361"/>
      <c r="M630" s="1362" t="s">
        <v>475</v>
      </c>
      <c r="N630" s="1361"/>
      <c r="O630" s="1362" t="s">
        <v>475</v>
      </c>
      <c r="P630" s="1363">
        <v>3000000</v>
      </c>
      <c r="Q630" s="1386">
        <v>42481</v>
      </c>
      <c r="R630" s="1387" t="s">
        <v>1078</v>
      </c>
      <c r="S630" s="1386">
        <v>42192</v>
      </c>
      <c r="T630" s="1388" t="s">
        <v>1078</v>
      </c>
      <c r="U630" s="1386">
        <v>42488</v>
      </c>
      <c r="V630" s="1384"/>
      <c r="W630" s="1363"/>
      <c r="X630" s="1389">
        <v>3000000</v>
      </c>
      <c r="Y630" s="1360">
        <v>42825</v>
      </c>
      <c r="Z630" s="1384"/>
      <c r="AA630" s="1363"/>
      <c r="AB630" s="1389">
        <v>1000000</v>
      </c>
      <c r="AC630" s="1360">
        <v>1000000</v>
      </c>
      <c r="AD630" s="1402"/>
      <c r="AE630" s="1405"/>
      <c r="AF630" s="1406"/>
      <c r="AG630" s="1422"/>
      <c r="AH630" s="1423" t="str">
        <f t="shared" si="131"/>
        <v>MPI-S2</v>
      </c>
      <c r="AI630" s="1427">
        <f t="shared" si="143"/>
        <v>8250000</v>
      </c>
      <c r="AJ630" s="1427">
        <f t="shared" si="140"/>
        <v>8250000</v>
      </c>
      <c r="AK630" s="1427">
        <f t="shared" si="144"/>
        <v>0</v>
      </c>
      <c r="AL630" s="1428" t="s">
        <v>1077</v>
      </c>
      <c r="AM630" s="1410"/>
      <c r="AN630" s="1411"/>
      <c r="AO630" s="1410"/>
      <c r="AP630" s="1411"/>
      <c r="AQ630" s="1128"/>
      <c r="AR630" s="1173"/>
      <c r="AT630" s="1173"/>
      <c r="AV630" s="1173"/>
      <c r="AX630" s="1173"/>
      <c r="AY630" s="1176"/>
      <c r="AZ630" s="1173"/>
    </row>
    <row r="631" spans="1:52" s="2" customFormat="1" x14ac:dyDescent="0.25">
      <c r="A631" s="172">
        <v>600</v>
      </c>
      <c r="B631" s="157">
        <v>8</v>
      </c>
      <c r="C631" s="159">
        <v>849113036</v>
      </c>
      <c r="D631" s="158" t="s">
        <v>1079</v>
      </c>
      <c r="E631" s="160" t="s">
        <v>1070</v>
      </c>
      <c r="F631" s="161">
        <v>2013</v>
      </c>
      <c r="G631" s="160" t="s">
        <v>33</v>
      </c>
      <c r="H631" s="163">
        <f t="shared" si="137"/>
        <v>42838</v>
      </c>
      <c r="I631" s="163">
        <f t="shared" si="138"/>
        <v>43750</v>
      </c>
      <c r="J631" s="1356">
        <v>1250000</v>
      </c>
      <c r="K631" s="1357" t="s">
        <v>61</v>
      </c>
      <c r="L631" s="1358">
        <v>3000000</v>
      </c>
      <c r="M631" s="1357">
        <v>41423</v>
      </c>
      <c r="N631" s="1358">
        <v>3000000</v>
      </c>
      <c r="O631" s="1357">
        <v>41677</v>
      </c>
      <c r="P631" s="1358">
        <v>3000000</v>
      </c>
      <c r="Q631" s="1357">
        <v>41858</v>
      </c>
      <c r="R631" s="1358">
        <v>3000000</v>
      </c>
      <c r="S631" s="1357">
        <v>42041</v>
      </c>
      <c r="T631" s="1358">
        <v>3000000</v>
      </c>
      <c r="U631" s="1357">
        <v>42579</v>
      </c>
      <c r="V631" s="1358">
        <v>3000000</v>
      </c>
      <c r="W631" s="1357">
        <v>42579</v>
      </c>
      <c r="X631" s="1385">
        <v>3000000</v>
      </c>
      <c r="Y631" s="1357">
        <v>42817</v>
      </c>
      <c r="Z631" s="1385">
        <v>3000000</v>
      </c>
      <c r="AA631" s="1390" t="s">
        <v>1080</v>
      </c>
      <c r="AB631" s="1385">
        <v>1000000</v>
      </c>
      <c r="AC631" s="1357">
        <v>42041</v>
      </c>
      <c r="AD631" s="1402"/>
      <c r="AE631" s="1405"/>
      <c r="AF631" s="1406"/>
      <c r="AG631" s="1422"/>
      <c r="AH631" s="1423" t="str">
        <f t="shared" si="131"/>
        <v>MPI-S2</v>
      </c>
      <c r="AI631" s="1424">
        <f t="shared" si="143"/>
        <v>26250000</v>
      </c>
      <c r="AJ631" s="1424">
        <f t="shared" si="140"/>
        <v>26250000</v>
      </c>
      <c r="AK631" s="1425">
        <f t="shared" si="144"/>
        <v>0</v>
      </c>
      <c r="AL631" s="1426" t="str">
        <f t="shared" si="145"/>
        <v>Lunas</v>
      </c>
      <c r="AM631" s="1410"/>
      <c r="AN631" s="1411"/>
      <c r="AO631" s="1410"/>
      <c r="AP631" s="1411"/>
      <c r="AQ631" s="1128"/>
      <c r="AR631" s="1173"/>
      <c r="AT631" s="1173"/>
      <c r="AV631" s="1173"/>
      <c r="AX631" s="1173"/>
      <c r="AY631" s="1176"/>
      <c r="AZ631" s="1173"/>
    </row>
    <row r="632" spans="1:52" s="2" customFormat="1" x14ac:dyDescent="0.25">
      <c r="A632" s="172">
        <v>601</v>
      </c>
      <c r="B632" s="157">
        <v>9</v>
      </c>
      <c r="C632" s="159">
        <v>849113012</v>
      </c>
      <c r="D632" s="158" t="s">
        <v>1081</v>
      </c>
      <c r="E632" s="160" t="s">
        <v>1070</v>
      </c>
      <c r="F632" s="161">
        <v>2013</v>
      </c>
      <c r="G632" s="160" t="s">
        <v>33</v>
      </c>
      <c r="H632" s="163" t="str">
        <f t="shared" si="137"/>
        <v xml:space="preserve">   </v>
      </c>
      <c r="I632" s="163">
        <f t="shared" si="138"/>
        <v>42329</v>
      </c>
      <c r="J632" s="1364">
        <v>1250000</v>
      </c>
      <c r="K632" s="1365"/>
      <c r="L632" s="1358">
        <v>3000000</v>
      </c>
      <c r="M632" s="1357">
        <v>41439</v>
      </c>
      <c r="N632" s="1358">
        <v>3000000</v>
      </c>
      <c r="O632" s="1357">
        <v>41680</v>
      </c>
      <c r="P632" s="1358">
        <v>3000000</v>
      </c>
      <c r="Q632" s="1357">
        <v>41859</v>
      </c>
      <c r="R632" s="1358">
        <v>3000000</v>
      </c>
      <c r="S632" s="1357">
        <v>42061</v>
      </c>
      <c r="T632" s="1382" t="s">
        <v>276</v>
      </c>
      <c r="U632" s="1383">
        <v>42329</v>
      </c>
      <c r="V632" s="1384"/>
      <c r="W632" s="1363"/>
      <c r="X632" s="1384"/>
      <c r="Y632" s="1363"/>
      <c r="Z632" s="1384"/>
      <c r="AA632" s="1363"/>
      <c r="AB632" s="1385">
        <v>1000000</v>
      </c>
      <c r="AC632" s="1357">
        <v>42041</v>
      </c>
      <c r="AD632" s="1402"/>
      <c r="AE632" s="1405"/>
      <c r="AF632" s="1406"/>
      <c r="AG632" s="1422"/>
      <c r="AH632" s="1423" t="str">
        <f t="shared" si="131"/>
        <v>MPI-S2</v>
      </c>
      <c r="AI632" s="1424">
        <f t="shared" si="143"/>
        <v>14250000</v>
      </c>
      <c r="AJ632" s="1424">
        <f t="shared" si="140"/>
        <v>14250000</v>
      </c>
      <c r="AK632" s="1425">
        <f t="shared" si="144"/>
        <v>0</v>
      </c>
      <c r="AL632" s="1426" t="str">
        <f t="shared" si="145"/>
        <v>Lunas</v>
      </c>
      <c r="AM632" s="1410"/>
      <c r="AN632" s="1411"/>
      <c r="AO632" s="1410"/>
      <c r="AP632" s="1411"/>
      <c r="AQ632" s="1128"/>
      <c r="AR632" s="1173"/>
      <c r="AT632" s="1173"/>
      <c r="AV632" s="1173"/>
      <c r="AX632" s="1173"/>
      <c r="AY632" s="1176"/>
      <c r="AZ632" s="1173"/>
    </row>
    <row r="633" spans="1:52" s="2" customFormat="1" x14ac:dyDescent="0.25">
      <c r="A633" s="172">
        <v>602</v>
      </c>
      <c r="B633" s="157">
        <v>10</v>
      </c>
      <c r="C633" s="159">
        <v>849113006</v>
      </c>
      <c r="D633" s="158" t="s">
        <v>1082</v>
      </c>
      <c r="E633" s="160" t="s">
        <v>1070</v>
      </c>
      <c r="F633" s="161">
        <v>2013</v>
      </c>
      <c r="G633" s="160" t="s">
        <v>33</v>
      </c>
      <c r="H633" s="163" t="str">
        <f t="shared" si="137"/>
        <v xml:space="preserve">   </v>
      </c>
      <c r="I633" s="163">
        <f t="shared" si="138"/>
        <v>42329</v>
      </c>
      <c r="J633" s="1364">
        <v>1250000</v>
      </c>
      <c r="K633" s="1365"/>
      <c r="L633" s="1358">
        <v>3000000</v>
      </c>
      <c r="M633" s="1357">
        <v>41421</v>
      </c>
      <c r="N633" s="1358">
        <v>3000000</v>
      </c>
      <c r="O633" s="1357">
        <v>41663</v>
      </c>
      <c r="P633" s="1358">
        <v>3000000</v>
      </c>
      <c r="Q633" s="1357">
        <v>41654</v>
      </c>
      <c r="R633" s="1358">
        <v>3000000</v>
      </c>
      <c r="S633" s="1357">
        <v>42039</v>
      </c>
      <c r="T633" s="1382" t="s">
        <v>276</v>
      </c>
      <c r="U633" s="1383">
        <v>42329</v>
      </c>
      <c r="V633" s="1384"/>
      <c r="W633" s="1363"/>
      <c r="X633" s="1384"/>
      <c r="Y633" s="1363"/>
      <c r="Z633" s="1384"/>
      <c r="AA633" s="1363"/>
      <c r="AB633" s="1385">
        <v>1000000</v>
      </c>
      <c r="AC633" s="1357">
        <v>42132</v>
      </c>
      <c r="AD633" s="1402"/>
      <c r="AE633" s="1405"/>
      <c r="AF633" s="1406"/>
      <c r="AG633" s="1422"/>
      <c r="AH633" s="1423" t="str">
        <f t="shared" si="131"/>
        <v>MPI-S2</v>
      </c>
      <c r="AI633" s="1424">
        <f t="shared" si="143"/>
        <v>14250000</v>
      </c>
      <c r="AJ633" s="1424">
        <f t="shared" si="140"/>
        <v>14250000</v>
      </c>
      <c r="AK633" s="1425">
        <f t="shared" si="144"/>
        <v>0</v>
      </c>
      <c r="AL633" s="1426" t="str">
        <f t="shared" si="145"/>
        <v>Lunas</v>
      </c>
      <c r="AM633" s="1410"/>
      <c r="AN633" s="1411"/>
      <c r="AO633" s="1410"/>
      <c r="AP633" s="1411"/>
      <c r="AQ633" s="1128"/>
      <c r="AR633" s="1173"/>
      <c r="AT633" s="1173"/>
      <c r="AV633" s="1173"/>
      <c r="AX633" s="1173"/>
      <c r="AY633" s="1176"/>
      <c r="AZ633" s="1173"/>
    </row>
    <row r="634" spans="1:52" s="2" customFormat="1" x14ac:dyDescent="0.25">
      <c r="A634" s="172">
        <v>603</v>
      </c>
      <c r="B634" s="157">
        <v>11</v>
      </c>
      <c r="C634" s="159">
        <v>849113005</v>
      </c>
      <c r="D634" s="158" t="s">
        <v>1083</v>
      </c>
      <c r="E634" s="160" t="s">
        <v>1070</v>
      </c>
      <c r="F634" s="161">
        <v>2013</v>
      </c>
      <c r="G634" s="160" t="s">
        <v>33</v>
      </c>
      <c r="H634" s="163">
        <f t="shared" si="137"/>
        <v>42326</v>
      </c>
      <c r="I634" s="163">
        <f t="shared" si="138"/>
        <v>42329</v>
      </c>
      <c r="J634" s="1364">
        <v>1250000</v>
      </c>
      <c r="K634" s="1365"/>
      <c r="L634" s="1358">
        <v>3000000</v>
      </c>
      <c r="M634" s="1357">
        <v>41423</v>
      </c>
      <c r="N634" s="1358">
        <v>3000000</v>
      </c>
      <c r="O634" s="1357">
        <v>41675</v>
      </c>
      <c r="P634" s="1358">
        <v>3000000</v>
      </c>
      <c r="Q634" s="1357">
        <v>41857</v>
      </c>
      <c r="R634" s="1358">
        <v>3000000</v>
      </c>
      <c r="S634" s="1357">
        <v>42041</v>
      </c>
      <c r="T634" s="1382" t="s">
        <v>276</v>
      </c>
      <c r="U634" s="1383">
        <v>42329</v>
      </c>
      <c r="V634" s="1384"/>
      <c r="W634" s="1363"/>
      <c r="X634" s="1384"/>
      <c r="Y634" s="1363"/>
      <c r="Z634" s="1384"/>
      <c r="AA634" s="1363"/>
      <c r="AB634" s="1385">
        <v>1000000</v>
      </c>
      <c r="AC634" s="1357">
        <v>42039</v>
      </c>
      <c r="AD634" s="1402"/>
      <c r="AE634" s="1405"/>
      <c r="AF634" s="1406"/>
      <c r="AG634" s="1422"/>
      <c r="AH634" s="1423" t="str">
        <f t="shared" si="131"/>
        <v>MPI-S2</v>
      </c>
      <c r="AI634" s="1424">
        <f t="shared" si="143"/>
        <v>14250000</v>
      </c>
      <c r="AJ634" s="1424">
        <f t="shared" si="140"/>
        <v>14250000</v>
      </c>
      <c r="AK634" s="1425">
        <f t="shared" si="144"/>
        <v>0</v>
      </c>
      <c r="AL634" s="1426" t="str">
        <f t="shared" si="145"/>
        <v>Lunas</v>
      </c>
      <c r="AM634" s="1410"/>
      <c r="AN634" s="1411"/>
      <c r="AO634" s="1410"/>
      <c r="AP634" s="1411"/>
      <c r="AQ634" s="1128"/>
      <c r="AR634" s="1173"/>
      <c r="AT634" s="1173"/>
      <c r="AV634" s="1173"/>
      <c r="AX634" s="1173"/>
      <c r="AY634" s="1176"/>
      <c r="AZ634" s="1173"/>
    </row>
    <row r="635" spans="1:52" s="2" customFormat="1" x14ac:dyDescent="0.25">
      <c r="A635" s="172">
        <v>604</v>
      </c>
      <c r="B635" s="157">
        <v>12</v>
      </c>
      <c r="C635" s="159">
        <v>849113011</v>
      </c>
      <c r="D635" s="158" t="s">
        <v>1084</v>
      </c>
      <c r="E635" s="160" t="s">
        <v>1070</v>
      </c>
      <c r="F635" s="161">
        <v>2013</v>
      </c>
      <c r="G635" s="160" t="s">
        <v>33</v>
      </c>
      <c r="H635" s="163" t="str">
        <f t="shared" si="137"/>
        <v xml:space="preserve">   </v>
      </c>
      <c r="I635" s="163">
        <f t="shared" si="138"/>
        <v>42329</v>
      </c>
      <c r="J635" s="1364">
        <v>1250000</v>
      </c>
      <c r="K635" s="1365"/>
      <c r="L635" s="1358">
        <v>3000000</v>
      </c>
      <c r="M635" s="1357">
        <v>41424</v>
      </c>
      <c r="N635" s="1358">
        <v>3000000</v>
      </c>
      <c r="O635" s="1357">
        <v>41680</v>
      </c>
      <c r="P635" s="1358">
        <v>3000000</v>
      </c>
      <c r="Q635" s="1357">
        <v>41856</v>
      </c>
      <c r="R635" s="1358">
        <v>3000000</v>
      </c>
      <c r="S635" s="1357">
        <v>42060</v>
      </c>
      <c r="T635" s="1382" t="s">
        <v>276</v>
      </c>
      <c r="U635" s="1383">
        <v>42329</v>
      </c>
      <c r="V635" s="1384"/>
      <c r="W635" s="1363"/>
      <c r="X635" s="1384"/>
      <c r="Y635" s="1363"/>
      <c r="Z635" s="1384"/>
      <c r="AA635" s="1363"/>
      <c r="AB635" s="1385">
        <v>1000000</v>
      </c>
      <c r="AC635" s="1357">
        <v>42072</v>
      </c>
      <c r="AD635" s="1402"/>
      <c r="AE635" s="1405"/>
      <c r="AF635" s="1406"/>
      <c r="AG635" s="1422"/>
      <c r="AH635" s="1423" t="str">
        <f t="shared" si="131"/>
        <v>MPI-S2</v>
      </c>
      <c r="AI635" s="1424">
        <f t="shared" si="143"/>
        <v>14250000</v>
      </c>
      <c r="AJ635" s="1424">
        <f t="shared" si="140"/>
        <v>14250000</v>
      </c>
      <c r="AK635" s="1425">
        <f t="shared" si="144"/>
        <v>0</v>
      </c>
      <c r="AL635" s="1426" t="str">
        <f t="shared" si="145"/>
        <v>Lunas</v>
      </c>
      <c r="AM635" s="1410"/>
      <c r="AN635" s="1411"/>
      <c r="AO635" s="1410"/>
      <c r="AP635" s="1411"/>
      <c r="AQ635" s="1128"/>
      <c r="AR635" s="1173"/>
      <c r="AT635" s="1173"/>
      <c r="AV635" s="1173"/>
      <c r="AX635" s="1173"/>
      <c r="AY635" s="1176"/>
      <c r="AZ635" s="1173"/>
    </row>
    <row r="636" spans="1:52" s="2" customFormat="1" x14ac:dyDescent="0.25">
      <c r="A636" s="172">
        <v>605</v>
      </c>
      <c r="B636" s="157">
        <v>13</v>
      </c>
      <c r="C636" s="159">
        <v>849113017</v>
      </c>
      <c r="D636" s="158" t="s">
        <v>1085</v>
      </c>
      <c r="E636" s="160" t="s">
        <v>1070</v>
      </c>
      <c r="F636" s="161">
        <v>2013</v>
      </c>
      <c r="G636" s="160" t="s">
        <v>33</v>
      </c>
      <c r="H636" s="163" t="str">
        <f t="shared" si="137"/>
        <v xml:space="preserve">   </v>
      </c>
      <c r="I636" s="163">
        <f t="shared" si="138"/>
        <v>42504</v>
      </c>
      <c r="J636" s="1364">
        <v>1250000</v>
      </c>
      <c r="K636" s="1365"/>
      <c r="L636" s="1358">
        <v>3000000</v>
      </c>
      <c r="M636" s="1357">
        <v>41436</v>
      </c>
      <c r="N636" s="1358">
        <v>3000000</v>
      </c>
      <c r="O636" s="1357">
        <v>41751</v>
      </c>
      <c r="P636" s="1358">
        <v>3000000</v>
      </c>
      <c r="Q636" s="1357">
        <v>42072</v>
      </c>
      <c r="R636" s="1358">
        <v>3000000</v>
      </c>
      <c r="S636" s="1357">
        <v>42072</v>
      </c>
      <c r="T636" s="1358">
        <v>3000000</v>
      </c>
      <c r="U636" s="1357">
        <v>42300</v>
      </c>
      <c r="V636" s="1382" t="s">
        <v>276</v>
      </c>
      <c r="W636" s="1390">
        <v>42504</v>
      </c>
      <c r="X636" s="1384"/>
      <c r="Y636" s="1363"/>
      <c r="Z636" s="1384"/>
      <c r="AA636" s="1363"/>
      <c r="AB636" s="1385">
        <v>1000000</v>
      </c>
      <c r="AC636" s="1357">
        <v>42300</v>
      </c>
      <c r="AD636" s="1402"/>
      <c r="AE636" s="1405"/>
      <c r="AF636" s="1406"/>
      <c r="AG636" s="1422"/>
      <c r="AH636" s="1423" t="str">
        <f t="shared" si="131"/>
        <v>MPI-S2</v>
      </c>
      <c r="AI636" s="1424">
        <f t="shared" si="143"/>
        <v>17250000</v>
      </c>
      <c r="AJ636" s="1424">
        <f t="shared" si="140"/>
        <v>17250000</v>
      </c>
      <c r="AK636" s="1425">
        <f t="shared" si="144"/>
        <v>0</v>
      </c>
      <c r="AL636" s="1426" t="str">
        <f t="shared" si="145"/>
        <v>Lunas</v>
      </c>
      <c r="AM636" s="1410"/>
      <c r="AN636" s="1411"/>
      <c r="AO636" s="1410"/>
      <c r="AP636" s="1411"/>
      <c r="AQ636" s="1128"/>
      <c r="AR636" s="1173"/>
      <c r="AT636" s="1173"/>
      <c r="AV636" s="1173"/>
      <c r="AX636" s="1173"/>
      <c r="AY636" s="1176"/>
      <c r="AZ636" s="1173"/>
    </row>
    <row r="637" spans="1:52" s="2" customFormat="1" x14ac:dyDescent="0.25">
      <c r="A637" s="172">
        <v>606</v>
      </c>
      <c r="B637" s="157">
        <v>14</v>
      </c>
      <c r="C637" s="159">
        <v>849113002</v>
      </c>
      <c r="D637" s="158" t="s">
        <v>1086</v>
      </c>
      <c r="E637" s="160" t="s">
        <v>1070</v>
      </c>
      <c r="F637" s="161">
        <v>2013</v>
      </c>
      <c r="G637" s="160" t="s">
        <v>33</v>
      </c>
      <c r="H637" s="163" t="str">
        <f t="shared" si="137"/>
        <v xml:space="preserve">   </v>
      </c>
      <c r="I637" s="163">
        <f t="shared" si="138"/>
        <v>42329</v>
      </c>
      <c r="J637" s="1364">
        <v>1250000</v>
      </c>
      <c r="K637" s="1365"/>
      <c r="L637" s="1358">
        <v>3000000</v>
      </c>
      <c r="M637" s="1357">
        <v>41422</v>
      </c>
      <c r="N637" s="1358">
        <v>3000000</v>
      </c>
      <c r="O637" s="1357">
        <v>41674</v>
      </c>
      <c r="P637" s="1358">
        <v>3000000</v>
      </c>
      <c r="Q637" s="1357">
        <v>41856</v>
      </c>
      <c r="R637" s="1358">
        <v>3000000</v>
      </c>
      <c r="S637" s="1357">
        <v>42124</v>
      </c>
      <c r="T637" s="1382" t="s">
        <v>276</v>
      </c>
      <c r="U637" s="1383">
        <v>42329</v>
      </c>
      <c r="V637" s="1384"/>
      <c r="W637" s="1363"/>
      <c r="X637" s="1384"/>
      <c r="Y637" s="1363"/>
      <c r="Z637" s="1384"/>
      <c r="AA637" s="1363"/>
      <c r="AB637" s="1385">
        <v>1000000</v>
      </c>
      <c r="AC637" s="1357">
        <v>42280</v>
      </c>
      <c r="AD637" s="1402"/>
      <c r="AE637" s="1405"/>
      <c r="AF637" s="1406"/>
      <c r="AG637" s="1422"/>
      <c r="AH637" s="1423" t="str">
        <f t="shared" si="131"/>
        <v>MPI-S2</v>
      </c>
      <c r="AI637" s="1424">
        <f t="shared" si="143"/>
        <v>14250000</v>
      </c>
      <c r="AJ637" s="1424">
        <f t="shared" si="140"/>
        <v>14250000</v>
      </c>
      <c r="AK637" s="1425">
        <f t="shared" si="144"/>
        <v>0</v>
      </c>
      <c r="AL637" s="1426" t="str">
        <f t="shared" si="145"/>
        <v>Lunas</v>
      </c>
      <c r="AM637" s="1410"/>
      <c r="AN637" s="1411"/>
      <c r="AO637" s="1410"/>
      <c r="AP637" s="1411"/>
      <c r="AQ637" s="1128"/>
      <c r="AR637" s="1173"/>
      <c r="AT637" s="1173"/>
      <c r="AV637" s="1173"/>
      <c r="AX637" s="1173"/>
      <c r="AY637" s="1176"/>
      <c r="AZ637" s="1173"/>
    </row>
    <row r="638" spans="1:52" s="2" customFormat="1" x14ac:dyDescent="0.25">
      <c r="A638" s="164">
        <v>607</v>
      </c>
      <c r="B638" s="165">
        <v>15</v>
      </c>
      <c r="C638" s="174">
        <v>849113010</v>
      </c>
      <c r="D638" s="173" t="s">
        <v>1087</v>
      </c>
      <c r="E638" s="168" t="s">
        <v>1070</v>
      </c>
      <c r="F638" s="175">
        <v>2013</v>
      </c>
      <c r="G638" s="170" t="s">
        <v>1077</v>
      </c>
      <c r="H638" s="171" t="str">
        <f t="shared" si="137"/>
        <v xml:space="preserve">   </v>
      </c>
      <c r="I638" s="171" t="str">
        <f t="shared" si="138"/>
        <v xml:space="preserve">   </v>
      </c>
      <c r="J638" s="1366">
        <v>1250000</v>
      </c>
      <c r="K638" s="1360"/>
      <c r="L638" s="1363">
        <v>3000000</v>
      </c>
      <c r="M638" s="1367">
        <v>41424</v>
      </c>
      <c r="N638" s="1363">
        <v>3000000</v>
      </c>
      <c r="O638" s="1367">
        <v>41677</v>
      </c>
      <c r="P638" s="1363">
        <v>3000000</v>
      </c>
      <c r="Q638" s="1367">
        <v>41859</v>
      </c>
      <c r="R638" s="1363">
        <v>3000000</v>
      </c>
      <c r="S638" s="1367">
        <v>42059</v>
      </c>
      <c r="T638" s="1391"/>
      <c r="U638" s="1363"/>
      <c r="V638" s="1384"/>
      <c r="W638" s="1363"/>
      <c r="X638" s="1384"/>
      <c r="Y638" s="1363"/>
      <c r="Z638" s="1384"/>
      <c r="AA638" s="1363"/>
      <c r="AB638" s="1389">
        <v>1000000</v>
      </c>
      <c r="AC638" s="1360">
        <v>42059</v>
      </c>
      <c r="AD638" s="1402"/>
      <c r="AE638" s="1405"/>
      <c r="AF638" s="1406"/>
      <c r="AG638" s="1422"/>
      <c r="AH638" s="1423" t="str">
        <f t="shared" si="131"/>
        <v>MPI-S2</v>
      </c>
      <c r="AI638" s="1427">
        <f t="shared" si="143"/>
        <v>14250000</v>
      </c>
      <c r="AJ638" s="1427">
        <f t="shared" si="140"/>
        <v>14250000</v>
      </c>
      <c r="AK638" s="1427">
        <f t="shared" si="144"/>
        <v>0</v>
      </c>
      <c r="AL638" s="1428" t="s">
        <v>1077</v>
      </c>
      <c r="AM638" s="1410"/>
      <c r="AN638" s="1411"/>
      <c r="AO638" s="1410"/>
      <c r="AP638" s="1411"/>
      <c r="AQ638" s="1128"/>
      <c r="AR638" s="1173"/>
      <c r="AT638" s="1173"/>
      <c r="AV638" s="1173"/>
      <c r="AX638" s="1173"/>
      <c r="AY638" s="1176"/>
      <c r="AZ638" s="1173"/>
    </row>
    <row r="639" spans="1:52" s="2" customFormat="1" x14ac:dyDescent="0.25">
      <c r="A639" s="156">
        <v>608</v>
      </c>
      <c r="B639" s="157">
        <v>17</v>
      </c>
      <c r="C639" s="159">
        <v>849113014</v>
      </c>
      <c r="D639" s="158" t="s">
        <v>1088</v>
      </c>
      <c r="E639" s="160" t="s">
        <v>1070</v>
      </c>
      <c r="F639" s="161">
        <v>2013</v>
      </c>
      <c r="G639" s="162" t="s">
        <v>33</v>
      </c>
      <c r="H639" s="163" t="str">
        <f t="shared" si="137"/>
        <v xml:space="preserve">   </v>
      </c>
      <c r="I639" s="163">
        <f t="shared" si="138"/>
        <v>42329</v>
      </c>
      <c r="J639" s="1364">
        <v>1250000</v>
      </c>
      <c r="K639" s="1365">
        <v>41436</v>
      </c>
      <c r="L639" s="1368"/>
      <c r="M639" s="1362" t="s">
        <v>475</v>
      </c>
      <c r="N639" s="1368"/>
      <c r="O639" s="1362" t="s">
        <v>475</v>
      </c>
      <c r="P639" s="1358">
        <v>3000000</v>
      </c>
      <c r="Q639" s="1357">
        <v>41857</v>
      </c>
      <c r="R639" s="1358">
        <v>3000000</v>
      </c>
      <c r="S639" s="1357">
        <v>42053</v>
      </c>
      <c r="T639" s="1382" t="s">
        <v>276</v>
      </c>
      <c r="U639" s="1383">
        <v>42329</v>
      </c>
      <c r="V639" s="1384"/>
      <c r="W639" s="1363"/>
      <c r="X639" s="1384"/>
      <c r="Y639" s="1363"/>
      <c r="Z639" s="1384"/>
      <c r="AA639" s="1363"/>
      <c r="AB639" s="1385">
        <v>1000000</v>
      </c>
      <c r="AC639" s="1357">
        <v>42053</v>
      </c>
      <c r="AD639" s="1402"/>
      <c r="AE639" s="1405"/>
      <c r="AF639" s="1406"/>
      <c r="AG639" s="1422"/>
      <c r="AH639" s="1423" t="str">
        <f t="shared" si="131"/>
        <v>MPI-S2</v>
      </c>
      <c r="AI639" s="1424">
        <f t="shared" si="143"/>
        <v>8250000</v>
      </c>
      <c r="AJ639" s="1424">
        <f t="shared" si="140"/>
        <v>8250000</v>
      </c>
      <c r="AK639" s="1425">
        <f t="shared" si="144"/>
        <v>0</v>
      </c>
      <c r="AL639" s="1426" t="str">
        <f t="shared" si="145"/>
        <v>Lunas</v>
      </c>
      <c r="AM639" s="1410"/>
      <c r="AN639" s="1411"/>
      <c r="AO639" s="1410"/>
      <c r="AP639" s="1411"/>
      <c r="AQ639" s="1128"/>
      <c r="AR639" s="1173"/>
      <c r="AT639" s="1173"/>
      <c r="AV639" s="1173"/>
      <c r="AX639" s="1173"/>
      <c r="AY639" s="1176"/>
      <c r="AZ639" s="1173"/>
    </row>
    <row r="640" spans="1:52" s="2" customFormat="1" x14ac:dyDescent="0.25">
      <c r="A640" s="156">
        <v>609</v>
      </c>
      <c r="B640" s="157">
        <v>19</v>
      </c>
      <c r="C640" s="159">
        <v>849113001</v>
      </c>
      <c r="D640" s="158" t="s">
        <v>1089</v>
      </c>
      <c r="E640" s="160" t="s">
        <v>1070</v>
      </c>
      <c r="F640" s="161">
        <v>2013</v>
      </c>
      <c r="G640" s="162" t="s">
        <v>33</v>
      </c>
      <c r="H640" s="163" t="str">
        <f t="shared" si="137"/>
        <v xml:space="preserve">   </v>
      </c>
      <c r="I640" s="163">
        <f t="shared" si="138"/>
        <v>42329</v>
      </c>
      <c r="J640" s="1364">
        <v>1250000</v>
      </c>
      <c r="K640" s="1365"/>
      <c r="L640" s="1358">
        <v>3000000</v>
      </c>
      <c r="M640" s="1357">
        <v>41429</v>
      </c>
      <c r="N640" s="1358">
        <v>3000000</v>
      </c>
      <c r="O640" s="1357">
        <v>41674</v>
      </c>
      <c r="P640" s="1358">
        <v>3000000</v>
      </c>
      <c r="Q640" s="1357">
        <v>41863</v>
      </c>
      <c r="R640" s="1358">
        <v>3000000</v>
      </c>
      <c r="S640" s="1357">
        <v>42068</v>
      </c>
      <c r="T640" s="1382" t="s">
        <v>276</v>
      </c>
      <c r="U640" s="1383">
        <v>42329</v>
      </c>
      <c r="V640" s="1384"/>
      <c r="W640" s="1363"/>
      <c r="X640" s="1384"/>
      <c r="Y640" s="1363"/>
      <c r="Z640" s="1384"/>
      <c r="AA640" s="1363"/>
      <c r="AB640" s="1385">
        <v>1000000</v>
      </c>
      <c r="AC640" s="1357">
        <v>42068</v>
      </c>
      <c r="AD640" s="1402"/>
      <c r="AE640" s="1405"/>
      <c r="AF640" s="1406"/>
      <c r="AG640" s="1422"/>
      <c r="AH640" s="1423" t="str">
        <f t="shared" si="131"/>
        <v>MPI-S2</v>
      </c>
      <c r="AI640" s="1424">
        <f t="shared" si="143"/>
        <v>14250000</v>
      </c>
      <c r="AJ640" s="1424">
        <f t="shared" si="140"/>
        <v>14250000</v>
      </c>
      <c r="AK640" s="1425">
        <f t="shared" si="144"/>
        <v>0</v>
      </c>
      <c r="AL640" s="1426" t="str">
        <f t="shared" si="145"/>
        <v>Lunas</v>
      </c>
      <c r="AM640" s="1410"/>
      <c r="AN640" s="1411"/>
      <c r="AO640" s="1410"/>
      <c r="AP640" s="1411"/>
      <c r="AQ640" s="1128"/>
      <c r="AR640" s="1173"/>
      <c r="AT640" s="1173"/>
      <c r="AV640" s="1173"/>
      <c r="AX640" s="1173"/>
      <c r="AY640" s="1176"/>
      <c r="AZ640" s="1173"/>
    </row>
    <row r="641" spans="1:52" s="2" customFormat="1" x14ac:dyDescent="0.25">
      <c r="A641" s="156">
        <v>610</v>
      </c>
      <c r="B641" s="157">
        <v>20</v>
      </c>
      <c r="C641" s="159">
        <v>849113018</v>
      </c>
      <c r="D641" s="158" t="s">
        <v>1090</v>
      </c>
      <c r="E641" s="160" t="s">
        <v>1070</v>
      </c>
      <c r="F641" s="161">
        <v>2013</v>
      </c>
      <c r="G641" s="162" t="s">
        <v>33</v>
      </c>
      <c r="H641" s="163" t="str">
        <f t="shared" si="137"/>
        <v xml:space="preserve">   </v>
      </c>
      <c r="I641" s="163">
        <f t="shared" si="138"/>
        <v>42329</v>
      </c>
      <c r="J641" s="1364">
        <v>1250000</v>
      </c>
      <c r="K641" s="1365"/>
      <c r="L641" s="1358">
        <v>3000000</v>
      </c>
      <c r="M641" s="1357">
        <v>41452</v>
      </c>
      <c r="N641" s="1358">
        <v>3000000</v>
      </c>
      <c r="O641" s="1357">
        <v>41751</v>
      </c>
      <c r="P641" s="1358">
        <v>3000000</v>
      </c>
      <c r="Q641" s="1357">
        <v>41943</v>
      </c>
      <c r="R641" s="1358">
        <v>3000000</v>
      </c>
      <c r="S641" s="1357">
        <v>42069</v>
      </c>
      <c r="T641" s="1382" t="s">
        <v>276</v>
      </c>
      <c r="U641" s="1383">
        <v>42329</v>
      </c>
      <c r="V641" s="1384"/>
      <c r="W641" s="1363"/>
      <c r="X641" s="1384"/>
      <c r="Y641" s="1363"/>
      <c r="Z641" s="1384"/>
      <c r="AA641" s="1363"/>
      <c r="AB641" s="1385">
        <v>1000000</v>
      </c>
      <c r="AC641" s="1357">
        <v>42069</v>
      </c>
      <c r="AD641" s="1402"/>
      <c r="AE641" s="1405"/>
      <c r="AF641" s="1406"/>
      <c r="AG641" s="1422"/>
      <c r="AH641" s="1423" t="str">
        <f t="shared" si="131"/>
        <v>MPI-S2</v>
      </c>
      <c r="AI641" s="1424">
        <f t="shared" si="143"/>
        <v>14250000</v>
      </c>
      <c r="AJ641" s="1424">
        <f t="shared" si="140"/>
        <v>14250000</v>
      </c>
      <c r="AK641" s="1425">
        <f t="shared" si="144"/>
        <v>0</v>
      </c>
      <c r="AL641" s="1426" t="str">
        <f t="shared" si="145"/>
        <v>Lunas</v>
      </c>
      <c r="AM641" s="1410"/>
      <c r="AN641" s="1411"/>
      <c r="AO641" s="1410"/>
      <c r="AP641" s="1411"/>
      <c r="AQ641" s="1128"/>
      <c r="AR641" s="1173"/>
      <c r="AT641" s="1173"/>
      <c r="AV641" s="1173"/>
      <c r="AX641" s="1173"/>
      <c r="AY641" s="1176"/>
      <c r="AZ641" s="1173"/>
    </row>
    <row r="642" spans="1:52" s="2" customFormat="1" x14ac:dyDescent="0.25">
      <c r="A642" s="164">
        <v>611</v>
      </c>
      <c r="B642" s="165">
        <v>21</v>
      </c>
      <c r="C642" s="174">
        <v>849113007</v>
      </c>
      <c r="D642" s="166" t="s">
        <v>1091</v>
      </c>
      <c r="E642" s="168" t="s">
        <v>1070</v>
      </c>
      <c r="F642" s="169">
        <v>2013</v>
      </c>
      <c r="G642" s="170" t="s">
        <v>1077</v>
      </c>
      <c r="H642" s="171" t="str">
        <f t="shared" si="137"/>
        <v xml:space="preserve">   </v>
      </c>
      <c r="I642" s="171" t="str">
        <f t="shared" si="138"/>
        <v xml:space="preserve">   </v>
      </c>
      <c r="J642" s="1366">
        <v>1250000</v>
      </c>
      <c r="K642" s="1360">
        <v>41527</v>
      </c>
      <c r="L642" s="1430">
        <v>3000000</v>
      </c>
      <c r="M642" s="1360">
        <v>41521</v>
      </c>
      <c r="N642" s="1430">
        <v>3000000</v>
      </c>
      <c r="O642" s="1360">
        <v>41680</v>
      </c>
      <c r="P642" s="1363">
        <v>3000000</v>
      </c>
      <c r="Q642" s="1367">
        <v>42082</v>
      </c>
      <c r="R642" s="1363">
        <v>3000000</v>
      </c>
      <c r="S642" s="1367">
        <v>42082</v>
      </c>
      <c r="T642" s="1391"/>
      <c r="U642" s="1363"/>
      <c r="V642" s="1384"/>
      <c r="W642" s="1363"/>
      <c r="X642" s="1384"/>
      <c r="Y642" s="1363"/>
      <c r="Z642" s="1384"/>
      <c r="AA642" s="1363"/>
      <c r="AB642" s="1389">
        <v>1000000</v>
      </c>
      <c r="AC642" s="1360">
        <v>42088</v>
      </c>
      <c r="AD642" s="1402"/>
      <c r="AE642" s="1405"/>
      <c r="AF642" s="1406"/>
      <c r="AG642" s="1422"/>
      <c r="AH642" s="1423" t="str">
        <f t="shared" si="131"/>
        <v>MPI-S2</v>
      </c>
      <c r="AI642" s="1427">
        <f t="shared" si="143"/>
        <v>14250000</v>
      </c>
      <c r="AJ642" s="1427">
        <f t="shared" si="140"/>
        <v>14250000</v>
      </c>
      <c r="AK642" s="1427">
        <f t="shared" si="144"/>
        <v>0</v>
      </c>
      <c r="AL642" s="1428" t="s">
        <v>1077</v>
      </c>
      <c r="AM642" s="1410"/>
      <c r="AN642" s="1411"/>
      <c r="AO642" s="1410"/>
      <c r="AP642" s="1411"/>
      <c r="AQ642" s="1128"/>
      <c r="AR642" s="1173"/>
      <c r="AT642" s="1173"/>
      <c r="AV642" s="1173"/>
      <c r="AX642" s="1173"/>
      <c r="AY642" s="1176"/>
      <c r="AZ642" s="1173"/>
    </row>
    <row r="643" spans="1:52" s="2" customFormat="1" x14ac:dyDescent="0.25">
      <c r="A643" s="156">
        <v>612</v>
      </c>
      <c r="B643" s="157">
        <v>22</v>
      </c>
      <c r="C643" s="159">
        <v>849113013</v>
      </c>
      <c r="D643" s="158" t="s">
        <v>1092</v>
      </c>
      <c r="E643" s="160" t="s">
        <v>1070</v>
      </c>
      <c r="F643" s="161">
        <v>2013</v>
      </c>
      <c r="G643" s="162" t="s">
        <v>33</v>
      </c>
      <c r="H643" s="163" t="str">
        <f t="shared" si="137"/>
        <v xml:space="preserve">   </v>
      </c>
      <c r="I643" s="163">
        <f t="shared" si="138"/>
        <v>42329</v>
      </c>
      <c r="J643" s="1364">
        <v>1250000</v>
      </c>
      <c r="K643" s="1365"/>
      <c r="L643" s="1358">
        <v>3000000</v>
      </c>
      <c r="M643" s="1357">
        <v>41424</v>
      </c>
      <c r="N643" s="1358">
        <v>3000000</v>
      </c>
      <c r="O643" s="1357">
        <v>41674</v>
      </c>
      <c r="P643" s="1358">
        <v>3000000</v>
      </c>
      <c r="Q643" s="1357">
        <v>41830</v>
      </c>
      <c r="R643" s="1358">
        <v>3000000</v>
      </c>
      <c r="S643" s="1357">
        <v>42039</v>
      </c>
      <c r="T643" s="1382" t="s">
        <v>276</v>
      </c>
      <c r="U643" s="1383">
        <v>42329</v>
      </c>
      <c r="V643" s="1384"/>
      <c r="W643" s="1363"/>
      <c r="X643" s="1384"/>
      <c r="Y643" s="1363"/>
      <c r="Z643" s="1384"/>
      <c r="AA643" s="1363"/>
      <c r="AB643" s="1385">
        <v>1000000</v>
      </c>
      <c r="AC643" s="1357">
        <v>42039</v>
      </c>
      <c r="AD643" s="1402"/>
      <c r="AE643" s="1405"/>
      <c r="AF643" s="1406"/>
      <c r="AG643" s="1422"/>
      <c r="AH643" s="1423" t="str">
        <f t="shared" si="131"/>
        <v>MPI-S2</v>
      </c>
      <c r="AI643" s="1424">
        <f t="shared" si="143"/>
        <v>14250000</v>
      </c>
      <c r="AJ643" s="1424">
        <f t="shared" si="140"/>
        <v>14250000</v>
      </c>
      <c r="AK643" s="1425">
        <f t="shared" si="144"/>
        <v>0</v>
      </c>
      <c r="AL643" s="1426" t="str">
        <f t="shared" si="145"/>
        <v>Lunas</v>
      </c>
      <c r="AM643" s="1410"/>
      <c r="AN643" s="1411"/>
      <c r="AO643" s="1410"/>
      <c r="AP643" s="1411"/>
      <c r="AQ643" s="1128"/>
      <c r="AR643" s="1173"/>
      <c r="AT643" s="1173"/>
      <c r="AV643" s="1173"/>
      <c r="AX643" s="1173"/>
      <c r="AY643" s="1176"/>
      <c r="AZ643" s="1173"/>
    </row>
    <row r="644" spans="1:52" s="2" customFormat="1" x14ac:dyDescent="0.25">
      <c r="A644" s="156">
        <v>613</v>
      </c>
      <c r="B644" s="176">
        <v>23</v>
      </c>
      <c r="C644" s="178">
        <v>849113008</v>
      </c>
      <c r="D644" s="177" t="s">
        <v>1093</v>
      </c>
      <c r="E644" s="179" t="s">
        <v>1070</v>
      </c>
      <c r="F644" s="161">
        <v>2013</v>
      </c>
      <c r="G644" s="162" t="s">
        <v>33</v>
      </c>
      <c r="H644" s="163">
        <f t="shared" si="137"/>
        <v>43370</v>
      </c>
      <c r="I644" s="163">
        <f t="shared" si="138"/>
        <v>43587</v>
      </c>
      <c r="J644" s="1364">
        <v>1250000</v>
      </c>
      <c r="K644" s="1365">
        <v>41421</v>
      </c>
      <c r="L644" s="1431">
        <v>3000000</v>
      </c>
      <c r="M644" s="1365">
        <v>41421</v>
      </c>
      <c r="N644" s="1431">
        <v>3000000</v>
      </c>
      <c r="O644" s="1365">
        <v>41669</v>
      </c>
      <c r="P644" s="1431">
        <v>3000000</v>
      </c>
      <c r="Q644" s="1365">
        <v>41857</v>
      </c>
      <c r="R644" s="1358">
        <v>3000000</v>
      </c>
      <c r="S644" s="1357">
        <v>42163</v>
      </c>
      <c r="T644" s="1358">
        <v>3000000</v>
      </c>
      <c r="U644" s="1365">
        <v>42793</v>
      </c>
      <c r="V644" s="1385">
        <v>3000000</v>
      </c>
      <c r="W644" s="1365">
        <v>42793</v>
      </c>
      <c r="X644" s="1385">
        <v>3000000</v>
      </c>
      <c r="Y644" s="1357">
        <v>42793</v>
      </c>
      <c r="Z644" s="1385">
        <v>3000000</v>
      </c>
      <c r="AA644" s="1363"/>
      <c r="AB644" s="1480">
        <v>1000000</v>
      </c>
      <c r="AC644" s="1365">
        <v>43294</v>
      </c>
      <c r="AD644" s="1481">
        <v>3000000</v>
      </c>
      <c r="AE644" s="1482">
        <v>43003</v>
      </c>
      <c r="AF644" s="1483">
        <v>3000000</v>
      </c>
      <c r="AG644" s="1505">
        <v>43294</v>
      </c>
      <c r="AH644" s="1423" t="str">
        <f t="shared" si="131"/>
        <v>MPI-S2</v>
      </c>
      <c r="AI644" s="1424">
        <f t="shared" si="143"/>
        <v>32250000</v>
      </c>
      <c r="AJ644" s="1424">
        <f t="shared" si="140"/>
        <v>32250000</v>
      </c>
      <c r="AK644" s="1425">
        <f t="shared" si="144"/>
        <v>0</v>
      </c>
      <c r="AL644" s="1426" t="str">
        <f t="shared" si="145"/>
        <v>Lunas</v>
      </c>
      <c r="AM644" s="1410"/>
      <c r="AN644" s="1411"/>
      <c r="AO644" s="1410"/>
      <c r="AP644" s="1411"/>
      <c r="AQ644" s="1128"/>
      <c r="AR644" s="1173"/>
      <c r="AT644" s="1173"/>
      <c r="AV644" s="1173"/>
      <c r="AX644" s="1173"/>
      <c r="AY644" s="1176"/>
      <c r="AZ644" s="1173"/>
    </row>
    <row r="645" spans="1:52" s="2" customFormat="1" x14ac:dyDescent="0.25">
      <c r="A645" s="180">
        <v>614</v>
      </c>
      <c r="B645" s="181">
        <v>24</v>
      </c>
      <c r="C645" s="183">
        <v>849113003</v>
      </c>
      <c r="D645" s="182" t="s">
        <v>1094</v>
      </c>
      <c r="E645" s="184" t="s">
        <v>1070</v>
      </c>
      <c r="F645" s="185">
        <v>2013</v>
      </c>
      <c r="G645" s="186" t="s">
        <v>33</v>
      </c>
      <c r="H645" s="163" t="str">
        <f t="shared" si="137"/>
        <v xml:space="preserve">   </v>
      </c>
      <c r="I645" s="163">
        <f t="shared" si="138"/>
        <v>42329</v>
      </c>
      <c r="J645" s="1432">
        <v>1250000</v>
      </c>
      <c r="K645" s="1433"/>
      <c r="L645" s="1434">
        <v>3000000</v>
      </c>
      <c r="M645" s="1435">
        <v>41424</v>
      </c>
      <c r="N645" s="1434">
        <v>3000000</v>
      </c>
      <c r="O645" s="1435">
        <v>41680</v>
      </c>
      <c r="P645" s="1434">
        <v>3000000</v>
      </c>
      <c r="Q645" s="1435">
        <v>41887</v>
      </c>
      <c r="R645" s="1434">
        <v>3000000</v>
      </c>
      <c r="S645" s="1435">
        <v>42075</v>
      </c>
      <c r="T645" s="1462" t="s">
        <v>276</v>
      </c>
      <c r="U645" s="1463">
        <v>42329</v>
      </c>
      <c r="V645" s="1384"/>
      <c r="W645" s="1363"/>
      <c r="X645" s="1384"/>
      <c r="Y645" s="1363"/>
      <c r="Z645" s="1384"/>
      <c r="AA645" s="1363"/>
      <c r="AB645" s="1484">
        <v>1000000</v>
      </c>
      <c r="AC645" s="1435">
        <v>42086</v>
      </c>
      <c r="AD645" s="1485"/>
      <c r="AE645" s="1486"/>
      <c r="AF645" s="1487"/>
      <c r="AG645" s="1506"/>
      <c r="AH645" s="1507" t="str">
        <f t="shared" ref="AH645:AH708" si="146">E645</f>
        <v>MPI-S2</v>
      </c>
      <c r="AI645" s="1424">
        <f t="shared" si="143"/>
        <v>14250000</v>
      </c>
      <c r="AJ645" s="1424">
        <f t="shared" si="140"/>
        <v>14250000</v>
      </c>
      <c r="AK645" s="1508">
        <f t="shared" si="144"/>
        <v>0</v>
      </c>
      <c r="AL645" s="1509" t="str">
        <f t="shared" si="145"/>
        <v>Lunas</v>
      </c>
      <c r="AM645" s="1410"/>
      <c r="AN645" s="1411"/>
      <c r="AO645" s="1410"/>
      <c r="AP645" s="1411"/>
      <c r="AQ645" s="1128"/>
      <c r="AR645" s="1173"/>
      <c r="AT645" s="1173"/>
      <c r="AV645" s="1173"/>
      <c r="AX645" s="1173"/>
      <c r="AY645" s="1176"/>
      <c r="AZ645" s="1173"/>
    </row>
    <row r="646" spans="1:52" s="4" customFormat="1" x14ac:dyDescent="0.25">
      <c r="A646" s="187"/>
      <c r="B646" s="188"/>
      <c r="C646" s="190"/>
      <c r="D646" s="189"/>
      <c r="E646" s="191" t="s">
        <v>61</v>
      </c>
      <c r="F646" s="192" t="s">
        <v>61</v>
      </c>
      <c r="G646" s="192" t="s">
        <v>61</v>
      </c>
      <c r="H646" s="193"/>
      <c r="I646" s="193"/>
      <c r="J646" s="187"/>
      <c r="K646" s="1436"/>
      <c r="L646" s="1437"/>
      <c r="M646" s="1436"/>
      <c r="N646" s="1437"/>
      <c r="O646" s="1436"/>
      <c r="P646" s="1437"/>
      <c r="Q646" s="1436"/>
      <c r="R646" s="1437"/>
      <c r="S646" s="1464"/>
      <c r="T646" s="1437"/>
      <c r="U646" s="1436"/>
      <c r="V646" s="1437"/>
      <c r="W646" s="1436"/>
      <c r="X646" s="1437"/>
      <c r="Y646" s="1488"/>
      <c r="Z646" s="1437"/>
      <c r="AA646" s="1488"/>
      <c r="AB646" s="1488"/>
      <c r="AC646" s="1488"/>
      <c r="AD646" s="1488"/>
      <c r="AE646" s="1488"/>
      <c r="AF646" s="1488"/>
      <c r="AG646" s="1488"/>
      <c r="AH646" s="1488" t="str">
        <f t="shared" si="146"/>
        <v>-</v>
      </c>
      <c r="AI646" s="1488"/>
      <c r="AJ646" s="1488"/>
      <c r="AK646" s="1488"/>
      <c r="AL646" s="1488"/>
      <c r="AM646" s="1510"/>
      <c r="AN646" s="1511"/>
      <c r="AO646" s="1510"/>
      <c r="AP646" s="1511"/>
      <c r="AQ646" s="1215"/>
      <c r="AR646" s="1216"/>
      <c r="AT646" s="1216"/>
      <c r="AV646" s="1216"/>
      <c r="AX646" s="1216"/>
      <c r="AY646" s="1217"/>
      <c r="AZ646" s="1216"/>
    </row>
    <row r="647" spans="1:52" s="2" customFormat="1" x14ac:dyDescent="0.25">
      <c r="A647" s="194" t="s">
        <v>1095</v>
      </c>
      <c r="B647" s="195"/>
      <c r="C647" s="197"/>
      <c r="D647" s="196"/>
      <c r="E647" s="198" t="s">
        <v>1096</v>
      </c>
      <c r="F647" s="199" t="s">
        <v>1096</v>
      </c>
      <c r="G647" s="146">
        <v>3000000</v>
      </c>
      <c r="H647" s="147"/>
      <c r="I647" s="147"/>
      <c r="J647" s="1349">
        <v>1250000</v>
      </c>
      <c r="K647" s="1438"/>
      <c r="L647" s="1351" t="s">
        <v>1049</v>
      </c>
      <c r="M647" s="1352" t="s">
        <v>1050</v>
      </c>
      <c r="N647" s="1351" t="s">
        <v>1051</v>
      </c>
      <c r="O647" s="1352" t="s">
        <v>1052</v>
      </c>
      <c r="P647" s="1351" t="s">
        <v>1053</v>
      </c>
      <c r="Q647" s="1352" t="s">
        <v>1054</v>
      </c>
      <c r="R647" s="1351" t="s">
        <v>1055</v>
      </c>
      <c r="S647" s="1352" t="s">
        <v>1056</v>
      </c>
      <c r="T647" s="1351" t="s">
        <v>1057</v>
      </c>
      <c r="U647" s="1379" t="s">
        <v>1058</v>
      </c>
      <c r="V647" s="1380" t="s">
        <v>1059</v>
      </c>
      <c r="W647" s="1379" t="s">
        <v>1060</v>
      </c>
      <c r="X647" s="1380" t="s">
        <v>1061</v>
      </c>
      <c r="Y647" s="1379" t="s">
        <v>1062</v>
      </c>
      <c r="Z647" s="1380" t="s">
        <v>1063</v>
      </c>
      <c r="AA647" s="1379" t="s">
        <v>1064</v>
      </c>
      <c r="AB647" s="1397">
        <v>1000000</v>
      </c>
      <c r="AC647" s="1127"/>
      <c r="AD647" s="1398" t="s">
        <v>1065</v>
      </c>
      <c r="AE647" s="1399" t="s">
        <v>1066</v>
      </c>
      <c r="AF647" s="1400" t="s">
        <v>1067</v>
      </c>
      <c r="AG647" s="1412" t="s">
        <v>1068</v>
      </c>
      <c r="AH647" s="1413" t="str">
        <f t="shared" si="146"/>
        <v>#</v>
      </c>
      <c r="AI647" s="1512"/>
      <c r="AJ647" s="1409"/>
      <c r="AK647" s="1409"/>
      <c r="AL647" s="1513"/>
      <c r="AM647" s="1513"/>
      <c r="AN647" s="1514"/>
      <c r="AO647" s="1513"/>
      <c r="AP647" s="1514"/>
      <c r="AQ647" s="1128"/>
      <c r="AR647" s="1173"/>
      <c r="AT647" s="1173"/>
      <c r="AV647" s="1173"/>
      <c r="AX647" s="1173"/>
      <c r="AY647" s="1176"/>
      <c r="AZ647" s="1173"/>
    </row>
    <row r="648" spans="1:52" s="2" customFormat="1" x14ac:dyDescent="0.25">
      <c r="A648" s="200">
        <v>615</v>
      </c>
      <c r="B648" s="149">
        <v>1</v>
      </c>
      <c r="C648" s="151">
        <v>839130002</v>
      </c>
      <c r="D648" s="201" t="s">
        <v>1097</v>
      </c>
      <c r="E648" s="202" t="s">
        <v>848</v>
      </c>
      <c r="F648" s="203">
        <v>2013</v>
      </c>
      <c r="G648" s="204" t="s">
        <v>33</v>
      </c>
      <c r="H648" s="205">
        <f t="shared" ref="H648:H657" si="147">IFERROR(VLOOKUP(C648,Tlus,3,FALSE),"   ")</f>
        <v>43300</v>
      </c>
      <c r="I648" s="205">
        <f t="shared" ref="I648:I657" si="148">IFERROR(VLOOKUP(C648,Wis,4,FALSE),"   ")</f>
        <v>43440</v>
      </c>
      <c r="J648" s="1439">
        <v>1250000</v>
      </c>
      <c r="K648" s="1440"/>
      <c r="L648" s="1441">
        <v>3000000</v>
      </c>
      <c r="M648" s="1440">
        <v>41528</v>
      </c>
      <c r="N648" s="1441">
        <v>3000000</v>
      </c>
      <c r="O648" s="1440">
        <v>41677</v>
      </c>
      <c r="P648" s="1441">
        <v>3000000</v>
      </c>
      <c r="Q648" s="1440">
        <v>41859</v>
      </c>
      <c r="R648" s="1441">
        <v>3000000</v>
      </c>
      <c r="S648" s="1440">
        <v>42067</v>
      </c>
      <c r="T648" s="1441">
        <v>3000000</v>
      </c>
      <c r="U648" s="1440">
        <v>42279</v>
      </c>
      <c r="V648" s="1441">
        <v>3000000</v>
      </c>
      <c r="W648" s="1440">
        <v>43243</v>
      </c>
      <c r="X648" s="1441">
        <v>3000000</v>
      </c>
      <c r="Y648" s="1440">
        <v>43243</v>
      </c>
      <c r="Z648" s="1441">
        <v>3000000</v>
      </c>
      <c r="AA648" s="1440">
        <v>43243</v>
      </c>
      <c r="AB648" s="1441">
        <v>1000000</v>
      </c>
      <c r="AC648" s="1489">
        <v>43243</v>
      </c>
      <c r="AD648" s="1490">
        <v>3000000</v>
      </c>
      <c r="AE648" s="1491">
        <v>43243</v>
      </c>
      <c r="AF648" s="1490">
        <v>3000000</v>
      </c>
      <c r="AG648" s="1515">
        <v>43243</v>
      </c>
      <c r="AH648" s="1416" t="str">
        <f t="shared" si="146"/>
        <v>HK</v>
      </c>
      <c r="AI648" s="1424">
        <f t="shared" ref="AI648:AI657" si="149">SUM(J648,L648,N648,P648,R648,T648,V648,X648,Z648,AB648,AD648,AF648)</f>
        <v>32250000</v>
      </c>
      <c r="AJ648" s="1424">
        <f t="shared" ref="AJ648:AJ657" si="150">(COUNT(L648,N648,P648,R648,T648,V648,X648,Z648,AD648,AF648)*$G$623)+(COUNT(J648)*$J$623)+(COUNT(AB648)*$AB$623)</f>
        <v>32250000</v>
      </c>
      <c r="AK648" s="1425">
        <f t="shared" ref="AK648:AK657" si="151">AJ648-AI648</f>
        <v>0</v>
      </c>
      <c r="AL648" s="1516" t="str">
        <f t="shared" ref="AL648:AL656" si="152">IF(AK648=0,"Lunas","Cek")</f>
        <v>Lunas</v>
      </c>
      <c r="AM648" s="1410"/>
      <c r="AN648" s="1411"/>
      <c r="AO648" s="1410"/>
      <c r="AP648" s="1411"/>
      <c r="AQ648" s="1128"/>
      <c r="AR648" s="1173"/>
      <c r="AT648" s="1173"/>
      <c r="AV648" s="1173"/>
      <c r="AX648" s="1173"/>
      <c r="AY648" s="1176"/>
      <c r="AZ648" s="1173"/>
    </row>
    <row r="649" spans="1:52" s="2" customFormat="1" x14ac:dyDescent="0.25">
      <c r="A649" s="164">
        <v>616</v>
      </c>
      <c r="B649" s="165">
        <v>2</v>
      </c>
      <c r="C649" s="174">
        <v>839130006</v>
      </c>
      <c r="D649" s="206" t="s">
        <v>1098</v>
      </c>
      <c r="E649" s="207" t="s">
        <v>848</v>
      </c>
      <c r="F649" s="208">
        <v>2013</v>
      </c>
      <c r="G649" s="209" t="s">
        <v>1077</v>
      </c>
      <c r="H649" s="210" t="str">
        <f t="shared" si="147"/>
        <v xml:space="preserve">   </v>
      </c>
      <c r="I649" s="210" t="str">
        <f t="shared" si="148"/>
        <v xml:space="preserve">   </v>
      </c>
      <c r="J649" s="1366">
        <v>1250000</v>
      </c>
      <c r="K649" s="1360">
        <v>41438</v>
      </c>
      <c r="L649" s="1368"/>
      <c r="M649" s="1362" t="s">
        <v>475</v>
      </c>
      <c r="N649" s="1442" t="s">
        <v>1099</v>
      </c>
      <c r="O649" s="1386"/>
      <c r="P649" s="1186" t="s">
        <v>1078</v>
      </c>
      <c r="Q649" s="1386">
        <v>41837</v>
      </c>
      <c r="R649" s="1186" t="s">
        <v>1078</v>
      </c>
      <c r="S649" s="1386"/>
      <c r="T649" s="1430">
        <v>3000000</v>
      </c>
      <c r="U649" s="1360">
        <v>42278</v>
      </c>
      <c r="V649" s="1384"/>
      <c r="W649" s="1363"/>
      <c r="X649" s="1384"/>
      <c r="Y649" s="1363"/>
      <c r="Z649" s="1384"/>
      <c r="AA649" s="1363"/>
      <c r="AB649" s="1384"/>
      <c r="AC649" s="1492"/>
      <c r="AD649" s="1402"/>
      <c r="AE649" s="1405"/>
      <c r="AF649" s="1406"/>
      <c r="AG649" s="1422"/>
      <c r="AH649" s="1423" t="str">
        <f t="shared" si="146"/>
        <v>HK</v>
      </c>
      <c r="AI649" s="1424">
        <f t="shared" si="149"/>
        <v>4250000</v>
      </c>
      <c r="AJ649" s="1424">
        <f t="shared" si="150"/>
        <v>4250000</v>
      </c>
      <c r="AK649" s="1517">
        <f t="shared" si="151"/>
        <v>0</v>
      </c>
      <c r="AL649" s="1426" t="str">
        <f t="shared" si="152"/>
        <v>Lunas</v>
      </c>
      <c r="AM649" s="1410"/>
      <c r="AN649" s="1411"/>
      <c r="AO649" s="1410"/>
      <c r="AP649" s="1411"/>
      <c r="AQ649" s="1128"/>
      <c r="AR649" s="1173"/>
      <c r="AT649" s="1173"/>
      <c r="AV649" s="1173"/>
      <c r="AX649" s="1173"/>
      <c r="AY649" s="1176"/>
      <c r="AZ649" s="1173"/>
    </row>
    <row r="650" spans="1:52" s="2" customFormat="1" x14ac:dyDescent="0.25">
      <c r="A650" s="156">
        <v>617</v>
      </c>
      <c r="B650" s="156">
        <v>3</v>
      </c>
      <c r="C650" s="212">
        <v>839130007</v>
      </c>
      <c r="D650" s="211" t="s">
        <v>1100</v>
      </c>
      <c r="E650" s="160" t="s">
        <v>848</v>
      </c>
      <c r="F650" s="213">
        <v>2013</v>
      </c>
      <c r="G650" s="162" t="s">
        <v>33</v>
      </c>
      <c r="H650" s="163" t="str">
        <f t="shared" si="147"/>
        <v xml:space="preserve">   </v>
      </c>
      <c r="I650" s="163">
        <f t="shared" si="148"/>
        <v>42504</v>
      </c>
      <c r="J650" s="1443">
        <v>1250000</v>
      </c>
      <c r="K650" s="1357"/>
      <c r="L650" s="1443">
        <v>3000000</v>
      </c>
      <c r="M650" s="1357">
        <v>41470</v>
      </c>
      <c r="N650" s="1443">
        <v>3000000</v>
      </c>
      <c r="O650" s="1357">
        <v>41677</v>
      </c>
      <c r="P650" s="1443">
        <v>3000000</v>
      </c>
      <c r="Q650" s="1357">
        <v>41878</v>
      </c>
      <c r="R650" s="1443">
        <v>3000000</v>
      </c>
      <c r="S650" s="1357">
        <v>42158</v>
      </c>
      <c r="T650" s="1356">
        <v>3000000</v>
      </c>
      <c r="U650" s="1357">
        <v>42288</v>
      </c>
      <c r="V650" s="1443">
        <v>3000000</v>
      </c>
      <c r="W650" s="1357">
        <v>42422</v>
      </c>
      <c r="X650" s="1465" t="s">
        <v>1080</v>
      </c>
      <c r="Y650" s="1357">
        <v>42504</v>
      </c>
      <c r="Z650" s="1384"/>
      <c r="AA650" s="1363"/>
      <c r="AB650" s="1356">
        <v>1000000</v>
      </c>
      <c r="AC650" s="1493">
        <v>42158</v>
      </c>
      <c r="AD650" s="1402"/>
      <c r="AE650" s="1405"/>
      <c r="AF650" s="1406"/>
      <c r="AG650" s="1422"/>
      <c r="AH650" s="1423" t="str">
        <f t="shared" si="146"/>
        <v>HK</v>
      </c>
      <c r="AI650" s="1424">
        <f t="shared" si="149"/>
        <v>20250000</v>
      </c>
      <c r="AJ650" s="1424">
        <f t="shared" si="150"/>
        <v>20250000</v>
      </c>
      <c r="AK650" s="1425">
        <f t="shared" si="151"/>
        <v>0</v>
      </c>
      <c r="AL650" s="1426" t="str">
        <f t="shared" si="152"/>
        <v>Lunas</v>
      </c>
      <c r="AM650" s="1410"/>
      <c r="AN650" s="1411"/>
      <c r="AO650" s="1410"/>
      <c r="AP650" s="1411"/>
      <c r="AQ650" s="1128"/>
      <c r="AR650" s="1173"/>
      <c r="AT650" s="1173"/>
      <c r="AV650" s="1173"/>
      <c r="AX650" s="1173"/>
      <c r="AY650" s="1176"/>
      <c r="AZ650" s="1173"/>
    </row>
    <row r="651" spans="1:52" s="2" customFormat="1" x14ac:dyDescent="0.25">
      <c r="A651" s="164">
        <v>618</v>
      </c>
      <c r="B651" s="165">
        <v>4</v>
      </c>
      <c r="C651" s="174">
        <v>839130005</v>
      </c>
      <c r="D651" s="166" t="s">
        <v>709</v>
      </c>
      <c r="E651" s="168" t="s">
        <v>848</v>
      </c>
      <c r="F651" s="169">
        <v>2013</v>
      </c>
      <c r="G651" s="214" t="s">
        <v>1077</v>
      </c>
      <c r="H651" s="215" t="str">
        <f t="shared" si="147"/>
        <v xml:space="preserve">   </v>
      </c>
      <c r="I651" s="215" t="str">
        <f t="shared" si="148"/>
        <v xml:space="preserve">   </v>
      </c>
      <c r="J651" s="1366"/>
      <c r="K651" s="1360"/>
      <c r="L651" s="1430">
        <v>1000000</v>
      </c>
      <c r="M651" s="1360">
        <v>41474</v>
      </c>
      <c r="N651" s="1363">
        <v>1750000</v>
      </c>
      <c r="O651" s="1367"/>
      <c r="P651" s="1384"/>
      <c r="Q651" s="1363"/>
      <c r="R651" s="1384"/>
      <c r="S651" s="1363"/>
      <c r="T651" s="1384"/>
      <c r="U651" s="1363"/>
      <c r="V651" s="1384"/>
      <c r="W651" s="1363"/>
      <c r="X651" s="1384"/>
      <c r="Y651" s="1363"/>
      <c r="Z651" s="1384"/>
      <c r="AA651" s="1363"/>
      <c r="AB651" s="1384"/>
      <c r="AC651" s="1492"/>
      <c r="AD651" s="1402"/>
      <c r="AE651" s="1405"/>
      <c r="AF651" s="1406"/>
      <c r="AG651" s="1422"/>
      <c r="AH651" s="1423" t="str">
        <f t="shared" si="146"/>
        <v>HK</v>
      </c>
      <c r="AI651" s="1427">
        <f t="shared" si="149"/>
        <v>2750000</v>
      </c>
      <c r="AJ651" s="1427">
        <f t="shared" si="150"/>
        <v>6000000</v>
      </c>
      <c r="AK651" s="1427">
        <f>(AJ651-AI651)-3250000</f>
        <v>0</v>
      </c>
      <c r="AL651" s="1428" t="s">
        <v>1077</v>
      </c>
      <c r="AM651" s="1410"/>
      <c r="AN651" s="1411"/>
      <c r="AO651" s="1410"/>
      <c r="AP651" s="1411"/>
      <c r="AQ651" s="1128"/>
      <c r="AR651" s="1173"/>
      <c r="AT651" s="1173"/>
      <c r="AV651" s="1173"/>
      <c r="AX651" s="1173"/>
      <c r="AY651" s="1176"/>
      <c r="AZ651" s="1173"/>
    </row>
    <row r="652" spans="1:52" s="2" customFormat="1" x14ac:dyDescent="0.25">
      <c r="A652" s="164">
        <v>619</v>
      </c>
      <c r="B652" s="165">
        <v>5</v>
      </c>
      <c r="C652" s="174">
        <v>839130010</v>
      </c>
      <c r="D652" s="166" t="s">
        <v>1101</v>
      </c>
      <c r="E652" s="168" t="s">
        <v>848</v>
      </c>
      <c r="F652" s="169">
        <v>2013</v>
      </c>
      <c r="G652" s="214" t="s">
        <v>1077</v>
      </c>
      <c r="H652" s="215" t="str">
        <f t="shared" si="147"/>
        <v xml:space="preserve">   </v>
      </c>
      <c r="I652" s="215" t="str">
        <f t="shared" si="148"/>
        <v xml:space="preserve">   </v>
      </c>
      <c r="J652" s="1366">
        <v>1250000</v>
      </c>
      <c r="K652" s="1360"/>
      <c r="L652" s="1430">
        <v>3000000</v>
      </c>
      <c r="M652" s="1360">
        <v>41456</v>
      </c>
      <c r="N652" s="1430">
        <v>3000000</v>
      </c>
      <c r="O652" s="1360">
        <v>41676</v>
      </c>
      <c r="P652" s="1430">
        <v>3000000</v>
      </c>
      <c r="Q652" s="1360">
        <v>41894</v>
      </c>
      <c r="R652" s="1186" t="s">
        <v>1078</v>
      </c>
      <c r="S652" s="1386">
        <v>42268</v>
      </c>
      <c r="T652" s="1192" t="s">
        <v>1078</v>
      </c>
      <c r="U652" s="1466"/>
      <c r="V652" s="1384"/>
      <c r="W652" s="1363"/>
      <c r="X652" s="1384"/>
      <c r="Y652" s="1363"/>
      <c r="Z652" s="1384"/>
      <c r="AA652" s="1363"/>
      <c r="AB652" s="1384"/>
      <c r="AC652" s="1492"/>
      <c r="AD652" s="1402"/>
      <c r="AE652" s="1405"/>
      <c r="AF652" s="1406"/>
      <c r="AG652" s="1422"/>
      <c r="AH652" s="1423" t="str">
        <f t="shared" si="146"/>
        <v>HK</v>
      </c>
      <c r="AI652" s="1427">
        <f t="shared" si="149"/>
        <v>10250000</v>
      </c>
      <c r="AJ652" s="1427">
        <f t="shared" si="150"/>
        <v>10250000</v>
      </c>
      <c r="AK652" s="1427">
        <f t="shared" si="151"/>
        <v>0</v>
      </c>
      <c r="AL652" s="1428" t="s">
        <v>1077</v>
      </c>
      <c r="AM652" s="1410"/>
      <c r="AN652" s="1411"/>
      <c r="AO652" s="1410"/>
      <c r="AP652" s="1411"/>
      <c r="AQ652" s="1128"/>
      <c r="AR652" s="1173"/>
      <c r="AT652" s="1173"/>
      <c r="AV652" s="1173"/>
      <c r="AX652" s="1173"/>
      <c r="AY652" s="1176"/>
      <c r="AZ652" s="1173"/>
    </row>
    <row r="653" spans="1:52" s="2" customFormat="1" x14ac:dyDescent="0.25">
      <c r="A653" s="164">
        <v>620</v>
      </c>
      <c r="B653" s="165">
        <v>6</v>
      </c>
      <c r="C653" s="174">
        <v>839130001</v>
      </c>
      <c r="D653" s="166" t="s">
        <v>1102</v>
      </c>
      <c r="E653" s="168" t="s">
        <v>848</v>
      </c>
      <c r="F653" s="169">
        <v>2013</v>
      </c>
      <c r="G653" s="214" t="s">
        <v>1077</v>
      </c>
      <c r="H653" s="215" t="str">
        <f t="shared" si="147"/>
        <v xml:space="preserve">   </v>
      </c>
      <c r="I653" s="215" t="str">
        <f t="shared" si="148"/>
        <v xml:space="preserve">   </v>
      </c>
      <c r="J653" s="1366">
        <v>1250000</v>
      </c>
      <c r="K653" s="1360"/>
      <c r="L653" s="1430">
        <v>3000000</v>
      </c>
      <c r="M653" s="1360">
        <v>41460</v>
      </c>
      <c r="N653" s="1430">
        <v>3000000</v>
      </c>
      <c r="O653" s="1360">
        <v>41676</v>
      </c>
      <c r="P653" s="1430">
        <v>3000000</v>
      </c>
      <c r="Q653" s="1360">
        <v>41894</v>
      </c>
      <c r="R653" s="1384"/>
      <c r="S653" s="1363"/>
      <c r="T653" s="1384"/>
      <c r="U653" s="1363"/>
      <c r="V653" s="1384"/>
      <c r="W653" s="1363"/>
      <c r="X653" s="1384"/>
      <c r="Y653" s="1363"/>
      <c r="Z653" s="1384"/>
      <c r="AA653" s="1363"/>
      <c r="AB653" s="1384"/>
      <c r="AC653" s="1492"/>
      <c r="AD653" s="1402"/>
      <c r="AE653" s="1405"/>
      <c r="AF653" s="1406"/>
      <c r="AG653" s="1422"/>
      <c r="AH653" s="1423" t="str">
        <f t="shared" si="146"/>
        <v>HK</v>
      </c>
      <c r="AI653" s="1427">
        <f t="shared" si="149"/>
        <v>10250000</v>
      </c>
      <c r="AJ653" s="1427">
        <f t="shared" si="150"/>
        <v>10250000</v>
      </c>
      <c r="AK653" s="1427">
        <f t="shared" si="151"/>
        <v>0</v>
      </c>
      <c r="AL653" s="1428" t="s">
        <v>1077</v>
      </c>
      <c r="AM653" s="1410"/>
      <c r="AN653" s="1411"/>
      <c r="AO653" s="1410"/>
      <c r="AP653" s="1411"/>
      <c r="AQ653" s="1128"/>
      <c r="AR653" s="1173"/>
      <c r="AT653" s="1173"/>
      <c r="AV653" s="1173"/>
      <c r="AX653" s="1173"/>
      <c r="AY653" s="1176"/>
      <c r="AZ653" s="1173"/>
    </row>
    <row r="654" spans="1:52" s="2" customFormat="1" x14ac:dyDescent="0.25">
      <c r="A654" s="164">
        <v>621</v>
      </c>
      <c r="B654" s="165">
        <v>7</v>
      </c>
      <c r="C654" s="174">
        <v>839130004</v>
      </c>
      <c r="D654" s="166" t="s">
        <v>1103</v>
      </c>
      <c r="E654" s="168" t="s">
        <v>848</v>
      </c>
      <c r="F654" s="169">
        <v>2013</v>
      </c>
      <c r="G654" s="214" t="s">
        <v>1077</v>
      </c>
      <c r="H654" s="215" t="str">
        <f t="shared" si="147"/>
        <v xml:space="preserve">   </v>
      </c>
      <c r="I654" s="215" t="str">
        <f t="shared" si="148"/>
        <v xml:space="preserve">   </v>
      </c>
      <c r="J654" s="1366">
        <v>1250000</v>
      </c>
      <c r="K654" s="1360"/>
      <c r="L654" s="1430">
        <v>3000000</v>
      </c>
      <c r="M654" s="1360">
        <v>41473</v>
      </c>
      <c r="N654" s="1430">
        <v>3000000</v>
      </c>
      <c r="O654" s="1360">
        <v>41680</v>
      </c>
      <c r="P654" s="1430">
        <v>3000000</v>
      </c>
      <c r="Q654" s="1360">
        <v>41890</v>
      </c>
      <c r="R654" s="1384"/>
      <c r="S654" s="1363"/>
      <c r="T654" s="1384"/>
      <c r="U654" s="1363"/>
      <c r="V654" s="1384"/>
      <c r="W654" s="1363"/>
      <c r="X654" s="1384"/>
      <c r="Y654" s="1363"/>
      <c r="Z654" s="1384"/>
      <c r="AA654" s="1363"/>
      <c r="AB654" s="1384"/>
      <c r="AC654" s="1492"/>
      <c r="AD654" s="1402"/>
      <c r="AE654" s="1405"/>
      <c r="AF654" s="1406"/>
      <c r="AG654" s="1422"/>
      <c r="AH654" s="1423" t="str">
        <f t="shared" si="146"/>
        <v>HK</v>
      </c>
      <c r="AI654" s="1427">
        <f t="shared" si="149"/>
        <v>10250000</v>
      </c>
      <c r="AJ654" s="1427">
        <f t="shared" si="150"/>
        <v>10250000</v>
      </c>
      <c r="AK654" s="1427">
        <f t="shared" si="151"/>
        <v>0</v>
      </c>
      <c r="AL654" s="1428" t="s">
        <v>1077</v>
      </c>
      <c r="AM654" s="1410"/>
      <c r="AN654" s="1411"/>
      <c r="AO654" s="1410"/>
      <c r="AP654" s="1411"/>
      <c r="AQ654" s="1128"/>
      <c r="AR654" s="1173"/>
      <c r="AT654" s="1173"/>
      <c r="AV654" s="1173"/>
      <c r="AX654" s="1173"/>
      <c r="AY654" s="1176"/>
      <c r="AZ654" s="1173"/>
    </row>
    <row r="655" spans="1:52" s="2" customFormat="1" x14ac:dyDescent="0.25">
      <c r="A655" s="164">
        <v>622</v>
      </c>
      <c r="B655" s="165">
        <v>8</v>
      </c>
      <c r="C655" s="174">
        <v>839130008</v>
      </c>
      <c r="D655" s="166" t="s">
        <v>1104</v>
      </c>
      <c r="E655" s="168" t="s">
        <v>848</v>
      </c>
      <c r="F655" s="169">
        <v>2013</v>
      </c>
      <c r="G655" s="214" t="s">
        <v>1077</v>
      </c>
      <c r="H655" s="215" t="str">
        <f t="shared" si="147"/>
        <v xml:space="preserve">   </v>
      </c>
      <c r="I655" s="215" t="str">
        <f t="shared" si="148"/>
        <v xml:space="preserve">   </v>
      </c>
      <c r="J655" s="1366">
        <v>1250000</v>
      </c>
      <c r="K655" s="1360"/>
      <c r="L655" s="1430">
        <v>3000000</v>
      </c>
      <c r="M655" s="1360">
        <v>41473</v>
      </c>
      <c r="N655" s="1430">
        <v>3000000</v>
      </c>
      <c r="O655" s="1360">
        <v>41680</v>
      </c>
      <c r="P655" s="1430">
        <v>3000000</v>
      </c>
      <c r="Q655" s="1360">
        <v>41890</v>
      </c>
      <c r="R655" s="1384"/>
      <c r="S655" s="1363"/>
      <c r="T655" s="1384"/>
      <c r="U655" s="1363"/>
      <c r="V655" s="1384"/>
      <c r="W655" s="1363"/>
      <c r="X655" s="1384"/>
      <c r="Y655" s="1363"/>
      <c r="Z655" s="1384"/>
      <c r="AA655" s="1363"/>
      <c r="AB655" s="1384"/>
      <c r="AC655" s="1492"/>
      <c r="AD655" s="1402"/>
      <c r="AE655" s="1405"/>
      <c r="AF655" s="1406"/>
      <c r="AG655" s="1422"/>
      <c r="AH655" s="1423" t="str">
        <f t="shared" si="146"/>
        <v>HK</v>
      </c>
      <c r="AI655" s="1427">
        <f t="shared" si="149"/>
        <v>10250000</v>
      </c>
      <c r="AJ655" s="1427">
        <f t="shared" si="150"/>
        <v>10250000</v>
      </c>
      <c r="AK655" s="1427">
        <f t="shared" si="151"/>
        <v>0</v>
      </c>
      <c r="AL655" s="1428" t="s">
        <v>1077</v>
      </c>
      <c r="AM655" s="1410"/>
      <c r="AN655" s="1411"/>
      <c r="AO655" s="1410"/>
      <c r="AP655" s="1411"/>
      <c r="AQ655" s="1128"/>
      <c r="AR655" s="1173"/>
      <c r="AT655" s="1173"/>
      <c r="AV655" s="1173"/>
      <c r="AX655" s="1173"/>
      <c r="AY655" s="1176"/>
      <c r="AZ655" s="1173"/>
    </row>
    <row r="656" spans="1:52" s="2" customFormat="1" x14ac:dyDescent="0.25">
      <c r="A656" s="156">
        <v>623</v>
      </c>
      <c r="B656" s="157">
        <v>9</v>
      </c>
      <c r="C656" s="159">
        <v>839130009</v>
      </c>
      <c r="D656" s="158" t="s">
        <v>1105</v>
      </c>
      <c r="E656" s="160" t="s">
        <v>848</v>
      </c>
      <c r="F656" s="161">
        <v>2013</v>
      </c>
      <c r="G656" s="162" t="s">
        <v>33</v>
      </c>
      <c r="H656" s="163" t="str">
        <f t="shared" si="147"/>
        <v xml:space="preserve">   </v>
      </c>
      <c r="I656" s="163">
        <f t="shared" si="148"/>
        <v>42504</v>
      </c>
      <c r="J656" s="1356">
        <v>1250000</v>
      </c>
      <c r="K656" s="1357"/>
      <c r="L656" s="1358">
        <v>3000000</v>
      </c>
      <c r="M656" s="1357">
        <v>41481</v>
      </c>
      <c r="N656" s="1358">
        <v>3000000</v>
      </c>
      <c r="O656" s="1357">
        <v>42223</v>
      </c>
      <c r="P656" s="1358">
        <v>3000000</v>
      </c>
      <c r="Q656" s="1357">
        <v>42223</v>
      </c>
      <c r="R656" s="1358">
        <v>3000000</v>
      </c>
      <c r="S656" s="1357">
        <v>42223</v>
      </c>
      <c r="T656" s="1358">
        <v>3000000</v>
      </c>
      <c r="U656" s="1357">
        <v>42223</v>
      </c>
      <c r="V656" s="1465" t="s">
        <v>1080</v>
      </c>
      <c r="W656" s="1357">
        <v>42504</v>
      </c>
      <c r="X656" s="1384"/>
      <c r="Y656" s="1363"/>
      <c r="Z656" s="1384"/>
      <c r="AA656" s="1363"/>
      <c r="AB656" s="1358">
        <v>1000000</v>
      </c>
      <c r="AC656" s="1493">
        <v>42374</v>
      </c>
      <c r="AD656" s="1402"/>
      <c r="AE656" s="1405"/>
      <c r="AF656" s="1406"/>
      <c r="AG656" s="1422"/>
      <c r="AH656" s="1423" t="str">
        <f t="shared" si="146"/>
        <v>HK</v>
      </c>
      <c r="AI656" s="1424">
        <f t="shared" si="149"/>
        <v>17250000</v>
      </c>
      <c r="AJ656" s="1424">
        <f t="shared" si="150"/>
        <v>17250000</v>
      </c>
      <c r="AK656" s="1425">
        <f t="shared" si="151"/>
        <v>0</v>
      </c>
      <c r="AL656" s="1426" t="str">
        <f t="shared" si="152"/>
        <v>Lunas</v>
      </c>
      <c r="AM656" s="1410"/>
      <c r="AN656" s="1411"/>
      <c r="AO656" s="1410"/>
      <c r="AP656" s="1411"/>
      <c r="AQ656" s="1128"/>
      <c r="AR656" s="1173"/>
      <c r="AT656" s="1173"/>
      <c r="AV656" s="1173"/>
      <c r="AX656" s="1173"/>
      <c r="AY656" s="1176"/>
      <c r="AZ656" s="1173"/>
    </row>
    <row r="657" spans="1:52" s="2" customFormat="1" x14ac:dyDescent="0.25">
      <c r="A657" s="216">
        <v>624</v>
      </c>
      <c r="B657" s="217">
        <v>10</v>
      </c>
      <c r="C657" s="219">
        <v>839130011</v>
      </c>
      <c r="D657" s="218" t="s">
        <v>1106</v>
      </c>
      <c r="E657" s="220" t="s">
        <v>848</v>
      </c>
      <c r="F657" s="221">
        <v>2013</v>
      </c>
      <c r="G657" s="170" t="s">
        <v>1077</v>
      </c>
      <c r="H657" s="222" t="str">
        <f t="shared" si="147"/>
        <v xml:space="preserve">   </v>
      </c>
      <c r="I657" s="222" t="str">
        <f t="shared" si="148"/>
        <v xml:space="preserve">   </v>
      </c>
      <c r="J657" s="1444">
        <v>1250000</v>
      </c>
      <c r="K657" s="1445">
        <v>41712</v>
      </c>
      <c r="L657" s="1446"/>
      <c r="M657" s="1447" t="s">
        <v>1107</v>
      </c>
      <c r="N657" s="1446">
        <v>3000000</v>
      </c>
      <c r="O657" s="1445">
        <v>41712</v>
      </c>
      <c r="P657" s="1448">
        <v>3000000</v>
      </c>
      <c r="Q657" s="1445">
        <v>41880</v>
      </c>
      <c r="R657" s="1384"/>
      <c r="S657" s="1467"/>
      <c r="T657" s="1391"/>
      <c r="U657" s="1363"/>
      <c r="V657" s="1384"/>
      <c r="W657" s="1363"/>
      <c r="X657" s="1384"/>
      <c r="Y657" s="1363"/>
      <c r="Z657" s="1384"/>
      <c r="AA657" s="1363"/>
      <c r="AB657" s="1384"/>
      <c r="AC657" s="1492"/>
      <c r="AD657" s="1402"/>
      <c r="AE657" s="1405"/>
      <c r="AF657" s="1406"/>
      <c r="AG657" s="1422"/>
      <c r="AH657" s="1423" t="str">
        <f t="shared" si="146"/>
        <v>HK</v>
      </c>
      <c r="AI657" s="1427">
        <f t="shared" si="149"/>
        <v>7250000</v>
      </c>
      <c r="AJ657" s="1427">
        <f t="shared" si="150"/>
        <v>7250000</v>
      </c>
      <c r="AK657" s="1427">
        <f t="shared" si="151"/>
        <v>0</v>
      </c>
      <c r="AL657" s="1428" t="s">
        <v>1077</v>
      </c>
      <c r="AM657" s="1410"/>
      <c r="AN657" s="1411"/>
      <c r="AO657" s="1410"/>
      <c r="AP657" s="1411"/>
      <c r="AQ657" s="1128"/>
      <c r="AR657" s="1173"/>
      <c r="AT657" s="1173"/>
      <c r="AV657" s="1173"/>
      <c r="AX657" s="1173"/>
      <c r="AY657" s="1176"/>
      <c r="AZ657" s="1173"/>
    </row>
    <row r="658" spans="1:52" s="2" customFormat="1" x14ac:dyDescent="0.25">
      <c r="A658" s="223"/>
      <c r="B658" s="224"/>
      <c r="C658" s="1429"/>
      <c r="D658" s="225"/>
      <c r="E658" s="227" t="s">
        <v>61</v>
      </c>
      <c r="F658" s="228" t="s">
        <v>61</v>
      </c>
      <c r="G658" s="192" t="s">
        <v>61</v>
      </c>
      <c r="H658" s="226"/>
      <c r="I658" s="226"/>
      <c r="J658" s="226"/>
      <c r="K658" s="226"/>
      <c r="L658" s="1449"/>
      <c r="M658" s="226"/>
      <c r="N658" s="226"/>
      <c r="O658" s="226"/>
      <c r="P658" s="1449"/>
      <c r="Q658" s="1468"/>
      <c r="R658" s="226"/>
      <c r="S658" s="1469"/>
      <c r="T658" s="1174"/>
      <c r="U658" s="226"/>
      <c r="V658" s="1174"/>
      <c r="W658" s="226"/>
      <c r="X658" s="1174"/>
      <c r="Y658" s="226"/>
      <c r="Z658" s="1174"/>
      <c r="AA658" s="226"/>
      <c r="AB658" s="226"/>
      <c r="AC658" s="1494"/>
      <c r="AD658" s="226"/>
      <c r="AE658" s="1155"/>
      <c r="AF658" s="1155"/>
      <c r="AG658" s="1155"/>
      <c r="AH658" s="1155" t="str">
        <f t="shared" si="146"/>
        <v>-</v>
      </c>
      <c r="AI658" s="1155"/>
      <c r="AJ658" s="1155"/>
      <c r="AK658" s="1155"/>
      <c r="AL658" s="1155"/>
      <c r="AM658" s="1513"/>
      <c r="AN658" s="1514"/>
      <c r="AO658" s="1513"/>
      <c r="AP658" s="1514"/>
      <c r="AQ658" s="1128"/>
      <c r="AR658" s="1173"/>
      <c r="AT658" s="1173"/>
      <c r="AV658" s="1173"/>
      <c r="AX658" s="1173"/>
      <c r="AY658" s="1176"/>
      <c r="AZ658" s="1173"/>
    </row>
    <row r="659" spans="1:52" s="2" customFormat="1" x14ac:dyDescent="0.25">
      <c r="A659" s="194" t="s">
        <v>1108</v>
      </c>
      <c r="B659" s="229"/>
      <c r="C659" s="231"/>
      <c r="D659" s="230"/>
      <c r="E659" s="198" t="s">
        <v>1096</v>
      </c>
      <c r="F659" s="199" t="s">
        <v>1096</v>
      </c>
      <c r="G659" s="146">
        <v>3000000</v>
      </c>
      <c r="H659" s="232"/>
      <c r="I659" s="232"/>
      <c r="J659" s="1450">
        <v>1250000</v>
      </c>
      <c r="K659" s="1438"/>
      <c r="L659" s="1351" t="s">
        <v>1049</v>
      </c>
      <c r="M659" s="1352" t="s">
        <v>1050</v>
      </c>
      <c r="N659" s="1351" t="s">
        <v>1051</v>
      </c>
      <c r="O659" s="1352" t="s">
        <v>1052</v>
      </c>
      <c r="P659" s="1351" t="s">
        <v>1053</v>
      </c>
      <c r="Q659" s="1352" t="s">
        <v>1054</v>
      </c>
      <c r="R659" s="1351" t="s">
        <v>1055</v>
      </c>
      <c r="S659" s="1352" t="s">
        <v>1056</v>
      </c>
      <c r="T659" s="1351" t="s">
        <v>1057</v>
      </c>
      <c r="U659" s="1379" t="s">
        <v>1058</v>
      </c>
      <c r="V659" s="1380" t="s">
        <v>1059</v>
      </c>
      <c r="W659" s="1379" t="s">
        <v>1060</v>
      </c>
      <c r="X659" s="1380" t="s">
        <v>1061</v>
      </c>
      <c r="Y659" s="1379" t="s">
        <v>1062</v>
      </c>
      <c r="Z659" s="1380" t="s">
        <v>1063</v>
      </c>
      <c r="AA659" s="1379" t="s">
        <v>1064</v>
      </c>
      <c r="AB659" s="1397">
        <v>1000000</v>
      </c>
      <c r="AC659" s="1127"/>
      <c r="AD659" s="1398" t="s">
        <v>1065</v>
      </c>
      <c r="AE659" s="1399" t="s">
        <v>1066</v>
      </c>
      <c r="AF659" s="1400" t="s">
        <v>1067</v>
      </c>
      <c r="AG659" s="1412" t="s">
        <v>1068</v>
      </c>
      <c r="AH659" s="1518" t="str">
        <f t="shared" si="146"/>
        <v>#</v>
      </c>
      <c r="AI659" s="1512"/>
      <c r="AJ659" s="1409"/>
      <c r="AK659" s="1409"/>
      <c r="AL659" s="1513"/>
      <c r="AM659" s="1513"/>
      <c r="AN659" s="1514"/>
      <c r="AO659" s="1513"/>
      <c r="AP659" s="1514"/>
      <c r="AQ659" s="1128"/>
      <c r="AR659" s="1173"/>
      <c r="AT659" s="1173"/>
      <c r="AV659" s="1173"/>
      <c r="AX659" s="1173"/>
      <c r="AY659" s="1176"/>
      <c r="AZ659" s="1173"/>
    </row>
    <row r="660" spans="1:52" s="2" customFormat="1" x14ac:dyDescent="0.25">
      <c r="A660" s="148">
        <v>625</v>
      </c>
      <c r="B660" s="149">
        <v>8</v>
      </c>
      <c r="C660" s="151">
        <v>849213001</v>
      </c>
      <c r="D660" s="150" t="s">
        <v>1109</v>
      </c>
      <c r="E660" s="152" t="s">
        <v>1110</v>
      </c>
      <c r="F660" s="153">
        <v>2013</v>
      </c>
      <c r="G660" s="154" t="s">
        <v>33</v>
      </c>
      <c r="H660" s="163" t="str">
        <f t="shared" ref="H660:H666" si="153">IFERROR(VLOOKUP(C660,Tlus,3,FALSE),"   ")</f>
        <v xml:space="preserve">   </v>
      </c>
      <c r="I660" s="163">
        <f t="shared" ref="I660:I666" si="154">IFERROR(VLOOKUP(C660,Wis,4,FALSE),"   ")</f>
        <v>42329</v>
      </c>
      <c r="J660" s="1451">
        <v>1250000</v>
      </c>
      <c r="K660" s="1452"/>
      <c r="L660" s="1355">
        <v>3000000</v>
      </c>
      <c r="M660" s="1354">
        <v>41464</v>
      </c>
      <c r="N660" s="1355">
        <v>3000000</v>
      </c>
      <c r="O660" s="1354">
        <v>41673</v>
      </c>
      <c r="P660" s="1355">
        <v>3000000</v>
      </c>
      <c r="Q660" s="1354">
        <v>42250</v>
      </c>
      <c r="R660" s="1355">
        <v>3000000</v>
      </c>
      <c r="S660" s="1354">
        <v>42039</v>
      </c>
      <c r="T660" s="1470" t="s">
        <v>276</v>
      </c>
      <c r="U660" s="1401">
        <v>42329</v>
      </c>
      <c r="V660" s="1384"/>
      <c r="W660" s="1363"/>
      <c r="X660" s="1384"/>
      <c r="Y660" s="1363"/>
      <c r="Z660" s="1384"/>
      <c r="AA660" s="1363"/>
      <c r="AB660" s="1355">
        <v>1000000</v>
      </c>
      <c r="AC660" s="1401">
        <v>42039</v>
      </c>
      <c r="AD660" s="1402"/>
      <c r="AE660" s="1405"/>
      <c r="AF660" s="1406"/>
      <c r="AG660" s="1422"/>
      <c r="AH660" s="1416" t="str">
        <f t="shared" si="146"/>
        <v>PBA</v>
      </c>
      <c r="AI660" s="1424">
        <f t="shared" ref="AI660:AI663" si="155">SUM(J660,L660,N660,P660,R660,T660,V660,X660,Z660,AB660,AD660,AF660)</f>
        <v>14250000</v>
      </c>
      <c r="AJ660" s="1424">
        <f t="shared" ref="AJ660:AJ669" si="156">(COUNT(L660,N660,P660,R660,T660,V660,X660,Z660,AD660,AF660)*$G$623)+(COUNT(J660)*$J$623)+(COUNT(AB660)*$AB$623)</f>
        <v>14250000</v>
      </c>
      <c r="AK660" s="1519">
        <f t="shared" ref="AK660:AK663" si="157">AJ660-AI660</f>
        <v>0</v>
      </c>
      <c r="AL660" s="1516" t="str">
        <f t="shared" ref="AL660:AL663" si="158">IF(AK660=0,"Lunas","Cek")</f>
        <v>Lunas</v>
      </c>
      <c r="AM660" s="1410"/>
      <c r="AN660" s="1411"/>
      <c r="AO660" s="1410"/>
      <c r="AP660" s="1411"/>
      <c r="AQ660" s="1128"/>
      <c r="AR660" s="1173"/>
      <c r="AT660" s="1173"/>
      <c r="AV660" s="1173"/>
      <c r="AX660" s="1173"/>
      <c r="AY660" s="1176"/>
      <c r="AZ660" s="1173"/>
    </row>
    <row r="661" spans="1:52" s="2" customFormat="1" x14ac:dyDescent="0.25">
      <c r="A661" s="156">
        <v>626</v>
      </c>
      <c r="B661" s="157">
        <v>9</v>
      </c>
      <c r="C661" s="159">
        <v>849213002</v>
      </c>
      <c r="D661" s="158" t="s">
        <v>1111</v>
      </c>
      <c r="E661" s="179" t="s">
        <v>1110</v>
      </c>
      <c r="F661" s="161">
        <v>2013</v>
      </c>
      <c r="G661" s="162" t="s">
        <v>33</v>
      </c>
      <c r="H661" s="163">
        <f t="shared" si="153"/>
        <v>43370</v>
      </c>
      <c r="I661" s="163">
        <f t="shared" si="154"/>
        <v>43440</v>
      </c>
      <c r="J661" s="1356">
        <v>1250000</v>
      </c>
      <c r="K661" s="1357"/>
      <c r="L661" s="1358">
        <v>3000000</v>
      </c>
      <c r="M661" s="1357">
        <v>41458</v>
      </c>
      <c r="N661" s="1358">
        <v>3000000</v>
      </c>
      <c r="O661" s="1357">
        <v>41675</v>
      </c>
      <c r="P661" s="1356">
        <v>3000000</v>
      </c>
      <c r="Q661" s="1357">
        <v>41862</v>
      </c>
      <c r="R661" s="1186" t="s">
        <v>1112</v>
      </c>
      <c r="S661" s="1466"/>
      <c r="T661" s="1356">
        <v>3000000</v>
      </c>
      <c r="U661" s="1357">
        <v>42495</v>
      </c>
      <c r="V661" s="1222" t="s">
        <v>1112</v>
      </c>
      <c r="W661" s="1357">
        <v>42515</v>
      </c>
      <c r="X661" s="1358">
        <v>3000000</v>
      </c>
      <c r="Y661" s="1357">
        <v>42846</v>
      </c>
      <c r="Z661" s="1358">
        <v>3000000</v>
      </c>
      <c r="AA661" s="1357">
        <v>43229</v>
      </c>
      <c r="AB661" s="1358">
        <v>1000000</v>
      </c>
      <c r="AC661" s="1383">
        <v>43339</v>
      </c>
      <c r="AD661" s="1495">
        <v>3000000</v>
      </c>
      <c r="AE661" s="1496">
        <v>43339</v>
      </c>
      <c r="AF661" s="1495">
        <v>3000000</v>
      </c>
      <c r="AG661" s="1496">
        <v>43339</v>
      </c>
      <c r="AH661" s="1423" t="str">
        <f t="shared" si="146"/>
        <v>PBA</v>
      </c>
      <c r="AI661" s="1424">
        <f t="shared" si="155"/>
        <v>26250000</v>
      </c>
      <c r="AJ661" s="1424">
        <f t="shared" si="156"/>
        <v>26250000</v>
      </c>
      <c r="AK661" s="1425">
        <f t="shared" si="157"/>
        <v>0</v>
      </c>
      <c r="AL661" s="1426" t="str">
        <f t="shared" si="158"/>
        <v>Lunas</v>
      </c>
      <c r="AM661" s="1410"/>
      <c r="AN661" s="1411"/>
      <c r="AO661" s="1410"/>
      <c r="AP661" s="1411"/>
      <c r="AQ661" s="1128"/>
      <c r="AR661" s="1173"/>
      <c r="AT661" s="1173"/>
      <c r="AV661" s="1173"/>
      <c r="AX661" s="1173"/>
      <c r="AY661" s="1176"/>
      <c r="AZ661" s="1173"/>
    </row>
    <row r="662" spans="1:52" s="2" customFormat="1" x14ac:dyDescent="0.25">
      <c r="A662" s="156">
        <v>627</v>
      </c>
      <c r="B662" s="157">
        <v>4</v>
      </c>
      <c r="C662" s="159">
        <v>849213003</v>
      </c>
      <c r="D662" s="158" t="s">
        <v>1113</v>
      </c>
      <c r="E662" s="160" t="s">
        <v>1110</v>
      </c>
      <c r="F662" s="161">
        <v>2013</v>
      </c>
      <c r="G662" s="162" t="s">
        <v>33</v>
      </c>
      <c r="H662" s="163" t="str">
        <f t="shared" si="153"/>
        <v xml:space="preserve">   </v>
      </c>
      <c r="I662" s="163">
        <f t="shared" si="154"/>
        <v>42329</v>
      </c>
      <c r="J662" s="1358">
        <v>1250000</v>
      </c>
      <c r="K662" s="1357"/>
      <c r="L662" s="1358">
        <v>3000000</v>
      </c>
      <c r="M662" s="1357">
        <v>41463</v>
      </c>
      <c r="N662" s="1358">
        <v>3000000</v>
      </c>
      <c r="O662" s="1357">
        <v>41677</v>
      </c>
      <c r="P662" s="1358">
        <v>3000000</v>
      </c>
      <c r="Q662" s="1357">
        <v>42121</v>
      </c>
      <c r="R662" s="1358">
        <v>3000000</v>
      </c>
      <c r="S662" s="1357">
        <v>42121</v>
      </c>
      <c r="T662" s="1382" t="s">
        <v>276</v>
      </c>
      <c r="U662" s="1383">
        <v>42329</v>
      </c>
      <c r="V662" s="1384"/>
      <c r="W662" s="1363"/>
      <c r="X662" s="1384"/>
      <c r="Y662" s="1363"/>
      <c r="Z662" s="1384"/>
      <c r="AA662" s="1363"/>
      <c r="AB662" s="1358">
        <v>1000000</v>
      </c>
      <c r="AC662" s="1383">
        <v>42161</v>
      </c>
      <c r="AD662" s="1402"/>
      <c r="AE662" s="1405"/>
      <c r="AF662" s="1406"/>
      <c r="AG662" s="1422"/>
      <c r="AH662" s="1423" t="str">
        <f t="shared" si="146"/>
        <v>PBA</v>
      </c>
      <c r="AI662" s="1424">
        <f t="shared" si="155"/>
        <v>14250000</v>
      </c>
      <c r="AJ662" s="1424">
        <f t="shared" si="156"/>
        <v>14250000</v>
      </c>
      <c r="AK662" s="1425">
        <f t="shared" si="157"/>
        <v>0</v>
      </c>
      <c r="AL662" s="1426" t="str">
        <f t="shared" si="158"/>
        <v>Lunas</v>
      </c>
      <c r="AM662" s="1410"/>
      <c r="AN662" s="1411"/>
      <c r="AO662" s="1410"/>
      <c r="AP662" s="1411"/>
      <c r="AQ662" s="1128"/>
      <c r="AR662" s="1173"/>
      <c r="AT662" s="1173"/>
      <c r="AV662" s="1173"/>
      <c r="AX662" s="1173"/>
      <c r="AY662" s="1176"/>
      <c r="AZ662" s="1173"/>
    </row>
    <row r="663" spans="1:52" s="2" customFormat="1" x14ac:dyDescent="0.25">
      <c r="A663" s="156">
        <v>628</v>
      </c>
      <c r="B663" s="157">
        <v>3</v>
      </c>
      <c r="C663" s="159">
        <v>849213004</v>
      </c>
      <c r="D663" s="158" t="s">
        <v>1114</v>
      </c>
      <c r="E663" s="160" t="s">
        <v>1110</v>
      </c>
      <c r="F663" s="161">
        <v>2013</v>
      </c>
      <c r="G663" s="162" t="s">
        <v>33</v>
      </c>
      <c r="H663" s="163" t="str">
        <f t="shared" si="153"/>
        <v xml:space="preserve">   </v>
      </c>
      <c r="I663" s="163">
        <f t="shared" si="154"/>
        <v>42329</v>
      </c>
      <c r="J663" s="1358">
        <v>1250000</v>
      </c>
      <c r="K663" s="1357"/>
      <c r="L663" s="1358">
        <v>3000000</v>
      </c>
      <c r="M663" s="1357">
        <v>41456</v>
      </c>
      <c r="N663" s="1358">
        <v>3000000</v>
      </c>
      <c r="O663" s="1357"/>
      <c r="P663" s="1358">
        <v>3000000</v>
      </c>
      <c r="Q663" s="1357">
        <v>42037</v>
      </c>
      <c r="R663" s="1358">
        <v>3000000</v>
      </c>
      <c r="S663" s="1357">
        <v>42103</v>
      </c>
      <c r="T663" s="1382" t="s">
        <v>276</v>
      </c>
      <c r="U663" s="1383">
        <v>42329</v>
      </c>
      <c r="V663" s="1384"/>
      <c r="W663" s="1363"/>
      <c r="X663" s="1384"/>
      <c r="Y663" s="1363"/>
      <c r="Z663" s="1384"/>
      <c r="AA663" s="1363"/>
      <c r="AB663" s="1358">
        <v>1000000</v>
      </c>
      <c r="AC663" s="1383">
        <v>42103</v>
      </c>
      <c r="AD663" s="1402"/>
      <c r="AE663" s="1405"/>
      <c r="AF663" s="1406"/>
      <c r="AG663" s="1422"/>
      <c r="AH663" s="1423" t="str">
        <f t="shared" si="146"/>
        <v>PBA</v>
      </c>
      <c r="AI663" s="1424">
        <f t="shared" si="155"/>
        <v>14250000</v>
      </c>
      <c r="AJ663" s="1424">
        <f t="shared" si="156"/>
        <v>14250000</v>
      </c>
      <c r="AK663" s="1425">
        <f t="shared" si="157"/>
        <v>0</v>
      </c>
      <c r="AL663" s="1426" t="str">
        <f t="shared" si="158"/>
        <v>Lunas</v>
      </c>
      <c r="AM663" s="1410"/>
      <c r="AN663" s="1411"/>
      <c r="AO663" s="1410"/>
      <c r="AP663" s="1411"/>
      <c r="AQ663" s="1128"/>
      <c r="AR663" s="1173"/>
      <c r="AT663" s="1173"/>
      <c r="AV663" s="1173"/>
      <c r="AX663" s="1173"/>
      <c r="AY663" s="1176"/>
      <c r="AZ663" s="1173"/>
    </row>
    <row r="664" spans="1:52" s="2" customFormat="1" x14ac:dyDescent="0.25">
      <c r="A664" s="156">
        <v>629</v>
      </c>
      <c r="B664" s="157">
        <v>6</v>
      </c>
      <c r="C664" s="159">
        <v>849213009</v>
      </c>
      <c r="D664" s="233" t="s">
        <v>1115</v>
      </c>
      <c r="E664" s="160" t="s">
        <v>1110</v>
      </c>
      <c r="F664" s="161">
        <v>2013</v>
      </c>
      <c r="G664" s="162" t="s">
        <v>33</v>
      </c>
      <c r="H664" s="163">
        <f t="shared" si="153"/>
        <v>42936</v>
      </c>
      <c r="I664" s="163">
        <f t="shared" si="154"/>
        <v>43064</v>
      </c>
      <c r="J664" s="1356">
        <v>0</v>
      </c>
      <c r="K664" s="1357"/>
      <c r="L664" s="1358">
        <v>3500000</v>
      </c>
      <c r="M664" s="1357">
        <v>42012</v>
      </c>
      <c r="N664" s="1358">
        <v>3000000</v>
      </c>
      <c r="O664" s="1357">
        <v>42930</v>
      </c>
      <c r="P664" s="1358">
        <v>2000000</v>
      </c>
      <c r="Q664" s="1357">
        <v>42930</v>
      </c>
      <c r="R664" s="1358">
        <v>3000000</v>
      </c>
      <c r="S664" s="1357">
        <v>43035</v>
      </c>
      <c r="T664" s="1358">
        <v>3000000</v>
      </c>
      <c r="U664" s="1383">
        <v>43035</v>
      </c>
      <c r="V664" s="1471">
        <v>0</v>
      </c>
      <c r="W664" s="1357"/>
      <c r="X664" s="1471">
        <v>0</v>
      </c>
      <c r="Y664" s="1497" t="s">
        <v>276</v>
      </c>
      <c r="Z664" s="1384"/>
      <c r="AA664" s="1363"/>
      <c r="AB664" s="1389">
        <v>0</v>
      </c>
      <c r="AC664" s="1363"/>
      <c r="AD664" s="1402"/>
      <c r="AE664" s="1405"/>
      <c r="AF664" s="1406"/>
      <c r="AG664" s="1422"/>
      <c r="AH664" s="1423" t="str">
        <f t="shared" si="146"/>
        <v>PBA</v>
      </c>
      <c r="AI664" s="1424">
        <f t="shared" ref="AI664:AI669" si="159">SUM(J664,L664,N664,P664,R664,T664,V664,X664,Z664,AB664,AD664,AF664)</f>
        <v>14500000</v>
      </c>
      <c r="AJ664" s="1424">
        <f t="shared" si="156"/>
        <v>23250000</v>
      </c>
      <c r="AK664" s="1520">
        <f t="shared" ref="AK664:AK669" si="160">AJ664-AI664</f>
        <v>8750000</v>
      </c>
      <c r="AL664" s="1426" t="str">
        <f t="shared" ref="AL664:AL668" si="161">IF(AK664=0,"Lunas","Cek")</f>
        <v>Cek</v>
      </c>
      <c r="AM664" s="1410"/>
      <c r="AN664" s="1411"/>
      <c r="AO664" s="1410"/>
      <c r="AP664" s="1411"/>
      <c r="AQ664" s="1128"/>
      <c r="AR664" s="1173"/>
      <c r="AT664" s="1173"/>
      <c r="AV664" s="1173"/>
      <c r="AX664" s="1173"/>
      <c r="AY664" s="1176"/>
      <c r="AZ664" s="1173"/>
    </row>
    <row r="665" spans="1:52" s="2" customFormat="1" x14ac:dyDescent="0.25">
      <c r="A665" s="156">
        <v>630</v>
      </c>
      <c r="B665" s="157">
        <v>1</v>
      </c>
      <c r="C665" s="159">
        <v>849213006</v>
      </c>
      <c r="D665" s="158" t="s">
        <v>1116</v>
      </c>
      <c r="E665" s="179" t="s">
        <v>1110</v>
      </c>
      <c r="F665" s="161">
        <v>2013</v>
      </c>
      <c r="G665" s="162" t="s">
        <v>33</v>
      </c>
      <c r="H665" s="163">
        <f t="shared" si="153"/>
        <v>43301</v>
      </c>
      <c r="I665" s="163">
        <f t="shared" si="154"/>
        <v>43440</v>
      </c>
      <c r="J665" s="1356">
        <v>1250000</v>
      </c>
      <c r="K665" s="1357"/>
      <c r="L665" s="1358">
        <v>3000000</v>
      </c>
      <c r="M665" s="1357">
        <v>41463</v>
      </c>
      <c r="N665" s="1358">
        <v>3000000</v>
      </c>
      <c r="O665" s="1357">
        <v>41673</v>
      </c>
      <c r="P665" s="1358">
        <v>3000000</v>
      </c>
      <c r="Q665" s="1357">
        <v>41859</v>
      </c>
      <c r="R665" s="1186" t="s">
        <v>1078</v>
      </c>
      <c r="S665" s="1386">
        <v>42147</v>
      </c>
      <c r="T665" s="1192" t="s">
        <v>1078</v>
      </c>
      <c r="U665" s="1386">
        <v>42305</v>
      </c>
      <c r="V665" s="1358">
        <v>3000000</v>
      </c>
      <c r="W665" s="1357">
        <v>42403</v>
      </c>
      <c r="X665" s="1358">
        <v>3000000</v>
      </c>
      <c r="Y665" s="1357">
        <v>43283</v>
      </c>
      <c r="Z665" s="1358">
        <v>3000000</v>
      </c>
      <c r="AA665" s="1357">
        <v>43283</v>
      </c>
      <c r="AB665" s="1358">
        <v>1000000</v>
      </c>
      <c r="AC665" s="1383">
        <v>43283</v>
      </c>
      <c r="AD665" s="1495">
        <v>3000000</v>
      </c>
      <c r="AE665" s="1498">
        <v>43283</v>
      </c>
      <c r="AF665" s="1495">
        <v>3000000</v>
      </c>
      <c r="AG665" s="1498">
        <v>43283</v>
      </c>
      <c r="AH665" s="1423" t="str">
        <f t="shared" si="146"/>
        <v>PBA</v>
      </c>
      <c r="AI665" s="1424">
        <f t="shared" si="159"/>
        <v>26250000</v>
      </c>
      <c r="AJ665" s="1424">
        <f t="shared" si="156"/>
        <v>26250000</v>
      </c>
      <c r="AK665" s="1425">
        <f t="shared" si="160"/>
        <v>0</v>
      </c>
      <c r="AL665" s="1426" t="str">
        <f t="shared" si="161"/>
        <v>Lunas</v>
      </c>
      <c r="AM665" s="1410"/>
      <c r="AN665" s="1411"/>
      <c r="AO665" s="1410"/>
      <c r="AP665" s="1411"/>
      <c r="AQ665" s="1128"/>
      <c r="AR665" s="1173"/>
      <c r="AT665" s="1173"/>
      <c r="AV665" s="1173"/>
      <c r="AX665" s="1173"/>
      <c r="AY665" s="1176"/>
      <c r="AZ665" s="1173"/>
    </row>
    <row r="666" spans="1:52" s="2" customFormat="1" x14ac:dyDescent="0.25">
      <c r="A666" s="156">
        <v>631</v>
      </c>
      <c r="B666" s="157">
        <v>10</v>
      </c>
      <c r="C666" s="159">
        <v>849213007</v>
      </c>
      <c r="D666" s="158" t="s">
        <v>1117</v>
      </c>
      <c r="E666" s="160" t="s">
        <v>1110</v>
      </c>
      <c r="F666" s="161">
        <v>2013</v>
      </c>
      <c r="G666" s="162" t="s">
        <v>33</v>
      </c>
      <c r="H666" s="163">
        <f t="shared" si="153"/>
        <v>43026</v>
      </c>
      <c r="I666" s="163">
        <f t="shared" si="154"/>
        <v>43064</v>
      </c>
      <c r="J666" s="1356">
        <v>1250000</v>
      </c>
      <c r="K666" s="1357"/>
      <c r="L666" s="1358">
        <v>3000000</v>
      </c>
      <c r="M666" s="1357">
        <v>41472</v>
      </c>
      <c r="N666" s="1358">
        <v>3000000</v>
      </c>
      <c r="O666" s="1357">
        <v>41677</v>
      </c>
      <c r="P666" s="1358">
        <v>3000000</v>
      </c>
      <c r="Q666" s="1357">
        <v>41866</v>
      </c>
      <c r="R666" s="1472"/>
      <c r="S666" s="1357"/>
      <c r="T666" s="1358">
        <v>3000000</v>
      </c>
      <c r="U666" s="1357">
        <v>42321</v>
      </c>
      <c r="V666" s="1358">
        <v>3000000</v>
      </c>
      <c r="W666" s="1357">
        <v>42488</v>
      </c>
      <c r="X666" s="1356">
        <v>3000000</v>
      </c>
      <c r="Y666" s="1357">
        <v>43005</v>
      </c>
      <c r="Z666" s="1358">
        <v>3000000</v>
      </c>
      <c r="AA666" s="1357">
        <v>43005</v>
      </c>
      <c r="AB666" s="1358">
        <v>1000000</v>
      </c>
      <c r="AC666" s="1383">
        <v>42488</v>
      </c>
      <c r="AD666" s="1402"/>
      <c r="AE666" s="1405"/>
      <c r="AF666" s="1406"/>
      <c r="AG666" s="1422"/>
      <c r="AH666" s="1423" t="str">
        <f t="shared" si="146"/>
        <v>PBA</v>
      </c>
      <c r="AI666" s="1424">
        <f t="shared" si="159"/>
        <v>23250000</v>
      </c>
      <c r="AJ666" s="1424">
        <f t="shared" si="156"/>
        <v>23250000</v>
      </c>
      <c r="AK666" s="1425">
        <f t="shared" si="160"/>
        <v>0</v>
      </c>
      <c r="AL666" s="1426" t="str">
        <f t="shared" si="161"/>
        <v>Lunas</v>
      </c>
      <c r="AM666" s="1410"/>
      <c r="AN666" s="1411"/>
      <c r="AO666" s="1410"/>
      <c r="AP666" s="1411"/>
      <c r="AQ666" s="1128"/>
      <c r="AR666" s="1173"/>
      <c r="AT666" s="1173"/>
      <c r="AV666" s="1173"/>
      <c r="AX666" s="1173"/>
      <c r="AY666" s="1176"/>
      <c r="AZ666" s="1173"/>
    </row>
    <row r="667" spans="1:52" s="2" customFormat="1" x14ac:dyDescent="0.25">
      <c r="A667" s="234">
        <v>632</v>
      </c>
      <c r="B667" s="235">
        <v>2</v>
      </c>
      <c r="C667" s="236">
        <v>849213008</v>
      </c>
      <c r="D667" s="233" t="s">
        <v>1118</v>
      </c>
      <c r="E667" s="237" t="s">
        <v>1110</v>
      </c>
      <c r="F667" s="238">
        <v>2013</v>
      </c>
      <c r="G667" s="214" t="s">
        <v>1077</v>
      </c>
      <c r="H667" s="239"/>
      <c r="I667" s="239"/>
      <c r="J667" s="1453">
        <v>1250000</v>
      </c>
      <c r="K667" s="1454"/>
      <c r="L667" s="1455">
        <v>3000000</v>
      </c>
      <c r="M667" s="1454">
        <v>41463</v>
      </c>
      <c r="N667" s="1384"/>
      <c r="O667" s="1363"/>
      <c r="P667" s="1384"/>
      <c r="Q667" s="1363"/>
      <c r="R667" s="1384"/>
      <c r="S667" s="1467"/>
      <c r="T667" s="1391"/>
      <c r="U667" s="1363"/>
      <c r="V667" s="1384"/>
      <c r="W667" s="1363"/>
      <c r="X667" s="1384"/>
      <c r="Y667" s="1363"/>
      <c r="Z667" s="1384"/>
      <c r="AA667" s="1363"/>
      <c r="AB667" s="1384"/>
      <c r="AC667" s="1363"/>
      <c r="AD667" s="1402"/>
      <c r="AE667" s="1405"/>
      <c r="AF667" s="1406"/>
      <c r="AG667" s="1422"/>
      <c r="AH667" s="1423" t="str">
        <f t="shared" si="146"/>
        <v>PBA</v>
      </c>
      <c r="AI667" s="1427">
        <f t="shared" si="159"/>
        <v>4250000</v>
      </c>
      <c r="AJ667" s="1427">
        <f t="shared" si="156"/>
        <v>4250000</v>
      </c>
      <c r="AK667" s="1427">
        <f t="shared" si="160"/>
        <v>0</v>
      </c>
      <c r="AL667" s="1428" t="s">
        <v>1077</v>
      </c>
      <c r="AM667" s="1410"/>
      <c r="AN667" s="1411"/>
      <c r="AO667" s="1410"/>
      <c r="AP667" s="1411"/>
      <c r="AQ667" s="1128"/>
      <c r="AR667" s="1173"/>
      <c r="AT667" s="1173"/>
      <c r="AV667" s="1173"/>
      <c r="AX667" s="1173"/>
      <c r="AY667" s="1176"/>
      <c r="AZ667" s="1173"/>
    </row>
    <row r="668" spans="1:52" s="2" customFormat="1" x14ac:dyDescent="0.25">
      <c r="A668" s="156">
        <v>633</v>
      </c>
      <c r="B668" s="157">
        <v>5</v>
      </c>
      <c r="C668" s="159">
        <v>849213010</v>
      </c>
      <c r="D668" s="158" t="s">
        <v>1119</v>
      </c>
      <c r="E668" s="160" t="s">
        <v>1110</v>
      </c>
      <c r="F668" s="161">
        <v>2013</v>
      </c>
      <c r="G668" s="162" t="s">
        <v>33</v>
      </c>
      <c r="H668" s="163" t="str">
        <f>IFERROR(VLOOKUP(C668,Tlus,3,FALSE),"   ")</f>
        <v xml:space="preserve">   </v>
      </c>
      <c r="I668" s="163">
        <f>IFERROR(VLOOKUP(C668,Wis,4,FALSE),"   ")</f>
        <v>42329</v>
      </c>
      <c r="J668" s="1364">
        <v>1250000</v>
      </c>
      <c r="K668" s="1365"/>
      <c r="L668" s="1358">
        <v>3000000</v>
      </c>
      <c r="M668" s="1357">
        <v>41460</v>
      </c>
      <c r="N668" s="1358">
        <v>3000000</v>
      </c>
      <c r="O668" s="1357">
        <v>41677</v>
      </c>
      <c r="P668" s="1358">
        <v>3000000</v>
      </c>
      <c r="Q668" s="1357">
        <v>41885</v>
      </c>
      <c r="R668" s="1358">
        <v>3000000</v>
      </c>
      <c r="S668" s="1357">
        <v>42115</v>
      </c>
      <c r="T668" s="1382" t="s">
        <v>276</v>
      </c>
      <c r="U668" s="1383">
        <v>42329</v>
      </c>
      <c r="V668" s="1384"/>
      <c r="W668" s="1363"/>
      <c r="X668" s="1384"/>
      <c r="Y668" s="1363"/>
      <c r="Z668" s="1384"/>
      <c r="AA668" s="1363"/>
      <c r="AB668" s="1358">
        <v>1000000</v>
      </c>
      <c r="AC668" s="1383">
        <v>42192</v>
      </c>
      <c r="AD668" s="1402"/>
      <c r="AE668" s="1405"/>
      <c r="AF668" s="1406"/>
      <c r="AG668" s="1422"/>
      <c r="AH668" s="1423" t="str">
        <f t="shared" si="146"/>
        <v>PBA</v>
      </c>
      <c r="AI668" s="1424">
        <f t="shared" si="159"/>
        <v>14250000</v>
      </c>
      <c r="AJ668" s="1424">
        <f t="shared" si="156"/>
        <v>14250000</v>
      </c>
      <c r="AK668" s="1425">
        <f t="shared" si="160"/>
        <v>0</v>
      </c>
      <c r="AL668" s="1426" t="str">
        <f t="shared" si="161"/>
        <v>Lunas</v>
      </c>
      <c r="AM668" s="1410"/>
      <c r="AN668" s="1411"/>
      <c r="AO668" s="1410"/>
      <c r="AP668" s="1411"/>
      <c r="AQ668" s="1128"/>
      <c r="AR668" s="1173"/>
      <c r="AT668" s="1173"/>
      <c r="AV668" s="1173"/>
      <c r="AX668" s="1173"/>
      <c r="AY668" s="1176"/>
      <c r="AZ668" s="1173"/>
    </row>
    <row r="669" spans="1:52" s="2" customFormat="1" x14ac:dyDescent="0.25">
      <c r="A669" s="240">
        <v>634</v>
      </c>
      <c r="B669" s="241">
        <v>7</v>
      </c>
      <c r="C669" s="243">
        <v>849213011</v>
      </c>
      <c r="D669" s="242" t="s">
        <v>1120</v>
      </c>
      <c r="E669" s="244" t="s">
        <v>1110</v>
      </c>
      <c r="F669" s="245">
        <v>2013</v>
      </c>
      <c r="G669" s="170" t="s">
        <v>1077</v>
      </c>
      <c r="H669" s="246"/>
      <c r="I669" s="246"/>
      <c r="J669" s="1456">
        <v>1250000</v>
      </c>
      <c r="K669" s="1457"/>
      <c r="L669" s="1458">
        <v>3000000</v>
      </c>
      <c r="M669" s="1457">
        <v>41459</v>
      </c>
      <c r="N669" s="1458">
        <v>3000000</v>
      </c>
      <c r="O669" s="1457">
        <v>41676</v>
      </c>
      <c r="P669" s="1384"/>
      <c r="Q669" s="1363"/>
      <c r="R669" s="1384"/>
      <c r="S669" s="1467"/>
      <c r="T669" s="1391"/>
      <c r="U669" s="1363"/>
      <c r="V669" s="1384"/>
      <c r="W669" s="1363"/>
      <c r="X669" s="1384"/>
      <c r="Y669" s="1363"/>
      <c r="Z669" s="1384"/>
      <c r="AA669" s="1363"/>
      <c r="AB669" s="1384"/>
      <c r="AC669" s="1363"/>
      <c r="AD669" s="1402"/>
      <c r="AE669" s="1405"/>
      <c r="AF669" s="1406"/>
      <c r="AG669" s="1422"/>
      <c r="AH669" s="1507" t="str">
        <f t="shared" si="146"/>
        <v>PBA</v>
      </c>
      <c r="AI669" s="1427">
        <f t="shared" si="159"/>
        <v>7250000</v>
      </c>
      <c r="AJ669" s="1427">
        <f t="shared" si="156"/>
        <v>7250000</v>
      </c>
      <c r="AK669" s="1427">
        <f t="shared" si="160"/>
        <v>0</v>
      </c>
      <c r="AL669" s="1428" t="s">
        <v>1077</v>
      </c>
      <c r="AM669" s="1410"/>
      <c r="AN669" s="1411"/>
      <c r="AO669" s="1410"/>
      <c r="AP669" s="1411"/>
      <c r="AQ669" s="1128"/>
      <c r="AR669" s="1173"/>
      <c r="AT669" s="1173"/>
      <c r="AV669" s="1173"/>
      <c r="AX669" s="1173"/>
      <c r="AY669" s="1176"/>
      <c r="AZ669" s="1173"/>
    </row>
    <row r="670" spans="1:52" s="4" customFormat="1" x14ac:dyDescent="0.25">
      <c r="A670" s="187"/>
      <c r="B670" s="188"/>
      <c r="C670" s="190"/>
      <c r="D670" s="247"/>
      <c r="E670" s="248" t="s">
        <v>1121</v>
      </c>
      <c r="F670" s="192" t="s">
        <v>61</v>
      </c>
      <c r="G670" s="192" t="s">
        <v>61</v>
      </c>
      <c r="H670" s="193"/>
      <c r="I670" s="193"/>
      <c r="J670" s="187"/>
      <c r="K670" s="1436"/>
      <c r="L670" s="1437"/>
      <c r="M670" s="1436"/>
      <c r="N670" s="1437"/>
      <c r="O670" s="1436"/>
      <c r="P670" s="1437"/>
      <c r="Q670" s="1436"/>
      <c r="R670" s="1437"/>
      <c r="S670" s="1464"/>
      <c r="T670" s="1437"/>
      <c r="U670" s="1436"/>
      <c r="V670" s="1473"/>
      <c r="W670" s="1436"/>
      <c r="X670" s="1473"/>
      <c r="Y670" s="1436"/>
      <c r="Z670" s="1473"/>
      <c r="AA670" s="1436"/>
      <c r="AB670" s="1436"/>
      <c r="AC670" s="1436"/>
      <c r="AD670" s="1436"/>
      <c r="AE670" s="1436"/>
      <c r="AF670" s="1436"/>
      <c r="AG670" s="1436"/>
      <c r="AH670" s="1436" t="str">
        <f t="shared" si="146"/>
        <v xml:space="preserve"> - </v>
      </c>
      <c r="AI670" s="1436"/>
      <c r="AJ670" s="1436"/>
      <c r="AK670" s="1436"/>
      <c r="AL670" s="1436"/>
      <c r="AM670" s="1510"/>
      <c r="AN670" s="1511"/>
      <c r="AO670" s="1510"/>
      <c r="AP670" s="1511"/>
      <c r="AQ670" s="1215"/>
      <c r="AR670" s="1216"/>
      <c r="AT670" s="1216"/>
      <c r="AV670" s="1216"/>
      <c r="AX670" s="1216"/>
      <c r="AY670" s="1217"/>
      <c r="AZ670" s="1216"/>
    </row>
    <row r="671" spans="1:52" s="2" customFormat="1" x14ac:dyDescent="0.25">
      <c r="A671" s="249" t="s">
        <v>1122</v>
      </c>
      <c r="B671" s="250"/>
      <c r="C671" s="261"/>
      <c r="D671" s="251"/>
      <c r="E671" s="198" t="s">
        <v>1096</v>
      </c>
      <c r="F671" s="199" t="s">
        <v>1096</v>
      </c>
      <c r="G671" s="146">
        <v>3000000</v>
      </c>
      <c r="H671" s="232"/>
      <c r="I671" s="232"/>
      <c r="J671" s="1450">
        <v>1250000</v>
      </c>
      <c r="K671" s="1438"/>
      <c r="L671" s="1351" t="s">
        <v>1049</v>
      </c>
      <c r="M671" s="1352" t="s">
        <v>1050</v>
      </c>
      <c r="N671" s="1351" t="s">
        <v>1051</v>
      </c>
      <c r="O671" s="1352" t="s">
        <v>1052</v>
      </c>
      <c r="P671" s="1351" t="s">
        <v>1053</v>
      </c>
      <c r="Q671" s="1352" t="s">
        <v>1054</v>
      </c>
      <c r="R671" s="1351" t="s">
        <v>1055</v>
      </c>
      <c r="S671" s="1352" t="s">
        <v>1056</v>
      </c>
      <c r="T671" s="1351" t="s">
        <v>1057</v>
      </c>
      <c r="U671" s="1379" t="s">
        <v>1058</v>
      </c>
      <c r="V671" s="1380" t="s">
        <v>1059</v>
      </c>
      <c r="W671" s="1379" t="s">
        <v>1060</v>
      </c>
      <c r="X671" s="1380" t="s">
        <v>1061</v>
      </c>
      <c r="Y671" s="1379" t="s">
        <v>1062</v>
      </c>
      <c r="Z671" s="1380" t="s">
        <v>1063</v>
      </c>
      <c r="AA671" s="1379" t="s">
        <v>1064</v>
      </c>
      <c r="AB671" s="1397">
        <v>1000000</v>
      </c>
      <c r="AC671" s="1127"/>
      <c r="AD671" s="1398" t="s">
        <v>1065</v>
      </c>
      <c r="AE671" s="1399" t="s">
        <v>1066</v>
      </c>
      <c r="AF671" s="1400" t="s">
        <v>1067</v>
      </c>
      <c r="AG671" s="1412" t="s">
        <v>1068</v>
      </c>
      <c r="AH671" s="1518" t="str">
        <f t="shared" si="146"/>
        <v>#</v>
      </c>
      <c r="AI671" s="1512"/>
      <c r="AJ671" s="1409"/>
      <c r="AK671" s="1409"/>
      <c r="AL671" s="1513"/>
      <c r="AM671" s="1513"/>
      <c r="AN671" s="1514"/>
      <c r="AO671" s="1513"/>
      <c r="AP671" s="1514"/>
      <c r="AQ671" s="1128"/>
      <c r="AR671" s="1173"/>
      <c r="AT671" s="1173"/>
      <c r="AV671" s="1173"/>
      <c r="AX671" s="1173"/>
      <c r="AY671" s="1176"/>
      <c r="AZ671" s="1173"/>
    </row>
    <row r="672" spans="1:52" s="2" customFormat="1" x14ac:dyDescent="0.25">
      <c r="A672" s="148">
        <v>635</v>
      </c>
      <c r="B672" s="149">
        <v>1</v>
      </c>
      <c r="C672" s="151">
        <v>849113004</v>
      </c>
      <c r="D672" s="150" t="s">
        <v>1123</v>
      </c>
      <c r="E672" s="152" t="s">
        <v>1070</v>
      </c>
      <c r="F672" s="153">
        <v>2013</v>
      </c>
      <c r="G672" s="154" t="s">
        <v>33</v>
      </c>
      <c r="H672" s="155" t="str">
        <f t="shared" ref="H672:H689" si="162">IFERROR(VLOOKUP(C672,Tlus,3,FALSE),"   ")</f>
        <v xml:space="preserve">   </v>
      </c>
      <c r="I672" s="155">
        <f t="shared" ref="I672:I689" si="163">IFERROR(VLOOKUP(C672,Wis,4,FALSE),"   ")</f>
        <v>42329</v>
      </c>
      <c r="J672" s="1353">
        <v>1250000</v>
      </c>
      <c r="K672" s="1354"/>
      <c r="L672" s="1355">
        <v>3000000</v>
      </c>
      <c r="M672" s="1354">
        <v>41463</v>
      </c>
      <c r="N672" s="1355">
        <v>3000000</v>
      </c>
      <c r="O672" s="1354">
        <v>41669</v>
      </c>
      <c r="P672" s="1355">
        <v>3000000</v>
      </c>
      <c r="Q672" s="1354">
        <v>41859</v>
      </c>
      <c r="R672" s="1355">
        <v>3000000</v>
      </c>
      <c r="S672" s="1354">
        <v>42074</v>
      </c>
      <c r="T672" s="1470" t="s">
        <v>276</v>
      </c>
      <c r="U672" s="1401">
        <v>42329</v>
      </c>
      <c r="V672" s="1384"/>
      <c r="W672" s="1363"/>
      <c r="X672" s="1384"/>
      <c r="Y672" s="1363"/>
      <c r="Z672" s="1384"/>
      <c r="AA672" s="1363"/>
      <c r="AB672" s="1355">
        <v>1000000</v>
      </c>
      <c r="AC672" s="1401">
        <v>42192</v>
      </c>
      <c r="AD672" s="1402"/>
      <c r="AE672" s="1405"/>
      <c r="AF672" s="1406"/>
      <c r="AG672" s="1422"/>
      <c r="AH672" s="1416" t="str">
        <f t="shared" si="146"/>
        <v>MPI-S2</v>
      </c>
      <c r="AI672" s="1424">
        <f t="shared" ref="AI672:AI689" si="164">SUM(J672,L672,N672,P672,R672,T672,V672,X672,Z672,AB672,AD672,AF672)</f>
        <v>14250000</v>
      </c>
      <c r="AJ672" s="1424">
        <f t="shared" ref="AJ672:AJ689" si="165">(COUNT(L672,N672,P672,R672,T672,V672,X672,Z672,AD672,AF672)*$G$623)+(COUNT(J672)*$J$623)+(COUNT(AB672)*$AB$623)</f>
        <v>14250000</v>
      </c>
      <c r="AK672" s="1519">
        <f t="shared" ref="AK672:AK689" si="166">AJ672-AI672</f>
        <v>0</v>
      </c>
      <c r="AL672" s="1516" t="str">
        <f t="shared" ref="AL672:AL688" si="167">IF(AK672=0,"Lunas","Cek")</f>
        <v>Lunas</v>
      </c>
      <c r="AM672" s="1410"/>
      <c r="AN672" s="1411"/>
      <c r="AO672" s="1410"/>
      <c r="AP672" s="1411"/>
      <c r="AQ672" s="1128"/>
      <c r="AR672" s="1173"/>
      <c r="AT672" s="1173"/>
      <c r="AV672" s="1173"/>
      <c r="AX672" s="1173"/>
      <c r="AY672" s="1176"/>
      <c r="AZ672" s="1173"/>
    </row>
    <row r="673" spans="1:52" s="2" customFormat="1" x14ac:dyDescent="0.25">
      <c r="A673" s="156">
        <v>636</v>
      </c>
      <c r="B673" s="157">
        <v>2</v>
      </c>
      <c r="C673" s="159">
        <v>849113009</v>
      </c>
      <c r="D673" s="158" t="s">
        <v>1124</v>
      </c>
      <c r="E673" s="160" t="s">
        <v>1070</v>
      </c>
      <c r="F673" s="161">
        <v>2013</v>
      </c>
      <c r="G673" s="162" t="s">
        <v>33</v>
      </c>
      <c r="H673" s="163" t="str">
        <f t="shared" si="162"/>
        <v xml:space="preserve">   </v>
      </c>
      <c r="I673" s="163">
        <f t="shared" si="163"/>
        <v>42504</v>
      </c>
      <c r="J673" s="1356">
        <v>1250000</v>
      </c>
      <c r="K673" s="1357"/>
      <c r="L673" s="1358">
        <v>3000000</v>
      </c>
      <c r="M673" s="1357">
        <v>41464</v>
      </c>
      <c r="N673" s="1358">
        <v>3000000</v>
      </c>
      <c r="O673" s="1357">
        <v>41667</v>
      </c>
      <c r="P673" s="1358">
        <v>3000000</v>
      </c>
      <c r="Q673" s="1357">
        <v>41858</v>
      </c>
      <c r="R673" s="1358">
        <v>3000000</v>
      </c>
      <c r="S673" s="1357">
        <v>42041</v>
      </c>
      <c r="T673" s="1358">
        <v>3000000</v>
      </c>
      <c r="U673" s="1357">
        <v>42301</v>
      </c>
      <c r="V673" s="1465" t="s">
        <v>276</v>
      </c>
      <c r="W673" s="1474"/>
      <c r="X673" s="1384"/>
      <c r="Y673" s="1363"/>
      <c r="Z673" s="1384"/>
      <c r="AA673" s="1363"/>
      <c r="AB673" s="1358">
        <v>1000000</v>
      </c>
      <c r="AC673" s="1401">
        <v>42301</v>
      </c>
      <c r="AD673" s="1402"/>
      <c r="AE673" s="1405"/>
      <c r="AF673" s="1406"/>
      <c r="AG673" s="1422"/>
      <c r="AH673" s="1423" t="str">
        <f t="shared" si="146"/>
        <v>MPI-S2</v>
      </c>
      <c r="AI673" s="1424">
        <f t="shared" si="164"/>
        <v>17250000</v>
      </c>
      <c r="AJ673" s="1424">
        <f t="shared" si="165"/>
        <v>17250000</v>
      </c>
      <c r="AK673" s="1425">
        <f t="shared" si="166"/>
        <v>0</v>
      </c>
      <c r="AL673" s="1426" t="str">
        <f t="shared" si="167"/>
        <v>Lunas</v>
      </c>
      <c r="AM673" s="1410"/>
      <c r="AN673" s="1411"/>
      <c r="AO673" s="1410"/>
      <c r="AP673" s="1411"/>
      <c r="AQ673" s="1128"/>
      <c r="AR673" s="1173"/>
      <c r="AT673" s="1173"/>
      <c r="AV673" s="1173"/>
      <c r="AX673" s="1173"/>
      <c r="AY673" s="1176"/>
      <c r="AZ673" s="1173"/>
    </row>
    <row r="674" spans="1:52" s="2" customFormat="1" x14ac:dyDescent="0.25">
      <c r="A674" s="156">
        <v>637</v>
      </c>
      <c r="B674" s="157">
        <v>3</v>
      </c>
      <c r="C674" s="159">
        <v>849113025</v>
      </c>
      <c r="D674" s="158" t="s">
        <v>1125</v>
      </c>
      <c r="E674" s="160" t="s">
        <v>1070</v>
      </c>
      <c r="F674" s="161">
        <v>2013</v>
      </c>
      <c r="G674" s="162" t="s">
        <v>33</v>
      </c>
      <c r="H674" s="163" t="str">
        <f t="shared" si="162"/>
        <v xml:space="preserve">   </v>
      </c>
      <c r="I674" s="163">
        <f t="shared" si="163"/>
        <v>42329</v>
      </c>
      <c r="J674" s="1356">
        <v>1250000</v>
      </c>
      <c r="K674" s="1357"/>
      <c r="L674" s="1358">
        <v>3000000</v>
      </c>
      <c r="M674" s="1357">
        <v>41454</v>
      </c>
      <c r="N674" s="1358">
        <v>3000000</v>
      </c>
      <c r="O674" s="1357">
        <v>41674</v>
      </c>
      <c r="P674" s="1358">
        <v>3000000</v>
      </c>
      <c r="Q674" s="1357">
        <v>41888</v>
      </c>
      <c r="R674" s="1358">
        <v>3000000</v>
      </c>
      <c r="S674" s="1357">
        <v>42061</v>
      </c>
      <c r="T674" s="1382" t="s">
        <v>276</v>
      </c>
      <c r="U674" s="1383">
        <v>42329</v>
      </c>
      <c r="V674" s="1384"/>
      <c r="W674" s="1363"/>
      <c r="X674" s="1384"/>
      <c r="Y674" s="1363"/>
      <c r="Z674" s="1384"/>
      <c r="AA674" s="1363"/>
      <c r="AB674" s="1358">
        <v>1000000</v>
      </c>
      <c r="AC674" s="1383">
        <v>42190</v>
      </c>
      <c r="AD674" s="1402"/>
      <c r="AE674" s="1405"/>
      <c r="AF674" s="1406"/>
      <c r="AG674" s="1422"/>
      <c r="AH674" s="1423" t="str">
        <f t="shared" si="146"/>
        <v>MPI-S2</v>
      </c>
      <c r="AI674" s="1424">
        <f t="shared" si="164"/>
        <v>14250000</v>
      </c>
      <c r="AJ674" s="1424">
        <f t="shared" si="165"/>
        <v>14250000</v>
      </c>
      <c r="AK674" s="1425">
        <f t="shared" si="166"/>
        <v>0</v>
      </c>
      <c r="AL674" s="1426" t="str">
        <f t="shared" si="167"/>
        <v>Lunas</v>
      </c>
      <c r="AM674" s="1410"/>
      <c r="AN674" s="1411"/>
      <c r="AO674" s="1410"/>
      <c r="AP674" s="1411"/>
      <c r="AQ674" s="1128"/>
      <c r="AR674" s="1173"/>
      <c r="AT674" s="1173"/>
      <c r="AV674" s="1173"/>
      <c r="AX674" s="1173"/>
      <c r="AY674" s="1176"/>
      <c r="AZ674" s="1173"/>
    </row>
    <row r="675" spans="1:52" s="2" customFormat="1" x14ac:dyDescent="0.25">
      <c r="A675" s="156">
        <v>638</v>
      </c>
      <c r="B675" s="157">
        <v>4</v>
      </c>
      <c r="C675" s="159">
        <v>849113027</v>
      </c>
      <c r="D675" s="158" t="s">
        <v>1126</v>
      </c>
      <c r="E675" s="160" t="s">
        <v>1070</v>
      </c>
      <c r="F675" s="161">
        <v>2013</v>
      </c>
      <c r="G675" s="162" t="s">
        <v>33</v>
      </c>
      <c r="H675" s="163" t="str">
        <f t="shared" si="162"/>
        <v xml:space="preserve">   </v>
      </c>
      <c r="I675" s="163">
        <f t="shared" si="163"/>
        <v>42504</v>
      </c>
      <c r="J675" s="1356">
        <v>1250000</v>
      </c>
      <c r="K675" s="1357"/>
      <c r="L675" s="1358">
        <v>3000000</v>
      </c>
      <c r="M675" s="1357">
        <v>41470</v>
      </c>
      <c r="N675" s="1358">
        <v>3000000</v>
      </c>
      <c r="O675" s="1357">
        <v>41673</v>
      </c>
      <c r="P675" s="1358">
        <v>3000000</v>
      </c>
      <c r="Q675" s="1357">
        <v>41909</v>
      </c>
      <c r="R675" s="1358">
        <v>3000000</v>
      </c>
      <c r="S675" s="1357">
        <v>42044</v>
      </c>
      <c r="T675" s="1358">
        <v>3000000</v>
      </c>
      <c r="U675" s="1357">
        <v>42341</v>
      </c>
      <c r="V675" s="1465" t="s">
        <v>1080</v>
      </c>
      <c r="W675" s="1357">
        <v>42695</v>
      </c>
      <c r="X675" s="1384"/>
      <c r="Y675" s="1363"/>
      <c r="Z675" s="1384"/>
      <c r="AA675" s="1363"/>
      <c r="AB675" s="1358">
        <v>1000000</v>
      </c>
      <c r="AC675" s="1383">
        <v>42348</v>
      </c>
      <c r="AD675" s="1402"/>
      <c r="AE675" s="1405"/>
      <c r="AF675" s="1406"/>
      <c r="AG675" s="1422"/>
      <c r="AH675" s="1423" t="str">
        <f t="shared" si="146"/>
        <v>MPI-S2</v>
      </c>
      <c r="AI675" s="1424">
        <f t="shared" si="164"/>
        <v>17250000</v>
      </c>
      <c r="AJ675" s="1424">
        <f t="shared" si="165"/>
        <v>17250000</v>
      </c>
      <c r="AK675" s="1425">
        <f t="shared" si="166"/>
        <v>0</v>
      </c>
      <c r="AL675" s="1426" t="str">
        <f t="shared" si="167"/>
        <v>Lunas</v>
      </c>
      <c r="AM675" s="1410"/>
      <c r="AN675" s="1411"/>
      <c r="AO675" s="1410"/>
      <c r="AP675" s="1411"/>
      <c r="AQ675" s="1128"/>
      <c r="AR675" s="1173"/>
      <c r="AT675" s="1173"/>
      <c r="AV675" s="1173"/>
      <c r="AX675" s="1173"/>
      <c r="AY675" s="1176"/>
      <c r="AZ675" s="1173"/>
    </row>
    <row r="676" spans="1:52" s="2" customFormat="1" x14ac:dyDescent="0.25">
      <c r="A676" s="156">
        <v>639</v>
      </c>
      <c r="B676" s="157">
        <v>5</v>
      </c>
      <c r="C676" s="159">
        <v>849113028</v>
      </c>
      <c r="D676" s="158" t="s">
        <v>1127</v>
      </c>
      <c r="E676" s="160" t="s">
        <v>1070</v>
      </c>
      <c r="F676" s="161">
        <v>2013</v>
      </c>
      <c r="G676" s="162" t="s">
        <v>33</v>
      </c>
      <c r="H676" s="163" t="str">
        <f t="shared" si="162"/>
        <v xml:space="preserve">   </v>
      </c>
      <c r="I676" s="163">
        <f t="shared" si="163"/>
        <v>42504</v>
      </c>
      <c r="J676" s="1356">
        <v>1250000</v>
      </c>
      <c r="K676" s="1357"/>
      <c r="L676" s="1358">
        <v>3000000</v>
      </c>
      <c r="M676" s="1357">
        <v>41456</v>
      </c>
      <c r="N676" s="1358">
        <v>3000000</v>
      </c>
      <c r="O676" s="1357">
        <v>41673</v>
      </c>
      <c r="P676" s="1358">
        <v>3000000</v>
      </c>
      <c r="Q676" s="1357">
        <v>41857</v>
      </c>
      <c r="R676" s="1358">
        <v>3000000</v>
      </c>
      <c r="S676" s="1357">
        <v>42067</v>
      </c>
      <c r="T676" s="1382" t="s">
        <v>276</v>
      </c>
      <c r="U676" s="1383">
        <v>42329</v>
      </c>
      <c r="V676" s="1384"/>
      <c r="W676" s="1363"/>
      <c r="X676" s="1384"/>
      <c r="Y676" s="1363"/>
      <c r="Z676" s="1384"/>
      <c r="AA676" s="1363"/>
      <c r="AB676" s="1358">
        <v>1000000</v>
      </c>
      <c r="AC676" s="1383">
        <v>42214</v>
      </c>
      <c r="AD676" s="1402"/>
      <c r="AE676" s="1405"/>
      <c r="AF676" s="1406"/>
      <c r="AG676" s="1422"/>
      <c r="AH676" s="1423" t="str">
        <f t="shared" si="146"/>
        <v>MPI-S2</v>
      </c>
      <c r="AI676" s="1424">
        <f t="shared" si="164"/>
        <v>14250000</v>
      </c>
      <c r="AJ676" s="1424">
        <f t="shared" si="165"/>
        <v>14250000</v>
      </c>
      <c r="AK676" s="1425">
        <f t="shared" si="166"/>
        <v>0</v>
      </c>
      <c r="AL676" s="1426" t="str">
        <f t="shared" si="167"/>
        <v>Lunas</v>
      </c>
      <c r="AM676" s="1410"/>
      <c r="AN676" s="1411"/>
      <c r="AO676" s="1410"/>
      <c r="AP676" s="1411"/>
      <c r="AQ676" s="1128"/>
      <c r="AR676" s="1173"/>
      <c r="AT676" s="1173"/>
      <c r="AV676" s="1173"/>
      <c r="AX676" s="1173"/>
      <c r="AY676" s="1176"/>
      <c r="AZ676" s="1173"/>
    </row>
    <row r="677" spans="1:52" s="2" customFormat="1" x14ac:dyDescent="0.25">
      <c r="A677" s="156">
        <v>640</v>
      </c>
      <c r="B677" s="157">
        <v>6</v>
      </c>
      <c r="C677" s="159">
        <v>849113029</v>
      </c>
      <c r="D677" s="158" t="s">
        <v>1128</v>
      </c>
      <c r="E677" s="160" t="s">
        <v>1070</v>
      </c>
      <c r="F677" s="161">
        <v>2013</v>
      </c>
      <c r="G677" s="162" t="s">
        <v>33</v>
      </c>
      <c r="H677" s="163" t="str">
        <f t="shared" si="162"/>
        <v xml:space="preserve">   </v>
      </c>
      <c r="I677" s="163">
        <f t="shared" si="163"/>
        <v>42329</v>
      </c>
      <c r="J677" s="1356">
        <v>1250000</v>
      </c>
      <c r="K677" s="1357"/>
      <c r="L677" s="1358">
        <v>3000000</v>
      </c>
      <c r="M677" s="1357">
        <v>41458</v>
      </c>
      <c r="N677" s="1358">
        <v>3000000</v>
      </c>
      <c r="O677" s="1357">
        <v>41675</v>
      </c>
      <c r="P677" s="1358">
        <v>3000000</v>
      </c>
      <c r="Q677" s="1357">
        <v>41894</v>
      </c>
      <c r="R677" s="1358">
        <v>3000000</v>
      </c>
      <c r="S677" s="1357">
        <v>42047</v>
      </c>
      <c r="T677" s="1382" t="s">
        <v>276</v>
      </c>
      <c r="U677" s="1383">
        <v>42329</v>
      </c>
      <c r="V677" s="1384"/>
      <c r="W677" s="1363"/>
      <c r="X677" s="1384"/>
      <c r="Y677" s="1363"/>
      <c r="Z677" s="1384"/>
      <c r="AA677" s="1363"/>
      <c r="AB677" s="1358">
        <v>1000000</v>
      </c>
      <c r="AC677" s="1383">
        <v>42041</v>
      </c>
      <c r="AD677" s="1402"/>
      <c r="AE677" s="1405"/>
      <c r="AF677" s="1406"/>
      <c r="AG677" s="1422"/>
      <c r="AH677" s="1423" t="str">
        <f t="shared" si="146"/>
        <v>MPI-S2</v>
      </c>
      <c r="AI677" s="1424">
        <f t="shared" si="164"/>
        <v>14250000</v>
      </c>
      <c r="AJ677" s="1424">
        <f t="shared" si="165"/>
        <v>14250000</v>
      </c>
      <c r="AK677" s="1425">
        <f t="shared" si="166"/>
        <v>0</v>
      </c>
      <c r="AL677" s="1426" t="str">
        <f t="shared" si="167"/>
        <v>Lunas</v>
      </c>
      <c r="AM677" s="1410"/>
      <c r="AN677" s="1411"/>
      <c r="AO677" s="1410"/>
      <c r="AP677" s="1411"/>
      <c r="AQ677" s="1128"/>
      <c r="AR677" s="1173"/>
      <c r="AT677" s="1173"/>
      <c r="AV677" s="1173"/>
      <c r="AX677" s="1173"/>
      <c r="AY677" s="1176"/>
      <c r="AZ677" s="1173"/>
    </row>
    <row r="678" spans="1:52" s="2" customFormat="1" x14ac:dyDescent="0.25">
      <c r="A678" s="156">
        <v>641</v>
      </c>
      <c r="B678" s="157">
        <v>7</v>
      </c>
      <c r="C678" s="159">
        <v>849113030</v>
      </c>
      <c r="D678" s="158" t="s">
        <v>1129</v>
      </c>
      <c r="E678" s="160" t="s">
        <v>1070</v>
      </c>
      <c r="F678" s="161">
        <v>2013</v>
      </c>
      <c r="G678" s="162" t="s">
        <v>33</v>
      </c>
      <c r="H678" s="163" t="str">
        <f t="shared" si="162"/>
        <v xml:space="preserve">   </v>
      </c>
      <c r="I678" s="163">
        <f t="shared" si="163"/>
        <v>42329</v>
      </c>
      <c r="J678" s="1356">
        <v>1250000</v>
      </c>
      <c r="K678" s="1357"/>
      <c r="L678" s="1358">
        <v>3000000</v>
      </c>
      <c r="M678" s="1357">
        <v>41471</v>
      </c>
      <c r="N678" s="1358">
        <v>3000000</v>
      </c>
      <c r="O678" s="1357">
        <v>41661</v>
      </c>
      <c r="P678" s="1358">
        <v>3000000</v>
      </c>
      <c r="Q678" s="1357">
        <v>41859</v>
      </c>
      <c r="R678" s="1358">
        <v>3000000</v>
      </c>
      <c r="S678" s="1357">
        <v>42041</v>
      </c>
      <c r="T678" s="1382" t="s">
        <v>276</v>
      </c>
      <c r="U678" s="1383">
        <v>42329</v>
      </c>
      <c r="V678" s="1384"/>
      <c r="W678" s="1363"/>
      <c r="X678" s="1384"/>
      <c r="Y678" s="1363"/>
      <c r="Z678" s="1384"/>
      <c r="AA678" s="1363"/>
      <c r="AB678" s="1358">
        <v>1000000</v>
      </c>
      <c r="AC678" s="1383">
        <v>42187</v>
      </c>
      <c r="AD678" s="1402"/>
      <c r="AE678" s="1405"/>
      <c r="AF678" s="1406"/>
      <c r="AG678" s="1422"/>
      <c r="AH678" s="1423" t="str">
        <f t="shared" si="146"/>
        <v>MPI-S2</v>
      </c>
      <c r="AI678" s="1424">
        <f t="shared" si="164"/>
        <v>14250000</v>
      </c>
      <c r="AJ678" s="1424">
        <f t="shared" si="165"/>
        <v>14250000</v>
      </c>
      <c r="AK678" s="1425">
        <f t="shared" si="166"/>
        <v>0</v>
      </c>
      <c r="AL678" s="1426" t="str">
        <f t="shared" si="167"/>
        <v>Lunas</v>
      </c>
      <c r="AM678" s="1410"/>
      <c r="AN678" s="1411"/>
      <c r="AO678" s="1410"/>
      <c r="AP678" s="1411"/>
      <c r="AQ678" s="1128"/>
      <c r="AR678" s="1173"/>
      <c r="AT678" s="1173"/>
      <c r="AV678" s="1173"/>
      <c r="AX678" s="1173"/>
      <c r="AY678" s="1176"/>
      <c r="AZ678" s="1173"/>
    </row>
    <row r="679" spans="1:52" s="2" customFormat="1" x14ac:dyDescent="0.25">
      <c r="A679" s="164">
        <v>642</v>
      </c>
      <c r="B679" s="253">
        <v>8</v>
      </c>
      <c r="C679" s="174">
        <v>849113031</v>
      </c>
      <c r="D679" s="166" t="s">
        <v>1130</v>
      </c>
      <c r="E679" s="168" t="s">
        <v>1070</v>
      </c>
      <c r="F679" s="169">
        <v>2013</v>
      </c>
      <c r="G679" s="170" t="s">
        <v>1077</v>
      </c>
      <c r="H679" s="215" t="str">
        <f t="shared" si="162"/>
        <v xml:space="preserve">   </v>
      </c>
      <c r="I679" s="215" t="str">
        <f t="shared" si="163"/>
        <v xml:space="preserve">   </v>
      </c>
      <c r="J679" s="1366">
        <v>1250000</v>
      </c>
      <c r="K679" s="1360"/>
      <c r="L679" s="1430">
        <v>3000000</v>
      </c>
      <c r="M679" s="1360">
        <v>41473</v>
      </c>
      <c r="N679" s="1363">
        <v>3000000</v>
      </c>
      <c r="O679" s="1367">
        <v>41858</v>
      </c>
      <c r="P679" s="1363">
        <v>3000000</v>
      </c>
      <c r="Q679" s="1367">
        <v>41858</v>
      </c>
      <c r="R679" s="1475"/>
      <c r="S679" s="1144" t="s">
        <v>1131</v>
      </c>
      <c r="T679" s="1475"/>
      <c r="U679" s="1190" t="s">
        <v>684</v>
      </c>
      <c r="V679" s="1476">
        <v>3000000</v>
      </c>
      <c r="W679" s="1367">
        <v>42402</v>
      </c>
      <c r="X679" s="1363">
        <v>3000000</v>
      </c>
      <c r="Y679" s="1360"/>
      <c r="Z679" s="1384"/>
      <c r="AA679" s="1363"/>
      <c r="AB679" s="1499"/>
      <c r="AC679" s="1500"/>
      <c r="AD679" s="1402"/>
      <c r="AE679" s="1405"/>
      <c r="AF679" s="1406"/>
      <c r="AG679" s="1422"/>
      <c r="AH679" s="1423" t="str">
        <f t="shared" si="146"/>
        <v>MPI-S2</v>
      </c>
      <c r="AI679" s="1427">
        <f t="shared" si="164"/>
        <v>16250000</v>
      </c>
      <c r="AJ679" s="1427">
        <f t="shared" si="165"/>
        <v>16250000</v>
      </c>
      <c r="AK679" s="1427">
        <f t="shared" si="166"/>
        <v>0</v>
      </c>
      <c r="AL679" s="1428" t="s">
        <v>1077</v>
      </c>
      <c r="AM679" s="1410"/>
      <c r="AN679" s="1411"/>
      <c r="AO679" s="1410"/>
      <c r="AP679" s="1411"/>
      <c r="AQ679" s="1128"/>
      <c r="AR679" s="1173"/>
      <c r="AT679" s="1173"/>
      <c r="AV679" s="1173"/>
      <c r="AX679" s="1173"/>
      <c r="AY679" s="1176"/>
      <c r="AZ679" s="1173"/>
    </row>
    <row r="680" spans="1:52" s="2" customFormat="1" x14ac:dyDescent="0.25">
      <c r="A680" s="156">
        <v>643</v>
      </c>
      <c r="B680" s="157">
        <v>9</v>
      </c>
      <c r="C680" s="159">
        <v>849113032</v>
      </c>
      <c r="D680" s="158" t="s">
        <v>1132</v>
      </c>
      <c r="E680" s="160" t="s">
        <v>1070</v>
      </c>
      <c r="F680" s="161">
        <v>2013</v>
      </c>
      <c r="G680" s="162" t="s">
        <v>33</v>
      </c>
      <c r="H680" s="163" t="str">
        <f t="shared" si="162"/>
        <v xml:space="preserve">   </v>
      </c>
      <c r="I680" s="163">
        <f t="shared" si="163"/>
        <v>42329</v>
      </c>
      <c r="J680" s="1356">
        <v>1250000</v>
      </c>
      <c r="K680" s="1357"/>
      <c r="L680" s="1358">
        <v>3000000</v>
      </c>
      <c r="M680" s="1357">
        <v>41471</v>
      </c>
      <c r="N680" s="1358">
        <v>3000000</v>
      </c>
      <c r="O680" s="1357">
        <v>41677</v>
      </c>
      <c r="P680" s="1358">
        <v>3000000</v>
      </c>
      <c r="Q680" s="1357">
        <v>41862</v>
      </c>
      <c r="R680" s="1358">
        <v>3000000</v>
      </c>
      <c r="S680" s="1357">
        <v>42047</v>
      </c>
      <c r="T680" s="1382" t="s">
        <v>276</v>
      </c>
      <c r="U680" s="1383">
        <v>42695</v>
      </c>
      <c r="V680" s="1384"/>
      <c r="W680" s="1363"/>
      <c r="X680" s="1384"/>
      <c r="Y680" s="1363"/>
      <c r="Z680" s="1384"/>
      <c r="AA680" s="1363"/>
      <c r="AB680" s="1358">
        <v>1000000</v>
      </c>
      <c r="AC680" s="1383">
        <v>42147</v>
      </c>
      <c r="AD680" s="1402"/>
      <c r="AE680" s="1405"/>
      <c r="AF680" s="1406"/>
      <c r="AG680" s="1422"/>
      <c r="AH680" s="1423" t="str">
        <f t="shared" si="146"/>
        <v>MPI-S2</v>
      </c>
      <c r="AI680" s="1424">
        <f t="shared" si="164"/>
        <v>14250000</v>
      </c>
      <c r="AJ680" s="1424">
        <f t="shared" si="165"/>
        <v>14250000</v>
      </c>
      <c r="AK680" s="1425">
        <f t="shared" si="166"/>
        <v>0</v>
      </c>
      <c r="AL680" s="1426" t="str">
        <f t="shared" si="167"/>
        <v>Lunas</v>
      </c>
      <c r="AM680" s="1410"/>
      <c r="AN680" s="1411"/>
      <c r="AO680" s="1410"/>
      <c r="AP680" s="1411"/>
      <c r="AQ680" s="1128"/>
      <c r="AR680" s="1173"/>
      <c r="AT680" s="1173"/>
      <c r="AV680" s="1173"/>
      <c r="AX680" s="1173"/>
      <c r="AY680" s="1176"/>
      <c r="AZ680" s="1173"/>
    </row>
    <row r="681" spans="1:52" s="2" customFormat="1" x14ac:dyDescent="0.25">
      <c r="A681" s="156">
        <v>644</v>
      </c>
      <c r="B681" s="157">
        <v>10</v>
      </c>
      <c r="C681" s="159">
        <v>849113034</v>
      </c>
      <c r="D681" s="158" t="s">
        <v>1133</v>
      </c>
      <c r="E681" s="160" t="s">
        <v>1070</v>
      </c>
      <c r="F681" s="161">
        <v>2013</v>
      </c>
      <c r="G681" s="162" t="s">
        <v>33</v>
      </c>
      <c r="H681" s="254" t="str">
        <f t="shared" si="162"/>
        <v xml:space="preserve">   </v>
      </c>
      <c r="I681" s="254" t="str">
        <f t="shared" si="163"/>
        <v xml:space="preserve">   </v>
      </c>
      <c r="J681" s="1356">
        <v>1250000</v>
      </c>
      <c r="K681" s="1357"/>
      <c r="L681" s="1358">
        <v>3000000</v>
      </c>
      <c r="M681" s="1357">
        <v>42095</v>
      </c>
      <c r="N681" s="1358">
        <v>3000000</v>
      </c>
      <c r="O681" s="1357">
        <v>41680</v>
      </c>
      <c r="P681" s="1358">
        <v>3000000</v>
      </c>
      <c r="Q681" s="1357">
        <v>42095</v>
      </c>
      <c r="R681" s="1358">
        <v>3000000</v>
      </c>
      <c r="S681" s="1357">
        <v>42098</v>
      </c>
      <c r="T681" s="1382" t="s">
        <v>276</v>
      </c>
      <c r="U681" s="1383">
        <v>42329</v>
      </c>
      <c r="V681" s="1384"/>
      <c r="W681" s="1363"/>
      <c r="X681" s="1384"/>
      <c r="Y681" s="1363"/>
      <c r="Z681" s="1384"/>
      <c r="AA681" s="1363"/>
      <c r="AB681" s="1358">
        <v>1000000</v>
      </c>
      <c r="AC681" s="1383">
        <v>42095</v>
      </c>
      <c r="AD681" s="1402"/>
      <c r="AE681" s="1405"/>
      <c r="AF681" s="1406"/>
      <c r="AG681" s="1422"/>
      <c r="AH681" s="1423" t="str">
        <f t="shared" si="146"/>
        <v>MPI-S2</v>
      </c>
      <c r="AI681" s="1424">
        <f t="shared" si="164"/>
        <v>14250000</v>
      </c>
      <c r="AJ681" s="1424">
        <f t="shared" si="165"/>
        <v>14250000</v>
      </c>
      <c r="AK681" s="1425">
        <f t="shared" si="166"/>
        <v>0</v>
      </c>
      <c r="AL681" s="1426" t="str">
        <f t="shared" si="167"/>
        <v>Lunas</v>
      </c>
      <c r="AM681" s="1410"/>
      <c r="AN681" s="1411"/>
      <c r="AO681" s="1410"/>
      <c r="AP681" s="1411"/>
      <c r="AQ681" s="1128"/>
      <c r="AR681" s="1173"/>
      <c r="AT681" s="1173"/>
      <c r="AV681" s="1173"/>
      <c r="AX681" s="1173"/>
      <c r="AY681" s="1176"/>
      <c r="AZ681" s="1173"/>
    </row>
    <row r="682" spans="1:52" s="2" customFormat="1" x14ac:dyDescent="0.25">
      <c r="A682" s="164">
        <v>645</v>
      </c>
      <c r="B682" s="253">
        <v>11</v>
      </c>
      <c r="C682" s="174">
        <v>849113037</v>
      </c>
      <c r="D682" s="166" t="s">
        <v>1134</v>
      </c>
      <c r="E682" s="168" t="s">
        <v>1070</v>
      </c>
      <c r="F682" s="169">
        <v>2013</v>
      </c>
      <c r="G682" s="170" t="s">
        <v>1077</v>
      </c>
      <c r="H682" s="215" t="str">
        <f t="shared" si="162"/>
        <v xml:space="preserve">   </v>
      </c>
      <c r="I682" s="215" t="str">
        <f t="shared" si="163"/>
        <v xml:space="preserve">   </v>
      </c>
      <c r="J682" s="1366">
        <v>1250000</v>
      </c>
      <c r="K682" s="1360"/>
      <c r="L682" s="1430">
        <v>3000000</v>
      </c>
      <c r="M682" s="1360">
        <v>41463</v>
      </c>
      <c r="N682" s="1430">
        <v>3000000</v>
      </c>
      <c r="O682" s="1360">
        <v>41682</v>
      </c>
      <c r="P682" s="1430">
        <v>3000000</v>
      </c>
      <c r="Q682" s="1360">
        <v>41856</v>
      </c>
      <c r="R682" s="1430">
        <v>3000000</v>
      </c>
      <c r="S682" s="1360">
        <v>42041</v>
      </c>
      <c r="T682" s="1391"/>
      <c r="U682" s="1363"/>
      <c r="V682" s="1384"/>
      <c r="W682" s="1363"/>
      <c r="X682" s="1384"/>
      <c r="Y682" s="1363"/>
      <c r="Z682" s="1384"/>
      <c r="AA682" s="1363"/>
      <c r="AB682" s="1430">
        <v>1000000</v>
      </c>
      <c r="AC682" s="1500">
        <v>42041</v>
      </c>
      <c r="AD682" s="1402"/>
      <c r="AE682" s="1405"/>
      <c r="AF682" s="1406"/>
      <c r="AG682" s="1422"/>
      <c r="AH682" s="1423" t="str">
        <f t="shared" si="146"/>
        <v>MPI-S2</v>
      </c>
      <c r="AI682" s="1427">
        <f t="shared" si="164"/>
        <v>14250000</v>
      </c>
      <c r="AJ682" s="1427">
        <f t="shared" si="165"/>
        <v>14250000</v>
      </c>
      <c r="AK682" s="1427">
        <f t="shared" si="166"/>
        <v>0</v>
      </c>
      <c r="AL682" s="1428" t="s">
        <v>1077</v>
      </c>
      <c r="AM682" s="1410"/>
      <c r="AN682" s="1411"/>
      <c r="AO682" s="1410"/>
      <c r="AP682" s="1411"/>
      <c r="AQ682" s="1128"/>
      <c r="AR682" s="1173"/>
      <c r="AT682" s="1173"/>
      <c r="AV682" s="1173"/>
      <c r="AX682" s="1173"/>
      <c r="AY682" s="1176"/>
      <c r="AZ682" s="1173"/>
    </row>
    <row r="683" spans="1:52" s="2" customFormat="1" x14ac:dyDescent="0.25">
      <c r="A683" s="156">
        <v>646</v>
      </c>
      <c r="B683" s="157">
        <v>12</v>
      </c>
      <c r="C683" s="159">
        <v>849113038</v>
      </c>
      <c r="D683" s="158" t="s">
        <v>1135</v>
      </c>
      <c r="E683" s="160" t="s">
        <v>1070</v>
      </c>
      <c r="F683" s="161">
        <v>2013</v>
      </c>
      <c r="G683" s="162" t="s">
        <v>33</v>
      </c>
      <c r="H683" s="163" t="str">
        <f t="shared" si="162"/>
        <v xml:space="preserve">   </v>
      </c>
      <c r="I683" s="163">
        <f t="shared" si="163"/>
        <v>42329</v>
      </c>
      <c r="J683" s="1356">
        <v>1250000</v>
      </c>
      <c r="K683" s="1357"/>
      <c r="L683" s="1358">
        <v>3000000</v>
      </c>
      <c r="M683" s="1357">
        <v>41463</v>
      </c>
      <c r="N683" s="1358">
        <v>3000000</v>
      </c>
      <c r="O683" s="1357">
        <v>41677</v>
      </c>
      <c r="P683" s="1358">
        <v>3000000</v>
      </c>
      <c r="Q683" s="1357">
        <v>41859</v>
      </c>
      <c r="R683" s="1358">
        <v>3000000</v>
      </c>
      <c r="S683" s="1357">
        <v>42041</v>
      </c>
      <c r="T683" s="1382" t="s">
        <v>276</v>
      </c>
      <c r="U683" s="1383">
        <v>42329</v>
      </c>
      <c r="V683" s="1384"/>
      <c r="W683" s="1363"/>
      <c r="X683" s="1384"/>
      <c r="Y683" s="1363"/>
      <c r="Z683" s="1384"/>
      <c r="AA683" s="1363"/>
      <c r="AB683" s="1358">
        <v>1000000</v>
      </c>
      <c r="AC683" s="1383">
        <v>42041</v>
      </c>
      <c r="AD683" s="1402"/>
      <c r="AE683" s="1405"/>
      <c r="AF683" s="1406"/>
      <c r="AG683" s="1422"/>
      <c r="AH683" s="1423" t="str">
        <f t="shared" si="146"/>
        <v>MPI-S2</v>
      </c>
      <c r="AI683" s="1424">
        <f t="shared" si="164"/>
        <v>14250000</v>
      </c>
      <c r="AJ683" s="1424">
        <f t="shared" si="165"/>
        <v>14250000</v>
      </c>
      <c r="AK683" s="1425">
        <f t="shared" si="166"/>
        <v>0</v>
      </c>
      <c r="AL683" s="1426" t="str">
        <f t="shared" si="167"/>
        <v>Lunas</v>
      </c>
      <c r="AM683" s="1410"/>
      <c r="AN683" s="1411"/>
      <c r="AO683" s="1410"/>
      <c r="AP683" s="1411"/>
      <c r="AQ683" s="1128"/>
      <c r="AR683" s="1173"/>
      <c r="AT683" s="1173"/>
      <c r="AV683" s="1173"/>
      <c r="AX683" s="1173"/>
      <c r="AY683" s="1176"/>
      <c r="AZ683" s="1173"/>
    </row>
    <row r="684" spans="1:52" s="2" customFormat="1" x14ac:dyDescent="0.25">
      <c r="A684" s="156">
        <v>647</v>
      </c>
      <c r="B684" s="157">
        <v>13</v>
      </c>
      <c r="C684" s="159">
        <v>849113039</v>
      </c>
      <c r="D684" s="158" t="s">
        <v>1136</v>
      </c>
      <c r="E684" s="160" t="s">
        <v>1070</v>
      </c>
      <c r="F684" s="161">
        <v>2013</v>
      </c>
      <c r="G684" s="162" t="s">
        <v>33</v>
      </c>
      <c r="H684" s="163" t="str">
        <f t="shared" si="162"/>
        <v xml:space="preserve">   </v>
      </c>
      <c r="I684" s="163">
        <f t="shared" si="163"/>
        <v>42329</v>
      </c>
      <c r="J684" s="1356">
        <v>1250000</v>
      </c>
      <c r="K684" s="1357"/>
      <c r="L684" s="1358">
        <v>3000000</v>
      </c>
      <c r="M684" s="1357">
        <v>41463</v>
      </c>
      <c r="N684" s="1358">
        <v>3000000</v>
      </c>
      <c r="O684" s="1357">
        <v>41662</v>
      </c>
      <c r="P684" s="1358">
        <v>3000000</v>
      </c>
      <c r="Q684" s="1357">
        <v>41858</v>
      </c>
      <c r="R684" s="1358">
        <v>3000000</v>
      </c>
      <c r="S684" s="1357">
        <v>42047</v>
      </c>
      <c r="T684" s="1382" t="s">
        <v>276</v>
      </c>
      <c r="U684" s="1383">
        <v>42329</v>
      </c>
      <c r="V684" s="1384"/>
      <c r="W684" s="1363"/>
      <c r="X684" s="1384"/>
      <c r="Y684" s="1363"/>
      <c r="Z684" s="1384"/>
      <c r="AA684" s="1363"/>
      <c r="AB684" s="1358">
        <v>1000000</v>
      </c>
      <c r="AC684" s="1383">
        <v>42152</v>
      </c>
      <c r="AD684" s="1402"/>
      <c r="AE684" s="1405"/>
      <c r="AF684" s="1406"/>
      <c r="AG684" s="1422"/>
      <c r="AH684" s="1423" t="str">
        <f t="shared" si="146"/>
        <v>MPI-S2</v>
      </c>
      <c r="AI684" s="1424">
        <f t="shared" si="164"/>
        <v>14250000</v>
      </c>
      <c r="AJ684" s="1424">
        <f t="shared" si="165"/>
        <v>14250000</v>
      </c>
      <c r="AK684" s="1425">
        <f t="shared" si="166"/>
        <v>0</v>
      </c>
      <c r="AL684" s="1426" t="str">
        <f t="shared" si="167"/>
        <v>Lunas</v>
      </c>
      <c r="AM684" s="1410"/>
      <c r="AN684" s="1411"/>
      <c r="AO684" s="1410"/>
      <c r="AP684" s="1411"/>
      <c r="AQ684" s="1128"/>
      <c r="AR684" s="1173"/>
      <c r="AT684" s="1173"/>
      <c r="AV684" s="1173"/>
      <c r="AX684" s="1173"/>
      <c r="AY684" s="1176"/>
      <c r="AZ684" s="1173"/>
    </row>
    <row r="685" spans="1:52" s="2" customFormat="1" x14ac:dyDescent="0.25">
      <c r="A685" s="156">
        <v>648</v>
      </c>
      <c r="B685" s="157">
        <v>14</v>
      </c>
      <c r="C685" s="159">
        <v>849113040</v>
      </c>
      <c r="D685" s="158" t="s">
        <v>1137</v>
      </c>
      <c r="E685" s="160" t="s">
        <v>1070</v>
      </c>
      <c r="F685" s="161">
        <v>2013</v>
      </c>
      <c r="G685" s="162" t="s">
        <v>33</v>
      </c>
      <c r="H685" s="163">
        <f t="shared" si="162"/>
        <v>42732</v>
      </c>
      <c r="I685" s="163">
        <f t="shared" si="163"/>
        <v>42861</v>
      </c>
      <c r="J685" s="1356">
        <v>1250000</v>
      </c>
      <c r="K685" s="1357"/>
      <c r="L685" s="1358">
        <v>3000000</v>
      </c>
      <c r="M685" s="1357">
        <v>41458</v>
      </c>
      <c r="N685" s="1358">
        <v>3000000</v>
      </c>
      <c r="O685" s="1357">
        <v>41680</v>
      </c>
      <c r="P685" s="1358">
        <v>3000000</v>
      </c>
      <c r="Q685" s="1357">
        <v>41858</v>
      </c>
      <c r="R685" s="1358">
        <v>3000000</v>
      </c>
      <c r="S685" s="1357">
        <v>42041</v>
      </c>
      <c r="T685" s="1358">
        <v>3000000</v>
      </c>
      <c r="U685" s="1357">
        <v>42248</v>
      </c>
      <c r="V685" s="1358">
        <v>3000000</v>
      </c>
      <c r="W685" s="1357">
        <v>42412</v>
      </c>
      <c r="X685" s="1358">
        <v>3000000</v>
      </c>
      <c r="Y685" s="1357">
        <v>42688</v>
      </c>
      <c r="Z685" s="1465" t="s">
        <v>276</v>
      </c>
      <c r="AA685" s="1360"/>
      <c r="AB685" s="1358">
        <v>1000000</v>
      </c>
      <c r="AC685" s="1383">
        <v>42688</v>
      </c>
      <c r="AD685" s="1402"/>
      <c r="AE685" s="1405"/>
      <c r="AF685" s="1406"/>
      <c r="AG685" s="1422"/>
      <c r="AH685" s="1423" t="str">
        <f t="shared" si="146"/>
        <v>MPI-S2</v>
      </c>
      <c r="AI685" s="1424">
        <f t="shared" si="164"/>
        <v>23250000</v>
      </c>
      <c r="AJ685" s="1424">
        <f t="shared" si="165"/>
        <v>23250000</v>
      </c>
      <c r="AK685" s="1425">
        <f t="shared" si="166"/>
        <v>0</v>
      </c>
      <c r="AL685" s="1426" t="str">
        <f t="shared" si="167"/>
        <v>Lunas</v>
      </c>
      <c r="AM685" s="1410"/>
      <c r="AN685" s="1411"/>
      <c r="AO685" s="1410"/>
      <c r="AP685" s="1411"/>
      <c r="AQ685" s="1128"/>
      <c r="AR685" s="1173"/>
      <c r="AT685" s="1173"/>
      <c r="AV685" s="1173"/>
      <c r="AX685" s="1173"/>
      <c r="AY685" s="1176"/>
      <c r="AZ685" s="1173"/>
    </row>
    <row r="686" spans="1:52" s="2" customFormat="1" x14ac:dyDescent="0.25">
      <c r="A686" s="156">
        <v>649</v>
      </c>
      <c r="B686" s="157">
        <v>15</v>
      </c>
      <c r="C686" s="159">
        <v>849113041</v>
      </c>
      <c r="D686" s="158" t="s">
        <v>1138</v>
      </c>
      <c r="E686" s="160" t="s">
        <v>1070</v>
      </c>
      <c r="F686" s="161">
        <v>2013</v>
      </c>
      <c r="G686" s="162" t="s">
        <v>33</v>
      </c>
      <c r="H686" s="163" t="str">
        <f t="shared" si="162"/>
        <v xml:space="preserve">   </v>
      </c>
      <c r="I686" s="163">
        <f t="shared" si="163"/>
        <v>42329</v>
      </c>
      <c r="J686" s="1356">
        <v>1250000</v>
      </c>
      <c r="K686" s="1357"/>
      <c r="L686" s="1358">
        <v>3000000</v>
      </c>
      <c r="M686" s="1357">
        <v>41458</v>
      </c>
      <c r="N686" s="1358">
        <v>3000000</v>
      </c>
      <c r="O686" s="1357">
        <v>41663</v>
      </c>
      <c r="P686" s="1358">
        <v>3000000</v>
      </c>
      <c r="Q686" s="1357">
        <v>41866</v>
      </c>
      <c r="R686" s="1358">
        <v>3000000</v>
      </c>
      <c r="S686" s="1357">
        <v>42039</v>
      </c>
      <c r="T686" s="1382" t="s">
        <v>276</v>
      </c>
      <c r="U686" s="1383">
        <v>42329</v>
      </c>
      <c r="V686" s="1384"/>
      <c r="W686" s="1363"/>
      <c r="X686" s="1384"/>
      <c r="Y686" s="1363"/>
      <c r="Z686" s="1384"/>
      <c r="AA686" s="1363"/>
      <c r="AB686" s="1358">
        <v>1000000</v>
      </c>
      <c r="AC686" s="1383">
        <v>42095</v>
      </c>
      <c r="AD686" s="1402"/>
      <c r="AE686" s="1405"/>
      <c r="AF686" s="1406"/>
      <c r="AG686" s="1422"/>
      <c r="AH686" s="1423" t="str">
        <f t="shared" si="146"/>
        <v>MPI-S2</v>
      </c>
      <c r="AI686" s="1424">
        <f t="shared" si="164"/>
        <v>14250000</v>
      </c>
      <c r="AJ686" s="1424">
        <f t="shared" si="165"/>
        <v>14250000</v>
      </c>
      <c r="AK686" s="1425">
        <f t="shared" si="166"/>
        <v>0</v>
      </c>
      <c r="AL686" s="1426" t="str">
        <f t="shared" si="167"/>
        <v>Lunas</v>
      </c>
      <c r="AM686" s="1410"/>
      <c r="AN686" s="1411"/>
      <c r="AO686" s="1410"/>
      <c r="AP686" s="1411"/>
      <c r="AQ686" s="1128"/>
      <c r="AR686" s="1173"/>
      <c r="AT686" s="1173"/>
      <c r="AV686" s="1173"/>
      <c r="AX686" s="1173"/>
      <c r="AY686" s="1176"/>
      <c r="AZ686" s="1173"/>
    </row>
    <row r="687" spans="1:52" s="2" customFormat="1" x14ac:dyDescent="0.25">
      <c r="A687" s="156">
        <v>650</v>
      </c>
      <c r="B687" s="157">
        <v>16</v>
      </c>
      <c r="C687" s="159">
        <v>849113042</v>
      </c>
      <c r="D687" s="158" t="s">
        <v>356</v>
      </c>
      <c r="E687" s="160" t="s">
        <v>1070</v>
      </c>
      <c r="F687" s="161">
        <v>2013</v>
      </c>
      <c r="G687" s="162" t="s">
        <v>33</v>
      </c>
      <c r="H687" s="163" t="str">
        <f t="shared" si="162"/>
        <v xml:space="preserve">   </v>
      </c>
      <c r="I687" s="163">
        <f t="shared" si="163"/>
        <v>42329</v>
      </c>
      <c r="J687" s="1356">
        <v>1250000</v>
      </c>
      <c r="K687" s="1357"/>
      <c r="L687" s="1358">
        <v>3000000</v>
      </c>
      <c r="M687" s="1357">
        <v>41470</v>
      </c>
      <c r="N687" s="1358">
        <v>3000000</v>
      </c>
      <c r="O687" s="1357">
        <v>41673</v>
      </c>
      <c r="P687" s="1358">
        <v>3000000</v>
      </c>
      <c r="Q687" s="1357">
        <v>41862</v>
      </c>
      <c r="R687" s="1358">
        <v>3000000</v>
      </c>
      <c r="S687" s="1357">
        <v>42040</v>
      </c>
      <c r="T687" s="1382" t="s">
        <v>276</v>
      </c>
      <c r="U687" s="1383">
        <v>42329</v>
      </c>
      <c r="V687" s="1384"/>
      <c r="W687" s="1363"/>
      <c r="X687" s="1384"/>
      <c r="Y687" s="1363"/>
      <c r="Z687" s="1384"/>
      <c r="AA687" s="1363"/>
      <c r="AB687" s="1358">
        <v>1000000</v>
      </c>
      <c r="AC687" s="1383">
        <v>42129</v>
      </c>
      <c r="AD687" s="1402"/>
      <c r="AE687" s="1405"/>
      <c r="AF687" s="1406"/>
      <c r="AG687" s="1422"/>
      <c r="AH687" s="1423" t="str">
        <f t="shared" si="146"/>
        <v>MPI-S2</v>
      </c>
      <c r="AI687" s="1424">
        <f t="shared" si="164"/>
        <v>14250000</v>
      </c>
      <c r="AJ687" s="1424">
        <f t="shared" si="165"/>
        <v>14250000</v>
      </c>
      <c r="AK687" s="1425">
        <f t="shared" si="166"/>
        <v>0</v>
      </c>
      <c r="AL687" s="1426" t="str">
        <f t="shared" si="167"/>
        <v>Lunas</v>
      </c>
      <c r="AM687" s="1410"/>
      <c r="AN687" s="1411"/>
      <c r="AO687" s="1410"/>
      <c r="AP687" s="1411"/>
      <c r="AQ687" s="1128"/>
      <c r="AR687" s="1173"/>
      <c r="AT687" s="1173"/>
      <c r="AV687" s="1173"/>
      <c r="AX687" s="1173"/>
      <c r="AY687" s="1176"/>
      <c r="AZ687" s="1173"/>
    </row>
    <row r="688" spans="1:52" s="2" customFormat="1" x14ac:dyDescent="0.25">
      <c r="A688" s="156">
        <v>651</v>
      </c>
      <c r="B688" s="157">
        <v>17</v>
      </c>
      <c r="C688" s="159">
        <v>849113043</v>
      </c>
      <c r="D688" s="158" t="s">
        <v>1139</v>
      </c>
      <c r="E688" s="160" t="s">
        <v>1070</v>
      </c>
      <c r="F688" s="161">
        <v>2013</v>
      </c>
      <c r="G688" s="162" t="s">
        <v>33</v>
      </c>
      <c r="H688" s="163" t="str">
        <f t="shared" si="162"/>
        <v xml:space="preserve">   </v>
      </c>
      <c r="I688" s="163">
        <f t="shared" si="163"/>
        <v>42329</v>
      </c>
      <c r="J688" s="1356">
        <v>1250000</v>
      </c>
      <c r="K688" s="1357"/>
      <c r="L688" s="1358">
        <v>3000000</v>
      </c>
      <c r="M688" s="1357">
        <v>41460</v>
      </c>
      <c r="N688" s="1358">
        <v>3000000</v>
      </c>
      <c r="O688" s="1357">
        <v>41674</v>
      </c>
      <c r="P688" s="1358">
        <v>3000000</v>
      </c>
      <c r="Q688" s="1357">
        <v>41888</v>
      </c>
      <c r="R688" s="1358">
        <v>3000000</v>
      </c>
      <c r="S688" s="1357">
        <v>42044</v>
      </c>
      <c r="T688" s="1382" t="s">
        <v>276</v>
      </c>
      <c r="U688" s="1383">
        <v>42329</v>
      </c>
      <c r="V688" s="1384"/>
      <c r="W688" s="1363"/>
      <c r="X688" s="1384"/>
      <c r="Y688" s="1363"/>
      <c r="Z688" s="1384"/>
      <c r="AA688" s="1363"/>
      <c r="AB688" s="1358">
        <v>1000000</v>
      </c>
      <c r="AC688" s="1383">
        <v>42041</v>
      </c>
      <c r="AD688" s="1402"/>
      <c r="AE688" s="1405"/>
      <c r="AF688" s="1406"/>
      <c r="AG688" s="1422"/>
      <c r="AH688" s="1423" t="str">
        <f t="shared" si="146"/>
        <v>MPI-S2</v>
      </c>
      <c r="AI688" s="1424">
        <f t="shared" si="164"/>
        <v>14250000</v>
      </c>
      <c r="AJ688" s="1424">
        <f t="shared" si="165"/>
        <v>14250000</v>
      </c>
      <c r="AK688" s="1425">
        <f t="shared" si="166"/>
        <v>0</v>
      </c>
      <c r="AL688" s="1426" t="str">
        <f t="shared" si="167"/>
        <v>Lunas</v>
      </c>
      <c r="AM688" s="1410"/>
      <c r="AN688" s="1411"/>
      <c r="AO688" s="1410"/>
      <c r="AP688" s="1411"/>
      <c r="AQ688" s="1128"/>
      <c r="AR688" s="1173"/>
      <c r="AT688" s="1173"/>
      <c r="AV688" s="1173"/>
      <c r="AX688" s="1173"/>
      <c r="AY688" s="1176"/>
      <c r="AZ688" s="1173"/>
    </row>
    <row r="689" spans="1:52" s="2" customFormat="1" x14ac:dyDescent="0.25">
      <c r="A689" s="240">
        <v>652</v>
      </c>
      <c r="B689" s="255">
        <v>18</v>
      </c>
      <c r="C689" s="257">
        <v>849113044</v>
      </c>
      <c r="D689" s="256" t="s">
        <v>1140</v>
      </c>
      <c r="E689" s="244" t="s">
        <v>1070</v>
      </c>
      <c r="F689" s="258">
        <v>2013</v>
      </c>
      <c r="G689" s="170" t="s">
        <v>1077</v>
      </c>
      <c r="H689" s="246" t="str">
        <f t="shared" si="162"/>
        <v xml:space="preserve">   </v>
      </c>
      <c r="I689" s="246" t="str">
        <f t="shared" si="163"/>
        <v xml:space="preserve">   </v>
      </c>
      <c r="J689" s="1459">
        <v>1250000</v>
      </c>
      <c r="K689" s="1460"/>
      <c r="L689" s="1456">
        <v>3000000</v>
      </c>
      <c r="M689" s="1457">
        <v>41460</v>
      </c>
      <c r="N689" s="1461"/>
      <c r="O689" s="1445"/>
      <c r="P689" s="1461"/>
      <c r="Q689" s="1445"/>
      <c r="R689" s="1461"/>
      <c r="S689" s="1445"/>
      <c r="T689" s="1477"/>
      <c r="U689" s="1447"/>
      <c r="V689" s="1384"/>
      <c r="W689" s="1363"/>
      <c r="X689" s="1384"/>
      <c r="Y689" s="1363"/>
      <c r="Z689" s="1384"/>
      <c r="AA689" s="1363"/>
      <c r="AB689" s="1448"/>
      <c r="AC689" s="1501"/>
      <c r="AD689" s="1402"/>
      <c r="AE689" s="1405"/>
      <c r="AF689" s="1406"/>
      <c r="AG689" s="1422"/>
      <c r="AH689" s="1507" t="str">
        <f t="shared" si="146"/>
        <v>MPI-S2</v>
      </c>
      <c r="AI689" s="1427">
        <f t="shared" si="164"/>
        <v>4250000</v>
      </c>
      <c r="AJ689" s="1427">
        <f t="shared" si="165"/>
        <v>4250000</v>
      </c>
      <c r="AK689" s="1427">
        <f t="shared" si="166"/>
        <v>0</v>
      </c>
      <c r="AL689" s="1428" t="s">
        <v>1077</v>
      </c>
      <c r="AM689" s="1410"/>
      <c r="AN689" s="1411"/>
      <c r="AO689" s="1410"/>
      <c r="AP689" s="1411"/>
      <c r="AQ689" s="1128"/>
      <c r="AR689" s="1173"/>
      <c r="AT689" s="1173"/>
      <c r="AV689" s="1173"/>
      <c r="AX689" s="1173"/>
      <c r="AY689" s="1176"/>
      <c r="AZ689" s="1173"/>
    </row>
    <row r="690" spans="1:52" s="4" customFormat="1" x14ac:dyDescent="0.25">
      <c r="A690" s="187"/>
      <c r="B690" s="188"/>
      <c r="C690" s="190"/>
      <c r="D690" s="189"/>
      <c r="E690" s="191" t="s">
        <v>61</v>
      </c>
      <c r="F690" s="192" t="s">
        <v>61</v>
      </c>
      <c r="G690" s="192" t="s">
        <v>61</v>
      </c>
      <c r="H690" s="193"/>
      <c r="I690" s="193"/>
      <c r="J690" s="187"/>
      <c r="K690" s="1436"/>
      <c r="L690" s="1437"/>
      <c r="M690" s="1436"/>
      <c r="N690" s="1437"/>
      <c r="O690" s="1436"/>
      <c r="P690" s="1437"/>
      <c r="Q690" s="1436"/>
      <c r="R690" s="1437"/>
      <c r="S690" s="1464"/>
      <c r="T690" s="1478"/>
      <c r="U690" s="1436"/>
      <c r="V690" s="1437"/>
      <c r="W690" s="1436"/>
      <c r="X690" s="1437"/>
      <c r="Y690" s="1437"/>
      <c r="Z690" s="1437"/>
      <c r="AA690" s="1437"/>
      <c r="AB690" s="1437"/>
      <c r="AC690" s="1437"/>
      <c r="AD690" s="1437"/>
      <c r="AE690" s="1437"/>
      <c r="AF690" s="1437"/>
      <c r="AG690" s="1437"/>
      <c r="AH690" s="1437" t="str">
        <f t="shared" si="146"/>
        <v>-</v>
      </c>
      <c r="AI690" s="1437"/>
      <c r="AJ690" s="1437"/>
      <c r="AK690" s="1437"/>
      <c r="AL690" s="1437"/>
      <c r="AM690" s="1510"/>
      <c r="AN690" s="1511"/>
      <c r="AO690" s="1510"/>
      <c r="AP690" s="1511"/>
      <c r="AQ690" s="1215"/>
      <c r="AR690" s="1216"/>
      <c r="AT690" s="1216"/>
      <c r="AV690" s="1216"/>
      <c r="AX690" s="1216"/>
      <c r="AY690" s="1217"/>
      <c r="AZ690" s="1216"/>
    </row>
    <row r="691" spans="1:52" s="2" customFormat="1" x14ac:dyDescent="0.25">
      <c r="A691" s="194" t="s">
        <v>1122</v>
      </c>
      <c r="B691" s="259"/>
      <c r="C691" s="261"/>
      <c r="D691" s="260"/>
      <c r="E691" s="198" t="s">
        <v>1096</v>
      </c>
      <c r="F691" s="199" t="s">
        <v>1096</v>
      </c>
      <c r="G691" s="146">
        <v>3000000</v>
      </c>
      <c r="H691" s="232" t="str">
        <f t="shared" ref="H691:H716" si="168">IFERROR(VLOOKUP(C691,Tlus,3,FALSE),"   ")</f>
        <v xml:space="preserve">   </v>
      </c>
      <c r="I691" s="232" t="str">
        <f t="shared" ref="I691:I716" si="169">IFERROR(VLOOKUP(C691,Wis,4,FALSE),"   ")</f>
        <v xml:space="preserve">   </v>
      </c>
      <c r="J691" s="1450">
        <v>1250000</v>
      </c>
      <c r="K691" s="1438"/>
      <c r="L691" s="1351" t="s">
        <v>1049</v>
      </c>
      <c r="M691" s="1352" t="s">
        <v>1052</v>
      </c>
      <c r="N691" s="1351" t="s">
        <v>1051</v>
      </c>
      <c r="O691" s="1352" t="s">
        <v>1054</v>
      </c>
      <c r="P691" s="1351" t="s">
        <v>1053</v>
      </c>
      <c r="Q691" s="1352" t="s">
        <v>1056</v>
      </c>
      <c r="R691" s="1351" t="s">
        <v>1055</v>
      </c>
      <c r="S691" s="1379" t="s">
        <v>1058</v>
      </c>
      <c r="T691" s="1351" t="s">
        <v>1057</v>
      </c>
      <c r="U691" s="1379" t="s">
        <v>1060</v>
      </c>
      <c r="V691" s="1380" t="s">
        <v>1059</v>
      </c>
      <c r="W691" s="1379" t="s">
        <v>1062</v>
      </c>
      <c r="X691" s="1380" t="s">
        <v>1061</v>
      </c>
      <c r="Y691" s="1379" t="s">
        <v>1064</v>
      </c>
      <c r="Z691" s="1380" t="s">
        <v>1063</v>
      </c>
      <c r="AA691" s="1502" t="s">
        <v>1066</v>
      </c>
      <c r="AB691" s="1397">
        <v>1000000</v>
      </c>
      <c r="AC691" s="1127"/>
      <c r="AD691" s="1398" t="s">
        <v>1065</v>
      </c>
      <c r="AE691" s="1412" t="s">
        <v>1068</v>
      </c>
      <c r="AF691" s="1400" t="s">
        <v>1067</v>
      </c>
      <c r="AG691" s="1412" t="s">
        <v>1141</v>
      </c>
      <c r="AH691" s="1518" t="str">
        <f t="shared" si="146"/>
        <v>#</v>
      </c>
      <c r="AI691" s="1512"/>
      <c r="AJ691" s="1409"/>
      <c r="AK691" s="1409"/>
      <c r="AL691" s="1513"/>
      <c r="AM691" s="1513"/>
      <c r="AN691" s="1514"/>
      <c r="AO691" s="1513"/>
      <c r="AP691" s="1514"/>
      <c r="AQ691" s="1128"/>
      <c r="AR691" s="1173"/>
      <c r="AT691" s="1173"/>
      <c r="AV691" s="1173"/>
      <c r="AX691" s="1173"/>
      <c r="AY691" s="1176"/>
      <c r="AZ691" s="1173"/>
    </row>
    <row r="692" spans="1:52" s="2" customFormat="1" x14ac:dyDescent="0.25">
      <c r="A692" s="200">
        <v>653</v>
      </c>
      <c r="B692" s="262">
        <v>1</v>
      </c>
      <c r="C692" s="151">
        <v>849113052</v>
      </c>
      <c r="D692" s="150" t="s">
        <v>1142</v>
      </c>
      <c r="E692" s="152" t="s">
        <v>1070</v>
      </c>
      <c r="F692" s="153" t="s">
        <v>1143</v>
      </c>
      <c r="G692" s="154" t="s">
        <v>33</v>
      </c>
      <c r="H692" s="163" t="str">
        <f t="shared" si="168"/>
        <v xml:space="preserve">   </v>
      </c>
      <c r="I692" s="155">
        <f t="shared" si="169"/>
        <v>42504</v>
      </c>
      <c r="J692" s="1439">
        <v>1250000</v>
      </c>
      <c r="K692" s="1440">
        <v>41662</v>
      </c>
      <c r="L692" s="1441">
        <v>3000000</v>
      </c>
      <c r="M692" s="1440">
        <v>41662</v>
      </c>
      <c r="N692" s="1441">
        <v>3000000</v>
      </c>
      <c r="O692" s="1440">
        <v>41887</v>
      </c>
      <c r="P692" s="1441">
        <v>3000000</v>
      </c>
      <c r="Q692" s="1440">
        <v>42061</v>
      </c>
      <c r="R692" s="1441">
        <v>3000000</v>
      </c>
      <c r="S692" s="1440">
        <v>42223</v>
      </c>
      <c r="T692" s="1470" t="s">
        <v>276</v>
      </c>
      <c r="U692" s="1479">
        <v>42504</v>
      </c>
      <c r="V692" s="1384"/>
      <c r="W692" s="1363"/>
      <c r="X692" s="1384"/>
      <c r="Y692" s="1363"/>
      <c r="Z692" s="1384"/>
      <c r="AA692" s="1363"/>
      <c r="AB692" s="1441">
        <v>1000000</v>
      </c>
      <c r="AC692" s="1401">
        <v>42223</v>
      </c>
      <c r="AD692" s="1402"/>
      <c r="AE692" s="1405"/>
      <c r="AF692" s="1406"/>
      <c r="AG692" s="1422"/>
      <c r="AH692" s="1416" t="str">
        <f t="shared" si="146"/>
        <v>MPI-S2</v>
      </c>
      <c r="AI692" s="1424">
        <f t="shared" ref="AI692:AI712" si="170">SUM(J692,L692,N692,P692,R692,T692,V692,X692,Z692,AB692,AD692,AF692)</f>
        <v>14250000</v>
      </c>
      <c r="AJ692" s="1424">
        <f t="shared" ref="AJ692:AJ716" si="171">(COUNT(L692,N692,P692,R692,T692,V692,X692,Z692,AD692,AF692)*$G$623)+(COUNT(J692)*$J$623)+(COUNT(AB692)*$AB$623)</f>
        <v>14250000</v>
      </c>
      <c r="AK692" s="1519">
        <f t="shared" ref="AK692:AK712" si="172">AJ692-AI692</f>
        <v>0</v>
      </c>
      <c r="AL692" s="1516" t="str">
        <f t="shared" ref="AL692:AL707" si="173">IF(AK692=0,"Lunas","Cek")</f>
        <v>Lunas</v>
      </c>
      <c r="AM692" s="1410"/>
      <c r="AN692" s="1411"/>
      <c r="AO692" s="1410"/>
      <c r="AP692" s="1411"/>
      <c r="AQ692" s="1128"/>
      <c r="AR692" s="1173"/>
      <c r="AT692" s="1173"/>
      <c r="AV692" s="1173"/>
      <c r="AX692" s="1173"/>
      <c r="AY692" s="1176"/>
      <c r="AZ692" s="1173"/>
    </row>
    <row r="693" spans="1:52" s="2" customFormat="1" x14ac:dyDescent="0.25">
      <c r="A693" s="156">
        <v>654</v>
      </c>
      <c r="B693" s="157">
        <v>2</v>
      </c>
      <c r="C693" s="159">
        <v>849113053</v>
      </c>
      <c r="D693" s="158" t="s">
        <v>1144</v>
      </c>
      <c r="E693" s="160" t="s">
        <v>1070</v>
      </c>
      <c r="F693" s="161" t="s">
        <v>1143</v>
      </c>
      <c r="G693" s="162" t="s">
        <v>33</v>
      </c>
      <c r="H693" s="163">
        <f t="shared" si="168"/>
        <v>42693</v>
      </c>
      <c r="I693" s="163">
        <f t="shared" si="169"/>
        <v>42693</v>
      </c>
      <c r="J693" s="1356">
        <v>1250000</v>
      </c>
      <c r="K693" s="1357">
        <v>41662</v>
      </c>
      <c r="L693" s="1358">
        <v>3000000</v>
      </c>
      <c r="M693" s="1357">
        <v>41662</v>
      </c>
      <c r="N693" s="1358">
        <v>3000000</v>
      </c>
      <c r="O693" s="1357">
        <v>41859</v>
      </c>
      <c r="P693" s="1358">
        <v>3000000</v>
      </c>
      <c r="Q693" s="1357">
        <v>42041</v>
      </c>
      <c r="R693" s="1358">
        <v>3000000</v>
      </c>
      <c r="S693" s="1357">
        <v>42220</v>
      </c>
      <c r="T693" s="1358">
        <v>3000000</v>
      </c>
      <c r="U693" s="1357">
        <v>42419</v>
      </c>
      <c r="V693" s="1465" t="s">
        <v>276</v>
      </c>
      <c r="W693" s="1367"/>
      <c r="X693" s="1384"/>
      <c r="Y693" s="1363"/>
      <c r="Z693" s="1384"/>
      <c r="AA693" s="1363"/>
      <c r="AB693" s="1358">
        <v>1000000</v>
      </c>
      <c r="AC693" s="1383">
        <v>42223</v>
      </c>
      <c r="AD693" s="1402"/>
      <c r="AE693" s="1405"/>
      <c r="AF693" s="1406"/>
      <c r="AG693" s="1422"/>
      <c r="AH693" s="1423" t="str">
        <f t="shared" si="146"/>
        <v>MPI-S2</v>
      </c>
      <c r="AI693" s="1424">
        <f t="shared" si="170"/>
        <v>17250000</v>
      </c>
      <c r="AJ693" s="1424">
        <f t="shared" si="171"/>
        <v>17250000</v>
      </c>
      <c r="AK693" s="1425">
        <f t="shared" si="172"/>
        <v>0</v>
      </c>
      <c r="AL693" s="1426" t="str">
        <f t="shared" si="173"/>
        <v>Lunas</v>
      </c>
      <c r="AM693" s="1410"/>
      <c r="AN693" s="1411"/>
      <c r="AO693" s="1410"/>
      <c r="AP693" s="1411"/>
      <c r="AQ693" s="1128"/>
      <c r="AR693" s="1173"/>
      <c r="AT693" s="1173"/>
      <c r="AV693" s="1173"/>
      <c r="AX693" s="1173"/>
      <c r="AY693" s="1176"/>
      <c r="AZ693" s="1173"/>
    </row>
    <row r="694" spans="1:52" s="2" customFormat="1" x14ac:dyDescent="0.25">
      <c r="A694" s="156">
        <v>655</v>
      </c>
      <c r="B694" s="157">
        <v>3</v>
      </c>
      <c r="C694" s="159">
        <v>849113056</v>
      </c>
      <c r="D694" s="158" t="s">
        <v>1145</v>
      </c>
      <c r="E694" s="160" t="s">
        <v>1070</v>
      </c>
      <c r="F694" s="161" t="s">
        <v>1143</v>
      </c>
      <c r="G694" s="162" t="s">
        <v>33</v>
      </c>
      <c r="H694" s="163">
        <f t="shared" si="168"/>
        <v>42693</v>
      </c>
      <c r="I694" s="163">
        <f t="shared" si="169"/>
        <v>42693</v>
      </c>
      <c r="J694" s="1356">
        <v>1250000</v>
      </c>
      <c r="K694" s="1357">
        <v>41659</v>
      </c>
      <c r="L694" s="1358">
        <v>3000000</v>
      </c>
      <c r="M694" s="1357">
        <v>41659</v>
      </c>
      <c r="N694" s="1358">
        <v>3000000</v>
      </c>
      <c r="O694" s="1357">
        <v>41855</v>
      </c>
      <c r="P694" s="1358">
        <v>3000000</v>
      </c>
      <c r="Q694" s="1357">
        <v>42048</v>
      </c>
      <c r="R694" s="1358">
        <v>3000000</v>
      </c>
      <c r="S694" s="1357">
        <v>42221</v>
      </c>
      <c r="T694" s="1358">
        <v>3000000</v>
      </c>
      <c r="U694" s="1357" t="s">
        <v>1146</v>
      </c>
      <c r="V694" s="1465" t="s">
        <v>276</v>
      </c>
      <c r="W694" s="1357">
        <v>42693</v>
      </c>
      <c r="X694" s="1384"/>
      <c r="Y694" s="1363"/>
      <c r="Z694" s="1384"/>
      <c r="AA694" s="1363"/>
      <c r="AB694" s="1358">
        <v>1000000</v>
      </c>
      <c r="AC694" s="1383">
        <v>42220</v>
      </c>
      <c r="AD694" s="1402"/>
      <c r="AE694" s="1405"/>
      <c r="AF694" s="1406"/>
      <c r="AG694" s="1422"/>
      <c r="AH694" s="1423" t="str">
        <f t="shared" si="146"/>
        <v>MPI-S2</v>
      </c>
      <c r="AI694" s="1424">
        <f t="shared" si="170"/>
        <v>17250000</v>
      </c>
      <c r="AJ694" s="1424">
        <f t="shared" si="171"/>
        <v>17250000</v>
      </c>
      <c r="AK694" s="1425">
        <f t="shared" si="172"/>
        <v>0</v>
      </c>
      <c r="AL694" s="1426" t="str">
        <f t="shared" si="173"/>
        <v>Lunas</v>
      </c>
      <c r="AM694" s="1410"/>
      <c r="AN694" s="1411"/>
      <c r="AO694" s="1410"/>
      <c r="AP694" s="1411"/>
      <c r="AQ694" s="1128"/>
      <c r="AR694" s="1173"/>
      <c r="AT694" s="1173"/>
      <c r="AV694" s="1173"/>
      <c r="AX694" s="1173"/>
      <c r="AY694" s="1176"/>
      <c r="AZ694" s="1173"/>
    </row>
    <row r="695" spans="1:52" s="2" customFormat="1" x14ac:dyDescent="0.25">
      <c r="A695" s="164">
        <v>656</v>
      </c>
      <c r="B695" s="253">
        <v>4</v>
      </c>
      <c r="C695" s="263">
        <v>849113060</v>
      </c>
      <c r="D695" s="173" t="s">
        <v>1147</v>
      </c>
      <c r="E695" s="264" t="s">
        <v>1070</v>
      </c>
      <c r="F695" s="175" t="s">
        <v>1143</v>
      </c>
      <c r="G695" s="214" t="s">
        <v>1077</v>
      </c>
      <c r="H695" s="265" t="str">
        <f t="shared" si="168"/>
        <v xml:space="preserve">   </v>
      </c>
      <c r="I695" s="265" t="str">
        <f t="shared" si="169"/>
        <v xml:space="preserve">   </v>
      </c>
      <c r="J695" s="1366">
        <v>1250000</v>
      </c>
      <c r="K695" s="1367">
        <v>41663</v>
      </c>
      <c r="L695" s="1363">
        <v>3000000</v>
      </c>
      <c r="M695" s="1367">
        <v>41663</v>
      </c>
      <c r="N695" s="1363">
        <v>3000000</v>
      </c>
      <c r="O695" s="1367">
        <v>41859</v>
      </c>
      <c r="P695" s="1363">
        <v>3000000</v>
      </c>
      <c r="Q695" s="1367">
        <v>42076</v>
      </c>
      <c r="R695" s="1363">
        <v>3000000</v>
      </c>
      <c r="S695" s="1367">
        <v>42219</v>
      </c>
      <c r="T695" s="1384"/>
      <c r="U695" s="1363"/>
      <c r="V695" s="1384"/>
      <c r="W695" s="1363"/>
      <c r="X695" s="1384"/>
      <c r="Y695" s="1363"/>
      <c r="Z695" s="1384"/>
      <c r="AA695" s="1363"/>
      <c r="AB695" s="1363">
        <v>1000000</v>
      </c>
      <c r="AC695" s="1503">
        <v>42219</v>
      </c>
      <c r="AD695" s="1402"/>
      <c r="AE695" s="1405"/>
      <c r="AF695" s="1406"/>
      <c r="AG695" s="1422"/>
      <c r="AH695" s="1423" t="str">
        <f t="shared" si="146"/>
        <v>MPI-S2</v>
      </c>
      <c r="AI695" s="1427">
        <f t="shared" si="170"/>
        <v>14250000</v>
      </c>
      <c r="AJ695" s="1427">
        <f t="shared" si="171"/>
        <v>14250000</v>
      </c>
      <c r="AK695" s="1427">
        <f t="shared" si="172"/>
        <v>0</v>
      </c>
      <c r="AL695" s="1428" t="s">
        <v>1077</v>
      </c>
      <c r="AM695" s="1410"/>
      <c r="AN695" s="1411"/>
      <c r="AO695" s="1410"/>
      <c r="AP695" s="1411"/>
      <c r="AQ695" s="1128"/>
      <c r="AR695" s="1173"/>
      <c r="AT695" s="1173"/>
      <c r="AV695" s="1173"/>
      <c r="AX695" s="1173"/>
      <c r="AY695" s="1176"/>
      <c r="AZ695" s="1173"/>
    </row>
    <row r="696" spans="1:52" s="2" customFormat="1" x14ac:dyDescent="0.25">
      <c r="A696" s="156">
        <v>657</v>
      </c>
      <c r="B696" s="157">
        <v>5</v>
      </c>
      <c r="C696" s="159">
        <v>849113048</v>
      </c>
      <c r="D696" s="158" t="s">
        <v>1148</v>
      </c>
      <c r="E696" s="160" t="s">
        <v>1070</v>
      </c>
      <c r="F696" s="161" t="s">
        <v>1143</v>
      </c>
      <c r="G696" s="342" t="s">
        <v>33</v>
      </c>
      <c r="H696" s="163">
        <f t="shared" si="168"/>
        <v>42693</v>
      </c>
      <c r="I696" s="163">
        <f t="shared" si="169"/>
        <v>42693</v>
      </c>
      <c r="J696" s="1356">
        <v>1250000</v>
      </c>
      <c r="K696" s="1357">
        <v>41663</v>
      </c>
      <c r="L696" s="1358">
        <v>3000000</v>
      </c>
      <c r="M696" s="1357">
        <v>41663</v>
      </c>
      <c r="N696" s="1358">
        <v>3000000</v>
      </c>
      <c r="O696" s="1357">
        <v>41867</v>
      </c>
      <c r="P696" s="1358">
        <v>3000000</v>
      </c>
      <c r="Q696" s="1357">
        <v>42044</v>
      </c>
      <c r="R696" s="1358">
        <v>3000000</v>
      </c>
      <c r="S696" s="1357">
        <v>42240</v>
      </c>
      <c r="T696" s="1358">
        <v>3000000</v>
      </c>
      <c r="U696" s="1357">
        <v>42646</v>
      </c>
      <c r="V696" s="1358">
        <v>3000000</v>
      </c>
      <c r="W696" s="1357">
        <v>42646</v>
      </c>
      <c r="X696" s="1384"/>
      <c r="Y696" s="1363"/>
      <c r="Z696" s="1384"/>
      <c r="AA696" s="1363"/>
      <c r="AB696" s="1356">
        <v>1000000</v>
      </c>
      <c r="AC696" s="1383">
        <v>42646</v>
      </c>
      <c r="AD696" s="1402"/>
      <c r="AE696" s="1405"/>
      <c r="AF696" s="1406"/>
      <c r="AG696" s="1422"/>
      <c r="AH696" s="1423" t="str">
        <f t="shared" si="146"/>
        <v>MPI-S2</v>
      </c>
      <c r="AI696" s="1424">
        <f t="shared" si="170"/>
        <v>20250000</v>
      </c>
      <c r="AJ696" s="1424">
        <f t="shared" si="171"/>
        <v>20250000</v>
      </c>
      <c r="AK696" s="1425">
        <f t="shared" si="172"/>
        <v>0</v>
      </c>
      <c r="AL696" s="1426" t="str">
        <f t="shared" si="173"/>
        <v>Lunas</v>
      </c>
      <c r="AM696" s="1410"/>
      <c r="AN696" s="1411"/>
      <c r="AO696" s="1410"/>
      <c r="AP696" s="1411"/>
      <c r="AQ696" s="1128"/>
      <c r="AR696" s="1173"/>
      <c r="AT696" s="1173"/>
      <c r="AV696" s="1173"/>
      <c r="AX696" s="1173"/>
      <c r="AY696" s="1176"/>
      <c r="AZ696" s="1173"/>
    </row>
    <row r="697" spans="1:52" s="2" customFormat="1" x14ac:dyDescent="0.25">
      <c r="A697" s="164">
        <v>658</v>
      </c>
      <c r="B697" s="253">
        <v>6</v>
      </c>
      <c r="C697" s="263">
        <v>849113050</v>
      </c>
      <c r="D697" s="173" t="s">
        <v>1149</v>
      </c>
      <c r="E697" s="264" t="s">
        <v>1070</v>
      </c>
      <c r="F697" s="175" t="s">
        <v>1143</v>
      </c>
      <c r="G697" s="214" t="s">
        <v>1077</v>
      </c>
      <c r="H697" s="265" t="str">
        <f t="shared" si="168"/>
        <v xml:space="preserve">   </v>
      </c>
      <c r="I697" s="265" t="str">
        <f t="shared" si="169"/>
        <v xml:space="preserve">   </v>
      </c>
      <c r="J697" s="1366">
        <v>1250000</v>
      </c>
      <c r="K697" s="1367">
        <v>41666</v>
      </c>
      <c r="L697" s="1363">
        <v>3000000</v>
      </c>
      <c r="M697" s="1367">
        <v>41666</v>
      </c>
      <c r="N697" s="1363">
        <v>3000000</v>
      </c>
      <c r="O697" s="1367">
        <v>41859</v>
      </c>
      <c r="P697" s="1363">
        <v>3000000</v>
      </c>
      <c r="Q697" s="1367">
        <v>42072</v>
      </c>
      <c r="R697" s="1363">
        <v>3000000</v>
      </c>
      <c r="S697" s="1367">
        <v>42223</v>
      </c>
      <c r="T697" s="1363">
        <v>3000000</v>
      </c>
      <c r="U697" s="1367">
        <v>42759</v>
      </c>
      <c r="V697" s="1363">
        <v>3000000</v>
      </c>
      <c r="W697" s="1367">
        <v>42759</v>
      </c>
      <c r="X697" s="1384"/>
      <c r="Y697" s="1363"/>
      <c r="Z697" s="1384"/>
      <c r="AA697" s="1363"/>
      <c r="AB697" s="1504"/>
      <c r="AC697" s="1500"/>
      <c r="AD697" s="1402"/>
      <c r="AE697" s="1405"/>
      <c r="AF697" s="1406"/>
      <c r="AG697" s="1422"/>
      <c r="AH697" s="1423" t="str">
        <f t="shared" si="146"/>
        <v>MPI-S2</v>
      </c>
      <c r="AI697" s="1427">
        <f t="shared" si="170"/>
        <v>19250000</v>
      </c>
      <c r="AJ697" s="1427">
        <f t="shared" si="171"/>
        <v>19250000</v>
      </c>
      <c r="AK697" s="1427">
        <f t="shared" si="172"/>
        <v>0</v>
      </c>
      <c r="AL697" s="1428" t="s">
        <v>1077</v>
      </c>
      <c r="AM697" s="1410"/>
      <c r="AN697" s="1411"/>
      <c r="AO697" s="1410"/>
      <c r="AP697" s="1411"/>
      <c r="AQ697" s="1128"/>
      <c r="AR697" s="1173"/>
      <c r="AT697" s="1173"/>
      <c r="AV697" s="1173"/>
      <c r="AX697" s="1173"/>
      <c r="AY697" s="1176"/>
      <c r="AZ697" s="1173"/>
    </row>
    <row r="698" spans="1:52" s="2" customFormat="1" x14ac:dyDescent="0.25">
      <c r="A698" s="156">
        <v>659</v>
      </c>
      <c r="B698" s="157">
        <v>7</v>
      </c>
      <c r="C698" s="159">
        <v>849113083</v>
      </c>
      <c r="D698" s="158" t="s">
        <v>1150</v>
      </c>
      <c r="E698" s="160" t="s">
        <v>1070</v>
      </c>
      <c r="F698" s="161" t="s">
        <v>1143</v>
      </c>
      <c r="G698" s="162" t="s">
        <v>33</v>
      </c>
      <c r="H698" s="163">
        <f t="shared" si="168"/>
        <v>42693</v>
      </c>
      <c r="I698" s="163">
        <f t="shared" si="169"/>
        <v>42693</v>
      </c>
      <c r="J698" s="1356">
        <v>1250000</v>
      </c>
      <c r="K698" s="1357">
        <v>41666</v>
      </c>
      <c r="L698" s="1358">
        <v>3000000</v>
      </c>
      <c r="M698" s="1357">
        <v>41666</v>
      </c>
      <c r="N698" s="1358">
        <v>3000000</v>
      </c>
      <c r="O698" s="1357">
        <v>41859</v>
      </c>
      <c r="P698" s="1358">
        <v>3000000</v>
      </c>
      <c r="Q698" s="1357">
        <v>42074</v>
      </c>
      <c r="R698" s="1358">
        <v>3000000</v>
      </c>
      <c r="S698" s="1357">
        <v>42222</v>
      </c>
      <c r="T698" s="1356">
        <v>3000000</v>
      </c>
      <c r="U698" s="1357">
        <v>42474</v>
      </c>
      <c r="V698" s="1465" t="s">
        <v>276</v>
      </c>
      <c r="W698" s="1357">
        <v>42693</v>
      </c>
      <c r="X698" s="1384"/>
      <c r="Y698" s="1363"/>
      <c r="Z698" s="1384"/>
      <c r="AA698" s="1363"/>
      <c r="AB698" s="1358">
        <v>1000000</v>
      </c>
      <c r="AC698" s="1383">
        <v>42839</v>
      </c>
      <c r="AD698" s="1402"/>
      <c r="AE698" s="1405"/>
      <c r="AF698" s="1406"/>
      <c r="AG698" s="1422"/>
      <c r="AH698" s="1423" t="str">
        <f t="shared" si="146"/>
        <v>MPI-S2</v>
      </c>
      <c r="AI698" s="1424">
        <f t="shared" si="170"/>
        <v>17250000</v>
      </c>
      <c r="AJ698" s="1424">
        <f t="shared" si="171"/>
        <v>17250000</v>
      </c>
      <c r="AK698" s="1425">
        <f t="shared" si="172"/>
        <v>0</v>
      </c>
      <c r="AL698" s="1426" t="str">
        <f t="shared" si="173"/>
        <v>Lunas</v>
      </c>
      <c r="AM698" s="1410"/>
      <c r="AN698" s="1411"/>
      <c r="AO698" s="1410"/>
      <c r="AP698" s="1411"/>
      <c r="AQ698" s="1128"/>
      <c r="AR698" s="1173"/>
      <c r="AT698" s="1173"/>
      <c r="AV698" s="1173"/>
      <c r="AX698" s="1173"/>
      <c r="AY698" s="1176"/>
      <c r="AZ698" s="1173"/>
    </row>
    <row r="699" spans="1:52" s="2" customFormat="1" x14ac:dyDescent="0.25">
      <c r="A699" s="156">
        <v>660</v>
      </c>
      <c r="B699" s="157">
        <v>8</v>
      </c>
      <c r="C699" s="159">
        <v>849113057</v>
      </c>
      <c r="D699" s="158" t="s">
        <v>1151</v>
      </c>
      <c r="E699" s="160" t="s">
        <v>1070</v>
      </c>
      <c r="F699" s="161" t="s">
        <v>1143</v>
      </c>
      <c r="G699" s="162" t="s">
        <v>33</v>
      </c>
      <c r="H699" s="163">
        <f t="shared" si="168"/>
        <v>42693</v>
      </c>
      <c r="I699" s="163">
        <f t="shared" si="169"/>
        <v>42693</v>
      </c>
      <c r="J699" s="1356">
        <v>1250000</v>
      </c>
      <c r="K699" s="1357">
        <v>41661</v>
      </c>
      <c r="L699" s="1358">
        <v>3000000</v>
      </c>
      <c r="M699" s="1357">
        <v>41661</v>
      </c>
      <c r="N699" s="1358">
        <v>3000000</v>
      </c>
      <c r="O699" s="1357">
        <v>41880</v>
      </c>
      <c r="P699" s="1358">
        <v>3000000</v>
      </c>
      <c r="Q699" s="1357">
        <v>42072</v>
      </c>
      <c r="R699" s="1358">
        <v>3000000</v>
      </c>
      <c r="S699" s="1357">
        <v>42222</v>
      </c>
      <c r="T699" s="1358">
        <v>3000000</v>
      </c>
      <c r="U699" s="1357">
        <v>42549</v>
      </c>
      <c r="V699" s="1465" t="s">
        <v>276</v>
      </c>
      <c r="W699" s="1357">
        <v>42693</v>
      </c>
      <c r="X699" s="1384"/>
      <c r="Y699" s="1363"/>
      <c r="Z699" s="1384"/>
      <c r="AA699" s="1363"/>
      <c r="AB699" s="1358">
        <v>1000000</v>
      </c>
      <c r="AC699" s="1383">
        <v>42549</v>
      </c>
      <c r="AD699" s="1402"/>
      <c r="AE699" s="1405"/>
      <c r="AF699" s="1406"/>
      <c r="AG699" s="1422"/>
      <c r="AH699" s="1423" t="str">
        <f t="shared" si="146"/>
        <v>MPI-S2</v>
      </c>
      <c r="AI699" s="1424">
        <f t="shared" si="170"/>
        <v>17250000</v>
      </c>
      <c r="AJ699" s="1424">
        <f t="shared" si="171"/>
        <v>17250000</v>
      </c>
      <c r="AK699" s="1425">
        <f t="shared" si="172"/>
        <v>0</v>
      </c>
      <c r="AL699" s="1426" t="str">
        <f t="shared" si="173"/>
        <v>Lunas</v>
      </c>
      <c r="AM699" s="1410"/>
      <c r="AN699" s="1411"/>
      <c r="AO699" s="1410"/>
      <c r="AP699" s="1411"/>
      <c r="AQ699" s="1128"/>
      <c r="AR699" s="1173"/>
      <c r="AT699" s="1173"/>
      <c r="AV699" s="1173"/>
      <c r="AX699" s="1173"/>
      <c r="AY699" s="1176"/>
      <c r="AZ699" s="1173"/>
    </row>
    <row r="700" spans="1:52" s="2" customFormat="1" x14ac:dyDescent="0.25">
      <c r="A700" s="156">
        <v>661</v>
      </c>
      <c r="B700" s="157">
        <v>9</v>
      </c>
      <c r="C700" s="159">
        <v>849113055</v>
      </c>
      <c r="D700" s="158" t="s">
        <v>1152</v>
      </c>
      <c r="E700" s="160" t="s">
        <v>1070</v>
      </c>
      <c r="F700" s="161" t="s">
        <v>1143</v>
      </c>
      <c r="G700" s="162" t="s">
        <v>33</v>
      </c>
      <c r="H700" s="163">
        <f t="shared" si="168"/>
        <v>42693</v>
      </c>
      <c r="I700" s="163">
        <f t="shared" si="169"/>
        <v>42693</v>
      </c>
      <c r="J700" s="1356">
        <v>1250000</v>
      </c>
      <c r="K700" s="1357">
        <v>41659</v>
      </c>
      <c r="L700" s="1358">
        <v>3000000</v>
      </c>
      <c r="M700" s="1357">
        <v>41659</v>
      </c>
      <c r="N700" s="1358">
        <v>3000000</v>
      </c>
      <c r="O700" s="1357">
        <v>41866</v>
      </c>
      <c r="P700" s="1358">
        <v>3000000</v>
      </c>
      <c r="Q700" s="1357">
        <v>42044</v>
      </c>
      <c r="R700" s="1358">
        <v>3000000</v>
      </c>
      <c r="S700" s="1357">
        <v>42222</v>
      </c>
      <c r="T700" s="1358">
        <v>3000000</v>
      </c>
      <c r="U700" s="1357">
        <v>42397</v>
      </c>
      <c r="V700" s="1465" t="s">
        <v>276</v>
      </c>
      <c r="W700" s="1357">
        <v>42693</v>
      </c>
      <c r="X700" s="1384"/>
      <c r="Y700" s="1363"/>
      <c r="Z700" s="1384"/>
      <c r="AA700" s="1363"/>
      <c r="AB700" s="1358">
        <v>1000000</v>
      </c>
      <c r="AC700" s="1383">
        <v>42324</v>
      </c>
      <c r="AD700" s="1402"/>
      <c r="AE700" s="1405"/>
      <c r="AF700" s="1406"/>
      <c r="AG700" s="1422"/>
      <c r="AH700" s="1423" t="str">
        <f t="shared" si="146"/>
        <v>MPI-S2</v>
      </c>
      <c r="AI700" s="1424">
        <f t="shared" si="170"/>
        <v>17250000</v>
      </c>
      <c r="AJ700" s="1424">
        <f t="shared" si="171"/>
        <v>17250000</v>
      </c>
      <c r="AK700" s="1425">
        <f t="shared" si="172"/>
        <v>0</v>
      </c>
      <c r="AL700" s="1426" t="str">
        <f t="shared" si="173"/>
        <v>Lunas</v>
      </c>
      <c r="AM700" s="1410"/>
      <c r="AN700" s="1411"/>
      <c r="AO700" s="1410"/>
      <c r="AP700" s="1411"/>
      <c r="AQ700" s="1128"/>
      <c r="AR700" s="1173"/>
      <c r="AT700" s="1173"/>
      <c r="AV700" s="1173"/>
      <c r="AX700" s="1173"/>
      <c r="AY700" s="1176"/>
      <c r="AZ700" s="1173"/>
    </row>
    <row r="701" spans="1:52" s="2" customFormat="1" x14ac:dyDescent="0.25">
      <c r="A701" s="156">
        <v>662</v>
      </c>
      <c r="B701" s="157">
        <v>10</v>
      </c>
      <c r="C701" s="159">
        <v>849113046</v>
      </c>
      <c r="D701" s="158" t="s">
        <v>1153</v>
      </c>
      <c r="E701" s="160" t="s">
        <v>1070</v>
      </c>
      <c r="F701" s="161" t="s">
        <v>1143</v>
      </c>
      <c r="G701" s="162" t="s">
        <v>33</v>
      </c>
      <c r="H701" s="163">
        <f t="shared" si="168"/>
        <v>42693</v>
      </c>
      <c r="I701" s="163">
        <f t="shared" si="169"/>
        <v>42693</v>
      </c>
      <c r="J701" s="1356">
        <v>1250000</v>
      </c>
      <c r="K701" s="1357">
        <v>41666</v>
      </c>
      <c r="L701" s="1358">
        <v>3000000</v>
      </c>
      <c r="M701" s="1357">
        <v>41666</v>
      </c>
      <c r="N701" s="1358">
        <v>3000000</v>
      </c>
      <c r="O701" s="1357">
        <v>41869</v>
      </c>
      <c r="P701" s="1358">
        <v>3000000</v>
      </c>
      <c r="Q701" s="1357">
        <v>42055</v>
      </c>
      <c r="R701" s="1358">
        <v>3000000</v>
      </c>
      <c r="S701" s="1357">
        <v>42550</v>
      </c>
      <c r="T701" s="1358">
        <v>3000000</v>
      </c>
      <c r="U701" s="1357">
        <v>42550</v>
      </c>
      <c r="V701" s="1465" t="s">
        <v>276</v>
      </c>
      <c r="W701" s="1357">
        <v>42693</v>
      </c>
      <c r="X701" s="1384"/>
      <c r="Y701" s="1363"/>
      <c r="Z701" s="1384"/>
      <c r="AA701" s="1363"/>
      <c r="AB701" s="1358">
        <v>1000000</v>
      </c>
      <c r="AC701" s="1383">
        <v>42550</v>
      </c>
      <c r="AD701" s="1402"/>
      <c r="AE701" s="1405"/>
      <c r="AF701" s="1406"/>
      <c r="AG701" s="1422"/>
      <c r="AH701" s="1423" t="str">
        <f t="shared" si="146"/>
        <v>MPI-S2</v>
      </c>
      <c r="AI701" s="1424">
        <f t="shared" si="170"/>
        <v>17250000</v>
      </c>
      <c r="AJ701" s="1424">
        <f t="shared" si="171"/>
        <v>17250000</v>
      </c>
      <c r="AK701" s="1425">
        <f t="shared" si="172"/>
        <v>0</v>
      </c>
      <c r="AL701" s="1426" t="str">
        <f t="shared" si="173"/>
        <v>Lunas</v>
      </c>
      <c r="AM701" s="1410"/>
      <c r="AN701" s="1411"/>
      <c r="AO701" s="1410"/>
      <c r="AP701" s="1411"/>
      <c r="AQ701" s="1128"/>
      <c r="AR701" s="1173"/>
      <c r="AT701" s="1173"/>
      <c r="AV701" s="1173"/>
      <c r="AX701" s="1173"/>
      <c r="AY701" s="1176"/>
      <c r="AZ701" s="1173"/>
    </row>
    <row r="702" spans="1:52" s="2" customFormat="1" x14ac:dyDescent="0.25">
      <c r="A702" s="156">
        <v>663</v>
      </c>
      <c r="B702" s="176">
        <v>11</v>
      </c>
      <c r="C702" s="178">
        <v>849113086</v>
      </c>
      <c r="D702" s="177" t="s">
        <v>1154</v>
      </c>
      <c r="E702" s="179" t="s">
        <v>1070</v>
      </c>
      <c r="F702" s="161" t="s">
        <v>1143</v>
      </c>
      <c r="G702" s="162" t="s">
        <v>33</v>
      </c>
      <c r="H702" s="163">
        <f t="shared" si="168"/>
        <v>43481</v>
      </c>
      <c r="I702" s="266">
        <f t="shared" si="169"/>
        <v>44168</v>
      </c>
      <c r="J702" s="1364">
        <v>1250000</v>
      </c>
      <c r="K702" s="1365">
        <v>41666</v>
      </c>
      <c r="L702" s="1431">
        <v>3000000</v>
      </c>
      <c r="M702" s="1365">
        <v>41666</v>
      </c>
      <c r="N702" s="1431">
        <v>3000000</v>
      </c>
      <c r="O702" s="1365">
        <v>41883</v>
      </c>
      <c r="P702" s="1431">
        <v>3000000</v>
      </c>
      <c r="Q702" s="1365">
        <v>42061</v>
      </c>
      <c r="R702" s="1431">
        <v>3000000</v>
      </c>
      <c r="S702" s="1365">
        <v>42240</v>
      </c>
      <c r="T702" s="1358">
        <v>3000000</v>
      </c>
      <c r="U702" s="1357">
        <v>43259</v>
      </c>
      <c r="V702" s="1358">
        <v>3000000</v>
      </c>
      <c r="W702" s="1357">
        <v>43259</v>
      </c>
      <c r="X702" s="1358">
        <v>3000000</v>
      </c>
      <c r="Y702" s="1357">
        <v>43259</v>
      </c>
      <c r="Z702" s="1358">
        <v>3000000</v>
      </c>
      <c r="AA702" s="1357">
        <v>43259</v>
      </c>
      <c r="AB702" s="1358">
        <v>1000000</v>
      </c>
      <c r="AC702" s="1383">
        <v>42700</v>
      </c>
      <c r="AD702" s="1495">
        <v>3000000</v>
      </c>
      <c r="AE702" s="1498">
        <v>43777</v>
      </c>
      <c r="AF702" s="1495">
        <v>3000000</v>
      </c>
      <c r="AG702" s="1498">
        <v>43777</v>
      </c>
      <c r="AH702" s="1423" t="str">
        <f t="shared" si="146"/>
        <v>MPI-S2</v>
      </c>
      <c r="AI702" s="1424">
        <f t="shared" si="170"/>
        <v>32250000</v>
      </c>
      <c r="AJ702" s="1424">
        <f t="shared" si="171"/>
        <v>32250000</v>
      </c>
      <c r="AK702" s="1520">
        <f t="shared" si="172"/>
        <v>0</v>
      </c>
      <c r="AL702" s="1426" t="str">
        <f t="shared" si="173"/>
        <v>Lunas</v>
      </c>
      <c r="AM702" s="1410"/>
      <c r="AN702" s="1411"/>
      <c r="AO702" s="1410"/>
      <c r="AP702" s="1411"/>
      <c r="AQ702" s="1128"/>
      <c r="AR702" s="1173"/>
      <c r="AT702" s="1173"/>
      <c r="AV702" s="1173"/>
      <c r="AX702" s="1173"/>
      <c r="AY702" s="1176"/>
      <c r="AZ702" s="1173"/>
    </row>
    <row r="703" spans="1:52" s="2" customFormat="1" x14ac:dyDescent="0.25">
      <c r="A703" s="156">
        <v>664</v>
      </c>
      <c r="B703" s="157">
        <v>12</v>
      </c>
      <c r="C703" s="159">
        <v>849113059</v>
      </c>
      <c r="D703" s="158" t="s">
        <v>1155</v>
      </c>
      <c r="E703" s="160" t="s">
        <v>1070</v>
      </c>
      <c r="F703" s="161" t="s">
        <v>1143</v>
      </c>
      <c r="G703" s="162" t="s">
        <v>33</v>
      </c>
      <c r="H703" s="163">
        <f t="shared" si="168"/>
        <v>42693</v>
      </c>
      <c r="I703" s="163">
        <f t="shared" si="169"/>
        <v>42693</v>
      </c>
      <c r="J703" s="1356">
        <v>1250000</v>
      </c>
      <c r="K703" s="1357">
        <v>41666</v>
      </c>
      <c r="L703" s="1358">
        <v>3000000</v>
      </c>
      <c r="M703" s="1357">
        <v>41666</v>
      </c>
      <c r="N703" s="1358">
        <v>3000000</v>
      </c>
      <c r="O703" s="1357">
        <v>41866</v>
      </c>
      <c r="P703" s="1358">
        <v>3000000</v>
      </c>
      <c r="Q703" s="1357">
        <v>42075</v>
      </c>
      <c r="R703" s="1358">
        <v>3000000</v>
      </c>
      <c r="S703" s="1357">
        <v>42304</v>
      </c>
      <c r="T703" s="1358">
        <v>3000000</v>
      </c>
      <c r="U703" s="1357">
        <v>42433</v>
      </c>
      <c r="V703" s="1465" t="s">
        <v>276</v>
      </c>
      <c r="W703" s="1357">
        <v>42693</v>
      </c>
      <c r="X703" s="1384"/>
      <c r="Y703" s="1363"/>
      <c r="Z703" s="1384"/>
      <c r="AA703" s="1363"/>
      <c r="AB703" s="1358">
        <v>1000000</v>
      </c>
      <c r="AC703" s="1383">
        <v>42433</v>
      </c>
      <c r="AD703" s="1402"/>
      <c r="AE703" s="1405"/>
      <c r="AF703" s="1406"/>
      <c r="AG703" s="1422"/>
      <c r="AH703" s="1423" t="str">
        <f t="shared" si="146"/>
        <v>MPI-S2</v>
      </c>
      <c r="AI703" s="1424">
        <f t="shared" si="170"/>
        <v>17250000</v>
      </c>
      <c r="AJ703" s="1424">
        <f t="shared" si="171"/>
        <v>17250000</v>
      </c>
      <c r="AK703" s="1425">
        <f t="shared" si="172"/>
        <v>0</v>
      </c>
      <c r="AL703" s="1426" t="str">
        <f t="shared" si="173"/>
        <v>Lunas</v>
      </c>
      <c r="AM703" s="1410"/>
      <c r="AN703" s="1411"/>
      <c r="AO703" s="1410"/>
      <c r="AP703" s="1411"/>
      <c r="AQ703" s="1128"/>
      <c r="AR703" s="1173"/>
      <c r="AT703" s="1173"/>
      <c r="AV703" s="1173"/>
      <c r="AX703" s="1173"/>
      <c r="AY703" s="1176"/>
      <c r="AZ703" s="1173"/>
    </row>
    <row r="704" spans="1:52" s="2" customFormat="1" x14ac:dyDescent="0.25">
      <c r="A704" s="156">
        <v>665</v>
      </c>
      <c r="B704" s="157">
        <v>13</v>
      </c>
      <c r="C704" s="159">
        <v>849113085</v>
      </c>
      <c r="D704" s="158" t="s">
        <v>1156</v>
      </c>
      <c r="E704" s="160" t="s">
        <v>1070</v>
      </c>
      <c r="F704" s="161" t="s">
        <v>1143</v>
      </c>
      <c r="G704" s="162" t="s">
        <v>33</v>
      </c>
      <c r="H704" s="163">
        <f t="shared" si="168"/>
        <v>42693</v>
      </c>
      <c r="I704" s="163">
        <f t="shared" si="169"/>
        <v>42693</v>
      </c>
      <c r="J704" s="1356">
        <v>1250000</v>
      </c>
      <c r="K704" s="1357">
        <v>41666</v>
      </c>
      <c r="L704" s="1358">
        <v>3000000</v>
      </c>
      <c r="M704" s="1357">
        <v>41666</v>
      </c>
      <c r="N704" s="1358">
        <v>3000000</v>
      </c>
      <c r="O704" s="1357">
        <v>41878</v>
      </c>
      <c r="P704" s="1358">
        <v>3000000</v>
      </c>
      <c r="Q704" s="1357">
        <v>42041</v>
      </c>
      <c r="R704" s="1358">
        <v>3000000</v>
      </c>
      <c r="S704" s="1357">
        <v>42222</v>
      </c>
      <c r="T704" s="1356">
        <v>3000000</v>
      </c>
      <c r="U704" s="1357">
        <v>42389</v>
      </c>
      <c r="V704" s="1465" t="s">
        <v>276</v>
      </c>
      <c r="W704" s="1357">
        <v>42693</v>
      </c>
      <c r="X704" s="1384"/>
      <c r="Y704" s="1363"/>
      <c r="Z704" s="1384"/>
      <c r="AA704" s="1363"/>
      <c r="AB704" s="1358">
        <v>1000000</v>
      </c>
      <c r="AC704" s="1383">
        <v>38737</v>
      </c>
      <c r="AD704" s="1402"/>
      <c r="AE704" s="1405"/>
      <c r="AF704" s="1406"/>
      <c r="AG704" s="1422"/>
      <c r="AH704" s="1423" t="str">
        <f t="shared" si="146"/>
        <v>MPI-S2</v>
      </c>
      <c r="AI704" s="1424">
        <f t="shared" si="170"/>
        <v>17250000</v>
      </c>
      <c r="AJ704" s="1424">
        <f t="shared" si="171"/>
        <v>17250000</v>
      </c>
      <c r="AK704" s="1425">
        <f t="shared" si="172"/>
        <v>0</v>
      </c>
      <c r="AL704" s="1426" t="str">
        <f t="shared" si="173"/>
        <v>Lunas</v>
      </c>
      <c r="AM704" s="1410"/>
      <c r="AN704" s="1411"/>
      <c r="AO704" s="1410"/>
      <c r="AP704" s="1411"/>
      <c r="AQ704" s="1128"/>
      <c r="AR704" s="1173"/>
      <c r="AT704" s="1173"/>
      <c r="AV704" s="1173"/>
      <c r="AX704" s="1173"/>
      <c r="AY704" s="1176"/>
      <c r="AZ704" s="1173"/>
    </row>
    <row r="705" spans="1:52" s="2" customFormat="1" x14ac:dyDescent="0.25">
      <c r="A705" s="156">
        <v>666</v>
      </c>
      <c r="B705" s="157">
        <v>14</v>
      </c>
      <c r="C705" s="159">
        <v>849113066</v>
      </c>
      <c r="D705" s="158" t="s">
        <v>1157</v>
      </c>
      <c r="E705" s="160" t="s">
        <v>1070</v>
      </c>
      <c r="F705" s="161" t="s">
        <v>1143</v>
      </c>
      <c r="G705" s="162" t="s">
        <v>33</v>
      </c>
      <c r="H705" s="163">
        <f t="shared" si="168"/>
        <v>42693</v>
      </c>
      <c r="I705" s="163">
        <f t="shared" si="169"/>
        <v>42693</v>
      </c>
      <c r="J705" s="1356">
        <v>1250000</v>
      </c>
      <c r="K705" s="1357">
        <v>41663</v>
      </c>
      <c r="L705" s="1442" t="s">
        <v>1158</v>
      </c>
      <c r="M705" s="1357">
        <v>41663</v>
      </c>
      <c r="N705" s="1186" t="s">
        <v>1078</v>
      </c>
      <c r="O705" s="1144" t="s">
        <v>137</v>
      </c>
      <c r="P705" s="1442" t="s">
        <v>1099</v>
      </c>
      <c r="Q705" s="1357">
        <v>42041</v>
      </c>
      <c r="R705" s="1358">
        <v>3000000</v>
      </c>
      <c r="S705" s="1357">
        <v>42069</v>
      </c>
      <c r="T705" s="1358">
        <v>3000000</v>
      </c>
      <c r="U705" s="1357">
        <v>42402</v>
      </c>
      <c r="V705" s="1358">
        <v>3000000</v>
      </c>
      <c r="W705" s="1383">
        <v>42573</v>
      </c>
      <c r="X705" s="1465" t="s">
        <v>276</v>
      </c>
      <c r="Y705" s="1357">
        <v>42693</v>
      </c>
      <c r="Z705" s="1384"/>
      <c r="AA705" s="1363"/>
      <c r="AB705" s="1358">
        <v>1000000</v>
      </c>
      <c r="AC705" s="1383">
        <v>42402</v>
      </c>
      <c r="AD705" s="1402"/>
      <c r="AE705" s="1405"/>
      <c r="AF705" s="1406"/>
      <c r="AG705" s="1422"/>
      <c r="AH705" s="1423" t="str">
        <f t="shared" si="146"/>
        <v>MPI-S2</v>
      </c>
      <c r="AI705" s="1424">
        <f t="shared" si="170"/>
        <v>11250000</v>
      </c>
      <c r="AJ705" s="1424">
        <f t="shared" si="171"/>
        <v>11250000</v>
      </c>
      <c r="AK705" s="1425">
        <f t="shared" si="172"/>
        <v>0</v>
      </c>
      <c r="AL705" s="1426" t="str">
        <f t="shared" si="173"/>
        <v>Lunas</v>
      </c>
      <c r="AM705" s="1410"/>
      <c r="AN705" s="1411"/>
      <c r="AO705" s="1410"/>
      <c r="AP705" s="1411"/>
      <c r="AQ705" s="1128"/>
      <c r="AR705" s="1173"/>
      <c r="AT705" s="1173"/>
      <c r="AV705" s="1173"/>
      <c r="AX705" s="1173"/>
      <c r="AY705" s="1176"/>
      <c r="AZ705" s="1173"/>
    </row>
    <row r="706" spans="1:52" s="2" customFormat="1" x14ac:dyDescent="0.25">
      <c r="A706" s="164">
        <v>667</v>
      </c>
      <c r="B706" s="253">
        <v>15</v>
      </c>
      <c r="C706" s="263">
        <v>849113045</v>
      </c>
      <c r="D706" s="173" t="s">
        <v>1159</v>
      </c>
      <c r="E706" s="264" t="s">
        <v>1070</v>
      </c>
      <c r="F706" s="175" t="s">
        <v>1143</v>
      </c>
      <c r="G706" s="170" t="s">
        <v>1077</v>
      </c>
      <c r="H706" s="265" t="str">
        <f t="shared" si="168"/>
        <v xml:space="preserve">   </v>
      </c>
      <c r="I706" s="265" t="str">
        <f t="shared" si="169"/>
        <v xml:space="preserve">   </v>
      </c>
      <c r="J706" s="1366">
        <v>1250000</v>
      </c>
      <c r="K706" s="1367">
        <v>41666</v>
      </c>
      <c r="L706" s="1363">
        <v>3000000</v>
      </c>
      <c r="M706" s="1367">
        <v>41666</v>
      </c>
      <c r="N706" s="1363">
        <v>3000000</v>
      </c>
      <c r="O706" s="1367">
        <v>42080</v>
      </c>
      <c r="P706" s="1363">
        <v>3000000</v>
      </c>
      <c r="Q706" s="1367">
        <v>42080</v>
      </c>
      <c r="R706" s="1363">
        <v>3000000</v>
      </c>
      <c r="S706" s="1367">
        <v>42360</v>
      </c>
      <c r="T706" s="1384"/>
      <c r="U706" s="1363"/>
      <c r="V706" s="1384"/>
      <c r="W706" s="1363"/>
      <c r="X706" s="1384"/>
      <c r="Y706" s="1363"/>
      <c r="Z706" s="1384"/>
      <c r="AA706" s="1363"/>
      <c r="AB706" s="1504"/>
      <c r="AC706" s="1503"/>
      <c r="AD706" s="1402"/>
      <c r="AE706" s="1405"/>
      <c r="AF706" s="1406"/>
      <c r="AG706" s="1422"/>
      <c r="AH706" s="1423" t="str">
        <f t="shared" si="146"/>
        <v>MPI-S2</v>
      </c>
      <c r="AI706" s="1424">
        <f t="shared" si="170"/>
        <v>13250000</v>
      </c>
      <c r="AJ706" s="1424">
        <f t="shared" si="171"/>
        <v>13250000</v>
      </c>
      <c r="AK706" s="1520">
        <f t="shared" si="172"/>
        <v>0</v>
      </c>
      <c r="AL706" s="1426" t="str">
        <f t="shared" si="173"/>
        <v>Lunas</v>
      </c>
      <c r="AM706" s="1410"/>
      <c r="AN706" s="1411"/>
      <c r="AO706" s="1410"/>
      <c r="AP706" s="1411"/>
      <c r="AQ706" s="1128"/>
      <c r="AR706" s="1173"/>
      <c r="AT706" s="1173"/>
      <c r="AV706" s="1173"/>
      <c r="AX706" s="1173"/>
      <c r="AY706" s="1176"/>
      <c r="AZ706" s="1173"/>
    </row>
    <row r="707" spans="1:52" s="2" customFormat="1" x14ac:dyDescent="0.25">
      <c r="A707" s="156">
        <v>668</v>
      </c>
      <c r="B707" s="157">
        <v>16</v>
      </c>
      <c r="C707" s="159">
        <v>849113047</v>
      </c>
      <c r="D707" s="158" t="s">
        <v>1160</v>
      </c>
      <c r="E707" s="179" t="s">
        <v>1070</v>
      </c>
      <c r="F707" s="161" t="s">
        <v>1143</v>
      </c>
      <c r="G707" s="162" t="s">
        <v>33</v>
      </c>
      <c r="H707" s="163">
        <f t="shared" si="168"/>
        <v>43509</v>
      </c>
      <c r="I707" s="287" t="str">
        <f t="shared" si="169"/>
        <v xml:space="preserve">   </v>
      </c>
      <c r="J707" s="1356">
        <v>1250000</v>
      </c>
      <c r="K707" s="1357">
        <v>41666</v>
      </c>
      <c r="L707" s="1358">
        <v>3000000</v>
      </c>
      <c r="M707" s="1357">
        <v>41708</v>
      </c>
      <c r="N707" s="1358">
        <v>3000000</v>
      </c>
      <c r="O707" s="1357">
        <v>41877</v>
      </c>
      <c r="P707" s="1358">
        <v>3000000</v>
      </c>
      <c r="Q707" s="1357">
        <v>42073</v>
      </c>
      <c r="R707" s="1358">
        <v>3000000</v>
      </c>
      <c r="S707" s="1357">
        <v>42240</v>
      </c>
      <c r="T707" s="1358">
        <v>3000000</v>
      </c>
      <c r="U707" s="1357">
        <v>42501</v>
      </c>
      <c r="V707" s="1358">
        <v>3000000</v>
      </c>
      <c r="W707" s="1357">
        <v>42504</v>
      </c>
      <c r="X707" s="1222" t="s">
        <v>1078</v>
      </c>
      <c r="Y707" s="1386"/>
      <c r="Z707" s="1222" t="s">
        <v>1078</v>
      </c>
      <c r="AA707" s="1386"/>
      <c r="AB707" s="1358">
        <v>1000000</v>
      </c>
      <c r="AC707" s="1383">
        <v>42501</v>
      </c>
      <c r="AD707" s="1495">
        <v>3000000</v>
      </c>
      <c r="AE707" s="1498">
        <v>43487</v>
      </c>
      <c r="AF707" s="1495">
        <v>3000000</v>
      </c>
      <c r="AG707" s="1498">
        <v>43487</v>
      </c>
      <c r="AH707" s="1423" t="str">
        <f t="shared" si="146"/>
        <v>MPI-S2</v>
      </c>
      <c r="AI707" s="1424">
        <f t="shared" si="170"/>
        <v>26250000</v>
      </c>
      <c r="AJ707" s="1424">
        <f t="shared" si="171"/>
        <v>26250000</v>
      </c>
      <c r="AK707" s="1425">
        <f t="shared" si="172"/>
        <v>0</v>
      </c>
      <c r="AL707" s="1426" t="str">
        <f t="shared" si="173"/>
        <v>Lunas</v>
      </c>
      <c r="AM707" s="1410"/>
      <c r="AN707" s="1411"/>
      <c r="AO707" s="1410"/>
      <c r="AP707" s="1411"/>
      <c r="AQ707" s="1128"/>
      <c r="AR707" s="1173"/>
      <c r="AT707" s="1173"/>
      <c r="AV707" s="1173"/>
      <c r="AX707" s="1173"/>
      <c r="AY707" s="1176"/>
      <c r="AZ707" s="1173"/>
    </row>
    <row r="708" spans="1:52" s="2" customFormat="1" x14ac:dyDescent="0.25">
      <c r="A708" s="234">
        <v>669</v>
      </c>
      <c r="B708" s="235">
        <v>17</v>
      </c>
      <c r="C708" s="236">
        <v>849113054</v>
      </c>
      <c r="D708" s="233" t="s">
        <v>1161</v>
      </c>
      <c r="E708" s="237" t="s">
        <v>1070</v>
      </c>
      <c r="F708" s="238" t="s">
        <v>1143</v>
      </c>
      <c r="G708" s="214" t="s">
        <v>1077</v>
      </c>
      <c r="H708" s="239" t="str">
        <f t="shared" si="168"/>
        <v xml:space="preserve">   </v>
      </c>
      <c r="I708" s="239" t="str">
        <f t="shared" si="169"/>
        <v xml:space="preserve">   </v>
      </c>
      <c r="J708" s="1455">
        <v>1250000</v>
      </c>
      <c r="K708" s="1454">
        <v>41666</v>
      </c>
      <c r="L708" s="1521"/>
      <c r="M708" s="1521" t="s">
        <v>1162</v>
      </c>
      <c r="N708" s="1522"/>
      <c r="O708" s="1523"/>
      <c r="P708" s="1384"/>
      <c r="Q708" s="1363"/>
      <c r="R708" s="1384"/>
      <c r="S708" s="1363"/>
      <c r="T708" s="1384"/>
      <c r="U708" s="1363"/>
      <c r="V708" s="1384"/>
      <c r="W708" s="1363"/>
      <c r="X708" s="1384"/>
      <c r="Y708" s="1363"/>
      <c r="Z708" s="1384"/>
      <c r="AA708" s="1363"/>
      <c r="AB708" s="1384"/>
      <c r="AC708" s="1363"/>
      <c r="AD708" s="1402"/>
      <c r="AE708" s="1405"/>
      <c r="AF708" s="1406"/>
      <c r="AG708" s="1422"/>
      <c r="AH708" s="1423" t="str">
        <f t="shared" si="146"/>
        <v>MPI-S2</v>
      </c>
      <c r="AI708" s="1427">
        <f t="shared" si="170"/>
        <v>1250000</v>
      </c>
      <c r="AJ708" s="1427">
        <f t="shared" si="171"/>
        <v>1250000</v>
      </c>
      <c r="AK708" s="1427">
        <f t="shared" si="172"/>
        <v>0</v>
      </c>
      <c r="AL708" s="1428" t="s">
        <v>1077</v>
      </c>
      <c r="AM708" s="1410"/>
      <c r="AN708" s="1411"/>
      <c r="AO708" s="1410"/>
      <c r="AP708" s="1411"/>
      <c r="AQ708" s="1128"/>
      <c r="AR708" s="1173"/>
      <c r="AT708" s="1173"/>
      <c r="AV708" s="1173"/>
      <c r="AX708" s="1173"/>
      <c r="AY708" s="1176"/>
      <c r="AZ708" s="1173"/>
    </row>
    <row r="709" spans="1:52" s="2" customFormat="1" x14ac:dyDescent="0.25">
      <c r="A709" s="164">
        <v>670</v>
      </c>
      <c r="B709" s="253">
        <v>18</v>
      </c>
      <c r="C709" s="263">
        <v>849113084</v>
      </c>
      <c r="D709" s="173" t="s">
        <v>1163</v>
      </c>
      <c r="E709" s="264" t="s">
        <v>1070</v>
      </c>
      <c r="F709" s="175" t="s">
        <v>1143</v>
      </c>
      <c r="G709" s="214" t="s">
        <v>1077</v>
      </c>
      <c r="H709" s="265" t="str">
        <f t="shared" si="168"/>
        <v xml:space="preserve">   </v>
      </c>
      <c r="I709" s="265" t="str">
        <f t="shared" si="169"/>
        <v xml:space="preserve">   </v>
      </c>
      <c r="J709" s="1366">
        <v>1250000</v>
      </c>
      <c r="K709" s="1367">
        <v>41666</v>
      </c>
      <c r="L709" s="1455"/>
      <c r="M709" s="1454"/>
      <c r="N709" s="1455"/>
      <c r="O709" s="1454"/>
      <c r="P709" s="1363">
        <v>2000000</v>
      </c>
      <c r="Q709" s="1367">
        <v>42093</v>
      </c>
      <c r="R709" s="1186" t="s">
        <v>1078</v>
      </c>
      <c r="S709" s="1144"/>
      <c r="T709" s="1192" t="s">
        <v>1078</v>
      </c>
      <c r="U709" s="1386">
        <v>42416</v>
      </c>
      <c r="V709" s="1363">
        <v>3000000</v>
      </c>
      <c r="W709" s="1367">
        <v>42573</v>
      </c>
      <c r="X709" s="1384"/>
      <c r="Y709" s="1363"/>
      <c r="Z709" s="1384"/>
      <c r="AA709" s="1363"/>
      <c r="AB709" s="1384"/>
      <c r="AC709" s="1363"/>
      <c r="AD709" s="1402"/>
      <c r="AE709" s="1405"/>
      <c r="AF709" s="1406"/>
      <c r="AG709" s="1422"/>
      <c r="AH709" s="1423" t="str">
        <f t="shared" ref="AH709:AH772" si="174">E709</f>
        <v>MPI-S2</v>
      </c>
      <c r="AI709" s="1427">
        <f t="shared" si="170"/>
        <v>6250000</v>
      </c>
      <c r="AJ709" s="1427">
        <f t="shared" si="171"/>
        <v>7250000</v>
      </c>
      <c r="AK709" s="1427">
        <f>(AJ709-AI709)-1000000</f>
        <v>0</v>
      </c>
      <c r="AL709" s="1428" t="s">
        <v>1077</v>
      </c>
      <c r="AM709" s="1410"/>
      <c r="AN709" s="1411"/>
      <c r="AO709" s="1410"/>
      <c r="AP709" s="1411"/>
      <c r="AQ709" s="1128"/>
      <c r="AR709" s="1173"/>
      <c r="AT709" s="1173"/>
      <c r="AV709" s="1173"/>
      <c r="AX709" s="1173"/>
      <c r="AY709" s="1176"/>
      <c r="AZ709" s="1173"/>
    </row>
    <row r="710" spans="1:52" s="2" customFormat="1" x14ac:dyDescent="0.25">
      <c r="A710" s="164">
        <v>671</v>
      </c>
      <c r="B710" s="253">
        <v>19</v>
      </c>
      <c r="C710" s="263">
        <v>849113049</v>
      </c>
      <c r="D710" s="173" t="s">
        <v>1164</v>
      </c>
      <c r="E710" s="264" t="s">
        <v>1070</v>
      </c>
      <c r="F710" s="175" t="s">
        <v>1143</v>
      </c>
      <c r="G710" s="214" t="s">
        <v>1077</v>
      </c>
      <c r="H710" s="265" t="str">
        <f t="shared" si="168"/>
        <v xml:space="preserve">   </v>
      </c>
      <c r="I710" s="265" t="str">
        <f t="shared" si="169"/>
        <v xml:space="preserve">   </v>
      </c>
      <c r="J710" s="1366">
        <v>1250000</v>
      </c>
      <c r="K710" s="1367">
        <v>41664</v>
      </c>
      <c r="L710" s="1363">
        <v>3000000</v>
      </c>
      <c r="M710" s="1367">
        <v>41664</v>
      </c>
      <c r="N710" s="1363">
        <v>3000000</v>
      </c>
      <c r="O710" s="1367">
        <v>41887</v>
      </c>
      <c r="P710" s="1430">
        <v>3000000</v>
      </c>
      <c r="Q710" s="1360">
        <v>42075</v>
      </c>
      <c r="R710" s="1402"/>
      <c r="S710" s="1405"/>
      <c r="T710" s="1406"/>
      <c r="U710" s="1422"/>
      <c r="V710" s="1402"/>
      <c r="W710" s="1405"/>
      <c r="X710" s="1384"/>
      <c r="Y710" s="1363"/>
      <c r="Z710" s="1384"/>
      <c r="AA710" s="1363"/>
      <c r="AB710" s="1384"/>
      <c r="AC710" s="1363"/>
      <c r="AD710" s="1402"/>
      <c r="AE710" s="1405"/>
      <c r="AF710" s="1406"/>
      <c r="AG710" s="1422"/>
      <c r="AH710" s="1423" t="str">
        <f t="shared" si="174"/>
        <v>MPI-S2</v>
      </c>
      <c r="AI710" s="1427">
        <f t="shared" si="170"/>
        <v>10250000</v>
      </c>
      <c r="AJ710" s="1427">
        <f t="shared" si="171"/>
        <v>10250000</v>
      </c>
      <c r="AK710" s="1427">
        <f t="shared" si="172"/>
        <v>0</v>
      </c>
      <c r="AL710" s="1428" t="s">
        <v>1077</v>
      </c>
      <c r="AM710" s="1410"/>
      <c r="AN710" s="1411"/>
      <c r="AO710" s="1410"/>
      <c r="AP710" s="1411"/>
      <c r="AQ710" s="1128"/>
      <c r="AR710" s="1173"/>
      <c r="AT710" s="1173"/>
      <c r="AV710" s="1173"/>
      <c r="AX710" s="1173"/>
      <c r="AY710" s="1176"/>
      <c r="AZ710" s="1173"/>
    </row>
    <row r="711" spans="1:52" s="2" customFormat="1" x14ac:dyDescent="0.25">
      <c r="A711" s="164">
        <v>672</v>
      </c>
      <c r="B711" s="253">
        <v>20</v>
      </c>
      <c r="C711" s="263">
        <v>849113065</v>
      </c>
      <c r="D711" s="173" t="s">
        <v>1165</v>
      </c>
      <c r="E711" s="264" t="s">
        <v>1070</v>
      </c>
      <c r="F711" s="175" t="s">
        <v>1143</v>
      </c>
      <c r="G711" s="214" t="s">
        <v>1077</v>
      </c>
      <c r="H711" s="265" t="str">
        <f t="shared" si="168"/>
        <v xml:space="preserve">   </v>
      </c>
      <c r="I711" s="265" t="str">
        <f t="shared" si="169"/>
        <v xml:space="preserve">   </v>
      </c>
      <c r="J711" s="1475" t="s">
        <v>1166</v>
      </c>
      <c r="K711" s="1367">
        <v>41666</v>
      </c>
      <c r="L711" s="1363">
        <v>3000000</v>
      </c>
      <c r="M711" s="1367">
        <v>41859</v>
      </c>
      <c r="N711" s="1442" t="s">
        <v>1099</v>
      </c>
      <c r="O711" s="1524"/>
      <c r="P711" s="1430">
        <v>3000000</v>
      </c>
      <c r="Q711" s="1367">
        <v>42090</v>
      </c>
      <c r="R711" s="1363">
        <v>3000000</v>
      </c>
      <c r="S711" s="1367">
        <v>42222</v>
      </c>
      <c r="T711" s="1402"/>
      <c r="U711" s="1405"/>
      <c r="V711" s="1406"/>
      <c r="W711" s="1422"/>
      <c r="X711" s="1384"/>
      <c r="Y711" s="1363"/>
      <c r="Z711" s="1384"/>
      <c r="AA711" s="1363"/>
      <c r="AB711" s="1384"/>
      <c r="AC711" s="1363"/>
      <c r="AD711" s="1402"/>
      <c r="AE711" s="1405"/>
      <c r="AF711" s="1406"/>
      <c r="AG711" s="1422"/>
      <c r="AH711" s="1423" t="str">
        <f t="shared" si="174"/>
        <v>MPI-S2</v>
      </c>
      <c r="AI711" s="1427">
        <f t="shared" si="170"/>
        <v>9000000</v>
      </c>
      <c r="AJ711" s="1427">
        <f t="shared" si="171"/>
        <v>9000000</v>
      </c>
      <c r="AK711" s="1427">
        <f t="shared" si="172"/>
        <v>0</v>
      </c>
      <c r="AL711" s="1428" t="s">
        <v>1077</v>
      </c>
      <c r="AM711" s="1410"/>
      <c r="AN711" s="1411"/>
      <c r="AO711" s="1410"/>
      <c r="AP711" s="1411"/>
      <c r="AQ711" s="1128"/>
      <c r="AR711" s="1173"/>
      <c r="AT711" s="1173"/>
      <c r="AV711" s="1173"/>
      <c r="AX711" s="1173"/>
      <c r="AY711" s="1176"/>
      <c r="AZ711" s="1173"/>
    </row>
    <row r="712" spans="1:52" s="2" customFormat="1" x14ac:dyDescent="0.25">
      <c r="A712" s="234">
        <v>673</v>
      </c>
      <c r="B712" s="235">
        <v>21</v>
      </c>
      <c r="C712" s="236">
        <v>849113063</v>
      </c>
      <c r="D712" s="233" t="s">
        <v>1167</v>
      </c>
      <c r="E712" s="237" t="s">
        <v>1070</v>
      </c>
      <c r="F712" s="238" t="s">
        <v>1143</v>
      </c>
      <c r="G712" s="214" t="s">
        <v>1077</v>
      </c>
      <c r="H712" s="239" t="str">
        <f t="shared" si="168"/>
        <v xml:space="preserve">   </v>
      </c>
      <c r="I712" s="239" t="str">
        <f t="shared" si="169"/>
        <v xml:space="preserve">   </v>
      </c>
      <c r="J712" s="1525">
        <v>1250000</v>
      </c>
      <c r="K712" s="1526">
        <v>41768</v>
      </c>
      <c r="L712" s="1455">
        <v>3000000</v>
      </c>
      <c r="M712" s="1454">
        <v>41768</v>
      </c>
      <c r="N712" s="1455">
        <v>3000000</v>
      </c>
      <c r="O712" s="1454">
        <v>41859</v>
      </c>
      <c r="P712" s="1455">
        <v>3000000</v>
      </c>
      <c r="Q712" s="1454">
        <v>42044</v>
      </c>
      <c r="R712" s="1455">
        <v>3000000</v>
      </c>
      <c r="S712" s="1454">
        <v>42222</v>
      </c>
      <c r="T712" s="1538"/>
      <c r="U712" s="1454" t="s">
        <v>1168</v>
      </c>
      <c r="V712" s="1538"/>
      <c r="W712" s="1523"/>
      <c r="X712" s="1384"/>
      <c r="Y712" s="1363"/>
      <c r="Z712" s="1384"/>
      <c r="AA712" s="1363"/>
      <c r="AB712" s="1384"/>
      <c r="AC712" s="1363"/>
      <c r="AD712" s="1402"/>
      <c r="AE712" s="1405"/>
      <c r="AF712" s="1406"/>
      <c r="AG712" s="1422"/>
      <c r="AH712" s="1423" t="str">
        <f t="shared" si="174"/>
        <v>MPI-S2</v>
      </c>
      <c r="AI712" s="1427">
        <f t="shared" si="170"/>
        <v>13250000</v>
      </c>
      <c r="AJ712" s="1427">
        <f t="shared" si="171"/>
        <v>13250000</v>
      </c>
      <c r="AK712" s="1427">
        <f t="shared" si="172"/>
        <v>0</v>
      </c>
      <c r="AL712" s="1428" t="s">
        <v>1077</v>
      </c>
      <c r="AM712" s="1410"/>
      <c r="AN712" s="1411"/>
      <c r="AO712" s="1410"/>
      <c r="AP712" s="1411"/>
      <c r="AQ712" s="1128"/>
      <c r="AR712" s="1173"/>
      <c r="AT712" s="1173"/>
      <c r="AV712" s="1173"/>
      <c r="AX712" s="1173"/>
      <c r="AY712" s="1176"/>
      <c r="AZ712" s="1173"/>
    </row>
    <row r="713" spans="1:52" s="2" customFormat="1" x14ac:dyDescent="0.25">
      <c r="A713" s="156">
        <v>674</v>
      </c>
      <c r="B713" s="157">
        <v>22</v>
      </c>
      <c r="C713" s="159">
        <v>849113061</v>
      </c>
      <c r="D713" s="158" t="s">
        <v>1169</v>
      </c>
      <c r="E713" s="160" t="s">
        <v>1070</v>
      </c>
      <c r="F713" s="161" t="s">
        <v>1143</v>
      </c>
      <c r="G713" s="162" t="s">
        <v>33</v>
      </c>
      <c r="H713" s="163">
        <f t="shared" si="168"/>
        <v>42684</v>
      </c>
      <c r="I713" s="163">
        <f t="shared" si="169"/>
        <v>42861</v>
      </c>
      <c r="J713" s="1356">
        <v>1250000</v>
      </c>
      <c r="K713" s="1357">
        <v>41768</v>
      </c>
      <c r="L713" s="1358">
        <v>3000000</v>
      </c>
      <c r="M713" s="1357">
        <v>41768</v>
      </c>
      <c r="N713" s="1358">
        <v>3000000</v>
      </c>
      <c r="O713" s="1357">
        <v>41858</v>
      </c>
      <c r="P713" s="1358">
        <v>3000000</v>
      </c>
      <c r="Q713" s="1357">
        <v>42044</v>
      </c>
      <c r="R713" s="1358">
        <v>3000000</v>
      </c>
      <c r="S713" s="1357">
        <v>42222</v>
      </c>
      <c r="T713" s="1358">
        <v>3000000</v>
      </c>
      <c r="U713" s="1357">
        <v>42662</v>
      </c>
      <c r="V713" s="1358">
        <v>3000000</v>
      </c>
      <c r="W713" s="1357">
        <v>42662</v>
      </c>
      <c r="X713" s="1465" t="s">
        <v>276</v>
      </c>
      <c r="Y713" s="1360"/>
      <c r="Z713" s="1384"/>
      <c r="AA713" s="1363"/>
      <c r="AB713" s="1358">
        <v>1000000</v>
      </c>
      <c r="AC713" s="1383">
        <v>42395</v>
      </c>
      <c r="AD713" s="1402"/>
      <c r="AE713" s="1405"/>
      <c r="AF713" s="1406"/>
      <c r="AG713" s="1422"/>
      <c r="AH713" s="1423" t="str">
        <f t="shared" si="174"/>
        <v>MPI-S2</v>
      </c>
      <c r="AI713" s="1424">
        <f t="shared" ref="AI713:AI716" si="175">SUM(J713,L713,N713,P713,R713,T713,V713,X713,Z713,AB713,AD713,AF713)</f>
        <v>20250000</v>
      </c>
      <c r="AJ713" s="1424">
        <f t="shared" si="171"/>
        <v>20250000</v>
      </c>
      <c r="AK713" s="1425">
        <f t="shared" ref="AK713:AK716" si="176">AJ713-AI713</f>
        <v>0</v>
      </c>
      <c r="AL713" s="1426" t="str">
        <f t="shared" ref="AL713:AL716" si="177">IF(AK713=0,"Lunas","Cek")</f>
        <v>Lunas</v>
      </c>
      <c r="AM713" s="1410"/>
      <c r="AN713" s="1411"/>
      <c r="AO713" s="1410"/>
      <c r="AP713" s="1411"/>
      <c r="AQ713" s="1128"/>
      <c r="AR713" s="1173"/>
      <c r="AT713" s="1173"/>
      <c r="AV713" s="1173"/>
      <c r="AX713" s="1173"/>
      <c r="AY713" s="1176"/>
      <c r="AZ713" s="1173"/>
    </row>
    <row r="714" spans="1:52" s="2" customFormat="1" x14ac:dyDescent="0.25">
      <c r="A714" s="156">
        <v>675</v>
      </c>
      <c r="B714" s="157">
        <v>23</v>
      </c>
      <c r="C714" s="159">
        <v>849113067</v>
      </c>
      <c r="D714" s="158" t="s">
        <v>1170</v>
      </c>
      <c r="E714" s="160" t="s">
        <v>1070</v>
      </c>
      <c r="F714" s="161" t="s">
        <v>1143</v>
      </c>
      <c r="G714" s="162" t="s">
        <v>33</v>
      </c>
      <c r="H714" s="163">
        <f t="shared" si="168"/>
        <v>42693</v>
      </c>
      <c r="I714" s="163">
        <f t="shared" si="169"/>
        <v>42693</v>
      </c>
      <c r="J714" s="1356">
        <v>1250000</v>
      </c>
      <c r="K714" s="1357">
        <v>41664</v>
      </c>
      <c r="L714" s="1358">
        <v>3000000</v>
      </c>
      <c r="M714" s="1357">
        <v>41664</v>
      </c>
      <c r="N714" s="1358">
        <v>3000000</v>
      </c>
      <c r="O714" s="1357">
        <v>41856</v>
      </c>
      <c r="P714" s="1358">
        <v>3000000</v>
      </c>
      <c r="Q714" s="1357">
        <v>42062</v>
      </c>
      <c r="R714" s="1358">
        <v>3000000</v>
      </c>
      <c r="S714" s="1357">
        <v>42222</v>
      </c>
      <c r="T714" s="1358">
        <v>3000000</v>
      </c>
      <c r="U714" s="1357">
        <v>42401</v>
      </c>
      <c r="V714" s="1465" t="s">
        <v>276</v>
      </c>
      <c r="W714" s="1503">
        <v>43058</v>
      </c>
      <c r="X714" s="1402"/>
      <c r="Y714" s="1405"/>
      <c r="Z714" s="1384"/>
      <c r="AA714" s="1363"/>
      <c r="AB714" s="1358">
        <v>1000000</v>
      </c>
      <c r="AC714" s="1383">
        <v>42401</v>
      </c>
      <c r="AD714" s="1402"/>
      <c r="AE714" s="1405"/>
      <c r="AF714" s="1406"/>
      <c r="AG714" s="1422"/>
      <c r="AH714" s="1423" t="str">
        <f t="shared" si="174"/>
        <v>MPI-S2</v>
      </c>
      <c r="AI714" s="1424">
        <f t="shared" si="175"/>
        <v>17250000</v>
      </c>
      <c r="AJ714" s="1424">
        <f t="shared" si="171"/>
        <v>17250000</v>
      </c>
      <c r="AK714" s="1425">
        <f t="shared" si="176"/>
        <v>0</v>
      </c>
      <c r="AL714" s="1426" t="str">
        <f t="shared" si="177"/>
        <v>Lunas</v>
      </c>
      <c r="AM714" s="1410"/>
      <c r="AN714" s="1411"/>
      <c r="AO714" s="1410"/>
      <c r="AP714" s="1411"/>
      <c r="AQ714" s="1128"/>
      <c r="AR714" s="1173"/>
      <c r="AT714" s="1173"/>
      <c r="AV714" s="1173"/>
      <c r="AX714" s="1173"/>
      <c r="AY714" s="1176"/>
      <c r="AZ714" s="1173"/>
    </row>
    <row r="715" spans="1:52" s="2" customFormat="1" x14ac:dyDescent="0.25">
      <c r="A715" s="164">
        <v>676</v>
      </c>
      <c r="B715" s="253">
        <v>24</v>
      </c>
      <c r="C715" s="263">
        <v>849113064</v>
      </c>
      <c r="D715" s="173" t="s">
        <v>1171</v>
      </c>
      <c r="E715" s="264" t="s">
        <v>1070</v>
      </c>
      <c r="F715" s="175" t="s">
        <v>1143</v>
      </c>
      <c r="G715" s="214" t="s">
        <v>1077</v>
      </c>
      <c r="H715" s="265" t="str">
        <f t="shared" si="168"/>
        <v xml:space="preserve">   </v>
      </c>
      <c r="I715" s="265" t="str">
        <f t="shared" si="169"/>
        <v xml:space="preserve">   </v>
      </c>
      <c r="J715" s="1366">
        <v>1250000</v>
      </c>
      <c r="K715" s="1367">
        <v>41661</v>
      </c>
      <c r="L715" s="1363">
        <v>3000000</v>
      </c>
      <c r="M715" s="1367">
        <v>41661</v>
      </c>
      <c r="N715" s="1363">
        <v>3000000</v>
      </c>
      <c r="O715" s="1367">
        <v>41697</v>
      </c>
      <c r="P715" s="1363">
        <v>3000000</v>
      </c>
      <c r="Q715" s="1367">
        <v>42055</v>
      </c>
      <c r="R715" s="1363">
        <v>3000000</v>
      </c>
      <c r="S715" s="1367">
        <v>42221</v>
      </c>
      <c r="T715" s="1192" t="s">
        <v>1078</v>
      </c>
      <c r="U715" s="1386">
        <v>42416</v>
      </c>
      <c r="V715" s="1476">
        <v>3000000</v>
      </c>
      <c r="W715" s="1367">
        <v>42573</v>
      </c>
      <c r="X715" s="1402"/>
      <c r="Y715" s="1405"/>
      <c r="Z715" s="1384"/>
      <c r="AA715" s="1363"/>
      <c r="AB715" s="1363">
        <v>1000000</v>
      </c>
      <c r="AC715" s="1503">
        <v>42587</v>
      </c>
      <c r="AD715" s="1402"/>
      <c r="AE715" s="1405"/>
      <c r="AF715" s="1406"/>
      <c r="AG715" s="1422"/>
      <c r="AH715" s="1423" t="str">
        <f t="shared" si="174"/>
        <v>MPI-S2</v>
      </c>
      <c r="AI715" s="1427">
        <f t="shared" si="175"/>
        <v>17250000</v>
      </c>
      <c r="AJ715" s="1427">
        <f t="shared" si="171"/>
        <v>17250000</v>
      </c>
      <c r="AK715" s="1427">
        <f t="shared" si="176"/>
        <v>0</v>
      </c>
      <c r="AL715" s="1428" t="s">
        <v>1077</v>
      </c>
      <c r="AM715" s="1410"/>
      <c r="AN715" s="1411"/>
      <c r="AO715" s="1410"/>
      <c r="AP715" s="1411"/>
      <c r="AQ715" s="1128"/>
      <c r="AR715" s="1173"/>
      <c r="AT715" s="1173"/>
      <c r="AV715" s="1173"/>
      <c r="AX715" s="1173"/>
      <c r="AY715" s="1176"/>
      <c r="AZ715" s="1173"/>
    </row>
    <row r="716" spans="1:52" s="2" customFormat="1" x14ac:dyDescent="0.25">
      <c r="A716" s="180">
        <v>677</v>
      </c>
      <c r="B716" s="181">
        <v>25</v>
      </c>
      <c r="C716" s="183">
        <v>849113092</v>
      </c>
      <c r="D716" s="182" t="s">
        <v>1172</v>
      </c>
      <c r="E716" s="184" t="s">
        <v>1070</v>
      </c>
      <c r="F716" s="185" t="s">
        <v>1143</v>
      </c>
      <c r="G716" s="186" t="s">
        <v>33</v>
      </c>
      <c r="H716" s="163">
        <f t="shared" si="168"/>
        <v>42874</v>
      </c>
      <c r="I716" s="284">
        <f t="shared" si="169"/>
        <v>43064</v>
      </c>
      <c r="J716" s="1527">
        <v>1250000</v>
      </c>
      <c r="K716" s="1435">
        <v>41859</v>
      </c>
      <c r="L716" s="1434">
        <v>3000000</v>
      </c>
      <c r="M716" s="1435">
        <v>41859</v>
      </c>
      <c r="N716" s="1434">
        <v>3000000</v>
      </c>
      <c r="O716" s="1435">
        <v>42047</v>
      </c>
      <c r="P716" s="1434">
        <v>3000000</v>
      </c>
      <c r="Q716" s="1435">
        <v>42410</v>
      </c>
      <c r="R716" s="1434">
        <v>3000000</v>
      </c>
      <c r="S716" s="1435">
        <v>42418</v>
      </c>
      <c r="T716" s="1434">
        <v>3000000</v>
      </c>
      <c r="U716" s="1435">
        <v>42824</v>
      </c>
      <c r="V716" s="1434">
        <v>3000000</v>
      </c>
      <c r="W716" s="1435">
        <v>42824</v>
      </c>
      <c r="X716" s="1434">
        <v>3000000</v>
      </c>
      <c r="Y716" s="1435">
        <v>42825</v>
      </c>
      <c r="Z716" s="1552" t="s">
        <v>1080</v>
      </c>
      <c r="AA716" s="1557"/>
      <c r="AB716" s="1434">
        <v>1000000</v>
      </c>
      <c r="AC716" s="1463">
        <v>42488</v>
      </c>
      <c r="AD716" s="1402"/>
      <c r="AE716" s="1405"/>
      <c r="AF716" s="1406"/>
      <c r="AG716" s="1422"/>
      <c r="AH716" s="1507" t="str">
        <f t="shared" si="174"/>
        <v>MPI-S2</v>
      </c>
      <c r="AI716" s="1424">
        <f t="shared" si="175"/>
        <v>23250000</v>
      </c>
      <c r="AJ716" s="1424">
        <f t="shared" si="171"/>
        <v>23250000</v>
      </c>
      <c r="AK716" s="1508">
        <f t="shared" si="176"/>
        <v>0</v>
      </c>
      <c r="AL716" s="1509" t="str">
        <f t="shared" si="177"/>
        <v>Lunas</v>
      </c>
      <c r="AM716" s="1410"/>
      <c r="AN716" s="1411"/>
      <c r="AO716" s="1410"/>
      <c r="AP716" s="1411"/>
      <c r="AQ716" s="1128"/>
      <c r="AR716" s="1173"/>
      <c r="AT716" s="1173"/>
      <c r="AV716" s="1173"/>
      <c r="AX716" s="1173"/>
      <c r="AY716" s="1176"/>
      <c r="AZ716" s="1173"/>
    </row>
    <row r="717" spans="1:52" s="4" customFormat="1" x14ac:dyDescent="0.25">
      <c r="A717" s="187"/>
      <c r="B717" s="267"/>
      <c r="C717" s="269"/>
      <c r="D717" s="268"/>
      <c r="E717" s="270" t="s">
        <v>61</v>
      </c>
      <c r="F717" s="267" t="s">
        <v>61</v>
      </c>
      <c r="G717" s="192" t="s">
        <v>61</v>
      </c>
      <c r="H717" s="193"/>
      <c r="I717" s="193"/>
      <c r="J717" s="187"/>
      <c r="K717" s="1436"/>
      <c r="L717" s="1528"/>
      <c r="M717" s="1488"/>
      <c r="N717" s="1528"/>
      <c r="O717" s="1488"/>
      <c r="P717" s="1528"/>
      <c r="Q717" s="1488"/>
      <c r="R717" s="1528"/>
      <c r="S717" s="1464"/>
      <c r="T717" s="1539"/>
      <c r="U717" s="1436"/>
      <c r="V717" s="1437"/>
      <c r="W717" s="1436"/>
      <c r="X717" s="1540"/>
      <c r="Y717" s="1436"/>
      <c r="Z717" s="1473"/>
      <c r="AA717" s="1436"/>
      <c r="AB717" s="1436"/>
      <c r="AC717" s="1436"/>
      <c r="AD717" s="1436"/>
      <c r="AE717" s="1436"/>
      <c r="AF717" s="1436"/>
      <c r="AG717" s="1436"/>
      <c r="AH717" s="1436" t="str">
        <f t="shared" si="174"/>
        <v>-</v>
      </c>
      <c r="AI717" s="1436"/>
      <c r="AJ717" s="1436"/>
      <c r="AK717" s="1436"/>
      <c r="AL717" s="1436"/>
      <c r="AM717" s="1510"/>
      <c r="AN717" s="1511"/>
      <c r="AO717" s="1510"/>
      <c r="AP717" s="1511"/>
      <c r="AQ717" s="1215"/>
      <c r="AR717" s="1216"/>
      <c r="AT717" s="1216"/>
      <c r="AV717" s="1216"/>
      <c r="AX717" s="1216"/>
      <c r="AY717" s="1217"/>
      <c r="AZ717" s="1216"/>
    </row>
    <row r="718" spans="1:52" s="2" customFormat="1" x14ac:dyDescent="0.25">
      <c r="A718" s="194" t="s">
        <v>1173</v>
      </c>
      <c r="B718" s="259"/>
      <c r="C718" s="261"/>
      <c r="D718" s="271"/>
      <c r="E718" s="198" t="s">
        <v>1096</v>
      </c>
      <c r="F718" s="199" t="s">
        <v>1096</v>
      </c>
      <c r="G718" s="146">
        <v>3000000</v>
      </c>
      <c r="H718" s="232" t="str">
        <f t="shared" ref="H718:H736" si="178">IFERROR(VLOOKUP(C718,Tlus,3,FALSE),"   ")</f>
        <v xml:space="preserve">   </v>
      </c>
      <c r="I718" s="232" t="str">
        <f t="shared" ref="I718:I736" si="179">IFERROR(VLOOKUP(C718,Wis,4,FALSE),"   ")</f>
        <v xml:space="preserve">   </v>
      </c>
      <c r="J718" s="1450">
        <v>1250000</v>
      </c>
      <c r="K718" s="1529"/>
      <c r="L718" s="1351" t="s">
        <v>1049</v>
      </c>
      <c r="M718" s="1352" t="s">
        <v>1052</v>
      </c>
      <c r="N718" s="1351" t="s">
        <v>1051</v>
      </c>
      <c r="O718" s="1352" t="s">
        <v>1054</v>
      </c>
      <c r="P718" s="1351" t="s">
        <v>1053</v>
      </c>
      <c r="Q718" s="1352" t="s">
        <v>1056</v>
      </c>
      <c r="R718" s="1351" t="s">
        <v>1055</v>
      </c>
      <c r="S718" s="1352" t="s">
        <v>1058</v>
      </c>
      <c r="T718" s="1351" t="s">
        <v>1057</v>
      </c>
      <c r="U718" s="1379" t="s">
        <v>1060</v>
      </c>
      <c r="V718" s="1380" t="s">
        <v>1059</v>
      </c>
      <c r="W718" s="1379" t="s">
        <v>1062</v>
      </c>
      <c r="X718" s="1380" t="s">
        <v>1061</v>
      </c>
      <c r="Y718" s="1379" t="s">
        <v>1064</v>
      </c>
      <c r="Z718" s="1380" t="s">
        <v>1063</v>
      </c>
      <c r="AA718" s="1379" t="s">
        <v>1066</v>
      </c>
      <c r="AB718" s="1397">
        <v>1000000</v>
      </c>
      <c r="AC718" s="1127"/>
      <c r="AD718" s="1398" t="s">
        <v>1065</v>
      </c>
      <c r="AE718" s="1399" t="s">
        <v>1068</v>
      </c>
      <c r="AF718" s="1400" t="s">
        <v>1067</v>
      </c>
      <c r="AG718" s="1412" t="s">
        <v>1141</v>
      </c>
      <c r="AH718" s="1571" t="str">
        <f t="shared" si="174"/>
        <v>#</v>
      </c>
      <c r="AI718" s="1512"/>
      <c r="AJ718" s="1409"/>
      <c r="AK718" s="1409"/>
      <c r="AL718" s="1513"/>
      <c r="AM718" s="1513"/>
      <c r="AN718" s="1514"/>
      <c r="AO718" s="1513"/>
      <c r="AP718" s="1514"/>
      <c r="AQ718" s="1128"/>
      <c r="AR718" s="1173"/>
      <c r="AT718" s="1173"/>
      <c r="AV718" s="1173"/>
      <c r="AX718" s="1173"/>
      <c r="AY718" s="1176"/>
      <c r="AZ718" s="1173"/>
    </row>
    <row r="719" spans="1:52" s="2" customFormat="1" x14ac:dyDescent="0.25">
      <c r="A719" s="200">
        <v>678</v>
      </c>
      <c r="B719" s="262">
        <v>1</v>
      </c>
      <c r="C719" s="151">
        <v>849113080</v>
      </c>
      <c r="D719" s="150" t="s">
        <v>1174</v>
      </c>
      <c r="E719" s="152" t="s">
        <v>1070</v>
      </c>
      <c r="F719" s="153">
        <v>2013</v>
      </c>
      <c r="G719" s="154" t="s">
        <v>33</v>
      </c>
      <c r="H719" s="163" t="str">
        <f t="shared" si="178"/>
        <v xml:space="preserve">   </v>
      </c>
      <c r="I719" s="155">
        <f t="shared" si="179"/>
        <v>42504</v>
      </c>
      <c r="J719" s="1439">
        <v>1250000</v>
      </c>
      <c r="K719" s="1440">
        <v>41680</v>
      </c>
      <c r="L719" s="1441">
        <v>3000000</v>
      </c>
      <c r="M719" s="1440">
        <v>41680</v>
      </c>
      <c r="N719" s="1441">
        <v>3000000</v>
      </c>
      <c r="O719" s="1440">
        <v>41873</v>
      </c>
      <c r="P719" s="1441">
        <v>3000000</v>
      </c>
      <c r="Q719" s="1440">
        <v>42040</v>
      </c>
      <c r="R719" s="1441">
        <v>3000000</v>
      </c>
      <c r="S719" s="1440">
        <v>42222</v>
      </c>
      <c r="T719" s="1470" t="s">
        <v>276</v>
      </c>
      <c r="U719" s="1440">
        <v>42504</v>
      </c>
      <c r="V719" s="1541"/>
      <c r="W719" s="1542"/>
      <c r="X719" s="1543"/>
      <c r="Y719" s="1542"/>
      <c r="Z719" s="1558"/>
      <c r="AA719" s="1542"/>
      <c r="AB719" s="1441">
        <v>1000000</v>
      </c>
      <c r="AC719" s="1401">
        <v>42222</v>
      </c>
      <c r="AD719" s="1402"/>
      <c r="AE719" s="1405"/>
      <c r="AF719" s="1406"/>
      <c r="AG719" s="1422"/>
      <c r="AH719" s="1572" t="str">
        <f t="shared" si="174"/>
        <v>MPI-S2</v>
      </c>
      <c r="AI719" s="1424">
        <f t="shared" ref="AI719:AI736" si="180">SUM(J719,L719,N719,P719,R719,T719,V719,X719,Z719,AB719,AD719,AF719)</f>
        <v>14250000</v>
      </c>
      <c r="AJ719" s="1424">
        <f t="shared" ref="AJ719:AJ736" si="181">(COUNT(L719,N719,P719,R719,T719,V719,X719,Z719,AD719,AF719)*$G$623)+(COUNT(J719)*$J$623)+(COUNT(AB719)*$AB$623)</f>
        <v>14250000</v>
      </c>
      <c r="AK719" s="1519">
        <f t="shared" ref="AK719:AK736" si="182">AJ719-AI719</f>
        <v>0</v>
      </c>
      <c r="AL719" s="1573" t="str">
        <f t="shared" ref="AL719:AL736" si="183">IF(AK719=0,"Lunas","Cek")</f>
        <v>Lunas</v>
      </c>
      <c r="AM719" s="1410"/>
      <c r="AN719" s="1411"/>
      <c r="AO719" s="1410"/>
      <c r="AP719" s="1411"/>
      <c r="AQ719" s="1128"/>
      <c r="AR719" s="1173"/>
      <c r="AT719" s="1173"/>
      <c r="AV719" s="1173"/>
      <c r="AX719" s="1173"/>
      <c r="AY719" s="1176"/>
      <c r="AZ719" s="1173"/>
    </row>
    <row r="720" spans="1:52" s="2" customFormat="1" x14ac:dyDescent="0.25">
      <c r="A720" s="156">
        <v>679</v>
      </c>
      <c r="B720" s="157">
        <v>2</v>
      </c>
      <c r="C720" s="159">
        <v>849113082</v>
      </c>
      <c r="D720" s="158" t="s">
        <v>1175</v>
      </c>
      <c r="E720" s="160" t="s">
        <v>1070</v>
      </c>
      <c r="F720" s="161">
        <v>2013</v>
      </c>
      <c r="G720" s="162" t="s">
        <v>33</v>
      </c>
      <c r="H720" s="163">
        <f t="shared" si="178"/>
        <v>42693</v>
      </c>
      <c r="I720" s="163">
        <f t="shared" si="179"/>
        <v>42693</v>
      </c>
      <c r="J720" s="1356">
        <v>1250000</v>
      </c>
      <c r="K720" s="1357">
        <v>41681</v>
      </c>
      <c r="L720" s="1358">
        <v>3000000</v>
      </c>
      <c r="M720" s="1357">
        <v>41681</v>
      </c>
      <c r="N720" s="1358">
        <v>3000000</v>
      </c>
      <c r="O720" s="1357">
        <v>41859</v>
      </c>
      <c r="P720" s="1358">
        <v>3000000</v>
      </c>
      <c r="Q720" s="1357">
        <v>42545</v>
      </c>
      <c r="R720" s="1358">
        <v>3000000</v>
      </c>
      <c r="S720" s="1357">
        <v>42545</v>
      </c>
      <c r="T720" s="1358">
        <v>3000000</v>
      </c>
      <c r="U720" s="1357">
        <v>42545</v>
      </c>
      <c r="V720" s="1358" t="s">
        <v>1176</v>
      </c>
      <c r="W720" s="1497" t="s">
        <v>276</v>
      </c>
      <c r="X720" s="1363"/>
      <c r="Y720" s="1360"/>
      <c r="Z720" s="1366"/>
      <c r="AA720" s="1360"/>
      <c r="AB720" s="1358">
        <v>1000000</v>
      </c>
      <c r="AC720" s="1383">
        <v>42345</v>
      </c>
      <c r="AD720" s="1402"/>
      <c r="AE720" s="1405"/>
      <c r="AF720" s="1406"/>
      <c r="AG720" s="1422"/>
      <c r="AH720" s="1574" t="str">
        <f t="shared" si="174"/>
        <v>MPI-S2</v>
      </c>
      <c r="AI720" s="1424">
        <f t="shared" si="180"/>
        <v>17250000</v>
      </c>
      <c r="AJ720" s="1424">
        <f t="shared" si="181"/>
        <v>17250000</v>
      </c>
      <c r="AK720" s="1425">
        <f t="shared" si="182"/>
        <v>0</v>
      </c>
      <c r="AL720" s="1575" t="str">
        <f t="shared" si="183"/>
        <v>Lunas</v>
      </c>
      <c r="AM720" s="1410"/>
      <c r="AN720" s="1411"/>
      <c r="AO720" s="1410"/>
      <c r="AP720" s="1411"/>
      <c r="AQ720" s="1128"/>
      <c r="AR720" s="1173"/>
      <c r="AT720" s="1173"/>
      <c r="AV720" s="1173"/>
      <c r="AX720" s="1173"/>
      <c r="AY720" s="1176"/>
      <c r="AZ720" s="1173"/>
    </row>
    <row r="721" spans="1:52" s="2" customFormat="1" x14ac:dyDescent="0.25">
      <c r="A721" s="156">
        <v>680</v>
      </c>
      <c r="B721" s="157">
        <v>3</v>
      </c>
      <c r="C721" s="159">
        <v>849113081</v>
      </c>
      <c r="D721" s="158" t="s">
        <v>1177</v>
      </c>
      <c r="E721" s="160" t="s">
        <v>1070</v>
      </c>
      <c r="F721" s="161">
        <v>2013</v>
      </c>
      <c r="G721" s="162" t="s">
        <v>33</v>
      </c>
      <c r="H721" s="163">
        <f t="shared" si="178"/>
        <v>42693</v>
      </c>
      <c r="I721" s="163">
        <f t="shared" si="179"/>
        <v>42693</v>
      </c>
      <c r="J721" s="1356">
        <v>1250000</v>
      </c>
      <c r="K721" s="1357">
        <v>41682</v>
      </c>
      <c r="L721" s="1358">
        <v>3000000</v>
      </c>
      <c r="M721" s="1357">
        <v>41682</v>
      </c>
      <c r="N721" s="1358">
        <v>3000000</v>
      </c>
      <c r="O721" s="1357">
        <v>41866</v>
      </c>
      <c r="P721" s="1358">
        <v>3000000</v>
      </c>
      <c r="Q721" s="1357">
        <v>42041</v>
      </c>
      <c r="R721" s="1358">
        <v>3000000</v>
      </c>
      <c r="S721" s="1357">
        <v>42222</v>
      </c>
      <c r="T721" s="1358">
        <v>3000000</v>
      </c>
      <c r="U721" s="1357">
        <v>42401</v>
      </c>
      <c r="V721" s="1358">
        <v>3000000</v>
      </c>
      <c r="W721" s="1357">
        <v>42572</v>
      </c>
      <c r="X721" s="1465" t="s">
        <v>276</v>
      </c>
      <c r="Y721" s="1547">
        <v>42693</v>
      </c>
      <c r="Z721" s="1366"/>
      <c r="AA721" s="1360"/>
      <c r="AB721" s="1358">
        <v>1000000</v>
      </c>
      <c r="AC721" s="1383">
        <v>42401</v>
      </c>
      <c r="AD721" s="1402"/>
      <c r="AE721" s="1405"/>
      <c r="AF721" s="1406"/>
      <c r="AG721" s="1422"/>
      <c r="AH721" s="1574" t="str">
        <f t="shared" si="174"/>
        <v>MPI-S2</v>
      </c>
      <c r="AI721" s="1424">
        <f t="shared" si="180"/>
        <v>20250000</v>
      </c>
      <c r="AJ721" s="1424">
        <f t="shared" si="181"/>
        <v>20250000</v>
      </c>
      <c r="AK721" s="1425">
        <f t="shared" si="182"/>
        <v>0</v>
      </c>
      <c r="AL721" s="1575" t="str">
        <f t="shared" si="183"/>
        <v>Lunas</v>
      </c>
      <c r="AM721" s="1410"/>
      <c r="AN721" s="1411"/>
      <c r="AO721" s="1410"/>
      <c r="AP721" s="1411"/>
      <c r="AQ721" s="1128"/>
      <c r="AR721" s="1173"/>
      <c r="AT721" s="1173"/>
      <c r="AV721" s="1173"/>
      <c r="AX721" s="1173"/>
      <c r="AY721" s="1176"/>
      <c r="AZ721" s="1173"/>
    </row>
    <row r="722" spans="1:52" s="2" customFormat="1" x14ac:dyDescent="0.25">
      <c r="A722" s="164">
        <v>681</v>
      </c>
      <c r="B722" s="253">
        <v>4</v>
      </c>
      <c r="C722" s="263">
        <v>849113072</v>
      </c>
      <c r="D722" s="173" t="s">
        <v>1178</v>
      </c>
      <c r="E722" s="264" t="s">
        <v>1070</v>
      </c>
      <c r="F722" s="175">
        <v>2013</v>
      </c>
      <c r="G722" s="170" t="s">
        <v>1077</v>
      </c>
      <c r="H722" s="215" t="str">
        <f t="shared" si="178"/>
        <v xml:space="preserve">   </v>
      </c>
      <c r="I722" s="215" t="str">
        <f t="shared" si="179"/>
        <v xml:space="preserve">   </v>
      </c>
      <c r="J722" s="1366">
        <v>1250000</v>
      </c>
      <c r="K722" s="1367">
        <v>41681</v>
      </c>
      <c r="L722" s="1363">
        <v>3000000</v>
      </c>
      <c r="M722" s="1367">
        <v>41681</v>
      </c>
      <c r="N722" s="1363">
        <v>3000000</v>
      </c>
      <c r="O722" s="1367">
        <v>41865</v>
      </c>
      <c r="P722" s="1363">
        <v>3000000</v>
      </c>
      <c r="Q722" s="1367">
        <v>42068</v>
      </c>
      <c r="R722" s="1363">
        <v>3000000</v>
      </c>
      <c r="S722" s="1367">
        <v>42222</v>
      </c>
      <c r="T722" s="1363">
        <v>3000000</v>
      </c>
      <c r="U722" s="1367">
        <v>42401</v>
      </c>
      <c r="V722" s="1476">
        <v>3000000</v>
      </c>
      <c r="W722" s="1367">
        <v>42573</v>
      </c>
      <c r="X722" s="1530"/>
      <c r="Y722" s="1367"/>
      <c r="Z722" s="1363"/>
      <c r="AA722" s="1360"/>
      <c r="AB722" s="1363">
        <v>1000000</v>
      </c>
      <c r="AC722" s="1503">
        <v>42767</v>
      </c>
      <c r="AD722" s="1402"/>
      <c r="AE722" s="1405"/>
      <c r="AF722" s="1406"/>
      <c r="AG722" s="1422"/>
      <c r="AH722" s="1574" t="str">
        <f t="shared" si="174"/>
        <v>MPI-S2</v>
      </c>
      <c r="AI722" s="1427">
        <f t="shared" si="180"/>
        <v>20250000</v>
      </c>
      <c r="AJ722" s="1427">
        <f t="shared" si="181"/>
        <v>20250000</v>
      </c>
      <c r="AK722" s="1427">
        <f t="shared" si="182"/>
        <v>0</v>
      </c>
      <c r="AL722" s="1428" t="s">
        <v>1077</v>
      </c>
      <c r="AM722" s="1410"/>
      <c r="AN722" s="1411"/>
      <c r="AO722" s="1410"/>
      <c r="AP722" s="1411"/>
      <c r="AQ722" s="1128"/>
      <c r="AR722" s="1173"/>
      <c r="AT722" s="1173"/>
      <c r="AV722" s="1173"/>
      <c r="AX722" s="1173"/>
      <c r="AY722" s="1176"/>
      <c r="AZ722" s="1173"/>
    </row>
    <row r="723" spans="1:52" s="2" customFormat="1" x14ac:dyDescent="0.25">
      <c r="A723" s="234">
        <v>682</v>
      </c>
      <c r="B723" s="235">
        <v>5</v>
      </c>
      <c r="C723" s="236">
        <v>849113075</v>
      </c>
      <c r="D723" s="233" t="s">
        <v>1179</v>
      </c>
      <c r="E723" s="237" t="s">
        <v>1070</v>
      </c>
      <c r="F723" s="238">
        <v>2013</v>
      </c>
      <c r="G723" s="214" t="s">
        <v>1077</v>
      </c>
      <c r="H723" s="239" t="str">
        <f t="shared" si="178"/>
        <v xml:space="preserve">   </v>
      </c>
      <c r="I723" s="239" t="str">
        <f t="shared" si="179"/>
        <v xml:space="preserve">   </v>
      </c>
      <c r="J723" s="1453">
        <v>1250000</v>
      </c>
      <c r="K723" s="1454">
        <v>41684</v>
      </c>
      <c r="L723" s="1455">
        <v>3000000</v>
      </c>
      <c r="M723" s="1454">
        <v>41684</v>
      </c>
      <c r="N723" s="1521"/>
      <c r="O723" s="1521" t="s">
        <v>1162</v>
      </c>
      <c r="P723" s="1530"/>
      <c r="Q723" s="1367"/>
      <c r="R723" s="1363"/>
      <c r="S723" s="1367"/>
      <c r="T723" s="1363"/>
      <c r="U723" s="1367"/>
      <c r="V723" s="1530"/>
      <c r="W723" s="1367"/>
      <c r="X723" s="1430"/>
      <c r="Y723" s="1367"/>
      <c r="Z723" s="1366"/>
      <c r="AA723" s="1360"/>
      <c r="AB723" s="1430"/>
      <c r="AC723" s="1500"/>
      <c r="AD723" s="1402"/>
      <c r="AE723" s="1405"/>
      <c r="AF723" s="1406"/>
      <c r="AG723" s="1422"/>
      <c r="AH723" s="1574" t="str">
        <f t="shared" si="174"/>
        <v>MPI-S2</v>
      </c>
      <c r="AI723" s="1427">
        <f t="shared" si="180"/>
        <v>4250000</v>
      </c>
      <c r="AJ723" s="1427">
        <f t="shared" si="181"/>
        <v>4250000</v>
      </c>
      <c r="AK723" s="1427">
        <f t="shared" si="182"/>
        <v>0</v>
      </c>
      <c r="AL723" s="1428" t="s">
        <v>1077</v>
      </c>
      <c r="AM723" s="1410"/>
      <c r="AN723" s="1411"/>
      <c r="AO723" s="1410"/>
      <c r="AP723" s="1411"/>
      <c r="AQ723" s="1128"/>
      <c r="AR723" s="1173"/>
      <c r="AT723" s="1173"/>
      <c r="AV723" s="1173"/>
      <c r="AX723" s="1173"/>
      <c r="AY723" s="1176"/>
      <c r="AZ723" s="1173"/>
    </row>
    <row r="724" spans="1:52" s="2" customFormat="1" x14ac:dyDescent="0.25">
      <c r="A724" s="156">
        <v>683</v>
      </c>
      <c r="B724" s="157">
        <v>6</v>
      </c>
      <c r="C724" s="159">
        <v>849113078</v>
      </c>
      <c r="D724" s="158" t="s">
        <v>1180</v>
      </c>
      <c r="E724" s="179" t="s">
        <v>1070</v>
      </c>
      <c r="F724" s="161">
        <v>2013</v>
      </c>
      <c r="G724" s="272" t="s">
        <v>33</v>
      </c>
      <c r="H724" s="273" t="str">
        <f t="shared" si="178"/>
        <v xml:space="preserve">   </v>
      </c>
      <c r="I724" s="273" t="str">
        <f t="shared" si="179"/>
        <v xml:space="preserve">   </v>
      </c>
      <c r="J724" s="1364">
        <v>1250000</v>
      </c>
      <c r="K724" s="1357">
        <v>41684</v>
      </c>
      <c r="L724" s="1358">
        <v>3000000</v>
      </c>
      <c r="M724" s="1357">
        <v>41684</v>
      </c>
      <c r="N724" s="1431">
        <v>3000000</v>
      </c>
      <c r="O724" s="1357">
        <v>41908</v>
      </c>
      <c r="P724" s="1358">
        <v>3000000</v>
      </c>
      <c r="Q724" s="1357">
        <v>42060</v>
      </c>
      <c r="R724" s="1358">
        <v>3000000</v>
      </c>
      <c r="S724" s="1357">
        <v>42573</v>
      </c>
      <c r="T724" s="1358">
        <v>3000000</v>
      </c>
      <c r="U724" s="1357">
        <v>42573</v>
      </c>
      <c r="V724" s="1358">
        <v>3000000</v>
      </c>
      <c r="W724" s="1357">
        <v>42573</v>
      </c>
      <c r="X724" s="1544">
        <v>3000000</v>
      </c>
      <c r="Y724" s="1547">
        <v>43444</v>
      </c>
      <c r="Z724" s="1364">
        <v>3000000</v>
      </c>
      <c r="AA724" s="1548">
        <v>43444</v>
      </c>
      <c r="AB724" s="1431">
        <v>1000000</v>
      </c>
      <c r="AC724" s="1383">
        <v>43118</v>
      </c>
      <c r="AD724" s="1495">
        <v>3000000</v>
      </c>
      <c r="AE724" s="1559">
        <v>43444</v>
      </c>
      <c r="AF724" s="1495">
        <v>3000000</v>
      </c>
      <c r="AG724" s="1496">
        <v>43118</v>
      </c>
      <c r="AH724" s="1574" t="str">
        <f t="shared" si="174"/>
        <v>MPI-S2</v>
      </c>
      <c r="AI724" s="1424">
        <f t="shared" si="180"/>
        <v>32250000</v>
      </c>
      <c r="AJ724" s="1424">
        <f t="shared" si="181"/>
        <v>32250000</v>
      </c>
      <c r="AK724" s="1425">
        <f t="shared" si="182"/>
        <v>0</v>
      </c>
      <c r="AL724" s="1575" t="str">
        <f t="shared" si="183"/>
        <v>Lunas</v>
      </c>
      <c r="AM724" s="1410"/>
      <c r="AN724" s="1411"/>
      <c r="AO724" s="1410"/>
      <c r="AP724" s="1411"/>
      <c r="AQ724" s="1128"/>
      <c r="AR724" s="1173"/>
      <c r="AT724" s="1173"/>
      <c r="AV724" s="1173"/>
      <c r="AX724" s="1173"/>
      <c r="AY724" s="1176"/>
      <c r="AZ724" s="1173"/>
    </row>
    <row r="725" spans="1:52" s="2" customFormat="1" x14ac:dyDescent="0.25">
      <c r="A725" s="234">
        <v>684</v>
      </c>
      <c r="B725" s="235">
        <v>7</v>
      </c>
      <c r="C725" s="236">
        <v>849113073</v>
      </c>
      <c r="D725" s="233" t="s">
        <v>1181</v>
      </c>
      <c r="E725" s="237" t="s">
        <v>1070</v>
      </c>
      <c r="F725" s="238">
        <v>2013</v>
      </c>
      <c r="G725" s="214" t="s">
        <v>1077</v>
      </c>
      <c r="H725" s="239" t="str">
        <f t="shared" si="178"/>
        <v xml:space="preserve">   </v>
      </c>
      <c r="I725" s="239" t="str">
        <f t="shared" si="179"/>
        <v xml:space="preserve">   </v>
      </c>
      <c r="J725" s="1531">
        <v>1250000</v>
      </c>
      <c r="K725" s="1454">
        <v>41681</v>
      </c>
      <c r="L725" s="1455">
        <v>3000000</v>
      </c>
      <c r="M725" s="1454">
        <v>41681</v>
      </c>
      <c r="N725" s="1471">
        <v>3000000</v>
      </c>
      <c r="O725" s="1454">
        <v>41856</v>
      </c>
      <c r="P725" s="1471">
        <v>3000000</v>
      </c>
      <c r="Q725" s="1545">
        <v>42061</v>
      </c>
      <c r="R725" s="1521" t="s">
        <v>1162</v>
      </c>
      <c r="S725" s="1367"/>
      <c r="T725" s="1363"/>
      <c r="U725" s="1367"/>
      <c r="V725" s="1530"/>
      <c r="W725" s="1367"/>
      <c r="X725" s="1499"/>
      <c r="Y725" s="1367"/>
      <c r="Z725" s="1366"/>
      <c r="AA725" s="1360"/>
      <c r="AB725" s="1499"/>
      <c r="AC725" s="1503"/>
      <c r="AD725" s="1402"/>
      <c r="AE725" s="1405"/>
      <c r="AF725" s="1406"/>
      <c r="AG725" s="1422"/>
      <c r="AH725" s="1574" t="str">
        <f t="shared" si="174"/>
        <v>MPI-S2</v>
      </c>
      <c r="AI725" s="1427">
        <f t="shared" si="180"/>
        <v>10250000</v>
      </c>
      <c r="AJ725" s="1427">
        <f t="shared" si="181"/>
        <v>10250000</v>
      </c>
      <c r="AK725" s="1427">
        <f t="shared" si="182"/>
        <v>0</v>
      </c>
      <c r="AL725" s="1428" t="s">
        <v>1077</v>
      </c>
      <c r="AM725" s="1410"/>
      <c r="AN725" s="1411"/>
      <c r="AO725" s="1410"/>
      <c r="AP725" s="1411"/>
      <c r="AQ725" s="1128"/>
      <c r="AR725" s="1173"/>
      <c r="AT725" s="1173"/>
      <c r="AV725" s="1173"/>
      <c r="AX725" s="1173"/>
      <c r="AY725" s="1176"/>
      <c r="AZ725" s="1173"/>
    </row>
    <row r="726" spans="1:52" s="2" customFormat="1" x14ac:dyDescent="0.25">
      <c r="A726" s="156">
        <v>685</v>
      </c>
      <c r="B726" s="157">
        <v>8</v>
      </c>
      <c r="C726" s="159">
        <v>849113069</v>
      </c>
      <c r="D726" s="158" t="s">
        <v>1182</v>
      </c>
      <c r="E726" s="179" t="s">
        <v>1070</v>
      </c>
      <c r="F726" s="161">
        <v>2013</v>
      </c>
      <c r="G726" s="272" t="s">
        <v>33</v>
      </c>
      <c r="H726" s="163">
        <f t="shared" si="178"/>
        <v>43467</v>
      </c>
      <c r="I726" s="163">
        <f t="shared" si="179"/>
        <v>43587</v>
      </c>
      <c r="J726" s="1364">
        <v>1250000</v>
      </c>
      <c r="K726" s="1357">
        <v>41687</v>
      </c>
      <c r="L726" s="1358">
        <v>3000000</v>
      </c>
      <c r="M726" s="1357">
        <v>41687</v>
      </c>
      <c r="N726" s="1358">
        <v>3000000</v>
      </c>
      <c r="O726" s="1357">
        <v>41856</v>
      </c>
      <c r="P726" s="1358">
        <v>3000000</v>
      </c>
      <c r="Q726" s="1357">
        <v>42074</v>
      </c>
      <c r="R726" s="1358">
        <v>3000000</v>
      </c>
      <c r="S726" s="1357">
        <v>42242</v>
      </c>
      <c r="T726" s="1192" t="s">
        <v>1078</v>
      </c>
      <c r="U726" s="1386">
        <v>42416</v>
      </c>
      <c r="V726" s="1431">
        <v>3000000</v>
      </c>
      <c r="W726" s="1546">
        <v>43292</v>
      </c>
      <c r="X726" s="1431">
        <v>3000000</v>
      </c>
      <c r="Y726" s="1546">
        <v>43292</v>
      </c>
      <c r="Z726" s="1431">
        <v>3000000</v>
      </c>
      <c r="AA726" s="1546">
        <v>43292</v>
      </c>
      <c r="AB726" s="1431">
        <v>1000000</v>
      </c>
      <c r="AC726" s="1560">
        <v>43481</v>
      </c>
      <c r="AD726" s="1561">
        <v>3000000</v>
      </c>
      <c r="AE726" s="1562">
        <v>43481</v>
      </c>
      <c r="AF726" s="1561">
        <v>3000000</v>
      </c>
      <c r="AG726" s="1562">
        <v>43481</v>
      </c>
      <c r="AH726" s="1574" t="str">
        <f t="shared" si="174"/>
        <v>MPI-S2</v>
      </c>
      <c r="AI726" s="1424">
        <f t="shared" si="180"/>
        <v>29250000</v>
      </c>
      <c r="AJ726" s="1424">
        <f t="shared" si="181"/>
        <v>29250000</v>
      </c>
      <c r="AK726" s="1425">
        <f t="shared" si="182"/>
        <v>0</v>
      </c>
      <c r="AL726" s="1575" t="str">
        <f t="shared" si="183"/>
        <v>Lunas</v>
      </c>
      <c r="AM726" s="1410"/>
      <c r="AN726" s="1411"/>
      <c r="AO726" s="1410"/>
      <c r="AP726" s="1411"/>
      <c r="AQ726" s="1128"/>
      <c r="AR726" s="1173"/>
      <c r="AT726" s="1173"/>
      <c r="AV726" s="1173"/>
      <c r="AX726" s="1173"/>
      <c r="AY726" s="1176"/>
      <c r="AZ726" s="1173"/>
    </row>
    <row r="727" spans="1:52" s="2" customFormat="1" x14ac:dyDescent="0.25">
      <c r="A727" s="156">
        <v>686</v>
      </c>
      <c r="B727" s="157">
        <v>9</v>
      </c>
      <c r="C727" s="159">
        <v>849113071</v>
      </c>
      <c r="D727" s="158" t="s">
        <v>1183</v>
      </c>
      <c r="E727" s="160" t="s">
        <v>1070</v>
      </c>
      <c r="F727" s="161">
        <v>2013</v>
      </c>
      <c r="G727" s="162" t="s">
        <v>33</v>
      </c>
      <c r="H727" s="163">
        <f t="shared" si="178"/>
        <v>43055</v>
      </c>
      <c r="I727" s="163">
        <f t="shared" si="179"/>
        <v>43218</v>
      </c>
      <c r="J727" s="1356">
        <v>1250000</v>
      </c>
      <c r="K727" s="1357">
        <v>41688</v>
      </c>
      <c r="L727" s="1358">
        <v>3000000</v>
      </c>
      <c r="M727" s="1357">
        <v>41688</v>
      </c>
      <c r="N727" s="1358">
        <v>3000000</v>
      </c>
      <c r="O727" s="1357">
        <v>41842</v>
      </c>
      <c r="P727" s="1358">
        <v>3000000</v>
      </c>
      <c r="Q727" s="1357">
        <v>42044</v>
      </c>
      <c r="R727" s="1358">
        <v>3000000</v>
      </c>
      <c r="S727" s="1357">
        <v>42482</v>
      </c>
      <c r="T727" s="1358">
        <v>3000000</v>
      </c>
      <c r="U727" s="1357">
        <v>43048</v>
      </c>
      <c r="V727" s="1358">
        <v>3000000</v>
      </c>
      <c r="W727" s="1357">
        <v>43048</v>
      </c>
      <c r="X727" s="1358">
        <v>3000000</v>
      </c>
      <c r="Y727" s="1357">
        <v>43048</v>
      </c>
      <c r="Z727" s="1356">
        <v>3000000</v>
      </c>
      <c r="AA727" s="1357">
        <v>43048</v>
      </c>
      <c r="AB727" s="1358">
        <v>1000000</v>
      </c>
      <c r="AC727" s="1383">
        <v>42482</v>
      </c>
      <c r="AD727" s="1402"/>
      <c r="AE727" s="1405"/>
      <c r="AF727" s="1406"/>
      <c r="AG727" s="1422"/>
      <c r="AH727" s="1574" t="str">
        <f t="shared" si="174"/>
        <v>MPI-S2</v>
      </c>
      <c r="AI727" s="1424">
        <f t="shared" si="180"/>
        <v>26250000</v>
      </c>
      <c r="AJ727" s="1424">
        <f t="shared" si="181"/>
        <v>26250000</v>
      </c>
      <c r="AK727" s="1425">
        <f t="shared" si="182"/>
        <v>0</v>
      </c>
      <c r="AL727" s="1575" t="str">
        <f t="shared" si="183"/>
        <v>Lunas</v>
      </c>
      <c r="AM727" s="1410"/>
      <c r="AN727" s="1411"/>
      <c r="AO727" s="1410"/>
      <c r="AP727" s="1411"/>
      <c r="AQ727" s="1128"/>
      <c r="AR727" s="1173"/>
      <c r="AT727" s="1173"/>
      <c r="AV727" s="1173"/>
      <c r="AX727" s="1173"/>
      <c r="AY727" s="1176"/>
      <c r="AZ727" s="1173"/>
    </row>
    <row r="728" spans="1:52" s="2" customFormat="1" x14ac:dyDescent="0.25">
      <c r="A728" s="234">
        <v>687</v>
      </c>
      <c r="B728" s="235">
        <v>10</v>
      </c>
      <c r="C728" s="236">
        <v>849113079</v>
      </c>
      <c r="D728" s="233" t="s">
        <v>1184</v>
      </c>
      <c r="E728" s="237" t="s">
        <v>1070</v>
      </c>
      <c r="F728" s="238">
        <v>2013</v>
      </c>
      <c r="G728" s="214" t="s">
        <v>1077</v>
      </c>
      <c r="H728" s="239" t="str">
        <f t="shared" si="178"/>
        <v xml:space="preserve">   </v>
      </c>
      <c r="I728" s="239" t="str">
        <f t="shared" si="179"/>
        <v xml:space="preserve">   </v>
      </c>
      <c r="J728" s="1453">
        <v>1250000</v>
      </c>
      <c r="K728" s="1454">
        <v>41689</v>
      </c>
      <c r="L728" s="1455">
        <v>3000000</v>
      </c>
      <c r="M728" s="1454">
        <v>41689</v>
      </c>
      <c r="N728" s="1521" t="s">
        <v>1162</v>
      </c>
      <c r="O728" s="1367"/>
      <c r="P728" s="1530"/>
      <c r="Q728" s="1367"/>
      <c r="R728" s="1363"/>
      <c r="S728" s="1367"/>
      <c r="T728" s="1363"/>
      <c r="U728" s="1367"/>
      <c r="V728" s="1363"/>
      <c r="W728" s="1367"/>
      <c r="X728" s="1430"/>
      <c r="Y728" s="1367"/>
      <c r="Z728" s="1366"/>
      <c r="AA728" s="1360"/>
      <c r="AB728" s="1430"/>
      <c r="AC728" s="1500"/>
      <c r="AD728" s="1402"/>
      <c r="AE728" s="1405"/>
      <c r="AF728" s="1406"/>
      <c r="AG728" s="1422"/>
      <c r="AH728" s="1574" t="str">
        <f t="shared" si="174"/>
        <v>MPI-S2</v>
      </c>
      <c r="AI728" s="1427">
        <f t="shared" si="180"/>
        <v>4250000</v>
      </c>
      <c r="AJ728" s="1427">
        <f t="shared" si="181"/>
        <v>4250000</v>
      </c>
      <c r="AK728" s="1427">
        <f t="shared" si="182"/>
        <v>0</v>
      </c>
      <c r="AL728" s="1428" t="s">
        <v>1077</v>
      </c>
      <c r="AM728" s="1410"/>
      <c r="AN728" s="1411"/>
      <c r="AO728" s="1410"/>
      <c r="AP728" s="1411"/>
      <c r="AQ728" s="1128"/>
      <c r="AR728" s="1173"/>
      <c r="AT728" s="1173"/>
      <c r="AV728" s="1173"/>
      <c r="AX728" s="1173"/>
      <c r="AY728" s="1176"/>
      <c r="AZ728" s="1173"/>
    </row>
    <row r="729" spans="1:52" s="2" customFormat="1" x14ac:dyDescent="0.25">
      <c r="A729" s="156">
        <v>688</v>
      </c>
      <c r="B729" s="157">
        <v>11</v>
      </c>
      <c r="C729" s="159">
        <v>849113074</v>
      </c>
      <c r="D729" s="158" t="s">
        <v>1185</v>
      </c>
      <c r="E729" s="160" t="s">
        <v>1070</v>
      </c>
      <c r="F729" s="161">
        <v>2013</v>
      </c>
      <c r="G729" s="162" t="s">
        <v>33</v>
      </c>
      <c r="H729" s="163">
        <f t="shared" si="178"/>
        <v>42693</v>
      </c>
      <c r="I729" s="163">
        <f t="shared" si="179"/>
        <v>42693</v>
      </c>
      <c r="J729" s="1356">
        <v>1250000</v>
      </c>
      <c r="K729" s="1357">
        <v>41689</v>
      </c>
      <c r="L729" s="1358">
        <v>3000000</v>
      </c>
      <c r="M729" s="1357">
        <v>41689</v>
      </c>
      <c r="N729" s="1358">
        <v>3000000</v>
      </c>
      <c r="O729" s="1357">
        <v>41870</v>
      </c>
      <c r="P729" s="1358">
        <v>1500000</v>
      </c>
      <c r="Q729" s="1357">
        <v>42094</v>
      </c>
      <c r="R729" s="1358">
        <v>3000000</v>
      </c>
      <c r="S729" s="1547">
        <v>42664</v>
      </c>
      <c r="T729" s="1358">
        <v>3000000</v>
      </c>
      <c r="U729" s="1547">
        <v>42664</v>
      </c>
      <c r="V729" s="1358">
        <v>3000000</v>
      </c>
      <c r="W729" s="1547">
        <v>42664</v>
      </c>
      <c r="X729" s="1465" t="s">
        <v>276</v>
      </c>
      <c r="Y729" s="1547">
        <v>42693</v>
      </c>
      <c r="Z729" s="1366"/>
      <c r="AA729" s="1360"/>
      <c r="AB729" s="1358">
        <v>2500000</v>
      </c>
      <c r="AC729" s="1383">
        <v>42891</v>
      </c>
      <c r="AD729" s="1402"/>
      <c r="AE729" s="1405"/>
      <c r="AF729" s="1406"/>
      <c r="AG729" s="1422"/>
      <c r="AH729" s="1574" t="str">
        <f t="shared" si="174"/>
        <v>MPI-S2</v>
      </c>
      <c r="AI729" s="1424">
        <f t="shared" si="180"/>
        <v>20250000</v>
      </c>
      <c r="AJ729" s="1424">
        <f t="shared" si="181"/>
        <v>20250000</v>
      </c>
      <c r="AK729" s="1425">
        <f t="shared" si="182"/>
        <v>0</v>
      </c>
      <c r="AL729" s="1575" t="str">
        <f t="shared" si="183"/>
        <v>Lunas</v>
      </c>
      <c r="AM729" s="1410"/>
      <c r="AN729" s="1411"/>
      <c r="AO729" s="1410"/>
      <c r="AP729" s="1411"/>
      <c r="AQ729" s="1128"/>
      <c r="AR729" s="1173"/>
      <c r="AT729" s="1173"/>
      <c r="AV729" s="1173"/>
      <c r="AX729" s="1173"/>
      <c r="AY729" s="1176"/>
      <c r="AZ729" s="1173"/>
    </row>
    <row r="730" spans="1:52" s="2" customFormat="1" x14ac:dyDescent="0.25">
      <c r="A730" s="156">
        <v>689</v>
      </c>
      <c r="B730" s="157">
        <v>12</v>
      </c>
      <c r="C730" s="159">
        <v>849113077</v>
      </c>
      <c r="D730" s="158" t="s">
        <v>1186</v>
      </c>
      <c r="E730" s="160" t="s">
        <v>1070</v>
      </c>
      <c r="F730" s="161">
        <v>2013</v>
      </c>
      <c r="G730" s="162" t="s">
        <v>33</v>
      </c>
      <c r="H730" s="163">
        <f t="shared" si="178"/>
        <v>42767</v>
      </c>
      <c r="I730" s="163">
        <f t="shared" si="179"/>
        <v>42861</v>
      </c>
      <c r="J730" s="1356">
        <v>1250000</v>
      </c>
      <c r="K730" s="1357">
        <v>41690</v>
      </c>
      <c r="L730" s="1358">
        <v>3000000</v>
      </c>
      <c r="M730" s="1357">
        <v>41690</v>
      </c>
      <c r="N730" s="1358">
        <v>3000000</v>
      </c>
      <c r="O730" s="1357">
        <v>41859</v>
      </c>
      <c r="P730" s="1358">
        <v>3000000</v>
      </c>
      <c r="Q730" s="1357">
        <v>42044</v>
      </c>
      <c r="R730" s="1358">
        <v>3000000</v>
      </c>
      <c r="S730" s="1357">
        <v>42223</v>
      </c>
      <c r="T730" s="1358">
        <v>3000000</v>
      </c>
      <c r="U730" s="1357">
        <v>42741</v>
      </c>
      <c r="V730" s="1358">
        <v>3000000</v>
      </c>
      <c r="W730" s="1357">
        <v>42741</v>
      </c>
      <c r="X730" s="1465" t="s">
        <v>276</v>
      </c>
      <c r="Y730" s="1367"/>
      <c r="Z730" s="1366"/>
      <c r="AA730" s="1360"/>
      <c r="AB730" s="1358">
        <v>1000000</v>
      </c>
      <c r="AC730" s="1383">
        <v>42741</v>
      </c>
      <c r="AD730" s="1402"/>
      <c r="AE730" s="1405"/>
      <c r="AF730" s="1406"/>
      <c r="AG730" s="1422"/>
      <c r="AH730" s="1574" t="str">
        <f t="shared" si="174"/>
        <v>MPI-S2</v>
      </c>
      <c r="AI730" s="1424">
        <f t="shared" si="180"/>
        <v>20250000</v>
      </c>
      <c r="AJ730" s="1424">
        <f t="shared" si="181"/>
        <v>20250000</v>
      </c>
      <c r="AK730" s="1425">
        <f t="shared" si="182"/>
        <v>0</v>
      </c>
      <c r="AL730" s="1575" t="str">
        <f t="shared" si="183"/>
        <v>Lunas</v>
      </c>
      <c r="AM730" s="1410"/>
      <c r="AN730" s="1411"/>
      <c r="AO730" s="1410"/>
      <c r="AP730" s="1411"/>
      <c r="AQ730" s="1128"/>
      <c r="AR730" s="1173"/>
      <c r="AT730" s="1173"/>
      <c r="AV730" s="1173"/>
      <c r="AX730" s="1173"/>
      <c r="AY730" s="1176"/>
      <c r="AZ730" s="1173"/>
    </row>
    <row r="731" spans="1:52" s="2" customFormat="1" x14ac:dyDescent="0.25">
      <c r="A731" s="156">
        <v>690</v>
      </c>
      <c r="B731" s="157">
        <v>13</v>
      </c>
      <c r="C731" s="159">
        <v>849113076</v>
      </c>
      <c r="D731" s="158" t="s">
        <v>1187</v>
      </c>
      <c r="E731" s="160" t="s">
        <v>1070</v>
      </c>
      <c r="F731" s="161">
        <v>2013</v>
      </c>
      <c r="G731" s="162" t="s">
        <v>33</v>
      </c>
      <c r="H731" s="163">
        <f t="shared" si="178"/>
        <v>42663</v>
      </c>
      <c r="I731" s="163">
        <f t="shared" si="179"/>
        <v>42861</v>
      </c>
      <c r="J731" s="1356">
        <v>1250000</v>
      </c>
      <c r="K731" s="1357">
        <v>41690</v>
      </c>
      <c r="L731" s="1358">
        <v>3000000</v>
      </c>
      <c r="M731" s="1357">
        <v>41690</v>
      </c>
      <c r="N731" s="1358">
        <v>3000000</v>
      </c>
      <c r="O731" s="1357">
        <v>41859</v>
      </c>
      <c r="P731" s="1358">
        <v>3000000</v>
      </c>
      <c r="Q731" s="1357">
        <v>42072</v>
      </c>
      <c r="R731" s="1358">
        <v>3000000</v>
      </c>
      <c r="S731" s="1357">
        <v>42415</v>
      </c>
      <c r="T731" s="1356">
        <v>3000000</v>
      </c>
      <c r="U731" s="1547">
        <v>42653</v>
      </c>
      <c r="V731" s="1356">
        <v>3000000</v>
      </c>
      <c r="W731" s="1547">
        <v>42653</v>
      </c>
      <c r="X731" s="1364"/>
      <c r="Y731" s="1547">
        <v>42693</v>
      </c>
      <c r="Z731" s="1465" t="s">
        <v>276</v>
      </c>
      <c r="AA731" s="1360"/>
      <c r="AB731" s="1356">
        <v>1000000</v>
      </c>
      <c r="AC731" s="1383">
        <v>42653</v>
      </c>
      <c r="AD731" s="1402"/>
      <c r="AE731" s="1405"/>
      <c r="AF731" s="1406"/>
      <c r="AG731" s="1422"/>
      <c r="AH731" s="1574" t="str">
        <f t="shared" si="174"/>
        <v>MPI-S2</v>
      </c>
      <c r="AI731" s="1424">
        <f t="shared" si="180"/>
        <v>20250000</v>
      </c>
      <c r="AJ731" s="1424">
        <f t="shared" si="181"/>
        <v>20250000</v>
      </c>
      <c r="AK731" s="1425">
        <f t="shared" si="182"/>
        <v>0</v>
      </c>
      <c r="AL731" s="1575" t="str">
        <f t="shared" si="183"/>
        <v>Lunas</v>
      </c>
      <c r="AM731" s="1410"/>
      <c r="AN731" s="1411"/>
      <c r="AO731" s="1410"/>
      <c r="AP731" s="1411"/>
      <c r="AQ731" s="1128"/>
      <c r="AR731" s="1173"/>
      <c r="AT731" s="1173"/>
      <c r="AV731" s="1173"/>
      <c r="AX731" s="1173"/>
      <c r="AY731" s="1176"/>
      <c r="AZ731" s="1173"/>
    </row>
    <row r="732" spans="1:52" s="2" customFormat="1" x14ac:dyDescent="0.25">
      <c r="A732" s="156">
        <v>691</v>
      </c>
      <c r="B732" s="157">
        <v>14</v>
      </c>
      <c r="C732" s="159">
        <v>849113070</v>
      </c>
      <c r="D732" s="158" t="s">
        <v>1188</v>
      </c>
      <c r="E732" s="179" t="s">
        <v>1070</v>
      </c>
      <c r="F732" s="161">
        <v>2013</v>
      </c>
      <c r="G732" s="162" t="s">
        <v>33</v>
      </c>
      <c r="H732" s="163">
        <f t="shared" si="178"/>
        <v>43486</v>
      </c>
      <c r="I732" s="273" t="str">
        <f t="shared" si="179"/>
        <v xml:space="preserve">   </v>
      </c>
      <c r="J732" s="1364">
        <v>1250000</v>
      </c>
      <c r="K732" s="1357">
        <v>41690</v>
      </c>
      <c r="L732" s="1358">
        <v>3000000</v>
      </c>
      <c r="M732" s="1357">
        <v>41690</v>
      </c>
      <c r="N732" s="1431">
        <v>3000000</v>
      </c>
      <c r="O732" s="1357">
        <v>41887</v>
      </c>
      <c r="P732" s="1431">
        <v>3000000</v>
      </c>
      <c r="Q732" s="1365">
        <v>42045</v>
      </c>
      <c r="R732" s="1358">
        <v>3000000</v>
      </c>
      <c r="S732" s="1357">
        <v>42223</v>
      </c>
      <c r="T732" s="1358">
        <v>3000000</v>
      </c>
      <c r="U732" s="1548">
        <v>43445</v>
      </c>
      <c r="V732" s="1358">
        <v>3000000</v>
      </c>
      <c r="W732" s="1548">
        <v>43445</v>
      </c>
      <c r="X732" s="1358">
        <v>3000000</v>
      </c>
      <c r="Y732" s="1548">
        <v>43445</v>
      </c>
      <c r="Z732" s="1366">
        <v>3000000</v>
      </c>
      <c r="AA732" s="1360">
        <v>43818</v>
      </c>
      <c r="AB732" s="1544">
        <v>1000000</v>
      </c>
      <c r="AC732" s="1365">
        <v>43445</v>
      </c>
      <c r="AD732" s="1467">
        <v>3000000</v>
      </c>
      <c r="AE732" s="1563">
        <v>43818</v>
      </c>
      <c r="AF732" s="1467">
        <v>3000000</v>
      </c>
      <c r="AG732" s="1563">
        <v>43818</v>
      </c>
      <c r="AH732" s="1574" t="str">
        <f t="shared" si="174"/>
        <v>MPI-S2</v>
      </c>
      <c r="AI732" s="1424">
        <f t="shared" si="180"/>
        <v>32250000</v>
      </c>
      <c r="AJ732" s="1424">
        <f t="shared" si="181"/>
        <v>32250000</v>
      </c>
      <c r="AK732" s="1520">
        <f t="shared" si="182"/>
        <v>0</v>
      </c>
      <c r="AL732" s="1575" t="str">
        <f t="shared" si="183"/>
        <v>Lunas</v>
      </c>
      <c r="AM732" s="1410"/>
      <c r="AN732" s="1411"/>
      <c r="AO732" s="1410"/>
      <c r="AP732" s="1411"/>
      <c r="AQ732" s="1128"/>
      <c r="AR732" s="1173"/>
      <c r="AT732" s="1173"/>
      <c r="AV732" s="1173"/>
      <c r="AX732" s="1173"/>
      <c r="AY732" s="1176"/>
      <c r="AZ732" s="1173"/>
    </row>
    <row r="733" spans="1:52" s="2" customFormat="1" x14ac:dyDescent="0.25">
      <c r="A733" s="156">
        <v>692</v>
      </c>
      <c r="B733" s="157">
        <v>15</v>
      </c>
      <c r="C733" s="159">
        <v>849113087</v>
      </c>
      <c r="D733" s="158" t="s">
        <v>1189</v>
      </c>
      <c r="E733" s="160" t="s">
        <v>1070</v>
      </c>
      <c r="F733" s="161">
        <v>2013</v>
      </c>
      <c r="G733" s="162" t="s">
        <v>33</v>
      </c>
      <c r="H733" s="163">
        <f t="shared" si="178"/>
        <v>42693</v>
      </c>
      <c r="I733" s="163">
        <f t="shared" si="179"/>
        <v>42693</v>
      </c>
      <c r="J733" s="1356">
        <v>1250000</v>
      </c>
      <c r="K733" s="1357">
        <v>41689</v>
      </c>
      <c r="L733" s="1358">
        <v>3000000</v>
      </c>
      <c r="M733" s="1357">
        <v>41689</v>
      </c>
      <c r="N733" s="1358">
        <v>3000000</v>
      </c>
      <c r="O733" s="1357">
        <v>41866</v>
      </c>
      <c r="P733" s="1358">
        <v>3000000</v>
      </c>
      <c r="Q733" s="1357">
        <v>42072</v>
      </c>
      <c r="R733" s="1358">
        <v>3000000</v>
      </c>
      <c r="S733" s="1357">
        <v>42242</v>
      </c>
      <c r="T733" s="1358">
        <v>3000000</v>
      </c>
      <c r="U733" s="1547">
        <v>42656</v>
      </c>
      <c r="V733" s="1358">
        <v>3000000</v>
      </c>
      <c r="W733" s="1547">
        <v>42656</v>
      </c>
      <c r="X733" s="1364"/>
      <c r="Y733" s="1547">
        <v>42693</v>
      </c>
      <c r="Z733" s="1465" t="s">
        <v>276</v>
      </c>
      <c r="AA733" s="1360"/>
      <c r="AB733" s="1358">
        <v>1000000</v>
      </c>
      <c r="AC733" s="1383">
        <v>42656</v>
      </c>
      <c r="AD733" s="1402"/>
      <c r="AE733" s="1405"/>
      <c r="AF733" s="1406"/>
      <c r="AG733" s="1422"/>
      <c r="AH733" s="1574" t="str">
        <f t="shared" si="174"/>
        <v>MPI-S2</v>
      </c>
      <c r="AI733" s="1424">
        <f t="shared" si="180"/>
        <v>20250000</v>
      </c>
      <c r="AJ733" s="1424">
        <f t="shared" si="181"/>
        <v>20250000</v>
      </c>
      <c r="AK733" s="1425">
        <f t="shared" si="182"/>
        <v>0</v>
      </c>
      <c r="AL733" s="1575" t="str">
        <f t="shared" si="183"/>
        <v>Lunas</v>
      </c>
      <c r="AM733" s="1410"/>
      <c r="AN733" s="1411"/>
      <c r="AO733" s="1410"/>
      <c r="AP733" s="1411"/>
      <c r="AQ733" s="1128"/>
      <c r="AR733" s="1173"/>
      <c r="AT733" s="1173"/>
      <c r="AV733" s="1173"/>
      <c r="AX733" s="1173"/>
      <c r="AY733" s="1176"/>
      <c r="AZ733" s="1173"/>
    </row>
    <row r="734" spans="1:52" s="2" customFormat="1" x14ac:dyDescent="0.25">
      <c r="A734" s="164">
        <v>693</v>
      </c>
      <c r="B734" s="253">
        <v>16</v>
      </c>
      <c r="C734" s="263">
        <v>849113089</v>
      </c>
      <c r="D734" s="173" t="s">
        <v>1190</v>
      </c>
      <c r="E734" s="264" t="s">
        <v>1070</v>
      </c>
      <c r="F734" s="175">
        <v>2013</v>
      </c>
      <c r="G734" s="170" t="s">
        <v>1077</v>
      </c>
      <c r="H734" s="215" t="str">
        <f t="shared" si="178"/>
        <v xml:space="preserve">   </v>
      </c>
      <c r="I734" s="215" t="str">
        <f t="shared" si="179"/>
        <v xml:space="preserve">   </v>
      </c>
      <c r="J734" s="1366">
        <v>1250000</v>
      </c>
      <c r="K734" s="1367">
        <v>41684</v>
      </c>
      <c r="L734" s="1363">
        <v>3000000</v>
      </c>
      <c r="M734" s="1367">
        <v>41684</v>
      </c>
      <c r="N734" s="1430">
        <v>3000000</v>
      </c>
      <c r="O734" s="1367">
        <v>41859</v>
      </c>
      <c r="P734" s="1363">
        <v>3000000</v>
      </c>
      <c r="Q734" s="1367">
        <v>42040</v>
      </c>
      <c r="R734" s="1363">
        <v>3000000</v>
      </c>
      <c r="S734" s="1367">
        <v>42223</v>
      </c>
      <c r="T734" s="1402"/>
      <c r="U734" s="1405"/>
      <c r="V734" s="1406"/>
      <c r="W734" s="1422"/>
      <c r="X734" s="1402"/>
      <c r="Y734" s="1405"/>
      <c r="Z734" s="1406"/>
      <c r="AA734" s="1422"/>
      <c r="AB734" s="1430">
        <v>1000000</v>
      </c>
      <c r="AC734" s="1503">
        <v>42223</v>
      </c>
      <c r="AD734" s="1402"/>
      <c r="AE734" s="1405"/>
      <c r="AF734" s="1406"/>
      <c r="AG734" s="1422"/>
      <c r="AH734" s="1574" t="str">
        <f t="shared" si="174"/>
        <v>MPI-S2</v>
      </c>
      <c r="AI734" s="1427">
        <f t="shared" si="180"/>
        <v>14250000</v>
      </c>
      <c r="AJ734" s="1427">
        <f t="shared" si="181"/>
        <v>14250000</v>
      </c>
      <c r="AK734" s="1427">
        <f t="shared" si="182"/>
        <v>0</v>
      </c>
      <c r="AL734" s="1428" t="s">
        <v>1077</v>
      </c>
      <c r="AM734" s="1410"/>
      <c r="AN734" s="1411"/>
      <c r="AO734" s="1410"/>
      <c r="AP734" s="1411"/>
      <c r="AQ734" s="1128"/>
      <c r="AR734" s="1173"/>
      <c r="AT734" s="1173"/>
      <c r="AV734" s="1173"/>
      <c r="AX734" s="1173"/>
      <c r="AY734" s="1176"/>
      <c r="AZ734" s="1173"/>
    </row>
    <row r="735" spans="1:52" s="2" customFormat="1" x14ac:dyDescent="0.25">
      <c r="A735" s="164">
        <v>694</v>
      </c>
      <c r="B735" s="253">
        <v>17</v>
      </c>
      <c r="C735" s="263">
        <v>849113091</v>
      </c>
      <c r="D735" s="173" t="s">
        <v>1191</v>
      </c>
      <c r="E735" s="264" t="s">
        <v>1070</v>
      </c>
      <c r="F735" s="175">
        <v>2013</v>
      </c>
      <c r="G735" s="170" t="s">
        <v>1077</v>
      </c>
      <c r="H735" s="215" t="str">
        <f t="shared" si="178"/>
        <v xml:space="preserve">   </v>
      </c>
      <c r="I735" s="215" t="str">
        <f t="shared" si="179"/>
        <v xml:space="preserve">   </v>
      </c>
      <c r="J735" s="1366">
        <v>1250000</v>
      </c>
      <c r="K735" s="1367">
        <v>41690</v>
      </c>
      <c r="L735" s="1363">
        <v>3000000</v>
      </c>
      <c r="M735" s="1367">
        <v>41690</v>
      </c>
      <c r="N735" s="1430">
        <v>3000000</v>
      </c>
      <c r="O735" s="1367">
        <v>41890</v>
      </c>
      <c r="P735" s="1430">
        <v>3000000</v>
      </c>
      <c r="Q735" s="1360">
        <v>42062</v>
      </c>
      <c r="R735" s="1363"/>
      <c r="S735" s="1367"/>
      <c r="T735" s="1402"/>
      <c r="U735" s="1405"/>
      <c r="V735" s="1406"/>
      <c r="W735" s="1422"/>
      <c r="X735" s="1402"/>
      <c r="Y735" s="1405"/>
      <c r="Z735" s="1406"/>
      <c r="AA735" s="1422"/>
      <c r="AB735" s="1499"/>
      <c r="AC735" s="1503"/>
      <c r="AD735" s="1402"/>
      <c r="AE735" s="1405"/>
      <c r="AF735" s="1406"/>
      <c r="AG735" s="1422"/>
      <c r="AH735" s="1574" t="str">
        <f t="shared" si="174"/>
        <v>MPI-S2</v>
      </c>
      <c r="AI735" s="1427">
        <f t="shared" si="180"/>
        <v>10250000</v>
      </c>
      <c r="AJ735" s="1427">
        <f t="shared" si="181"/>
        <v>10250000</v>
      </c>
      <c r="AK735" s="1427">
        <f t="shared" si="182"/>
        <v>0</v>
      </c>
      <c r="AL735" s="1428" t="s">
        <v>1077</v>
      </c>
      <c r="AM735" s="1410"/>
      <c r="AN735" s="1411"/>
      <c r="AO735" s="1410"/>
      <c r="AP735" s="1411"/>
      <c r="AQ735" s="1128"/>
      <c r="AR735" s="1173"/>
      <c r="AT735" s="1173"/>
      <c r="AV735" s="1173"/>
      <c r="AX735" s="1173"/>
      <c r="AY735" s="1176"/>
      <c r="AZ735" s="1173"/>
    </row>
    <row r="736" spans="1:52" s="2" customFormat="1" x14ac:dyDescent="0.25">
      <c r="A736" s="180">
        <v>695</v>
      </c>
      <c r="B736" s="181">
        <v>18</v>
      </c>
      <c r="C736" s="183">
        <v>849113090</v>
      </c>
      <c r="D736" s="182" t="s">
        <v>1192</v>
      </c>
      <c r="E736" s="184" t="s">
        <v>1070</v>
      </c>
      <c r="F736" s="185">
        <v>2013</v>
      </c>
      <c r="G736" s="186" t="s">
        <v>33</v>
      </c>
      <c r="H736" s="163">
        <f t="shared" si="178"/>
        <v>42693</v>
      </c>
      <c r="I736" s="284">
        <f t="shared" si="179"/>
        <v>42693</v>
      </c>
      <c r="J736" s="1527">
        <v>1250000</v>
      </c>
      <c r="K736" s="1435">
        <v>41690</v>
      </c>
      <c r="L736" s="1434">
        <v>3000000</v>
      </c>
      <c r="M736" s="1435">
        <v>41690</v>
      </c>
      <c r="N736" s="1434">
        <v>3000000</v>
      </c>
      <c r="O736" s="1435">
        <v>41887</v>
      </c>
      <c r="P736" s="1434">
        <v>3000000</v>
      </c>
      <c r="Q736" s="1435">
        <v>42045</v>
      </c>
      <c r="R736" s="1434">
        <v>3000000</v>
      </c>
      <c r="S736" s="1435">
        <v>42552</v>
      </c>
      <c r="T736" s="1434">
        <v>3000000</v>
      </c>
      <c r="U736" s="1435">
        <v>42552</v>
      </c>
      <c r="V736" s="1434">
        <v>3000000</v>
      </c>
      <c r="W736" s="1435">
        <v>42621</v>
      </c>
      <c r="X736" s="1432"/>
      <c r="Y736" s="1564">
        <v>42693</v>
      </c>
      <c r="Z736" s="1552" t="s">
        <v>276</v>
      </c>
      <c r="AA736" s="1557"/>
      <c r="AB736" s="1434">
        <v>1000000</v>
      </c>
      <c r="AC736" s="1463">
        <v>42552</v>
      </c>
      <c r="AD736" s="1402"/>
      <c r="AE736" s="1405"/>
      <c r="AF736" s="1406"/>
      <c r="AG736" s="1422"/>
      <c r="AH736" s="1576" t="str">
        <f t="shared" si="174"/>
        <v>MPI-S2</v>
      </c>
      <c r="AI736" s="1424">
        <f t="shared" si="180"/>
        <v>20250000</v>
      </c>
      <c r="AJ736" s="1424">
        <f t="shared" si="181"/>
        <v>20250000</v>
      </c>
      <c r="AK736" s="1508">
        <f t="shared" si="182"/>
        <v>0</v>
      </c>
      <c r="AL736" s="1577" t="str">
        <f t="shared" si="183"/>
        <v>Lunas</v>
      </c>
      <c r="AM736" s="1410"/>
      <c r="AN736" s="1411"/>
      <c r="AO736" s="1410"/>
      <c r="AP736" s="1411"/>
      <c r="AQ736" s="1128"/>
      <c r="AR736" s="1173"/>
      <c r="AT736" s="1173"/>
      <c r="AV736" s="1173"/>
      <c r="AX736" s="1173"/>
      <c r="AY736" s="1176"/>
      <c r="AZ736" s="1173"/>
    </row>
    <row r="737" spans="1:52" s="4" customFormat="1" x14ac:dyDescent="0.25">
      <c r="A737" s="187"/>
      <c r="B737" s="267"/>
      <c r="C737" s="269"/>
      <c r="D737" s="268"/>
      <c r="E737" s="270" t="s">
        <v>61</v>
      </c>
      <c r="F737" s="267" t="s">
        <v>61</v>
      </c>
      <c r="G737" s="192" t="s">
        <v>61</v>
      </c>
      <c r="H737" s="193"/>
      <c r="I737" s="193"/>
      <c r="J737" s="187"/>
      <c r="K737" s="1436"/>
      <c r="L737" s="1528"/>
      <c r="M737" s="1488"/>
      <c r="N737" s="1528"/>
      <c r="O737" s="1488"/>
      <c r="P737" s="1528"/>
      <c r="Q737" s="1488"/>
      <c r="R737" s="1528"/>
      <c r="S737" s="1549"/>
      <c r="T737" s="1540"/>
      <c r="U737" s="1488"/>
      <c r="V737" s="1550"/>
      <c r="W737" s="1488"/>
      <c r="X737" s="1437"/>
      <c r="Y737" s="1437"/>
      <c r="Z737" s="1437"/>
      <c r="AA737" s="1437"/>
      <c r="AB737" s="1437"/>
      <c r="AC737" s="1437"/>
      <c r="AD737" s="1437"/>
      <c r="AE737" s="1437"/>
      <c r="AF737" s="1437"/>
      <c r="AG737" s="1437"/>
      <c r="AH737" s="1437" t="str">
        <f t="shared" si="174"/>
        <v>-</v>
      </c>
      <c r="AI737" s="1437"/>
      <c r="AJ737" s="1409"/>
      <c r="AK737" s="1409"/>
      <c r="AL737" s="1510"/>
      <c r="AM737" s="1510"/>
      <c r="AN737" s="1511"/>
      <c r="AO737" s="1510"/>
      <c r="AP737" s="1511"/>
      <c r="AQ737" s="1215"/>
      <c r="AR737" s="1216"/>
      <c r="AT737" s="1216"/>
      <c r="AV737" s="1216"/>
      <c r="AX737" s="1216"/>
      <c r="AY737" s="1217"/>
      <c r="AZ737" s="1216"/>
    </row>
    <row r="738" spans="1:52" s="2" customFormat="1" x14ac:dyDescent="0.25">
      <c r="A738" s="194" t="s">
        <v>1193</v>
      </c>
      <c r="B738" s="259"/>
      <c r="C738" s="274"/>
      <c r="D738" s="271"/>
      <c r="E738" s="198" t="s">
        <v>1096</v>
      </c>
      <c r="F738" s="199" t="s">
        <v>1096</v>
      </c>
      <c r="G738" s="146">
        <v>3000000</v>
      </c>
      <c r="H738" s="232" t="str">
        <f t="shared" ref="H738:H758" si="184">IFERROR(VLOOKUP(C738,Tlus,3,FALSE),"   ")</f>
        <v xml:space="preserve">   </v>
      </c>
      <c r="I738" s="232" t="str">
        <f t="shared" ref="I738:I758" si="185">IFERROR(VLOOKUP(C738,Wis,4,FALSE),"   ")</f>
        <v xml:space="preserve">   </v>
      </c>
      <c r="J738" s="1450">
        <v>1250000</v>
      </c>
      <c r="K738" s="1529"/>
      <c r="L738" s="1351" t="s">
        <v>1049</v>
      </c>
      <c r="M738" s="1352" t="s">
        <v>1050</v>
      </c>
      <c r="N738" s="1351" t="s">
        <v>1051</v>
      </c>
      <c r="O738" s="1352" t="s">
        <v>1052</v>
      </c>
      <c r="P738" s="1351" t="s">
        <v>1053</v>
      </c>
      <c r="Q738" s="1352" t="s">
        <v>1054</v>
      </c>
      <c r="R738" s="1351" t="s">
        <v>1055</v>
      </c>
      <c r="S738" s="1352" t="s">
        <v>1056</v>
      </c>
      <c r="T738" s="1351" t="s">
        <v>1057</v>
      </c>
      <c r="U738" s="1379" t="s">
        <v>1058</v>
      </c>
      <c r="V738" s="1380" t="s">
        <v>1059</v>
      </c>
      <c r="W738" s="1379" t="s">
        <v>1060</v>
      </c>
      <c r="X738" s="1380" t="s">
        <v>1061</v>
      </c>
      <c r="Y738" s="1379" t="s">
        <v>1062</v>
      </c>
      <c r="Z738" s="1380" t="s">
        <v>1063</v>
      </c>
      <c r="AA738" s="1379" t="s">
        <v>1064</v>
      </c>
      <c r="AB738" s="1397">
        <v>1000000</v>
      </c>
      <c r="AC738" s="1127"/>
      <c r="AD738" s="1398" t="s">
        <v>1065</v>
      </c>
      <c r="AE738" s="1399" t="s">
        <v>1066</v>
      </c>
      <c r="AF738" s="1400" t="s">
        <v>1067</v>
      </c>
      <c r="AG738" s="1412" t="s">
        <v>1068</v>
      </c>
      <c r="AH738" s="1518" t="str">
        <f t="shared" si="174"/>
        <v>#</v>
      </c>
      <c r="AI738" s="1512"/>
      <c r="AJ738" s="1409"/>
      <c r="AK738" s="1409"/>
      <c r="AL738" s="1513"/>
      <c r="AM738" s="1513"/>
      <c r="AN738" s="1514"/>
      <c r="AO738" s="1513"/>
      <c r="AP738" s="1514"/>
      <c r="AQ738" s="1128"/>
      <c r="AR738" s="1173"/>
      <c r="AT738" s="1173"/>
      <c r="AV738" s="1173"/>
      <c r="AX738" s="1173"/>
      <c r="AY738" s="1176"/>
      <c r="AZ738" s="1173"/>
    </row>
    <row r="739" spans="1:52" s="2" customFormat="1" x14ac:dyDescent="0.25">
      <c r="A739" s="200">
        <v>696</v>
      </c>
      <c r="B739" s="262">
        <v>1</v>
      </c>
      <c r="C739" s="151">
        <v>839134006</v>
      </c>
      <c r="D739" s="150" t="s">
        <v>1194</v>
      </c>
      <c r="E739" s="152" t="s">
        <v>1195</v>
      </c>
      <c r="F739" s="153">
        <v>2013</v>
      </c>
      <c r="G739" s="154" t="s">
        <v>33</v>
      </c>
      <c r="H739" s="155" t="str">
        <f t="shared" si="184"/>
        <v xml:space="preserve">   </v>
      </c>
      <c r="I739" s="155">
        <f t="shared" si="185"/>
        <v>42504</v>
      </c>
      <c r="J739" s="1532">
        <v>1250000</v>
      </c>
      <c r="K739" s="1440">
        <v>41660</v>
      </c>
      <c r="L739" s="1442" t="s">
        <v>1196</v>
      </c>
      <c r="M739" s="1440">
        <v>41660</v>
      </c>
      <c r="N739" s="1442" t="s">
        <v>1196</v>
      </c>
      <c r="O739" s="1440"/>
      <c r="P739" s="1441">
        <v>3000000</v>
      </c>
      <c r="Q739" s="1440">
        <v>42046</v>
      </c>
      <c r="R739" s="1441">
        <v>3000000</v>
      </c>
      <c r="S739" s="1440">
        <v>42220</v>
      </c>
      <c r="T739" s="1470" t="s">
        <v>276</v>
      </c>
      <c r="U739" s="1479">
        <v>42504</v>
      </c>
      <c r="V739" s="1551"/>
      <c r="W739" s="1542"/>
      <c r="X739" s="1543"/>
      <c r="Y739" s="1542"/>
      <c r="Z739" s="1543"/>
      <c r="AA739" s="1542"/>
      <c r="AB739" s="1441">
        <v>1000000</v>
      </c>
      <c r="AC739" s="1401">
        <v>42356</v>
      </c>
      <c r="AD739" s="1402"/>
      <c r="AE739" s="1405"/>
      <c r="AF739" s="1406"/>
      <c r="AG739" s="1422"/>
      <c r="AH739" s="1416" t="str">
        <f t="shared" si="174"/>
        <v>ES</v>
      </c>
      <c r="AI739" s="1424">
        <f t="shared" ref="AI739:AI745" si="186">SUM(J739,L739,N739,P739,R739,T739,V739,X739,Z739,AB739,AD739,AF739)</f>
        <v>8250000</v>
      </c>
      <c r="AJ739" s="1424">
        <f t="shared" ref="AJ739:AJ745" si="187">(COUNT(L739,N739,P739,R739,T739,V739,X739,Z739,AD739,AF739)*$G$623)+(COUNT(J739)*$J$623)+(COUNT(AB739)*$AB$623)</f>
        <v>8250000</v>
      </c>
      <c r="AK739" s="1517">
        <f t="shared" ref="AK739:AK745" si="188">AJ739-AI739</f>
        <v>0</v>
      </c>
      <c r="AL739" s="1573" t="str">
        <f t="shared" ref="AL739:AL745" si="189">IF(AK739=0,"Lunas","Cek")</f>
        <v>Lunas</v>
      </c>
      <c r="AM739" s="1410"/>
      <c r="AN739" s="1411"/>
      <c r="AO739" s="1410"/>
      <c r="AP739" s="1411"/>
      <c r="AQ739" s="1128"/>
      <c r="AR739" s="1173"/>
      <c r="AT739" s="1173"/>
      <c r="AV739" s="1173"/>
      <c r="AX739" s="1173"/>
      <c r="AY739" s="1176"/>
      <c r="AZ739" s="1173"/>
    </row>
    <row r="740" spans="1:52" s="2" customFormat="1" x14ac:dyDescent="0.25">
      <c r="A740" s="156">
        <v>697</v>
      </c>
      <c r="B740" s="157">
        <v>2</v>
      </c>
      <c r="C740" s="159">
        <v>839134018</v>
      </c>
      <c r="D740" s="158" t="s">
        <v>1197</v>
      </c>
      <c r="E740" s="160" t="s">
        <v>1195</v>
      </c>
      <c r="F740" s="161">
        <v>2013</v>
      </c>
      <c r="G740" s="162" t="s">
        <v>33</v>
      </c>
      <c r="H740" s="163" t="str">
        <f t="shared" si="184"/>
        <v xml:space="preserve">   </v>
      </c>
      <c r="I740" s="163">
        <f t="shared" si="185"/>
        <v>42504</v>
      </c>
      <c r="J740" s="1356">
        <v>1250000</v>
      </c>
      <c r="K740" s="1357">
        <v>41666</v>
      </c>
      <c r="L740" s="1358">
        <v>3000000</v>
      </c>
      <c r="M740" s="1357">
        <v>41666</v>
      </c>
      <c r="N740" s="1358">
        <v>3000000</v>
      </c>
      <c r="O740" s="1357">
        <v>41858</v>
      </c>
      <c r="P740" s="1358">
        <v>3000000</v>
      </c>
      <c r="Q740" s="1357">
        <v>42078</v>
      </c>
      <c r="R740" s="1358">
        <v>3000000</v>
      </c>
      <c r="S740" s="1357">
        <v>42221</v>
      </c>
      <c r="T740" s="1382" t="s">
        <v>276</v>
      </c>
      <c r="U740" s="1383">
        <v>42504</v>
      </c>
      <c r="V740" s="1430"/>
      <c r="W740" s="1360"/>
      <c r="X740" s="1363"/>
      <c r="Y740" s="1360"/>
      <c r="Z740" s="1363"/>
      <c r="AA740" s="1360"/>
      <c r="AB740" s="1358">
        <v>1000000</v>
      </c>
      <c r="AC740" s="1383">
        <v>42397</v>
      </c>
      <c r="AD740" s="1402"/>
      <c r="AE740" s="1405"/>
      <c r="AF740" s="1406"/>
      <c r="AG740" s="1422"/>
      <c r="AH740" s="1423" t="str">
        <f t="shared" si="174"/>
        <v>ES</v>
      </c>
      <c r="AI740" s="1424">
        <f t="shared" si="186"/>
        <v>14250000</v>
      </c>
      <c r="AJ740" s="1424">
        <f t="shared" si="187"/>
        <v>14250000</v>
      </c>
      <c r="AK740" s="1520">
        <f t="shared" si="188"/>
        <v>0</v>
      </c>
      <c r="AL740" s="1575" t="str">
        <f t="shared" si="189"/>
        <v>Lunas</v>
      </c>
      <c r="AM740" s="1410"/>
      <c r="AN740" s="1411"/>
      <c r="AO740" s="1410"/>
      <c r="AP740" s="1411"/>
      <c r="AQ740" s="1128"/>
      <c r="AR740" s="1173"/>
      <c r="AT740" s="1173"/>
      <c r="AV740" s="1173"/>
      <c r="AX740" s="1173"/>
      <c r="AY740" s="1176"/>
      <c r="AZ740" s="1173"/>
    </row>
    <row r="741" spans="1:52" s="2" customFormat="1" x14ac:dyDescent="0.25">
      <c r="A741" s="156">
        <v>698</v>
      </c>
      <c r="B741" s="157">
        <v>3</v>
      </c>
      <c r="C741" s="159">
        <v>839134017</v>
      </c>
      <c r="D741" s="158" t="s">
        <v>1198</v>
      </c>
      <c r="E741" s="160" t="s">
        <v>1195</v>
      </c>
      <c r="F741" s="161">
        <v>2013</v>
      </c>
      <c r="G741" s="162" t="s">
        <v>33</v>
      </c>
      <c r="H741" s="163" t="str">
        <f t="shared" si="184"/>
        <v xml:space="preserve">   </v>
      </c>
      <c r="I741" s="163">
        <f t="shared" si="185"/>
        <v>42504</v>
      </c>
      <c r="J741" s="1356">
        <v>1250000</v>
      </c>
      <c r="K741" s="1357">
        <v>41675</v>
      </c>
      <c r="L741" s="1442" t="s">
        <v>1196</v>
      </c>
      <c r="M741" s="1357">
        <v>41675</v>
      </c>
      <c r="N741" s="1358">
        <v>3000000</v>
      </c>
      <c r="O741" s="1357">
        <v>41859</v>
      </c>
      <c r="P741" s="1358">
        <v>3000000</v>
      </c>
      <c r="Q741" s="1357">
        <v>42062</v>
      </c>
      <c r="R741" s="1358">
        <v>3000000</v>
      </c>
      <c r="S741" s="1357">
        <v>42227</v>
      </c>
      <c r="T741" s="1382" t="s">
        <v>276</v>
      </c>
      <c r="U741" s="1383">
        <v>42504</v>
      </c>
      <c r="V741" s="1430"/>
      <c r="W741" s="1360"/>
      <c r="X741" s="1363"/>
      <c r="Y741" s="1360"/>
      <c r="Z741" s="1363"/>
      <c r="AA741" s="1360"/>
      <c r="AB741" s="1358">
        <v>1000000</v>
      </c>
      <c r="AC741" s="1383">
        <v>42227</v>
      </c>
      <c r="AD741" s="1402"/>
      <c r="AE741" s="1405"/>
      <c r="AF741" s="1406"/>
      <c r="AG741" s="1422"/>
      <c r="AH741" s="1423" t="str">
        <f t="shared" si="174"/>
        <v>ES</v>
      </c>
      <c r="AI741" s="1424">
        <f t="shared" si="186"/>
        <v>11250000</v>
      </c>
      <c r="AJ741" s="1424">
        <f t="shared" si="187"/>
        <v>11250000</v>
      </c>
      <c r="AK741" s="1520">
        <f t="shared" si="188"/>
        <v>0</v>
      </c>
      <c r="AL741" s="1575" t="str">
        <f t="shared" si="189"/>
        <v>Lunas</v>
      </c>
      <c r="AM741" s="1410"/>
      <c r="AN741" s="1411"/>
      <c r="AO741" s="1410"/>
      <c r="AP741" s="1411"/>
      <c r="AQ741" s="1128"/>
      <c r="AR741" s="1173"/>
      <c r="AT741" s="1173"/>
      <c r="AV741" s="1173"/>
      <c r="AX741" s="1173"/>
      <c r="AY741" s="1176"/>
      <c r="AZ741" s="1173"/>
    </row>
    <row r="742" spans="1:52" s="2" customFormat="1" x14ac:dyDescent="0.25">
      <c r="A742" s="156">
        <v>699</v>
      </c>
      <c r="B742" s="157">
        <v>4</v>
      </c>
      <c r="C742" s="159">
        <v>839134007</v>
      </c>
      <c r="D742" s="158" t="s">
        <v>1199</v>
      </c>
      <c r="E742" s="160" t="s">
        <v>1195</v>
      </c>
      <c r="F742" s="161">
        <v>2013</v>
      </c>
      <c r="G742" s="162" t="s">
        <v>33</v>
      </c>
      <c r="H742" s="163">
        <f t="shared" si="184"/>
        <v>42693</v>
      </c>
      <c r="I742" s="163">
        <f t="shared" si="185"/>
        <v>42693</v>
      </c>
      <c r="J742" s="1356">
        <v>1250000</v>
      </c>
      <c r="K742" s="1357">
        <v>41675</v>
      </c>
      <c r="L742" s="1358">
        <v>3000000</v>
      </c>
      <c r="M742" s="1357">
        <v>41675</v>
      </c>
      <c r="N742" s="1358">
        <v>3000000</v>
      </c>
      <c r="O742" s="1357">
        <v>41859</v>
      </c>
      <c r="P742" s="1358">
        <v>3000000</v>
      </c>
      <c r="Q742" s="1357">
        <v>42039</v>
      </c>
      <c r="R742" s="1358">
        <v>3000000</v>
      </c>
      <c r="S742" s="1357">
        <v>42226</v>
      </c>
      <c r="T742" s="1358">
        <v>3000000</v>
      </c>
      <c r="U742" s="1357">
        <v>42465</v>
      </c>
      <c r="V742" s="1430"/>
      <c r="W742" s="1503">
        <v>43058</v>
      </c>
      <c r="X742" s="1363"/>
      <c r="Y742" s="1360"/>
      <c r="Z742" s="1363"/>
      <c r="AA742" s="1367"/>
      <c r="AB742" s="1358">
        <v>1000000</v>
      </c>
      <c r="AC742" s="1383">
        <v>42397</v>
      </c>
      <c r="AD742" s="1402"/>
      <c r="AE742" s="1405"/>
      <c r="AF742" s="1406"/>
      <c r="AG742" s="1422"/>
      <c r="AH742" s="1423" t="str">
        <f t="shared" si="174"/>
        <v>ES</v>
      </c>
      <c r="AI742" s="1424">
        <f t="shared" si="186"/>
        <v>17250000</v>
      </c>
      <c r="AJ742" s="1424">
        <f t="shared" si="187"/>
        <v>17250000</v>
      </c>
      <c r="AK742" s="1520">
        <f t="shared" si="188"/>
        <v>0</v>
      </c>
      <c r="AL742" s="1575" t="str">
        <f t="shared" si="189"/>
        <v>Lunas</v>
      </c>
      <c r="AM742" s="1410"/>
      <c r="AN742" s="1411"/>
      <c r="AO742" s="1410"/>
      <c r="AP742" s="1411"/>
      <c r="AQ742" s="1128"/>
      <c r="AR742" s="1173"/>
      <c r="AT742" s="1173"/>
      <c r="AV742" s="1173"/>
      <c r="AX742" s="1173"/>
      <c r="AY742" s="1176"/>
      <c r="AZ742" s="1173"/>
    </row>
    <row r="743" spans="1:52" s="2" customFormat="1" x14ac:dyDescent="0.25">
      <c r="A743" s="156">
        <v>700</v>
      </c>
      <c r="B743" s="157">
        <v>5</v>
      </c>
      <c r="C743" s="159">
        <v>839134012</v>
      </c>
      <c r="D743" s="177" t="s">
        <v>1200</v>
      </c>
      <c r="E743" s="275" t="s">
        <v>1195</v>
      </c>
      <c r="F743" s="161">
        <v>2013</v>
      </c>
      <c r="G743" s="162" t="s">
        <v>33</v>
      </c>
      <c r="H743" s="163">
        <f t="shared" si="184"/>
        <v>43488</v>
      </c>
      <c r="I743" s="163">
        <f t="shared" si="185"/>
        <v>43587</v>
      </c>
      <c r="J743" s="1364">
        <v>1250000</v>
      </c>
      <c r="K743" s="1357">
        <v>41712</v>
      </c>
      <c r="L743" s="1358">
        <v>3000000</v>
      </c>
      <c r="M743" s="1357">
        <v>41712</v>
      </c>
      <c r="N743" s="1358">
        <v>3000000</v>
      </c>
      <c r="O743" s="1357">
        <v>41887</v>
      </c>
      <c r="P743" s="1358">
        <v>3000000</v>
      </c>
      <c r="Q743" s="1357">
        <v>42926</v>
      </c>
      <c r="R743" s="1358">
        <v>3000000</v>
      </c>
      <c r="S743" s="1357">
        <v>42926</v>
      </c>
      <c r="T743" s="1358">
        <v>3000000</v>
      </c>
      <c r="U743" s="1357">
        <v>42926</v>
      </c>
      <c r="V743" s="1222" t="s">
        <v>1078</v>
      </c>
      <c r="W743" s="1466">
        <v>42933</v>
      </c>
      <c r="X743" s="1364">
        <v>3000000</v>
      </c>
      <c r="Y743" s="1365">
        <v>43004</v>
      </c>
      <c r="Z743" s="1364">
        <v>3000000</v>
      </c>
      <c r="AA743" s="1365">
        <v>43004</v>
      </c>
      <c r="AB743" s="1431">
        <v>1000000</v>
      </c>
      <c r="AC743" s="1383">
        <v>42926</v>
      </c>
      <c r="AD743" s="1565">
        <v>3000000</v>
      </c>
      <c r="AE743" s="1566">
        <v>43431</v>
      </c>
      <c r="AF743" s="1495">
        <v>3000000</v>
      </c>
      <c r="AG743" s="1498">
        <v>43431</v>
      </c>
      <c r="AH743" s="1423" t="str">
        <f t="shared" si="174"/>
        <v>ES</v>
      </c>
      <c r="AI743" s="1424">
        <f t="shared" si="186"/>
        <v>29250000</v>
      </c>
      <c r="AJ743" s="1424">
        <f t="shared" si="187"/>
        <v>29250000</v>
      </c>
      <c r="AK743" s="1520">
        <f t="shared" si="188"/>
        <v>0</v>
      </c>
      <c r="AL743" s="1575" t="str">
        <f t="shared" si="189"/>
        <v>Lunas</v>
      </c>
      <c r="AM743" s="1410"/>
      <c r="AN743" s="1411"/>
      <c r="AO743" s="1410"/>
      <c r="AP743" s="1411"/>
      <c r="AQ743" s="1128"/>
      <c r="AR743" s="1173"/>
      <c r="AT743" s="1173"/>
      <c r="AV743" s="1173"/>
      <c r="AX743" s="1173"/>
      <c r="AY743" s="1176"/>
      <c r="AZ743" s="1173"/>
    </row>
    <row r="744" spans="1:52" s="2" customFormat="1" x14ac:dyDescent="0.25">
      <c r="A744" s="156">
        <v>701</v>
      </c>
      <c r="B744" s="157">
        <v>6</v>
      </c>
      <c r="C744" s="159">
        <v>839134015</v>
      </c>
      <c r="D744" s="158" t="s">
        <v>1201</v>
      </c>
      <c r="E744" s="160" t="s">
        <v>1195</v>
      </c>
      <c r="F744" s="161">
        <v>2013</v>
      </c>
      <c r="G744" s="162" t="s">
        <v>33</v>
      </c>
      <c r="H744" s="163" t="str">
        <f t="shared" si="184"/>
        <v xml:space="preserve">   </v>
      </c>
      <c r="I744" s="163">
        <f t="shared" si="185"/>
        <v>42504</v>
      </c>
      <c r="J744" s="1356">
        <v>1250000</v>
      </c>
      <c r="K744" s="1357">
        <v>41666</v>
      </c>
      <c r="L744" s="1358">
        <v>3000000</v>
      </c>
      <c r="M744" s="1357">
        <v>41666</v>
      </c>
      <c r="N744" s="1358">
        <v>3000000</v>
      </c>
      <c r="O744" s="1357">
        <v>41887</v>
      </c>
      <c r="P744" s="1358">
        <v>3000000</v>
      </c>
      <c r="Q744" s="1357">
        <v>42041</v>
      </c>
      <c r="R744" s="1358">
        <v>3000000</v>
      </c>
      <c r="S744" s="1357">
        <v>42223</v>
      </c>
      <c r="T744" s="1382" t="s">
        <v>276</v>
      </c>
      <c r="U744" s="1383">
        <v>42869</v>
      </c>
      <c r="V744" s="1363"/>
      <c r="W744" s="1360"/>
      <c r="X744" s="1363"/>
      <c r="Y744" s="1360"/>
      <c r="Z744" s="1363"/>
      <c r="AA744" s="1367"/>
      <c r="AB744" s="1358">
        <v>1000000</v>
      </c>
      <c r="AC744" s="1383">
        <v>42022</v>
      </c>
      <c r="AD744" s="1402"/>
      <c r="AE744" s="1405"/>
      <c r="AF744" s="1406"/>
      <c r="AG744" s="1422"/>
      <c r="AH744" s="1423" t="str">
        <f t="shared" si="174"/>
        <v>ES</v>
      </c>
      <c r="AI744" s="1424">
        <f t="shared" si="186"/>
        <v>14250000</v>
      </c>
      <c r="AJ744" s="1424">
        <f t="shared" si="187"/>
        <v>14250000</v>
      </c>
      <c r="AK744" s="1520">
        <f t="shared" si="188"/>
        <v>0</v>
      </c>
      <c r="AL744" s="1575" t="str">
        <f t="shared" si="189"/>
        <v>Lunas</v>
      </c>
      <c r="AM744" s="1410"/>
      <c r="AN744" s="1411"/>
      <c r="AO744" s="1410"/>
      <c r="AP744" s="1411"/>
      <c r="AQ744" s="1128"/>
      <c r="AR744" s="1173"/>
      <c r="AT744" s="1173"/>
      <c r="AV744" s="1173"/>
      <c r="AX744" s="1173"/>
      <c r="AY744" s="1176"/>
      <c r="AZ744" s="1173"/>
    </row>
    <row r="745" spans="1:52" s="2" customFormat="1" x14ac:dyDescent="0.25">
      <c r="A745" s="180">
        <v>702</v>
      </c>
      <c r="B745" s="181">
        <v>7</v>
      </c>
      <c r="C745" s="183">
        <v>839134011</v>
      </c>
      <c r="D745" s="182" t="s">
        <v>1202</v>
      </c>
      <c r="E745" s="184" t="s">
        <v>1195</v>
      </c>
      <c r="F745" s="185">
        <v>2013</v>
      </c>
      <c r="G745" s="186" t="s">
        <v>33</v>
      </c>
      <c r="H745" s="163" t="str">
        <f t="shared" si="184"/>
        <v xml:space="preserve">   </v>
      </c>
      <c r="I745" s="163">
        <f t="shared" si="185"/>
        <v>42504</v>
      </c>
      <c r="J745" s="1527">
        <v>1250000</v>
      </c>
      <c r="K745" s="1435">
        <v>41663</v>
      </c>
      <c r="L745" s="1434">
        <v>3000000</v>
      </c>
      <c r="M745" s="1435">
        <v>41663</v>
      </c>
      <c r="N745" s="1434">
        <v>3000000</v>
      </c>
      <c r="O745" s="1435">
        <v>41858</v>
      </c>
      <c r="P745" s="1434">
        <v>3000000</v>
      </c>
      <c r="Q745" s="1435">
        <v>42041</v>
      </c>
      <c r="R745" s="1434">
        <v>3000000</v>
      </c>
      <c r="S745" s="1435">
        <v>42220</v>
      </c>
      <c r="T745" s="1434">
        <v>3000000</v>
      </c>
      <c r="U745" s="1435">
        <v>42465</v>
      </c>
      <c r="V745" s="1552" t="s">
        <v>276</v>
      </c>
      <c r="W745" s="1463">
        <v>42869</v>
      </c>
      <c r="X745" s="1446"/>
      <c r="Y745" s="1557"/>
      <c r="Z745" s="1446"/>
      <c r="AA745" s="1445"/>
      <c r="AB745" s="1434">
        <v>1000000</v>
      </c>
      <c r="AC745" s="1463">
        <v>42030</v>
      </c>
      <c r="AD745" s="1402"/>
      <c r="AE745" s="1405"/>
      <c r="AF745" s="1406"/>
      <c r="AG745" s="1422"/>
      <c r="AH745" s="1507" t="str">
        <f t="shared" si="174"/>
        <v>ES</v>
      </c>
      <c r="AI745" s="1424">
        <f t="shared" si="186"/>
        <v>17250000</v>
      </c>
      <c r="AJ745" s="1424">
        <f t="shared" si="187"/>
        <v>17250000</v>
      </c>
      <c r="AK745" s="1578">
        <f t="shared" si="188"/>
        <v>0</v>
      </c>
      <c r="AL745" s="1577" t="str">
        <f t="shared" si="189"/>
        <v>Lunas</v>
      </c>
      <c r="AM745" s="1410"/>
      <c r="AN745" s="1411"/>
      <c r="AO745" s="1410"/>
      <c r="AP745" s="1411"/>
      <c r="AQ745" s="1128"/>
      <c r="AR745" s="1173"/>
      <c r="AT745" s="1173"/>
      <c r="AV745" s="1173"/>
      <c r="AX745" s="1173"/>
      <c r="AY745" s="1176"/>
      <c r="AZ745" s="1173"/>
    </row>
    <row r="746" spans="1:52" s="4" customFormat="1" x14ac:dyDescent="0.25">
      <c r="A746" s="276"/>
      <c r="B746" s="276"/>
      <c r="C746" s="269"/>
      <c r="D746" s="268"/>
      <c r="E746" s="270" t="s">
        <v>61</v>
      </c>
      <c r="F746" s="267" t="s">
        <v>61</v>
      </c>
      <c r="G746" s="192" t="s">
        <v>61</v>
      </c>
      <c r="H746" s="277" t="str">
        <f t="shared" si="184"/>
        <v xml:space="preserve">   </v>
      </c>
      <c r="I746" s="277" t="str">
        <f t="shared" si="185"/>
        <v xml:space="preserve">   </v>
      </c>
      <c r="J746" s="1528"/>
      <c r="K746" s="1488"/>
      <c r="L746" s="1528"/>
      <c r="M746" s="1488"/>
      <c r="N746" s="1528"/>
      <c r="O746" s="1488"/>
      <c r="P746" s="1528"/>
      <c r="Q746" s="1488"/>
      <c r="R746" s="1528"/>
      <c r="S746" s="1549"/>
      <c r="T746" s="1528"/>
      <c r="U746" s="1488"/>
      <c r="V746" s="1528"/>
      <c r="W746" s="1488"/>
      <c r="X746" s="1553"/>
      <c r="Y746" s="1488"/>
      <c r="Z746" s="1553"/>
      <c r="AA746" s="1488"/>
      <c r="AB746" s="1488"/>
      <c r="AC746" s="1488"/>
      <c r="AD746" s="1488"/>
      <c r="AE746" s="1488"/>
      <c r="AF746" s="1488"/>
      <c r="AG746" s="1488"/>
      <c r="AH746" s="1488" t="str">
        <f t="shared" si="174"/>
        <v>-</v>
      </c>
      <c r="AI746" s="1488"/>
      <c r="AJ746" s="1409"/>
      <c r="AK746" s="1409"/>
      <c r="AL746" s="1510"/>
      <c r="AM746" s="1510"/>
      <c r="AN746" s="1511"/>
      <c r="AO746" s="1510"/>
      <c r="AP746" s="1511"/>
      <c r="AQ746" s="1215"/>
      <c r="AR746" s="1216"/>
      <c r="AT746" s="1216"/>
      <c r="AV746" s="1216"/>
      <c r="AX746" s="1216"/>
      <c r="AY746" s="1217"/>
      <c r="AZ746" s="1216"/>
    </row>
    <row r="747" spans="1:52" s="2" customFormat="1" x14ac:dyDescent="0.25">
      <c r="A747" s="278" t="s">
        <v>1203</v>
      </c>
      <c r="B747" s="259"/>
      <c r="C747" s="274"/>
      <c r="D747" s="251"/>
      <c r="E747" s="198" t="s">
        <v>1096</v>
      </c>
      <c r="F747" s="199" t="s">
        <v>1096</v>
      </c>
      <c r="G747" s="146">
        <v>3000000</v>
      </c>
      <c r="H747" s="232" t="str">
        <f t="shared" si="184"/>
        <v xml:space="preserve">   </v>
      </c>
      <c r="I747" s="232" t="str">
        <f t="shared" si="185"/>
        <v xml:space="preserve">   </v>
      </c>
      <c r="J747" s="1450">
        <v>1250000</v>
      </c>
      <c r="K747" s="1529"/>
      <c r="L747" s="1533" t="s">
        <v>1049</v>
      </c>
      <c r="M747" s="1534" t="s">
        <v>1050</v>
      </c>
      <c r="N747" s="1533" t="s">
        <v>1051</v>
      </c>
      <c r="O747" s="1534" t="s">
        <v>1052</v>
      </c>
      <c r="P747" s="1533" t="s">
        <v>1053</v>
      </c>
      <c r="Q747" s="1534" t="s">
        <v>1054</v>
      </c>
      <c r="R747" s="1533" t="s">
        <v>1055</v>
      </c>
      <c r="S747" s="1534" t="s">
        <v>1056</v>
      </c>
      <c r="T747" s="1533" t="s">
        <v>1057</v>
      </c>
      <c r="U747" s="1554" t="s">
        <v>1058</v>
      </c>
      <c r="V747" s="1555" t="s">
        <v>1059</v>
      </c>
      <c r="W747" s="1554" t="s">
        <v>1060</v>
      </c>
      <c r="X747" s="1555" t="s">
        <v>1061</v>
      </c>
      <c r="Y747" s="1554" t="s">
        <v>1062</v>
      </c>
      <c r="Z747" s="1555" t="s">
        <v>1063</v>
      </c>
      <c r="AA747" s="1554" t="s">
        <v>1064</v>
      </c>
      <c r="AB747" s="1450">
        <v>1000000</v>
      </c>
      <c r="AC747" s="1127"/>
      <c r="AD747" s="1567" t="s">
        <v>1065</v>
      </c>
      <c r="AE747" s="1568" t="s">
        <v>1068</v>
      </c>
      <c r="AF747" s="1569" t="s">
        <v>1067</v>
      </c>
      <c r="AG747" s="1568" t="s">
        <v>1141</v>
      </c>
      <c r="AH747" s="1518" t="str">
        <f t="shared" si="174"/>
        <v>#</v>
      </c>
      <c r="AI747" s="1512"/>
      <c r="AJ747" s="1409"/>
      <c r="AK747" s="1409"/>
      <c r="AL747" s="1513"/>
      <c r="AM747" s="1513"/>
      <c r="AN747" s="1514"/>
      <c r="AO747" s="1513"/>
      <c r="AP747" s="1514"/>
      <c r="AQ747" s="1128"/>
      <c r="AR747" s="1173"/>
      <c r="AT747" s="1173"/>
      <c r="AV747" s="1173"/>
      <c r="AX747" s="1173"/>
      <c r="AY747" s="1176"/>
      <c r="AZ747" s="1173"/>
    </row>
    <row r="748" spans="1:52" s="2" customFormat="1" x14ac:dyDescent="0.25">
      <c r="A748" s="200">
        <v>703</v>
      </c>
      <c r="B748" s="262">
        <v>1</v>
      </c>
      <c r="C748" s="151">
        <v>839134002</v>
      </c>
      <c r="D748" s="150" t="s">
        <v>1204</v>
      </c>
      <c r="E748" s="152" t="s">
        <v>1195</v>
      </c>
      <c r="F748" s="153" t="s">
        <v>1143</v>
      </c>
      <c r="G748" s="154" t="s">
        <v>33</v>
      </c>
      <c r="H748" s="155" t="str">
        <f t="shared" si="184"/>
        <v xml:space="preserve">   </v>
      </c>
      <c r="I748" s="155">
        <f t="shared" si="185"/>
        <v>42504</v>
      </c>
      <c r="J748" s="1439">
        <v>1250000</v>
      </c>
      <c r="K748" s="1440"/>
      <c r="L748" s="1441">
        <v>3000000</v>
      </c>
      <c r="M748" s="1440">
        <v>41673</v>
      </c>
      <c r="N748" s="1441">
        <v>3000000</v>
      </c>
      <c r="O748" s="1440">
        <v>41862</v>
      </c>
      <c r="P748" s="1441">
        <v>3000000</v>
      </c>
      <c r="Q748" s="1440">
        <v>42041</v>
      </c>
      <c r="R748" s="1441">
        <v>3000000</v>
      </c>
      <c r="S748" s="1440">
        <v>42219</v>
      </c>
      <c r="T748" s="1470" t="s">
        <v>276</v>
      </c>
      <c r="U748" s="1479">
        <v>42504</v>
      </c>
      <c r="V748" s="1543"/>
      <c r="W748" s="1542"/>
      <c r="X748" s="1543"/>
      <c r="Y748" s="1542"/>
      <c r="Z748" s="1551"/>
      <c r="AA748" s="1542"/>
      <c r="AB748" s="1441">
        <v>1000000</v>
      </c>
      <c r="AC748" s="1401">
        <v>42389</v>
      </c>
      <c r="AD748" s="1402"/>
      <c r="AE748" s="1405"/>
      <c r="AF748" s="1406"/>
      <c r="AG748" s="1422"/>
      <c r="AH748" s="1416" t="str">
        <f t="shared" si="174"/>
        <v>ES</v>
      </c>
      <c r="AI748" s="1424">
        <f t="shared" ref="AI748:AI758" si="190">SUM(J748,L748,N748,P748,R748,T748,V748,X748,Z748,AB748,AD748,AF748)</f>
        <v>14250000</v>
      </c>
      <c r="AJ748" s="1424">
        <f t="shared" ref="AJ748:AJ758" si="191">(COUNT(L748,N748,P748,R748,T748,V748,X748,Z748,AD748,AF748)*$G$623)+(COUNT(J748)*$J$623)+(COUNT(AB748)*$AB$623)</f>
        <v>14250000</v>
      </c>
      <c r="AK748" s="1517">
        <f t="shared" ref="AK748:AK758" si="192">AJ748-AI748</f>
        <v>0</v>
      </c>
      <c r="AL748" s="1573" t="str">
        <f t="shared" ref="AL748:AL758" si="193">IF(AK748=0,"Lunas","Cek")</f>
        <v>Lunas</v>
      </c>
      <c r="AM748" s="1410"/>
      <c r="AN748" s="1411"/>
      <c r="AO748" s="1410"/>
      <c r="AP748" s="1411"/>
      <c r="AQ748" s="1128"/>
      <c r="AR748" s="1173"/>
      <c r="AT748" s="1173"/>
      <c r="AV748" s="1173"/>
      <c r="AX748" s="1173"/>
      <c r="AY748" s="1176"/>
      <c r="AZ748" s="1173"/>
    </row>
    <row r="749" spans="1:52" s="2" customFormat="1" x14ac:dyDescent="0.25">
      <c r="A749" s="156">
        <v>704</v>
      </c>
      <c r="B749" s="157">
        <v>2</v>
      </c>
      <c r="C749" s="159">
        <v>839134016</v>
      </c>
      <c r="D749" s="158" t="s">
        <v>1205</v>
      </c>
      <c r="E749" s="160" t="s">
        <v>1195</v>
      </c>
      <c r="F749" s="161" t="s">
        <v>1143</v>
      </c>
      <c r="G749" s="162" t="s">
        <v>33</v>
      </c>
      <c r="H749" s="163">
        <f t="shared" si="184"/>
        <v>42984</v>
      </c>
      <c r="I749" s="163">
        <f t="shared" si="185"/>
        <v>43064</v>
      </c>
      <c r="J749" s="1356">
        <v>1250000</v>
      </c>
      <c r="K749" s="1357"/>
      <c r="L749" s="1358">
        <v>3000000</v>
      </c>
      <c r="M749" s="1357">
        <v>41690</v>
      </c>
      <c r="N749" s="1358">
        <v>3000000</v>
      </c>
      <c r="O749" s="1357">
        <v>42528</v>
      </c>
      <c r="P749" s="1358">
        <v>3000000</v>
      </c>
      <c r="Q749" s="1357">
        <v>42528</v>
      </c>
      <c r="R749" s="1358">
        <v>3000000</v>
      </c>
      <c r="S749" s="1357">
        <v>42773</v>
      </c>
      <c r="T749" s="1192" t="s">
        <v>137</v>
      </c>
      <c r="U749" s="1383"/>
      <c r="V749" s="1358">
        <v>3000000</v>
      </c>
      <c r="W749" s="1357">
        <v>42933</v>
      </c>
      <c r="X749" s="1358">
        <v>3000000</v>
      </c>
      <c r="Y749" s="1357">
        <v>42977</v>
      </c>
      <c r="Z749" s="1465" t="s">
        <v>1080</v>
      </c>
      <c r="AA749" s="1360"/>
      <c r="AB749" s="1358">
        <v>1000000</v>
      </c>
      <c r="AC749" s="1383">
        <v>42937</v>
      </c>
      <c r="AD749" s="1495">
        <v>3000000</v>
      </c>
      <c r="AE749" s="1498"/>
      <c r="AF749" s="1495">
        <v>3000000</v>
      </c>
      <c r="AG749" s="1579" t="s">
        <v>1080</v>
      </c>
      <c r="AH749" s="1423" t="str">
        <f t="shared" si="174"/>
        <v>ES</v>
      </c>
      <c r="AI749" s="1424">
        <f t="shared" si="190"/>
        <v>26250000</v>
      </c>
      <c r="AJ749" s="1424">
        <f t="shared" si="191"/>
        <v>26250000</v>
      </c>
      <c r="AK749" s="1520">
        <f t="shared" si="192"/>
        <v>0</v>
      </c>
      <c r="AL749" s="1575" t="str">
        <f t="shared" si="193"/>
        <v>Lunas</v>
      </c>
      <c r="AM749" s="1410"/>
      <c r="AN749" s="1411"/>
      <c r="AO749" s="1410"/>
      <c r="AP749" s="1411"/>
      <c r="AQ749" s="1128"/>
      <c r="AR749" s="1173"/>
      <c r="AT749" s="1173"/>
      <c r="AV749" s="1173"/>
      <c r="AX749" s="1173"/>
      <c r="AY749" s="1176"/>
      <c r="AZ749" s="1173"/>
    </row>
    <row r="750" spans="1:52" s="2" customFormat="1" x14ac:dyDescent="0.25">
      <c r="A750" s="156">
        <v>705</v>
      </c>
      <c r="B750" s="157">
        <v>3</v>
      </c>
      <c r="C750" s="159">
        <v>839134013</v>
      </c>
      <c r="D750" s="158" t="s">
        <v>1206</v>
      </c>
      <c r="E750" s="160" t="s">
        <v>1195</v>
      </c>
      <c r="F750" s="161" t="s">
        <v>1143</v>
      </c>
      <c r="G750" s="162" t="s">
        <v>33</v>
      </c>
      <c r="H750" s="163" t="str">
        <f t="shared" si="184"/>
        <v xml:space="preserve">   </v>
      </c>
      <c r="I750" s="163">
        <f t="shared" si="185"/>
        <v>42504</v>
      </c>
      <c r="J750" s="1356">
        <v>1250000</v>
      </c>
      <c r="K750" s="1357"/>
      <c r="L750" s="1358">
        <v>3000000</v>
      </c>
      <c r="M750" s="1357">
        <v>41690</v>
      </c>
      <c r="N750" s="1358">
        <v>3000000</v>
      </c>
      <c r="O750" s="1357">
        <v>41856</v>
      </c>
      <c r="P750" s="1358">
        <v>3000000</v>
      </c>
      <c r="Q750" s="1357">
        <v>42041</v>
      </c>
      <c r="R750" s="1358">
        <v>3000000</v>
      </c>
      <c r="S750" s="1357">
        <v>42223</v>
      </c>
      <c r="T750" s="1382" t="s">
        <v>276</v>
      </c>
      <c r="U750" s="1383">
        <v>42504</v>
      </c>
      <c r="V750" s="1363"/>
      <c r="W750" s="1360"/>
      <c r="X750" s="1530"/>
      <c r="Y750" s="1360"/>
      <c r="Z750" s="1430"/>
      <c r="AA750" s="1360"/>
      <c r="AB750" s="1570">
        <v>1000000</v>
      </c>
      <c r="AC750" s="1383">
        <v>42017</v>
      </c>
      <c r="AD750" s="1402"/>
      <c r="AE750" s="1405"/>
      <c r="AF750" s="1406"/>
      <c r="AG750" s="1422"/>
      <c r="AH750" s="1423" t="str">
        <f t="shared" si="174"/>
        <v>ES</v>
      </c>
      <c r="AI750" s="1424">
        <f t="shared" si="190"/>
        <v>14250000</v>
      </c>
      <c r="AJ750" s="1424">
        <f t="shared" si="191"/>
        <v>14250000</v>
      </c>
      <c r="AK750" s="1520">
        <f t="shared" si="192"/>
        <v>0</v>
      </c>
      <c r="AL750" s="1575" t="str">
        <f t="shared" si="193"/>
        <v>Lunas</v>
      </c>
      <c r="AM750" s="1410"/>
      <c r="AN750" s="1411"/>
      <c r="AO750" s="1410"/>
      <c r="AP750" s="1411"/>
      <c r="AQ750" s="1128"/>
      <c r="AR750" s="1173"/>
      <c r="AT750" s="1173"/>
      <c r="AV750" s="1173"/>
      <c r="AX750" s="1173"/>
      <c r="AY750" s="1176"/>
      <c r="AZ750" s="1173"/>
    </row>
    <row r="751" spans="1:52" s="2" customFormat="1" x14ac:dyDescent="0.25">
      <c r="A751" s="156">
        <v>706</v>
      </c>
      <c r="B751" s="157">
        <v>4</v>
      </c>
      <c r="C751" s="159">
        <v>839134009</v>
      </c>
      <c r="D751" s="158" t="s">
        <v>1207</v>
      </c>
      <c r="E751" s="160" t="s">
        <v>1195</v>
      </c>
      <c r="F751" s="161" t="s">
        <v>1143</v>
      </c>
      <c r="G751" s="162" t="s">
        <v>33</v>
      </c>
      <c r="H751" s="163">
        <f t="shared" si="184"/>
        <v>42970</v>
      </c>
      <c r="I751" s="163">
        <f t="shared" si="185"/>
        <v>43064</v>
      </c>
      <c r="J751" s="1356">
        <v>1250000</v>
      </c>
      <c r="K751" s="1357">
        <v>42950</v>
      </c>
      <c r="L751" s="1358">
        <v>3000000</v>
      </c>
      <c r="M751" s="1357">
        <v>41690</v>
      </c>
      <c r="N751" s="1358">
        <v>3000000</v>
      </c>
      <c r="O751" s="1357">
        <v>42802</v>
      </c>
      <c r="P751" s="1358">
        <v>3000000</v>
      </c>
      <c r="Q751" s="1357">
        <v>41711</v>
      </c>
      <c r="R751" s="1475"/>
      <c r="S751" s="1144" t="s">
        <v>137</v>
      </c>
      <c r="T751" s="1358">
        <v>3000000</v>
      </c>
      <c r="U751" s="1357">
        <v>42802</v>
      </c>
      <c r="V751" s="1222" t="s">
        <v>1078</v>
      </c>
      <c r="W751" s="1357">
        <v>42667</v>
      </c>
      <c r="X751" s="1356">
        <v>3000000</v>
      </c>
      <c r="Y751" s="1357">
        <v>42950</v>
      </c>
      <c r="Z751" s="1465" t="s">
        <v>1080</v>
      </c>
      <c r="AA751" s="1360"/>
      <c r="AB751" s="1358">
        <v>1000000</v>
      </c>
      <c r="AC751" s="1357">
        <v>42950</v>
      </c>
      <c r="AD751" s="1402"/>
      <c r="AE751" s="1405"/>
      <c r="AF751" s="1406"/>
      <c r="AG751" s="1422"/>
      <c r="AH751" s="1423" t="str">
        <f t="shared" si="174"/>
        <v>ES</v>
      </c>
      <c r="AI751" s="1424">
        <f t="shared" si="190"/>
        <v>17250000</v>
      </c>
      <c r="AJ751" s="1424">
        <f t="shared" si="191"/>
        <v>17250000</v>
      </c>
      <c r="AK751" s="1520">
        <f t="shared" si="192"/>
        <v>0</v>
      </c>
      <c r="AL751" s="1575" t="str">
        <f t="shared" si="193"/>
        <v>Lunas</v>
      </c>
      <c r="AM751" s="1410"/>
      <c r="AN751" s="1411"/>
      <c r="AO751" s="1410"/>
      <c r="AP751" s="1411"/>
      <c r="AQ751" s="1128"/>
      <c r="AR751" s="1173"/>
      <c r="AT751" s="1173"/>
      <c r="AV751" s="1173"/>
      <c r="AX751" s="1173"/>
      <c r="AY751" s="1176"/>
      <c r="AZ751" s="1173"/>
    </row>
    <row r="752" spans="1:52" s="2" customFormat="1" x14ac:dyDescent="0.25">
      <c r="A752" s="156">
        <v>707</v>
      </c>
      <c r="B752" s="157">
        <v>5</v>
      </c>
      <c r="C752" s="159">
        <v>839134010</v>
      </c>
      <c r="D752" s="158" t="s">
        <v>1208</v>
      </c>
      <c r="E752" s="160" t="s">
        <v>1195</v>
      </c>
      <c r="F752" s="161" t="s">
        <v>1143</v>
      </c>
      <c r="G752" s="162" t="s">
        <v>33</v>
      </c>
      <c r="H752" s="163">
        <f t="shared" si="184"/>
        <v>42768</v>
      </c>
      <c r="I752" s="163">
        <f t="shared" si="185"/>
        <v>42861</v>
      </c>
      <c r="J752" s="1356">
        <v>1250000</v>
      </c>
      <c r="K752" s="1357">
        <v>42751</v>
      </c>
      <c r="L752" s="1358">
        <v>3000000</v>
      </c>
      <c r="M752" s="1357">
        <v>41690</v>
      </c>
      <c r="N752" s="1358">
        <v>3000000</v>
      </c>
      <c r="O752" s="1357">
        <v>41859</v>
      </c>
      <c r="P752" s="1358">
        <v>3000000</v>
      </c>
      <c r="Q752" s="1357">
        <v>42076</v>
      </c>
      <c r="R752" s="1475"/>
      <c r="S752" s="1144" t="s">
        <v>137</v>
      </c>
      <c r="T752" s="1358">
        <v>3000000</v>
      </c>
      <c r="U752" s="1357">
        <v>42751</v>
      </c>
      <c r="V752" s="1358">
        <v>3000000</v>
      </c>
      <c r="W752" s="1497" t="s">
        <v>276</v>
      </c>
      <c r="X752" s="1402"/>
      <c r="Y752" s="1405"/>
      <c r="Z752" s="1406"/>
      <c r="AA752" s="1422"/>
      <c r="AB752" s="1358">
        <v>1000000</v>
      </c>
      <c r="AC752" s="1383">
        <v>42823</v>
      </c>
      <c r="AD752" s="1402"/>
      <c r="AE752" s="1405"/>
      <c r="AF752" s="1406"/>
      <c r="AG752" s="1422"/>
      <c r="AH752" s="1423" t="str">
        <f t="shared" si="174"/>
        <v>ES</v>
      </c>
      <c r="AI752" s="1424">
        <f t="shared" si="190"/>
        <v>17250000</v>
      </c>
      <c r="AJ752" s="1424">
        <f t="shared" si="191"/>
        <v>17250000</v>
      </c>
      <c r="AK752" s="1520">
        <f t="shared" si="192"/>
        <v>0</v>
      </c>
      <c r="AL752" s="1575" t="str">
        <f t="shared" si="193"/>
        <v>Lunas</v>
      </c>
      <c r="AM752" s="1410"/>
      <c r="AN752" s="1411"/>
      <c r="AO752" s="1410"/>
      <c r="AP752" s="1411"/>
      <c r="AQ752" s="1128"/>
      <c r="AR752" s="1173"/>
      <c r="AT752" s="1173"/>
      <c r="AV752" s="1173"/>
      <c r="AX752" s="1173"/>
      <c r="AY752" s="1176"/>
      <c r="AZ752" s="1173"/>
    </row>
    <row r="753" spans="1:52" s="2" customFormat="1" x14ac:dyDescent="0.25">
      <c r="A753" s="164">
        <v>708</v>
      </c>
      <c r="B753" s="235">
        <v>6</v>
      </c>
      <c r="C753" s="236">
        <v>839134008</v>
      </c>
      <c r="D753" s="233" t="s">
        <v>1209</v>
      </c>
      <c r="E753" s="237" t="s">
        <v>1195</v>
      </c>
      <c r="F753" s="238" t="s">
        <v>1143</v>
      </c>
      <c r="G753" s="214" t="s">
        <v>1077</v>
      </c>
      <c r="H753" s="239" t="str">
        <f t="shared" si="184"/>
        <v xml:space="preserve">   </v>
      </c>
      <c r="I753" s="239" t="str">
        <f t="shared" si="185"/>
        <v xml:space="preserve">   </v>
      </c>
      <c r="J753" s="1366"/>
      <c r="K753" s="1360"/>
      <c r="L753" s="1455">
        <v>1000000</v>
      </c>
      <c r="M753" s="1454">
        <v>41690</v>
      </c>
      <c r="N753" s="1455"/>
      <c r="O753" s="1454"/>
      <c r="P753" s="1455"/>
      <c r="Q753" s="1454"/>
      <c r="R753" s="1475"/>
      <c r="S753" s="1144" t="s">
        <v>137</v>
      </c>
      <c r="T753" s="1192" t="s">
        <v>1078</v>
      </c>
      <c r="U753" s="1454">
        <v>42404</v>
      </c>
      <c r="V753" s="1363"/>
      <c r="W753" s="1360"/>
      <c r="X753" s="1402"/>
      <c r="Y753" s="1405"/>
      <c r="Z753" s="1406"/>
      <c r="AA753" s="1422"/>
      <c r="AB753" s="1499"/>
      <c r="AC753" s="1503"/>
      <c r="AD753" s="1402"/>
      <c r="AE753" s="1405"/>
      <c r="AF753" s="1406"/>
      <c r="AG753" s="1422"/>
      <c r="AH753" s="1423" t="str">
        <f t="shared" si="174"/>
        <v>ES</v>
      </c>
      <c r="AI753" s="1427">
        <f t="shared" si="190"/>
        <v>1000000</v>
      </c>
      <c r="AJ753" s="1427">
        <f t="shared" si="191"/>
        <v>3000000</v>
      </c>
      <c r="AK753" s="1427">
        <f>(AJ753-AI753)-2000000</f>
        <v>0</v>
      </c>
      <c r="AL753" s="1428" t="s">
        <v>1077</v>
      </c>
      <c r="AM753" s="1410"/>
      <c r="AN753" s="1411"/>
      <c r="AO753" s="1410"/>
      <c r="AP753" s="1411"/>
      <c r="AQ753" s="1128"/>
      <c r="AR753" s="1173"/>
      <c r="AT753" s="1173"/>
      <c r="AV753" s="1173"/>
      <c r="AX753" s="1173"/>
      <c r="AY753" s="1176"/>
      <c r="AZ753" s="1173"/>
    </row>
    <row r="754" spans="1:52" s="2" customFormat="1" x14ac:dyDescent="0.25">
      <c r="A754" s="156">
        <v>709</v>
      </c>
      <c r="B754" s="157">
        <v>7</v>
      </c>
      <c r="C754" s="159">
        <v>839134014</v>
      </c>
      <c r="D754" s="158" t="s">
        <v>1210</v>
      </c>
      <c r="E754" s="160" t="s">
        <v>1195</v>
      </c>
      <c r="F754" s="161" t="s">
        <v>1143</v>
      </c>
      <c r="G754" s="162" t="s">
        <v>33</v>
      </c>
      <c r="H754" s="163">
        <f t="shared" si="184"/>
        <v>42693</v>
      </c>
      <c r="I754" s="163">
        <f t="shared" si="185"/>
        <v>42693</v>
      </c>
      <c r="J754" s="1356">
        <v>1250000</v>
      </c>
      <c r="K754" s="1383">
        <v>42390</v>
      </c>
      <c r="L754" s="1358">
        <v>3000000</v>
      </c>
      <c r="M754" s="1357">
        <v>41690</v>
      </c>
      <c r="N754" s="1358">
        <v>3000000</v>
      </c>
      <c r="O754" s="1357">
        <v>42390</v>
      </c>
      <c r="P754" s="1358">
        <v>3000000</v>
      </c>
      <c r="Q754" s="1357">
        <v>42390</v>
      </c>
      <c r="R754" s="1475"/>
      <c r="S754" s="1144" t="s">
        <v>137</v>
      </c>
      <c r="T754" s="1358">
        <v>3000000</v>
      </c>
      <c r="U754" s="1357">
        <v>42390</v>
      </c>
      <c r="V754" s="1465" t="s">
        <v>276</v>
      </c>
      <c r="W754" s="1503">
        <v>42693</v>
      </c>
      <c r="X754" s="1402"/>
      <c r="Y754" s="1405"/>
      <c r="Z754" s="1406"/>
      <c r="AA754" s="1422"/>
      <c r="AB754" s="1358">
        <v>1000000</v>
      </c>
      <c r="AC754" s="1383">
        <v>42564</v>
      </c>
      <c r="AD754" s="1402"/>
      <c r="AE754" s="1405"/>
      <c r="AF754" s="1406"/>
      <c r="AG754" s="1422"/>
      <c r="AH754" s="1423" t="str">
        <f t="shared" si="174"/>
        <v>ES</v>
      </c>
      <c r="AI754" s="1424">
        <f t="shared" si="190"/>
        <v>14250000</v>
      </c>
      <c r="AJ754" s="1424">
        <f t="shared" si="191"/>
        <v>14250000</v>
      </c>
      <c r="AK754" s="1520">
        <f t="shared" si="192"/>
        <v>0</v>
      </c>
      <c r="AL754" s="1575" t="str">
        <f t="shared" si="193"/>
        <v>Lunas</v>
      </c>
      <c r="AM754" s="1410"/>
      <c r="AN754" s="1411"/>
      <c r="AO754" s="1410"/>
      <c r="AP754" s="1411"/>
      <c r="AQ754" s="1128"/>
      <c r="AR754" s="1173"/>
      <c r="AT754" s="1173"/>
      <c r="AV754" s="1173"/>
      <c r="AX754" s="1173"/>
      <c r="AY754" s="1176"/>
      <c r="AZ754" s="1173"/>
    </row>
    <row r="755" spans="1:52" s="2" customFormat="1" x14ac:dyDescent="0.25">
      <c r="A755" s="156">
        <v>710</v>
      </c>
      <c r="B755" s="157">
        <v>8</v>
      </c>
      <c r="C755" s="159">
        <v>839134001</v>
      </c>
      <c r="D755" s="158" t="s">
        <v>1211</v>
      </c>
      <c r="E755" s="160" t="s">
        <v>1195</v>
      </c>
      <c r="F755" s="161" t="s">
        <v>1143</v>
      </c>
      <c r="G755" s="162" t="s">
        <v>33</v>
      </c>
      <c r="H755" s="163" t="str">
        <f t="shared" si="184"/>
        <v xml:space="preserve">   </v>
      </c>
      <c r="I755" s="163">
        <f t="shared" si="185"/>
        <v>42504</v>
      </c>
      <c r="J755" s="1356">
        <v>1250000</v>
      </c>
      <c r="K755" s="1357">
        <v>41687</v>
      </c>
      <c r="L755" s="1358">
        <v>3000000</v>
      </c>
      <c r="M755" s="1357">
        <v>41687</v>
      </c>
      <c r="N755" s="1358">
        <v>3000000</v>
      </c>
      <c r="O755" s="1357">
        <v>41859</v>
      </c>
      <c r="P755" s="1358">
        <v>3000000</v>
      </c>
      <c r="Q755" s="1357">
        <v>42062</v>
      </c>
      <c r="R755" s="1358"/>
      <c r="S755" s="1357">
        <v>42221</v>
      </c>
      <c r="T755" s="1382" t="s">
        <v>276</v>
      </c>
      <c r="U755" s="1383">
        <v>42869</v>
      </c>
      <c r="V755" s="1363"/>
      <c r="W755" s="1360"/>
      <c r="X755" s="1402"/>
      <c r="Y755" s="1405"/>
      <c r="Z755" s="1406"/>
      <c r="AA755" s="1422"/>
      <c r="AB755" s="1358">
        <v>1000000</v>
      </c>
      <c r="AC755" s="1383">
        <v>42017</v>
      </c>
      <c r="AD755" s="1402"/>
      <c r="AE755" s="1405"/>
      <c r="AF755" s="1406"/>
      <c r="AG755" s="1422"/>
      <c r="AH755" s="1423" t="str">
        <f t="shared" si="174"/>
        <v>ES</v>
      </c>
      <c r="AI755" s="1424">
        <f t="shared" si="190"/>
        <v>11250000</v>
      </c>
      <c r="AJ755" s="1424">
        <f t="shared" si="191"/>
        <v>11250000</v>
      </c>
      <c r="AK755" s="1520">
        <f t="shared" si="192"/>
        <v>0</v>
      </c>
      <c r="AL755" s="1575" t="str">
        <f t="shared" si="193"/>
        <v>Lunas</v>
      </c>
      <c r="AM755" s="1410"/>
      <c r="AN755" s="1411"/>
      <c r="AO755" s="1410"/>
      <c r="AP755" s="1411"/>
      <c r="AQ755" s="1128"/>
      <c r="AR755" s="1173"/>
      <c r="AT755" s="1173"/>
      <c r="AV755" s="1173"/>
      <c r="AX755" s="1173"/>
      <c r="AY755" s="1176"/>
      <c r="AZ755" s="1173"/>
    </row>
    <row r="756" spans="1:52" s="2" customFormat="1" x14ac:dyDescent="0.25">
      <c r="A756" s="164">
        <v>711</v>
      </c>
      <c r="B756" s="253">
        <v>9</v>
      </c>
      <c r="C756" s="263">
        <v>839134003</v>
      </c>
      <c r="D756" s="173" t="s">
        <v>1212</v>
      </c>
      <c r="E756" s="279" t="s">
        <v>1195</v>
      </c>
      <c r="F756" s="280" t="s">
        <v>1143</v>
      </c>
      <c r="G756" s="170" t="s">
        <v>1077</v>
      </c>
      <c r="H756" s="265" t="str">
        <f t="shared" si="184"/>
        <v xml:space="preserve">   </v>
      </c>
      <c r="I756" s="265" t="str">
        <f t="shared" si="185"/>
        <v xml:space="preserve">   </v>
      </c>
      <c r="J756" s="1366">
        <v>1250000</v>
      </c>
      <c r="K756" s="1367">
        <v>41656</v>
      </c>
      <c r="L756" s="1363">
        <v>3000000</v>
      </c>
      <c r="M756" s="1367">
        <v>41656</v>
      </c>
      <c r="N756" s="1430">
        <v>3000000</v>
      </c>
      <c r="O756" s="1367">
        <v>41859</v>
      </c>
      <c r="P756" s="1430">
        <v>3000000</v>
      </c>
      <c r="Q756" s="1360">
        <v>42051</v>
      </c>
      <c r="R756" s="1475"/>
      <c r="S756" s="1144" t="s">
        <v>137</v>
      </c>
      <c r="T756" s="1430">
        <v>3000000</v>
      </c>
      <c r="U756" s="1360">
        <v>42774</v>
      </c>
      <c r="V756" s="1430">
        <v>3000000</v>
      </c>
      <c r="W756" s="1360"/>
      <c r="X756" s="1363">
        <v>3000000</v>
      </c>
      <c r="Y756" s="1367">
        <v>42829</v>
      </c>
      <c r="Z756" s="1430"/>
      <c r="AA756" s="1360"/>
      <c r="AB756" s="1530"/>
      <c r="AC756" s="1500"/>
      <c r="AD756" s="1402"/>
      <c r="AE756" s="1405"/>
      <c r="AF756" s="1406"/>
      <c r="AG756" s="1422"/>
      <c r="AH756" s="1423" t="str">
        <f t="shared" si="174"/>
        <v>ES</v>
      </c>
      <c r="AI756" s="1427">
        <f t="shared" ref="AI756:AI757" si="194">SUM(J756,L756,N756,P756,R756,T756,V756,X756,Z756,AB756,AD756,AF756)</f>
        <v>19250000</v>
      </c>
      <c r="AJ756" s="1427">
        <f t="shared" si="191"/>
        <v>19250000</v>
      </c>
      <c r="AK756" s="1427">
        <f t="shared" ref="AK756:AK757" si="195">AJ756-AI756</f>
        <v>0</v>
      </c>
      <c r="AL756" s="1428" t="s">
        <v>1077</v>
      </c>
      <c r="AM756" s="1410"/>
      <c r="AN756" s="1411"/>
      <c r="AO756" s="1410"/>
      <c r="AP756" s="1411"/>
      <c r="AQ756" s="1128"/>
      <c r="AR756" s="1173"/>
      <c r="AT756" s="1173"/>
      <c r="AV756" s="1173"/>
      <c r="AX756" s="1173"/>
      <c r="AY756" s="1176"/>
      <c r="AZ756" s="1173"/>
    </row>
    <row r="757" spans="1:52" s="2" customFormat="1" x14ac:dyDescent="0.25">
      <c r="A757" s="164">
        <v>712</v>
      </c>
      <c r="B757" s="281">
        <v>10</v>
      </c>
      <c r="C757" s="167">
        <v>839134005</v>
      </c>
      <c r="D757" s="282" t="s">
        <v>1213</v>
      </c>
      <c r="E757" s="279" t="s">
        <v>1195</v>
      </c>
      <c r="F757" s="280" t="s">
        <v>1143</v>
      </c>
      <c r="G757" s="170" t="s">
        <v>1077</v>
      </c>
      <c r="H757" s="283" t="str">
        <f t="shared" si="184"/>
        <v xml:space="preserve">   </v>
      </c>
      <c r="I757" s="283" t="str">
        <f t="shared" si="185"/>
        <v xml:space="preserve">   </v>
      </c>
      <c r="J757" s="1366">
        <v>1250000</v>
      </c>
      <c r="K757" s="1367">
        <v>41687</v>
      </c>
      <c r="L757" s="1363">
        <v>3000000</v>
      </c>
      <c r="M757" s="1367">
        <v>41687</v>
      </c>
      <c r="N757" s="1363">
        <v>3000000</v>
      </c>
      <c r="O757" s="1367">
        <v>41866</v>
      </c>
      <c r="P757" s="1363">
        <v>3000000</v>
      </c>
      <c r="Q757" s="1367">
        <v>42062</v>
      </c>
      <c r="R757" s="1363">
        <v>3000000</v>
      </c>
      <c r="S757" s="1367">
        <v>42244</v>
      </c>
      <c r="T757" s="1363">
        <v>3000000</v>
      </c>
      <c r="U757" s="1367">
        <v>42398</v>
      </c>
      <c r="V757" s="1475"/>
      <c r="W757" s="1144" t="s">
        <v>137</v>
      </c>
      <c r="X757" s="1363">
        <v>3000000</v>
      </c>
      <c r="Y757" s="1367">
        <v>42753</v>
      </c>
      <c r="Z757" s="1430">
        <v>3000000</v>
      </c>
      <c r="AA757" s="1360">
        <v>42962</v>
      </c>
      <c r="AB757" s="1363">
        <v>1000000</v>
      </c>
      <c r="AC757" s="1500">
        <v>42962</v>
      </c>
      <c r="AD757" s="1402"/>
      <c r="AE757" s="1405"/>
      <c r="AF757" s="1406"/>
      <c r="AG757" s="1422"/>
      <c r="AH757" s="1423" t="str">
        <f t="shared" si="174"/>
        <v>ES</v>
      </c>
      <c r="AI757" s="1427">
        <f t="shared" si="194"/>
        <v>23250000</v>
      </c>
      <c r="AJ757" s="1427">
        <f t="shared" si="191"/>
        <v>23250000</v>
      </c>
      <c r="AK757" s="1427">
        <f t="shared" si="195"/>
        <v>0</v>
      </c>
      <c r="AL757" s="1428" t="s">
        <v>1077</v>
      </c>
      <c r="AM757" s="1410"/>
      <c r="AN757" s="1411"/>
      <c r="AO757" s="1410"/>
      <c r="AP757" s="1411"/>
      <c r="AQ757" s="1128"/>
      <c r="AR757" s="1173"/>
      <c r="AT757" s="1173"/>
      <c r="AV757" s="1173"/>
      <c r="AX757" s="1173"/>
      <c r="AY757" s="1176"/>
      <c r="AZ757" s="1173"/>
    </row>
    <row r="758" spans="1:52" s="2" customFormat="1" x14ac:dyDescent="0.25">
      <c r="A758" s="180">
        <v>713</v>
      </c>
      <c r="B758" s="181">
        <v>11</v>
      </c>
      <c r="C758" s="183">
        <v>839134019</v>
      </c>
      <c r="D758" s="182" t="s">
        <v>823</v>
      </c>
      <c r="E758" s="184" t="s">
        <v>1195</v>
      </c>
      <c r="F758" s="185" t="s">
        <v>1143</v>
      </c>
      <c r="G758" s="186" t="s">
        <v>33</v>
      </c>
      <c r="H758" s="284">
        <f t="shared" si="184"/>
        <v>42693</v>
      </c>
      <c r="I758" s="284">
        <f t="shared" si="185"/>
        <v>42693</v>
      </c>
      <c r="J758" s="1444">
        <v>1250000</v>
      </c>
      <c r="K758" s="1435">
        <v>41664</v>
      </c>
      <c r="L758" s="1535" t="s">
        <v>1214</v>
      </c>
      <c r="M758" s="1435">
        <v>41664</v>
      </c>
      <c r="N758" s="1434"/>
      <c r="O758" s="1536" t="s">
        <v>475</v>
      </c>
      <c r="P758" s="1434">
        <v>3000000</v>
      </c>
      <c r="Q758" s="1435">
        <v>42075</v>
      </c>
      <c r="R758" s="1434">
        <v>3000000</v>
      </c>
      <c r="S758" s="1435">
        <v>42255</v>
      </c>
      <c r="T758" s="1434">
        <v>3000000</v>
      </c>
      <c r="U758" s="1435">
        <v>42536</v>
      </c>
      <c r="V758" s="1552" t="s">
        <v>276</v>
      </c>
      <c r="W758" s="1435">
        <v>42693</v>
      </c>
      <c r="X758" s="1402"/>
      <c r="Y758" s="1405"/>
      <c r="Z758" s="1406"/>
      <c r="AA758" s="1422"/>
      <c r="AB758" s="1434">
        <v>1000000</v>
      </c>
      <c r="AC758" s="1463">
        <v>42536</v>
      </c>
      <c r="AD758" s="1402"/>
      <c r="AE758" s="1405"/>
      <c r="AF758" s="1406"/>
      <c r="AG758" s="1422"/>
      <c r="AH758" s="1507" t="str">
        <f t="shared" si="174"/>
        <v>ES</v>
      </c>
      <c r="AI758" s="1424">
        <f t="shared" si="190"/>
        <v>11250000</v>
      </c>
      <c r="AJ758" s="1424">
        <f t="shared" si="191"/>
        <v>11250000</v>
      </c>
      <c r="AK758" s="1578">
        <f t="shared" si="192"/>
        <v>0</v>
      </c>
      <c r="AL758" s="1577" t="str">
        <f t="shared" si="193"/>
        <v>Lunas</v>
      </c>
      <c r="AM758" s="1410"/>
      <c r="AN758" s="1411"/>
      <c r="AO758" s="1410"/>
      <c r="AP758" s="1411"/>
      <c r="AQ758" s="1128"/>
      <c r="AR758" s="1173"/>
      <c r="AT758" s="1173"/>
      <c r="AV758" s="1173"/>
      <c r="AX758" s="1173"/>
      <c r="AY758" s="1176"/>
      <c r="AZ758" s="1173"/>
    </row>
    <row r="759" spans="1:52" s="4" customFormat="1" x14ac:dyDescent="0.25">
      <c r="A759" s="187"/>
      <c r="B759" s="267"/>
      <c r="C759" s="269"/>
      <c r="D759" s="268"/>
      <c r="E759" s="270" t="s">
        <v>61</v>
      </c>
      <c r="F759" s="267" t="s">
        <v>61</v>
      </c>
      <c r="G759" s="192" t="s">
        <v>61</v>
      </c>
      <c r="H759" s="193"/>
      <c r="I759" s="193"/>
      <c r="J759" s="187"/>
      <c r="K759" s="1436"/>
      <c r="L759" s="1528"/>
      <c r="M759" s="1488"/>
      <c r="N759" s="1437"/>
      <c r="O759" s="1488"/>
      <c r="P759" s="1437"/>
      <c r="Q759" s="1436"/>
      <c r="R759" s="1437"/>
      <c r="S759" s="1464"/>
      <c r="T759" s="1437"/>
      <c r="U759" s="1436"/>
      <c r="V759" s="1473"/>
      <c r="W759" s="1436"/>
      <c r="X759" s="1473"/>
      <c r="Y759" s="1436"/>
      <c r="Z759" s="1473"/>
      <c r="AA759" s="1436"/>
      <c r="AB759" s="1436"/>
      <c r="AC759" s="1436"/>
      <c r="AD759" s="1436"/>
      <c r="AE759" s="1436"/>
      <c r="AF759" s="1436"/>
      <c r="AG759" s="1436"/>
      <c r="AH759" s="1436" t="str">
        <f t="shared" si="174"/>
        <v>-</v>
      </c>
      <c r="AI759" s="1436"/>
      <c r="AJ759" s="1436"/>
      <c r="AK759" s="1409"/>
      <c r="AL759" s="1510"/>
      <c r="AM759" s="1510"/>
      <c r="AN759" s="1511"/>
      <c r="AO759" s="1510"/>
      <c r="AP759" s="1511"/>
      <c r="AQ759" s="1215"/>
      <c r="AR759" s="1216"/>
      <c r="AT759" s="1216"/>
      <c r="AV759" s="1216"/>
      <c r="AX759" s="1216"/>
      <c r="AY759" s="1217"/>
      <c r="AZ759" s="1216"/>
    </row>
    <row r="760" spans="1:52" s="2" customFormat="1" x14ac:dyDescent="0.25">
      <c r="A760" s="194" t="s">
        <v>1215</v>
      </c>
      <c r="B760" s="285"/>
      <c r="C760" s="274"/>
      <c r="D760" s="286"/>
      <c r="E760" s="198" t="s">
        <v>1096</v>
      </c>
      <c r="F760" s="199" t="s">
        <v>1096</v>
      </c>
      <c r="G760" s="146">
        <v>3000000</v>
      </c>
      <c r="H760" s="232" t="str">
        <f t="shared" ref="H760:H770" si="196">IFERROR(VLOOKUP(C760,Tlus,3,FALSE),"   ")</f>
        <v xml:space="preserve">   </v>
      </c>
      <c r="I760" s="232" t="str">
        <f t="shared" ref="I760:I770" si="197">IFERROR(VLOOKUP(C760,Wis,4,FALSE),"   ")</f>
        <v xml:space="preserve">   </v>
      </c>
      <c r="J760" s="1450">
        <v>1250000</v>
      </c>
      <c r="K760" s="1529"/>
      <c r="L760" s="1351" t="s">
        <v>1049</v>
      </c>
      <c r="M760" s="1352" t="s">
        <v>1050</v>
      </c>
      <c r="N760" s="1351" t="s">
        <v>1051</v>
      </c>
      <c r="O760" s="1352" t="s">
        <v>1052</v>
      </c>
      <c r="P760" s="1351" t="s">
        <v>1053</v>
      </c>
      <c r="Q760" s="1352" t="s">
        <v>1054</v>
      </c>
      <c r="R760" s="1351" t="s">
        <v>1055</v>
      </c>
      <c r="S760" s="1352" t="s">
        <v>1056</v>
      </c>
      <c r="T760" s="1351" t="s">
        <v>1057</v>
      </c>
      <c r="U760" s="1379" t="s">
        <v>1058</v>
      </c>
      <c r="V760" s="1380" t="s">
        <v>1059</v>
      </c>
      <c r="W760" s="1379" t="s">
        <v>1060</v>
      </c>
      <c r="X760" s="1380" t="s">
        <v>1061</v>
      </c>
      <c r="Y760" s="1379" t="s">
        <v>1062</v>
      </c>
      <c r="Z760" s="1380" t="s">
        <v>1063</v>
      </c>
      <c r="AA760" s="1379" t="s">
        <v>1064</v>
      </c>
      <c r="AB760" s="1397">
        <v>1000000</v>
      </c>
      <c r="AC760" s="1127"/>
      <c r="AD760" s="1398" t="s">
        <v>1065</v>
      </c>
      <c r="AE760" s="1399" t="s">
        <v>1066</v>
      </c>
      <c r="AF760" s="1400" t="s">
        <v>1067</v>
      </c>
      <c r="AG760" s="1412" t="s">
        <v>1068</v>
      </c>
      <c r="AH760" s="1518" t="str">
        <f t="shared" si="174"/>
        <v>#</v>
      </c>
      <c r="AI760" s="1512"/>
      <c r="AJ760" s="1409"/>
      <c r="AK760" s="1409"/>
      <c r="AL760" s="1513"/>
      <c r="AM760" s="1513"/>
      <c r="AN760" s="1514"/>
      <c r="AO760" s="1513"/>
      <c r="AP760" s="1514"/>
      <c r="AQ760" s="1128"/>
      <c r="AR760" s="1173"/>
      <c r="AT760" s="1173"/>
      <c r="AV760" s="1173"/>
      <c r="AX760" s="1173"/>
      <c r="AY760" s="1176"/>
      <c r="AZ760" s="1173"/>
    </row>
    <row r="761" spans="1:52" s="2" customFormat="1" x14ac:dyDescent="0.25">
      <c r="A761" s="200">
        <v>714</v>
      </c>
      <c r="B761" s="262">
        <v>1</v>
      </c>
      <c r="C761" s="151">
        <v>839131002</v>
      </c>
      <c r="D761" s="150" t="s">
        <v>1216</v>
      </c>
      <c r="E761" s="152" t="s">
        <v>848</v>
      </c>
      <c r="F761" s="153" t="s">
        <v>1143</v>
      </c>
      <c r="G761" s="154" t="s">
        <v>33</v>
      </c>
      <c r="H761" s="155" t="str">
        <f t="shared" si="196"/>
        <v xml:space="preserve">   </v>
      </c>
      <c r="I761" s="155">
        <f t="shared" si="197"/>
        <v>42504</v>
      </c>
      <c r="J761" s="1439">
        <v>1250000</v>
      </c>
      <c r="K761" s="1440"/>
      <c r="L761" s="1441">
        <v>3000000</v>
      </c>
      <c r="M761" s="1440">
        <v>41690</v>
      </c>
      <c r="N761" s="1441">
        <v>3000000</v>
      </c>
      <c r="O761" s="1440">
        <v>40182</v>
      </c>
      <c r="P761" s="1441">
        <v>3000000</v>
      </c>
      <c r="Q761" s="1440">
        <v>42355</v>
      </c>
      <c r="R761" s="1441">
        <v>3000000</v>
      </c>
      <c r="S761" s="1440">
        <v>42251</v>
      </c>
      <c r="T761" s="1470" t="s">
        <v>276</v>
      </c>
      <c r="U761" s="1440">
        <v>42504</v>
      </c>
      <c r="V761" s="1543"/>
      <c r="W761" s="1542"/>
      <c r="X761" s="1402"/>
      <c r="Y761" s="1405"/>
      <c r="Z761" s="1406"/>
      <c r="AA761" s="1422"/>
      <c r="AB761" s="1441">
        <v>1000000</v>
      </c>
      <c r="AC761" s="1401">
        <v>42159</v>
      </c>
      <c r="AD761" s="1402"/>
      <c r="AE761" s="1405"/>
      <c r="AF761" s="1406"/>
      <c r="AG761" s="1422"/>
      <c r="AH761" s="1416" t="str">
        <f t="shared" si="174"/>
        <v>HK</v>
      </c>
      <c r="AI761" s="1424">
        <f t="shared" ref="AI761:AI770" si="198">SUM(J761,L761,N761,P761,R761,T761,V761,X761,Z761,AB761,AD761,AF761)</f>
        <v>14250000</v>
      </c>
      <c r="AJ761" s="1424">
        <f t="shared" ref="AJ761:AJ770" si="199">(COUNT(L761,N761,P761,R761,T761,V761,X761,Z761,AD761,AF761)*$G$623)+(COUNT(J761)*$J$623)+(COUNT(AB761)*$AB$623)</f>
        <v>14250000</v>
      </c>
      <c r="AK761" s="1517">
        <f t="shared" ref="AK761:AK770" si="200">AJ761-AI761</f>
        <v>0</v>
      </c>
      <c r="AL761" s="1573" t="str">
        <f t="shared" ref="AL761:AL770" si="201">IF(AK761=0,"Lunas","Cek")</f>
        <v>Lunas</v>
      </c>
      <c r="AM761" s="1410"/>
      <c r="AN761" s="1411"/>
      <c r="AO761" s="1410"/>
      <c r="AP761" s="1411"/>
      <c r="AQ761" s="1128"/>
      <c r="AR761" s="1173"/>
      <c r="AT761" s="1173"/>
      <c r="AV761" s="1173"/>
      <c r="AX761" s="1173"/>
      <c r="AY761" s="1176"/>
      <c r="AZ761" s="1173"/>
    </row>
    <row r="762" spans="1:52" s="2" customFormat="1" x14ac:dyDescent="0.25">
      <c r="A762" s="156">
        <v>715</v>
      </c>
      <c r="B762" s="157">
        <v>2</v>
      </c>
      <c r="C762" s="159">
        <v>839131003</v>
      </c>
      <c r="D762" s="158" t="s">
        <v>1217</v>
      </c>
      <c r="E762" s="160" t="s">
        <v>848</v>
      </c>
      <c r="F762" s="161" t="s">
        <v>1143</v>
      </c>
      <c r="G762" s="162" t="s">
        <v>33</v>
      </c>
      <c r="H762" s="163">
        <f t="shared" si="196"/>
        <v>43034</v>
      </c>
      <c r="I762" s="163">
        <f t="shared" si="197"/>
        <v>43218</v>
      </c>
      <c r="J762" s="1356">
        <v>1250000</v>
      </c>
      <c r="K762" s="1357"/>
      <c r="L762" s="1358">
        <v>3000000</v>
      </c>
      <c r="M762" s="1357">
        <v>41690</v>
      </c>
      <c r="N762" s="1358">
        <v>3000000</v>
      </c>
      <c r="O762" s="1357">
        <v>41890</v>
      </c>
      <c r="P762" s="1358">
        <v>3000000</v>
      </c>
      <c r="Q762" s="1357">
        <v>42075</v>
      </c>
      <c r="R762" s="1358">
        <v>3000000</v>
      </c>
      <c r="S762" s="1357">
        <v>42982</v>
      </c>
      <c r="T762" s="1358">
        <v>3000000</v>
      </c>
      <c r="U762" s="1357">
        <v>42982</v>
      </c>
      <c r="V762" s="1358">
        <v>3000000</v>
      </c>
      <c r="W762" s="1357">
        <v>42982</v>
      </c>
      <c r="X762" s="1358">
        <v>3000000</v>
      </c>
      <c r="Y762" s="1357">
        <v>42982</v>
      </c>
      <c r="Z762" s="1358">
        <v>3000000</v>
      </c>
      <c r="AA762" s="1357">
        <v>42982</v>
      </c>
      <c r="AB762" s="1358">
        <v>1000000</v>
      </c>
      <c r="AC762" s="1383">
        <v>42578</v>
      </c>
      <c r="AD762" s="1402"/>
      <c r="AE762" s="1405"/>
      <c r="AF762" s="1406"/>
      <c r="AG762" s="1422"/>
      <c r="AH762" s="1423" t="str">
        <f t="shared" si="174"/>
        <v>HK</v>
      </c>
      <c r="AI762" s="1424">
        <f t="shared" si="198"/>
        <v>26250000</v>
      </c>
      <c r="AJ762" s="1424">
        <f t="shared" si="199"/>
        <v>26250000</v>
      </c>
      <c r="AK762" s="1520">
        <f t="shared" si="200"/>
        <v>0</v>
      </c>
      <c r="AL762" s="1575" t="str">
        <f t="shared" si="201"/>
        <v>Lunas</v>
      </c>
      <c r="AM762" s="1410"/>
      <c r="AN762" s="1411"/>
      <c r="AO762" s="1410"/>
      <c r="AP762" s="1411"/>
      <c r="AQ762" s="1128"/>
      <c r="AR762" s="1173"/>
      <c r="AT762" s="1173"/>
      <c r="AV762" s="1173"/>
      <c r="AX762" s="1173"/>
      <c r="AY762" s="1176"/>
      <c r="AZ762" s="1173"/>
    </row>
    <row r="763" spans="1:52" s="2" customFormat="1" x14ac:dyDescent="0.25">
      <c r="A763" s="164">
        <v>716</v>
      </c>
      <c r="B763" s="253">
        <v>3</v>
      </c>
      <c r="C763" s="263">
        <v>839131004</v>
      </c>
      <c r="D763" s="173" t="s">
        <v>1218</v>
      </c>
      <c r="E763" s="168" t="s">
        <v>848</v>
      </c>
      <c r="F763" s="175" t="s">
        <v>1143</v>
      </c>
      <c r="G763" s="170" t="s">
        <v>1077</v>
      </c>
      <c r="H763" s="265" t="str">
        <f t="shared" si="196"/>
        <v xml:space="preserve">   </v>
      </c>
      <c r="I763" s="265" t="str">
        <f t="shared" si="197"/>
        <v xml:space="preserve">   </v>
      </c>
      <c r="J763" s="1366">
        <v>1250000</v>
      </c>
      <c r="K763" s="1360"/>
      <c r="L763" s="1363">
        <v>3000000</v>
      </c>
      <c r="M763" s="1367">
        <v>41691</v>
      </c>
      <c r="N763" s="1430">
        <v>3000000</v>
      </c>
      <c r="O763" s="1367">
        <v>41856</v>
      </c>
      <c r="P763" s="1430">
        <v>3000000</v>
      </c>
      <c r="Q763" s="1360">
        <v>42073</v>
      </c>
      <c r="R763" s="1363">
        <v>3000000</v>
      </c>
      <c r="S763" s="1367">
        <v>42324</v>
      </c>
      <c r="T763" s="1504"/>
      <c r="U763" s="1367" t="s">
        <v>1219</v>
      </c>
      <c r="V763" s="1499"/>
      <c r="W763" s="1360"/>
      <c r="X763" s="1402"/>
      <c r="Y763" s="1405"/>
      <c r="Z763" s="1406"/>
      <c r="AA763" s="1422"/>
      <c r="AB763" s="1499"/>
      <c r="AC763" s="1500"/>
      <c r="AD763" s="1402"/>
      <c r="AE763" s="1405"/>
      <c r="AF763" s="1406"/>
      <c r="AG763" s="1422"/>
      <c r="AH763" s="1423" t="str">
        <f t="shared" si="174"/>
        <v>HK</v>
      </c>
      <c r="AI763" s="1427">
        <f t="shared" si="198"/>
        <v>13250000</v>
      </c>
      <c r="AJ763" s="1427">
        <f t="shared" si="199"/>
        <v>13250000</v>
      </c>
      <c r="AK763" s="1427">
        <f t="shared" si="200"/>
        <v>0</v>
      </c>
      <c r="AL763" s="1428" t="s">
        <v>1077</v>
      </c>
      <c r="AM763" s="1410"/>
      <c r="AN763" s="1411"/>
      <c r="AO763" s="1410"/>
      <c r="AP763" s="1411"/>
      <c r="AQ763" s="1128"/>
      <c r="AR763" s="1173"/>
      <c r="AT763" s="1173"/>
      <c r="AV763" s="1173"/>
      <c r="AX763" s="1173"/>
      <c r="AY763" s="1176"/>
      <c r="AZ763" s="1173"/>
    </row>
    <row r="764" spans="1:52" s="2" customFormat="1" x14ac:dyDescent="0.25">
      <c r="A764" s="164">
        <v>717</v>
      </c>
      <c r="B764" s="253">
        <v>4</v>
      </c>
      <c r="C764" s="263">
        <v>839131005</v>
      </c>
      <c r="D764" s="173" t="s">
        <v>1220</v>
      </c>
      <c r="E764" s="168" t="s">
        <v>848</v>
      </c>
      <c r="F764" s="175" t="s">
        <v>1143</v>
      </c>
      <c r="G764" s="170" t="s">
        <v>1077</v>
      </c>
      <c r="H764" s="265" t="str">
        <f t="shared" si="196"/>
        <v xml:space="preserve">   </v>
      </c>
      <c r="I764" s="265" t="str">
        <f t="shared" si="197"/>
        <v xml:space="preserve">   </v>
      </c>
      <c r="J764" s="1366">
        <v>1250000</v>
      </c>
      <c r="K764" s="1360"/>
      <c r="L764" s="1363">
        <v>3000000</v>
      </c>
      <c r="M764" s="1367">
        <v>41691</v>
      </c>
      <c r="N764" s="1363">
        <v>3000000</v>
      </c>
      <c r="O764" s="1367">
        <v>41858</v>
      </c>
      <c r="P764" s="1430">
        <v>3000000</v>
      </c>
      <c r="Q764" s="1360">
        <v>42073</v>
      </c>
      <c r="R764" s="1363">
        <v>3000000</v>
      </c>
      <c r="S764" s="1367">
        <v>42324</v>
      </c>
      <c r="T764" s="1363">
        <v>3000000</v>
      </c>
      <c r="U764" s="1367">
        <v>46131</v>
      </c>
      <c r="V764" s="1499"/>
      <c r="W764" s="1360"/>
      <c r="X764" s="1402"/>
      <c r="Y764" s="1405"/>
      <c r="Z764" s="1406"/>
      <c r="AA764" s="1422"/>
      <c r="AB764" s="1363">
        <v>1000000</v>
      </c>
      <c r="AC764" s="1503">
        <v>42844</v>
      </c>
      <c r="AD764" s="1402"/>
      <c r="AE764" s="1405"/>
      <c r="AF764" s="1406"/>
      <c r="AG764" s="1422"/>
      <c r="AH764" s="1423" t="str">
        <f t="shared" si="174"/>
        <v>HK</v>
      </c>
      <c r="AI764" s="1427">
        <f t="shared" si="198"/>
        <v>17250000</v>
      </c>
      <c r="AJ764" s="1427">
        <f t="shared" si="199"/>
        <v>17250000</v>
      </c>
      <c r="AK764" s="1427">
        <f t="shared" si="200"/>
        <v>0</v>
      </c>
      <c r="AL764" s="1428" t="s">
        <v>1077</v>
      </c>
      <c r="AM764" s="1410"/>
      <c r="AN764" s="1411"/>
      <c r="AO764" s="1410"/>
      <c r="AP764" s="1411"/>
      <c r="AQ764" s="1128"/>
      <c r="AR764" s="1173"/>
      <c r="AT764" s="1173"/>
      <c r="AV764" s="1173"/>
      <c r="AX764" s="1173"/>
      <c r="AY764" s="1176"/>
      <c r="AZ764" s="1173"/>
    </row>
    <row r="765" spans="1:52" s="2" customFormat="1" x14ac:dyDescent="0.25">
      <c r="A765" s="156">
        <v>718</v>
      </c>
      <c r="B765" s="157">
        <v>5</v>
      </c>
      <c r="C765" s="159">
        <v>839131006</v>
      </c>
      <c r="D765" s="158" t="s">
        <v>1221</v>
      </c>
      <c r="E765" s="160" t="s">
        <v>848</v>
      </c>
      <c r="F765" s="161" t="s">
        <v>1143</v>
      </c>
      <c r="G765" s="162" t="s">
        <v>33</v>
      </c>
      <c r="H765" s="163" t="str">
        <f t="shared" si="196"/>
        <v xml:space="preserve">   </v>
      </c>
      <c r="I765" s="163">
        <f t="shared" si="197"/>
        <v>42504</v>
      </c>
      <c r="J765" s="1356">
        <v>1250000</v>
      </c>
      <c r="K765" s="1357"/>
      <c r="L765" s="1358">
        <v>3000000</v>
      </c>
      <c r="M765" s="1357">
        <v>41691</v>
      </c>
      <c r="N765" s="1358">
        <v>3000000</v>
      </c>
      <c r="O765" s="1357">
        <v>41887</v>
      </c>
      <c r="P765" s="1358">
        <v>3000000</v>
      </c>
      <c r="Q765" s="1357">
        <v>42073</v>
      </c>
      <c r="R765" s="1358">
        <v>3000000</v>
      </c>
      <c r="S765" s="1357">
        <v>42236</v>
      </c>
      <c r="T765" s="1556" t="s">
        <v>1222</v>
      </c>
      <c r="U765" s="1497" t="s">
        <v>276</v>
      </c>
      <c r="V765" s="1363"/>
      <c r="W765" s="1360"/>
      <c r="X765" s="1402"/>
      <c r="Y765" s="1405"/>
      <c r="Z765" s="1406"/>
      <c r="AA765" s="1422"/>
      <c r="AB765" s="1358">
        <v>1000000</v>
      </c>
      <c r="AC765" s="1383">
        <v>42009</v>
      </c>
      <c r="AD765" s="1402"/>
      <c r="AE765" s="1405"/>
      <c r="AF765" s="1406"/>
      <c r="AG765" s="1422"/>
      <c r="AH765" s="1423" t="str">
        <f t="shared" si="174"/>
        <v>HK</v>
      </c>
      <c r="AI765" s="1424">
        <f t="shared" si="198"/>
        <v>14250000</v>
      </c>
      <c r="AJ765" s="1424">
        <f t="shared" si="199"/>
        <v>14250000</v>
      </c>
      <c r="AK765" s="1520">
        <f t="shared" si="200"/>
        <v>0</v>
      </c>
      <c r="AL765" s="1575" t="str">
        <f t="shared" si="201"/>
        <v>Lunas</v>
      </c>
      <c r="AM765" s="1410"/>
      <c r="AN765" s="1411"/>
      <c r="AO765" s="1410"/>
      <c r="AP765" s="1411"/>
      <c r="AQ765" s="1128"/>
      <c r="AR765" s="1173"/>
      <c r="AT765" s="1173"/>
      <c r="AV765" s="1173"/>
      <c r="AX765" s="1173"/>
      <c r="AY765" s="1176"/>
      <c r="AZ765" s="1173"/>
    </row>
    <row r="766" spans="1:52" s="2" customFormat="1" x14ac:dyDescent="0.25">
      <c r="A766" s="234">
        <v>719</v>
      </c>
      <c r="B766" s="235">
        <v>6</v>
      </c>
      <c r="C766" s="236">
        <v>839131008</v>
      </c>
      <c r="D766" s="233" t="s">
        <v>1223</v>
      </c>
      <c r="E766" s="237" t="s">
        <v>848</v>
      </c>
      <c r="F766" s="238" t="s">
        <v>1143</v>
      </c>
      <c r="G766" s="214" t="s">
        <v>1077</v>
      </c>
      <c r="H766" s="239" t="str">
        <f t="shared" si="196"/>
        <v xml:space="preserve">   </v>
      </c>
      <c r="I766" s="239" t="str">
        <f t="shared" si="197"/>
        <v xml:space="preserve">   </v>
      </c>
      <c r="J766" s="1537"/>
      <c r="K766" s="1523"/>
      <c r="L766" s="1359"/>
      <c r="M766" s="1523"/>
      <c r="N766" s="1359"/>
      <c r="O766" s="1523"/>
      <c r="P766" s="1359"/>
      <c r="Q766" s="1523"/>
      <c r="R766" s="1359"/>
      <c r="S766" s="1523"/>
      <c r="T766" s="1359"/>
      <c r="U766" s="1523"/>
      <c r="V766" s="1363"/>
      <c r="W766" s="1360"/>
      <c r="X766" s="1402"/>
      <c r="Y766" s="1405"/>
      <c r="Z766" s="1406"/>
      <c r="AA766" s="1422"/>
      <c r="AB766" s="1363"/>
      <c r="AC766" s="1503"/>
      <c r="AD766" s="1402"/>
      <c r="AE766" s="1405"/>
      <c r="AF766" s="1406"/>
      <c r="AG766" s="1422"/>
      <c r="AH766" s="1423" t="str">
        <f t="shared" si="174"/>
        <v>HK</v>
      </c>
      <c r="AI766" s="1427">
        <f t="shared" si="198"/>
        <v>0</v>
      </c>
      <c r="AJ766" s="1427">
        <f t="shared" si="199"/>
        <v>0</v>
      </c>
      <c r="AK766" s="1427">
        <f t="shared" si="200"/>
        <v>0</v>
      </c>
      <c r="AL766" s="1428" t="s">
        <v>1077</v>
      </c>
      <c r="AM766" s="1410"/>
      <c r="AN766" s="1411"/>
      <c r="AO766" s="1410"/>
      <c r="AP766" s="1411"/>
      <c r="AQ766" s="1128"/>
      <c r="AR766" s="1173"/>
      <c r="AT766" s="1173"/>
      <c r="AV766" s="1173"/>
      <c r="AX766" s="1173"/>
      <c r="AY766" s="1176"/>
      <c r="AZ766" s="1173"/>
    </row>
    <row r="767" spans="1:52" s="2" customFormat="1" x14ac:dyDescent="0.25">
      <c r="A767" s="156">
        <v>720</v>
      </c>
      <c r="B767" s="157">
        <v>7</v>
      </c>
      <c r="C767" s="159">
        <v>839131009</v>
      </c>
      <c r="D767" s="158" t="s">
        <v>1224</v>
      </c>
      <c r="E767" s="160" t="s">
        <v>848</v>
      </c>
      <c r="F767" s="161" t="s">
        <v>1143</v>
      </c>
      <c r="G767" s="162" t="s">
        <v>33</v>
      </c>
      <c r="H767" s="163" t="str">
        <f t="shared" si="196"/>
        <v xml:space="preserve">   </v>
      </c>
      <c r="I767" s="163">
        <f t="shared" si="197"/>
        <v>42504</v>
      </c>
      <c r="J767" s="1356">
        <v>1250000</v>
      </c>
      <c r="K767" s="1357"/>
      <c r="L767" s="1358">
        <v>3000000</v>
      </c>
      <c r="M767" s="1357">
        <v>41694</v>
      </c>
      <c r="N767" s="1358">
        <v>3000000</v>
      </c>
      <c r="O767" s="1357">
        <v>41856</v>
      </c>
      <c r="P767" s="1358">
        <v>3000000</v>
      </c>
      <c r="Q767" s="1357">
        <v>42060</v>
      </c>
      <c r="R767" s="1358">
        <v>3000000</v>
      </c>
      <c r="S767" s="1357">
        <v>42223</v>
      </c>
      <c r="T767" s="1556" t="s">
        <v>1222</v>
      </c>
      <c r="U767" s="1497" t="s">
        <v>276</v>
      </c>
      <c r="V767" s="1363"/>
      <c r="W767" s="1360"/>
      <c r="X767" s="1402"/>
      <c r="Y767" s="1405"/>
      <c r="Z767" s="1406"/>
      <c r="AA767" s="1422"/>
      <c r="AB767" s="1358">
        <v>1000000</v>
      </c>
      <c r="AC767" s="1383">
        <v>42303</v>
      </c>
      <c r="AD767" s="1402"/>
      <c r="AE767" s="1405"/>
      <c r="AF767" s="1406"/>
      <c r="AG767" s="1422"/>
      <c r="AH767" s="1423" t="str">
        <f t="shared" si="174"/>
        <v>HK</v>
      </c>
      <c r="AI767" s="1424">
        <f t="shared" si="198"/>
        <v>14250000</v>
      </c>
      <c r="AJ767" s="1424">
        <f t="shared" si="199"/>
        <v>14250000</v>
      </c>
      <c r="AK767" s="1520">
        <f t="shared" si="200"/>
        <v>0</v>
      </c>
      <c r="AL767" s="1575" t="str">
        <f t="shared" si="201"/>
        <v>Lunas</v>
      </c>
      <c r="AM767" s="1410"/>
      <c r="AN767" s="1411"/>
      <c r="AO767" s="1410"/>
      <c r="AP767" s="1411"/>
      <c r="AQ767" s="1128"/>
      <c r="AR767" s="1173"/>
      <c r="AT767" s="1173"/>
      <c r="AV767" s="1173"/>
      <c r="AX767" s="1173"/>
      <c r="AY767" s="1176"/>
      <c r="AZ767" s="1173"/>
    </row>
    <row r="768" spans="1:52" s="2" customFormat="1" x14ac:dyDescent="0.25">
      <c r="A768" s="156">
        <v>721</v>
      </c>
      <c r="B768" s="157">
        <v>8</v>
      </c>
      <c r="C768" s="159">
        <v>839131011</v>
      </c>
      <c r="D768" s="158" t="s">
        <v>1225</v>
      </c>
      <c r="E768" s="160" t="s">
        <v>848</v>
      </c>
      <c r="F768" s="161" t="s">
        <v>1143</v>
      </c>
      <c r="G768" s="162" t="s">
        <v>33</v>
      </c>
      <c r="H768" s="163" t="str">
        <f t="shared" si="196"/>
        <v xml:space="preserve">   </v>
      </c>
      <c r="I768" s="163">
        <f t="shared" si="197"/>
        <v>42504</v>
      </c>
      <c r="J768" s="1356">
        <v>1250000</v>
      </c>
      <c r="K768" s="1357"/>
      <c r="L768" s="1358">
        <v>3000000</v>
      </c>
      <c r="M768" s="1357">
        <v>41698</v>
      </c>
      <c r="N768" s="1358">
        <v>3000000</v>
      </c>
      <c r="O768" s="1357">
        <v>41698</v>
      </c>
      <c r="P768" s="1358">
        <v>3000000</v>
      </c>
      <c r="Q768" s="1357">
        <v>42237</v>
      </c>
      <c r="R768" s="1358">
        <v>3000000</v>
      </c>
      <c r="S768" s="1357">
        <v>42359</v>
      </c>
      <c r="T768" s="1556" t="s">
        <v>1222</v>
      </c>
      <c r="U768" s="1497" t="s">
        <v>276</v>
      </c>
      <c r="V768" s="1363"/>
      <c r="W768" s="1360"/>
      <c r="X768" s="1402"/>
      <c r="Y768" s="1405"/>
      <c r="Z768" s="1406"/>
      <c r="AA768" s="1422"/>
      <c r="AB768" s="1358">
        <v>1000000</v>
      </c>
      <c r="AC768" s="1383">
        <v>42359</v>
      </c>
      <c r="AD768" s="1402"/>
      <c r="AE768" s="1405"/>
      <c r="AF768" s="1406"/>
      <c r="AG768" s="1422"/>
      <c r="AH768" s="1423" t="str">
        <f t="shared" si="174"/>
        <v>HK</v>
      </c>
      <c r="AI768" s="1424">
        <f t="shared" si="198"/>
        <v>14250000</v>
      </c>
      <c r="AJ768" s="1424">
        <f t="shared" si="199"/>
        <v>14250000</v>
      </c>
      <c r="AK768" s="1520">
        <f t="shared" si="200"/>
        <v>0</v>
      </c>
      <c r="AL768" s="1575" t="str">
        <f t="shared" si="201"/>
        <v>Lunas</v>
      </c>
      <c r="AM768" s="1410"/>
      <c r="AN768" s="1411"/>
      <c r="AO768" s="1410"/>
      <c r="AP768" s="1411"/>
      <c r="AQ768" s="1128"/>
      <c r="AR768" s="1173"/>
      <c r="AT768" s="1173"/>
      <c r="AV768" s="1173"/>
      <c r="AX768" s="1173"/>
      <c r="AY768" s="1176"/>
      <c r="AZ768" s="1173"/>
    </row>
    <row r="769" spans="1:52" s="2" customFormat="1" x14ac:dyDescent="0.25">
      <c r="A769" s="156">
        <v>722</v>
      </c>
      <c r="B769" s="157">
        <v>9</v>
      </c>
      <c r="C769" s="159">
        <v>839131012</v>
      </c>
      <c r="D769" s="158" t="s">
        <v>1226</v>
      </c>
      <c r="E769" s="160" t="s">
        <v>848</v>
      </c>
      <c r="F769" s="161" t="s">
        <v>1143</v>
      </c>
      <c r="G769" s="162" t="s">
        <v>33</v>
      </c>
      <c r="H769" s="163">
        <f t="shared" si="196"/>
        <v>42767</v>
      </c>
      <c r="I769" s="163">
        <f t="shared" si="197"/>
        <v>42861</v>
      </c>
      <c r="J769" s="1356">
        <v>1250000</v>
      </c>
      <c r="K769" s="1357"/>
      <c r="L769" s="1358">
        <v>3000000</v>
      </c>
      <c r="M769" s="1357">
        <v>41697</v>
      </c>
      <c r="N769" s="1358">
        <v>3000000</v>
      </c>
      <c r="O769" s="1357">
        <v>41857</v>
      </c>
      <c r="P769" s="1358">
        <v>3000000</v>
      </c>
      <c r="Q769" s="1357">
        <v>42117</v>
      </c>
      <c r="R769" s="1358">
        <v>3000000</v>
      </c>
      <c r="S769" s="1357">
        <v>42234</v>
      </c>
      <c r="T769" s="1356">
        <v>3000000</v>
      </c>
      <c r="U769" s="1357">
        <v>42751</v>
      </c>
      <c r="V769" s="1356">
        <v>3000000</v>
      </c>
      <c r="W769" s="1357">
        <v>42751</v>
      </c>
      <c r="X769" s="1402"/>
      <c r="Y769" s="1405"/>
      <c r="Z769" s="1406"/>
      <c r="AA769" s="1422"/>
      <c r="AB769" s="1358">
        <v>1000000</v>
      </c>
      <c r="AC769" s="1383">
        <v>42752</v>
      </c>
      <c r="AD769" s="1402"/>
      <c r="AE769" s="1405"/>
      <c r="AF769" s="1406"/>
      <c r="AG769" s="1422"/>
      <c r="AH769" s="1423" t="str">
        <f t="shared" si="174"/>
        <v>HK</v>
      </c>
      <c r="AI769" s="1424">
        <f t="shared" si="198"/>
        <v>20250000</v>
      </c>
      <c r="AJ769" s="1424">
        <f t="shared" si="199"/>
        <v>20250000</v>
      </c>
      <c r="AK769" s="1520">
        <f t="shared" si="200"/>
        <v>0</v>
      </c>
      <c r="AL769" s="1575" t="str">
        <f t="shared" si="201"/>
        <v>Lunas</v>
      </c>
      <c r="AM769" s="1410"/>
      <c r="AN769" s="1411"/>
      <c r="AO769" s="1410"/>
      <c r="AP769" s="1411"/>
      <c r="AQ769" s="1128"/>
      <c r="AR769" s="1173"/>
      <c r="AT769" s="1173"/>
      <c r="AV769" s="1173"/>
      <c r="AX769" s="1173"/>
      <c r="AY769" s="1176"/>
      <c r="AZ769" s="1173"/>
    </row>
    <row r="770" spans="1:52" s="2" customFormat="1" x14ac:dyDescent="0.25">
      <c r="A770" s="180">
        <v>723</v>
      </c>
      <c r="B770" s="181">
        <v>10</v>
      </c>
      <c r="C770" s="183">
        <v>839131013</v>
      </c>
      <c r="D770" s="182" t="s">
        <v>1227</v>
      </c>
      <c r="E770" s="184" t="s">
        <v>848</v>
      </c>
      <c r="F770" s="185" t="s">
        <v>1143</v>
      </c>
      <c r="G770" s="288" t="s">
        <v>33</v>
      </c>
      <c r="H770" s="284">
        <f t="shared" si="196"/>
        <v>42693</v>
      </c>
      <c r="I770" s="284">
        <f t="shared" si="197"/>
        <v>42693</v>
      </c>
      <c r="J770" s="1527">
        <v>1250000</v>
      </c>
      <c r="K770" s="1435"/>
      <c r="L770" s="1434">
        <v>3000000</v>
      </c>
      <c r="M770" s="1435">
        <v>41688</v>
      </c>
      <c r="N770" s="1434">
        <v>3000000</v>
      </c>
      <c r="O770" s="1435">
        <v>42071</v>
      </c>
      <c r="P770" s="1434">
        <v>3000000</v>
      </c>
      <c r="Q770" s="1435">
        <v>42073</v>
      </c>
      <c r="R770" s="1434">
        <v>3000000</v>
      </c>
      <c r="S770" s="1435">
        <v>42236</v>
      </c>
      <c r="T770" s="1434">
        <v>3000000</v>
      </c>
      <c r="U770" s="1435">
        <v>42114</v>
      </c>
      <c r="V770" s="1434">
        <v>3000000</v>
      </c>
      <c r="W770" s="1435">
        <v>42633</v>
      </c>
      <c r="X770" s="1402"/>
      <c r="Y770" s="1405"/>
      <c r="Z770" s="1406"/>
      <c r="AA770" s="1422"/>
      <c r="AB770" s="1434">
        <v>1000000</v>
      </c>
      <c r="AC770" s="1463">
        <v>42480</v>
      </c>
      <c r="AD770" s="1402"/>
      <c r="AE770" s="1405"/>
      <c r="AF770" s="1406"/>
      <c r="AG770" s="1422"/>
      <c r="AH770" s="1507" t="str">
        <f t="shared" si="174"/>
        <v>HK</v>
      </c>
      <c r="AI770" s="1424">
        <f t="shared" si="198"/>
        <v>20250000</v>
      </c>
      <c r="AJ770" s="1424">
        <f t="shared" si="199"/>
        <v>20250000</v>
      </c>
      <c r="AK770" s="1621">
        <f t="shared" si="200"/>
        <v>0</v>
      </c>
      <c r="AL770" s="1622" t="str">
        <f t="shared" si="201"/>
        <v>Lunas</v>
      </c>
      <c r="AM770" s="1410"/>
      <c r="AN770" s="1411"/>
      <c r="AO770" s="1410"/>
      <c r="AP770" s="1411"/>
      <c r="AQ770" s="1128"/>
      <c r="AR770" s="1173"/>
      <c r="AT770" s="1173"/>
      <c r="AV770" s="1173"/>
      <c r="AX770" s="1173"/>
      <c r="AY770" s="1176"/>
      <c r="AZ770" s="1173"/>
    </row>
    <row r="771" spans="1:52" s="6" customFormat="1" x14ac:dyDescent="0.25">
      <c r="C771" s="1580"/>
      <c r="E771" s="289"/>
      <c r="F771" s="6" t="s">
        <v>61</v>
      </c>
      <c r="G771" s="192" t="s">
        <v>61</v>
      </c>
      <c r="L771" s="1581"/>
      <c r="P771" s="1581"/>
      <c r="Q771" s="1591"/>
      <c r="S771" s="1375"/>
      <c r="T771" s="1592"/>
      <c r="V771" s="1592"/>
      <c r="X771" s="1592"/>
      <c r="Z771" s="1592"/>
      <c r="AB771" s="1605"/>
      <c r="AC771" s="1605"/>
      <c r="AH771" s="6">
        <f t="shared" si="174"/>
        <v>0</v>
      </c>
      <c r="AM771" s="1592"/>
      <c r="AN771" s="1591"/>
      <c r="AO771" s="1592"/>
      <c r="AP771" s="1591"/>
      <c r="AQ771" s="1592"/>
      <c r="AR771" s="1591"/>
      <c r="AT771" s="1591"/>
      <c r="AV771" s="1591"/>
      <c r="AX771" s="1591"/>
      <c r="AY771" s="1628"/>
      <c r="AZ771" s="1591"/>
    </row>
    <row r="772" spans="1:52" s="4" customFormat="1" x14ac:dyDescent="0.25">
      <c r="A772" s="290" t="s">
        <v>1228</v>
      </c>
      <c r="B772" s="276"/>
      <c r="C772" s="269"/>
      <c r="D772" s="268"/>
      <c r="E772" s="270" t="s">
        <v>61</v>
      </c>
      <c r="F772" s="267" t="s">
        <v>61</v>
      </c>
      <c r="G772" s="192" t="s">
        <v>61</v>
      </c>
      <c r="H772" s="193"/>
      <c r="I772" s="193"/>
      <c r="J772" s="187"/>
      <c r="K772" s="1436"/>
      <c r="L772" s="1528"/>
      <c r="M772" s="1488"/>
      <c r="N772" s="1528"/>
      <c r="O772" s="1488"/>
      <c r="P772" s="1528"/>
      <c r="Q772" s="1488"/>
      <c r="R772" s="1528"/>
      <c r="S772" s="1549"/>
      <c r="T772" s="1528"/>
      <c r="U772" s="1488"/>
      <c r="V772" s="1528"/>
      <c r="W772" s="1488"/>
      <c r="X772" s="1437"/>
      <c r="Y772" s="1488"/>
      <c r="Z772" s="1437"/>
      <c r="AA772" s="1436"/>
      <c r="AB772" s="1437"/>
      <c r="AC772" s="1436"/>
      <c r="AD772" s="1606"/>
      <c r="AE772" s="1436"/>
      <c r="AF772" s="1606"/>
      <c r="AG772" s="1436"/>
      <c r="AH772" s="1623" t="str">
        <f t="shared" si="174"/>
        <v>-</v>
      </c>
      <c r="AI772" s="1589"/>
      <c r="AJ772" s="1409"/>
      <c r="AK772" s="1409"/>
      <c r="AL772" s="1510"/>
      <c r="AM772" s="1510"/>
      <c r="AN772" s="1511"/>
      <c r="AO772" s="1510"/>
      <c r="AP772" s="1511"/>
      <c r="AQ772" s="1215"/>
      <c r="AR772" s="1216"/>
      <c r="AT772" s="1216"/>
      <c r="AV772" s="1216"/>
      <c r="AX772" s="1216"/>
      <c r="AY772" s="1217"/>
      <c r="AZ772" s="1216"/>
    </row>
    <row r="773" spans="1:52" s="2" customFormat="1" x14ac:dyDescent="0.25">
      <c r="A773" s="278" t="s">
        <v>1229</v>
      </c>
      <c r="B773" s="291"/>
      <c r="C773" s="274"/>
      <c r="D773" s="292"/>
      <c r="E773" s="198" t="s">
        <v>1096</v>
      </c>
      <c r="F773" s="199" t="s">
        <v>1096</v>
      </c>
      <c r="G773" s="146">
        <v>3000000</v>
      </c>
      <c r="H773" s="232" t="str">
        <f t="shared" ref="H773:H792" si="202">IFERROR(VLOOKUP(C773,Tlus,3,FALSE),"   ")</f>
        <v xml:space="preserve">   </v>
      </c>
      <c r="I773" s="232" t="str">
        <f t="shared" ref="I773:I792" si="203">IFERROR(VLOOKUP(C773,Wis,4,FALSE),"   ")</f>
        <v xml:space="preserve">   </v>
      </c>
      <c r="J773" s="1450">
        <v>1250000</v>
      </c>
      <c r="K773" s="1438"/>
      <c r="L773" s="1582" t="s">
        <v>1049</v>
      </c>
      <c r="M773" s="1438" t="s">
        <v>1054</v>
      </c>
      <c r="N773" s="1582" t="s">
        <v>1051</v>
      </c>
      <c r="O773" s="1438" t="s">
        <v>1056</v>
      </c>
      <c r="P773" s="1582" t="s">
        <v>1053</v>
      </c>
      <c r="Q773" s="1438" t="s">
        <v>1058</v>
      </c>
      <c r="R773" s="1582" t="s">
        <v>1055</v>
      </c>
      <c r="S773" s="1438" t="s">
        <v>1060</v>
      </c>
      <c r="T773" s="1582" t="s">
        <v>1057</v>
      </c>
      <c r="U773" s="1438" t="s">
        <v>1062</v>
      </c>
      <c r="V773" s="1582" t="s">
        <v>1059</v>
      </c>
      <c r="W773" s="1438" t="s">
        <v>1064</v>
      </c>
      <c r="X773" s="1582" t="s">
        <v>1061</v>
      </c>
      <c r="Y773" s="1438" t="s">
        <v>1066</v>
      </c>
      <c r="Z773" s="1582" t="s">
        <v>1063</v>
      </c>
      <c r="AA773" s="1438" t="s">
        <v>1068</v>
      </c>
      <c r="AB773" s="1450">
        <v>1000000</v>
      </c>
      <c r="AC773" s="1127"/>
      <c r="AD773" s="1607"/>
      <c r="AE773" s="1155"/>
      <c r="AF773" s="1607"/>
      <c r="AG773" s="1155"/>
      <c r="AH773" s="1408" t="str">
        <f t="shared" ref="AH773:AH836" si="204">E773</f>
        <v>#</v>
      </c>
      <c r="AI773" s="1512"/>
      <c r="AJ773" s="1409"/>
      <c r="AK773" s="1409"/>
      <c r="AL773" s="1513"/>
      <c r="AM773" s="1513"/>
      <c r="AN773" s="1514"/>
      <c r="AO773" s="1513"/>
      <c r="AP773" s="1514"/>
      <c r="AQ773" s="1128"/>
      <c r="AR773" s="1173"/>
      <c r="AT773" s="1173"/>
      <c r="AV773" s="1173"/>
      <c r="AX773" s="1173"/>
      <c r="AY773" s="1176"/>
      <c r="AZ773" s="1173"/>
    </row>
    <row r="774" spans="1:52" s="2" customFormat="1" x14ac:dyDescent="0.25">
      <c r="A774" s="294">
        <v>724</v>
      </c>
      <c r="B774" s="295">
        <v>1</v>
      </c>
      <c r="C774" s="297">
        <v>849114009</v>
      </c>
      <c r="D774" s="296" t="s">
        <v>1230</v>
      </c>
      <c r="E774" s="298" t="s">
        <v>1070</v>
      </c>
      <c r="F774" s="299">
        <v>2014</v>
      </c>
      <c r="G774" s="214" t="s">
        <v>1077</v>
      </c>
      <c r="H774" s="300" t="str">
        <f t="shared" si="202"/>
        <v xml:space="preserve">   </v>
      </c>
      <c r="I774" s="300" t="str">
        <f t="shared" si="203"/>
        <v xml:space="preserve">   </v>
      </c>
      <c r="J774" s="1583">
        <v>1250000</v>
      </c>
      <c r="K774" s="1584"/>
      <c r="L774" s="1585">
        <v>3000000</v>
      </c>
      <c r="M774" s="1586">
        <v>41806</v>
      </c>
      <c r="N774" s="1585">
        <v>3000000</v>
      </c>
      <c r="O774" s="1586">
        <v>42055</v>
      </c>
      <c r="P774" s="1585">
        <v>3000000</v>
      </c>
      <c r="Q774" s="1586">
        <v>42223</v>
      </c>
      <c r="R774" s="1593">
        <v>3000000</v>
      </c>
      <c r="S774" s="1586">
        <v>43215</v>
      </c>
      <c r="T774" s="1593">
        <v>3000000</v>
      </c>
      <c r="U774" s="1586">
        <v>43215</v>
      </c>
      <c r="V774" s="1593">
        <v>3000000</v>
      </c>
      <c r="W774" s="1586">
        <v>43215</v>
      </c>
      <c r="X774" s="1593">
        <v>3000000</v>
      </c>
      <c r="Y774" s="1586">
        <v>43215</v>
      </c>
      <c r="Z774" s="1593">
        <v>3000000</v>
      </c>
      <c r="AA774" s="1586">
        <v>43215</v>
      </c>
      <c r="AB774" s="1593">
        <v>1000000</v>
      </c>
      <c r="AC774" s="1608">
        <v>43215</v>
      </c>
      <c r="AD774" s="1609" t="s">
        <v>1231</v>
      </c>
      <c r="AE774" s="1610"/>
      <c r="AF774" s="1609"/>
      <c r="AG774" s="1610"/>
      <c r="AH774" s="1624" t="str">
        <f t="shared" si="204"/>
        <v>MPI-S2</v>
      </c>
      <c r="AI774" s="1424">
        <f t="shared" ref="AI774:AI792" si="205">SUM(J774,L774,N774,P774,R774,T774,V774,X774,Z774,AB774,AD774,AF774)</f>
        <v>26250000</v>
      </c>
      <c r="AJ774" s="1424">
        <f t="shared" ref="AJ774:AJ792" si="206">(COUNT(L774,N774,P774,R774,T774,V774,X774,Z774,AD774,AF774)*$G$773)+(COUNT(J774)*$J$773)+(COUNT(AB774)*$AB$773)</f>
        <v>26250000</v>
      </c>
      <c r="AK774" s="1517">
        <f t="shared" ref="AK774:AK792" si="207">AJ774-AI774</f>
        <v>0</v>
      </c>
      <c r="AL774" s="1573" t="str">
        <f t="shared" ref="AL774:AL792" si="208">IF(AK774=0,"Lunas","Cek")</f>
        <v>Lunas</v>
      </c>
      <c r="AM774" s="1410"/>
      <c r="AN774" s="1411"/>
      <c r="AO774" s="1410"/>
      <c r="AP774" s="1411"/>
      <c r="AQ774" s="1128"/>
      <c r="AR774" s="1173"/>
      <c r="AT774" s="1173"/>
      <c r="AV774" s="1173"/>
      <c r="AX774" s="1173"/>
      <c r="AY774" s="1176"/>
      <c r="AZ774" s="1173"/>
    </row>
    <row r="775" spans="1:52" s="2" customFormat="1" x14ac:dyDescent="0.25">
      <c r="A775" s="156">
        <v>725</v>
      </c>
      <c r="B775" s="157">
        <v>2</v>
      </c>
      <c r="C775" s="159">
        <v>849114035</v>
      </c>
      <c r="D775" s="158" t="s">
        <v>1232</v>
      </c>
      <c r="E775" s="179" t="s">
        <v>1070</v>
      </c>
      <c r="F775" s="161">
        <v>2014</v>
      </c>
      <c r="G775" s="162" t="s">
        <v>33</v>
      </c>
      <c r="H775" s="163">
        <f t="shared" si="202"/>
        <v>42998</v>
      </c>
      <c r="I775" s="163">
        <f t="shared" si="203"/>
        <v>43440</v>
      </c>
      <c r="J775" s="1356">
        <v>1250000</v>
      </c>
      <c r="K775" s="1357"/>
      <c r="L775" s="1358">
        <v>3000000</v>
      </c>
      <c r="M775" s="1357">
        <v>41809</v>
      </c>
      <c r="N775" s="1358">
        <v>3000000</v>
      </c>
      <c r="O775" s="1357">
        <v>42062</v>
      </c>
      <c r="P775" s="1358">
        <v>3000000</v>
      </c>
      <c r="Q775" s="1357">
        <v>42228</v>
      </c>
      <c r="R775" s="1358">
        <v>3000000</v>
      </c>
      <c r="S775" s="1357">
        <v>42401</v>
      </c>
      <c r="T775" s="1358">
        <v>3000000</v>
      </c>
      <c r="U775" s="1357">
        <v>22</v>
      </c>
      <c r="V775" s="1358">
        <v>3000000</v>
      </c>
      <c r="W775" s="1547">
        <v>43061</v>
      </c>
      <c r="X775" s="1356">
        <v>3000000</v>
      </c>
      <c r="Y775" s="1547">
        <v>43061</v>
      </c>
      <c r="Z775" s="1358">
        <v>3000000</v>
      </c>
      <c r="AA775" s="1357">
        <v>43116</v>
      </c>
      <c r="AB775" s="1358">
        <v>1000000</v>
      </c>
      <c r="AC775" s="1383">
        <v>43061</v>
      </c>
      <c r="AD775" s="2300" t="s">
        <v>1233</v>
      </c>
      <c r="AE775" s="1612"/>
      <c r="AF775" s="1613"/>
      <c r="AG775" s="1612"/>
      <c r="AH775" s="1625" t="str">
        <f t="shared" si="204"/>
        <v>MPI-S2</v>
      </c>
      <c r="AI775" s="1424">
        <f t="shared" si="205"/>
        <v>26250000</v>
      </c>
      <c r="AJ775" s="1424">
        <f t="shared" si="206"/>
        <v>26250000</v>
      </c>
      <c r="AK775" s="1520">
        <f t="shared" si="207"/>
        <v>0</v>
      </c>
      <c r="AL775" s="1575" t="str">
        <f t="shared" si="208"/>
        <v>Lunas</v>
      </c>
      <c r="AM775" s="1410"/>
      <c r="AN775" s="1411"/>
      <c r="AO775" s="1410"/>
      <c r="AP775" s="1411"/>
      <c r="AQ775" s="1128"/>
      <c r="AR775" s="1173"/>
      <c r="AT775" s="1173"/>
      <c r="AV775" s="1173"/>
      <c r="AX775" s="1173"/>
      <c r="AY775" s="1176"/>
      <c r="AZ775" s="1173"/>
    </row>
    <row r="776" spans="1:52" s="2" customFormat="1" x14ac:dyDescent="0.25">
      <c r="A776" s="156">
        <v>726</v>
      </c>
      <c r="B776" s="157">
        <v>3</v>
      </c>
      <c r="C776" s="159">
        <v>849114010</v>
      </c>
      <c r="D776" s="158" t="s">
        <v>1234</v>
      </c>
      <c r="E776" s="160" t="s">
        <v>1070</v>
      </c>
      <c r="F776" s="161">
        <v>2014</v>
      </c>
      <c r="G776" s="162" t="s">
        <v>33</v>
      </c>
      <c r="H776" s="163">
        <f t="shared" si="202"/>
        <v>42693</v>
      </c>
      <c r="I776" s="163">
        <f t="shared" si="203"/>
        <v>42693</v>
      </c>
      <c r="J776" s="1356">
        <v>1250000</v>
      </c>
      <c r="K776" s="1357"/>
      <c r="L776" s="1358">
        <v>3000000</v>
      </c>
      <c r="M776" s="1357">
        <v>41814</v>
      </c>
      <c r="N776" s="1358">
        <v>3000000</v>
      </c>
      <c r="O776" s="1357">
        <v>42041</v>
      </c>
      <c r="P776" s="1358">
        <v>3000000</v>
      </c>
      <c r="Q776" s="1357">
        <v>42226</v>
      </c>
      <c r="R776" s="1358">
        <v>3000000</v>
      </c>
      <c r="S776" s="1357">
        <v>42410</v>
      </c>
      <c r="T776" s="1382" t="s">
        <v>276</v>
      </c>
      <c r="U776" s="1594">
        <v>43058</v>
      </c>
      <c r="V776" s="1363"/>
      <c r="W776" s="1367"/>
      <c r="X776" s="1366"/>
      <c r="Y776" s="1360"/>
      <c r="Z776" s="1363"/>
      <c r="AA776" s="1367"/>
      <c r="AB776" s="1358">
        <v>1000000</v>
      </c>
      <c r="AC776" s="1383">
        <v>42410</v>
      </c>
      <c r="AD776" s="1611" t="s">
        <v>1233</v>
      </c>
      <c r="AE776" s="1612"/>
      <c r="AF776" s="1613"/>
      <c r="AG776" s="1612"/>
      <c r="AH776" s="1625" t="str">
        <f t="shared" si="204"/>
        <v>MPI-S2</v>
      </c>
      <c r="AI776" s="1424">
        <f t="shared" si="205"/>
        <v>14250000</v>
      </c>
      <c r="AJ776" s="1424">
        <f t="shared" si="206"/>
        <v>14250000</v>
      </c>
      <c r="AK776" s="1520">
        <f t="shared" si="207"/>
        <v>0</v>
      </c>
      <c r="AL776" s="1575" t="str">
        <f t="shared" si="208"/>
        <v>Lunas</v>
      </c>
      <c r="AM776" s="1410"/>
      <c r="AN776" s="1411"/>
      <c r="AO776" s="1410"/>
      <c r="AP776" s="1411"/>
      <c r="AQ776" s="1128"/>
      <c r="AR776" s="1173"/>
      <c r="AT776" s="1173"/>
      <c r="AV776" s="1173"/>
      <c r="AX776" s="1173"/>
      <c r="AY776" s="1176"/>
      <c r="AZ776" s="1173"/>
    </row>
    <row r="777" spans="1:52" s="2" customFormat="1" x14ac:dyDescent="0.25">
      <c r="A777" s="156">
        <v>727</v>
      </c>
      <c r="B777" s="157">
        <v>4</v>
      </c>
      <c r="C777" s="159">
        <v>849114012</v>
      </c>
      <c r="D777" s="158" t="s">
        <v>1235</v>
      </c>
      <c r="E777" s="160" t="s">
        <v>1070</v>
      </c>
      <c r="F777" s="161">
        <v>2014</v>
      </c>
      <c r="G777" s="162" t="s">
        <v>33</v>
      </c>
      <c r="H777" s="163">
        <f t="shared" si="202"/>
        <v>42755</v>
      </c>
      <c r="I777" s="163">
        <f t="shared" si="203"/>
        <v>42861</v>
      </c>
      <c r="J777" s="1356">
        <v>1250000</v>
      </c>
      <c r="K777" s="1357"/>
      <c r="L777" s="1358">
        <v>3000000</v>
      </c>
      <c r="M777" s="1357">
        <v>41815</v>
      </c>
      <c r="N777" s="1358">
        <v>3000000</v>
      </c>
      <c r="O777" s="1357">
        <v>42067</v>
      </c>
      <c r="P777" s="1358">
        <v>3000000</v>
      </c>
      <c r="Q777" s="1357">
        <v>42250</v>
      </c>
      <c r="R777" s="1358">
        <v>3000000</v>
      </c>
      <c r="S777" s="1357">
        <v>42489</v>
      </c>
      <c r="T777" s="1358">
        <v>3000000</v>
      </c>
      <c r="U777" s="1547">
        <v>42734</v>
      </c>
      <c r="V777" s="1530"/>
      <c r="W777" s="1367"/>
      <c r="X777" s="1366"/>
      <c r="Y777" s="1360"/>
      <c r="Z777" s="1363"/>
      <c r="AA777" s="1367"/>
      <c r="AB777" s="1358">
        <v>1000000</v>
      </c>
      <c r="AC777" s="1383">
        <v>42734</v>
      </c>
      <c r="AD777" s="1611" t="s">
        <v>1233</v>
      </c>
      <c r="AE777" s="1612"/>
      <c r="AF777" s="1613"/>
      <c r="AG777" s="1612"/>
      <c r="AH777" s="1625" t="str">
        <f t="shared" si="204"/>
        <v>MPI-S2</v>
      </c>
      <c r="AI777" s="1424">
        <f t="shared" si="205"/>
        <v>17250000</v>
      </c>
      <c r="AJ777" s="1424">
        <f t="shared" si="206"/>
        <v>17250000</v>
      </c>
      <c r="AK777" s="1520">
        <f t="shared" si="207"/>
        <v>0</v>
      </c>
      <c r="AL777" s="1575" t="str">
        <f t="shared" si="208"/>
        <v>Lunas</v>
      </c>
      <c r="AM777" s="1410"/>
      <c r="AN777" s="1411"/>
      <c r="AO777" s="1410"/>
      <c r="AP777" s="1411"/>
      <c r="AQ777" s="1128"/>
      <c r="AR777" s="1173"/>
      <c r="AT777" s="1173"/>
      <c r="AV777" s="1173"/>
      <c r="AX777" s="1173"/>
      <c r="AY777" s="1176"/>
      <c r="AZ777" s="1173"/>
    </row>
    <row r="778" spans="1:52" s="2" customFormat="1" x14ac:dyDescent="0.25">
      <c r="A778" s="156">
        <v>728</v>
      </c>
      <c r="B778" s="157">
        <v>5</v>
      </c>
      <c r="C778" s="159">
        <v>849114011</v>
      </c>
      <c r="D778" s="158" t="s">
        <v>908</v>
      </c>
      <c r="E778" s="160" t="s">
        <v>1070</v>
      </c>
      <c r="F778" s="161">
        <v>2014</v>
      </c>
      <c r="G778" s="162" t="s">
        <v>33</v>
      </c>
      <c r="H778" s="163">
        <f t="shared" si="202"/>
        <v>42693</v>
      </c>
      <c r="I778" s="163">
        <f t="shared" si="203"/>
        <v>42693</v>
      </c>
      <c r="J778" s="1356">
        <v>1250000</v>
      </c>
      <c r="K778" s="1357"/>
      <c r="L778" s="1358">
        <v>3000000</v>
      </c>
      <c r="M778" s="1357">
        <v>41816</v>
      </c>
      <c r="N778" s="1358">
        <v>3000000</v>
      </c>
      <c r="O778" s="1357">
        <v>42080</v>
      </c>
      <c r="P778" s="1358">
        <v>3000000</v>
      </c>
      <c r="Q778" s="1357">
        <v>42374</v>
      </c>
      <c r="R778" s="1358">
        <v>3000000</v>
      </c>
      <c r="S778" s="1357">
        <v>42374</v>
      </c>
      <c r="T778" s="1382" t="s">
        <v>276</v>
      </c>
      <c r="U778" s="1594">
        <v>43058</v>
      </c>
      <c r="V778" s="1363"/>
      <c r="W778" s="1367"/>
      <c r="X778" s="1366"/>
      <c r="Y778" s="1360"/>
      <c r="Z778" s="1363"/>
      <c r="AA778" s="1367"/>
      <c r="AB778" s="1358">
        <v>1000000</v>
      </c>
      <c r="AC778" s="1383">
        <v>42534</v>
      </c>
      <c r="AD778" s="1611" t="s">
        <v>1233</v>
      </c>
      <c r="AE778" s="1612"/>
      <c r="AF778" s="1613"/>
      <c r="AG778" s="1612"/>
      <c r="AH778" s="1625" t="str">
        <f t="shared" si="204"/>
        <v>MPI-S2</v>
      </c>
      <c r="AI778" s="1424">
        <f t="shared" si="205"/>
        <v>14250000</v>
      </c>
      <c r="AJ778" s="1424">
        <f t="shared" si="206"/>
        <v>14250000</v>
      </c>
      <c r="AK778" s="1520">
        <f t="shared" si="207"/>
        <v>0</v>
      </c>
      <c r="AL778" s="1575" t="str">
        <f t="shared" si="208"/>
        <v>Lunas</v>
      </c>
      <c r="AM778" s="1410"/>
      <c r="AN778" s="1411"/>
      <c r="AO778" s="1410"/>
      <c r="AP778" s="1411"/>
      <c r="AQ778" s="1128"/>
      <c r="AR778" s="1173"/>
      <c r="AT778" s="1173"/>
      <c r="AV778" s="1173"/>
      <c r="AX778" s="1173"/>
      <c r="AY778" s="1176"/>
      <c r="AZ778" s="1173"/>
    </row>
    <row r="779" spans="1:52" s="2" customFormat="1" x14ac:dyDescent="0.25">
      <c r="A779" s="156">
        <v>729</v>
      </c>
      <c r="B779" s="157">
        <v>6</v>
      </c>
      <c r="C779" s="159">
        <v>849114006</v>
      </c>
      <c r="D779" s="158" t="s">
        <v>1236</v>
      </c>
      <c r="E779" s="160" t="s">
        <v>1070</v>
      </c>
      <c r="F779" s="161">
        <v>2014</v>
      </c>
      <c r="G779" s="162" t="s">
        <v>33</v>
      </c>
      <c r="H779" s="163">
        <f t="shared" si="202"/>
        <v>42755</v>
      </c>
      <c r="I779" s="163">
        <f t="shared" si="203"/>
        <v>42861</v>
      </c>
      <c r="J779" s="1356">
        <v>1250000</v>
      </c>
      <c r="K779" s="1357"/>
      <c r="L779" s="1358">
        <v>3000000</v>
      </c>
      <c r="M779" s="1357">
        <v>41816</v>
      </c>
      <c r="N779" s="1358">
        <v>3000000</v>
      </c>
      <c r="O779" s="1357">
        <v>42062</v>
      </c>
      <c r="P779" s="1358">
        <v>3000000</v>
      </c>
      <c r="Q779" s="1547">
        <v>42335</v>
      </c>
      <c r="R779" s="1358">
        <v>3000000</v>
      </c>
      <c r="S779" s="1357">
        <v>42489</v>
      </c>
      <c r="T779" s="1358">
        <v>3000000</v>
      </c>
      <c r="U779" s="1547">
        <v>42744</v>
      </c>
      <c r="V779" s="1465" t="s">
        <v>276</v>
      </c>
      <c r="W779" s="1360"/>
      <c r="X779" s="1366"/>
      <c r="Y779" s="1360"/>
      <c r="Z779" s="1430"/>
      <c r="AA779" s="1360"/>
      <c r="AB779" s="1358">
        <v>1000000</v>
      </c>
      <c r="AC779" s="1383">
        <v>42489</v>
      </c>
      <c r="AD779" s="1611" t="s">
        <v>1233</v>
      </c>
      <c r="AE779" s="1612"/>
      <c r="AF779" s="1613"/>
      <c r="AG779" s="1612"/>
      <c r="AH779" s="1625" t="str">
        <f t="shared" si="204"/>
        <v>MPI-S2</v>
      </c>
      <c r="AI779" s="1424">
        <f t="shared" si="205"/>
        <v>17250000</v>
      </c>
      <c r="AJ779" s="1424">
        <f t="shared" si="206"/>
        <v>17250000</v>
      </c>
      <c r="AK779" s="1520">
        <f t="shared" si="207"/>
        <v>0</v>
      </c>
      <c r="AL779" s="1575" t="str">
        <f t="shared" si="208"/>
        <v>Lunas</v>
      </c>
      <c r="AM779" s="1410"/>
      <c r="AN779" s="1411"/>
      <c r="AO779" s="1410"/>
      <c r="AP779" s="1411"/>
      <c r="AQ779" s="1128"/>
      <c r="AR779" s="1173"/>
      <c r="AT779" s="1173"/>
      <c r="AV779" s="1173"/>
      <c r="AX779" s="1173"/>
      <c r="AY779" s="1176"/>
      <c r="AZ779" s="1173"/>
    </row>
    <row r="780" spans="1:52" s="2" customFormat="1" x14ac:dyDescent="0.25">
      <c r="A780" s="156">
        <v>730</v>
      </c>
      <c r="B780" s="157">
        <v>7</v>
      </c>
      <c r="C780" s="159">
        <v>849114003</v>
      </c>
      <c r="D780" s="158" t="s">
        <v>1237</v>
      </c>
      <c r="E780" s="179" t="s">
        <v>1070</v>
      </c>
      <c r="F780" s="161">
        <v>2014</v>
      </c>
      <c r="G780" s="162" t="s">
        <v>33</v>
      </c>
      <c r="H780" s="163">
        <f t="shared" si="202"/>
        <v>43327</v>
      </c>
      <c r="I780" s="163">
        <f t="shared" si="203"/>
        <v>43440</v>
      </c>
      <c r="J780" s="1356">
        <v>1250000</v>
      </c>
      <c r="K780" s="1357"/>
      <c r="L780" s="1358">
        <v>3000000</v>
      </c>
      <c r="M780" s="1357">
        <v>41816</v>
      </c>
      <c r="N780" s="1475"/>
      <c r="O780" s="1144" t="s">
        <v>137</v>
      </c>
      <c r="P780" s="1358">
        <v>3000000</v>
      </c>
      <c r="Q780" s="1357">
        <v>42249</v>
      </c>
      <c r="R780" s="1356">
        <v>3000000</v>
      </c>
      <c r="S780" s="1357"/>
      <c r="T780" s="1358">
        <v>3000000</v>
      </c>
      <c r="U780" s="1547">
        <v>42586</v>
      </c>
      <c r="V780" s="1358">
        <v>3000000</v>
      </c>
      <c r="W780" s="1357">
        <v>42761</v>
      </c>
      <c r="X780" s="1356">
        <v>3000000</v>
      </c>
      <c r="Y780" s="1357">
        <v>43241</v>
      </c>
      <c r="Z780" s="1358">
        <v>3000000</v>
      </c>
      <c r="AA780" s="1357">
        <v>43241</v>
      </c>
      <c r="AB780" s="1358">
        <v>1000000</v>
      </c>
      <c r="AC780" s="1383">
        <v>42761</v>
      </c>
      <c r="AD780" s="1611" t="s">
        <v>1233</v>
      </c>
      <c r="AE780" s="1612"/>
      <c r="AF780" s="1613"/>
      <c r="AG780" s="1612"/>
      <c r="AH780" s="1625" t="str">
        <f t="shared" si="204"/>
        <v>MPI-S2</v>
      </c>
      <c r="AI780" s="1424">
        <f t="shared" si="205"/>
        <v>23250000</v>
      </c>
      <c r="AJ780" s="1424">
        <f t="shared" si="206"/>
        <v>23250000</v>
      </c>
      <c r="AK780" s="1520">
        <f t="shared" si="207"/>
        <v>0</v>
      </c>
      <c r="AL780" s="1575" t="str">
        <f t="shared" si="208"/>
        <v>Lunas</v>
      </c>
      <c r="AM780" s="1410"/>
      <c r="AN780" s="1411"/>
      <c r="AO780" s="1410"/>
      <c r="AP780" s="1411"/>
      <c r="AQ780" s="1128"/>
      <c r="AR780" s="1173"/>
      <c r="AT780" s="1173"/>
      <c r="AV780" s="1173"/>
      <c r="AX780" s="1173"/>
      <c r="AY780" s="1176"/>
      <c r="AZ780" s="1173"/>
    </row>
    <row r="781" spans="1:52" s="2" customFormat="1" x14ac:dyDescent="0.25">
      <c r="A781" s="156">
        <v>731</v>
      </c>
      <c r="B781" s="157">
        <v>8</v>
      </c>
      <c r="C781" s="159">
        <v>849114005</v>
      </c>
      <c r="D781" s="158" t="s">
        <v>1238</v>
      </c>
      <c r="E781" s="179" t="s">
        <v>1070</v>
      </c>
      <c r="F781" s="161">
        <v>2014</v>
      </c>
      <c r="G781" s="162" t="s">
        <v>33</v>
      </c>
      <c r="H781" s="163">
        <f t="shared" si="202"/>
        <v>43283</v>
      </c>
      <c r="I781" s="163">
        <f t="shared" si="203"/>
        <v>43440</v>
      </c>
      <c r="J781" s="1358">
        <v>1250000</v>
      </c>
      <c r="K781" s="1357"/>
      <c r="L781" s="1358">
        <v>3000000</v>
      </c>
      <c r="M781" s="1357">
        <v>41817</v>
      </c>
      <c r="N781" s="1358">
        <v>3000000</v>
      </c>
      <c r="O781" s="1357">
        <v>42111</v>
      </c>
      <c r="P781" s="1358">
        <v>3000000</v>
      </c>
      <c r="Q781" s="1357">
        <v>43248</v>
      </c>
      <c r="R781" s="1358">
        <v>3000000</v>
      </c>
      <c r="S781" s="1357">
        <v>43248</v>
      </c>
      <c r="T781" s="1358">
        <v>3000000</v>
      </c>
      <c r="U781" s="1547">
        <v>43248</v>
      </c>
      <c r="V781" s="1358">
        <v>3000000</v>
      </c>
      <c r="W781" s="1357">
        <v>43248</v>
      </c>
      <c r="X781" s="1595">
        <v>3000000</v>
      </c>
      <c r="Y781" s="1357">
        <v>43248</v>
      </c>
      <c r="Z781" s="1358">
        <v>3000000</v>
      </c>
      <c r="AA781" s="1357">
        <v>43283</v>
      </c>
      <c r="AB781" s="1358">
        <v>1000000</v>
      </c>
      <c r="AC781" s="1357">
        <v>43248</v>
      </c>
      <c r="AD781" s="1611" t="s">
        <v>1233</v>
      </c>
      <c r="AE781" s="1612"/>
      <c r="AF781" s="1613"/>
      <c r="AG781" s="1612"/>
      <c r="AH781" s="1625" t="str">
        <f t="shared" si="204"/>
        <v>MPI-S2</v>
      </c>
      <c r="AI781" s="1424">
        <f t="shared" si="205"/>
        <v>26250000</v>
      </c>
      <c r="AJ781" s="1424">
        <f t="shared" si="206"/>
        <v>26250000</v>
      </c>
      <c r="AK781" s="1520">
        <f t="shared" si="207"/>
        <v>0</v>
      </c>
      <c r="AL781" s="1575" t="str">
        <f t="shared" si="208"/>
        <v>Lunas</v>
      </c>
      <c r="AM781" s="1410"/>
      <c r="AN781" s="1411"/>
      <c r="AO781" s="1410"/>
      <c r="AP781" s="1411"/>
      <c r="AQ781" s="1128"/>
      <c r="AR781" s="1173"/>
      <c r="AT781" s="1173"/>
      <c r="AV781" s="1173"/>
      <c r="AX781" s="1173"/>
      <c r="AY781" s="1176"/>
      <c r="AZ781" s="1173"/>
    </row>
    <row r="782" spans="1:52" s="2" customFormat="1" x14ac:dyDescent="0.25">
      <c r="A782" s="156">
        <v>732</v>
      </c>
      <c r="B782" s="157">
        <v>9</v>
      </c>
      <c r="C782" s="159">
        <v>849114008</v>
      </c>
      <c r="D782" s="158" t="s">
        <v>1239</v>
      </c>
      <c r="E782" s="160" t="s">
        <v>1070</v>
      </c>
      <c r="F782" s="161">
        <v>2014</v>
      </c>
      <c r="G782" s="162" t="s">
        <v>33</v>
      </c>
      <c r="H782" s="163">
        <f t="shared" si="202"/>
        <v>42692</v>
      </c>
      <c r="I782" s="163">
        <f t="shared" si="203"/>
        <v>42861</v>
      </c>
      <c r="J782" s="1356">
        <v>1250000</v>
      </c>
      <c r="K782" s="1357"/>
      <c r="L782" s="1358">
        <v>3000000</v>
      </c>
      <c r="M782" s="1357">
        <v>41821</v>
      </c>
      <c r="N782" s="1358">
        <v>3000000</v>
      </c>
      <c r="O782" s="1357">
        <v>42069</v>
      </c>
      <c r="P782" s="1358">
        <v>3000000</v>
      </c>
      <c r="Q782" s="1357">
        <v>42261</v>
      </c>
      <c r="R782" s="1358">
        <v>3000000</v>
      </c>
      <c r="S782" s="1357">
        <v>42372</v>
      </c>
      <c r="T782" s="1358">
        <v>3000000</v>
      </c>
      <c r="U782" s="1547">
        <v>42688</v>
      </c>
      <c r="V782" s="1465" t="s">
        <v>276</v>
      </c>
      <c r="W782" s="1360"/>
      <c r="X782" s="1366"/>
      <c r="Y782" s="1360"/>
      <c r="Z782" s="1430"/>
      <c r="AA782" s="1360"/>
      <c r="AB782" s="1358">
        <v>1000000</v>
      </c>
      <c r="AC782" s="1383">
        <v>42688</v>
      </c>
      <c r="AD782" s="1611" t="s">
        <v>1233</v>
      </c>
      <c r="AE782" s="1612"/>
      <c r="AF782" s="1613"/>
      <c r="AG782" s="1612"/>
      <c r="AH782" s="1625" t="str">
        <f t="shared" si="204"/>
        <v>MPI-S2</v>
      </c>
      <c r="AI782" s="1424">
        <f t="shared" si="205"/>
        <v>17250000</v>
      </c>
      <c r="AJ782" s="1424">
        <f t="shared" si="206"/>
        <v>17250000</v>
      </c>
      <c r="AK782" s="1520">
        <f t="shared" si="207"/>
        <v>0</v>
      </c>
      <c r="AL782" s="1575" t="str">
        <f t="shared" si="208"/>
        <v>Lunas</v>
      </c>
      <c r="AM782" s="1410"/>
      <c r="AN782" s="1411"/>
      <c r="AO782" s="1410"/>
      <c r="AP782" s="1411"/>
      <c r="AQ782" s="1128"/>
      <c r="AR782" s="1173"/>
      <c r="AT782" s="1173"/>
      <c r="AV782" s="1173"/>
      <c r="AX782" s="1173"/>
      <c r="AY782" s="1176"/>
      <c r="AZ782" s="1173"/>
    </row>
    <row r="783" spans="1:52" s="2" customFormat="1" x14ac:dyDescent="0.25">
      <c r="A783" s="156">
        <v>733</v>
      </c>
      <c r="B783" s="157">
        <v>10</v>
      </c>
      <c r="C783" s="159">
        <v>849114007</v>
      </c>
      <c r="D783" s="158" t="s">
        <v>1240</v>
      </c>
      <c r="E783" s="160" t="s">
        <v>1070</v>
      </c>
      <c r="F783" s="161">
        <v>2014</v>
      </c>
      <c r="G783" s="162" t="s">
        <v>33</v>
      </c>
      <c r="H783" s="163">
        <f t="shared" si="202"/>
        <v>42698</v>
      </c>
      <c r="I783" s="163">
        <f t="shared" si="203"/>
        <v>42861</v>
      </c>
      <c r="J783" s="1356">
        <v>1250000</v>
      </c>
      <c r="K783" s="1357"/>
      <c r="L783" s="1358">
        <v>3000000</v>
      </c>
      <c r="M783" s="1357">
        <v>41821</v>
      </c>
      <c r="N783" s="1358">
        <v>3000000</v>
      </c>
      <c r="O783" s="1357">
        <v>42095</v>
      </c>
      <c r="P783" s="1358">
        <v>3000000</v>
      </c>
      <c r="Q783" s="1357">
        <v>42265</v>
      </c>
      <c r="R783" s="1358">
        <v>3000000</v>
      </c>
      <c r="S783" s="1357">
        <v>42373</v>
      </c>
      <c r="T783" s="1358">
        <v>3000000</v>
      </c>
      <c r="U783" s="1547">
        <v>42655</v>
      </c>
      <c r="V783" s="1465" t="s">
        <v>276</v>
      </c>
      <c r="W783" s="1360"/>
      <c r="X783" s="1366"/>
      <c r="Y783" s="1360"/>
      <c r="Z783" s="1430"/>
      <c r="AA783" s="1360"/>
      <c r="AB783" s="1358">
        <v>1000000</v>
      </c>
      <c r="AC783" s="1383">
        <v>42655</v>
      </c>
      <c r="AD783" s="1611" t="s">
        <v>1233</v>
      </c>
      <c r="AE783" s="1612"/>
      <c r="AF783" s="1613"/>
      <c r="AG783" s="1612"/>
      <c r="AH783" s="1625" t="str">
        <f t="shared" si="204"/>
        <v>MPI-S2</v>
      </c>
      <c r="AI783" s="1424">
        <f t="shared" si="205"/>
        <v>17250000</v>
      </c>
      <c r="AJ783" s="1424">
        <f t="shared" si="206"/>
        <v>17250000</v>
      </c>
      <c r="AK783" s="1520">
        <f t="shared" si="207"/>
        <v>0</v>
      </c>
      <c r="AL783" s="1575" t="str">
        <f t="shared" si="208"/>
        <v>Lunas</v>
      </c>
      <c r="AM783" s="1410"/>
      <c r="AN783" s="1411"/>
      <c r="AO783" s="1410"/>
      <c r="AP783" s="1411"/>
      <c r="AQ783" s="1128"/>
      <c r="AR783" s="1173"/>
      <c r="AT783" s="1173"/>
      <c r="AV783" s="1173"/>
      <c r="AX783" s="1173"/>
      <c r="AY783" s="1176"/>
      <c r="AZ783" s="1173"/>
    </row>
    <row r="784" spans="1:52" s="2" customFormat="1" x14ac:dyDescent="0.25">
      <c r="A784" s="156">
        <v>734</v>
      </c>
      <c r="B784" s="157">
        <v>11</v>
      </c>
      <c r="C784" s="159">
        <v>849114037</v>
      </c>
      <c r="D784" s="158" t="s">
        <v>1241</v>
      </c>
      <c r="E784" s="160" t="s">
        <v>1242</v>
      </c>
      <c r="F784" s="161">
        <v>2014</v>
      </c>
      <c r="G784" s="162" t="s">
        <v>33</v>
      </c>
      <c r="H784" s="163">
        <f t="shared" si="202"/>
        <v>43076</v>
      </c>
      <c r="I784" s="163">
        <f t="shared" si="203"/>
        <v>43218</v>
      </c>
      <c r="J784" s="1356">
        <v>1250000</v>
      </c>
      <c r="K784" s="1357"/>
      <c r="L784" s="1358">
        <v>3000000</v>
      </c>
      <c r="M784" s="1357">
        <v>41824</v>
      </c>
      <c r="N784" s="1358">
        <v>3000000</v>
      </c>
      <c r="O784" s="1357">
        <v>42069</v>
      </c>
      <c r="P784" s="1358">
        <v>3000000</v>
      </c>
      <c r="Q784" s="1547">
        <v>42352</v>
      </c>
      <c r="R784" s="1358">
        <v>3000000</v>
      </c>
      <c r="S784" s="1357">
        <v>42412</v>
      </c>
      <c r="T784" s="1358">
        <v>3000000</v>
      </c>
      <c r="U784" s="1547">
        <v>42794</v>
      </c>
      <c r="V784" s="1358">
        <v>3000000</v>
      </c>
      <c r="W784" s="1547">
        <v>43062</v>
      </c>
      <c r="X784" s="1356">
        <v>3000000</v>
      </c>
      <c r="Y784" s="1547">
        <v>43062</v>
      </c>
      <c r="Z784" s="1465" t="s">
        <v>1080</v>
      </c>
      <c r="AA784" s="1360"/>
      <c r="AB784" s="1358">
        <v>1000000</v>
      </c>
      <c r="AC784" s="1383">
        <v>43066</v>
      </c>
      <c r="AD784" s="1611" t="s">
        <v>1233</v>
      </c>
      <c r="AE784" s="1612"/>
      <c r="AF784" s="1613"/>
      <c r="AG784" s="1612"/>
      <c r="AH784" s="1625" t="str">
        <f t="shared" si="204"/>
        <v xml:space="preserve">MPI-S2 </v>
      </c>
      <c r="AI784" s="1424">
        <f t="shared" si="205"/>
        <v>23250000</v>
      </c>
      <c r="AJ784" s="1424">
        <f t="shared" si="206"/>
        <v>23250000</v>
      </c>
      <c r="AK784" s="1520">
        <f t="shared" si="207"/>
        <v>0</v>
      </c>
      <c r="AL784" s="1575" t="str">
        <f t="shared" si="208"/>
        <v>Lunas</v>
      </c>
      <c r="AM784" s="1410"/>
      <c r="AN784" s="1411"/>
      <c r="AO784" s="1410"/>
      <c r="AP784" s="1411"/>
      <c r="AQ784" s="1128"/>
      <c r="AR784" s="1173"/>
      <c r="AT784" s="1173"/>
      <c r="AV784" s="1173"/>
      <c r="AX784" s="1173"/>
      <c r="AY784" s="1176"/>
      <c r="AZ784" s="1173"/>
    </row>
    <row r="785" spans="1:52" s="2" customFormat="1" x14ac:dyDescent="0.25">
      <c r="A785" s="164">
        <v>735</v>
      </c>
      <c r="B785" s="235">
        <v>12</v>
      </c>
      <c r="C785" s="302">
        <v>849114043</v>
      </c>
      <c r="D785" s="301" t="s">
        <v>1243</v>
      </c>
      <c r="E785" s="298" t="s">
        <v>1070</v>
      </c>
      <c r="F785" s="299">
        <v>2014</v>
      </c>
      <c r="G785" s="214" t="s">
        <v>1077</v>
      </c>
      <c r="H785" s="303" t="str">
        <f t="shared" si="202"/>
        <v xml:space="preserve">   </v>
      </c>
      <c r="I785" s="303" t="str">
        <f t="shared" si="203"/>
        <v xml:space="preserve">   </v>
      </c>
      <c r="J785" s="1531">
        <v>1250000</v>
      </c>
      <c r="K785" s="1545"/>
      <c r="L785" s="1471">
        <v>3000000</v>
      </c>
      <c r="M785" s="1545">
        <v>41841</v>
      </c>
      <c r="N785" s="1471">
        <v>3000000</v>
      </c>
      <c r="O785" s="1545">
        <v>42069</v>
      </c>
      <c r="P785" s="1471">
        <v>3000000</v>
      </c>
      <c r="Q785" s="1596">
        <v>42352</v>
      </c>
      <c r="R785" s="1471">
        <v>3000000</v>
      </c>
      <c r="S785" s="1545">
        <v>42401</v>
      </c>
      <c r="T785" s="1363"/>
      <c r="U785" s="1367"/>
      <c r="V785" s="1530"/>
      <c r="W785" s="1360"/>
      <c r="X785" s="1366"/>
      <c r="Y785" s="1360"/>
      <c r="Z785" s="1430"/>
      <c r="AA785" s="1360"/>
      <c r="AB785" s="1530"/>
      <c r="AC785" s="1500"/>
      <c r="AD785" s="1611" t="s">
        <v>1233</v>
      </c>
      <c r="AE785" s="1612"/>
      <c r="AF785" s="1613"/>
      <c r="AG785" s="1612"/>
      <c r="AH785" s="1625" t="str">
        <f t="shared" si="204"/>
        <v>MPI-S2</v>
      </c>
      <c r="AI785" s="1427">
        <f t="shared" si="205"/>
        <v>13250000</v>
      </c>
      <c r="AJ785" s="1427">
        <f t="shared" si="206"/>
        <v>13250000</v>
      </c>
      <c r="AK785" s="1427">
        <f t="shared" si="207"/>
        <v>0</v>
      </c>
      <c r="AL785" s="1428" t="s">
        <v>1077</v>
      </c>
      <c r="AM785" s="1410"/>
      <c r="AN785" s="1411"/>
      <c r="AO785" s="1410"/>
      <c r="AP785" s="1411"/>
      <c r="AQ785" s="1128"/>
      <c r="AR785" s="1173"/>
      <c r="AT785" s="1173"/>
      <c r="AV785" s="1173"/>
      <c r="AX785" s="1173"/>
      <c r="AY785" s="1176"/>
      <c r="AZ785" s="1173"/>
    </row>
    <row r="786" spans="1:52" s="2" customFormat="1" x14ac:dyDescent="0.25">
      <c r="A786" s="156">
        <v>736</v>
      </c>
      <c r="B786" s="157">
        <v>13</v>
      </c>
      <c r="C786" s="159">
        <v>849114018</v>
      </c>
      <c r="D786" s="158" t="s">
        <v>1244</v>
      </c>
      <c r="E786" s="160" t="s">
        <v>1070</v>
      </c>
      <c r="F786" s="161">
        <v>2014</v>
      </c>
      <c r="G786" s="162" t="s">
        <v>33</v>
      </c>
      <c r="H786" s="163">
        <f t="shared" si="202"/>
        <v>42690</v>
      </c>
      <c r="I786" s="163">
        <f t="shared" si="203"/>
        <v>42861</v>
      </c>
      <c r="J786" s="1356">
        <v>1250000</v>
      </c>
      <c r="K786" s="1357"/>
      <c r="L786" s="1358">
        <v>3000000</v>
      </c>
      <c r="M786" s="1357">
        <v>41841</v>
      </c>
      <c r="N786" s="1358">
        <v>3000000</v>
      </c>
      <c r="O786" s="1357">
        <v>42072</v>
      </c>
      <c r="P786" s="1358">
        <v>3000000</v>
      </c>
      <c r="Q786" s="1357">
        <v>42223</v>
      </c>
      <c r="R786" s="1358">
        <v>3000000</v>
      </c>
      <c r="S786" s="1357">
        <v>42398</v>
      </c>
      <c r="T786" s="1356">
        <v>3000000</v>
      </c>
      <c r="U786" s="1357">
        <v>42577</v>
      </c>
      <c r="V786" s="1465" t="s">
        <v>276</v>
      </c>
      <c r="W786" s="1360"/>
      <c r="X786" s="1366"/>
      <c r="Y786" s="1360"/>
      <c r="Z786" s="1430"/>
      <c r="AA786" s="1360"/>
      <c r="AB786" s="1358">
        <v>1000000</v>
      </c>
      <c r="AC786" s="1383">
        <v>42660</v>
      </c>
      <c r="AD786" s="1611" t="s">
        <v>1233</v>
      </c>
      <c r="AE786" s="1612"/>
      <c r="AF786" s="1613"/>
      <c r="AG786" s="1612"/>
      <c r="AH786" s="1625" t="str">
        <f t="shared" si="204"/>
        <v>MPI-S2</v>
      </c>
      <c r="AI786" s="1424">
        <f t="shared" si="205"/>
        <v>17250000</v>
      </c>
      <c r="AJ786" s="1424">
        <f t="shared" si="206"/>
        <v>17250000</v>
      </c>
      <c r="AK786" s="1520">
        <f t="shared" si="207"/>
        <v>0</v>
      </c>
      <c r="AL786" s="1575" t="str">
        <f t="shared" si="208"/>
        <v>Lunas</v>
      </c>
      <c r="AM786" s="1410"/>
      <c r="AN786" s="1411"/>
      <c r="AO786" s="1410"/>
      <c r="AP786" s="1411"/>
      <c r="AQ786" s="1128"/>
      <c r="AR786" s="1173"/>
      <c r="AT786" s="1173"/>
      <c r="AV786" s="1173"/>
      <c r="AX786" s="1173"/>
      <c r="AY786" s="1176"/>
      <c r="AZ786" s="1173"/>
    </row>
    <row r="787" spans="1:52" s="2" customFormat="1" x14ac:dyDescent="0.25">
      <c r="A787" s="164">
        <v>737</v>
      </c>
      <c r="B787" s="235">
        <v>14</v>
      </c>
      <c r="C787" s="304">
        <v>849114004</v>
      </c>
      <c r="D787" s="301" t="s">
        <v>1245</v>
      </c>
      <c r="E787" s="298" t="s">
        <v>1070</v>
      </c>
      <c r="F787" s="299">
        <v>2014</v>
      </c>
      <c r="G787" s="214" t="s">
        <v>1077</v>
      </c>
      <c r="H787" s="303" t="str">
        <f t="shared" si="202"/>
        <v xml:space="preserve">   </v>
      </c>
      <c r="I787" s="303" t="str">
        <f t="shared" si="203"/>
        <v xml:space="preserve">   </v>
      </c>
      <c r="J787" s="1531">
        <v>1250000</v>
      </c>
      <c r="K787" s="1545"/>
      <c r="L787" s="1471">
        <v>3000000</v>
      </c>
      <c r="M787" s="1545">
        <v>41856</v>
      </c>
      <c r="N787" s="1471">
        <v>3000000</v>
      </c>
      <c r="O787" s="1545">
        <v>42060</v>
      </c>
      <c r="P787" s="1471">
        <v>3000000</v>
      </c>
      <c r="Q787" s="1454">
        <v>42243</v>
      </c>
      <c r="R787" s="1530"/>
      <c r="S787" s="1367"/>
      <c r="T787" s="1363"/>
      <c r="U787" s="1367"/>
      <c r="V787" s="1530"/>
      <c r="W787" s="1360"/>
      <c r="X787" s="1366"/>
      <c r="Y787" s="1360"/>
      <c r="Z787" s="1430"/>
      <c r="AA787" s="1360"/>
      <c r="AB787" s="1530"/>
      <c r="AC787" s="1503"/>
      <c r="AD787" s="1611" t="s">
        <v>1233</v>
      </c>
      <c r="AE787" s="1612"/>
      <c r="AF787" s="1613"/>
      <c r="AG787" s="1612"/>
      <c r="AH787" s="1625" t="str">
        <f t="shared" si="204"/>
        <v>MPI-S2</v>
      </c>
      <c r="AI787" s="1427">
        <f t="shared" si="205"/>
        <v>10250000</v>
      </c>
      <c r="AJ787" s="1427">
        <f t="shared" si="206"/>
        <v>10250000</v>
      </c>
      <c r="AK787" s="1427">
        <f t="shared" si="207"/>
        <v>0</v>
      </c>
      <c r="AL787" s="1428" t="s">
        <v>1077</v>
      </c>
      <c r="AM787" s="1410"/>
      <c r="AN787" s="1411"/>
      <c r="AO787" s="1410"/>
      <c r="AP787" s="1411"/>
      <c r="AQ787" s="1128"/>
      <c r="AR787" s="1173"/>
      <c r="AT787" s="1173"/>
      <c r="AV787" s="1173"/>
      <c r="AX787" s="1173"/>
      <c r="AY787" s="1176"/>
      <c r="AZ787" s="1173"/>
    </row>
    <row r="788" spans="1:52" s="2" customFormat="1" x14ac:dyDescent="0.25">
      <c r="A788" s="156">
        <v>738</v>
      </c>
      <c r="B788" s="157">
        <v>15</v>
      </c>
      <c r="C788" s="159">
        <v>849114001</v>
      </c>
      <c r="D788" s="158" t="s">
        <v>1246</v>
      </c>
      <c r="E788" s="160" t="s">
        <v>1070</v>
      </c>
      <c r="F788" s="161">
        <v>2014</v>
      </c>
      <c r="G788" s="162" t="s">
        <v>33</v>
      </c>
      <c r="H788" s="163">
        <f t="shared" si="202"/>
        <v>42693</v>
      </c>
      <c r="I788" s="163">
        <f t="shared" si="203"/>
        <v>42693</v>
      </c>
      <c r="J788" s="1356">
        <v>1250000</v>
      </c>
      <c r="K788" s="1357"/>
      <c r="L788" s="1358">
        <v>3000000</v>
      </c>
      <c r="M788" s="1357">
        <v>41858</v>
      </c>
      <c r="N788" s="1358">
        <v>3000000</v>
      </c>
      <c r="O788" s="1357">
        <v>42059</v>
      </c>
      <c r="P788" s="1358">
        <v>3000000</v>
      </c>
      <c r="Q788" s="1357">
        <v>42077</v>
      </c>
      <c r="R788" s="1358">
        <v>3000000</v>
      </c>
      <c r="S788" s="1357">
        <v>42534</v>
      </c>
      <c r="T788" s="1382" t="s">
        <v>276</v>
      </c>
      <c r="U788" s="1383">
        <v>43058</v>
      </c>
      <c r="V788" s="1430"/>
      <c r="W788" s="1360"/>
      <c r="X788" s="1366"/>
      <c r="Y788" s="1360"/>
      <c r="Z788" s="1430"/>
      <c r="AA788" s="1360"/>
      <c r="AB788" s="1358">
        <v>1000000</v>
      </c>
      <c r="AC788" s="1383">
        <v>42534</v>
      </c>
      <c r="AD788" s="1611" t="s">
        <v>1233</v>
      </c>
      <c r="AE788" s="1612"/>
      <c r="AF788" s="1613"/>
      <c r="AG788" s="1612"/>
      <c r="AH788" s="1625" t="str">
        <f t="shared" si="204"/>
        <v>MPI-S2</v>
      </c>
      <c r="AI788" s="1424">
        <f t="shared" si="205"/>
        <v>14250000</v>
      </c>
      <c r="AJ788" s="1424">
        <f t="shared" si="206"/>
        <v>14250000</v>
      </c>
      <c r="AK788" s="1520">
        <f t="shared" si="207"/>
        <v>0</v>
      </c>
      <c r="AL788" s="1575" t="str">
        <f t="shared" si="208"/>
        <v>Lunas</v>
      </c>
      <c r="AM788" s="1410"/>
      <c r="AN788" s="1411"/>
      <c r="AO788" s="1410"/>
      <c r="AP788" s="1411"/>
      <c r="AQ788" s="1128"/>
      <c r="AR788" s="1173"/>
      <c r="AT788" s="1173"/>
      <c r="AV788" s="1173"/>
      <c r="AX788" s="1173"/>
      <c r="AY788" s="1176"/>
      <c r="AZ788" s="1173"/>
    </row>
    <row r="789" spans="1:52" s="2" customFormat="1" x14ac:dyDescent="0.25">
      <c r="A789" s="156">
        <v>739</v>
      </c>
      <c r="B789" s="157">
        <v>16</v>
      </c>
      <c r="C789" s="159">
        <v>849114002</v>
      </c>
      <c r="D789" s="158" t="s">
        <v>1247</v>
      </c>
      <c r="E789" s="160" t="s">
        <v>1070</v>
      </c>
      <c r="F789" s="161">
        <v>2014</v>
      </c>
      <c r="G789" s="162" t="s">
        <v>33</v>
      </c>
      <c r="H789" s="163">
        <f t="shared" si="202"/>
        <v>42864</v>
      </c>
      <c r="I789" s="163">
        <f t="shared" si="203"/>
        <v>43064</v>
      </c>
      <c r="J789" s="1356">
        <v>1250000</v>
      </c>
      <c r="K789" s="1357"/>
      <c r="L789" s="1358">
        <v>3000000</v>
      </c>
      <c r="M789" s="1357">
        <v>41859</v>
      </c>
      <c r="N789" s="1358">
        <v>3000000</v>
      </c>
      <c r="O789" s="1357">
        <v>42060</v>
      </c>
      <c r="P789" s="1358">
        <v>3000000</v>
      </c>
      <c r="Q789" s="1357">
        <v>42317</v>
      </c>
      <c r="R789" s="1186" t="s">
        <v>1078</v>
      </c>
      <c r="S789" s="1386">
        <v>42402</v>
      </c>
      <c r="T789" s="1358">
        <v>3000000</v>
      </c>
      <c r="U789" s="1357">
        <v>42858</v>
      </c>
      <c r="V789" s="1465" t="s">
        <v>276</v>
      </c>
      <c r="W789" s="1360"/>
      <c r="X789" s="1366"/>
      <c r="Y789" s="1360"/>
      <c r="Z789" s="1430"/>
      <c r="AA789" s="1360"/>
      <c r="AB789" s="1358">
        <v>1000000</v>
      </c>
      <c r="AC789" s="1383">
        <v>42858</v>
      </c>
      <c r="AD789" s="1611" t="s">
        <v>1233</v>
      </c>
      <c r="AE789" s="1612"/>
      <c r="AF789" s="1613"/>
      <c r="AG789" s="1612"/>
      <c r="AH789" s="1625" t="str">
        <f t="shared" si="204"/>
        <v>MPI-S2</v>
      </c>
      <c r="AI789" s="1424">
        <f t="shared" si="205"/>
        <v>14250000</v>
      </c>
      <c r="AJ789" s="1424">
        <f t="shared" si="206"/>
        <v>14250000</v>
      </c>
      <c r="AK789" s="1520">
        <f t="shared" si="207"/>
        <v>0</v>
      </c>
      <c r="AL789" s="1575" t="str">
        <f t="shared" si="208"/>
        <v>Lunas</v>
      </c>
      <c r="AM789" s="1410"/>
      <c r="AN789" s="1411"/>
      <c r="AO789" s="1410"/>
      <c r="AP789" s="1411"/>
      <c r="AQ789" s="1128"/>
      <c r="AR789" s="1173"/>
      <c r="AT789" s="1173"/>
      <c r="AV789" s="1173"/>
      <c r="AX789" s="1173"/>
      <c r="AY789" s="1176"/>
      <c r="AZ789" s="1173"/>
    </row>
    <row r="790" spans="1:52" s="2" customFormat="1" x14ac:dyDescent="0.25">
      <c r="A790" s="164">
        <v>740</v>
      </c>
      <c r="B790" s="165">
        <v>17</v>
      </c>
      <c r="C790" s="174">
        <v>849114026</v>
      </c>
      <c r="D790" s="166" t="s">
        <v>1248</v>
      </c>
      <c r="E790" s="168" t="s">
        <v>1070</v>
      </c>
      <c r="F790" s="169">
        <v>2014</v>
      </c>
      <c r="G790" s="170" t="s">
        <v>1077</v>
      </c>
      <c r="H790" s="265" t="str">
        <f t="shared" si="202"/>
        <v xml:space="preserve">   </v>
      </c>
      <c r="I790" s="265" t="str">
        <f t="shared" si="203"/>
        <v xml:space="preserve">   </v>
      </c>
      <c r="J790" s="1366">
        <v>1250000</v>
      </c>
      <c r="K790" s="1360"/>
      <c r="L790" s="1430">
        <v>3000000</v>
      </c>
      <c r="M790" s="1360">
        <v>41859</v>
      </c>
      <c r="N790" s="1363">
        <v>3000000</v>
      </c>
      <c r="O790" s="1367">
        <v>42090</v>
      </c>
      <c r="P790" s="1363">
        <v>3000000</v>
      </c>
      <c r="Q790" s="1367">
        <v>42251</v>
      </c>
      <c r="R790" s="1363">
        <v>3000000</v>
      </c>
      <c r="S790" s="1367">
        <v>42402</v>
      </c>
      <c r="T790" s="1363"/>
      <c r="U790" s="1367"/>
      <c r="V790" s="1499"/>
      <c r="W790" s="1367"/>
      <c r="X790" s="1366"/>
      <c r="Y790" s="1360"/>
      <c r="Z790" s="1363"/>
      <c r="AA790" s="1360"/>
      <c r="AB790" s="1530"/>
      <c r="AC790" s="1500"/>
      <c r="AD790" s="1611" t="s">
        <v>1233</v>
      </c>
      <c r="AE790" s="1612"/>
      <c r="AF790" s="1613"/>
      <c r="AG790" s="1612"/>
      <c r="AH790" s="1625" t="str">
        <f t="shared" si="204"/>
        <v>MPI-S2</v>
      </c>
      <c r="AI790" s="1427">
        <f t="shared" si="205"/>
        <v>13250000</v>
      </c>
      <c r="AJ790" s="1427">
        <f t="shared" si="206"/>
        <v>13250000</v>
      </c>
      <c r="AK790" s="1427">
        <f t="shared" si="207"/>
        <v>0</v>
      </c>
      <c r="AL790" s="1428" t="s">
        <v>1077</v>
      </c>
      <c r="AM790" s="1410"/>
      <c r="AN790" s="1411"/>
      <c r="AO790" s="1410"/>
      <c r="AP790" s="1411"/>
      <c r="AQ790" s="1128"/>
      <c r="AR790" s="1173"/>
      <c r="AT790" s="1173"/>
      <c r="AV790" s="1173"/>
      <c r="AX790" s="1173"/>
      <c r="AY790" s="1176"/>
      <c r="AZ790" s="1173"/>
    </row>
    <row r="791" spans="1:52" s="2" customFormat="1" x14ac:dyDescent="0.25">
      <c r="A791" s="164">
        <v>741</v>
      </c>
      <c r="B791" s="305">
        <v>18</v>
      </c>
      <c r="C791" s="304">
        <v>849114020</v>
      </c>
      <c r="D791" s="301" t="s">
        <v>1249</v>
      </c>
      <c r="E791" s="298" t="s">
        <v>1070</v>
      </c>
      <c r="F791" s="299">
        <v>2014</v>
      </c>
      <c r="G791" s="214" t="s">
        <v>1077</v>
      </c>
      <c r="H791" s="303" t="str">
        <f t="shared" si="202"/>
        <v xml:space="preserve">   </v>
      </c>
      <c r="I791" s="303" t="str">
        <f t="shared" si="203"/>
        <v xml:space="preserve">   </v>
      </c>
      <c r="J791" s="1531">
        <v>1250000</v>
      </c>
      <c r="K791" s="1545"/>
      <c r="L791" s="1471">
        <v>3000000</v>
      </c>
      <c r="M791" s="1545">
        <v>41859</v>
      </c>
      <c r="N791" s="1471">
        <v>3000000</v>
      </c>
      <c r="O791" s="1545">
        <v>42062</v>
      </c>
      <c r="P791" s="1363"/>
      <c r="Q791" s="1367"/>
      <c r="R791" s="1530"/>
      <c r="S791" s="1367"/>
      <c r="T791" s="1363"/>
      <c r="U791" s="1367"/>
      <c r="V791" s="1499"/>
      <c r="W791" s="1360"/>
      <c r="X791" s="1366"/>
      <c r="Y791" s="1360"/>
      <c r="Z791" s="1363"/>
      <c r="AA791" s="1360"/>
      <c r="AB791" s="1530"/>
      <c r="AC791" s="1500"/>
      <c r="AD791" s="1611" t="s">
        <v>1233</v>
      </c>
      <c r="AE791" s="1612"/>
      <c r="AF791" s="1613"/>
      <c r="AG791" s="1612"/>
      <c r="AH791" s="1625" t="str">
        <f t="shared" si="204"/>
        <v>MPI-S2</v>
      </c>
      <c r="AI791" s="1427">
        <f t="shared" si="205"/>
        <v>7250000</v>
      </c>
      <c r="AJ791" s="1427">
        <f t="shared" si="206"/>
        <v>7250000</v>
      </c>
      <c r="AK791" s="1427">
        <f t="shared" si="207"/>
        <v>0</v>
      </c>
      <c r="AL791" s="1428" t="s">
        <v>1077</v>
      </c>
      <c r="AM791" s="1410"/>
      <c r="AN791" s="1411"/>
      <c r="AO791" s="1410"/>
      <c r="AP791" s="1411"/>
      <c r="AQ791" s="1128"/>
      <c r="AR791" s="1173"/>
      <c r="AT791" s="1173"/>
      <c r="AV791" s="1173"/>
      <c r="AX791" s="1173"/>
      <c r="AY791" s="1176"/>
      <c r="AZ791" s="1173"/>
    </row>
    <row r="792" spans="1:52" s="2" customFormat="1" x14ac:dyDescent="0.25">
      <c r="A792" s="164">
        <v>742</v>
      </c>
      <c r="B792" s="306">
        <v>18</v>
      </c>
      <c r="C792" s="307">
        <v>849114025</v>
      </c>
      <c r="D792" s="182" t="s">
        <v>1250</v>
      </c>
      <c r="E792" s="308" t="s">
        <v>1070</v>
      </c>
      <c r="F792" s="309">
        <v>2014</v>
      </c>
      <c r="G792" s="162" t="s">
        <v>33</v>
      </c>
      <c r="H792" s="163">
        <f t="shared" si="202"/>
        <v>43454</v>
      </c>
      <c r="I792" s="163">
        <f t="shared" si="203"/>
        <v>43587</v>
      </c>
      <c r="J792" s="1432">
        <v>1250000</v>
      </c>
      <c r="K792" s="1433"/>
      <c r="L792" s="1587">
        <v>3000000</v>
      </c>
      <c r="M792" s="1433">
        <v>41859</v>
      </c>
      <c r="N792" s="1587">
        <v>3000000</v>
      </c>
      <c r="O792" s="1433">
        <v>42062</v>
      </c>
      <c r="P792" s="1587">
        <v>3000000</v>
      </c>
      <c r="Q792" s="1435">
        <v>43174</v>
      </c>
      <c r="R792" s="1587">
        <v>3000000</v>
      </c>
      <c r="S792" s="1435">
        <v>43174</v>
      </c>
      <c r="T792" s="1587">
        <v>3000000</v>
      </c>
      <c r="U792" s="1435">
        <v>43174</v>
      </c>
      <c r="V792" s="1587">
        <v>3000000</v>
      </c>
      <c r="W792" s="1433">
        <v>43283</v>
      </c>
      <c r="X792" s="1432">
        <v>3000000</v>
      </c>
      <c r="Y792" s="1433">
        <v>43563</v>
      </c>
      <c r="Z792" s="1434">
        <v>3000000</v>
      </c>
      <c r="AA792" s="1433">
        <v>43573</v>
      </c>
      <c r="AB792" s="1614">
        <v>1000000</v>
      </c>
      <c r="AC792" s="1433">
        <v>43573</v>
      </c>
      <c r="AD792" s="1615" t="s">
        <v>1233</v>
      </c>
      <c r="AE792" s="1616"/>
      <c r="AF792" s="1617"/>
      <c r="AG792" s="1616"/>
      <c r="AH792" s="1626" t="str">
        <f t="shared" si="204"/>
        <v>MPI-S2</v>
      </c>
      <c r="AI792" s="1424">
        <f t="shared" si="205"/>
        <v>26250000</v>
      </c>
      <c r="AJ792" s="1424">
        <f t="shared" si="206"/>
        <v>26250000</v>
      </c>
      <c r="AK792" s="1578">
        <f t="shared" si="207"/>
        <v>0</v>
      </c>
      <c r="AL792" s="1577" t="str">
        <f t="shared" si="208"/>
        <v>Lunas</v>
      </c>
      <c r="AM792" s="1410"/>
      <c r="AN792" s="1411"/>
      <c r="AO792" s="1410"/>
      <c r="AP792" s="1411"/>
      <c r="AQ792" s="1128"/>
      <c r="AR792" s="1173"/>
      <c r="AT792" s="1173"/>
      <c r="AV792" s="1173"/>
      <c r="AX792" s="1173"/>
      <c r="AY792" s="1176"/>
      <c r="AZ792" s="1173"/>
    </row>
    <row r="793" spans="1:52" s="4" customFormat="1" x14ac:dyDescent="0.25">
      <c r="A793" s="187"/>
      <c r="B793" s="188"/>
      <c r="C793" s="190"/>
      <c r="D793" s="189"/>
      <c r="E793" s="191"/>
      <c r="F793" s="192" t="s">
        <v>61</v>
      </c>
      <c r="G793" s="192" t="s">
        <v>61</v>
      </c>
      <c r="H793" s="193"/>
      <c r="I793" s="193"/>
      <c r="J793" s="187"/>
      <c r="K793" s="1436"/>
      <c r="L793" s="1437"/>
      <c r="M793" s="1436"/>
      <c r="N793" s="1437"/>
      <c r="O793" s="1436"/>
      <c r="P793" s="1437"/>
      <c r="Q793" s="1436"/>
      <c r="R793" s="1437"/>
      <c r="S793" s="1464"/>
      <c r="T793" s="1437"/>
      <c r="U793" s="1436"/>
      <c r="V793" s="1437"/>
      <c r="W793" s="1436"/>
      <c r="X793" s="1437"/>
      <c r="Y793" s="1436"/>
      <c r="Z793" s="1528"/>
      <c r="AA793" s="1436"/>
      <c r="AB793" s="1409"/>
      <c r="AC793" s="1436"/>
      <c r="AD793" s="1606"/>
      <c r="AE793" s="1436"/>
      <c r="AF793" s="1606"/>
      <c r="AG793" s="1436"/>
      <c r="AH793" s="1623">
        <f t="shared" si="204"/>
        <v>0</v>
      </c>
      <c r="AI793" s="1409"/>
      <c r="AJ793" s="1409"/>
      <c r="AK793" s="1409"/>
      <c r="AL793" s="1510"/>
      <c r="AM793" s="1510"/>
      <c r="AN793" s="1511"/>
      <c r="AO793" s="1510"/>
      <c r="AP793" s="1511"/>
      <c r="AQ793" s="1215"/>
      <c r="AR793" s="1216"/>
      <c r="AT793" s="1216"/>
      <c r="AV793" s="1216"/>
      <c r="AX793" s="1216"/>
      <c r="AY793" s="1217"/>
      <c r="AZ793" s="1216"/>
    </row>
    <row r="794" spans="1:52" s="2" customFormat="1" x14ac:dyDescent="0.25">
      <c r="A794" s="194" t="s">
        <v>1251</v>
      </c>
      <c r="B794" s="310"/>
      <c r="C794" s="261"/>
      <c r="D794" s="251"/>
      <c r="E794" s="198" t="s">
        <v>1096</v>
      </c>
      <c r="F794" s="199" t="s">
        <v>1096</v>
      </c>
      <c r="G794" s="146">
        <v>3000000</v>
      </c>
      <c r="H794" s="232" t="str">
        <f t="shared" ref="H794:H810" si="209">IFERROR(VLOOKUP(C794,Tlus,3,FALSE),"   ")</f>
        <v xml:space="preserve">   </v>
      </c>
      <c r="I794" s="232" t="str">
        <f t="shared" ref="I794:I810" si="210">IFERROR(VLOOKUP(C794,Wis,4,FALSE),"   ")</f>
        <v xml:space="preserve">   </v>
      </c>
      <c r="J794" s="1450">
        <v>1250000</v>
      </c>
      <c r="K794" s="1529"/>
      <c r="L794" s="1582" t="s">
        <v>1049</v>
      </c>
      <c r="M794" s="1438" t="s">
        <v>1054</v>
      </c>
      <c r="N794" s="1582" t="s">
        <v>1051</v>
      </c>
      <c r="O794" s="1438" t="s">
        <v>1056</v>
      </c>
      <c r="P794" s="1582" t="s">
        <v>1053</v>
      </c>
      <c r="Q794" s="1438" t="s">
        <v>1058</v>
      </c>
      <c r="R794" s="1582" t="s">
        <v>1055</v>
      </c>
      <c r="S794" s="1438" t="s">
        <v>1060</v>
      </c>
      <c r="T794" s="1582" t="s">
        <v>1057</v>
      </c>
      <c r="U794" s="1438" t="s">
        <v>1062</v>
      </c>
      <c r="V794" s="1582" t="s">
        <v>1059</v>
      </c>
      <c r="W794" s="1438" t="s">
        <v>1064</v>
      </c>
      <c r="X794" s="1582" t="s">
        <v>1061</v>
      </c>
      <c r="Y794" s="1438" t="s">
        <v>1066</v>
      </c>
      <c r="Z794" s="1582" t="s">
        <v>1063</v>
      </c>
      <c r="AA794" s="1438" t="s">
        <v>1068</v>
      </c>
      <c r="AB794" s="1450">
        <v>1000000</v>
      </c>
      <c r="AC794" s="1127"/>
      <c r="AD794" s="1618"/>
      <c r="AE794" s="1155"/>
      <c r="AF794" s="1618"/>
      <c r="AG794" s="1155"/>
      <c r="AH794" s="1408" t="str">
        <f t="shared" si="204"/>
        <v>#</v>
      </c>
      <c r="AI794" s="1512"/>
      <c r="AJ794" s="1409"/>
      <c r="AK794" s="1409"/>
      <c r="AL794" s="1513"/>
      <c r="AM794" s="1513"/>
      <c r="AN794" s="1514"/>
      <c r="AO794" s="1513"/>
      <c r="AP794" s="1514"/>
      <c r="AQ794" s="1128"/>
      <c r="AR794" s="1173"/>
      <c r="AT794" s="1173"/>
      <c r="AV794" s="1173"/>
      <c r="AX794" s="1173"/>
      <c r="AY794" s="1176"/>
      <c r="AZ794" s="1173"/>
    </row>
    <row r="795" spans="1:52" s="2" customFormat="1" x14ac:dyDescent="0.25">
      <c r="A795" s="200">
        <v>743</v>
      </c>
      <c r="B795" s="262">
        <v>1</v>
      </c>
      <c r="C795" s="151">
        <v>849214001</v>
      </c>
      <c r="D795" s="150" t="s">
        <v>1252</v>
      </c>
      <c r="E795" s="311" t="s">
        <v>1110</v>
      </c>
      <c r="F795" s="153">
        <v>2014</v>
      </c>
      <c r="G795" s="154" t="s">
        <v>33</v>
      </c>
      <c r="H795" s="312" t="str">
        <f t="shared" si="209"/>
        <v xml:space="preserve">   </v>
      </c>
      <c r="I795" s="312" t="str">
        <f t="shared" si="210"/>
        <v xml:space="preserve">   </v>
      </c>
      <c r="J795" s="1439">
        <v>1250000</v>
      </c>
      <c r="K795" s="1440">
        <v>41815</v>
      </c>
      <c r="L795" s="1441">
        <v>3000000</v>
      </c>
      <c r="M795" s="1440">
        <v>41815</v>
      </c>
      <c r="N795" s="1441">
        <v>3000000</v>
      </c>
      <c r="O795" s="1440">
        <v>42021</v>
      </c>
      <c r="P795" s="1441">
        <v>3000000</v>
      </c>
      <c r="Q795" s="1440">
        <v>42223</v>
      </c>
      <c r="R795" s="1441">
        <v>3000000</v>
      </c>
      <c r="S795" s="1479">
        <v>42398</v>
      </c>
      <c r="T795" s="1441">
        <v>3000000</v>
      </c>
      <c r="U795" s="1440">
        <v>42985</v>
      </c>
      <c r="V795" s="1597">
        <v>3000000</v>
      </c>
      <c r="W795" s="1440">
        <v>42985</v>
      </c>
      <c r="X795" s="1441">
        <v>3000000</v>
      </c>
      <c r="Y795" s="1440">
        <v>43235</v>
      </c>
      <c r="Z795" s="1441">
        <v>3000000</v>
      </c>
      <c r="AA795" s="1440">
        <v>43235</v>
      </c>
      <c r="AB795" s="1441">
        <v>1000000</v>
      </c>
      <c r="AC795" s="1401">
        <v>42404</v>
      </c>
      <c r="AD795" s="1611" t="s">
        <v>1233</v>
      </c>
      <c r="AE795" s="1612"/>
      <c r="AF795" s="1613"/>
      <c r="AG795" s="1612"/>
      <c r="AH795" s="1624" t="str">
        <f t="shared" si="204"/>
        <v>PBA</v>
      </c>
      <c r="AI795" s="1424">
        <f t="shared" ref="AI795:AI810" si="211">SUM(J795,L795,N795,P795,R795,T795,V795,X795,Z795,AB795,AD795,AF795)</f>
        <v>26250000</v>
      </c>
      <c r="AJ795" s="1424">
        <f t="shared" ref="AJ795:AJ810" si="212">(COUNT(L795,N795,P795,R795,T795,V795,X795,Z795,AD795,AF795)*$G$773)+(COUNT(J795)*$J$773)+(COUNT(AB795)*$AB$773)</f>
        <v>26250000</v>
      </c>
      <c r="AK795" s="1517">
        <f t="shared" ref="AK795:AK810" si="213">AJ795-AI795</f>
        <v>0</v>
      </c>
      <c r="AL795" s="1573" t="str">
        <f t="shared" ref="AL795:AL809" si="214">IF(AK795=0,"Lunas","Cek")</f>
        <v>Lunas</v>
      </c>
      <c r="AM795" s="1410"/>
      <c r="AN795" s="1411"/>
      <c r="AO795" s="1410"/>
      <c r="AP795" s="1411"/>
      <c r="AQ795" s="1128"/>
      <c r="AR795" s="1173"/>
      <c r="AT795" s="1173"/>
      <c r="AV795" s="1173"/>
      <c r="AX795" s="1173"/>
      <c r="AY795" s="1176"/>
      <c r="AZ795" s="1173"/>
    </row>
    <row r="796" spans="1:52" s="2" customFormat="1" x14ac:dyDescent="0.25">
      <c r="A796" s="200">
        <v>744</v>
      </c>
      <c r="B796" s="157">
        <v>2</v>
      </c>
      <c r="C796" s="159">
        <v>849214002</v>
      </c>
      <c r="D796" s="158" t="s">
        <v>1253</v>
      </c>
      <c r="E796" s="160" t="s">
        <v>1110</v>
      </c>
      <c r="F796" s="161">
        <v>2014</v>
      </c>
      <c r="G796" s="162" t="s">
        <v>33</v>
      </c>
      <c r="H796" s="163">
        <f t="shared" si="209"/>
        <v>42693</v>
      </c>
      <c r="I796" s="163">
        <f t="shared" si="210"/>
        <v>42693</v>
      </c>
      <c r="J796" s="1356">
        <v>1250000</v>
      </c>
      <c r="K796" s="1357">
        <v>41815</v>
      </c>
      <c r="L796" s="1358">
        <v>3000000</v>
      </c>
      <c r="M796" s="1357">
        <v>41815</v>
      </c>
      <c r="N796" s="1358">
        <v>3000000</v>
      </c>
      <c r="O796" s="1357">
        <v>42039</v>
      </c>
      <c r="P796" s="1358">
        <v>3000000</v>
      </c>
      <c r="Q796" s="1357">
        <v>42398</v>
      </c>
      <c r="R796" s="1358">
        <v>3000000</v>
      </c>
      <c r="S796" s="1383">
        <v>42398</v>
      </c>
      <c r="T796" s="1382" t="s">
        <v>276</v>
      </c>
      <c r="U796" s="1383">
        <v>42693</v>
      </c>
      <c r="V796" s="1430"/>
      <c r="W796" s="1360"/>
      <c r="X796" s="1363"/>
      <c r="Y796" s="1360"/>
      <c r="Z796" s="1430"/>
      <c r="AA796" s="1360"/>
      <c r="AB796" s="1358">
        <v>1000000</v>
      </c>
      <c r="AC796" s="1383">
        <v>42398</v>
      </c>
      <c r="AD796" s="1611" t="s">
        <v>1233</v>
      </c>
      <c r="AE796" s="1612"/>
      <c r="AF796" s="1613"/>
      <c r="AG796" s="1612"/>
      <c r="AH796" s="1625" t="str">
        <f t="shared" si="204"/>
        <v>PBA</v>
      </c>
      <c r="AI796" s="1424">
        <f t="shared" si="211"/>
        <v>14250000</v>
      </c>
      <c r="AJ796" s="1424">
        <f t="shared" si="212"/>
        <v>14250000</v>
      </c>
      <c r="AK796" s="1520">
        <f t="shared" si="213"/>
        <v>0</v>
      </c>
      <c r="AL796" s="1575" t="str">
        <f t="shared" si="214"/>
        <v>Lunas</v>
      </c>
      <c r="AM796" s="1410"/>
      <c r="AN796" s="1411"/>
      <c r="AO796" s="1410"/>
      <c r="AP796" s="1411"/>
      <c r="AQ796" s="1128"/>
      <c r="AR796" s="1173"/>
      <c r="AT796" s="1173"/>
      <c r="AV796" s="1173"/>
      <c r="AX796" s="1173"/>
      <c r="AY796" s="1176"/>
      <c r="AZ796" s="1173"/>
    </row>
    <row r="797" spans="1:52" s="2" customFormat="1" x14ac:dyDescent="0.25">
      <c r="A797" s="200">
        <v>745</v>
      </c>
      <c r="B797" s="157">
        <v>3</v>
      </c>
      <c r="C797" s="159">
        <v>849214003</v>
      </c>
      <c r="D797" s="158" t="s">
        <v>1254</v>
      </c>
      <c r="E797" s="160" t="s">
        <v>1110</v>
      </c>
      <c r="F797" s="161">
        <v>2014</v>
      </c>
      <c r="G797" s="162" t="s">
        <v>33</v>
      </c>
      <c r="H797" s="163">
        <f t="shared" si="209"/>
        <v>42693</v>
      </c>
      <c r="I797" s="163">
        <f t="shared" si="210"/>
        <v>42693</v>
      </c>
      <c r="J797" s="1356">
        <v>1250000</v>
      </c>
      <c r="K797" s="1357">
        <v>41815</v>
      </c>
      <c r="L797" s="1358">
        <v>3000000</v>
      </c>
      <c r="M797" s="1357">
        <v>41815</v>
      </c>
      <c r="N797" s="1358">
        <v>3000000</v>
      </c>
      <c r="O797" s="1357">
        <v>42055</v>
      </c>
      <c r="P797" s="1358">
        <v>3000000</v>
      </c>
      <c r="Q797" s="1357">
        <v>42209</v>
      </c>
      <c r="R797" s="1358">
        <v>3000000</v>
      </c>
      <c r="S797" s="1383">
        <v>42394</v>
      </c>
      <c r="T797" s="1382" t="s">
        <v>276</v>
      </c>
      <c r="U797" s="1383">
        <v>42693</v>
      </c>
      <c r="V797" s="1430"/>
      <c r="W797" s="1367"/>
      <c r="X797" s="1363"/>
      <c r="Y797" s="1360"/>
      <c r="Z797" s="1363"/>
      <c r="AA797" s="1367"/>
      <c r="AB797" s="1358">
        <v>1000000</v>
      </c>
      <c r="AC797" s="1383">
        <v>42394</v>
      </c>
      <c r="AD797" s="1611" t="s">
        <v>1233</v>
      </c>
      <c r="AE797" s="1612"/>
      <c r="AF797" s="1613"/>
      <c r="AG797" s="1612"/>
      <c r="AH797" s="1625" t="str">
        <f t="shared" si="204"/>
        <v>PBA</v>
      </c>
      <c r="AI797" s="1424">
        <f t="shared" si="211"/>
        <v>14250000</v>
      </c>
      <c r="AJ797" s="1424">
        <f t="shared" si="212"/>
        <v>14250000</v>
      </c>
      <c r="AK797" s="1520">
        <f t="shared" si="213"/>
        <v>0</v>
      </c>
      <c r="AL797" s="1575" t="str">
        <f t="shared" si="214"/>
        <v>Lunas</v>
      </c>
      <c r="AM797" s="1410"/>
      <c r="AN797" s="1411"/>
      <c r="AO797" s="1410"/>
      <c r="AP797" s="1411"/>
      <c r="AQ797" s="1128"/>
      <c r="AR797" s="1173"/>
      <c r="AT797" s="1173"/>
      <c r="AV797" s="1173"/>
      <c r="AX797" s="1173"/>
      <c r="AY797" s="1176"/>
      <c r="AZ797" s="1173"/>
    </row>
    <row r="798" spans="1:52" s="2" customFormat="1" x14ac:dyDescent="0.25">
      <c r="A798" s="234">
        <v>746</v>
      </c>
      <c r="B798" s="235">
        <v>4</v>
      </c>
      <c r="C798" s="314">
        <v>849214004</v>
      </c>
      <c r="D798" s="313" t="s">
        <v>1255</v>
      </c>
      <c r="E798" s="237" t="s">
        <v>1110</v>
      </c>
      <c r="F798" s="315">
        <v>2014</v>
      </c>
      <c r="G798" s="214" t="s">
        <v>1077</v>
      </c>
      <c r="H798" s="239" t="str">
        <f t="shared" si="209"/>
        <v xml:space="preserve">   </v>
      </c>
      <c r="I798" s="239" t="str">
        <f t="shared" si="210"/>
        <v xml:space="preserve">   </v>
      </c>
      <c r="J798" s="1453">
        <v>1250000</v>
      </c>
      <c r="K798" s="1454">
        <v>41857</v>
      </c>
      <c r="L798" s="1453">
        <v>3000000</v>
      </c>
      <c r="M798" s="1454">
        <v>41857</v>
      </c>
      <c r="N798" s="1453">
        <v>3000000</v>
      </c>
      <c r="O798" s="1454">
        <v>42040</v>
      </c>
      <c r="P798" s="1521" t="s">
        <v>1162</v>
      </c>
      <c r="Q798" s="1360"/>
      <c r="R798" s="1363"/>
      <c r="S798" s="1360"/>
      <c r="T798" s="1499"/>
      <c r="U798" s="1367"/>
      <c r="V798" s="1430"/>
      <c r="W798" s="1360"/>
      <c r="X798" s="1363"/>
      <c r="Y798" s="1360"/>
      <c r="Z798" s="1363"/>
      <c r="AA798" s="1367"/>
      <c r="AB798" s="1430"/>
      <c r="AC798" s="1500"/>
      <c r="AD798" s="1611" t="s">
        <v>1233</v>
      </c>
      <c r="AE798" s="1612"/>
      <c r="AF798" s="1613"/>
      <c r="AG798" s="1612"/>
      <c r="AH798" s="1625" t="str">
        <f t="shared" si="204"/>
        <v>PBA</v>
      </c>
      <c r="AI798" s="1427">
        <f t="shared" si="211"/>
        <v>7250000</v>
      </c>
      <c r="AJ798" s="1427">
        <f t="shared" si="212"/>
        <v>7250000</v>
      </c>
      <c r="AK798" s="1427">
        <f t="shared" si="213"/>
        <v>0</v>
      </c>
      <c r="AL798" s="1428" t="s">
        <v>1077</v>
      </c>
      <c r="AM798" s="1410"/>
      <c r="AN798" s="1411"/>
      <c r="AO798" s="1410"/>
      <c r="AP798" s="1411"/>
      <c r="AQ798" s="1128"/>
      <c r="AR798" s="1173"/>
      <c r="AT798" s="1173"/>
      <c r="AV798" s="1173"/>
      <c r="AX798" s="1173"/>
      <c r="AY798" s="1176"/>
      <c r="AZ798" s="1173"/>
    </row>
    <row r="799" spans="1:52" s="2" customFormat="1" x14ac:dyDescent="0.25">
      <c r="A799" s="156">
        <v>747</v>
      </c>
      <c r="B799" s="157">
        <v>5</v>
      </c>
      <c r="C799" s="159">
        <v>849214005</v>
      </c>
      <c r="D799" s="158" t="s">
        <v>1256</v>
      </c>
      <c r="E799" s="160" t="s">
        <v>1110</v>
      </c>
      <c r="F799" s="161">
        <v>2014</v>
      </c>
      <c r="G799" s="162" t="s">
        <v>33</v>
      </c>
      <c r="H799" s="163">
        <f t="shared" si="209"/>
        <v>43027</v>
      </c>
      <c r="I799" s="163">
        <f t="shared" si="210"/>
        <v>43064</v>
      </c>
      <c r="J799" s="1356">
        <v>1250000</v>
      </c>
      <c r="K799" s="1357">
        <v>41817</v>
      </c>
      <c r="L799" s="1358">
        <v>3000000</v>
      </c>
      <c r="M799" s="1357">
        <v>41817</v>
      </c>
      <c r="N799" s="1358">
        <v>3000000</v>
      </c>
      <c r="O799" s="1357">
        <v>42039</v>
      </c>
      <c r="P799" s="1356">
        <v>3000000</v>
      </c>
      <c r="Q799" s="1357">
        <v>42223</v>
      </c>
      <c r="R799" s="1358">
        <v>3000000</v>
      </c>
      <c r="S799" s="1383">
        <v>42371</v>
      </c>
      <c r="T799" s="1192" t="s">
        <v>1078</v>
      </c>
      <c r="U799" s="1357">
        <v>42598</v>
      </c>
      <c r="V799" s="1358">
        <v>3000000</v>
      </c>
      <c r="W799" s="1357">
        <v>42807</v>
      </c>
      <c r="X799" s="1358">
        <v>3000000</v>
      </c>
      <c r="Y799" s="1357">
        <v>43013</v>
      </c>
      <c r="Z799" s="1465" t="s">
        <v>1080</v>
      </c>
      <c r="AA799" s="1367"/>
      <c r="AB799" s="1358">
        <v>1000000</v>
      </c>
      <c r="AC799" s="1383">
        <v>42811</v>
      </c>
      <c r="AD799" s="1611" t="s">
        <v>1233</v>
      </c>
      <c r="AE799" s="1612"/>
      <c r="AF799" s="1613"/>
      <c r="AG799" s="1612"/>
      <c r="AH799" s="1625" t="str">
        <f t="shared" si="204"/>
        <v>PBA</v>
      </c>
      <c r="AI799" s="1424">
        <f t="shared" si="211"/>
        <v>20250000</v>
      </c>
      <c r="AJ799" s="1424">
        <f t="shared" si="212"/>
        <v>20250000</v>
      </c>
      <c r="AK799" s="1520">
        <f t="shared" si="213"/>
        <v>0</v>
      </c>
      <c r="AL799" s="1575" t="str">
        <f t="shared" si="214"/>
        <v>Lunas</v>
      </c>
      <c r="AM799" s="1410"/>
      <c r="AN799" s="1411"/>
      <c r="AO799" s="1410"/>
      <c r="AP799" s="1411"/>
      <c r="AQ799" s="1128"/>
      <c r="AR799" s="1173"/>
      <c r="AT799" s="1173"/>
      <c r="AV799" s="1173"/>
      <c r="AX799" s="1173"/>
      <c r="AY799" s="1176"/>
      <c r="AZ799" s="1173"/>
    </row>
    <row r="800" spans="1:52" s="2" customFormat="1" x14ac:dyDescent="0.25">
      <c r="A800" s="156">
        <v>748</v>
      </c>
      <c r="B800" s="157">
        <v>6</v>
      </c>
      <c r="C800" s="159">
        <v>849214006</v>
      </c>
      <c r="D800" s="158" t="s">
        <v>1257</v>
      </c>
      <c r="E800" s="179" t="s">
        <v>1110</v>
      </c>
      <c r="F800" s="161">
        <v>2014</v>
      </c>
      <c r="G800" s="162" t="s">
        <v>33</v>
      </c>
      <c r="H800" s="163">
        <f t="shared" si="209"/>
        <v>43377</v>
      </c>
      <c r="I800" s="163">
        <f t="shared" si="210"/>
        <v>43440</v>
      </c>
      <c r="J800" s="1356">
        <v>1250000</v>
      </c>
      <c r="K800" s="1357">
        <v>41764</v>
      </c>
      <c r="L800" s="1358">
        <v>3000000</v>
      </c>
      <c r="M800" s="1357">
        <v>41764</v>
      </c>
      <c r="N800" s="1358">
        <v>3000000</v>
      </c>
      <c r="O800" s="1357">
        <v>42041</v>
      </c>
      <c r="P800" s="1358">
        <v>3000000</v>
      </c>
      <c r="Q800" s="1357">
        <v>42221</v>
      </c>
      <c r="R800" s="1358">
        <v>3000000</v>
      </c>
      <c r="S800" s="1383">
        <v>42394</v>
      </c>
      <c r="T800" s="1358">
        <v>3000000</v>
      </c>
      <c r="U800" s="1357">
        <v>43214</v>
      </c>
      <c r="V800" s="1358">
        <v>3000000</v>
      </c>
      <c r="W800" s="1357">
        <v>43214</v>
      </c>
      <c r="X800" s="1358">
        <v>3000000</v>
      </c>
      <c r="Y800" s="1357">
        <v>43214</v>
      </c>
      <c r="Z800" s="1358">
        <v>3000000</v>
      </c>
      <c r="AA800" s="1357">
        <v>43214</v>
      </c>
      <c r="AB800" s="1358">
        <v>1000000</v>
      </c>
      <c r="AC800" s="1357">
        <v>43214</v>
      </c>
      <c r="AD800" s="1611" t="s">
        <v>1233</v>
      </c>
      <c r="AE800" s="1612"/>
      <c r="AF800" s="1613"/>
      <c r="AG800" s="1612"/>
      <c r="AH800" s="1625" t="str">
        <f t="shared" si="204"/>
        <v>PBA</v>
      </c>
      <c r="AI800" s="1424">
        <f t="shared" si="211"/>
        <v>26250000</v>
      </c>
      <c r="AJ800" s="1424">
        <f t="shared" si="212"/>
        <v>26250000</v>
      </c>
      <c r="AK800" s="1520">
        <f t="shared" si="213"/>
        <v>0</v>
      </c>
      <c r="AL800" s="1575" t="str">
        <f t="shared" si="214"/>
        <v>Lunas</v>
      </c>
      <c r="AM800" s="1410"/>
      <c r="AN800" s="1411"/>
      <c r="AO800" s="1410"/>
      <c r="AP800" s="1411"/>
      <c r="AQ800" s="1128"/>
      <c r="AR800" s="1173"/>
      <c r="AT800" s="1173"/>
      <c r="AV800" s="1173"/>
      <c r="AX800" s="1173"/>
      <c r="AY800" s="1176"/>
      <c r="AZ800" s="1173"/>
    </row>
    <row r="801" spans="1:52" s="2" customFormat="1" x14ac:dyDescent="0.25">
      <c r="A801" s="156">
        <v>749</v>
      </c>
      <c r="B801" s="157">
        <v>7</v>
      </c>
      <c r="C801" s="159">
        <v>849214007</v>
      </c>
      <c r="D801" s="158" t="s">
        <v>1258</v>
      </c>
      <c r="E801" s="160" t="s">
        <v>1110</v>
      </c>
      <c r="F801" s="161">
        <v>2014</v>
      </c>
      <c r="G801" s="162" t="s">
        <v>33</v>
      </c>
      <c r="H801" s="163">
        <f t="shared" si="209"/>
        <v>42693</v>
      </c>
      <c r="I801" s="163">
        <f t="shared" si="210"/>
        <v>42693</v>
      </c>
      <c r="J801" s="1356">
        <v>1250000</v>
      </c>
      <c r="K801" s="1357">
        <v>41859</v>
      </c>
      <c r="L801" s="1358">
        <v>3000000</v>
      </c>
      <c r="M801" s="1357">
        <v>41859</v>
      </c>
      <c r="N801" s="1358">
        <v>3000000</v>
      </c>
      <c r="O801" s="1357">
        <v>42041</v>
      </c>
      <c r="P801" s="1358">
        <v>3000000</v>
      </c>
      <c r="Q801" s="1357">
        <v>42238</v>
      </c>
      <c r="R801" s="1358">
        <v>3000000</v>
      </c>
      <c r="S801" s="1383">
        <v>42396</v>
      </c>
      <c r="T801" s="1358">
        <v>3000000</v>
      </c>
      <c r="U801" s="1357">
        <v>42693</v>
      </c>
      <c r="V801" s="1465" t="s">
        <v>276</v>
      </c>
      <c r="W801" s="1367"/>
      <c r="X801" s="1363"/>
      <c r="Y801" s="1360"/>
      <c r="Z801" s="1363"/>
      <c r="AA801" s="1367"/>
      <c r="AB801" s="1358">
        <v>1000000</v>
      </c>
      <c r="AC801" s="1383">
        <v>42396</v>
      </c>
      <c r="AD801" s="1611" t="s">
        <v>1233</v>
      </c>
      <c r="AE801" s="1612"/>
      <c r="AF801" s="1613"/>
      <c r="AG801" s="1612"/>
      <c r="AH801" s="1625" t="str">
        <f t="shared" si="204"/>
        <v>PBA</v>
      </c>
      <c r="AI801" s="1424">
        <f t="shared" si="211"/>
        <v>17250000</v>
      </c>
      <c r="AJ801" s="1424">
        <f t="shared" si="212"/>
        <v>17250000</v>
      </c>
      <c r="AK801" s="1520">
        <f t="shared" si="213"/>
        <v>0</v>
      </c>
      <c r="AL801" s="1575" t="str">
        <f t="shared" si="214"/>
        <v>Lunas</v>
      </c>
      <c r="AM801" s="1410"/>
      <c r="AN801" s="1411"/>
      <c r="AO801" s="1410"/>
      <c r="AP801" s="1411"/>
      <c r="AQ801" s="1128"/>
      <c r="AR801" s="1173"/>
      <c r="AT801" s="1173"/>
      <c r="AV801" s="1173"/>
      <c r="AX801" s="1173"/>
      <c r="AY801" s="1176"/>
      <c r="AZ801" s="1173"/>
    </row>
    <row r="802" spans="1:52" s="2" customFormat="1" x14ac:dyDescent="0.25">
      <c r="A802" s="156">
        <v>750</v>
      </c>
      <c r="B802" s="157">
        <v>8</v>
      </c>
      <c r="C802" s="159">
        <v>849214008</v>
      </c>
      <c r="D802" s="158" t="s">
        <v>1259</v>
      </c>
      <c r="E802" s="160" t="s">
        <v>1110</v>
      </c>
      <c r="F802" s="161">
        <v>2014</v>
      </c>
      <c r="G802" s="162" t="s">
        <v>33</v>
      </c>
      <c r="H802" s="163">
        <f t="shared" si="209"/>
        <v>42884</v>
      </c>
      <c r="I802" s="163">
        <f t="shared" si="210"/>
        <v>43064</v>
      </c>
      <c r="J802" s="1356">
        <v>1250000</v>
      </c>
      <c r="K802" s="1357">
        <v>41865</v>
      </c>
      <c r="L802" s="1358">
        <v>3000000</v>
      </c>
      <c r="M802" s="1357">
        <v>41865</v>
      </c>
      <c r="N802" s="1358">
        <v>3000000</v>
      </c>
      <c r="O802" s="1357">
        <v>42040</v>
      </c>
      <c r="P802" s="1358">
        <v>3000000</v>
      </c>
      <c r="Q802" s="1357">
        <v>42238</v>
      </c>
      <c r="R802" s="1358">
        <v>3000000</v>
      </c>
      <c r="S802" s="1383">
        <v>42604</v>
      </c>
      <c r="T802" s="1358">
        <v>3000000</v>
      </c>
      <c r="U802" s="1357">
        <v>42604</v>
      </c>
      <c r="V802" s="1358">
        <v>3000000</v>
      </c>
      <c r="W802" s="1357">
        <v>42746</v>
      </c>
      <c r="X802" s="1465" t="s">
        <v>276</v>
      </c>
      <c r="Y802" s="1360"/>
      <c r="Z802" s="1363"/>
      <c r="AA802" s="1367"/>
      <c r="AB802" s="1358">
        <v>1000000</v>
      </c>
      <c r="AC802" s="1383">
        <v>42604</v>
      </c>
      <c r="AD802" s="1611" t="s">
        <v>1233</v>
      </c>
      <c r="AE802" s="1612"/>
      <c r="AF802" s="1613"/>
      <c r="AG802" s="1612"/>
      <c r="AH802" s="1625" t="str">
        <f t="shared" si="204"/>
        <v>PBA</v>
      </c>
      <c r="AI802" s="1424">
        <f t="shared" si="211"/>
        <v>20250000</v>
      </c>
      <c r="AJ802" s="1424">
        <f t="shared" si="212"/>
        <v>20250000</v>
      </c>
      <c r="AK802" s="1520">
        <f t="shared" si="213"/>
        <v>0</v>
      </c>
      <c r="AL802" s="1575" t="str">
        <f t="shared" si="214"/>
        <v>Lunas</v>
      </c>
      <c r="AM802" s="1410"/>
      <c r="AN802" s="1411"/>
      <c r="AO802" s="1410"/>
      <c r="AP802" s="1411"/>
      <c r="AQ802" s="1128"/>
      <c r="AR802" s="1173"/>
      <c r="AT802" s="1173"/>
      <c r="AV802" s="1173"/>
      <c r="AX802" s="1173"/>
      <c r="AY802" s="1176"/>
      <c r="AZ802" s="1173"/>
    </row>
    <row r="803" spans="1:52" s="2" customFormat="1" x14ac:dyDescent="0.25">
      <c r="A803" s="156">
        <v>751</v>
      </c>
      <c r="B803" s="176">
        <v>9</v>
      </c>
      <c r="C803" s="178">
        <v>849214009</v>
      </c>
      <c r="D803" s="177" t="s">
        <v>1260</v>
      </c>
      <c r="E803" s="275" t="s">
        <v>1110</v>
      </c>
      <c r="F803" s="317">
        <v>2014</v>
      </c>
      <c r="G803" s="162" t="s">
        <v>33</v>
      </c>
      <c r="H803" s="163">
        <f t="shared" si="209"/>
        <v>43613</v>
      </c>
      <c r="I803" s="273" t="str">
        <f t="shared" si="210"/>
        <v xml:space="preserve">   </v>
      </c>
      <c r="J803" s="1364">
        <v>1250000</v>
      </c>
      <c r="K803" s="1365">
        <v>41857</v>
      </c>
      <c r="L803" s="1431">
        <v>3000000</v>
      </c>
      <c r="M803" s="1365">
        <v>41857</v>
      </c>
      <c r="N803" s="1431">
        <v>3000000</v>
      </c>
      <c r="O803" s="1365">
        <v>43312</v>
      </c>
      <c r="P803" s="1431">
        <v>3000000</v>
      </c>
      <c r="Q803" s="1365">
        <v>43312</v>
      </c>
      <c r="R803" s="1431">
        <v>3000000</v>
      </c>
      <c r="S803" s="1365">
        <v>43312</v>
      </c>
      <c r="T803" s="1544">
        <v>3000000</v>
      </c>
      <c r="U803" s="1365">
        <v>43584</v>
      </c>
      <c r="V803" s="1431">
        <v>3000000</v>
      </c>
      <c r="W803" s="1357">
        <v>43584</v>
      </c>
      <c r="X803" s="1358">
        <v>3000000</v>
      </c>
      <c r="Y803" s="1357">
        <v>43584</v>
      </c>
      <c r="Z803" s="1431">
        <v>3000000</v>
      </c>
      <c r="AA803" s="1357">
        <v>43584</v>
      </c>
      <c r="AB803" s="1431">
        <v>1000000</v>
      </c>
      <c r="AC803" s="1357">
        <v>43584</v>
      </c>
      <c r="AD803" s="1611" t="s">
        <v>1233</v>
      </c>
      <c r="AE803" s="1612"/>
      <c r="AF803" s="1613"/>
      <c r="AG803" s="1612"/>
      <c r="AH803" s="1625" t="str">
        <f t="shared" si="204"/>
        <v>PBA</v>
      </c>
      <c r="AI803" s="1424">
        <f t="shared" si="211"/>
        <v>26250000</v>
      </c>
      <c r="AJ803" s="1424">
        <f t="shared" si="212"/>
        <v>26250000</v>
      </c>
      <c r="AK803" s="1520">
        <f t="shared" si="213"/>
        <v>0</v>
      </c>
      <c r="AL803" s="1575" t="str">
        <f t="shared" si="214"/>
        <v>Lunas</v>
      </c>
      <c r="AM803" s="1410"/>
      <c r="AN803" s="1411"/>
      <c r="AO803" s="1410"/>
      <c r="AP803" s="1411"/>
      <c r="AQ803" s="1128"/>
      <c r="AR803" s="1173"/>
      <c r="AT803" s="1173"/>
      <c r="AV803" s="1173"/>
      <c r="AX803" s="1173"/>
      <c r="AY803" s="1176"/>
      <c r="AZ803" s="1173"/>
    </row>
    <row r="804" spans="1:52" s="2" customFormat="1" x14ac:dyDescent="0.25">
      <c r="A804" s="156">
        <v>752</v>
      </c>
      <c r="B804" s="157">
        <v>10</v>
      </c>
      <c r="C804" s="159">
        <v>849214010</v>
      </c>
      <c r="D804" s="158" t="s">
        <v>1261</v>
      </c>
      <c r="E804" s="160" t="s">
        <v>1110</v>
      </c>
      <c r="F804" s="161">
        <v>2014</v>
      </c>
      <c r="G804" s="162" t="s">
        <v>33</v>
      </c>
      <c r="H804" s="163">
        <f t="shared" si="209"/>
        <v>42753</v>
      </c>
      <c r="I804" s="163">
        <f t="shared" si="210"/>
        <v>42861</v>
      </c>
      <c r="J804" s="1356">
        <v>1250000</v>
      </c>
      <c r="K804" s="1357">
        <v>41857</v>
      </c>
      <c r="L804" s="1358">
        <v>3000000</v>
      </c>
      <c r="M804" s="1357">
        <v>41857</v>
      </c>
      <c r="N804" s="1358">
        <v>3000000</v>
      </c>
      <c r="O804" s="1357">
        <v>42040</v>
      </c>
      <c r="P804" s="1358">
        <v>3000000</v>
      </c>
      <c r="Q804" s="1357">
        <v>42223</v>
      </c>
      <c r="R804" s="1358">
        <v>3000000</v>
      </c>
      <c r="S804" s="1383">
        <v>42451</v>
      </c>
      <c r="T804" s="1358">
        <v>3000000</v>
      </c>
      <c r="U804" s="1357">
        <v>37232</v>
      </c>
      <c r="V804" s="1598" t="s">
        <v>1262</v>
      </c>
      <c r="W804" s="1599"/>
      <c r="X804" s="1600"/>
      <c r="Y804" s="1360"/>
      <c r="Z804" s="1430"/>
      <c r="AA804" s="1360"/>
      <c r="AB804" s="1358">
        <v>1000000</v>
      </c>
      <c r="AC804" s="1383">
        <v>42451</v>
      </c>
      <c r="AD804" s="1611" t="s">
        <v>1233</v>
      </c>
      <c r="AE804" s="1612"/>
      <c r="AF804" s="1613"/>
      <c r="AG804" s="1612"/>
      <c r="AH804" s="1625" t="str">
        <f t="shared" si="204"/>
        <v>PBA</v>
      </c>
      <c r="AI804" s="1424">
        <f t="shared" si="211"/>
        <v>17250000</v>
      </c>
      <c r="AJ804" s="1424">
        <f t="shared" si="212"/>
        <v>17250000</v>
      </c>
      <c r="AK804" s="1520">
        <f t="shared" si="213"/>
        <v>0</v>
      </c>
      <c r="AL804" s="1575" t="str">
        <f t="shared" si="214"/>
        <v>Lunas</v>
      </c>
      <c r="AM804" s="1410"/>
      <c r="AN804" s="1411"/>
      <c r="AO804" s="1410"/>
      <c r="AP804" s="1411"/>
      <c r="AQ804" s="1128"/>
      <c r="AR804" s="1173"/>
      <c r="AT804" s="1173"/>
      <c r="AV804" s="1173"/>
      <c r="AX804" s="1173"/>
      <c r="AY804" s="1176"/>
      <c r="AZ804" s="1173"/>
    </row>
    <row r="805" spans="1:52" s="2" customFormat="1" x14ac:dyDescent="0.25">
      <c r="A805" s="156">
        <v>753</v>
      </c>
      <c r="B805" s="157">
        <v>11</v>
      </c>
      <c r="C805" s="159">
        <v>849214011</v>
      </c>
      <c r="D805" s="158" t="s">
        <v>1263</v>
      </c>
      <c r="E805" s="160" t="s">
        <v>1110</v>
      </c>
      <c r="F805" s="161">
        <v>2014</v>
      </c>
      <c r="G805" s="162" t="s">
        <v>33</v>
      </c>
      <c r="H805" s="163">
        <f t="shared" si="209"/>
        <v>42814</v>
      </c>
      <c r="I805" s="163">
        <f t="shared" si="210"/>
        <v>42861</v>
      </c>
      <c r="J805" s="1356">
        <v>1250000</v>
      </c>
      <c r="K805" s="1357">
        <v>41859</v>
      </c>
      <c r="L805" s="1358">
        <v>3000000</v>
      </c>
      <c r="M805" s="1357">
        <v>41859</v>
      </c>
      <c r="N805" s="1358">
        <v>3000000</v>
      </c>
      <c r="O805" s="1357">
        <v>42041</v>
      </c>
      <c r="P805" s="1358">
        <v>3000000</v>
      </c>
      <c r="Q805" s="1357">
        <v>42221</v>
      </c>
      <c r="R805" s="1358">
        <v>3000000</v>
      </c>
      <c r="S805" s="1383">
        <v>42391</v>
      </c>
      <c r="T805" s="1358">
        <v>3000000</v>
      </c>
      <c r="U805" s="1357">
        <v>42585</v>
      </c>
      <c r="V805" s="1358">
        <v>3000000</v>
      </c>
      <c r="W805" s="1357">
        <v>42795</v>
      </c>
      <c r="X805" s="1465" t="s">
        <v>276</v>
      </c>
      <c r="Y805" s="1360"/>
      <c r="Z805" s="1430"/>
      <c r="AA805" s="1360"/>
      <c r="AB805" s="1358">
        <v>1000000</v>
      </c>
      <c r="AC805" s="1383">
        <v>42391</v>
      </c>
      <c r="AD805" s="1611" t="s">
        <v>1233</v>
      </c>
      <c r="AE805" s="1612"/>
      <c r="AF805" s="1613"/>
      <c r="AG805" s="1612"/>
      <c r="AH805" s="1625" t="str">
        <f t="shared" si="204"/>
        <v>PBA</v>
      </c>
      <c r="AI805" s="1424">
        <f t="shared" si="211"/>
        <v>20250000</v>
      </c>
      <c r="AJ805" s="1424">
        <f t="shared" si="212"/>
        <v>20250000</v>
      </c>
      <c r="AK805" s="1520">
        <f t="shared" si="213"/>
        <v>0</v>
      </c>
      <c r="AL805" s="1575" t="str">
        <f t="shared" si="214"/>
        <v>Lunas</v>
      </c>
      <c r="AM805" s="1410"/>
      <c r="AN805" s="1411"/>
      <c r="AO805" s="1410"/>
      <c r="AP805" s="1411"/>
      <c r="AQ805" s="1128"/>
      <c r="AR805" s="1173"/>
      <c r="AT805" s="1173"/>
      <c r="AV805" s="1173"/>
      <c r="AX805" s="1173"/>
      <c r="AY805" s="1176"/>
      <c r="AZ805" s="1173"/>
    </row>
    <row r="806" spans="1:52" s="2" customFormat="1" x14ac:dyDescent="0.25">
      <c r="A806" s="156">
        <v>754</v>
      </c>
      <c r="B806" s="157">
        <v>12</v>
      </c>
      <c r="C806" s="159">
        <v>849214012</v>
      </c>
      <c r="D806" s="158" t="s">
        <v>1264</v>
      </c>
      <c r="E806" s="160" t="s">
        <v>1110</v>
      </c>
      <c r="F806" s="161">
        <v>2014</v>
      </c>
      <c r="G806" s="162" t="s">
        <v>33</v>
      </c>
      <c r="H806" s="163">
        <f t="shared" si="209"/>
        <v>42835</v>
      </c>
      <c r="I806" s="163">
        <f t="shared" si="210"/>
        <v>43064</v>
      </c>
      <c r="J806" s="1356">
        <v>1250000</v>
      </c>
      <c r="K806" s="1357">
        <v>41859</v>
      </c>
      <c r="L806" s="1358">
        <v>3000000</v>
      </c>
      <c r="M806" s="1357">
        <v>41859</v>
      </c>
      <c r="N806" s="1358">
        <v>3000000</v>
      </c>
      <c r="O806" s="1357">
        <v>42041</v>
      </c>
      <c r="P806" s="1358">
        <v>3000000</v>
      </c>
      <c r="Q806" s="1357">
        <v>42258</v>
      </c>
      <c r="R806" s="1358">
        <v>3000000</v>
      </c>
      <c r="S806" s="1383">
        <v>42404</v>
      </c>
      <c r="T806" s="1192" t="s">
        <v>1078</v>
      </c>
      <c r="U806" s="1357">
        <v>42597</v>
      </c>
      <c r="V806" s="1358">
        <v>3000000</v>
      </c>
      <c r="W806" s="1357">
        <v>42760</v>
      </c>
      <c r="X806" s="1465" t="s">
        <v>276</v>
      </c>
      <c r="Y806" s="1360"/>
      <c r="Z806" s="1430"/>
      <c r="AA806" s="1360"/>
      <c r="AB806" s="1358">
        <v>1000000</v>
      </c>
      <c r="AC806" s="1383">
        <v>42404</v>
      </c>
      <c r="AD806" s="1611" t="s">
        <v>1233</v>
      </c>
      <c r="AE806" s="1612"/>
      <c r="AF806" s="1613"/>
      <c r="AG806" s="1612"/>
      <c r="AH806" s="1625" t="str">
        <f t="shared" si="204"/>
        <v>PBA</v>
      </c>
      <c r="AI806" s="1424">
        <f t="shared" si="211"/>
        <v>17250000</v>
      </c>
      <c r="AJ806" s="1424">
        <f t="shared" si="212"/>
        <v>17250000</v>
      </c>
      <c r="AK806" s="1520">
        <f t="shared" si="213"/>
        <v>0</v>
      </c>
      <c r="AL806" s="1575" t="str">
        <f t="shared" si="214"/>
        <v>Lunas</v>
      </c>
      <c r="AM806" s="1410"/>
      <c r="AN806" s="1411"/>
      <c r="AO806" s="1410"/>
      <c r="AP806" s="1411"/>
      <c r="AQ806" s="1128"/>
      <c r="AR806" s="1173"/>
      <c r="AT806" s="1173"/>
      <c r="AV806" s="1173"/>
      <c r="AX806" s="1173"/>
      <c r="AY806" s="1176"/>
      <c r="AZ806" s="1173"/>
    </row>
    <row r="807" spans="1:52" s="2" customFormat="1" x14ac:dyDescent="0.25">
      <c r="A807" s="156">
        <v>755</v>
      </c>
      <c r="B807" s="157">
        <v>13</v>
      </c>
      <c r="C807" s="159">
        <v>849214013</v>
      </c>
      <c r="D807" s="158" t="s">
        <v>1265</v>
      </c>
      <c r="E807" s="160" t="s">
        <v>1110</v>
      </c>
      <c r="F807" s="161">
        <v>2014</v>
      </c>
      <c r="G807" s="162" t="s">
        <v>33</v>
      </c>
      <c r="H807" s="163">
        <f t="shared" si="209"/>
        <v>42852</v>
      </c>
      <c r="I807" s="163">
        <f t="shared" si="210"/>
        <v>43064</v>
      </c>
      <c r="J807" s="1356">
        <v>1250000</v>
      </c>
      <c r="K807" s="1357">
        <v>41680</v>
      </c>
      <c r="L807" s="1358">
        <v>3000000</v>
      </c>
      <c r="M807" s="1357">
        <v>41680</v>
      </c>
      <c r="N807" s="1358">
        <v>3000000</v>
      </c>
      <c r="O807" s="1357">
        <v>42181</v>
      </c>
      <c r="P807" s="1358">
        <v>3000000</v>
      </c>
      <c r="Q807" s="1357">
        <v>42367</v>
      </c>
      <c r="R807" s="1358">
        <v>3000000</v>
      </c>
      <c r="S807" s="1383">
        <v>42531</v>
      </c>
      <c r="T807" s="1356">
        <v>3000000</v>
      </c>
      <c r="U807" s="1357">
        <v>42782</v>
      </c>
      <c r="V807" s="1356">
        <v>3000000</v>
      </c>
      <c r="W807" s="1357">
        <v>42782</v>
      </c>
      <c r="X807" s="1465" t="s">
        <v>276</v>
      </c>
      <c r="Y807" s="1360"/>
      <c r="Z807" s="1430"/>
      <c r="AA807" s="1360"/>
      <c r="AB807" s="1358">
        <v>1000000</v>
      </c>
      <c r="AC807" s="1383">
        <v>42531</v>
      </c>
      <c r="AD807" s="1611" t="s">
        <v>1233</v>
      </c>
      <c r="AE807" s="1612"/>
      <c r="AF807" s="1613"/>
      <c r="AG807" s="1612"/>
      <c r="AH807" s="1625" t="str">
        <f t="shared" si="204"/>
        <v>PBA</v>
      </c>
      <c r="AI807" s="1424">
        <f t="shared" si="211"/>
        <v>20250000</v>
      </c>
      <c r="AJ807" s="1424">
        <f t="shared" si="212"/>
        <v>20250000</v>
      </c>
      <c r="AK807" s="1520">
        <f t="shared" si="213"/>
        <v>0</v>
      </c>
      <c r="AL807" s="1575" t="str">
        <f t="shared" si="214"/>
        <v>Lunas</v>
      </c>
      <c r="AM807" s="1410"/>
      <c r="AN807" s="1411"/>
      <c r="AO807" s="1410"/>
      <c r="AP807" s="1411"/>
      <c r="AQ807" s="1128"/>
      <c r="AR807" s="1173"/>
      <c r="AT807" s="1173"/>
      <c r="AV807" s="1173"/>
      <c r="AX807" s="1173"/>
      <c r="AY807" s="1176"/>
      <c r="AZ807" s="1173"/>
    </row>
    <row r="808" spans="1:52" s="2" customFormat="1" x14ac:dyDescent="0.25">
      <c r="A808" s="156">
        <v>756</v>
      </c>
      <c r="B808" s="157">
        <v>14</v>
      </c>
      <c r="C808" s="159">
        <v>849214014</v>
      </c>
      <c r="D808" s="158" t="s">
        <v>1266</v>
      </c>
      <c r="E808" s="160" t="s">
        <v>1110</v>
      </c>
      <c r="F808" s="161">
        <v>2014</v>
      </c>
      <c r="G808" s="162" t="s">
        <v>33</v>
      </c>
      <c r="H808" s="163">
        <f t="shared" si="209"/>
        <v>42753</v>
      </c>
      <c r="I808" s="163">
        <f t="shared" si="210"/>
        <v>42861</v>
      </c>
      <c r="J808" s="1356">
        <v>1250000</v>
      </c>
      <c r="K808" s="1357">
        <v>41764</v>
      </c>
      <c r="L808" s="1358">
        <v>3000000</v>
      </c>
      <c r="M808" s="1357">
        <v>41764</v>
      </c>
      <c r="N808" s="1358">
        <v>3000000</v>
      </c>
      <c r="O808" s="1357">
        <v>42041</v>
      </c>
      <c r="P808" s="1358">
        <v>3000000</v>
      </c>
      <c r="Q808" s="1357">
        <v>42222</v>
      </c>
      <c r="R808" s="1358">
        <v>3000000</v>
      </c>
      <c r="S808" s="1383">
        <v>42401</v>
      </c>
      <c r="T808" s="1356">
        <v>3000000</v>
      </c>
      <c r="U808" s="1357">
        <v>42598</v>
      </c>
      <c r="V808" s="1465" t="s">
        <v>276</v>
      </c>
      <c r="W808" s="1367"/>
      <c r="X808" s="1363"/>
      <c r="Y808" s="1360"/>
      <c r="Z808" s="1430"/>
      <c r="AA808" s="1360"/>
      <c r="AB808" s="1358">
        <v>1000000</v>
      </c>
      <c r="AC808" s="1383">
        <v>42401</v>
      </c>
      <c r="AD808" s="1611" t="s">
        <v>1233</v>
      </c>
      <c r="AE808" s="1612"/>
      <c r="AF808" s="1613"/>
      <c r="AG808" s="1612"/>
      <c r="AH808" s="1625" t="str">
        <f t="shared" si="204"/>
        <v>PBA</v>
      </c>
      <c r="AI808" s="1424">
        <f t="shared" si="211"/>
        <v>17250000</v>
      </c>
      <c r="AJ808" s="1424">
        <f t="shared" si="212"/>
        <v>17250000</v>
      </c>
      <c r="AK808" s="1520">
        <f t="shared" si="213"/>
        <v>0</v>
      </c>
      <c r="AL808" s="1575" t="str">
        <f t="shared" si="214"/>
        <v>Lunas</v>
      </c>
      <c r="AM808" s="1410"/>
      <c r="AN808" s="1411"/>
      <c r="AO808" s="1410"/>
      <c r="AP808" s="1411"/>
      <c r="AQ808" s="1128"/>
      <c r="AR808" s="1173"/>
      <c r="AT808" s="1173"/>
      <c r="AV808" s="1173"/>
      <c r="AX808" s="1173"/>
      <c r="AY808" s="1176"/>
      <c r="AZ808" s="1173"/>
    </row>
    <row r="809" spans="1:52" s="2" customFormat="1" x14ac:dyDescent="0.25">
      <c r="A809" s="156">
        <v>757</v>
      </c>
      <c r="B809" s="157">
        <v>15</v>
      </c>
      <c r="C809" s="159">
        <v>849214015</v>
      </c>
      <c r="D809" s="158" t="s">
        <v>1267</v>
      </c>
      <c r="E809" s="179" t="s">
        <v>1110</v>
      </c>
      <c r="F809" s="161">
        <v>2014</v>
      </c>
      <c r="G809" s="162" t="s">
        <v>33</v>
      </c>
      <c r="H809" s="163">
        <f t="shared" si="209"/>
        <v>43656</v>
      </c>
      <c r="I809" s="287" t="str">
        <f t="shared" si="210"/>
        <v xml:space="preserve">   </v>
      </c>
      <c r="J809" s="1356">
        <v>1250000</v>
      </c>
      <c r="K809" s="1357">
        <v>41689</v>
      </c>
      <c r="L809" s="1358">
        <v>3000000</v>
      </c>
      <c r="M809" s="1357">
        <v>41689</v>
      </c>
      <c r="N809" s="1358">
        <v>3000000</v>
      </c>
      <c r="O809" s="1357">
        <v>42053</v>
      </c>
      <c r="P809" s="1358">
        <v>3000000</v>
      </c>
      <c r="Q809" s="1357">
        <v>42222</v>
      </c>
      <c r="R809" s="1186" t="s">
        <v>1078</v>
      </c>
      <c r="S809" s="1466">
        <v>42412</v>
      </c>
      <c r="T809" s="1192" t="s">
        <v>1078</v>
      </c>
      <c r="U809" s="1386">
        <v>42587</v>
      </c>
      <c r="V809" s="1358">
        <v>3000000</v>
      </c>
      <c r="W809" s="1357">
        <v>42787</v>
      </c>
      <c r="X809" s="1358">
        <v>3000000</v>
      </c>
      <c r="Y809" s="1357">
        <v>43255</v>
      </c>
      <c r="Z809" s="1358">
        <v>3000000</v>
      </c>
      <c r="AA809" s="1357">
        <v>43255</v>
      </c>
      <c r="AB809" s="1358">
        <v>1000000</v>
      </c>
      <c r="AC809" s="1383">
        <v>42787</v>
      </c>
      <c r="AD809" s="1611" t="s">
        <v>1233</v>
      </c>
      <c r="AE809" s="1612"/>
      <c r="AF809" s="1613"/>
      <c r="AG809" s="1612"/>
      <c r="AH809" s="1625" t="str">
        <f t="shared" si="204"/>
        <v>PBA</v>
      </c>
      <c r="AI809" s="1424">
        <f t="shared" si="211"/>
        <v>20250000</v>
      </c>
      <c r="AJ809" s="1424">
        <f t="shared" si="212"/>
        <v>20250000</v>
      </c>
      <c r="AK809" s="1520">
        <f t="shared" si="213"/>
        <v>0</v>
      </c>
      <c r="AL809" s="1575" t="str">
        <f t="shared" si="214"/>
        <v>Lunas</v>
      </c>
      <c r="AM809" s="1410" t="s">
        <v>1268</v>
      </c>
      <c r="AN809" s="1411"/>
      <c r="AO809" s="1410"/>
      <c r="AP809" s="1411"/>
      <c r="AQ809" s="1128"/>
      <c r="AR809" s="1173"/>
      <c r="AT809" s="1173"/>
      <c r="AV809" s="1173"/>
      <c r="AX809" s="1173"/>
      <c r="AY809" s="1176"/>
      <c r="AZ809" s="1173"/>
    </row>
    <row r="810" spans="1:52" s="2" customFormat="1" x14ac:dyDescent="0.25">
      <c r="A810" s="240">
        <v>758</v>
      </c>
      <c r="B810" s="241">
        <v>16</v>
      </c>
      <c r="C810" s="243">
        <v>849214016</v>
      </c>
      <c r="D810" s="318" t="s">
        <v>1269</v>
      </c>
      <c r="E810" s="244" t="s">
        <v>61</v>
      </c>
      <c r="F810" s="245" t="s">
        <v>61</v>
      </c>
      <c r="G810" s="170" t="s">
        <v>1077</v>
      </c>
      <c r="H810" s="246" t="str">
        <f t="shared" si="209"/>
        <v xml:space="preserve">   </v>
      </c>
      <c r="I810" s="246" t="str">
        <f t="shared" si="210"/>
        <v xml:space="preserve">   </v>
      </c>
      <c r="J810" s="1588" t="s">
        <v>1162</v>
      </c>
      <c r="K810" s="1557"/>
      <c r="L810" s="1448"/>
      <c r="M810" s="1557"/>
      <c r="N810" s="1448"/>
      <c r="O810" s="1557"/>
      <c r="P810" s="1448"/>
      <c r="Q810" s="1557"/>
      <c r="R810" s="1444"/>
      <c r="S810" s="1501"/>
      <c r="T810" s="1477"/>
      <c r="U810" s="1557"/>
      <c r="V810" s="1448"/>
      <c r="W810" s="1557"/>
      <c r="X810" s="1448"/>
      <c r="Y810" s="1557"/>
      <c r="Z810" s="1446"/>
      <c r="AA810" s="1557"/>
      <c r="AB810" s="1448"/>
      <c r="AC810" s="1501"/>
      <c r="AD810" s="1615" t="s">
        <v>1233</v>
      </c>
      <c r="AE810" s="1616"/>
      <c r="AF810" s="1617"/>
      <c r="AG810" s="1616"/>
      <c r="AH810" s="1626" t="str">
        <f t="shared" si="204"/>
        <v>-</v>
      </c>
      <c r="AI810" s="1427">
        <f t="shared" si="211"/>
        <v>0</v>
      </c>
      <c r="AJ810" s="1427">
        <f t="shared" si="212"/>
        <v>0</v>
      </c>
      <c r="AK810" s="1427">
        <f t="shared" si="213"/>
        <v>0</v>
      </c>
      <c r="AL810" s="1428" t="s">
        <v>1077</v>
      </c>
      <c r="AM810" s="1410"/>
      <c r="AN810" s="1411"/>
      <c r="AO810" s="1410"/>
      <c r="AP810" s="1411"/>
      <c r="AQ810" s="1128"/>
      <c r="AR810" s="1173"/>
      <c r="AT810" s="1173"/>
      <c r="AV810" s="1173"/>
      <c r="AX810" s="1173"/>
      <c r="AY810" s="1176"/>
      <c r="AZ810" s="1173"/>
    </row>
    <row r="811" spans="1:52" s="4" customFormat="1" x14ac:dyDescent="0.25">
      <c r="A811" s="290"/>
      <c r="B811" s="187"/>
      <c r="C811" s="319"/>
      <c r="D811" s="187"/>
      <c r="E811" s="191" t="s">
        <v>61</v>
      </c>
      <c r="F811" s="320" t="s">
        <v>61</v>
      </c>
      <c r="G811" s="192" t="s">
        <v>61</v>
      </c>
      <c r="H811" s="193"/>
      <c r="I811" s="193"/>
      <c r="J811" s="187"/>
      <c r="K811" s="1436"/>
      <c r="L811" s="1589"/>
      <c r="M811" s="1436"/>
      <c r="N811" s="187"/>
      <c r="O811" s="1436"/>
      <c r="P811" s="1589"/>
      <c r="Q811" s="1436"/>
      <c r="R811" s="187"/>
      <c r="S811" s="1464"/>
      <c r="T811" s="1409"/>
      <c r="U811" s="1436"/>
      <c r="V811" s="1409"/>
      <c r="W811" s="1436"/>
      <c r="X811" s="1409"/>
      <c r="Y811" s="1436"/>
      <c r="Z811" s="1409"/>
      <c r="AA811" s="1436"/>
      <c r="AB811" s="1409"/>
      <c r="AC811" s="1436"/>
      <c r="AD811" s="1606"/>
      <c r="AE811" s="1436"/>
      <c r="AF811" s="1606"/>
      <c r="AG811" s="1436"/>
      <c r="AH811" s="1623" t="str">
        <f t="shared" si="204"/>
        <v>-</v>
      </c>
      <c r="AI811" s="1589"/>
      <c r="AJ811" s="1409"/>
      <c r="AK811" s="1409"/>
      <c r="AL811" s="1510"/>
      <c r="AM811" s="1510"/>
      <c r="AN811" s="1511"/>
      <c r="AO811" s="1510"/>
      <c r="AP811" s="1511"/>
      <c r="AQ811" s="1215"/>
      <c r="AR811" s="1216"/>
      <c r="AT811" s="1216"/>
      <c r="AV811" s="1216"/>
      <c r="AX811" s="1216"/>
      <c r="AY811" s="1217"/>
      <c r="AZ811" s="1216"/>
    </row>
    <row r="812" spans="1:52" s="2" customFormat="1" x14ac:dyDescent="0.25">
      <c r="A812" s="321" t="s">
        <v>1270</v>
      </c>
      <c r="B812" s="310"/>
      <c r="C812" s="261"/>
      <c r="D812" s="251"/>
      <c r="E812" s="198" t="s">
        <v>1096</v>
      </c>
      <c r="F812" s="199" t="s">
        <v>1096</v>
      </c>
      <c r="G812" s="146">
        <v>3000000</v>
      </c>
      <c r="H812" s="232" t="str">
        <f t="shared" ref="H812:H843" si="215">IFERROR(VLOOKUP(C812,Tlus,3,FALSE),"   ")</f>
        <v xml:space="preserve">   </v>
      </c>
      <c r="I812" s="232" t="str">
        <f t="shared" ref="I812:I843" si="216">IFERROR(VLOOKUP(C812,Wis,4,FALSE),"   ")</f>
        <v xml:space="preserve">   </v>
      </c>
      <c r="J812" s="1450">
        <v>1250000</v>
      </c>
      <c r="K812" s="1529"/>
      <c r="L812" s="1582" t="s">
        <v>1049</v>
      </c>
      <c r="M812" s="1438" t="s">
        <v>1054</v>
      </c>
      <c r="N812" s="1582" t="s">
        <v>1051</v>
      </c>
      <c r="O812" s="1438" t="s">
        <v>1056</v>
      </c>
      <c r="P812" s="1582" t="s">
        <v>1053</v>
      </c>
      <c r="Q812" s="1438" t="s">
        <v>1058</v>
      </c>
      <c r="R812" s="1582" t="s">
        <v>1055</v>
      </c>
      <c r="S812" s="1438" t="s">
        <v>1060</v>
      </c>
      <c r="T812" s="1582" t="s">
        <v>1057</v>
      </c>
      <c r="U812" s="1438" t="s">
        <v>1062</v>
      </c>
      <c r="V812" s="1582" t="s">
        <v>1059</v>
      </c>
      <c r="W812" s="1438" t="s">
        <v>1064</v>
      </c>
      <c r="X812" s="1582" t="s">
        <v>1061</v>
      </c>
      <c r="Y812" s="1438" t="s">
        <v>1066</v>
      </c>
      <c r="Z812" s="1582" t="s">
        <v>1063</v>
      </c>
      <c r="AA812" s="1438" t="s">
        <v>1068</v>
      </c>
      <c r="AB812" s="1450">
        <v>1000000</v>
      </c>
      <c r="AC812" s="1127"/>
      <c r="AD812" s="1607"/>
      <c r="AE812" s="1155"/>
      <c r="AF812" s="1607"/>
      <c r="AG812" s="1155"/>
      <c r="AH812" s="1627" t="str">
        <f t="shared" si="204"/>
        <v>#</v>
      </c>
      <c r="AI812" s="1512"/>
      <c r="AJ812" s="1409"/>
      <c r="AK812" s="1409"/>
      <c r="AL812" s="1513"/>
      <c r="AM812" s="1513"/>
      <c r="AN812" s="1514"/>
      <c r="AO812" s="1513"/>
      <c r="AP812" s="1514"/>
      <c r="AQ812" s="1128"/>
      <c r="AR812" s="1173"/>
      <c r="AT812" s="1173"/>
      <c r="AV812" s="1173"/>
      <c r="AX812" s="1173"/>
      <c r="AY812" s="1176"/>
      <c r="AZ812" s="1173"/>
    </row>
    <row r="813" spans="1:52" s="2" customFormat="1" x14ac:dyDescent="0.25">
      <c r="A813" s="322">
        <v>759</v>
      </c>
      <c r="B813" s="323">
        <v>1</v>
      </c>
      <c r="C813" s="325">
        <v>849114023</v>
      </c>
      <c r="D813" s="324" t="s">
        <v>1271</v>
      </c>
      <c r="E813" s="326" t="s">
        <v>1070</v>
      </c>
      <c r="F813" s="327">
        <v>2014</v>
      </c>
      <c r="G813" s="170" t="s">
        <v>1077</v>
      </c>
      <c r="H813" s="328" t="str">
        <f t="shared" si="215"/>
        <v xml:space="preserve">   </v>
      </c>
      <c r="I813" s="328" t="str">
        <f t="shared" si="216"/>
        <v xml:space="preserve">   </v>
      </c>
      <c r="J813" s="1558">
        <v>1250000</v>
      </c>
      <c r="K813" s="1590">
        <v>41855</v>
      </c>
      <c r="L813" s="1543">
        <v>3000000</v>
      </c>
      <c r="M813" s="1590">
        <v>41855</v>
      </c>
      <c r="N813" s="1543">
        <v>3000000</v>
      </c>
      <c r="O813" s="1590">
        <v>41672</v>
      </c>
      <c r="P813" s="1543">
        <v>3000000</v>
      </c>
      <c r="Q813" s="1590">
        <v>42213</v>
      </c>
      <c r="R813" s="1543">
        <v>3000000</v>
      </c>
      <c r="S813" s="1601">
        <v>42389</v>
      </c>
      <c r="T813" s="1602">
        <v>3000000</v>
      </c>
      <c r="U813" s="1590">
        <v>42573</v>
      </c>
      <c r="V813" s="1603"/>
      <c r="W813" s="1590"/>
      <c r="X813" s="1551"/>
      <c r="Y813" s="1542"/>
      <c r="Z813" s="1551"/>
      <c r="AA813" s="1542"/>
      <c r="AB813" s="1541"/>
      <c r="AC813" s="1619"/>
      <c r="AD813" s="1611" t="s">
        <v>1233</v>
      </c>
      <c r="AE813" s="1612"/>
      <c r="AF813" s="1613"/>
      <c r="AG813" s="1612"/>
      <c r="AH813" s="1624" t="str">
        <f t="shared" si="204"/>
        <v>MPI-S2</v>
      </c>
      <c r="AI813" s="1427">
        <f t="shared" ref="AI813" si="217">SUM(J813,L813,N813,P813,R813,T813,V813,X813,Z813,AB813,AD813,AF813)</f>
        <v>16250000</v>
      </c>
      <c r="AJ813" s="1427">
        <f t="shared" ref="AJ813:AJ834" si="218">(COUNT(L813,N813,P813,R813,T813,V813,X813,Z813,AD813,AF813)*$G$773)+(COUNT(J813)*$J$773)+(COUNT(AB813)*$AB$773)</f>
        <v>16250000</v>
      </c>
      <c r="AK813" s="1427">
        <f t="shared" ref="AK813" si="219">AJ813-AI813</f>
        <v>0</v>
      </c>
      <c r="AL813" s="1428" t="s">
        <v>1077</v>
      </c>
      <c r="AM813" s="1410"/>
      <c r="AN813" s="1411"/>
      <c r="AO813" s="1410"/>
      <c r="AP813" s="1411"/>
      <c r="AQ813" s="1128"/>
      <c r="AR813" s="1173"/>
      <c r="AT813" s="1173"/>
      <c r="AV813" s="1173"/>
      <c r="AX813" s="1173"/>
      <c r="AY813" s="1176"/>
      <c r="AZ813" s="1173"/>
    </row>
    <row r="814" spans="1:52" s="2" customFormat="1" x14ac:dyDescent="0.25">
      <c r="A814" s="156">
        <v>760</v>
      </c>
      <c r="B814" s="157">
        <v>2</v>
      </c>
      <c r="C814" s="159">
        <v>849114022</v>
      </c>
      <c r="D814" s="158" t="s">
        <v>1272</v>
      </c>
      <c r="E814" s="179" t="s">
        <v>1070</v>
      </c>
      <c r="F814" s="161">
        <v>2014</v>
      </c>
      <c r="G814" s="162" t="s">
        <v>33</v>
      </c>
      <c r="H814" s="163">
        <f t="shared" si="215"/>
        <v>43460</v>
      </c>
      <c r="I814" s="163">
        <f t="shared" si="216"/>
        <v>43587</v>
      </c>
      <c r="J814" s="1364">
        <v>1250000</v>
      </c>
      <c r="K814" s="1357">
        <v>41856</v>
      </c>
      <c r="L814" s="1358">
        <v>3000000</v>
      </c>
      <c r="M814" s="1357">
        <v>41856</v>
      </c>
      <c r="N814" s="1358">
        <v>3000000</v>
      </c>
      <c r="O814" s="1357">
        <v>42072</v>
      </c>
      <c r="P814" s="1358">
        <v>3000000</v>
      </c>
      <c r="Q814" s="1357">
        <v>42241</v>
      </c>
      <c r="R814" s="1358">
        <v>3000000</v>
      </c>
      <c r="S814" s="1383">
        <v>42566</v>
      </c>
      <c r="T814" s="1356">
        <v>3000000</v>
      </c>
      <c r="U814" s="1357">
        <v>42783</v>
      </c>
      <c r="V814" s="1358">
        <v>3000000</v>
      </c>
      <c r="W814" s="1357">
        <v>43283</v>
      </c>
      <c r="X814" s="1431">
        <v>3000000</v>
      </c>
      <c r="Y814" s="1548">
        <v>43433</v>
      </c>
      <c r="Z814" s="1431">
        <v>3000000</v>
      </c>
      <c r="AA814" s="1365">
        <v>43545</v>
      </c>
      <c r="AB814" s="1356">
        <v>1000000</v>
      </c>
      <c r="AC814" s="1383">
        <v>43283</v>
      </c>
      <c r="AD814" s="1611" t="s">
        <v>1233</v>
      </c>
      <c r="AE814" s="1612"/>
      <c r="AF814" s="1613"/>
      <c r="AG814" s="1612"/>
      <c r="AH814" s="1625" t="str">
        <f t="shared" si="204"/>
        <v>MPI-S2</v>
      </c>
      <c r="AI814" s="1424">
        <f t="shared" ref="AI814:AI834" si="220">SUM(J814,L814,N814,P814,R814,T814,V814,X814,Z814,AB814,AD814,AF814)</f>
        <v>26250000</v>
      </c>
      <c r="AJ814" s="1424">
        <f t="shared" si="218"/>
        <v>26250000</v>
      </c>
      <c r="AK814" s="1520">
        <f t="shared" ref="AK814:AK834" si="221">AJ814-AI814</f>
        <v>0</v>
      </c>
      <c r="AL814" s="1575" t="str">
        <f t="shared" ref="AL814:AL834" si="222">IF(AK814=0,"Lunas","Cek")</f>
        <v>Lunas</v>
      </c>
      <c r="AM814" s="1410"/>
      <c r="AN814" s="1411"/>
      <c r="AO814" s="1410"/>
      <c r="AP814" s="1411"/>
      <c r="AQ814" s="1128"/>
      <c r="AR814" s="1173"/>
      <c r="AT814" s="1173"/>
      <c r="AV814" s="1173"/>
      <c r="AX814" s="1173"/>
      <c r="AY814" s="1176"/>
      <c r="AZ814" s="1173"/>
    </row>
    <row r="815" spans="1:52" s="2" customFormat="1" x14ac:dyDescent="0.25">
      <c r="A815" s="164">
        <v>761</v>
      </c>
      <c r="B815" s="253">
        <v>3</v>
      </c>
      <c r="C815" s="263">
        <v>849114017</v>
      </c>
      <c r="D815" s="173" t="s">
        <v>1273</v>
      </c>
      <c r="E815" s="264" t="s">
        <v>1070</v>
      </c>
      <c r="F815" s="175">
        <v>2014</v>
      </c>
      <c r="G815" s="170" t="s">
        <v>1077</v>
      </c>
      <c r="H815" s="265" t="str">
        <f t="shared" si="215"/>
        <v xml:space="preserve">   </v>
      </c>
      <c r="I815" s="265" t="str">
        <f t="shared" si="216"/>
        <v xml:space="preserve">   </v>
      </c>
      <c r="J815" s="1366">
        <v>1250000</v>
      </c>
      <c r="K815" s="1367">
        <v>41856</v>
      </c>
      <c r="L815" s="1363">
        <v>3000000</v>
      </c>
      <c r="M815" s="1367">
        <v>41856</v>
      </c>
      <c r="N815" s="1363">
        <v>3000000</v>
      </c>
      <c r="O815" s="1367">
        <v>42062</v>
      </c>
      <c r="P815" s="1363">
        <v>3000000</v>
      </c>
      <c r="Q815" s="1367">
        <v>42229</v>
      </c>
      <c r="R815" s="1363">
        <v>3000000</v>
      </c>
      <c r="S815" s="1500">
        <v>42410</v>
      </c>
      <c r="T815" s="1476">
        <v>3000000</v>
      </c>
      <c r="U815" s="1367">
        <v>42615</v>
      </c>
      <c r="V815" s="1499"/>
      <c r="W815" s="1367"/>
      <c r="X815" s="1363"/>
      <c r="Y815" s="1360"/>
      <c r="Z815" s="1363"/>
      <c r="AA815" s="1360"/>
      <c r="AB815" s="1476">
        <v>1000000</v>
      </c>
      <c r="AC815" s="1503">
        <v>42615</v>
      </c>
      <c r="AD815" s="1611" t="s">
        <v>1233</v>
      </c>
      <c r="AE815" s="1612"/>
      <c r="AF815" s="1613"/>
      <c r="AG815" s="1612"/>
      <c r="AH815" s="1625" t="str">
        <f t="shared" si="204"/>
        <v>MPI-S2</v>
      </c>
      <c r="AI815" s="1427">
        <f t="shared" si="220"/>
        <v>17250000</v>
      </c>
      <c r="AJ815" s="1427">
        <f t="shared" si="218"/>
        <v>17250000</v>
      </c>
      <c r="AK815" s="1427">
        <f t="shared" si="221"/>
        <v>0</v>
      </c>
      <c r="AL815" s="1428" t="s">
        <v>1077</v>
      </c>
      <c r="AM815" s="1410"/>
      <c r="AN815" s="1411"/>
      <c r="AO815" s="1410"/>
      <c r="AP815" s="1411"/>
      <c r="AQ815" s="1128"/>
      <c r="AR815" s="1173"/>
      <c r="AT815" s="1173"/>
      <c r="AV815" s="1173"/>
      <c r="AX815" s="1173"/>
      <c r="AY815" s="1176"/>
      <c r="AZ815" s="1173"/>
    </row>
    <row r="816" spans="1:52" s="2" customFormat="1" x14ac:dyDescent="0.25">
      <c r="A816" s="234">
        <v>762</v>
      </c>
      <c r="B816" s="235">
        <v>4</v>
      </c>
      <c r="C816" s="236">
        <v>849114028</v>
      </c>
      <c r="D816" s="233" t="s">
        <v>1274</v>
      </c>
      <c r="E816" s="237" t="s">
        <v>1070</v>
      </c>
      <c r="F816" s="238">
        <v>2014</v>
      </c>
      <c r="G816" s="214" t="s">
        <v>1077</v>
      </c>
      <c r="H816" s="239" t="str">
        <f t="shared" si="215"/>
        <v xml:space="preserve">   </v>
      </c>
      <c r="I816" s="239" t="str">
        <f t="shared" si="216"/>
        <v xml:space="preserve">   </v>
      </c>
      <c r="J816" s="1453">
        <v>1250000</v>
      </c>
      <c r="K816" s="1454">
        <v>41856</v>
      </c>
      <c r="L816" s="1455">
        <v>3000000</v>
      </c>
      <c r="M816" s="1454">
        <v>41856</v>
      </c>
      <c r="N816" s="1521" t="s">
        <v>1162</v>
      </c>
      <c r="O816" s="1367"/>
      <c r="P816" s="1363"/>
      <c r="Q816" s="1367"/>
      <c r="R816" s="1499"/>
      <c r="S816" s="1503"/>
      <c r="T816" s="1530"/>
      <c r="U816" s="1367"/>
      <c r="V816" s="1530"/>
      <c r="W816" s="1367"/>
      <c r="X816" s="1363"/>
      <c r="Y816" s="1360"/>
      <c r="Z816" s="1363"/>
      <c r="AA816" s="1360"/>
      <c r="AB816" s="1530"/>
      <c r="AC816" s="1503"/>
      <c r="AD816" s="1611" t="s">
        <v>1233</v>
      </c>
      <c r="AE816" s="1612"/>
      <c r="AF816" s="1613"/>
      <c r="AG816" s="1612"/>
      <c r="AH816" s="1625" t="str">
        <f t="shared" si="204"/>
        <v>MPI-S2</v>
      </c>
      <c r="AI816" s="1427">
        <f t="shared" si="220"/>
        <v>4250000</v>
      </c>
      <c r="AJ816" s="1427">
        <f t="shared" si="218"/>
        <v>4250000</v>
      </c>
      <c r="AK816" s="1427">
        <f t="shared" si="221"/>
        <v>0</v>
      </c>
      <c r="AL816" s="1428" t="s">
        <v>1077</v>
      </c>
      <c r="AM816" s="1410"/>
      <c r="AN816" s="1411"/>
      <c r="AO816" s="1410"/>
      <c r="AP816" s="1411"/>
      <c r="AQ816" s="1128"/>
      <c r="AR816" s="1173"/>
      <c r="AT816" s="1173"/>
      <c r="AV816" s="1173"/>
      <c r="AX816" s="1173"/>
      <c r="AY816" s="1176"/>
      <c r="AZ816" s="1173"/>
    </row>
    <row r="817" spans="1:52" s="2" customFormat="1" x14ac:dyDescent="0.25">
      <c r="A817" s="234">
        <v>763</v>
      </c>
      <c r="B817" s="235">
        <v>5</v>
      </c>
      <c r="C817" s="236">
        <v>849114024</v>
      </c>
      <c r="D817" s="233" t="s">
        <v>1275</v>
      </c>
      <c r="E817" s="237" t="s">
        <v>1070</v>
      </c>
      <c r="F817" s="238">
        <v>2014</v>
      </c>
      <c r="G817" s="214" t="s">
        <v>1077</v>
      </c>
      <c r="H817" s="239" t="str">
        <f t="shared" si="215"/>
        <v xml:space="preserve">   </v>
      </c>
      <c r="I817" s="239" t="str">
        <f t="shared" si="216"/>
        <v xml:space="preserve">   </v>
      </c>
      <c r="J817" s="1453">
        <v>1250000</v>
      </c>
      <c r="K817" s="1454">
        <v>41857</v>
      </c>
      <c r="L817" s="1455">
        <v>3000000</v>
      </c>
      <c r="M817" s="1454">
        <v>41857</v>
      </c>
      <c r="N817" s="1521" t="s">
        <v>1162</v>
      </c>
      <c r="O817" s="1367"/>
      <c r="P817" s="1363"/>
      <c r="Q817" s="1367"/>
      <c r="R817" s="1499"/>
      <c r="S817" s="1503"/>
      <c r="T817" s="1530"/>
      <c r="U817" s="1367"/>
      <c r="V817" s="1530"/>
      <c r="W817" s="1367"/>
      <c r="X817" s="1430"/>
      <c r="Y817" s="1360"/>
      <c r="Z817" s="1430"/>
      <c r="AA817" s="1360"/>
      <c r="AB817" s="1530"/>
      <c r="AC817" s="1503"/>
      <c r="AD817" s="1611" t="s">
        <v>1233</v>
      </c>
      <c r="AE817" s="1612"/>
      <c r="AF817" s="1613"/>
      <c r="AG817" s="1612"/>
      <c r="AH817" s="1625" t="str">
        <f t="shared" si="204"/>
        <v>MPI-S2</v>
      </c>
      <c r="AI817" s="1427">
        <f t="shared" si="220"/>
        <v>4250000</v>
      </c>
      <c r="AJ817" s="1427">
        <f t="shared" si="218"/>
        <v>4250000</v>
      </c>
      <c r="AK817" s="1427">
        <f t="shared" si="221"/>
        <v>0</v>
      </c>
      <c r="AL817" s="1428" t="s">
        <v>1077</v>
      </c>
      <c r="AM817" s="1410"/>
      <c r="AN817" s="1411"/>
      <c r="AO817" s="1410"/>
      <c r="AP817" s="1411"/>
      <c r="AQ817" s="1128"/>
      <c r="AR817" s="1173"/>
      <c r="AT817" s="1173"/>
      <c r="AV817" s="1173"/>
      <c r="AX817" s="1173"/>
      <c r="AY817" s="1176"/>
      <c r="AZ817" s="1173"/>
    </row>
    <row r="818" spans="1:52" s="2" customFormat="1" x14ac:dyDescent="0.25">
      <c r="A818" s="156">
        <v>764</v>
      </c>
      <c r="B818" s="157">
        <v>6</v>
      </c>
      <c r="C818" s="159">
        <v>849114038</v>
      </c>
      <c r="D818" s="158" t="s">
        <v>1276</v>
      </c>
      <c r="E818" s="160" t="s">
        <v>1070</v>
      </c>
      <c r="F818" s="161">
        <v>2014</v>
      </c>
      <c r="G818" s="162" t="s">
        <v>33</v>
      </c>
      <c r="H818" s="163">
        <f t="shared" si="215"/>
        <v>43090</v>
      </c>
      <c r="I818" s="163">
        <f t="shared" si="216"/>
        <v>43218</v>
      </c>
      <c r="J818" s="1356">
        <v>1250000</v>
      </c>
      <c r="K818" s="1357">
        <v>41857</v>
      </c>
      <c r="L818" s="1358">
        <v>3000000</v>
      </c>
      <c r="M818" s="1357">
        <v>41857</v>
      </c>
      <c r="N818" s="1358">
        <v>3000000</v>
      </c>
      <c r="O818" s="1357">
        <v>42069</v>
      </c>
      <c r="P818" s="1358">
        <v>3000000</v>
      </c>
      <c r="Q818" s="1357">
        <v>42397</v>
      </c>
      <c r="R818" s="1356">
        <v>3000000</v>
      </c>
      <c r="S818" s="1383">
        <v>42397</v>
      </c>
      <c r="T818" s="1358">
        <v>3000000</v>
      </c>
      <c r="U818" s="1357">
        <v>42573</v>
      </c>
      <c r="V818" s="1358">
        <v>3000000</v>
      </c>
      <c r="W818" s="1357" t="s">
        <v>1277</v>
      </c>
      <c r="X818" s="1358">
        <v>3000000</v>
      </c>
      <c r="Y818" s="1357">
        <v>42937</v>
      </c>
      <c r="Z818" s="1465" t="s">
        <v>1080</v>
      </c>
      <c r="AA818" s="1360"/>
      <c r="AB818" s="1358">
        <v>1000000</v>
      </c>
      <c r="AC818" s="1383">
        <v>42573</v>
      </c>
      <c r="AD818" s="1611" t="s">
        <v>1233</v>
      </c>
      <c r="AE818" s="1612"/>
      <c r="AF818" s="1613"/>
      <c r="AG818" s="1612"/>
      <c r="AH818" s="1625" t="str">
        <f t="shared" si="204"/>
        <v>MPI-S2</v>
      </c>
      <c r="AI818" s="1424">
        <f t="shared" si="220"/>
        <v>23250000</v>
      </c>
      <c r="AJ818" s="1424">
        <f t="shared" si="218"/>
        <v>23250000</v>
      </c>
      <c r="AK818" s="1520">
        <f t="shared" si="221"/>
        <v>0</v>
      </c>
      <c r="AL818" s="1575" t="str">
        <f t="shared" si="222"/>
        <v>Lunas</v>
      </c>
      <c r="AM818" s="1410"/>
      <c r="AN818" s="1411"/>
      <c r="AO818" s="1410"/>
      <c r="AP818" s="1411"/>
      <c r="AQ818" s="1128"/>
      <c r="AR818" s="1173"/>
      <c r="AT818" s="1173"/>
      <c r="AV818" s="1173"/>
      <c r="AX818" s="1173"/>
      <c r="AY818" s="1176"/>
      <c r="AZ818" s="1173"/>
    </row>
    <row r="819" spans="1:52" s="2" customFormat="1" x14ac:dyDescent="0.25">
      <c r="A819" s="156">
        <v>765</v>
      </c>
      <c r="B819" s="157">
        <v>5</v>
      </c>
      <c r="C819" s="159">
        <v>849114040</v>
      </c>
      <c r="D819" s="158" t="s">
        <v>1278</v>
      </c>
      <c r="E819" s="160" t="s">
        <v>1070</v>
      </c>
      <c r="F819" s="161">
        <v>2014</v>
      </c>
      <c r="G819" s="162" t="s">
        <v>33</v>
      </c>
      <c r="H819" s="163">
        <f t="shared" si="215"/>
        <v>42725</v>
      </c>
      <c r="I819" s="163">
        <f t="shared" si="216"/>
        <v>42861</v>
      </c>
      <c r="J819" s="1356">
        <v>1250000</v>
      </c>
      <c r="K819" s="1357">
        <v>41857</v>
      </c>
      <c r="L819" s="1358">
        <v>3000000</v>
      </c>
      <c r="M819" s="1357">
        <v>41857</v>
      </c>
      <c r="N819" s="1358">
        <v>3000000</v>
      </c>
      <c r="O819" s="1357">
        <v>42059</v>
      </c>
      <c r="P819" s="1358">
        <v>3000000</v>
      </c>
      <c r="Q819" s="1357">
        <v>42395</v>
      </c>
      <c r="R819" s="1356">
        <v>3000000</v>
      </c>
      <c r="S819" s="1383">
        <v>42395</v>
      </c>
      <c r="T819" s="1358">
        <v>3000000</v>
      </c>
      <c r="U819" s="1357">
        <v>42573</v>
      </c>
      <c r="V819" s="1465" t="s">
        <v>276</v>
      </c>
      <c r="W819" s="1474"/>
      <c r="X819" s="1389"/>
      <c r="Y819" s="1360"/>
      <c r="Z819" s="1430"/>
      <c r="AA819" s="1360"/>
      <c r="AB819" s="1358">
        <v>1000000</v>
      </c>
      <c r="AC819" s="1383">
        <v>42573</v>
      </c>
      <c r="AD819" s="1611" t="s">
        <v>1233</v>
      </c>
      <c r="AE819" s="1612"/>
      <c r="AF819" s="1613"/>
      <c r="AG819" s="1612"/>
      <c r="AH819" s="1625" t="str">
        <f t="shared" si="204"/>
        <v>MPI-S2</v>
      </c>
      <c r="AI819" s="1424">
        <f t="shared" si="220"/>
        <v>17250000</v>
      </c>
      <c r="AJ819" s="1424">
        <f t="shared" si="218"/>
        <v>17250000</v>
      </c>
      <c r="AK819" s="1520">
        <f t="shared" si="221"/>
        <v>0</v>
      </c>
      <c r="AL819" s="1575" t="str">
        <f t="shared" si="222"/>
        <v>Lunas</v>
      </c>
      <c r="AM819" s="1410"/>
      <c r="AN819" s="1411"/>
      <c r="AO819" s="1410"/>
      <c r="AP819" s="1411"/>
      <c r="AQ819" s="1128"/>
      <c r="AR819" s="1173"/>
      <c r="AT819" s="1173"/>
      <c r="AV819" s="1173"/>
      <c r="AX819" s="1173"/>
      <c r="AY819" s="1176"/>
      <c r="AZ819" s="1173"/>
    </row>
    <row r="820" spans="1:52" s="2" customFormat="1" x14ac:dyDescent="0.25">
      <c r="A820" s="164">
        <v>766</v>
      </c>
      <c r="B820" s="253">
        <v>8</v>
      </c>
      <c r="C820" s="263">
        <v>849114019</v>
      </c>
      <c r="D820" s="173" t="s">
        <v>1279</v>
      </c>
      <c r="E820" s="264" t="s">
        <v>1070</v>
      </c>
      <c r="F820" s="175">
        <v>2014</v>
      </c>
      <c r="G820" s="170" t="s">
        <v>1077</v>
      </c>
      <c r="H820" s="265" t="str">
        <f t="shared" si="215"/>
        <v xml:space="preserve">   </v>
      </c>
      <c r="I820" s="265" t="str">
        <f t="shared" si="216"/>
        <v xml:space="preserve">   </v>
      </c>
      <c r="J820" s="1366">
        <v>1250000</v>
      </c>
      <c r="K820" s="1367">
        <v>41857</v>
      </c>
      <c r="L820" s="1363">
        <v>3000000</v>
      </c>
      <c r="M820" s="1367">
        <v>41857</v>
      </c>
      <c r="N820" s="1363">
        <v>3000000</v>
      </c>
      <c r="O820" s="1367">
        <v>42070</v>
      </c>
      <c r="P820" s="1363">
        <v>3000000</v>
      </c>
      <c r="Q820" s="1367">
        <v>42244</v>
      </c>
      <c r="R820" s="1530"/>
      <c r="S820" s="1503"/>
      <c r="T820" s="1363"/>
      <c r="U820" s="1367"/>
      <c r="V820" s="1530"/>
      <c r="W820" s="1360"/>
      <c r="X820" s="1430"/>
      <c r="Y820" s="1360"/>
      <c r="Z820" s="1430"/>
      <c r="AA820" s="1360"/>
      <c r="AB820" s="1530"/>
      <c r="AC820" s="1500"/>
      <c r="AD820" s="1611" t="s">
        <v>1233</v>
      </c>
      <c r="AE820" s="1612"/>
      <c r="AF820" s="1613"/>
      <c r="AG820" s="1612"/>
      <c r="AH820" s="1625" t="str">
        <f t="shared" si="204"/>
        <v>MPI-S2</v>
      </c>
      <c r="AI820" s="1427">
        <f t="shared" si="220"/>
        <v>10250000</v>
      </c>
      <c r="AJ820" s="1427">
        <f t="shared" si="218"/>
        <v>10250000</v>
      </c>
      <c r="AK820" s="1427">
        <f t="shared" si="221"/>
        <v>0</v>
      </c>
      <c r="AL820" s="1428" t="s">
        <v>1077</v>
      </c>
      <c r="AM820" s="1410"/>
      <c r="AN820" s="1411"/>
      <c r="AO820" s="1410"/>
      <c r="AP820" s="1411"/>
      <c r="AQ820" s="1128"/>
      <c r="AR820" s="1173"/>
      <c r="AT820" s="1173"/>
      <c r="AV820" s="1173"/>
      <c r="AX820" s="1173"/>
      <c r="AY820" s="1176"/>
      <c r="AZ820" s="1173"/>
    </row>
    <row r="821" spans="1:52" s="2" customFormat="1" x14ac:dyDescent="0.25">
      <c r="A821" s="156">
        <v>767</v>
      </c>
      <c r="B821" s="157">
        <v>9</v>
      </c>
      <c r="C821" s="159">
        <v>849114041</v>
      </c>
      <c r="D821" s="158" t="s">
        <v>1280</v>
      </c>
      <c r="E821" s="179" t="s">
        <v>1070</v>
      </c>
      <c r="F821" s="161">
        <v>2014</v>
      </c>
      <c r="G821" s="162" t="s">
        <v>33</v>
      </c>
      <c r="H821" s="163">
        <f t="shared" si="215"/>
        <v>43222</v>
      </c>
      <c r="I821" s="163">
        <f t="shared" si="216"/>
        <v>43440</v>
      </c>
      <c r="J821" s="1356">
        <v>1250000</v>
      </c>
      <c r="K821" s="1357">
        <v>41857</v>
      </c>
      <c r="L821" s="1358">
        <v>3000000</v>
      </c>
      <c r="M821" s="1357">
        <v>41857</v>
      </c>
      <c r="N821" s="1358">
        <v>3000000</v>
      </c>
      <c r="O821" s="1357">
        <v>42069</v>
      </c>
      <c r="P821" s="1358">
        <v>3000000</v>
      </c>
      <c r="Q821" s="1357">
        <v>42263</v>
      </c>
      <c r="R821" s="1358">
        <v>3000000</v>
      </c>
      <c r="S821" s="1383">
        <v>42403</v>
      </c>
      <c r="T821" s="1358">
        <v>3000000</v>
      </c>
      <c r="U821" s="1357">
        <v>42787</v>
      </c>
      <c r="V821" s="1358">
        <v>3000000</v>
      </c>
      <c r="W821" s="1357">
        <v>42787</v>
      </c>
      <c r="X821" s="1595">
        <v>3000000</v>
      </c>
      <c r="Y821" s="1357">
        <v>42976</v>
      </c>
      <c r="Z821" s="1358">
        <v>3000000</v>
      </c>
      <c r="AA821" s="1357">
        <v>43158</v>
      </c>
      <c r="AB821" s="1358">
        <v>1000000</v>
      </c>
      <c r="AC821" s="1383">
        <v>42787</v>
      </c>
      <c r="AD821" s="1611" t="s">
        <v>1233</v>
      </c>
      <c r="AE821" s="1612"/>
      <c r="AF821" s="1613"/>
      <c r="AG821" s="1612"/>
      <c r="AH821" s="1625" t="str">
        <f t="shared" si="204"/>
        <v>MPI-S2</v>
      </c>
      <c r="AI821" s="1424">
        <f t="shared" si="220"/>
        <v>26250000</v>
      </c>
      <c r="AJ821" s="1424">
        <f t="shared" si="218"/>
        <v>26250000</v>
      </c>
      <c r="AK821" s="1520">
        <f t="shared" si="221"/>
        <v>0</v>
      </c>
      <c r="AL821" s="1575" t="str">
        <f t="shared" si="222"/>
        <v>Lunas</v>
      </c>
      <c r="AM821" s="1410"/>
      <c r="AN821" s="1411"/>
      <c r="AO821" s="1410"/>
      <c r="AP821" s="1411"/>
      <c r="AQ821" s="1128"/>
      <c r="AR821" s="1173"/>
      <c r="AT821" s="1173"/>
      <c r="AV821" s="1173"/>
      <c r="AX821" s="1173"/>
      <c r="AY821" s="1176"/>
      <c r="AZ821" s="1173"/>
    </row>
    <row r="822" spans="1:52" s="2" customFormat="1" x14ac:dyDescent="0.25">
      <c r="A822" s="156">
        <v>768</v>
      </c>
      <c r="B822" s="157">
        <v>10</v>
      </c>
      <c r="C822" s="159">
        <v>849114039</v>
      </c>
      <c r="D822" s="158" t="s">
        <v>1281</v>
      </c>
      <c r="E822" s="160" t="s">
        <v>1070</v>
      </c>
      <c r="F822" s="161">
        <v>2014</v>
      </c>
      <c r="G822" s="162" t="s">
        <v>33</v>
      </c>
      <c r="H822" s="163">
        <f t="shared" si="215"/>
        <v>42831</v>
      </c>
      <c r="I822" s="163">
        <f t="shared" si="216"/>
        <v>43064</v>
      </c>
      <c r="J822" s="1356">
        <v>1250000</v>
      </c>
      <c r="K822" s="1357">
        <v>41858</v>
      </c>
      <c r="L822" s="1358">
        <v>3000000</v>
      </c>
      <c r="M822" s="1357">
        <v>41858</v>
      </c>
      <c r="N822" s="1358">
        <v>3000000</v>
      </c>
      <c r="O822" s="1357">
        <v>42069</v>
      </c>
      <c r="P822" s="1358">
        <v>3000000</v>
      </c>
      <c r="Q822" s="1357">
        <v>42227</v>
      </c>
      <c r="R822" s="1358">
        <v>3000000</v>
      </c>
      <c r="S822" s="1383">
        <v>42401</v>
      </c>
      <c r="T822" s="1358">
        <v>3000000</v>
      </c>
      <c r="U822" s="1357">
        <v>42573</v>
      </c>
      <c r="V822" s="1358">
        <v>3000000</v>
      </c>
      <c r="W822" s="1357">
        <v>39123</v>
      </c>
      <c r="X822" s="1465" t="s">
        <v>1080</v>
      </c>
      <c r="Y822" s="1360"/>
      <c r="Z822" s="1430"/>
      <c r="AA822" s="1360"/>
      <c r="AB822" s="1358">
        <v>1000000</v>
      </c>
      <c r="AC822" s="1383">
        <v>42573</v>
      </c>
      <c r="AD822" s="1611" t="s">
        <v>1233</v>
      </c>
      <c r="AE822" s="1612"/>
      <c r="AF822" s="1613"/>
      <c r="AG822" s="1612"/>
      <c r="AH822" s="1625" t="str">
        <f t="shared" si="204"/>
        <v>MPI-S2</v>
      </c>
      <c r="AI822" s="1424">
        <f t="shared" si="220"/>
        <v>20250000</v>
      </c>
      <c r="AJ822" s="1424">
        <f t="shared" si="218"/>
        <v>20250000</v>
      </c>
      <c r="AK822" s="1520">
        <f t="shared" si="221"/>
        <v>0</v>
      </c>
      <c r="AL822" s="1575" t="str">
        <f t="shared" si="222"/>
        <v>Lunas</v>
      </c>
      <c r="AM822" s="1410"/>
      <c r="AN822" s="1411"/>
      <c r="AO822" s="1410"/>
      <c r="AP822" s="1411"/>
      <c r="AQ822" s="1128"/>
      <c r="AR822" s="1173"/>
      <c r="AT822" s="1173"/>
      <c r="AV822" s="1173"/>
      <c r="AX822" s="1173"/>
      <c r="AY822" s="1176"/>
      <c r="AZ822" s="1173"/>
    </row>
    <row r="823" spans="1:52" s="2" customFormat="1" x14ac:dyDescent="0.25">
      <c r="A823" s="156">
        <v>769</v>
      </c>
      <c r="B823" s="157">
        <v>11</v>
      </c>
      <c r="C823" s="159">
        <v>849114015</v>
      </c>
      <c r="D823" s="158" t="s">
        <v>1282</v>
      </c>
      <c r="E823" s="160" t="s">
        <v>1070</v>
      </c>
      <c r="F823" s="161">
        <v>2014</v>
      </c>
      <c r="G823" s="162" t="s">
        <v>33</v>
      </c>
      <c r="H823" s="163">
        <f t="shared" si="215"/>
        <v>42817</v>
      </c>
      <c r="I823" s="163">
        <f t="shared" si="216"/>
        <v>42861</v>
      </c>
      <c r="J823" s="1356">
        <v>1250000</v>
      </c>
      <c r="K823" s="1357">
        <v>41858</v>
      </c>
      <c r="L823" s="1358">
        <v>3000000</v>
      </c>
      <c r="M823" s="1357">
        <v>41858</v>
      </c>
      <c r="N823" s="1358">
        <v>3000000</v>
      </c>
      <c r="O823" s="1357">
        <v>42074</v>
      </c>
      <c r="P823" s="1358">
        <v>3000000</v>
      </c>
      <c r="Q823" s="1357">
        <v>42255</v>
      </c>
      <c r="R823" s="1358">
        <v>3000000</v>
      </c>
      <c r="S823" s="1383">
        <v>42577</v>
      </c>
      <c r="T823" s="1358">
        <v>3000000</v>
      </c>
      <c r="U823" s="1357">
        <v>42800</v>
      </c>
      <c r="V823" s="1358">
        <v>3000000</v>
      </c>
      <c r="W823" s="1357">
        <v>42797</v>
      </c>
      <c r="X823" s="1465" t="s">
        <v>276</v>
      </c>
      <c r="Y823" s="1360"/>
      <c r="Z823" s="1430"/>
      <c r="AA823" s="1360"/>
      <c r="AB823" s="1358">
        <v>1000000</v>
      </c>
      <c r="AC823" s="1383">
        <v>42800</v>
      </c>
      <c r="AD823" s="1611" t="s">
        <v>1233</v>
      </c>
      <c r="AE823" s="1612"/>
      <c r="AF823" s="1613"/>
      <c r="AG823" s="1612"/>
      <c r="AH823" s="1625" t="str">
        <f t="shared" si="204"/>
        <v>MPI-S2</v>
      </c>
      <c r="AI823" s="1424">
        <f t="shared" si="220"/>
        <v>20250000</v>
      </c>
      <c r="AJ823" s="1424">
        <f t="shared" si="218"/>
        <v>20250000</v>
      </c>
      <c r="AK823" s="1520">
        <f t="shared" si="221"/>
        <v>0</v>
      </c>
      <c r="AL823" s="1575" t="str">
        <f t="shared" si="222"/>
        <v>Lunas</v>
      </c>
      <c r="AM823" s="1410"/>
      <c r="AN823" s="1411"/>
      <c r="AO823" s="1410"/>
      <c r="AP823" s="1411"/>
      <c r="AQ823" s="1128"/>
      <c r="AR823" s="1173"/>
      <c r="AT823" s="1173"/>
      <c r="AV823" s="1173"/>
      <c r="AX823" s="1173"/>
      <c r="AY823" s="1176"/>
      <c r="AZ823" s="1173"/>
    </row>
    <row r="824" spans="1:52" s="2" customFormat="1" x14ac:dyDescent="0.25">
      <c r="A824" s="164">
        <v>770</v>
      </c>
      <c r="B824" s="253">
        <v>12</v>
      </c>
      <c r="C824" s="263">
        <v>849114016</v>
      </c>
      <c r="D824" s="173" t="s">
        <v>1283</v>
      </c>
      <c r="E824" s="264" t="s">
        <v>1070</v>
      </c>
      <c r="F824" s="175">
        <v>2014</v>
      </c>
      <c r="G824" s="170" t="s">
        <v>1077</v>
      </c>
      <c r="H824" s="265" t="str">
        <f t="shared" si="215"/>
        <v xml:space="preserve">   </v>
      </c>
      <c r="I824" s="265" t="str">
        <f t="shared" si="216"/>
        <v xml:space="preserve">   </v>
      </c>
      <c r="J824" s="1366">
        <v>1250000</v>
      </c>
      <c r="K824" s="1367">
        <v>41866</v>
      </c>
      <c r="L824" s="1363">
        <v>3000000</v>
      </c>
      <c r="M824" s="1367">
        <v>41866</v>
      </c>
      <c r="N824" s="1363">
        <v>3000000</v>
      </c>
      <c r="O824" s="1367">
        <v>42181</v>
      </c>
      <c r="P824" s="1363">
        <v>3000000</v>
      </c>
      <c r="Q824" s="1367">
        <v>42244</v>
      </c>
      <c r="R824" s="1363">
        <v>3000000</v>
      </c>
      <c r="S824" s="1503">
        <v>42579</v>
      </c>
      <c r="T824" s="1476">
        <v>3000000</v>
      </c>
      <c r="U824" s="1367">
        <v>42620</v>
      </c>
      <c r="V824" s="1499"/>
      <c r="W824" s="1360"/>
      <c r="X824" s="1430"/>
      <c r="Y824" s="1360"/>
      <c r="Z824" s="1430"/>
      <c r="AA824" s="1360"/>
      <c r="AB824" s="1476">
        <v>1000000</v>
      </c>
      <c r="AC824" s="1500">
        <v>42620</v>
      </c>
      <c r="AD824" s="1611" t="s">
        <v>1233</v>
      </c>
      <c r="AE824" s="1612"/>
      <c r="AF824" s="1613"/>
      <c r="AG824" s="1612"/>
      <c r="AH824" s="1625" t="str">
        <f t="shared" si="204"/>
        <v>MPI-S2</v>
      </c>
      <c r="AI824" s="1427">
        <f t="shared" si="220"/>
        <v>17250000</v>
      </c>
      <c r="AJ824" s="1427">
        <f t="shared" si="218"/>
        <v>17250000</v>
      </c>
      <c r="AK824" s="1427">
        <f t="shared" si="221"/>
        <v>0</v>
      </c>
      <c r="AL824" s="1428" t="s">
        <v>1077</v>
      </c>
      <c r="AM824" s="1410"/>
      <c r="AN824" s="1411"/>
      <c r="AO824" s="1410"/>
      <c r="AP824" s="1411"/>
      <c r="AQ824" s="1128"/>
      <c r="AR824" s="1173"/>
      <c r="AT824" s="1173"/>
      <c r="AV824" s="1173"/>
      <c r="AX824" s="1173"/>
      <c r="AY824" s="1176"/>
      <c r="AZ824" s="1173"/>
    </row>
    <row r="825" spans="1:52" s="2" customFormat="1" x14ac:dyDescent="0.25">
      <c r="A825" s="164">
        <v>771</v>
      </c>
      <c r="B825" s="253">
        <v>13</v>
      </c>
      <c r="C825" s="174">
        <v>849114021</v>
      </c>
      <c r="D825" s="166" t="s">
        <v>1284</v>
      </c>
      <c r="E825" s="168" t="s">
        <v>1070</v>
      </c>
      <c r="F825" s="169">
        <v>2014</v>
      </c>
      <c r="G825" s="170" t="s">
        <v>1077</v>
      </c>
      <c r="H825" s="265" t="str">
        <f t="shared" si="215"/>
        <v xml:space="preserve">   </v>
      </c>
      <c r="I825" s="265" t="str">
        <f t="shared" si="216"/>
        <v xml:space="preserve">   </v>
      </c>
      <c r="J825" s="1366">
        <v>1250000</v>
      </c>
      <c r="K825" s="1360">
        <v>41866</v>
      </c>
      <c r="L825" s="1430">
        <v>3000000</v>
      </c>
      <c r="M825" s="1360">
        <v>41866</v>
      </c>
      <c r="N825" s="1363">
        <v>3000000</v>
      </c>
      <c r="O825" s="1367">
        <v>42107</v>
      </c>
      <c r="P825" s="1363"/>
      <c r="Q825" s="1367"/>
      <c r="R825" s="1530"/>
      <c r="S825" s="1503"/>
      <c r="T825" s="1363"/>
      <c r="U825" s="1367"/>
      <c r="V825" s="1499"/>
      <c r="W825" s="1360"/>
      <c r="X825" s="1430"/>
      <c r="Y825" s="1360"/>
      <c r="Z825" s="1430"/>
      <c r="AA825" s="1360"/>
      <c r="AB825" s="1530"/>
      <c r="AC825" s="1500"/>
      <c r="AD825" s="1611" t="s">
        <v>1233</v>
      </c>
      <c r="AE825" s="1612"/>
      <c r="AF825" s="1613"/>
      <c r="AG825" s="1612"/>
      <c r="AH825" s="1625" t="str">
        <f t="shared" si="204"/>
        <v>MPI-S2</v>
      </c>
      <c r="AI825" s="1427">
        <f t="shared" si="220"/>
        <v>7250000</v>
      </c>
      <c r="AJ825" s="1427">
        <f t="shared" si="218"/>
        <v>7250000</v>
      </c>
      <c r="AK825" s="1427">
        <f t="shared" si="221"/>
        <v>0</v>
      </c>
      <c r="AL825" s="1428" t="s">
        <v>1077</v>
      </c>
      <c r="AM825" s="1410"/>
      <c r="AN825" s="1411"/>
      <c r="AO825" s="1410"/>
      <c r="AP825" s="1411"/>
      <c r="AQ825" s="1128"/>
      <c r="AR825" s="1173"/>
      <c r="AT825" s="1173"/>
      <c r="AV825" s="1173"/>
      <c r="AX825" s="1173"/>
      <c r="AY825" s="1176"/>
      <c r="AZ825" s="1173"/>
    </row>
    <row r="826" spans="1:52" s="2" customFormat="1" x14ac:dyDescent="0.25">
      <c r="A826" s="156">
        <v>772</v>
      </c>
      <c r="B826" s="157">
        <v>14</v>
      </c>
      <c r="C826" s="159">
        <v>849114013</v>
      </c>
      <c r="D826" s="158" t="s">
        <v>1285</v>
      </c>
      <c r="E826" s="179" t="s">
        <v>1070</v>
      </c>
      <c r="F826" s="161">
        <v>2014</v>
      </c>
      <c r="G826" s="162" t="s">
        <v>33</v>
      </c>
      <c r="H826" s="163">
        <f t="shared" si="215"/>
        <v>43371</v>
      </c>
      <c r="I826" s="163">
        <f t="shared" si="216"/>
        <v>43440</v>
      </c>
      <c r="J826" s="1356">
        <v>1250000</v>
      </c>
      <c r="K826" s="1357">
        <v>42963</v>
      </c>
      <c r="L826" s="1358">
        <v>3000000</v>
      </c>
      <c r="M826" s="1357">
        <v>42963</v>
      </c>
      <c r="N826" s="1358">
        <v>3000000</v>
      </c>
      <c r="O826" s="1357">
        <v>42963</v>
      </c>
      <c r="P826" s="1358">
        <v>3000000</v>
      </c>
      <c r="Q826" s="1357">
        <v>42963</v>
      </c>
      <c r="R826" s="1186" t="s">
        <v>1078</v>
      </c>
      <c r="S826" s="1466">
        <v>42930</v>
      </c>
      <c r="T826" s="1192" t="s">
        <v>1078</v>
      </c>
      <c r="U826" s="1386"/>
      <c r="V826" s="1358">
        <v>3000000</v>
      </c>
      <c r="W826" s="1547">
        <v>43052</v>
      </c>
      <c r="X826" s="1358">
        <v>3000000</v>
      </c>
      <c r="Y826" s="1547">
        <v>43052</v>
      </c>
      <c r="Z826" s="1358">
        <v>3000000</v>
      </c>
      <c r="AA826" s="1357">
        <v>43280</v>
      </c>
      <c r="AB826" s="1358">
        <v>1000000</v>
      </c>
      <c r="AC826" s="1383">
        <v>43052</v>
      </c>
      <c r="AD826" s="1611" t="s">
        <v>1233</v>
      </c>
      <c r="AE826" s="1612"/>
      <c r="AF826" s="1613"/>
      <c r="AG826" s="1612"/>
      <c r="AH826" s="1625" t="str">
        <f t="shared" si="204"/>
        <v>MPI-S2</v>
      </c>
      <c r="AI826" s="1424">
        <f t="shared" si="220"/>
        <v>20250000</v>
      </c>
      <c r="AJ826" s="1424">
        <f t="shared" si="218"/>
        <v>20250000</v>
      </c>
      <c r="AK826" s="1520">
        <f t="shared" si="221"/>
        <v>0</v>
      </c>
      <c r="AL826" s="1575" t="str">
        <f t="shared" si="222"/>
        <v>Lunas</v>
      </c>
      <c r="AM826" s="1410"/>
      <c r="AN826" s="1411"/>
      <c r="AO826" s="1410"/>
      <c r="AP826" s="1411"/>
      <c r="AQ826" s="1128"/>
      <c r="AR826" s="1173"/>
      <c r="AT826" s="1173"/>
      <c r="AV826" s="1173"/>
      <c r="AX826" s="1173"/>
      <c r="AY826" s="1176"/>
      <c r="AZ826" s="1173"/>
    </row>
    <row r="827" spans="1:52" s="2" customFormat="1" x14ac:dyDescent="0.25">
      <c r="A827" s="234">
        <v>773</v>
      </c>
      <c r="B827" s="235">
        <v>15</v>
      </c>
      <c r="C827" s="236">
        <v>849114014</v>
      </c>
      <c r="D827" s="233" t="s">
        <v>1286</v>
      </c>
      <c r="E827" s="237" t="s">
        <v>1070</v>
      </c>
      <c r="F827" s="238">
        <v>2014</v>
      </c>
      <c r="G827" s="214" t="s">
        <v>1077</v>
      </c>
      <c r="H827" s="239" t="str">
        <f t="shared" si="215"/>
        <v xml:space="preserve">   </v>
      </c>
      <c r="I827" s="239" t="str">
        <f t="shared" si="216"/>
        <v xml:space="preserve">   </v>
      </c>
      <c r="J827" s="1453">
        <v>1250000</v>
      </c>
      <c r="K827" s="1454">
        <v>41856</v>
      </c>
      <c r="L827" s="1455"/>
      <c r="M827" s="1454"/>
      <c r="N827" s="1521" t="s">
        <v>1162</v>
      </c>
      <c r="O827" s="1367"/>
      <c r="P827" s="1530"/>
      <c r="Q827" s="1360"/>
      <c r="R827" s="1530"/>
      <c r="S827" s="1503"/>
      <c r="T827" s="1530"/>
      <c r="U827" s="1367"/>
      <c r="V827" s="1430"/>
      <c r="W827" s="1360"/>
      <c r="X827" s="1430"/>
      <c r="Y827" s="1360"/>
      <c r="Z827" s="1430"/>
      <c r="AA827" s="1360"/>
      <c r="AB827" s="1530"/>
      <c r="AC827" s="1500"/>
      <c r="AD827" s="1611" t="s">
        <v>1233</v>
      </c>
      <c r="AE827" s="1612"/>
      <c r="AF827" s="1613"/>
      <c r="AG827" s="1612"/>
      <c r="AH827" s="1625" t="str">
        <f t="shared" si="204"/>
        <v>MPI-S2</v>
      </c>
      <c r="AI827" s="1427">
        <f t="shared" si="220"/>
        <v>1250000</v>
      </c>
      <c r="AJ827" s="1427">
        <f t="shared" si="218"/>
        <v>1250000</v>
      </c>
      <c r="AK827" s="1427">
        <f t="shared" si="221"/>
        <v>0</v>
      </c>
      <c r="AL827" s="1428" t="s">
        <v>1077</v>
      </c>
      <c r="AM827" s="1410"/>
      <c r="AN827" s="1411"/>
      <c r="AO827" s="1410"/>
      <c r="AP827" s="1411"/>
      <c r="AQ827" s="1128"/>
      <c r="AR827" s="1173"/>
      <c r="AT827" s="1173"/>
      <c r="AV827" s="1173"/>
      <c r="AX827" s="1173"/>
      <c r="AY827" s="1176"/>
      <c r="AZ827" s="1173"/>
    </row>
    <row r="828" spans="1:52" s="2" customFormat="1" x14ac:dyDescent="0.25">
      <c r="A828" s="234">
        <v>774</v>
      </c>
      <c r="B828" s="235">
        <v>16</v>
      </c>
      <c r="C828" s="236">
        <v>849114042</v>
      </c>
      <c r="D828" s="233" t="s">
        <v>1287</v>
      </c>
      <c r="E828" s="329" t="s">
        <v>1070</v>
      </c>
      <c r="F828" s="330">
        <v>2014</v>
      </c>
      <c r="G828" s="214" t="s">
        <v>1077</v>
      </c>
      <c r="H828" s="239" t="str">
        <f t="shared" si="215"/>
        <v xml:space="preserve">   </v>
      </c>
      <c r="I828" s="239" t="str">
        <f t="shared" si="216"/>
        <v xml:space="preserve">   </v>
      </c>
      <c r="J828" s="1453">
        <v>1250000</v>
      </c>
      <c r="K828" s="1454">
        <v>41856</v>
      </c>
      <c r="L828" s="1455">
        <v>3000000</v>
      </c>
      <c r="M828" s="1454">
        <v>42412</v>
      </c>
      <c r="N828" s="1455">
        <v>3000000</v>
      </c>
      <c r="O828" s="1454">
        <v>42412</v>
      </c>
      <c r="P828" s="1455">
        <v>3000000</v>
      </c>
      <c r="Q828" s="1454">
        <v>42412</v>
      </c>
      <c r="R828" s="1455">
        <v>500000</v>
      </c>
      <c r="S828" s="1604">
        <v>42412</v>
      </c>
      <c r="T828" s="1363"/>
      <c r="U828" s="1367"/>
      <c r="V828" s="1499"/>
      <c r="W828" s="1360"/>
      <c r="X828" s="1363"/>
      <c r="Y828" s="1360"/>
      <c r="Z828" s="1363"/>
      <c r="AA828" s="1367"/>
      <c r="AB828" s="1530"/>
      <c r="AC828" s="1500"/>
      <c r="AD828" s="1611" t="s">
        <v>1233</v>
      </c>
      <c r="AE828" s="1612"/>
      <c r="AF828" s="1613"/>
      <c r="AG828" s="1612"/>
      <c r="AH828" s="1625" t="str">
        <f t="shared" si="204"/>
        <v>MPI-S2</v>
      </c>
      <c r="AI828" s="1427">
        <f t="shared" si="220"/>
        <v>10750000</v>
      </c>
      <c r="AJ828" s="1427">
        <f t="shared" si="218"/>
        <v>13250000</v>
      </c>
      <c r="AK828" s="1427">
        <f>(AJ828-AI828)-2500000</f>
        <v>0</v>
      </c>
      <c r="AL828" s="1428" t="s">
        <v>1077</v>
      </c>
      <c r="AM828" s="1410"/>
      <c r="AN828" s="1411"/>
      <c r="AO828" s="1410"/>
      <c r="AP828" s="1411"/>
      <c r="AQ828" s="1128"/>
      <c r="AR828" s="1173"/>
      <c r="AT828" s="1173"/>
      <c r="AV828" s="1173"/>
      <c r="AX828" s="1173"/>
      <c r="AY828" s="1176"/>
      <c r="AZ828" s="1173"/>
    </row>
    <row r="829" spans="1:52" s="2" customFormat="1" x14ac:dyDescent="0.25">
      <c r="A829" s="156">
        <v>775</v>
      </c>
      <c r="B829" s="157">
        <v>17</v>
      </c>
      <c r="C829" s="159">
        <v>849114033</v>
      </c>
      <c r="D829" s="158" t="s">
        <v>1288</v>
      </c>
      <c r="E829" s="179" t="s">
        <v>1070</v>
      </c>
      <c r="F829" s="161">
        <v>2014</v>
      </c>
      <c r="G829" s="162" t="s">
        <v>33</v>
      </c>
      <c r="H829" s="163">
        <f t="shared" si="215"/>
        <v>43285</v>
      </c>
      <c r="I829" s="163">
        <f t="shared" si="216"/>
        <v>43440</v>
      </c>
      <c r="J829" s="1356">
        <v>1250000</v>
      </c>
      <c r="K829" s="1357">
        <v>41865</v>
      </c>
      <c r="L829" s="1358">
        <v>3000000</v>
      </c>
      <c r="M829" s="1357">
        <v>41865</v>
      </c>
      <c r="N829" s="1358">
        <v>3000000</v>
      </c>
      <c r="O829" s="1357">
        <v>42074</v>
      </c>
      <c r="P829" s="1358">
        <v>3000000</v>
      </c>
      <c r="Q829" s="1365"/>
      <c r="R829" s="1358">
        <v>3000000</v>
      </c>
      <c r="S829" s="1383">
        <v>42401</v>
      </c>
      <c r="T829" s="1358">
        <v>3000000</v>
      </c>
      <c r="U829" s="1357">
        <v>42573</v>
      </c>
      <c r="V829" s="1222" t="s">
        <v>1078</v>
      </c>
      <c r="W829" s="1386">
        <v>42755</v>
      </c>
      <c r="X829" s="1358">
        <v>3000000</v>
      </c>
      <c r="Y829" s="1547">
        <v>43038</v>
      </c>
      <c r="Z829" s="1358">
        <v>3000000</v>
      </c>
      <c r="AA829" s="1357">
        <v>43160</v>
      </c>
      <c r="AB829" s="1358">
        <v>1000000</v>
      </c>
      <c r="AC829" s="1357">
        <v>43160</v>
      </c>
      <c r="AD829" s="1611" t="s">
        <v>1233</v>
      </c>
      <c r="AE829" s="1612"/>
      <c r="AF829" s="1613"/>
      <c r="AG829" s="1612"/>
      <c r="AH829" s="1625" t="str">
        <f t="shared" si="204"/>
        <v>MPI-S2</v>
      </c>
      <c r="AI829" s="1424">
        <f t="shared" si="220"/>
        <v>23250000</v>
      </c>
      <c r="AJ829" s="1424">
        <f t="shared" si="218"/>
        <v>23250000</v>
      </c>
      <c r="AK829" s="1520">
        <f t="shared" si="221"/>
        <v>0</v>
      </c>
      <c r="AL829" s="1575" t="str">
        <f t="shared" si="222"/>
        <v>Lunas</v>
      </c>
      <c r="AM829" s="1410"/>
      <c r="AN829" s="1411"/>
      <c r="AO829" s="1410"/>
      <c r="AP829" s="1411"/>
      <c r="AQ829" s="1128"/>
      <c r="AR829" s="1173"/>
      <c r="AT829" s="1173"/>
      <c r="AV829" s="1173"/>
      <c r="AX829" s="1173"/>
      <c r="AY829" s="1176"/>
      <c r="AZ829" s="1173"/>
    </row>
    <row r="830" spans="1:52" s="2" customFormat="1" x14ac:dyDescent="0.25">
      <c r="A830" s="156">
        <v>776</v>
      </c>
      <c r="B830" s="157">
        <v>18</v>
      </c>
      <c r="C830" s="159">
        <v>849114029</v>
      </c>
      <c r="D830" s="158" t="s">
        <v>1289</v>
      </c>
      <c r="E830" s="179" t="s">
        <v>1070</v>
      </c>
      <c r="F830" s="161">
        <v>2014</v>
      </c>
      <c r="G830" s="162" t="s">
        <v>33</v>
      </c>
      <c r="H830" s="163" t="str">
        <f t="shared" si="215"/>
        <v xml:space="preserve">   </v>
      </c>
      <c r="I830" s="287" t="str">
        <f t="shared" si="216"/>
        <v xml:space="preserve">   </v>
      </c>
      <c r="J830" s="1356">
        <v>1250000</v>
      </c>
      <c r="K830" s="1357">
        <v>41866</v>
      </c>
      <c r="L830" s="1358">
        <v>3000000</v>
      </c>
      <c r="M830" s="1357">
        <v>41866</v>
      </c>
      <c r="N830" s="1358">
        <v>3000000</v>
      </c>
      <c r="O830" s="1357">
        <v>42044</v>
      </c>
      <c r="P830" s="1358">
        <v>3000000</v>
      </c>
      <c r="Q830" s="1357">
        <v>42228</v>
      </c>
      <c r="R830" s="1358">
        <v>3000000</v>
      </c>
      <c r="S830" s="1383">
        <v>42411</v>
      </c>
      <c r="T830" s="1358">
        <v>3000000</v>
      </c>
      <c r="U830" s="1357">
        <v>42573</v>
      </c>
      <c r="V830" s="1358">
        <v>3000000</v>
      </c>
      <c r="W830" s="1357">
        <v>43256</v>
      </c>
      <c r="X830" s="1358">
        <v>3000000</v>
      </c>
      <c r="Y830" s="1357">
        <v>43256</v>
      </c>
      <c r="Z830" s="1358">
        <v>3000000</v>
      </c>
      <c r="AA830" s="1357">
        <v>43256</v>
      </c>
      <c r="AB830" s="1358">
        <v>1000000</v>
      </c>
      <c r="AC830" s="1357">
        <v>43256</v>
      </c>
      <c r="AD830" s="1611" t="s">
        <v>1233</v>
      </c>
      <c r="AE830" s="1612"/>
      <c r="AF830" s="1613"/>
      <c r="AG830" s="1612"/>
      <c r="AH830" s="1625" t="str">
        <f t="shared" si="204"/>
        <v>MPI-S2</v>
      </c>
      <c r="AI830" s="1424">
        <f t="shared" si="220"/>
        <v>26250000</v>
      </c>
      <c r="AJ830" s="1424">
        <f t="shared" si="218"/>
        <v>26250000</v>
      </c>
      <c r="AK830" s="1520">
        <f t="shared" si="221"/>
        <v>0</v>
      </c>
      <c r="AL830" s="1575" t="str">
        <f t="shared" si="222"/>
        <v>Lunas</v>
      </c>
      <c r="AM830" s="1410"/>
      <c r="AN830" s="1411"/>
      <c r="AO830" s="1410"/>
      <c r="AP830" s="1411"/>
      <c r="AQ830" s="1128"/>
      <c r="AR830" s="1173"/>
      <c r="AT830" s="1173"/>
      <c r="AV830" s="1173"/>
      <c r="AX830" s="1173"/>
      <c r="AY830" s="1176"/>
      <c r="AZ830" s="1173"/>
    </row>
    <row r="831" spans="1:52" s="2" customFormat="1" x14ac:dyDescent="0.25">
      <c r="A831" s="156">
        <v>777</v>
      </c>
      <c r="B831" s="157">
        <v>19</v>
      </c>
      <c r="C831" s="159">
        <v>849114031</v>
      </c>
      <c r="D831" s="158" t="s">
        <v>1290</v>
      </c>
      <c r="E831" s="160" t="s">
        <v>1070</v>
      </c>
      <c r="F831" s="161">
        <v>2014</v>
      </c>
      <c r="G831" s="162" t="s">
        <v>33</v>
      </c>
      <c r="H831" s="163">
        <f t="shared" si="215"/>
        <v>42759</v>
      </c>
      <c r="I831" s="163">
        <f t="shared" si="216"/>
        <v>42861</v>
      </c>
      <c r="J831" s="1356">
        <v>1250000</v>
      </c>
      <c r="K831" s="1357">
        <v>41866</v>
      </c>
      <c r="L831" s="1358">
        <v>3000000</v>
      </c>
      <c r="M831" s="1357">
        <v>41866</v>
      </c>
      <c r="N831" s="1358">
        <v>3000000</v>
      </c>
      <c r="O831" s="1357">
        <v>42046</v>
      </c>
      <c r="P831" s="1358">
        <v>3000000</v>
      </c>
      <c r="Q831" s="1357">
        <v>42226</v>
      </c>
      <c r="R831" s="1358">
        <v>3000000</v>
      </c>
      <c r="S831" s="1383">
        <v>42777</v>
      </c>
      <c r="T831" s="1356">
        <v>3000000</v>
      </c>
      <c r="U831" s="1357">
        <v>42572</v>
      </c>
      <c r="V831" s="1465" t="s">
        <v>276</v>
      </c>
      <c r="W831" s="1367"/>
      <c r="X831" s="1430"/>
      <c r="Y831" s="1360"/>
      <c r="Z831" s="1430"/>
      <c r="AA831" s="1360"/>
      <c r="AB831" s="1358">
        <v>1000000</v>
      </c>
      <c r="AC831" s="1383">
        <v>42733</v>
      </c>
      <c r="AD831" s="1620" t="s">
        <v>1233</v>
      </c>
      <c r="AE831" s="1612"/>
      <c r="AF831" s="1613"/>
      <c r="AG831" s="1612"/>
      <c r="AH831" s="1625" t="str">
        <f t="shared" si="204"/>
        <v>MPI-S2</v>
      </c>
      <c r="AI831" s="1424">
        <f t="shared" si="220"/>
        <v>17250000</v>
      </c>
      <c r="AJ831" s="1424">
        <f t="shared" si="218"/>
        <v>17250000</v>
      </c>
      <c r="AK831" s="1520">
        <f t="shared" si="221"/>
        <v>0</v>
      </c>
      <c r="AL831" s="1575" t="str">
        <f t="shared" si="222"/>
        <v>Lunas</v>
      </c>
      <c r="AM831" s="1410"/>
      <c r="AN831" s="1411"/>
      <c r="AO831" s="1410"/>
      <c r="AP831" s="1411"/>
      <c r="AQ831" s="1128"/>
      <c r="AR831" s="1173"/>
      <c r="AT831" s="1173"/>
      <c r="AV831" s="1173"/>
      <c r="AX831" s="1173"/>
      <c r="AY831" s="1176"/>
      <c r="AZ831" s="1173"/>
    </row>
    <row r="832" spans="1:52" s="2" customFormat="1" x14ac:dyDescent="0.25">
      <c r="A832" s="156">
        <v>778</v>
      </c>
      <c r="B832" s="157">
        <v>20</v>
      </c>
      <c r="C832" s="159">
        <v>849114032</v>
      </c>
      <c r="D832" s="158" t="s">
        <v>1291</v>
      </c>
      <c r="E832" s="160" t="s">
        <v>1070</v>
      </c>
      <c r="F832" s="161">
        <v>2014</v>
      </c>
      <c r="G832" s="162" t="s">
        <v>33</v>
      </c>
      <c r="H832" s="163">
        <f t="shared" si="215"/>
        <v>43020</v>
      </c>
      <c r="I832" s="163">
        <f t="shared" si="216"/>
        <v>43064</v>
      </c>
      <c r="J832" s="1356">
        <v>1250000</v>
      </c>
      <c r="K832" s="1357">
        <v>41866</v>
      </c>
      <c r="L832" s="1358">
        <v>3000000</v>
      </c>
      <c r="M832" s="1357">
        <v>41866</v>
      </c>
      <c r="N832" s="1358">
        <v>3000000</v>
      </c>
      <c r="O832" s="1357">
        <v>42046</v>
      </c>
      <c r="P832" s="1358">
        <v>3000000</v>
      </c>
      <c r="Q832" s="1357">
        <v>42237</v>
      </c>
      <c r="R832" s="1358">
        <v>3000000</v>
      </c>
      <c r="S832" s="1383">
        <v>42411</v>
      </c>
      <c r="T832" s="1356">
        <v>3000000</v>
      </c>
      <c r="U832" s="1547">
        <v>42670</v>
      </c>
      <c r="V832" s="1358">
        <v>3000000</v>
      </c>
      <c r="W832" s="1357">
        <v>42993</v>
      </c>
      <c r="X832" s="1358">
        <v>3000000</v>
      </c>
      <c r="Y832" s="1357">
        <v>42993</v>
      </c>
      <c r="Z832" s="1465" t="s">
        <v>1080</v>
      </c>
      <c r="AA832" s="1360"/>
      <c r="AB832" s="1356">
        <v>1000000</v>
      </c>
      <c r="AC832" s="1383">
        <v>42993</v>
      </c>
      <c r="AD832" s="1611" t="s">
        <v>1233</v>
      </c>
      <c r="AE832" s="1612"/>
      <c r="AF832" s="1613"/>
      <c r="AG832" s="1612"/>
      <c r="AH832" s="1625" t="str">
        <f t="shared" si="204"/>
        <v>MPI-S2</v>
      </c>
      <c r="AI832" s="1424">
        <f t="shared" si="220"/>
        <v>23250000</v>
      </c>
      <c r="AJ832" s="1424">
        <f t="shared" si="218"/>
        <v>23250000</v>
      </c>
      <c r="AK832" s="1520">
        <f t="shared" si="221"/>
        <v>0</v>
      </c>
      <c r="AL832" s="1575" t="str">
        <f t="shared" si="222"/>
        <v>Lunas</v>
      </c>
      <c r="AM832" s="1410"/>
      <c r="AN832" s="1411"/>
      <c r="AO832" s="1410"/>
      <c r="AP832" s="1411"/>
      <c r="AQ832" s="1128"/>
      <c r="AR832" s="1173"/>
      <c r="AT832" s="1173"/>
      <c r="AV832" s="1173"/>
      <c r="AX832" s="1173"/>
      <c r="AY832" s="1176"/>
      <c r="AZ832" s="1173"/>
    </row>
    <row r="833" spans="1:52" s="2" customFormat="1" x14ac:dyDescent="0.25">
      <c r="A833" s="156">
        <v>779</v>
      </c>
      <c r="B833" s="157">
        <v>21</v>
      </c>
      <c r="C833" s="159">
        <v>849114030</v>
      </c>
      <c r="D833" s="158" t="s">
        <v>1292</v>
      </c>
      <c r="E833" s="160" t="s">
        <v>1070</v>
      </c>
      <c r="F833" s="161">
        <v>2014</v>
      </c>
      <c r="G833" s="162" t="s">
        <v>33</v>
      </c>
      <c r="H833" s="163">
        <f t="shared" si="215"/>
        <v>42693</v>
      </c>
      <c r="I833" s="163">
        <f t="shared" si="216"/>
        <v>42693</v>
      </c>
      <c r="J833" s="1356">
        <v>1250000</v>
      </c>
      <c r="K833" s="1357">
        <v>41866</v>
      </c>
      <c r="L833" s="1358">
        <v>3000000</v>
      </c>
      <c r="M833" s="1357">
        <v>41866</v>
      </c>
      <c r="N833" s="1358">
        <v>3000000</v>
      </c>
      <c r="O833" s="1357">
        <v>42062</v>
      </c>
      <c r="P833" s="1358">
        <v>3000000</v>
      </c>
      <c r="Q833" s="1357">
        <v>42220</v>
      </c>
      <c r="R833" s="1358">
        <v>3000000</v>
      </c>
      <c r="S833" s="1383">
        <v>42397</v>
      </c>
      <c r="T833" s="1358">
        <v>3000000</v>
      </c>
      <c r="U833" s="1357">
        <v>42576</v>
      </c>
      <c r="V833" s="1465" t="s">
        <v>276</v>
      </c>
      <c r="W833" s="1547">
        <v>42693</v>
      </c>
      <c r="X833" s="1430"/>
      <c r="Y833" s="1360"/>
      <c r="Z833" s="1430"/>
      <c r="AA833" s="1360"/>
      <c r="AB833" s="1358">
        <v>1000000</v>
      </c>
      <c r="AC833" s="1383">
        <v>42629</v>
      </c>
      <c r="AD833" s="1611" t="s">
        <v>1233</v>
      </c>
      <c r="AE833" s="1612"/>
      <c r="AF833" s="1613"/>
      <c r="AG833" s="1612"/>
      <c r="AH833" s="1625" t="str">
        <f t="shared" si="204"/>
        <v>MPI-S2</v>
      </c>
      <c r="AI833" s="1424">
        <f t="shared" si="220"/>
        <v>17250000</v>
      </c>
      <c r="AJ833" s="1424">
        <f t="shared" si="218"/>
        <v>17250000</v>
      </c>
      <c r="AK833" s="1520">
        <f t="shared" si="221"/>
        <v>0</v>
      </c>
      <c r="AL833" s="1575" t="str">
        <f t="shared" si="222"/>
        <v>Lunas</v>
      </c>
      <c r="AM833" s="1410"/>
      <c r="AN833" s="1411"/>
      <c r="AO833" s="1410"/>
      <c r="AP833" s="1411"/>
      <c r="AQ833" s="1128"/>
      <c r="AR833" s="1173"/>
      <c r="AT833" s="1173"/>
      <c r="AV833" s="1173"/>
      <c r="AX833" s="1173"/>
      <c r="AY833" s="1176"/>
      <c r="AZ833" s="1173"/>
    </row>
    <row r="834" spans="1:52" s="2" customFormat="1" x14ac:dyDescent="0.25">
      <c r="A834" s="180">
        <v>780</v>
      </c>
      <c r="B834" s="181">
        <v>22</v>
      </c>
      <c r="C834" s="183">
        <v>849114036</v>
      </c>
      <c r="D834" s="182" t="s">
        <v>1293</v>
      </c>
      <c r="E834" s="184" t="s">
        <v>1070</v>
      </c>
      <c r="F834" s="185">
        <v>2014</v>
      </c>
      <c r="G834" s="186" t="s">
        <v>33</v>
      </c>
      <c r="H834" s="163">
        <f t="shared" si="215"/>
        <v>43042</v>
      </c>
      <c r="I834" s="284">
        <f t="shared" si="216"/>
        <v>43218</v>
      </c>
      <c r="J834" s="1527">
        <v>1250000</v>
      </c>
      <c r="K834" s="1435">
        <v>41803</v>
      </c>
      <c r="L834" s="1434">
        <v>3000000</v>
      </c>
      <c r="M834" s="1435">
        <v>41803</v>
      </c>
      <c r="N834" s="1434">
        <v>3000000</v>
      </c>
      <c r="O834" s="1435">
        <v>42049</v>
      </c>
      <c r="P834" s="1434">
        <v>3000000</v>
      </c>
      <c r="Q834" s="1435">
        <v>42210</v>
      </c>
      <c r="R834" s="1434">
        <v>3000000</v>
      </c>
      <c r="S834" s="1463">
        <v>42409</v>
      </c>
      <c r="T834" s="1434">
        <v>3000000</v>
      </c>
      <c r="U834" s="1435">
        <v>43004</v>
      </c>
      <c r="V834" s="1434">
        <v>3000000</v>
      </c>
      <c r="W834" s="1435">
        <v>43004</v>
      </c>
      <c r="X834" s="1434">
        <v>3000000</v>
      </c>
      <c r="Y834" s="1435">
        <v>43004</v>
      </c>
      <c r="Z834" s="1552" t="s">
        <v>1080</v>
      </c>
      <c r="AA834" s="1557"/>
      <c r="AB834" s="1434">
        <v>1000000</v>
      </c>
      <c r="AC834" s="1463">
        <v>43004</v>
      </c>
      <c r="AD834" s="1611" t="s">
        <v>1233</v>
      </c>
      <c r="AE834" s="1612"/>
      <c r="AF834" s="1613"/>
      <c r="AG834" s="1612"/>
      <c r="AH834" s="1626" t="str">
        <f t="shared" si="204"/>
        <v>MPI-S2</v>
      </c>
      <c r="AI834" s="1424">
        <f t="shared" si="220"/>
        <v>23250000</v>
      </c>
      <c r="AJ834" s="1424">
        <f t="shared" si="218"/>
        <v>23250000</v>
      </c>
      <c r="AK834" s="1578">
        <f t="shared" si="221"/>
        <v>0</v>
      </c>
      <c r="AL834" s="1577" t="str">
        <f t="shared" si="222"/>
        <v>Lunas</v>
      </c>
      <c r="AM834" s="1410"/>
      <c r="AN834" s="1411"/>
      <c r="AO834" s="1410"/>
      <c r="AP834" s="1411"/>
      <c r="AQ834" s="1128"/>
      <c r="AR834" s="1173"/>
      <c r="AT834" s="1173"/>
      <c r="AV834" s="1173"/>
      <c r="AX834" s="1173"/>
      <c r="AY834" s="1176"/>
      <c r="AZ834" s="1173"/>
    </row>
    <row r="835" spans="1:52" s="4" customFormat="1" x14ac:dyDescent="0.25">
      <c r="A835" s="187"/>
      <c r="B835" s="276"/>
      <c r="C835" s="269"/>
      <c r="D835" s="268"/>
      <c r="E835" s="270" t="s">
        <v>61</v>
      </c>
      <c r="F835" s="267" t="s">
        <v>61</v>
      </c>
      <c r="G835" s="192" t="s">
        <v>61</v>
      </c>
      <c r="H835" s="193" t="str">
        <f t="shared" si="215"/>
        <v xml:space="preserve">   </v>
      </c>
      <c r="I835" s="193" t="str">
        <f t="shared" si="216"/>
        <v xml:space="preserve">   </v>
      </c>
      <c r="J835" s="187"/>
      <c r="K835" s="1436"/>
      <c r="L835" s="1528"/>
      <c r="M835" s="1488"/>
      <c r="N835" s="1528"/>
      <c r="O835" s="1488"/>
      <c r="P835" s="1528"/>
      <c r="Q835" s="1488"/>
      <c r="R835" s="1437"/>
      <c r="S835" s="1641"/>
      <c r="T835" s="1437"/>
      <c r="U835" s="1436"/>
      <c r="V835" s="1437"/>
      <c r="W835" s="1436"/>
      <c r="X835" s="1215"/>
      <c r="Y835" s="1436"/>
      <c r="Z835" s="1437"/>
      <c r="AA835" s="1436"/>
      <c r="AB835" s="1437"/>
      <c r="AC835" s="1436"/>
      <c r="AD835" s="1606"/>
      <c r="AE835" s="1436"/>
      <c r="AF835" s="1606"/>
      <c r="AG835" s="1436"/>
      <c r="AH835" s="1623" t="str">
        <f t="shared" si="204"/>
        <v>-</v>
      </c>
      <c r="AI835" s="1589"/>
      <c r="AJ835" s="1409"/>
      <c r="AK835" s="1409"/>
      <c r="AL835" s="1510"/>
      <c r="AM835" s="1510"/>
      <c r="AN835" s="1511"/>
      <c r="AO835" s="1510"/>
      <c r="AP835" s="1511"/>
      <c r="AQ835" s="1215"/>
      <c r="AR835" s="1216"/>
      <c r="AT835" s="1216"/>
      <c r="AV835" s="1216"/>
      <c r="AX835" s="1216"/>
      <c r="AY835" s="1217"/>
      <c r="AZ835" s="1216"/>
    </row>
    <row r="836" spans="1:52" s="2" customFormat="1" x14ac:dyDescent="0.25">
      <c r="A836" s="194" t="s">
        <v>1294</v>
      </c>
      <c r="B836" s="310"/>
      <c r="C836" s="261"/>
      <c r="D836" s="251"/>
      <c r="E836" s="198" t="s">
        <v>1096</v>
      </c>
      <c r="F836" s="199" t="s">
        <v>1096</v>
      </c>
      <c r="G836" s="146">
        <v>3000000</v>
      </c>
      <c r="H836" s="232" t="str">
        <f t="shared" si="215"/>
        <v xml:space="preserve">   </v>
      </c>
      <c r="I836" s="232" t="str">
        <f t="shared" si="216"/>
        <v xml:space="preserve">   </v>
      </c>
      <c r="J836" s="1450">
        <v>1250000</v>
      </c>
      <c r="K836" s="1529"/>
      <c r="L836" s="1582" t="s">
        <v>1049</v>
      </c>
      <c r="M836" s="1438" t="s">
        <v>1054</v>
      </c>
      <c r="N836" s="1582" t="s">
        <v>1051</v>
      </c>
      <c r="O836" s="1438" t="s">
        <v>1056</v>
      </c>
      <c r="P836" s="1582" t="s">
        <v>1053</v>
      </c>
      <c r="Q836" s="1438" t="s">
        <v>1058</v>
      </c>
      <c r="R836" s="1582" t="s">
        <v>1055</v>
      </c>
      <c r="S836" s="1438" t="s">
        <v>1060</v>
      </c>
      <c r="T836" s="1582" t="s">
        <v>1057</v>
      </c>
      <c r="U836" s="1438" t="s">
        <v>1062</v>
      </c>
      <c r="V836" s="1582" t="s">
        <v>1059</v>
      </c>
      <c r="W836" s="1438" t="s">
        <v>1064</v>
      </c>
      <c r="X836" s="1582" t="s">
        <v>1061</v>
      </c>
      <c r="Y836" s="1438" t="s">
        <v>1066</v>
      </c>
      <c r="Z836" s="1582" t="s">
        <v>1063</v>
      </c>
      <c r="AA836" s="1438" t="s">
        <v>1068</v>
      </c>
      <c r="AB836" s="1450">
        <v>1000000</v>
      </c>
      <c r="AC836" s="1127"/>
      <c r="AD836" s="1607"/>
      <c r="AE836" s="1155"/>
      <c r="AF836" s="1607"/>
      <c r="AG836" s="1155"/>
      <c r="AH836" s="1627" t="str">
        <f t="shared" si="204"/>
        <v>#</v>
      </c>
      <c r="AI836" s="1512"/>
      <c r="AJ836" s="1409"/>
      <c r="AK836" s="1409"/>
      <c r="AL836" s="1513"/>
      <c r="AM836" s="1513"/>
      <c r="AN836" s="1514"/>
      <c r="AO836" s="1513"/>
      <c r="AP836" s="1514"/>
      <c r="AQ836" s="1128"/>
      <c r="AR836" s="1173"/>
      <c r="AT836" s="1173"/>
      <c r="AV836" s="1173"/>
      <c r="AX836" s="1173"/>
      <c r="AY836" s="1176"/>
      <c r="AZ836" s="1173"/>
    </row>
    <row r="837" spans="1:52" s="2" customFormat="1" x14ac:dyDescent="0.25">
      <c r="A837" s="200">
        <v>781</v>
      </c>
      <c r="B837" s="262">
        <v>1</v>
      </c>
      <c r="C837" s="151">
        <v>839114001</v>
      </c>
      <c r="D837" s="150" t="s">
        <v>384</v>
      </c>
      <c r="E837" s="311" t="s">
        <v>848</v>
      </c>
      <c r="F837" s="153">
        <v>2014</v>
      </c>
      <c r="G837" s="154" t="s">
        <v>33</v>
      </c>
      <c r="H837" s="163">
        <f t="shared" si="215"/>
        <v>43440</v>
      </c>
      <c r="I837" s="312" t="str">
        <f t="shared" si="216"/>
        <v xml:space="preserve">   </v>
      </c>
      <c r="J837" s="1439">
        <v>1250000</v>
      </c>
      <c r="K837" s="1440">
        <v>42508</v>
      </c>
      <c r="L837" s="1441">
        <v>3000000</v>
      </c>
      <c r="M837" s="1440">
        <v>42508</v>
      </c>
      <c r="N837" s="1441">
        <v>3000000</v>
      </c>
      <c r="O837" s="1440">
        <v>42508</v>
      </c>
      <c r="P837" s="1441">
        <v>3000000</v>
      </c>
      <c r="Q837" s="1440">
        <v>42508</v>
      </c>
      <c r="R837" s="1441">
        <v>3000000</v>
      </c>
      <c r="S837" s="1440">
        <v>43283</v>
      </c>
      <c r="T837" s="1441">
        <v>3000000</v>
      </c>
      <c r="U837" s="1440">
        <v>43283</v>
      </c>
      <c r="V837" s="1441">
        <v>3000000</v>
      </c>
      <c r="W837" s="1440">
        <v>43283</v>
      </c>
      <c r="X837" s="1642">
        <v>3000000</v>
      </c>
      <c r="Y837" s="1440">
        <v>43283</v>
      </c>
      <c r="Z837" s="1642">
        <v>3000000</v>
      </c>
      <c r="AA837" s="1440">
        <v>43283</v>
      </c>
      <c r="AB837" s="1441">
        <v>1000000</v>
      </c>
      <c r="AC837" s="1401">
        <v>42508</v>
      </c>
      <c r="AD837" s="1611" t="s">
        <v>1233</v>
      </c>
      <c r="AE837" s="1612"/>
      <c r="AF837" s="1613"/>
      <c r="AG837" s="1612"/>
      <c r="AH837" s="1624" t="str">
        <f t="shared" ref="AH837:AH865" si="223">E837</f>
        <v>HK</v>
      </c>
      <c r="AI837" s="1424">
        <f t="shared" ref="AI837:AI848" si="224">SUM(J837,L837,N837,P837,R837,T837,V837,X837,Z837,AB837,AD837,AF837)</f>
        <v>26250000</v>
      </c>
      <c r="AJ837" s="1424">
        <f t="shared" ref="AJ837:AJ848" si="225">(COUNT(L837,N837,P837,R837,T837,V837,X837,Z837,AD837,AF837)*$G$773)+(COUNT(J837)*$J$773)+(COUNT(AB837)*$AB$773)</f>
        <v>26250000</v>
      </c>
      <c r="AK837" s="1517">
        <f t="shared" ref="AK837:AK848" si="226">AJ837-AI837</f>
        <v>0</v>
      </c>
      <c r="AL837" s="1573" t="str">
        <f t="shared" ref="AL837:AL848" si="227">IF(AK837=0,"Lunas","Cek")</f>
        <v>Lunas</v>
      </c>
      <c r="AM837" s="1410"/>
      <c r="AN837" s="1411"/>
      <c r="AO837" s="1410"/>
      <c r="AP837" s="1411"/>
      <c r="AQ837" s="1128"/>
      <c r="AR837" s="1173"/>
      <c r="AT837" s="1173"/>
      <c r="AV837" s="1173"/>
      <c r="AX837" s="1173"/>
      <c r="AY837" s="1176"/>
      <c r="AZ837" s="1173"/>
    </row>
    <row r="838" spans="1:52" s="2" customFormat="1" x14ac:dyDescent="0.25">
      <c r="A838" s="164">
        <v>782</v>
      </c>
      <c r="B838" s="165">
        <v>2</v>
      </c>
      <c r="C838" s="174">
        <v>839114003</v>
      </c>
      <c r="D838" s="166" t="s">
        <v>1295</v>
      </c>
      <c r="E838" s="168" t="s">
        <v>848</v>
      </c>
      <c r="F838" s="169">
        <v>2014</v>
      </c>
      <c r="G838" s="214" t="s">
        <v>1077</v>
      </c>
      <c r="H838" s="265" t="str">
        <f t="shared" si="215"/>
        <v xml:space="preserve">   </v>
      </c>
      <c r="I838" s="265" t="str">
        <f t="shared" si="216"/>
        <v xml:space="preserve">   </v>
      </c>
      <c r="J838" s="1366">
        <v>1250000</v>
      </c>
      <c r="K838" s="1360">
        <v>41856</v>
      </c>
      <c r="L838" s="1430">
        <v>3000000</v>
      </c>
      <c r="M838" s="1360">
        <v>41856</v>
      </c>
      <c r="N838" s="1363">
        <v>3000000</v>
      </c>
      <c r="O838" s="1367">
        <v>42075</v>
      </c>
      <c r="P838" s="1530"/>
      <c r="Q838" s="1367"/>
      <c r="R838" s="1530"/>
      <c r="S838" s="1503"/>
      <c r="T838" s="1530"/>
      <c r="U838" s="1367"/>
      <c r="V838" s="1499"/>
      <c r="W838" s="1367"/>
      <c r="X838" s="1363"/>
      <c r="Y838" s="1360"/>
      <c r="Z838" s="1430"/>
      <c r="AA838" s="1360"/>
      <c r="AB838" s="1499"/>
      <c r="AC838" s="1500"/>
      <c r="AD838" s="1611" t="s">
        <v>1233</v>
      </c>
      <c r="AE838" s="1612"/>
      <c r="AF838" s="1613"/>
      <c r="AG838" s="1612"/>
      <c r="AH838" s="1625" t="str">
        <f t="shared" si="223"/>
        <v>HK</v>
      </c>
      <c r="AI838" s="1427">
        <f t="shared" si="224"/>
        <v>7250000</v>
      </c>
      <c r="AJ838" s="1427">
        <f t="shared" si="225"/>
        <v>7250000</v>
      </c>
      <c r="AK838" s="1427">
        <f t="shared" si="226"/>
        <v>0</v>
      </c>
      <c r="AL838" s="1428" t="s">
        <v>1077</v>
      </c>
      <c r="AM838" s="1410"/>
      <c r="AN838" s="1411"/>
      <c r="AO838" s="1410"/>
      <c r="AP838" s="1411"/>
      <c r="AQ838" s="1128"/>
      <c r="AR838" s="1173"/>
      <c r="AT838" s="1173"/>
      <c r="AV838" s="1173"/>
      <c r="AX838" s="1173"/>
      <c r="AY838" s="1176"/>
      <c r="AZ838" s="1173"/>
    </row>
    <row r="839" spans="1:52" s="2" customFormat="1" x14ac:dyDescent="0.25">
      <c r="A839" s="156">
        <v>783</v>
      </c>
      <c r="B839" s="157">
        <v>3</v>
      </c>
      <c r="C839" s="159">
        <v>839114007</v>
      </c>
      <c r="D839" s="158" t="s">
        <v>1296</v>
      </c>
      <c r="E839" s="160" t="s">
        <v>848</v>
      </c>
      <c r="F839" s="161">
        <v>2014</v>
      </c>
      <c r="G839" s="162" t="s">
        <v>33</v>
      </c>
      <c r="H839" s="163" t="str">
        <f t="shared" si="215"/>
        <v xml:space="preserve">   </v>
      </c>
      <c r="I839" s="163">
        <f t="shared" si="216"/>
        <v>42504</v>
      </c>
      <c r="J839" s="1356">
        <v>1250000</v>
      </c>
      <c r="K839" s="1357">
        <v>41857</v>
      </c>
      <c r="L839" s="1358">
        <v>3000000</v>
      </c>
      <c r="M839" s="1357">
        <v>41857</v>
      </c>
      <c r="N839" s="1358">
        <v>3000000</v>
      </c>
      <c r="O839" s="1357">
        <v>42060</v>
      </c>
      <c r="P839" s="1358">
        <v>3000000</v>
      </c>
      <c r="Q839" s="1357">
        <v>42234</v>
      </c>
      <c r="R839" s="1358">
        <v>3000000</v>
      </c>
      <c r="S839" s="1383">
        <v>42398</v>
      </c>
      <c r="T839" s="1382" t="s">
        <v>276</v>
      </c>
      <c r="U839" s="1383">
        <v>42869</v>
      </c>
      <c r="V839" s="1363"/>
      <c r="W839" s="1367"/>
      <c r="X839" s="1363"/>
      <c r="Y839" s="1360"/>
      <c r="Z839" s="1430"/>
      <c r="AA839" s="1360"/>
      <c r="AB839" s="1358">
        <v>1000000</v>
      </c>
      <c r="AC839" s="1383">
        <v>42508</v>
      </c>
      <c r="AD839" s="1611" t="s">
        <v>1233</v>
      </c>
      <c r="AE839" s="1612"/>
      <c r="AF839" s="1613"/>
      <c r="AG839" s="1612"/>
      <c r="AH839" s="1625" t="str">
        <f t="shared" si="223"/>
        <v>HK</v>
      </c>
      <c r="AI839" s="1424">
        <f t="shared" si="224"/>
        <v>14250000</v>
      </c>
      <c r="AJ839" s="1424">
        <f t="shared" si="225"/>
        <v>14250000</v>
      </c>
      <c r="AK839" s="1520">
        <f t="shared" si="226"/>
        <v>0</v>
      </c>
      <c r="AL839" s="1575" t="str">
        <f t="shared" si="227"/>
        <v>Lunas</v>
      </c>
      <c r="AM839" s="1410"/>
      <c r="AN839" s="1411"/>
      <c r="AO839" s="1410"/>
      <c r="AP839" s="1411"/>
      <c r="AQ839" s="1128"/>
      <c r="AR839" s="1173"/>
      <c r="AT839" s="1173"/>
      <c r="AV839" s="1173"/>
      <c r="AX839" s="1173"/>
      <c r="AY839" s="1176"/>
      <c r="AZ839" s="1173"/>
    </row>
    <row r="840" spans="1:52" s="2" customFormat="1" x14ac:dyDescent="0.25">
      <c r="A840" s="156">
        <v>784</v>
      </c>
      <c r="B840" s="157">
        <v>4</v>
      </c>
      <c r="C840" s="159">
        <v>839114006</v>
      </c>
      <c r="D840" s="158" t="s">
        <v>1297</v>
      </c>
      <c r="E840" s="160" t="s">
        <v>848</v>
      </c>
      <c r="F840" s="161">
        <v>2014</v>
      </c>
      <c r="G840" s="162" t="s">
        <v>33</v>
      </c>
      <c r="H840" s="163">
        <f t="shared" si="215"/>
        <v>42900</v>
      </c>
      <c r="I840" s="163">
        <f t="shared" si="216"/>
        <v>43440</v>
      </c>
      <c r="J840" s="1356">
        <v>1250000</v>
      </c>
      <c r="K840" s="1357">
        <v>41866</v>
      </c>
      <c r="L840" s="1358">
        <v>3000000</v>
      </c>
      <c r="M840" s="1357">
        <v>41866</v>
      </c>
      <c r="N840" s="1358">
        <v>3000000</v>
      </c>
      <c r="O840" s="1357">
        <v>42060</v>
      </c>
      <c r="P840" s="1358">
        <v>3000000</v>
      </c>
      <c r="Q840" s="1357">
        <v>42250</v>
      </c>
      <c r="R840" s="1358">
        <v>3000000</v>
      </c>
      <c r="S840" s="1383">
        <v>42411</v>
      </c>
      <c r="T840" s="1358">
        <v>3000000</v>
      </c>
      <c r="U840" s="1357">
        <v>42594</v>
      </c>
      <c r="V840" s="1358">
        <v>3000000</v>
      </c>
      <c r="W840" s="1357">
        <v>42790</v>
      </c>
      <c r="X840" s="1465" t="s">
        <v>276</v>
      </c>
      <c r="Y840" s="1360"/>
      <c r="Z840" s="1430"/>
      <c r="AA840" s="1360"/>
      <c r="AB840" s="1358">
        <v>1000000</v>
      </c>
      <c r="AC840" s="1383">
        <v>42723</v>
      </c>
      <c r="AD840" s="1611" t="s">
        <v>1233</v>
      </c>
      <c r="AE840" s="1612"/>
      <c r="AF840" s="1613"/>
      <c r="AG840" s="1612"/>
      <c r="AH840" s="1625" t="str">
        <f t="shared" si="223"/>
        <v>HK</v>
      </c>
      <c r="AI840" s="1424">
        <f t="shared" si="224"/>
        <v>20250000</v>
      </c>
      <c r="AJ840" s="1424">
        <f t="shared" si="225"/>
        <v>20250000</v>
      </c>
      <c r="AK840" s="1520">
        <f t="shared" si="226"/>
        <v>0</v>
      </c>
      <c r="AL840" s="1575" t="str">
        <f t="shared" si="227"/>
        <v>Lunas</v>
      </c>
      <c r="AM840" s="1410"/>
      <c r="AN840" s="1411"/>
      <c r="AO840" s="1410"/>
      <c r="AP840" s="1411"/>
      <c r="AQ840" s="1128"/>
      <c r="AR840" s="1173"/>
      <c r="AT840" s="1173"/>
      <c r="AV840" s="1173"/>
      <c r="AX840" s="1173"/>
      <c r="AY840" s="1176"/>
      <c r="AZ840" s="1173"/>
    </row>
    <row r="841" spans="1:52" s="2" customFormat="1" x14ac:dyDescent="0.25">
      <c r="A841" s="156">
        <v>785</v>
      </c>
      <c r="B841" s="157">
        <v>5</v>
      </c>
      <c r="C841" s="159">
        <v>839114009</v>
      </c>
      <c r="D841" s="158" t="s">
        <v>1298</v>
      </c>
      <c r="E841" s="179" t="s">
        <v>848</v>
      </c>
      <c r="F841" s="161">
        <v>2014</v>
      </c>
      <c r="G841" s="162" t="s">
        <v>33</v>
      </c>
      <c r="H841" s="163">
        <f t="shared" si="215"/>
        <v>43440</v>
      </c>
      <c r="I841" s="163" t="str">
        <f t="shared" si="216"/>
        <v xml:space="preserve">   </v>
      </c>
      <c r="J841" s="1356">
        <v>1250000</v>
      </c>
      <c r="K841" s="1357">
        <v>41866</v>
      </c>
      <c r="L841" s="1358">
        <v>3000000</v>
      </c>
      <c r="M841" s="1357">
        <v>41866</v>
      </c>
      <c r="N841" s="1358">
        <v>3000000</v>
      </c>
      <c r="O841" s="1357">
        <v>42065</v>
      </c>
      <c r="P841" s="1358">
        <v>3000000</v>
      </c>
      <c r="Q841" s="1357">
        <v>43167</v>
      </c>
      <c r="R841" s="1358">
        <v>3000000</v>
      </c>
      <c r="S841" s="1357">
        <v>43167</v>
      </c>
      <c r="T841" s="1358">
        <v>3000000</v>
      </c>
      <c r="U841" s="1357">
        <v>43167</v>
      </c>
      <c r="V841" s="1358">
        <v>3000000</v>
      </c>
      <c r="W841" s="1357">
        <v>43167</v>
      </c>
      <c r="X841" s="1595">
        <v>3000000</v>
      </c>
      <c r="Y841" s="1357">
        <v>43167</v>
      </c>
      <c r="Z841" s="1595">
        <v>3000000</v>
      </c>
      <c r="AA841" s="1357">
        <v>43167</v>
      </c>
      <c r="AB841" s="1358">
        <v>1000000</v>
      </c>
      <c r="AC841" s="1357">
        <v>43167</v>
      </c>
      <c r="AD841" s="1611" t="s">
        <v>1233</v>
      </c>
      <c r="AE841" s="1612"/>
      <c r="AF841" s="1613"/>
      <c r="AG841" s="1612"/>
      <c r="AH841" s="1625" t="str">
        <f t="shared" si="223"/>
        <v>HK</v>
      </c>
      <c r="AI841" s="1424">
        <f t="shared" si="224"/>
        <v>26250000</v>
      </c>
      <c r="AJ841" s="1424">
        <f t="shared" si="225"/>
        <v>26250000</v>
      </c>
      <c r="AK841" s="1520">
        <f t="shared" si="226"/>
        <v>0</v>
      </c>
      <c r="AL841" s="1575" t="str">
        <f t="shared" si="227"/>
        <v>Lunas</v>
      </c>
      <c r="AM841" s="1410"/>
      <c r="AN841" s="1411"/>
      <c r="AO841" s="1410"/>
      <c r="AP841" s="1411"/>
      <c r="AQ841" s="1128"/>
      <c r="AR841" s="1173"/>
      <c r="AT841" s="1173"/>
      <c r="AV841" s="1173"/>
      <c r="AX841" s="1173"/>
      <c r="AY841" s="1176"/>
      <c r="AZ841" s="1173"/>
    </row>
    <row r="842" spans="1:52" s="2" customFormat="1" x14ac:dyDescent="0.25">
      <c r="A842" s="156">
        <v>786</v>
      </c>
      <c r="B842" s="157">
        <v>6</v>
      </c>
      <c r="C842" s="159">
        <v>839114005</v>
      </c>
      <c r="D842" s="158" t="s">
        <v>1299</v>
      </c>
      <c r="E842" s="179" t="s">
        <v>848</v>
      </c>
      <c r="F842" s="161">
        <v>2014</v>
      </c>
      <c r="G842" s="162" t="s">
        <v>33</v>
      </c>
      <c r="H842" s="163">
        <f t="shared" si="215"/>
        <v>43441</v>
      </c>
      <c r="I842" s="163" t="str">
        <f t="shared" si="216"/>
        <v xml:space="preserve">   </v>
      </c>
      <c r="J842" s="1356">
        <v>1250000</v>
      </c>
      <c r="K842" s="1357">
        <v>41858</v>
      </c>
      <c r="L842" s="1358">
        <v>3000000</v>
      </c>
      <c r="M842" s="1357">
        <v>41858</v>
      </c>
      <c r="N842" s="1358">
        <v>3000000</v>
      </c>
      <c r="O842" s="1357">
        <v>42061</v>
      </c>
      <c r="P842" s="1358">
        <v>3000000</v>
      </c>
      <c r="Q842" s="1357">
        <v>42229</v>
      </c>
      <c r="R842" s="1358">
        <v>3000000</v>
      </c>
      <c r="S842" s="1383">
        <v>42459</v>
      </c>
      <c r="T842" s="1358">
        <v>3000000</v>
      </c>
      <c r="U842" s="1357">
        <v>42601</v>
      </c>
      <c r="V842" s="1358">
        <v>3000000</v>
      </c>
      <c r="W842" s="1357">
        <v>42811</v>
      </c>
      <c r="X842" s="1595">
        <v>3000000</v>
      </c>
      <c r="Y842" s="1357">
        <v>43283</v>
      </c>
      <c r="Z842" s="1595">
        <v>3000000</v>
      </c>
      <c r="AA842" s="1357">
        <v>43283</v>
      </c>
      <c r="AB842" s="1358">
        <v>1000000</v>
      </c>
      <c r="AC842" s="1383">
        <v>43283</v>
      </c>
      <c r="AD842" s="1611" t="s">
        <v>1233</v>
      </c>
      <c r="AE842" s="1612"/>
      <c r="AF842" s="1613"/>
      <c r="AG842" s="1612"/>
      <c r="AH842" s="1625" t="str">
        <f t="shared" si="223"/>
        <v>HK</v>
      </c>
      <c r="AI842" s="1424">
        <f t="shared" si="224"/>
        <v>26250000</v>
      </c>
      <c r="AJ842" s="1424">
        <f t="shared" si="225"/>
        <v>26250000</v>
      </c>
      <c r="AK842" s="1520">
        <f t="shared" si="226"/>
        <v>0</v>
      </c>
      <c r="AL842" s="1575" t="str">
        <f t="shared" si="227"/>
        <v>Lunas</v>
      </c>
      <c r="AM842" s="1410"/>
      <c r="AN842" s="1411"/>
      <c r="AO842" s="1410"/>
      <c r="AP842" s="1411"/>
      <c r="AQ842" s="1128"/>
      <c r="AR842" s="1173"/>
      <c r="AT842" s="1173"/>
      <c r="AV842" s="1173"/>
      <c r="AX842" s="1173"/>
      <c r="AY842" s="1176"/>
      <c r="AZ842" s="1173"/>
    </row>
    <row r="843" spans="1:52" s="2" customFormat="1" x14ac:dyDescent="0.25">
      <c r="A843" s="156">
        <v>787</v>
      </c>
      <c r="B843" s="157">
        <v>7</v>
      </c>
      <c r="C843" s="159">
        <v>839114008</v>
      </c>
      <c r="D843" s="158" t="s">
        <v>1300</v>
      </c>
      <c r="E843" s="179" t="s">
        <v>848</v>
      </c>
      <c r="F843" s="161">
        <v>2014</v>
      </c>
      <c r="G843" s="162" t="s">
        <v>33</v>
      </c>
      <c r="H843" s="163">
        <f t="shared" si="215"/>
        <v>43314</v>
      </c>
      <c r="I843" s="163">
        <f t="shared" si="216"/>
        <v>43440</v>
      </c>
      <c r="J843" s="1356">
        <v>1250000</v>
      </c>
      <c r="K843" s="1357">
        <v>41856</v>
      </c>
      <c r="L843" s="1358">
        <v>3000000</v>
      </c>
      <c r="M843" s="1357">
        <v>41856</v>
      </c>
      <c r="N843" s="1358">
        <v>3000000</v>
      </c>
      <c r="O843" s="1357">
        <v>42053</v>
      </c>
      <c r="P843" s="1358">
        <v>3000000</v>
      </c>
      <c r="Q843" s="1357">
        <v>42208</v>
      </c>
      <c r="R843" s="1358">
        <v>3000000</v>
      </c>
      <c r="S843" s="1383">
        <v>42397</v>
      </c>
      <c r="T843" s="1358">
        <v>3000000</v>
      </c>
      <c r="U843" s="1357">
        <v>42622</v>
      </c>
      <c r="V843" s="1358">
        <v>3000000</v>
      </c>
      <c r="W843" s="1357">
        <v>43303</v>
      </c>
      <c r="X843" s="1358">
        <v>3000000</v>
      </c>
      <c r="Y843" s="1357">
        <v>43303</v>
      </c>
      <c r="Z843" s="1358">
        <v>3000000</v>
      </c>
      <c r="AA843" s="1357">
        <v>43303</v>
      </c>
      <c r="AB843" s="1358">
        <v>1000000</v>
      </c>
      <c r="AC843" s="1383">
        <v>43303</v>
      </c>
      <c r="AD843" s="1611" t="s">
        <v>1233</v>
      </c>
      <c r="AE843" s="1612"/>
      <c r="AF843" s="1613"/>
      <c r="AG843" s="1612"/>
      <c r="AH843" s="1625" t="str">
        <f t="shared" si="223"/>
        <v>HK</v>
      </c>
      <c r="AI843" s="1424">
        <f t="shared" si="224"/>
        <v>26250000</v>
      </c>
      <c r="AJ843" s="1424">
        <f t="shared" si="225"/>
        <v>26250000</v>
      </c>
      <c r="AK843" s="1520">
        <f t="shared" si="226"/>
        <v>0</v>
      </c>
      <c r="AL843" s="1575" t="str">
        <f t="shared" si="227"/>
        <v>Lunas</v>
      </c>
      <c r="AM843" s="1410"/>
      <c r="AN843" s="1411"/>
      <c r="AO843" s="1410"/>
      <c r="AP843" s="1411"/>
      <c r="AQ843" s="1128"/>
      <c r="AR843" s="1173"/>
      <c r="AT843" s="1173"/>
      <c r="AV843" s="1173"/>
      <c r="AX843" s="1173"/>
      <c r="AY843" s="1176"/>
      <c r="AZ843" s="1173"/>
    </row>
    <row r="844" spans="1:52" s="2" customFormat="1" x14ac:dyDescent="0.25">
      <c r="A844" s="164">
        <v>788</v>
      </c>
      <c r="B844" s="165">
        <v>8</v>
      </c>
      <c r="C844" s="263">
        <v>839114010</v>
      </c>
      <c r="D844" s="173" t="s">
        <v>1301</v>
      </c>
      <c r="E844" s="264" t="s">
        <v>848</v>
      </c>
      <c r="F844" s="175">
        <v>2014</v>
      </c>
      <c r="G844" s="214" t="s">
        <v>1077</v>
      </c>
      <c r="H844" s="265" t="str">
        <f t="shared" ref="H844:H865" si="228">IFERROR(VLOOKUP(C844,Tlus,3,FALSE),"   ")</f>
        <v xml:space="preserve">   </v>
      </c>
      <c r="I844" s="265" t="str">
        <f t="shared" ref="I844:I865" si="229">IFERROR(VLOOKUP(C844,Wis,4,FALSE),"   ")</f>
        <v xml:space="preserve">   </v>
      </c>
      <c r="J844" s="1366">
        <v>1250000</v>
      </c>
      <c r="K844" s="1367">
        <v>41873</v>
      </c>
      <c r="L844" s="1363">
        <v>3000000</v>
      </c>
      <c r="M844" s="1367">
        <v>41873</v>
      </c>
      <c r="N844" s="1363">
        <v>3000000</v>
      </c>
      <c r="O844" s="1367">
        <v>42074</v>
      </c>
      <c r="P844" s="1363"/>
      <c r="Q844" s="1367"/>
      <c r="R844" s="1530"/>
      <c r="S844" s="1503"/>
      <c r="T844" s="1363"/>
      <c r="U844" s="1367"/>
      <c r="V844" s="1430"/>
      <c r="W844" s="1367"/>
      <c r="X844" s="1363"/>
      <c r="Y844" s="1360"/>
      <c r="Z844" s="1363"/>
      <c r="AA844" s="1367"/>
      <c r="AB844" s="1430"/>
      <c r="AC844" s="1500"/>
      <c r="AD844" s="1611" t="s">
        <v>1233</v>
      </c>
      <c r="AE844" s="1612"/>
      <c r="AF844" s="1613"/>
      <c r="AG844" s="1612"/>
      <c r="AH844" s="1625" t="str">
        <f t="shared" si="223"/>
        <v>HK</v>
      </c>
      <c r="AI844" s="1427">
        <f t="shared" si="224"/>
        <v>7250000</v>
      </c>
      <c r="AJ844" s="1427">
        <f t="shared" si="225"/>
        <v>7250000</v>
      </c>
      <c r="AK844" s="1427">
        <f t="shared" si="226"/>
        <v>0</v>
      </c>
      <c r="AL844" s="1428" t="s">
        <v>1077</v>
      </c>
      <c r="AM844" s="1410"/>
      <c r="AN844" s="1411"/>
      <c r="AO844" s="1410"/>
      <c r="AP844" s="1411"/>
      <c r="AQ844" s="1128"/>
      <c r="AR844" s="1173"/>
      <c r="AT844" s="1173"/>
      <c r="AV844" s="1173"/>
      <c r="AX844" s="1173"/>
      <c r="AY844" s="1176"/>
      <c r="AZ844" s="1173"/>
    </row>
    <row r="845" spans="1:52" s="2" customFormat="1" x14ac:dyDescent="0.25">
      <c r="A845" s="164">
        <v>789</v>
      </c>
      <c r="B845" s="253">
        <v>9</v>
      </c>
      <c r="C845" s="263">
        <v>839114002</v>
      </c>
      <c r="D845" s="173" t="s">
        <v>1302</v>
      </c>
      <c r="E845" s="264" t="s">
        <v>848</v>
      </c>
      <c r="F845" s="175">
        <v>2014</v>
      </c>
      <c r="G845" s="214" t="s">
        <v>1077</v>
      </c>
      <c r="H845" s="265" t="str">
        <f t="shared" si="228"/>
        <v xml:space="preserve">   </v>
      </c>
      <c r="I845" s="265" t="str">
        <f t="shared" si="229"/>
        <v xml:space="preserve">   </v>
      </c>
      <c r="J845" s="1366">
        <v>1250000</v>
      </c>
      <c r="K845" s="1367">
        <v>42223</v>
      </c>
      <c r="L845" s="1363">
        <v>3000000</v>
      </c>
      <c r="M845" s="1367">
        <v>42223</v>
      </c>
      <c r="N845" s="1363">
        <v>3000000</v>
      </c>
      <c r="O845" s="1367">
        <v>42061</v>
      </c>
      <c r="P845" s="1363">
        <v>3000000</v>
      </c>
      <c r="Q845" s="1367">
        <v>42251</v>
      </c>
      <c r="R845" s="1363">
        <v>3000000</v>
      </c>
      <c r="S845" s="1500">
        <v>42412</v>
      </c>
      <c r="T845" s="1363">
        <v>3000000</v>
      </c>
      <c r="U845" s="1367">
        <v>42622</v>
      </c>
      <c r="V845" s="1430"/>
      <c r="W845" s="1367"/>
      <c r="X845" s="1363"/>
      <c r="Y845" s="1360"/>
      <c r="Z845" s="1363"/>
      <c r="AA845" s="1367"/>
      <c r="AB845" s="1363"/>
      <c r="AC845" s="1500"/>
      <c r="AD845" s="1611" t="s">
        <v>1233</v>
      </c>
      <c r="AE845" s="1612"/>
      <c r="AF845" s="1613"/>
      <c r="AG845" s="1612"/>
      <c r="AH845" s="1625" t="str">
        <f t="shared" si="223"/>
        <v>HK</v>
      </c>
      <c r="AI845" s="1427">
        <f t="shared" si="224"/>
        <v>16250000</v>
      </c>
      <c r="AJ845" s="1427">
        <f t="shared" si="225"/>
        <v>16250000</v>
      </c>
      <c r="AK845" s="1427">
        <f t="shared" si="226"/>
        <v>0</v>
      </c>
      <c r="AL845" s="1428" t="s">
        <v>1077</v>
      </c>
      <c r="AM845" s="1410"/>
      <c r="AN845" s="1411"/>
      <c r="AO845" s="1410"/>
      <c r="AP845" s="1411"/>
      <c r="AQ845" s="1128"/>
      <c r="AR845" s="1173"/>
      <c r="AT845" s="1173"/>
      <c r="AV845" s="1173"/>
      <c r="AX845" s="1173"/>
      <c r="AY845" s="1176"/>
      <c r="AZ845" s="1173"/>
    </row>
    <row r="846" spans="1:52" s="2" customFormat="1" x14ac:dyDescent="0.25">
      <c r="A846" s="164">
        <v>790</v>
      </c>
      <c r="B846" s="165">
        <v>10</v>
      </c>
      <c r="C846" s="263">
        <v>839114011</v>
      </c>
      <c r="D846" s="173" t="s">
        <v>1303</v>
      </c>
      <c r="E846" s="264" t="s">
        <v>848</v>
      </c>
      <c r="F846" s="175">
        <v>2014</v>
      </c>
      <c r="G846" s="214" t="s">
        <v>1077</v>
      </c>
      <c r="H846" s="265" t="str">
        <f t="shared" si="228"/>
        <v xml:space="preserve">   </v>
      </c>
      <c r="I846" s="265" t="str">
        <f t="shared" si="229"/>
        <v xml:space="preserve">   </v>
      </c>
      <c r="J846" s="1366">
        <v>1250000</v>
      </c>
      <c r="K846" s="1367">
        <v>41866</v>
      </c>
      <c r="L846" s="1363">
        <v>3000000</v>
      </c>
      <c r="M846" s="1367">
        <v>41866</v>
      </c>
      <c r="N846" s="1363">
        <v>3000000</v>
      </c>
      <c r="O846" s="1367">
        <v>42062</v>
      </c>
      <c r="P846" s="1363">
        <v>3000000</v>
      </c>
      <c r="Q846" s="1367">
        <v>42229</v>
      </c>
      <c r="R846" s="1476">
        <v>3000000</v>
      </c>
      <c r="S846" s="1500">
        <v>42451</v>
      </c>
      <c r="T846" s="1363">
        <v>3000000</v>
      </c>
      <c r="U846" s="1367">
        <v>42723</v>
      </c>
      <c r="V846" s="1430"/>
      <c r="W846" s="1367"/>
      <c r="X846" s="1363"/>
      <c r="Y846" s="1360"/>
      <c r="Z846" s="1363"/>
      <c r="AA846" s="1367"/>
      <c r="AB846" s="1430"/>
      <c r="AC846" s="1500"/>
      <c r="AD846" s="1611" t="s">
        <v>1233</v>
      </c>
      <c r="AE846" s="1612"/>
      <c r="AF846" s="1613"/>
      <c r="AG846" s="1612"/>
      <c r="AH846" s="1625" t="str">
        <f t="shared" si="223"/>
        <v>HK</v>
      </c>
      <c r="AI846" s="1427">
        <f t="shared" si="224"/>
        <v>16250000</v>
      </c>
      <c r="AJ846" s="1427">
        <f t="shared" si="225"/>
        <v>16250000</v>
      </c>
      <c r="AK846" s="1427">
        <f t="shared" si="226"/>
        <v>0</v>
      </c>
      <c r="AL846" s="1428" t="s">
        <v>1077</v>
      </c>
      <c r="AM846" s="1410"/>
      <c r="AN846" s="1411"/>
      <c r="AO846" s="1410"/>
      <c r="AP846" s="1411"/>
      <c r="AQ846" s="1128"/>
      <c r="AR846" s="1173"/>
      <c r="AT846" s="1173"/>
      <c r="AV846" s="1173"/>
      <c r="AX846" s="1173"/>
      <c r="AY846" s="1176"/>
      <c r="AZ846" s="1173"/>
    </row>
    <row r="847" spans="1:52" s="2" customFormat="1" x14ac:dyDescent="0.25">
      <c r="A847" s="156">
        <v>791</v>
      </c>
      <c r="B847" s="157">
        <v>11</v>
      </c>
      <c r="C847" s="159">
        <v>839114013</v>
      </c>
      <c r="D847" s="158" t="s">
        <v>1304</v>
      </c>
      <c r="E847" s="160" t="s">
        <v>848</v>
      </c>
      <c r="F847" s="161">
        <v>2014</v>
      </c>
      <c r="G847" s="162" t="s">
        <v>33</v>
      </c>
      <c r="H847" s="163">
        <f t="shared" si="228"/>
        <v>42733</v>
      </c>
      <c r="I847" s="163">
        <f t="shared" si="229"/>
        <v>42861</v>
      </c>
      <c r="J847" s="1356">
        <v>1250000</v>
      </c>
      <c r="K847" s="1357">
        <v>41866</v>
      </c>
      <c r="L847" s="1358">
        <v>3000000</v>
      </c>
      <c r="M847" s="1357">
        <v>41866</v>
      </c>
      <c r="N847" s="1358">
        <v>3000000</v>
      </c>
      <c r="O847" s="1357">
        <v>42062</v>
      </c>
      <c r="P847" s="1358">
        <v>3000000</v>
      </c>
      <c r="Q847" s="1357">
        <v>42229</v>
      </c>
      <c r="R847" s="1358">
        <v>3000000</v>
      </c>
      <c r="S847" s="1383">
        <v>42397</v>
      </c>
      <c r="T847" s="1358">
        <v>3000000</v>
      </c>
      <c r="U847" s="1357">
        <v>42656</v>
      </c>
      <c r="V847" s="1465" t="s">
        <v>276</v>
      </c>
      <c r="W847" s="1367"/>
      <c r="X847" s="1366"/>
      <c r="Y847" s="1360"/>
      <c r="Z847" s="1363"/>
      <c r="AA847" s="1367"/>
      <c r="AB847" s="1358">
        <v>1000000</v>
      </c>
      <c r="AC847" s="1383">
        <v>42713</v>
      </c>
      <c r="AD847" s="1611" t="s">
        <v>1233</v>
      </c>
      <c r="AE847" s="1612"/>
      <c r="AF847" s="1613"/>
      <c r="AG847" s="1612"/>
      <c r="AH847" s="1625" t="str">
        <f t="shared" si="223"/>
        <v>HK</v>
      </c>
      <c r="AI847" s="1424">
        <f t="shared" si="224"/>
        <v>17250000</v>
      </c>
      <c r="AJ847" s="1424">
        <f t="shared" si="225"/>
        <v>17250000</v>
      </c>
      <c r="AK847" s="1520">
        <f t="shared" si="226"/>
        <v>0</v>
      </c>
      <c r="AL847" s="1575" t="str">
        <f t="shared" si="227"/>
        <v>Lunas</v>
      </c>
      <c r="AM847" s="1410"/>
      <c r="AN847" s="1411"/>
      <c r="AO847" s="1410"/>
      <c r="AP847" s="1411"/>
      <c r="AQ847" s="1128"/>
      <c r="AR847" s="1173"/>
      <c r="AT847" s="1173"/>
      <c r="AV847" s="1173"/>
      <c r="AX847" s="1173"/>
      <c r="AY847" s="1176"/>
      <c r="AZ847" s="1173"/>
    </row>
    <row r="848" spans="1:52" s="2" customFormat="1" x14ac:dyDescent="0.25">
      <c r="A848" s="180">
        <v>792</v>
      </c>
      <c r="B848" s="181">
        <v>12</v>
      </c>
      <c r="C848" s="183">
        <v>839114014</v>
      </c>
      <c r="D848" s="182" t="s">
        <v>1305</v>
      </c>
      <c r="E848" s="184" t="s">
        <v>848</v>
      </c>
      <c r="F848" s="185">
        <v>2014</v>
      </c>
      <c r="G848" s="186" t="s">
        <v>33</v>
      </c>
      <c r="H848" s="284">
        <f t="shared" si="228"/>
        <v>42732</v>
      </c>
      <c r="I848" s="284">
        <f t="shared" si="229"/>
        <v>42861</v>
      </c>
      <c r="J848" s="1527">
        <v>1250000</v>
      </c>
      <c r="K848" s="1435">
        <v>41866</v>
      </c>
      <c r="L848" s="1434">
        <v>3000000</v>
      </c>
      <c r="M848" s="1435">
        <v>41866</v>
      </c>
      <c r="N848" s="1434">
        <v>3000000</v>
      </c>
      <c r="O848" s="1435">
        <v>42062</v>
      </c>
      <c r="P848" s="1434">
        <v>3000000</v>
      </c>
      <c r="Q848" s="1435">
        <v>42168</v>
      </c>
      <c r="R848" s="1434">
        <v>3000000</v>
      </c>
      <c r="S848" s="1463">
        <v>42437</v>
      </c>
      <c r="T848" s="1434">
        <v>3000000</v>
      </c>
      <c r="U848" s="1435">
        <v>42698</v>
      </c>
      <c r="V848" s="1552" t="s">
        <v>276</v>
      </c>
      <c r="W848" s="1445"/>
      <c r="X848" s="1444"/>
      <c r="Y848" s="1557"/>
      <c r="Z848" s="1446"/>
      <c r="AA848" s="1445"/>
      <c r="AB848" s="1484">
        <v>1000000</v>
      </c>
      <c r="AC848" s="1463">
        <v>42698</v>
      </c>
      <c r="AD848" s="1615" t="s">
        <v>1233</v>
      </c>
      <c r="AE848" s="1616"/>
      <c r="AF848" s="1617"/>
      <c r="AG848" s="1616"/>
      <c r="AH848" s="1626" t="str">
        <f t="shared" si="223"/>
        <v>HK</v>
      </c>
      <c r="AI848" s="1424">
        <f t="shared" si="224"/>
        <v>17250000</v>
      </c>
      <c r="AJ848" s="1424">
        <f t="shared" si="225"/>
        <v>17250000</v>
      </c>
      <c r="AK848" s="1578">
        <f t="shared" si="226"/>
        <v>0</v>
      </c>
      <c r="AL848" s="1577" t="str">
        <f t="shared" si="227"/>
        <v>Lunas</v>
      </c>
      <c r="AM848" s="1410"/>
      <c r="AN848" s="1411"/>
      <c r="AO848" s="1410"/>
      <c r="AP848" s="1411"/>
      <c r="AQ848" s="1128"/>
      <c r="AR848" s="1173"/>
      <c r="AT848" s="1173"/>
      <c r="AV848" s="1173"/>
      <c r="AX848" s="1173"/>
      <c r="AY848" s="1176"/>
      <c r="AZ848" s="1173"/>
    </row>
    <row r="849" spans="1:52" s="4" customFormat="1" x14ac:dyDescent="0.25">
      <c r="A849" s="331"/>
      <c r="B849" s="332"/>
      <c r="C849" s="334"/>
      <c r="D849" s="333"/>
      <c r="E849" s="335" t="s">
        <v>1121</v>
      </c>
      <c r="F849" s="336" t="s">
        <v>61</v>
      </c>
      <c r="G849" s="192" t="s">
        <v>61</v>
      </c>
      <c r="H849" s="193" t="str">
        <f t="shared" si="228"/>
        <v xml:space="preserve">   </v>
      </c>
      <c r="I849" s="193" t="str">
        <f t="shared" si="229"/>
        <v xml:space="preserve">   </v>
      </c>
      <c r="J849" s="187"/>
      <c r="K849" s="1629"/>
      <c r="L849" s="1589"/>
      <c r="M849" s="1629"/>
      <c r="N849" s="187"/>
      <c r="O849" s="1629"/>
      <c r="P849" s="1589"/>
      <c r="Q849" s="1629"/>
      <c r="R849" s="187"/>
      <c r="S849" s="1643"/>
      <c r="T849" s="1215"/>
      <c r="U849" s="1629"/>
      <c r="V849" s="1215"/>
      <c r="W849" s="1629"/>
      <c r="X849" s="1215"/>
      <c r="Y849" s="1629"/>
      <c r="Z849" s="1215"/>
      <c r="AA849" s="1629"/>
      <c r="AB849" s="1657"/>
      <c r="AC849" s="1629"/>
      <c r="AD849" s="187"/>
      <c r="AE849" s="1629"/>
      <c r="AF849" s="187"/>
      <c r="AG849" s="1629"/>
      <c r="AH849" s="1674" t="str">
        <f t="shared" si="223"/>
        <v xml:space="preserve"> - </v>
      </c>
      <c r="AI849" s="1589"/>
      <c r="AJ849" s="1409"/>
      <c r="AK849" s="1409"/>
      <c r="AL849" s="1510"/>
      <c r="AM849" s="1510"/>
      <c r="AN849" s="1511"/>
      <c r="AO849" s="1510"/>
      <c r="AP849" s="1511"/>
      <c r="AQ849" s="1215"/>
      <c r="AR849" s="1216"/>
      <c r="AT849" s="1216"/>
      <c r="AV849" s="1216"/>
      <c r="AX849" s="1216"/>
      <c r="AY849" s="1217"/>
      <c r="AZ849" s="1216"/>
    </row>
    <row r="850" spans="1:52" s="2" customFormat="1" x14ac:dyDescent="0.25">
      <c r="A850" s="194" t="s">
        <v>1306</v>
      </c>
      <c r="B850" s="337"/>
      <c r="C850" s="261"/>
      <c r="D850" s="142"/>
      <c r="E850" s="198" t="s">
        <v>1096</v>
      </c>
      <c r="F850" s="199" t="s">
        <v>1096</v>
      </c>
      <c r="G850" s="146">
        <v>3000000</v>
      </c>
      <c r="H850" s="232" t="str">
        <f t="shared" si="228"/>
        <v xml:space="preserve">   </v>
      </c>
      <c r="I850" s="232" t="str">
        <f t="shared" si="229"/>
        <v xml:space="preserve">   </v>
      </c>
      <c r="J850" s="1450">
        <v>1250000</v>
      </c>
      <c r="K850" s="1529"/>
      <c r="L850" s="1582" t="s">
        <v>1049</v>
      </c>
      <c r="M850" s="1438" t="s">
        <v>1054</v>
      </c>
      <c r="N850" s="1582" t="s">
        <v>1051</v>
      </c>
      <c r="O850" s="1438" t="s">
        <v>1056</v>
      </c>
      <c r="P850" s="1582" t="s">
        <v>1053</v>
      </c>
      <c r="Q850" s="1438" t="s">
        <v>1058</v>
      </c>
      <c r="R850" s="1582" t="s">
        <v>1055</v>
      </c>
      <c r="S850" s="1438" t="s">
        <v>1060</v>
      </c>
      <c r="T850" s="1582" t="s">
        <v>1057</v>
      </c>
      <c r="U850" s="1438" t="s">
        <v>1062</v>
      </c>
      <c r="V850" s="1582" t="s">
        <v>1059</v>
      </c>
      <c r="W850" s="1438" t="s">
        <v>1064</v>
      </c>
      <c r="X850" s="1582" t="s">
        <v>1061</v>
      </c>
      <c r="Y850" s="1438" t="s">
        <v>1066</v>
      </c>
      <c r="Z850" s="1582" t="s">
        <v>1063</v>
      </c>
      <c r="AA850" s="1438" t="s">
        <v>1068</v>
      </c>
      <c r="AB850" s="1450">
        <v>1000000</v>
      </c>
      <c r="AC850" s="1127"/>
      <c r="AD850" s="223"/>
      <c r="AE850" s="1658"/>
      <c r="AF850" s="223"/>
      <c r="AG850" s="1629"/>
      <c r="AH850" s="1674" t="str">
        <f t="shared" si="223"/>
        <v>#</v>
      </c>
      <c r="AI850" s="1512"/>
      <c r="AJ850" s="1409"/>
      <c r="AK850" s="1409"/>
      <c r="AL850" s="1513"/>
      <c r="AM850" s="1513"/>
      <c r="AN850" s="1514"/>
      <c r="AO850" s="1513"/>
      <c r="AP850" s="1514"/>
      <c r="AQ850" s="1128"/>
      <c r="AR850" s="1173"/>
      <c r="AT850" s="1173"/>
      <c r="AV850" s="1173"/>
      <c r="AX850" s="1173"/>
      <c r="AY850" s="1176"/>
      <c r="AZ850" s="1173"/>
    </row>
    <row r="851" spans="1:52" s="2" customFormat="1" x14ac:dyDescent="0.25">
      <c r="A851" s="200">
        <v>793</v>
      </c>
      <c r="B851" s="262">
        <v>1</v>
      </c>
      <c r="C851" s="151">
        <v>839214001</v>
      </c>
      <c r="D851" s="150" t="s">
        <v>1307</v>
      </c>
      <c r="E851" s="311" t="s">
        <v>1195</v>
      </c>
      <c r="F851" s="153">
        <v>2014</v>
      </c>
      <c r="G851" s="154" t="s">
        <v>33</v>
      </c>
      <c r="H851" s="155">
        <f t="shared" si="228"/>
        <v>43201</v>
      </c>
      <c r="I851" s="155">
        <f t="shared" si="229"/>
        <v>43351</v>
      </c>
      <c r="J851" s="1439">
        <v>1250000</v>
      </c>
      <c r="K851" s="1440">
        <v>41859</v>
      </c>
      <c r="L851" s="1441">
        <v>3000000</v>
      </c>
      <c r="M851" s="1440">
        <v>41859</v>
      </c>
      <c r="N851" s="1441">
        <v>3000000</v>
      </c>
      <c r="O851" s="1440">
        <v>42159</v>
      </c>
      <c r="P851" s="1441">
        <v>3000000</v>
      </c>
      <c r="Q851" s="1440">
        <v>42241</v>
      </c>
      <c r="R851" s="1644">
        <v>3000000</v>
      </c>
      <c r="S851" s="1479">
        <v>42832</v>
      </c>
      <c r="T851" s="1441">
        <v>3000000</v>
      </c>
      <c r="U851" s="1440">
        <v>43161</v>
      </c>
      <c r="V851" s="1644">
        <v>3000000</v>
      </c>
      <c r="W851" s="1440">
        <v>43161</v>
      </c>
      <c r="X851" s="1441">
        <v>3000000</v>
      </c>
      <c r="Y851" s="1440">
        <v>43161</v>
      </c>
      <c r="Z851" s="1441">
        <v>3000000</v>
      </c>
      <c r="AA851" s="1440">
        <v>43161</v>
      </c>
      <c r="AB851" s="1644">
        <v>1000000</v>
      </c>
      <c r="AC851" s="1354">
        <v>43161</v>
      </c>
      <c r="AD851" s="1611" t="s">
        <v>1233</v>
      </c>
      <c r="AE851" s="1612"/>
      <c r="AF851" s="1613"/>
      <c r="AG851" s="1612"/>
      <c r="AH851" s="1624" t="str">
        <f t="shared" si="223"/>
        <v>ES</v>
      </c>
      <c r="AI851" s="1424">
        <f t="shared" ref="AI851:AI865" si="230">SUM(J851,L851,N851,P851,R851,T851,V851,X851,Z851,AB851,AD851,AF851)</f>
        <v>26250000</v>
      </c>
      <c r="AJ851" s="1424">
        <f t="shared" ref="AJ851:AJ865" si="231">(COUNT(L851,N851,P851,R851,T851,V851,X851,Z851,AD851,AF851)*$G$773)+(COUNT(J851)*$J$773)+(COUNT(AB851)*$AB$773)</f>
        <v>26250000</v>
      </c>
      <c r="AK851" s="1517">
        <f t="shared" ref="AK851:AK865" si="232">AJ851-AI851</f>
        <v>0</v>
      </c>
      <c r="AL851" s="1516" t="str">
        <f t="shared" ref="AL851:AL865" si="233">IF(AK851=0,"Lunas","Cek")</f>
        <v>Lunas</v>
      </c>
      <c r="AM851" s="1410"/>
      <c r="AN851" s="1411"/>
      <c r="AO851" s="1410"/>
      <c r="AP851" s="1411"/>
      <c r="AQ851" s="1128"/>
      <c r="AR851" s="1173"/>
      <c r="AT851" s="1173"/>
      <c r="AV851" s="1173"/>
      <c r="AX851" s="1173"/>
      <c r="AY851" s="1176"/>
      <c r="AZ851" s="1173"/>
    </row>
    <row r="852" spans="1:52" s="2" customFormat="1" x14ac:dyDescent="0.25">
      <c r="A852" s="156">
        <v>794</v>
      </c>
      <c r="B852" s="157">
        <v>2</v>
      </c>
      <c r="C852" s="159">
        <v>839214002</v>
      </c>
      <c r="D852" s="158" t="s">
        <v>1308</v>
      </c>
      <c r="E852" s="160" t="s">
        <v>1195</v>
      </c>
      <c r="F852" s="161">
        <v>2014</v>
      </c>
      <c r="G852" s="162" t="s">
        <v>33</v>
      </c>
      <c r="H852" s="163">
        <f t="shared" si="228"/>
        <v>42824</v>
      </c>
      <c r="I852" s="163">
        <f t="shared" si="229"/>
        <v>42861</v>
      </c>
      <c r="J852" s="1356">
        <v>1250000</v>
      </c>
      <c r="K852" s="1357">
        <v>41857</v>
      </c>
      <c r="L852" s="1358">
        <v>3000000</v>
      </c>
      <c r="M852" s="1357">
        <v>41857</v>
      </c>
      <c r="N852" s="1358">
        <v>3000000</v>
      </c>
      <c r="O852" s="1357">
        <v>42076</v>
      </c>
      <c r="P852" s="1358">
        <v>3000000</v>
      </c>
      <c r="Q852" s="1357">
        <v>42265</v>
      </c>
      <c r="R852" s="1358">
        <v>3000000</v>
      </c>
      <c r="S852" s="1383">
        <v>42668</v>
      </c>
      <c r="T852" s="1358">
        <v>3000000</v>
      </c>
      <c r="U852" s="1357">
        <v>42816</v>
      </c>
      <c r="V852" s="1358">
        <v>3000000</v>
      </c>
      <c r="W852" s="1357">
        <v>42816</v>
      </c>
      <c r="X852" s="1465" t="s">
        <v>276</v>
      </c>
      <c r="Y852" s="1360"/>
      <c r="Z852" s="1430"/>
      <c r="AA852" s="1360"/>
      <c r="AB852" s="1358">
        <v>1000000</v>
      </c>
      <c r="AC852" s="1383">
        <v>42816</v>
      </c>
      <c r="AD852" s="1611" t="s">
        <v>1233</v>
      </c>
      <c r="AE852" s="1612"/>
      <c r="AF852" s="1613"/>
      <c r="AG852" s="1612"/>
      <c r="AH852" s="1625" t="str">
        <f t="shared" si="223"/>
        <v>ES</v>
      </c>
      <c r="AI852" s="1675">
        <f t="shared" si="230"/>
        <v>20250000</v>
      </c>
      <c r="AJ852" s="1675">
        <f t="shared" si="231"/>
        <v>20250000</v>
      </c>
      <c r="AK852" s="1520">
        <f t="shared" si="232"/>
        <v>0</v>
      </c>
      <c r="AL852" s="1426" t="str">
        <f t="shared" si="233"/>
        <v>Lunas</v>
      </c>
      <c r="AM852" s="1410"/>
      <c r="AN852" s="1411"/>
      <c r="AO852" s="1410"/>
      <c r="AP852" s="1411"/>
      <c r="AQ852" s="1128"/>
      <c r="AR852" s="1173"/>
      <c r="AT852" s="1173"/>
      <c r="AV852" s="1173"/>
      <c r="AX852" s="1173"/>
      <c r="AY852" s="1176"/>
      <c r="AZ852" s="1173"/>
    </row>
    <row r="853" spans="1:52" s="2" customFormat="1" x14ac:dyDescent="0.25">
      <c r="A853" s="156">
        <v>795</v>
      </c>
      <c r="B853" s="157">
        <v>3</v>
      </c>
      <c r="C853" s="159">
        <v>839214003</v>
      </c>
      <c r="D853" s="158" t="s">
        <v>1309</v>
      </c>
      <c r="E853" s="160" t="s">
        <v>1195</v>
      </c>
      <c r="F853" s="161">
        <v>2014</v>
      </c>
      <c r="G853" s="162" t="s">
        <v>33</v>
      </c>
      <c r="H853" s="163">
        <f t="shared" si="228"/>
        <v>42663</v>
      </c>
      <c r="I853" s="163">
        <f t="shared" si="229"/>
        <v>42861</v>
      </c>
      <c r="J853" s="1356">
        <v>1250000</v>
      </c>
      <c r="K853" s="1357">
        <v>41857</v>
      </c>
      <c r="L853" s="1358">
        <v>3000000</v>
      </c>
      <c r="M853" s="1357">
        <v>41857</v>
      </c>
      <c r="N853" s="1358">
        <v>3000000</v>
      </c>
      <c r="O853" s="1357">
        <v>42076</v>
      </c>
      <c r="P853" s="1358">
        <v>3000000</v>
      </c>
      <c r="Q853" s="1357">
        <v>42384</v>
      </c>
      <c r="R853" s="1358">
        <v>3000000</v>
      </c>
      <c r="S853" s="1383">
        <v>42660</v>
      </c>
      <c r="T853" s="1358">
        <v>3000000</v>
      </c>
      <c r="U853" s="1357">
        <v>42660</v>
      </c>
      <c r="V853" s="1465" t="s">
        <v>276</v>
      </c>
      <c r="W853" s="1357">
        <v>42693</v>
      </c>
      <c r="X853" s="1645"/>
      <c r="Y853" s="1367"/>
      <c r="Z853" s="1430"/>
      <c r="AA853" s="1360"/>
      <c r="AB853" s="1358">
        <v>1000000</v>
      </c>
      <c r="AC853" s="1383">
        <v>42660</v>
      </c>
      <c r="AD853" s="1611" t="s">
        <v>1233</v>
      </c>
      <c r="AE853" s="1612"/>
      <c r="AF853" s="1613"/>
      <c r="AG853" s="1612"/>
      <c r="AH853" s="1625" t="str">
        <f t="shared" si="223"/>
        <v>ES</v>
      </c>
      <c r="AI853" s="1675">
        <f t="shared" si="230"/>
        <v>17250000</v>
      </c>
      <c r="AJ853" s="1675">
        <f t="shared" si="231"/>
        <v>17250000</v>
      </c>
      <c r="AK853" s="1520">
        <f t="shared" si="232"/>
        <v>0</v>
      </c>
      <c r="AL853" s="1426" t="str">
        <f t="shared" si="233"/>
        <v>Lunas</v>
      </c>
      <c r="AM853" s="1410"/>
      <c r="AN853" s="1411"/>
      <c r="AO853" s="1410"/>
      <c r="AP853" s="1411"/>
      <c r="AQ853" s="1128"/>
      <c r="AR853" s="1173"/>
      <c r="AT853" s="1173"/>
      <c r="AV853" s="1173"/>
      <c r="AX853" s="1173"/>
      <c r="AY853" s="1176"/>
      <c r="AZ853" s="1173"/>
    </row>
    <row r="854" spans="1:52" s="2" customFormat="1" x14ac:dyDescent="0.25">
      <c r="A854" s="156">
        <v>796</v>
      </c>
      <c r="B854" s="157">
        <v>4</v>
      </c>
      <c r="C854" s="159">
        <v>839214004</v>
      </c>
      <c r="D854" s="158" t="s">
        <v>1310</v>
      </c>
      <c r="E854" s="160" t="s">
        <v>1195</v>
      </c>
      <c r="F854" s="161">
        <v>2014</v>
      </c>
      <c r="G854" s="162" t="s">
        <v>33</v>
      </c>
      <c r="H854" s="163">
        <f t="shared" si="228"/>
        <v>42693</v>
      </c>
      <c r="I854" s="163">
        <f t="shared" si="229"/>
        <v>42693</v>
      </c>
      <c r="J854" s="1356">
        <v>1250000</v>
      </c>
      <c r="K854" s="1357">
        <v>41859</v>
      </c>
      <c r="L854" s="1358">
        <v>3000000</v>
      </c>
      <c r="M854" s="1357">
        <v>41859</v>
      </c>
      <c r="N854" s="1358">
        <v>3000000</v>
      </c>
      <c r="O854" s="1357">
        <v>42075</v>
      </c>
      <c r="P854" s="1358">
        <v>3000000</v>
      </c>
      <c r="Q854" s="1357">
        <v>42223</v>
      </c>
      <c r="R854" s="1358">
        <v>3000000</v>
      </c>
      <c r="S854" s="1383">
        <v>42397</v>
      </c>
      <c r="T854" s="1382" t="s">
        <v>276</v>
      </c>
      <c r="U854" s="1383">
        <v>42693</v>
      </c>
      <c r="V854" s="1646"/>
      <c r="W854" s="1360"/>
      <c r="X854" s="1430"/>
      <c r="Y854" s="1360"/>
      <c r="Z854" s="1430"/>
      <c r="AA854" s="1360"/>
      <c r="AB854" s="1358">
        <v>1000000</v>
      </c>
      <c r="AC854" s="1383">
        <v>42535</v>
      </c>
      <c r="AD854" s="1611" t="s">
        <v>1233</v>
      </c>
      <c r="AE854" s="1612"/>
      <c r="AF854" s="1613"/>
      <c r="AG854" s="1612"/>
      <c r="AH854" s="1625" t="str">
        <f t="shared" si="223"/>
        <v>ES</v>
      </c>
      <c r="AI854" s="1675">
        <f t="shared" si="230"/>
        <v>14250000</v>
      </c>
      <c r="AJ854" s="1675">
        <f t="shared" si="231"/>
        <v>14250000</v>
      </c>
      <c r="AK854" s="1520">
        <f t="shared" si="232"/>
        <v>0</v>
      </c>
      <c r="AL854" s="1426" t="str">
        <f t="shared" si="233"/>
        <v>Lunas</v>
      </c>
      <c r="AM854" s="1410"/>
      <c r="AN854" s="1411"/>
      <c r="AO854" s="1410"/>
      <c r="AP854" s="1411"/>
      <c r="AQ854" s="1128"/>
      <c r="AR854" s="1173"/>
      <c r="AT854" s="1173"/>
      <c r="AV854" s="1173"/>
      <c r="AX854" s="1173"/>
      <c r="AY854" s="1176"/>
      <c r="AZ854" s="1173"/>
    </row>
    <row r="855" spans="1:52" s="2" customFormat="1" x14ac:dyDescent="0.25">
      <c r="A855" s="234">
        <v>797</v>
      </c>
      <c r="B855" s="235">
        <v>5</v>
      </c>
      <c r="C855" s="236">
        <v>839214005</v>
      </c>
      <c r="D855" s="233" t="s">
        <v>1311</v>
      </c>
      <c r="E855" s="237" t="s">
        <v>1195</v>
      </c>
      <c r="F855" s="238">
        <v>2014</v>
      </c>
      <c r="G855" s="214" t="s">
        <v>1077</v>
      </c>
      <c r="H855" s="239" t="str">
        <f t="shared" si="228"/>
        <v xml:space="preserve">   </v>
      </c>
      <c r="I855" s="239" t="str">
        <f t="shared" si="229"/>
        <v xml:space="preserve">   </v>
      </c>
      <c r="J855" s="1453">
        <v>1250000</v>
      </c>
      <c r="K855" s="1454">
        <v>41856</v>
      </c>
      <c r="L855" s="1455">
        <v>3000000</v>
      </c>
      <c r="M855" s="1454">
        <v>41856</v>
      </c>
      <c r="N855" s="1521" t="s">
        <v>1162</v>
      </c>
      <c r="O855" s="1523"/>
      <c r="P855" s="1630"/>
      <c r="Q855" s="1523"/>
      <c r="R855" s="1630"/>
      <c r="S855" s="1640"/>
      <c r="T855" s="1647"/>
      <c r="U855" s="1523"/>
      <c r="V855" s="1647"/>
      <c r="W855" s="1523"/>
      <c r="X855" s="1359"/>
      <c r="Y855" s="1523"/>
      <c r="Z855" s="1359"/>
      <c r="AA855" s="1523"/>
      <c r="AB855" s="1647"/>
      <c r="AC855" s="1640"/>
      <c r="AD855" s="1611" t="s">
        <v>1233</v>
      </c>
      <c r="AE855" s="1612"/>
      <c r="AF855" s="1613"/>
      <c r="AG855" s="1612"/>
      <c r="AH855" s="1625" t="str">
        <f t="shared" si="223"/>
        <v>ES</v>
      </c>
      <c r="AI855" s="1427">
        <f t="shared" si="230"/>
        <v>4250000</v>
      </c>
      <c r="AJ855" s="1427">
        <f t="shared" si="231"/>
        <v>4250000</v>
      </c>
      <c r="AK855" s="1427">
        <f t="shared" si="232"/>
        <v>0</v>
      </c>
      <c r="AL855" s="1428" t="s">
        <v>1077</v>
      </c>
      <c r="AM855" s="1410"/>
      <c r="AN855" s="1411"/>
      <c r="AO855" s="1410"/>
      <c r="AP855" s="1411"/>
      <c r="AQ855" s="1128"/>
      <c r="AR855" s="1173"/>
      <c r="AT855" s="1173"/>
      <c r="AV855" s="1173"/>
      <c r="AX855" s="1173"/>
      <c r="AY855" s="1176"/>
      <c r="AZ855" s="1173"/>
    </row>
    <row r="856" spans="1:52" s="2" customFormat="1" x14ac:dyDescent="0.25">
      <c r="A856" s="156">
        <v>798</v>
      </c>
      <c r="B856" s="157">
        <v>6</v>
      </c>
      <c r="C856" s="159">
        <v>839214006</v>
      </c>
      <c r="D856" s="158" t="s">
        <v>1312</v>
      </c>
      <c r="E856" s="160" t="s">
        <v>1195</v>
      </c>
      <c r="F856" s="161">
        <v>2014</v>
      </c>
      <c r="G856" s="162" t="s">
        <v>33</v>
      </c>
      <c r="H856" s="163">
        <f t="shared" si="228"/>
        <v>42829</v>
      </c>
      <c r="I856" s="163">
        <f t="shared" si="229"/>
        <v>42861</v>
      </c>
      <c r="J856" s="1356">
        <v>1250000</v>
      </c>
      <c r="K856" s="1357">
        <v>41855</v>
      </c>
      <c r="L856" s="1358">
        <v>3000000</v>
      </c>
      <c r="M856" s="1357">
        <v>41855</v>
      </c>
      <c r="N856" s="1358">
        <v>3000000</v>
      </c>
      <c r="O856" s="1357">
        <v>42128</v>
      </c>
      <c r="P856" s="1358">
        <v>3000000</v>
      </c>
      <c r="Q856" s="1357">
        <v>42249</v>
      </c>
      <c r="R856" s="1358">
        <v>3000000</v>
      </c>
      <c r="S856" s="1383">
        <v>42713</v>
      </c>
      <c r="T856" s="1358">
        <v>3000000</v>
      </c>
      <c r="U856" s="1357">
        <v>42807</v>
      </c>
      <c r="V856" s="1358">
        <v>3000000</v>
      </c>
      <c r="W856" s="1357">
        <v>42807</v>
      </c>
      <c r="X856" s="1465" t="s">
        <v>276</v>
      </c>
      <c r="Y856" s="1360"/>
      <c r="Z856" s="1430"/>
      <c r="AA856" s="1360"/>
      <c r="AB856" s="1358">
        <v>1000000</v>
      </c>
      <c r="AC856" s="1383">
        <v>42807</v>
      </c>
      <c r="AD856" s="1611" t="s">
        <v>1233</v>
      </c>
      <c r="AE856" s="1612"/>
      <c r="AF856" s="1613"/>
      <c r="AG856" s="1612"/>
      <c r="AH856" s="1625" t="str">
        <f t="shared" si="223"/>
        <v>ES</v>
      </c>
      <c r="AI856" s="1675">
        <f t="shared" si="230"/>
        <v>20250000</v>
      </c>
      <c r="AJ856" s="1675">
        <f t="shared" si="231"/>
        <v>20250000</v>
      </c>
      <c r="AK856" s="1520">
        <f t="shared" si="232"/>
        <v>0</v>
      </c>
      <c r="AL856" s="1426" t="str">
        <f t="shared" si="233"/>
        <v>Lunas</v>
      </c>
      <c r="AM856" s="1410"/>
      <c r="AN856" s="1411"/>
      <c r="AO856" s="1410"/>
      <c r="AP856" s="1411"/>
      <c r="AQ856" s="1128"/>
      <c r="AR856" s="1173"/>
      <c r="AT856" s="1173"/>
      <c r="AV856" s="1173"/>
      <c r="AX856" s="1173"/>
      <c r="AY856" s="1176"/>
      <c r="AZ856" s="1173"/>
    </row>
    <row r="857" spans="1:52" s="2" customFormat="1" x14ac:dyDescent="0.25">
      <c r="A857" s="156">
        <v>799</v>
      </c>
      <c r="B857" s="157">
        <v>7</v>
      </c>
      <c r="C857" s="159">
        <v>839214007</v>
      </c>
      <c r="D857" s="158" t="s">
        <v>1313</v>
      </c>
      <c r="E857" s="160" t="s">
        <v>1195</v>
      </c>
      <c r="F857" s="161">
        <v>2014</v>
      </c>
      <c r="G857" s="162" t="s">
        <v>33</v>
      </c>
      <c r="H857" s="163">
        <f t="shared" si="228"/>
        <v>42661</v>
      </c>
      <c r="I857" s="163">
        <f t="shared" si="229"/>
        <v>42861</v>
      </c>
      <c r="J857" s="1356">
        <v>1250000</v>
      </c>
      <c r="K857" s="1357">
        <v>41857</v>
      </c>
      <c r="L857" s="1358">
        <v>3000000</v>
      </c>
      <c r="M857" s="1357">
        <v>41857</v>
      </c>
      <c r="N857" s="1358">
        <v>3000000</v>
      </c>
      <c r="O857" s="1357">
        <v>42061</v>
      </c>
      <c r="P857" s="1358">
        <v>3000000</v>
      </c>
      <c r="Q857" s="1357">
        <v>42250</v>
      </c>
      <c r="R857" s="1358">
        <v>3000000</v>
      </c>
      <c r="S857" s="1383">
        <v>42608</v>
      </c>
      <c r="T857" s="1358">
        <v>3000000</v>
      </c>
      <c r="U857" s="1357">
        <v>42647</v>
      </c>
      <c r="V857" s="1465" t="s">
        <v>276</v>
      </c>
      <c r="W857" s="1474"/>
      <c r="X857" s="1389"/>
      <c r="Y857" s="1360"/>
      <c r="Z857" s="1430"/>
      <c r="AA857" s="1360"/>
      <c r="AB857" s="1358">
        <v>1000000</v>
      </c>
      <c r="AC857" s="1383">
        <v>42647</v>
      </c>
      <c r="AD857" s="1611" t="s">
        <v>1233</v>
      </c>
      <c r="AE857" s="1612"/>
      <c r="AF857" s="1613"/>
      <c r="AG857" s="1612"/>
      <c r="AH857" s="1625" t="str">
        <f t="shared" si="223"/>
        <v>ES</v>
      </c>
      <c r="AI857" s="1675">
        <f t="shared" si="230"/>
        <v>17250000</v>
      </c>
      <c r="AJ857" s="1675">
        <f t="shared" si="231"/>
        <v>17250000</v>
      </c>
      <c r="AK857" s="1520">
        <f t="shared" si="232"/>
        <v>0</v>
      </c>
      <c r="AL857" s="1426" t="str">
        <f t="shared" si="233"/>
        <v>Lunas</v>
      </c>
      <c r="AM857" s="1410"/>
      <c r="AN857" s="1411"/>
      <c r="AO857" s="1410"/>
      <c r="AP857" s="1411"/>
      <c r="AQ857" s="1128"/>
      <c r="AR857" s="1173"/>
      <c r="AT857" s="1173"/>
      <c r="AV857" s="1173"/>
      <c r="AX857" s="1173"/>
      <c r="AY857" s="1176"/>
      <c r="AZ857" s="1173"/>
    </row>
    <row r="858" spans="1:52" s="2" customFormat="1" x14ac:dyDescent="0.25">
      <c r="A858" s="156">
        <v>800</v>
      </c>
      <c r="B858" s="157">
        <v>8</v>
      </c>
      <c r="C858" s="159">
        <v>839214008</v>
      </c>
      <c r="D858" s="158" t="s">
        <v>1314</v>
      </c>
      <c r="E858" s="160" t="s">
        <v>1195</v>
      </c>
      <c r="F858" s="161">
        <v>2014</v>
      </c>
      <c r="G858" s="162" t="s">
        <v>33</v>
      </c>
      <c r="H858" s="163">
        <f t="shared" si="228"/>
        <v>42693</v>
      </c>
      <c r="I858" s="163">
        <f t="shared" si="229"/>
        <v>42693</v>
      </c>
      <c r="J858" s="1356">
        <v>1250000</v>
      </c>
      <c r="K858" s="1357">
        <v>41859</v>
      </c>
      <c r="L858" s="1358">
        <v>3000000</v>
      </c>
      <c r="M858" s="1357">
        <v>41859</v>
      </c>
      <c r="N858" s="1358">
        <v>3000000</v>
      </c>
      <c r="O858" s="1357">
        <v>42058</v>
      </c>
      <c r="P858" s="1358">
        <v>3000000</v>
      </c>
      <c r="Q858" s="1357">
        <v>42292</v>
      </c>
      <c r="R858" s="1358">
        <v>3000000</v>
      </c>
      <c r="S858" s="1383">
        <v>42573</v>
      </c>
      <c r="T858" s="1382" t="s">
        <v>276</v>
      </c>
      <c r="U858" s="1383">
        <v>42693</v>
      </c>
      <c r="V858" s="1363"/>
      <c r="W858" s="1360"/>
      <c r="X858" s="1430"/>
      <c r="Y858" s="1360"/>
      <c r="Z858" s="1430"/>
      <c r="AA858" s="1360"/>
      <c r="AB858" s="1358">
        <v>1000000</v>
      </c>
      <c r="AC858" s="1383">
        <v>42573</v>
      </c>
      <c r="AD858" s="1611" t="s">
        <v>1233</v>
      </c>
      <c r="AE858" s="1612"/>
      <c r="AF858" s="1613"/>
      <c r="AG858" s="1612"/>
      <c r="AH858" s="1625" t="str">
        <f t="shared" si="223"/>
        <v>ES</v>
      </c>
      <c r="AI858" s="1675">
        <f t="shared" si="230"/>
        <v>14250000</v>
      </c>
      <c r="AJ858" s="1675">
        <f t="shared" si="231"/>
        <v>14250000</v>
      </c>
      <c r="AK858" s="1520">
        <f t="shared" si="232"/>
        <v>0</v>
      </c>
      <c r="AL858" s="1426" t="str">
        <f t="shared" si="233"/>
        <v>Lunas</v>
      </c>
      <c r="AM858" s="1410"/>
      <c r="AN858" s="1411"/>
      <c r="AO858" s="1410"/>
      <c r="AP858" s="1411"/>
      <c r="AQ858" s="1128"/>
      <c r="AR858" s="1173"/>
      <c r="AT858" s="1173"/>
      <c r="AV858" s="1173"/>
      <c r="AX858" s="1173"/>
      <c r="AY858" s="1176"/>
      <c r="AZ858" s="1173"/>
    </row>
    <row r="859" spans="1:52" s="2" customFormat="1" x14ac:dyDescent="0.25">
      <c r="A859" s="164">
        <v>801</v>
      </c>
      <c r="B859" s="253">
        <v>9</v>
      </c>
      <c r="C859" s="263">
        <v>839214009</v>
      </c>
      <c r="D859" s="173" t="s">
        <v>1315</v>
      </c>
      <c r="E859" s="264" t="s">
        <v>1195</v>
      </c>
      <c r="F859" s="175">
        <v>2014</v>
      </c>
      <c r="G859" s="214" t="s">
        <v>1077</v>
      </c>
      <c r="H859" s="265" t="str">
        <f t="shared" si="228"/>
        <v xml:space="preserve">   </v>
      </c>
      <c r="I859" s="265" t="str">
        <f t="shared" si="229"/>
        <v xml:space="preserve">   </v>
      </c>
      <c r="J859" s="1366">
        <v>1250000</v>
      </c>
      <c r="K859" s="1367">
        <v>41857</v>
      </c>
      <c r="L859" s="1363">
        <v>3000000</v>
      </c>
      <c r="M859" s="1367">
        <v>41857</v>
      </c>
      <c r="N859" s="1363">
        <v>3000000</v>
      </c>
      <c r="O859" s="1367">
        <v>42076</v>
      </c>
      <c r="P859" s="1631"/>
      <c r="Q859" s="1367"/>
      <c r="R859" s="1631"/>
      <c r="S859" s="1367"/>
      <c r="T859" s="1192" t="s">
        <v>1078</v>
      </c>
      <c r="U859" s="1386">
        <v>42600</v>
      </c>
      <c r="V859" s="1222" t="s">
        <v>1078</v>
      </c>
      <c r="W859" s="1386">
        <v>42766</v>
      </c>
      <c r="X859" s="1430"/>
      <c r="Y859" s="1360"/>
      <c r="Z859" s="1430"/>
      <c r="AA859" s="1360"/>
      <c r="AB859" s="1659"/>
      <c r="AC859" s="1500"/>
      <c r="AD859" s="1611" t="s">
        <v>1233</v>
      </c>
      <c r="AE859" s="1612"/>
      <c r="AF859" s="1613"/>
      <c r="AG859" s="1612"/>
      <c r="AH859" s="1625" t="str">
        <f t="shared" si="223"/>
        <v>ES</v>
      </c>
      <c r="AI859" s="1427">
        <f t="shared" si="230"/>
        <v>7250000</v>
      </c>
      <c r="AJ859" s="1427">
        <f t="shared" si="231"/>
        <v>7250000</v>
      </c>
      <c r="AK859" s="1427">
        <f t="shared" si="232"/>
        <v>0</v>
      </c>
      <c r="AL859" s="1428" t="s">
        <v>1077</v>
      </c>
      <c r="AM859" s="1410"/>
      <c r="AN859" s="1411"/>
      <c r="AO859" s="1410"/>
      <c r="AP859" s="1411"/>
      <c r="AQ859" s="1128"/>
      <c r="AR859" s="1173"/>
      <c r="AT859" s="1173"/>
      <c r="AV859" s="1173"/>
      <c r="AX859" s="1173"/>
      <c r="AY859" s="1176"/>
      <c r="AZ859" s="1173"/>
    </row>
    <row r="860" spans="1:52" s="2" customFormat="1" x14ac:dyDescent="0.25">
      <c r="A860" s="156">
        <v>802</v>
      </c>
      <c r="B860" s="157">
        <v>10</v>
      </c>
      <c r="C860" s="159">
        <v>839214010</v>
      </c>
      <c r="D860" s="158" t="s">
        <v>1316</v>
      </c>
      <c r="E860" s="160" t="s">
        <v>1195</v>
      </c>
      <c r="F860" s="161">
        <v>2014</v>
      </c>
      <c r="G860" s="162" t="s">
        <v>33</v>
      </c>
      <c r="H860" s="163">
        <f t="shared" si="228"/>
        <v>42824</v>
      </c>
      <c r="I860" s="163">
        <f t="shared" si="229"/>
        <v>42861</v>
      </c>
      <c r="J860" s="1356">
        <v>1250000</v>
      </c>
      <c r="K860" s="1357">
        <v>41856</v>
      </c>
      <c r="L860" s="1358">
        <v>3000000</v>
      </c>
      <c r="M860" s="1357">
        <v>41856</v>
      </c>
      <c r="N860" s="1358">
        <v>3000000</v>
      </c>
      <c r="O860" s="1357">
        <v>42066</v>
      </c>
      <c r="P860" s="1358">
        <v>3000000</v>
      </c>
      <c r="Q860" s="1357">
        <v>42243</v>
      </c>
      <c r="R860" s="1358">
        <v>3000000</v>
      </c>
      <c r="S860" s="1383">
        <v>42608</v>
      </c>
      <c r="T860" s="1358">
        <v>3000000</v>
      </c>
      <c r="U860" s="1357">
        <v>42648</v>
      </c>
      <c r="V860" s="1358">
        <v>3000000</v>
      </c>
      <c r="W860" s="1357">
        <v>42807</v>
      </c>
      <c r="X860" s="1465" t="s">
        <v>276</v>
      </c>
      <c r="Y860" s="1360"/>
      <c r="Z860" s="1430"/>
      <c r="AA860" s="1360"/>
      <c r="AB860" s="1430">
        <v>1000000</v>
      </c>
      <c r="AC860" s="1503">
        <v>42807</v>
      </c>
      <c r="AD860" s="1611" t="s">
        <v>1233</v>
      </c>
      <c r="AE860" s="1612"/>
      <c r="AF860" s="1613"/>
      <c r="AG860" s="1612"/>
      <c r="AH860" s="1625" t="str">
        <f t="shared" si="223"/>
        <v>ES</v>
      </c>
      <c r="AI860" s="1675">
        <f t="shared" si="230"/>
        <v>20250000</v>
      </c>
      <c r="AJ860" s="1675">
        <f t="shared" si="231"/>
        <v>20250000</v>
      </c>
      <c r="AK860" s="1520">
        <f t="shared" si="232"/>
        <v>0</v>
      </c>
      <c r="AL860" s="1426" t="str">
        <f t="shared" si="233"/>
        <v>Lunas</v>
      </c>
      <c r="AM860" s="1410"/>
      <c r="AN860" s="1411"/>
      <c r="AO860" s="1410"/>
      <c r="AP860" s="1411"/>
      <c r="AQ860" s="1128"/>
      <c r="AR860" s="1173"/>
      <c r="AT860" s="1173"/>
      <c r="AV860" s="1173"/>
      <c r="AX860" s="1173"/>
      <c r="AY860" s="1176"/>
      <c r="AZ860" s="1173"/>
    </row>
    <row r="861" spans="1:52" s="2" customFormat="1" x14ac:dyDescent="0.25">
      <c r="A861" s="156">
        <v>803</v>
      </c>
      <c r="B861" s="157">
        <v>11</v>
      </c>
      <c r="C861" s="159">
        <v>839214011</v>
      </c>
      <c r="D861" s="158" t="s">
        <v>1317</v>
      </c>
      <c r="E861" s="160" t="s">
        <v>1195</v>
      </c>
      <c r="F861" s="161">
        <v>2014</v>
      </c>
      <c r="G861" s="162" t="s">
        <v>33</v>
      </c>
      <c r="H861" s="163">
        <f t="shared" si="228"/>
        <v>42661</v>
      </c>
      <c r="I861" s="163">
        <f t="shared" si="229"/>
        <v>42861</v>
      </c>
      <c r="J861" s="1356">
        <v>1250000</v>
      </c>
      <c r="K861" s="1357">
        <v>41859</v>
      </c>
      <c r="L861" s="1358">
        <v>3000000</v>
      </c>
      <c r="M861" s="1357">
        <v>41859</v>
      </c>
      <c r="N861" s="1358">
        <v>3000000</v>
      </c>
      <c r="O861" s="1357">
        <v>42062</v>
      </c>
      <c r="P861" s="1358">
        <v>3000000</v>
      </c>
      <c r="Q861" s="1357">
        <v>42240</v>
      </c>
      <c r="R861" s="1356">
        <v>3000000</v>
      </c>
      <c r="S861" s="1383">
        <v>42648</v>
      </c>
      <c r="T861" s="1356">
        <v>3000000</v>
      </c>
      <c r="U861" s="1357"/>
      <c r="V861" s="1472"/>
      <c r="W861" s="1497" t="s">
        <v>276</v>
      </c>
      <c r="X861" s="1430"/>
      <c r="Y861" s="1360"/>
      <c r="Z861" s="1430"/>
      <c r="AA861" s="1360"/>
      <c r="AB861" s="1366">
        <v>1000000</v>
      </c>
      <c r="AC861" s="1500">
        <v>42648</v>
      </c>
      <c r="AD861" s="1611" t="s">
        <v>1233</v>
      </c>
      <c r="AE861" s="1612"/>
      <c r="AF861" s="1613"/>
      <c r="AG861" s="1612"/>
      <c r="AH861" s="1625" t="str">
        <f t="shared" si="223"/>
        <v>ES</v>
      </c>
      <c r="AI861" s="1675">
        <f t="shared" si="230"/>
        <v>17250000</v>
      </c>
      <c r="AJ861" s="1675">
        <f t="shared" si="231"/>
        <v>17250000</v>
      </c>
      <c r="AK861" s="1520">
        <f t="shared" si="232"/>
        <v>0</v>
      </c>
      <c r="AL861" s="1426" t="str">
        <f t="shared" si="233"/>
        <v>Lunas</v>
      </c>
      <c r="AM861" s="1410"/>
      <c r="AN861" s="1411"/>
      <c r="AO861" s="1410"/>
      <c r="AP861" s="1411"/>
      <c r="AQ861" s="1128"/>
      <c r="AR861" s="1173"/>
      <c r="AT861" s="1173"/>
      <c r="AV861" s="1173"/>
      <c r="AX861" s="1173"/>
      <c r="AY861" s="1176"/>
      <c r="AZ861" s="1173"/>
    </row>
    <row r="862" spans="1:52" s="2" customFormat="1" x14ac:dyDescent="0.25">
      <c r="A862" s="156">
        <v>804</v>
      </c>
      <c r="B862" s="157">
        <v>12</v>
      </c>
      <c r="C862" s="159">
        <v>839214012</v>
      </c>
      <c r="D862" s="158" t="s">
        <v>1318</v>
      </c>
      <c r="E862" s="179" t="s">
        <v>1195</v>
      </c>
      <c r="F862" s="161">
        <v>2014</v>
      </c>
      <c r="G862" s="162" t="s">
        <v>33</v>
      </c>
      <c r="H862" s="163">
        <f t="shared" si="228"/>
        <v>43299</v>
      </c>
      <c r="I862" s="163">
        <f t="shared" si="229"/>
        <v>43351</v>
      </c>
      <c r="J862" s="1356">
        <v>1250000</v>
      </c>
      <c r="K862" s="1357">
        <v>41841</v>
      </c>
      <c r="L862" s="1358">
        <v>3000000</v>
      </c>
      <c r="M862" s="1357">
        <v>41841</v>
      </c>
      <c r="N862" s="1358">
        <v>3000000</v>
      </c>
      <c r="O862" s="1357">
        <v>42044</v>
      </c>
      <c r="P862" s="1358">
        <v>3000000</v>
      </c>
      <c r="Q862" s="1357">
        <v>42244</v>
      </c>
      <c r="R862" s="1358">
        <v>3000000</v>
      </c>
      <c r="S862" s="1383">
        <v>42401</v>
      </c>
      <c r="T862" s="1358">
        <v>3000000</v>
      </c>
      <c r="U862" s="1357">
        <v>43283</v>
      </c>
      <c r="V862" s="1222" t="s">
        <v>1078</v>
      </c>
      <c r="W862" s="1386">
        <v>42766</v>
      </c>
      <c r="X862" s="1222" t="s">
        <v>1078</v>
      </c>
      <c r="Y862" s="1386">
        <v>42940</v>
      </c>
      <c r="Z862" s="1358">
        <v>3000000</v>
      </c>
      <c r="AA862" s="1357">
        <v>43314</v>
      </c>
      <c r="AB862" s="1356">
        <v>1000000</v>
      </c>
      <c r="AC862" s="1383">
        <v>43283</v>
      </c>
      <c r="AD862" s="1611" t="s">
        <v>1233</v>
      </c>
      <c r="AE862" s="1612"/>
      <c r="AF862" s="1613"/>
      <c r="AG862" s="1612"/>
      <c r="AH862" s="1625" t="str">
        <f t="shared" si="223"/>
        <v>ES</v>
      </c>
      <c r="AI862" s="1675">
        <f t="shared" si="230"/>
        <v>20250000</v>
      </c>
      <c r="AJ862" s="1675">
        <f t="shared" si="231"/>
        <v>20250000</v>
      </c>
      <c r="AK862" s="1520">
        <f t="shared" si="232"/>
        <v>0</v>
      </c>
      <c r="AL862" s="1426" t="str">
        <f t="shared" si="233"/>
        <v>Lunas</v>
      </c>
      <c r="AM862" s="1410"/>
      <c r="AN862" s="1411"/>
      <c r="AO862" s="1410"/>
      <c r="AP862" s="1411"/>
      <c r="AQ862" s="1128"/>
      <c r="AR862" s="1173"/>
      <c r="AT862" s="1173"/>
      <c r="AV862" s="1173"/>
      <c r="AX862" s="1173"/>
      <c r="AY862" s="1176"/>
      <c r="AZ862" s="1173"/>
    </row>
    <row r="863" spans="1:52" s="2" customFormat="1" x14ac:dyDescent="0.25">
      <c r="A863" s="164">
        <v>805</v>
      </c>
      <c r="B863" s="253">
        <v>13</v>
      </c>
      <c r="C863" s="263">
        <v>839214013</v>
      </c>
      <c r="D863" s="173" t="s">
        <v>1319</v>
      </c>
      <c r="E863" s="264" t="s">
        <v>1195</v>
      </c>
      <c r="F863" s="175">
        <v>2014</v>
      </c>
      <c r="G863" s="214" t="s">
        <v>1077</v>
      </c>
      <c r="H863" s="265" t="str">
        <f t="shared" si="228"/>
        <v xml:space="preserve">   </v>
      </c>
      <c r="I863" s="265" t="str">
        <f t="shared" si="229"/>
        <v xml:space="preserve">   </v>
      </c>
      <c r="J863" s="1366">
        <v>1250000</v>
      </c>
      <c r="K863" s="1367">
        <v>41858</v>
      </c>
      <c r="L863" s="1363">
        <v>3000000</v>
      </c>
      <c r="M863" s="1367">
        <v>41858</v>
      </c>
      <c r="N863" s="1363">
        <v>3000000</v>
      </c>
      <c r="O863" s="1367">
        <v>42319</v>
      </c>
      <c r="P863" s="1631">
        <v>2000000</v>
      </c>
      <c r="Q863" s="1367">
        <v>42319</v>
      </c>
      <c r="R863" s="1631"/>
      <c r="S863" s="1503"/>
      <c r="T863" s="1363"/>
      <c r="U863" s="1367"/>
      <c r="V863" s="1631"/>
      <c r="W863" s="1360"/>
      <c r="X863" s="1430"/>
      <c r="Y863" s="1360"/>
      <c r="Z863" s="1430"/>
      <c r="AA863" s="1360"/>
      <c r="AB863" s="1659"/>
      <c r="AC863" s="1500"/>
      <c r="AD863" s="1611" t="s">
        <v>1233</v>
      </c>
      <c r="AE863" s="1612"/>
      <c r="AF863" s="1613"/>
      <c r="AG863" s="1612"/>
      <c r="AH863" s="1625" t="str">
        <f t="shared" si="223"/>
        <v>ES</v>
      </c>
      <c r="AI863" s="1427">
        <f t="shared" si="230"/>
        <v>9250000</v>
      </c>
      <c r="AJ863" s="1427">
        <f t="shared" si="231"/>
        <v>10250000</v>
      </c>
      <c r="AK863" s="1427">
        <f>(AJ863-AI863)-1000000</f>
        <v>0</v>
      </c>
      <c r="AL863" s="1428" t="s">
        <v>1077</v>
      </c>
      <c r="AM863" s="1410"/>
      <c r="AN863" s="1411"/>
      <c r="AO863" s="1410"/>
      <c r="AP863" s="1411"/>
      <c r="AQ863" s="1128"/>
      <c r="AR863" s="1173"/>
      <c r="AT863" s="1173"/>
      <c r="AV863" s="1173"/>
      <c r="AX863" s="1173"/>
      <c r="AY863" s="1176"/>
      <c r="AZ863" s="1173"/>
    </row>
    <row r="864" spans="1:52" s="2" customFormat="1" x14ac:dyDescent="0.25">
      <c r="A864" s="156">
        <v>806</v>
      </c>
      <c r="B864" s="157">
        <v>14</v>
      </c>
      <c r="C864" s="159">
        <v>839214014</v>
      </c>
      <c r="D864" s="158" t="s">
        <v>1320</v>
      </c>
      <c r="E864" s="160" t="s">
        <v>1195</v>
      </c>
      <c r="F864" s="161">
        <v>2014</v>
      </c>
      <c r="G864" s="162" t="s">
        <v>33</v>
      </c>
      <c r="H864" s="163">
        <f t="shared" si="228"/>
        <v>42693</v>
      </c>
      <c r="I864" s="163">
        <f t="shared" si="229"/>
        <v>42693</v>
      </c>
      <c r="J864" s="1356">
        <v>1250000</v>
      </c>
      <c r="K864" s="1357">
        <v>41866</v>
      </c>
      <c r="L864" s="1358">
        <v>3000000</v>
      </c>
      <c r="M864" s="1357">
        <v>41866</v>
      </c>
      <c r="N864" s="1358">
        <v>3000000</v>
      </c>
      <c r="O864" s="1357">
        <v>42075</v>
      </c>
      <c r="P864" s="1358">
        <v>3000000</v>
      </c>
      <c r="Q864" s="1357">
        <v>42240</v>
      </c>
      <c r="R864" s="1358">
        <v>3000000</v>
      </c>
      <c r="S864" s="1383">
        <v>42398</v>
      </c>
      <c r="T864" s="1358">
        <v>3000000</v>
      </c>
      <c r="U864" s="1357">
        <v>42586</v>
      </c>
      <c r="V864" s="1366"/>
      <c r="W864" s="1367">
        <v>42693</v>
      </c>
      <c r="X864" s="1430"/>
      <c r="Y864" s="1497" t="s">
        <v>276</v>
      </c>
      <c r="Z864" s="1430"/>
      <c r="AA864" s="1360"/>
      <c r="AB864" s="1358">
        <v>1000000</v>
      </c>
      <c r="AC864" s="1383">
        <v>42398</v>
      </c>
      <c r="AD864" s="1611" t="s">
        <v>1233</v>
      </c>
      <c r="AE864" s="1612"/>
      <c r="AF864" s="1613"/>
      <c r="AG864" s="1612"/>
      <c r="AH864" s="1625" t="str">
        <f t="shared" si="223"/>
        <v>ES</v>
      </c>
      <c r="AI864" s="1675">
        <f t="shared" si="230"/>
        <v>17250000</v>
      </c>
      <c r="AJ864" s="1675">
        <f t="shared" si="231"/>
        <v>17250000</v>
      </c>
      <c r="AK864" s="1520">
        <f t="shared" si="232"/>
        <v>0</v>
      </c>
      <c r="AL864" s="1426" t="str">
        <f t="shared" si="233"/>
        <v>Lunas</v>
      </c>
      <c r="AM864" s="1410"/>
      <c r="AN864" s="1411"/>
      <c r="AO864" s="1410"/>
      <c r="AP864" s="1411"/>
      <c r="AQ864" s="1128"/>
      <c r="AR864" s="1173"/>
      <c r="AT864" s="1173"/>
      <c r="AV864" s="1173"/>
      <c r="AX864" s="1173"/>
      <c r="AY864" s="1176"/>
      <c r="AZ864" s="1173"/>
    </row>
    <row r="865" spans="1:52" s="2" customFormat="1" x14ac:dyDescent="0.25">
      <c r="A865" s="180">
        <v>807</v>
      </c>
      <c r="B865" s="181">
        <v>15</v>
      </c>
      <c r="C865" s="183">
        <v>839214015</v>
      </c>
      <c r="D865" s="182" t="s">
        <v>1321</v>
      </c>
      <c r="E865" s="184" t="s">
        <v>1195</v>
      </c>
      <c r="F865" s="185">
        <v>2014</v>
      </c>
      <c r="G865" s="186" t="s">
        <v>33</v>
      </c>
      <c r="H865" s="284">
        <f t="shared" si="228"/>
        <v>42693</v>
      </c>
      <c r="I865" s="284">
        <f t="shared" si="229"/>
        <v>42693</v>
      </c>
      <c r="J865" s="1527">
        <v>1250000</v>
      </c>
      <c r="K865" s="1435">
        <v>41866</v>
      </c>
      <c r="L865" s="1434">
        <v>3000000</v>
      </c>
      <c r="M865" s="1435">
        <v>41866</v>
      </c>
      <c r="N865" s="1434">
        <v>3000000</v>
      </c>
      <c r="O865" s="1435">
        <v>42068</v>
      </c>
      <c r="P865" s="1434">
        <v>3000000</v>
      </c>
      <c r="Q865" s="1435">
        <v>42235</v>
      </c>
      <c r="R865" s="1434">
        <v>3000000</v>
      </c>
      <c r="S865" s="1463">
        <v>42397</v>
      </c>
      <c r="T865" s="1434">
        <v>3000000</v>
      </c>
      <c r="U865" s="1435">
        <v>42586</v>
      </c>
      <c r="V865" s="1444"/>
      <c r="W865" s="1445">
        <v>42693</v>
      </c>
      <c r="X865" s="1448"/>
      <c r="Y865" s="1660" t="s">
        <v>276</v>
      </c>
      <c r="Z865" s="1448"/>
      <c r="AA865" s="1557"/>
      <c r="AB865" s="1434">
        <v>1000000</v>
      </c>
      <c r="AC865" s="1463">
        <v>42586</v>
      </c>
      <c r="AD865" s="1611" t="s">
        <v>1233</v>
      </c>
      <c r="AE865" s="1612"/>
      <c r="AF865" s="1613"/>
      <c r="AG865" s="1612"/>
      <c r="AH865" s="1626" t="str">
        <f t="shared" si="223"/>
        <v>ES</v>
      </c>
      <c r="AI865" s="1676">
        <f t="shared" si="230"/>
        <v>17250000</v>
      </c>
      <c r="AJ865" s="1676">
        <f t="shared" si="231"/>
        <v>17250000</v>
      </c>
      <c r="AK865" s="1578">
        <f t="shared" si="232"/>
        <v>0</v>
      </c>
      <c r="AL865" s="1509" t="str">
        <f t="shared" si="233"/>
        <v>Lunas</v>
      </c>
      <c r="AM865" s="1410"/>
      <c r="AN865" s="1411"/>
      <c r="AO865" s="1410"/>
      <c r="AP865" s="1411"/>
      <c r="AQ865" s="1128"/>
      <c r="AR865" s="1173"/>
      <c r="AT865" s="1173"/>
      <c r="AV865" s="1173"/>
      <c r="AX865" s="1173"/>
      <c r="AY865" s="1176"/>
      <c r="AZ865" s="1173"/>
    </row>
    <row r="866" spans="1:52" s="2" customFormat="1" x14ac:dyDescent="0.25">
      <c r="A866" s="338"/>
      <c r="B866" s="338"/>
      <c r="C866" s="334"/>
      <c r="D866" s="338"/>
      <c r="E866" s="338"/>
      <c r="F866" s="338" t="s">
        <v>61</v>
      </c>
      <c r="G866" s="338"/>
      <c r="H866" s="338"/>
      <c r="I866" s="338"/>
      <c r="J866" s="338"/>
      <c r="K866" s="338"/>
      <c r="L866" s="338"/>
      <c r="M866" s="338"/>
      <c r="N866" s="338"/>
      <c r="O866" s="338"/>
      <c r="P866" s="338"/>
      <c r="Q866" s="338"/>
      <c r="R866" s="338"/>
      <c r="S866" s="338"/>
      <c r="T866" s="338"/>
      <c r="U866" s="338"/>
      <c r="V866" s="338"/>
      <c r="W866" s="338"/>
      <c r="X866" s="338"/>
      <c r="Y866" s="338"/>
      <c r="Z866" s="338"/>
      <c r="AA866" s="338"/>
      <c r="AB866" s="338"/>
      <c r="AC866" s="1661"/>
      <c r="AD866" s="338"/>
      <c r="AE866" s="338"/>
      <c r="AF866" s="338"/>
      <c r="AG866" s="338"/>
      <c r="AH866" s="338"/>
      <c r="AI866" s="338"/>
      <c r="AJ866" s="338"/>
      <c r="AK866" s="338"/>
      <c r="AL866" s="338"/>
      <c r="AM866" s="1410"/>
      <c r="AN866" s="1411"/>
      <c r="AO866" s="1410"/>
      <c r="AP866" s="1411"/>
      <c r="AQ866" s="1128"/>
      <c r="AR866" s="1173"/>
      <c r="AT866" s="1173"/>
      <c r="AV866" s="1173"/>
      <c r="AX866" s="1173"/>
      <c r="AY866" s="1176"/>
      <c r="AZ866" s="1173"/>
    </row>
    <row r="867" spans="1:52" s="4" customFormat="1" x14ac:dyDescent="0.25">
      <c r="A867" s="290" t="s">
        <v>1322</v>
      </c>
      <c r="B867" s="290"/>
      <c r="C867" s="190"/>
      <c r="D867" s="189" t="s">
        <v>1323</v>
      </c>
      <c r="E867" s="191" t="s">
        <v>61</v>
      </c>
      <c r="F867" s="192" t="s">
        <v>61</v>
      </c>
      <c r="G867" s="192" t="s">
        <v>61</v>
      </c>
      <c r="H867" s="193" t="str">
        <f t="shared" ref="H867:H898" si="234">IFERROR(VLOOKUP(C867,Tlus,3,FALSE),"   ")</f>
        <v xml:space="preserve">   </v>
      </c>
      <c r="I867" s="193" t="str">
        <f t="shared" ref="I867:I898" si="235">IFERROR(VLOOKUP(C867,Wis,4,FALSE),"   ")</f>
        <v xml:space="preserve">   </v>
      </c>
      <c r="J867" s="1437"/>
      <c r="K867" s="1436"/>
      <c r="L867" s="1437"/>
      <c r="M867" s="1436"/>
      <c r="N867" s="1632"/>
      <c r="O867" s="1436"/>
      <c r="P867" s="1437"/>
      <c r="Q867" s="1436"/>
      <c r="R867" s="1632"/>
      <c r="S867" s="1464"/>
      <c r="T867" s="1437"/>
      <c r="U867" s="1436"/>
      <c r="V867" s="1437"/>
      <c r="W867" s="1436"/>
      <c r="X867" s="1648"/>
      <c r="Y867" s="1436"/>
      <c r="Z867" s="1648"/>
      <c r="AA867" s="1436"/>
      <c r="AB867" s="1648"/>
      <c r="AC867" s="1436"/>
      <c r="AD867" s="1662"/>
      <c r="AE867" s="1436"/>
      <c r="AF867" s="1662"/>
      <c r="AG867" s="1436"/>
      <c r="AH867" s="1677"/>
      <c r="AI867" s="1589"/>
      <c r="AJ867" s="1409"/>
      <c r="AK867" s="1409"/>
      <c r="AL867" s="1510"/>
      <c r="AM867" s="1510"/>
      <c r="AN867" s="1511"/>
      <c r="AO867" s="1510"/>
      <c r="AP867" s="1511"/>
      <c r="AQ867" s="1215"/>
      <c r="AR867" s="1216"/>
      <c r="AT867" s="1216"/>
      <c r="AV867" s="1216"/>
      <c r="AX867" s="1216"/>
      <c r="AY867" s="1217"/>
      <c r="AZ867" s="1216"/>
    </row>
    <row r="868" spans="1:52" s="2" customFormat="1" x14ac:dyDescent="0.25">
      <c r="A868" s="194" t="s">
        <v>1324</v>
      </c>
      <c r="B868" s="259"/>
      <c r="C868" s="340"/>
      <c r="D868" s="339"/>
      <c r="E868" s="198" t="s">
        <v>1096</v>
      </c>
      <c r="F868" s="199" t="s">
        <v>1096</v>
      </c>
      <c r="G868" s="146">
        <v>3000000</v>
      </c>
      <c r="H868" s="147" t="str">
        <f t="shared" si="234"/>
        <v xml:space="preserve">   </v>
      </c>
      <c r="I868" s="147" t="str">
        <f t="shared" si="235"/>
        <v xml:space="preserve">   </v>
      </c>
      <c r="J868" s="1349">
        <v>1250000</v>
      </c>
      <c r="K868" s="1529"/>
      <c r="L868" s="1582" t="s">
        <v>1049</v>
      </c>
      <c r="M868" s="1502" t="s">
        <v>1058</v>
      </c>
      <c r="N868" s="1582" t="s">
        <v>1051</v>
      </c>
      <c r="O868" s="1502" t="s">
        <v>1060</v>
      </c>
      <c r="P868" s="1582" t="s">
        <v>1053</v>
      </c>
      <c r="Q868" s="1502" t="s">
        <v>1062</v>
      </c>
      <c r="R868" s="1582" t="s">
        <v>1055</v>
      </c>
      <c r="S868" s="1502" t="s">
        <v>1064</v>
      </c>
      <c r="T868" s="1582" t="s">
        <v>1057</v>
      </c>
      <c r="U868" s="1502" t="s">
        <v>1066</v>
      </c>
      <c r="V868" s="1582" t="s">
        <v>1059</v>
      </c>
      <c r="W868" s="1502" t="s">
        <v>1068</v>
      </c>
      <c r="X868" s="1582" t="s">
        <v>1061</v>
      </c>
      <c r="Y868" s="1502" t="s">
        <v>1141</v>
      </c>
      <c r="Z868" s="1582" t="s">
        <v>1063</v>
      </c>
      <c r="AA868" s="1502" t="s">
        <v>1325</v>
      </c>
      <c r="AB868" s="1450">
        <v>1000000</v>
      </c>
      <c r="AC868" s="1663" t="s">
        <v>1326</v>
      </c>
      <c r="AD868" s="1450">
        <v>500000</v>
      </c>
      <c r="AE868" s="1663" t="s">
        <v>22</v>
      </c>
      <c r="AF868" s="1662"/>
      <c r="AG868" s="1436"/>
      <c r="AH868" s="1408"/>
      <c r="AI868" s="1512"/>
      <c r="AJ868" s="1409"/>
      <c r="AK868" s="1409"/>
      <c r="AL868" s="1513"/>
      <c r="AM868" s="1513"/>
      <c r="AN868" s="1514"/>
      <c r="AO868" s="1513"/>
      <c r="AP868" s="1514"/>
      <c r="AQ868" s="1128"/>
      <c r="AR868" s="1173"/>
      <c r="AT868" s="1173"/>
      <c r="AV868" s="1173"/>
      <c r="AX868" s="1173"/>
      <c r="AY868" s="1176"/>
      <c r="AZ868" s="1173"/>
    </row>
    <row r="869" spans="1:52" s="2" customFormat="1" x14ac:dyDescent="0.25">
      <c r="A869" s="200">
        <v>808</v>
      </c>
      <c r="B869" s="341">
        <v>1</v>
      </c>
      <c r="C869" s="151">
        <v>849315001</v>
      </c>
      <c r="D869" s="150" t="s">
        <v>1327</v>
      </c>
      <c r="E869" s="152" t="s">
        <v>1328</v>
      </c>
      <c r="F869" s="153">
        <v>2015</v>
      </c>
      <c r="G869" s="342" t="s">
        <v>33</v>
      </c>
      <c r="H869" s="163">
        <f t="shared" si="234"/>
        <v>43098</v>
      </c>
      <c r="I869" s="163">
        <f t="shared" si="235"/>
        <v>43218</v>
      </c>
      <c r="J869" s="1633">
        <v>1250000</v>
      </c>
      <c r="K869" s="1479">
        <v>42139</v>
      </c>
      <c r="L869" s="1634">
        <v>3000000</v>
      </c>
      <c r="M869" s="1479">
        <v>42139</v>
      </c>
      <c r="N869" s="1634">
        <v>3000000</v>
      </c>
      <c r="O869" s="1479">
        <v>42398</v>
      </c>
      <c r="P869" s="1634">
        <v>3000000</v>
      </c>
      <c r="Q869" s="1479">
        <v>42573</v>
      </c>
      <c r="R869" s="1634">
        <v>3000000</v>
      </c>
      <c r="S869" s="1479">
        <v>42760</v>
      </c>
      <c r="T869" s="1441">
        <v>3000000</v>
      </c>
      <c r="U869" s="1479">
        <v>43089</v>
      </c>
      <c r="V869" s="1649" t="s">
        <v>1080</v>
      </c>
      <c r="W869" s="1650"/>
      <c r="X869" s="1551"/>
      <c r="Y869" s="1664"/>
      <c r="Z869" s="1551"/>
      <c r="AA869" s="1665"/>
      <c r="AB869" s="1385">
        <v>1000000</v>
      </c>
      <c r="AC869" s="1357">
        <v>43089</v>
      </c>
      <c r="AD869" s="1666" t="str">
        <f t="shared" ref="AD869:AD904" si="236">IFERROR(VLOOKUP(C869,BSP,3,FALSE),"  ")</f>
        <v xml:space="preserve">  </v>
      </c>
      <c r="AE869" s="1590" t="str">
        <f t="shared" ref="AE869:AE904" si="237">IFERROR((VLOOKUP(C869,BSP,4,FALSE)),"  ")</f>
        <v xml:space="preserve">  </v>
      </c>
      <c r="AF869" s="2300" t="s">
        <v>1329</v>
      </c>
      <c r="AG869" s="1612"/>
      <c r="AH869" s="1625" t="str">
        <f>E869</f>
        <v>PAI</v>
      </c>
      <c r="AI869" s="1678">
        <f t="shared" ref="AI869" si="238">SUM(J869,L869,N869,P869,R869,T869,V869,X869,Z869,AB869,AD869,AF869)</f>
        <v>17250000</v>
      </c>
      <c r="AJ869" s="1679">
        <f t="shared" ref="AJ869:AJ904" si="239">(COUNT(L869,N869,P869,R869,T869,V869,X869,Z869)*$G$868)+(COUNT(J869)*$J$868)+(COUNT(AB869)*$AB$868)+(COUNT(AD869)*$AD$868)</f>
        <v>17250000</v>
      </c>
      <c r="AK869" s="1419">
        <f t="shared" ref="AK869" si="240">AJ869-AI869</f>
        <v>0</v>
      </c>
      <c r="AL869" s="1420" t="str">
        <f t="shared" ref="AL869" si="241">IF(AK869=0,"Lunas","Cek")</f>
        <v>Lunas</v>
      </c>
      <c r="AM869" s="1410"/>
      <c r="AN869" s="1411"/>
      <c r="AO869" s="1410"/>
      <c r="AP869" s="1411"/>
      <c r="AQ869" s="1128"/>
      <c r="AR869" s="1173"/>
      <c r="AT869" s="1173"/>
      <c r="AV869" s="1173"/>
      <c r="AX869" s="1173"/>
      <c r="AY869" s="1176"/>
      <c r="AZ869" s="1173"/>
    </row>
    <row r="870" spans="1:52" s="2" customFormat="1" x14ac:dyDescent="0.25">
      <c r="A870" s="156">
        <v>809</v>
      </c>
      <c r="B870" s="172">
        <v>2</v>
      </c>
      <c r="C870" s="159">
        <v>849315003</v>
      </c>
      <c r="D870" s="158" t="s">
        <v>1330</v>
      </c>
      <c r="E870" s="160" t="s">
        <v>1328</v>
      </c>
      <c r="F870" s="161">
        <v>2015</v>
      </c>
      <c r="G870" s="162" t="s">
        <v>33</v>
      </c>
      <c r="H870" s="163">
        <f t="shared" si="234"/>
        <v>43031</v>
      </c>
      <c r="I870" s="163">
        <f t="shared" si="235"/>
        <v>43064</v>
      </c>
      <c r="J870" s="1443">
        <v>1250000</v>
      </c>
      <c r="K870" s="1383">
        <v>42142</v>
      </c>
      <c r="L870" s="1385" t="s">
        <v>1331</v>
      </c>
      <c r="M870" s="1383"/>
      <c r="N870" s="1385" t="s">
        <v>1331</v>
      </c>
      <c r="O870" s="1383">
        <v>42403</v>
      </c>
      <c r="P870" s="1443">
        <v>3000000</v>
      </c>
      <c r="Q870" s="1383">
        <v>42573</v>
      </c>
      <c r="R870" s="1385">
        <v>3000000</v>
      </c>
      <c r="S870" s="1383">
        <v>42760</v>
      </c>
      <c r="T870" s="1358">
        <v>3000000</v>
      </c>
      <c r="U870" s="1383">
        <v>43024</v>
      </c>
      <c r="V870" s="1465" t="s">
        <v>1080</v>
      </c>
      <c r="W870" s="1651"/>
      <c r="X870" s="1430"/>
      <c r="Y870" s="1654"/>
      <c r="Z870" s="1430"/>
      <c r="AA870" s="1667"/>
      <c r="AB870" s="1385">
        <v>1000000</v>
      </c>
      <c r="AC870" s="1357">
        <v>43024</v>
      </c>
      <c r="AD870" s="1666" t="str">
        <f t="shared" si="236"/>
        <v xml:space="preserve">  </v>
      </c>
      <c r="AE870" s="1590" t="str">
        <f t="shared" si="237"/>
        <v xml:space="preserve">  </v>
      </c>
      <c r="AF870" s="2300" t="s">
        <v>1329</v>
      </c>
      <c r="AG870" s="1612"/>
      <c r="AH870" s="1625" t="str">
        <f t="shared" ref="AH870:AH904" si="242">E870</f>
        <v>PAI</v>
      </c>
      <c r="AI870" s="1680">
        <f t="shared" ref="AI870:AI894" si="243">SUM(J870,L870,N870,P870,R870,T870,V870,X870,Z870,AB870,AD870,AF870)</f>
        <v>11250000</v>
      </c>
      <c r="AJ870" s="1681">
        <f t="shared" si="239"/>
        <v>11250000</v>
      </c>
      <c r="AK870" s="1682">
        <f t="shared" ref="AK870:AK894" si="244">AJ870-AI870</f>
        <v>0</v>
      </c>
      <c r="AL870" s="1683" t="str">
        <f t="shared" ref="AL870:AL894" si="245">IF(AK870=0,"Lunas","Cek")</f>
        <v>Lunas</v>
      </c>
      <c r="AM870" s="1410"/>
      <c r="AN870" s="1411"/>
      <c r="AO870" s="1410"/>
      <c r="AP870" s="1411"/>
      <c r="AQ870" s="1128"/>
      <c r="AR870" s="1173"/>
      <c r="AT870" s="1173"/>
      <c r="AV870" s="1173"/>
      <c r="AX870" s="1173"/>
      <c r="AY870" s="1176"/>
      <c r="AZ870" s="1173"/>
    </row>
    <row r="871" spans="1:52" s="2" customFormat="1" x14ac:dyDescent="0.25">
      <c r="A871" s="156">
        <v>810</v>
      </c>
      <c r="B871" s="172">
        <v>3</v>
      </c>
      <c r="C871" s="159">
        <v>849315004</v>
      </c>
      <c r="D871" s="158" t="s">
        <v>1332</v>
      </c>
      <c r="E871" s="160" t="s">
        <v>1328</v>
      </c>
      <c r="F871" s="161">
        <v>2015</v>
      </c>
      <c r="G871" s="162" t="s">
        <v>33</v>
      </c>
      <c r="H871" s="163">
        <f t="shared" si="234"/>
        <v>43076</v>
      </c>
      <c r="I871" s="163">
        <f t="shared" si="235"/>
        <v>43218</v>
      </c>
      <c r="J871" s="1443">
        <v>1250000</v>
      </c>
      <c r="K871" s="1383">
        <v>42143</v>
      </c>
      <c r="L871" s="1385">
        <v>3000000</v>
      </c>
      <c r="M871" s="1383">
        <v>42143</v>
      </c>
      <c r="N871" s="1385">
        <v>3000000</v>
      </c>
      <c r="O871" s="1383">
        <v>42397</v>
      </c>
      <c r="P871" s="1385">
        <v>3000000</v>
      </c>
      <c r="Q871" s="1383">
        <v>42572</v>
      </c>
      <c r="R871" s="1385">
        <v>3000000</v>
      </c>
      <c r="S871" s="1383">
        <v>42761</v>
      </c>
      <c r="T871" s="1358">
        <v>3000000</v>
      </c>
      <c r="U871" s="1383">
        <v>43068</v>
      </c>
      <c r="V871" s="1465" t="s">
        <v>1080</v>
      </c>
      <c r="W871" s="1651"/>
      <c r="X871" s="1430"/>
      <c r="Y871" s="1654"/>
      <c r="Z871" s="1430"/>
      <c r="AA871" s="1667"/>
      <c r="AB871" s="1668">
        <v>1000000</v>
      </c>
      <c r="AC871" s="1357"/>
      <c r="AD871" s="1666" t="str">
        <f t="shared" si="236"/>
        <v xml:space="preserve">  </v>
      </c>
      <c r="AE871" s="1590" t="str">
        <f t="shared" si="237"/>
        <v xml:space="preserve">  </v>
      </c>
      <c r="AF871" s="2300" t="s">
        <v>1329</v>
      </c>
      <c r="AG871" s="1612"/>
      <c r="AH871" s="1625" t="str">
        <f t="shared" si="242"/>
        <v>PAI</v>
      </c>
      <c r="AI871" s="1680">
        <f t="shared" si="243"/>
        <v>17250000</v>
      </c>
      <c r="AJ871" s="1681">
        <f t="shared" si="239"/>
        <v>17250000</v>
      </c>
      <c r="AK871" s="1682">
        <f t="shared" si="244"/>
        <v>0</v>
      </c>
      <c r="AL871" s="1683" t="str">
        <f t="shared" si="245"/>
        <v>Lunas</v>
      </c>
      <c r="AM871" s="1410"/>
      <c r="AN871" s="1411"/>
      <c r="AO871" s="1410"/>
      <c r="AP871" s="1411"/>
      <c r="AQ871" s="1128"/>
      <c r="AR871" s="1173"/>
      <c r="AT871" s="1173"/>
      <c r="AV871" s="1173"/>
      <c r="AX871" s="1173"/>
      <c r="AY871" s="1176"/>
      <c r="AZ871" s="1173"/>
    </row>
    <row r="872" spans="1:52" s="2" customFormat="1" x14ac:dyDescent="0.25">
      <c r="A872" s="164">
        <v>811</v>
      </c>
      <c r="B872" s="343">
        <v>4</v>
      </c>
      <c r="C872" s="263">
        <v>849315005</v>
      </c>
      <c r="D872" s="173" t="s">
        <v>1333</v>
      </c>
      <c r="E872" s="264" t="s">
        <v>1328</v>
      </c>
      <c r="F872" s="175">
        <v>2015</v>
      </c>
      <c r="G872" s="214" t="s">
        <v>1077</v>
      </c>
      <c r="H872" s="265" t="str">
        <f t="shared" si="234"/>
        <v xml:space="preserve">   </v>
      </c>
      <c r="I872" s="265" t="str">
        <f t="shared" si="235"/>
        <v xml:space="preserve">   </v>
      </c>
      <c r="J872" s="1635">
        <v>1250000</v>
      </c>
      <c r="K872" s="1500">
        <v>42142</v>
      </c>
      <c r="L872" s="1389">
        <v>3000000</v>
      </c>
      <c r="M872" s="1500">
        <v>42142</v>
      </c>
      <c r="N872" s="1389">
        <v>3000000</v>
      </c>
      <c r="O872" s="1500">
        <v>42402</v>
      </c>
      <c r="P872" s="1635">
        <v>3000000</v>
      </c>
      <c r="Q872" s="1500">
        <v>42573</v>
      </c>
      <c r="R872" s="1389">
        <v>3000000</v>
      </c>
      <c r="S872" s="1500">
        <v>43348</v>
      </c>
      <c r="T872" s="1430">
        <v>3000000</v>
      </c>
      <c r="U872" s="1500">
        <v>43348</v>
      </c>
      <c r="V872" s="1635"/>
      <c r="W872" s="1474"/>
      <c r="X872" s="1430"/>
      <c r="Y872" s="1654"/>
      <c r="Z872" s="1430"/>
      <c r="AA872" s="1667"/>
      <c r="AB872" s="1669"/>
      <c r="AC872" s="1360"/>
      <c r="AD872" s="1666" t="str">
        <f t="shared" si="236"/>
        <v xml:space="preserve">  </v>
      </c>
      <c r="AE872" s="1590" t="str">
        <f t="shared" si="237"/>
        <v xml:space="preserve">  </v>
      </c>
      <c r="AF872" s="2300" t="s">
        <v>1329</v>
      </c>
      <c r="AG872" s="1612"/>
      <c r="AH872" s="1625" t="str">
        <f t="shared" si="242"/>
        <v>PAI</v>
      </c>
      <c r="AI872" s="1684">
        <f t="shared" si="243"/>
        <v>16250000</v>
      </c>
      <c r="AJ872" s="1685">
        <f t="shared" si="239"/>
        <v>16250000</v>
      </c>
      <c r="AK872" s="1686">
        <f t="shared" si="244"/>
        <v>0</v>
      </c>
      <c r="AL872" s="1687" t="s">
        <v>1334</v>
      </c>
      <c r="AM872" s="1410"/>
      <c r="AN872" s="1411"/>
      <c r="AO872" s="1410"/>
      <c r="AP872" s="1411"/>
      <c r="AQ872" s="1128"/>
      <c r="AR872" s="1173"/>
      <c r="AT872" s="1173"/>
      <c r="AV872" s="1173"/>
      <c r="AX872" s="1173"/>
      <c r="AY872" s="1176"/>
      <c r="AZ872" s="1173"/>
    </row>
    <row r="873" spans="1:52" s="2" customFormat="1" x14ac:dyDescent="0.25">
      <c r="A873" s="156">
        <v>812</v>
      </c>
      <c r="B873" s="172">
        <v>5</v>
      </c>
      <c r="C873" s="159">
        <v>849315006</v>
      </c>
      <c r="D873" s="158" t="s">
        <v>1335</v>
      </c>
      <c r="E873" s="160" t="s">
        <v>1328</v>
      </c>
      <c r="F873" s="161">
        <v>2015</v>
      </c>
      <c r="G873" s="342" t="s">
        <v>33</v>
      </c>
      <c r="H873" s="163">
        <f t="shared" si="234"/>
        <v>43117</v>
      </c>
      <c r="I873" s="163">
        <f t="shared" si="235"/>
        <v>43218</v>
      </c>
      <c r="J873" s="1443">
        <v>1250000</v>
      </c>
      <c r="K873" s="1383">
        <v>42143</v>
      </c>
      <c r="L873" s="1385">
        <v>3000000</v>
      </c>
      <c r="M873" s="1383">
        <v>42143</v>
      </c>
      <c r="N873" s="1385">
        <v>3000000</v>
      </c>
      <c r="O873" s="1383">
        <v>42398</v>
      </c>
      <c r="P873" s="1385">
        <v>3000000</v>
      </c>
      <c r="Q873" s="1383">
        <v>42573</v>
      </c>
      <c r="R873" s="1385">
        <v>3000000</v>
      </c>
      <c r="S873" s="1383">
        <v>42762</v>
      </c>
      <c r="T873" s="1358">
        <v>3000000</v>
      </c>
      <c r="U873" s="1383">
        <v>43021</v>
      </c>
      <c r="V873" s="1465" t="s">
        <v>1080</v>
      </c>
      <c r="W873" s="1651"/>
      <c r="X873" s="1430"/>
      <c r="Y873" s="1652"/>
      <c r="Z873" s="1430"/>
      <c r="AA873" s="1667"/>
      <c r="AB873" s="1385">
        <v>1000000</v>
      </c>
      <c r="AC873" s="1357">
        <v>42737</v>
      </c>
      <c r="AD873" s="1666" t="str">
        <f t="shared" si="236"/>
        <v xml:space="preserve">  </v>
      </c>
      <c r="AE873" s="1590" t="str">
        <f t="shared" si="237"/>
        <v xml:space="preserve">  </v>
      </c>
      <c r="AF873" s="2300" t="s">
        <v>1329</v>
      </c>
      <c r="AG873" s="1612"/>
      <c r="AH873" s="1625" t="str">
        <f t="shared" si="242"/>
        <v>PAI</v>
      </c>
      <c r="AI873" s="1680">
        <f t="shared" si="243"/>
        <v>17250000</v>
      </c>
      <c r="AJ873" s="1681">
        <f t="shared" si="239"/>
        <v>17250000</v>
      </c>
      <c r="AK873" s="1682">
        <f t="shared" si="244"/>
        <v>0</v>
      </c>
      <c r="AL873" s="1683" t="str">
        <f t="shared" si="245"/>
        <v>Lunas</v>
      </c>
      <c r="AM873" s="1410"/>
      <c r="AN873" s="1411"/>
      <c r="AO873" s="1410"/>
      <c r="AP873" s="1411"/>
      <c r="AQ873" s="1128"/>
      <c r="AR873" s="1173"/>
      <c r="AT873" s="1173"/>
      <c r="AV873" s="1173"/>
      <c r="AX873" s="1173"/>
      <c r="AY873" s="1176"/>
      <c r="AZ873" s="1173"/>
    </row>
    <row r="874" spans="1:52" s="2" customFormat="1" x14ac:dyDescent="0.25">
      <c r="A874" s="156">
        <v>813</v>
      </c>
      <c r="B874" s="172">
        <v>6</v>
      </c>
      <c r="C874" s="159">
        <v>849315007</v>
      </c>
      <c r="D874" s="158" t="s">
        <v>1336</v>
      </c>
      <c r="E874" s="160" t="s">
        <v>1328</v>
      </c>
      <c r="F874" s="161">
        <v>2015</v>
      </c>
      <c r="G874" s="162" t="s">
        <v>33</v>
      </c>
      <c r="H874" s="163">
        <f t="shared" si="234"/>
        <v>42943</v>
      </c>
      <c r="I874" s="163">
        <f t="shared" si="235"/>
        <v>43064</v>
      </c>
      <c r="J874" s="1443">
        <v>1250000</v>
      </c>
      <c r="K874" s="1383">
        <v>42139</v>
      </c>
      <c r="L874" s="1385">
        <v>3000000</v>
      </c>
      <c r="M874" s="1383">
        <v>42139</v>
      </c>
      <c r="N874" s="1385">
        <v>3000000</v>
      </c>
      <c r="O874" s="1383">
        <v>42394</v>
      </c>
      <c r="P874" s="1385">
        <v>3000000</v>
      </c>
      <c r="Q874" s="1383">
        <v>42572</v>
      </c>
      <c r="R874" s="1385">
        <v>3000000</v>
      </c>
      <c r="S874" s="1383">
        <v>42760</v>
      </c>
      <c r="T874" s="1382" t="s">
        <v>1080</v>
      </c>
      <c r="U874" s="1651"/>
      <c r="V874" s="1430"/>
      <c r="W874" s="1652"/>
      <c r="X874" s="1430"/>
      <c r="Y874" s="1654"/>
      <c r="Z874" s="1430"/>
      <c r="AA874" s="1667"/>
      <c r="AB874" s="1385">
        <v>1000000</v>
      </c>
      <c r="AC874" s="1357">
        <v>42933</v>
      </c>
      <c r="AD874" s="1666" t="str">
        <f t="shared" si="236"/>
        <v xml:space="preserve">  </v>
      </c>
      <c r="AE874" s="1590" t="str">
        <f t="shared" si="237"/>
        <v xml:space="preserve">  </v>
      </c>
      <c r="AF874" s="2300" t="s">
        <v>1329</v>
      </c>
      <c r="AG874" s="1612"/>
      <c r="AH874" s="1625" t="str">
        <f t="shared" si="242"/>
        <v>PAI</v>
      </c>
      <c r="AI874" s="1680">
        <f t="shared" si="243"/>
        <v>14250000</v>
      </c>
      <c r="AJ874" s="1681">
        <f t="shared" si="239"/>
        <v>14250000</v>
      </c>
      <c r="AK874" s="1682">
        <f t="shared" si="244"/>
        <v>0</v>
      </c>
      <c r="AL874" s="1683" t="str">
        <f t="shared" si="245"/>
        <v>Lunas</v>
      </c>
      <c r="AM874" s="1410"/>
      <c r="AN874" s="1411"/>
      <c r="AO874" s="1410"/>
      <c r="AP874" s="1411"/>
      <c r="AQ874" s="1128"/>
      <c r="AR874" s="1173"/>
      <c r="AT874" s="1173"/>
      <c r="AV874" s="1173"/>
      <c r="AX874" s="1173"/>
      <c r="AY874" s="1176"/>
      <c r="AZ874" s="1173"/>
    </row>
    <row r="875" spans="1:52" s="2" customFormat="1" x14ac:dyDescent="0.25">
      <c r="A875" s="156">
        <v>814</v>
      </c>
      <c r="B875" s="172">
        <v>7</v>
      </c>
      <c r="C875" s="159">
        <v>849315008</v>
      </c>
      <c r="D875" s="158" t="s">
        <v>1337</v>
      </c>
      <c r="E875" s="160" t="s">
        <v>1328</v>
      </c>
      <c r="F875" s="161">
        <v>2015</v>
      </c>
      <c r="G875" s="162" t="s">
        <v>33</v>
      </c>
      <c r="H875" s="163">
        <f t="shared" si="234"/>
        <v>43104</v>
      </c>
      <c r="I875" s="163">
        <f t="shared" si="235"/>
        <v>43218</v>
      </c>
      <c r="J875" s="1443">
        <v>1250000</v>
      </c>
      <c r="K875" s="1383">
        <v>42143</v>
      </c>
      <c r="L875" s="1385">
        <v>3000000</v>
      </c>
      <c r="M875" s="1383">
        <v>42143</v>
      </c>
      <c r="N875" s="1385">
        <v>3000000</v>
      </c>
      <c r="O875" s="1383">
        <v>42401</v>
      </c>
      <c r="P875" s="1443">
        <v>3000000</v>
      </c>
      <c r="Q875" s="1383">
        <v>42573</v>
      </c>
      <c r="R875" s="1443">
        <v>3000000</v>
      </c>
      <c r="S875" s="1383">
        <v>42765</v>
      </c>
      <c r="T875" s="1358">
        <v>3000000</v>
      </c>
      <c r="U875" s="1383">
        <v>43007</v>
      </c>
      <c r="V875" s="1465" t="s">
        <v>1080</v>
      </c>
      <c r="W875" s="1651"/>
      <c r="X875" s="1430"/>
      <c r="Y875" s="1654"/>
      <c r="Z875" s="1430"/>
      <c r="AA875" s="1667"/>
      <c r="AB875" s="1385">
        <v>1000000</v>
      </c>
      <c r="AC875" s="1357">
        <v>43091</v>
      </c>
      <c r="AD875" s="1666" t="str">
        <f t="shared" si="236"/>
        <v xml:space="preserve">  </v>
      </c>
      <c r="AE875" s="1590" t="str">
        <f t="shared" si="237"/>
        <v xml:space="preserve">  </v>
      </c>
      <c r="AF875" s="2300" t="s">
        <v>1329</v>
      </c>
      <c r="AG875" s="1612"/>
      <c r="AH875" s="1625" t="str">
        <f t="shared" si="242"/>
        <v>PAI</v>
      </c>
      <c r="AI875" s="1680">
        <f t="shared" si="243"/>
        <v>17250000</v>
      </c>
      <c r="AJ875" s="1681">
        <f t="shared" si="239"/>
        <v>17250000</v>
      </c>
      <c r="AK875" s="1682">
        <f t="shared" si="244"/>
        <v>0</v>
      </c>
      <c r="AL875" s="1683" t="str">
        <f t="shared" si="245"/>
        <v>Lunas</v>
      </c>
      <c r="AM875" s="1410"/>
      <c r="AN875" s="1411"/>
      <c r="AO875" s="1410"/>
      <c r="AP875" s="1411"/>
      <c r="AQ875" s="1128"/>
      <c r="AR875" s="1173"/>
      <c r="AT875" s="1173"/>
      <c r="AV875" s="1173"/>
      <c r="AX875" s="1173"/>
      <c r="AY875" s="1176"/>
      <c r="AZ875" s="1173"/>
    </row>
    <row r="876" spans="1:52" s="2" customFormat="1" x14ac:dyDescent="0.25">
      <c r="A876" s="156">
        <v>815</v>
      </c>
      <c r="B876" s="344">
        <v>8</v>
      </c>
      <c r="C876" s="178">
        <v>849315009</v>
      </c>
      <c r="D876" s="177" t="s">
        <v>1338</v>
      </c>
      <c r="E876" s="160" t="s">
        <v>1328</v>
      </c>
      <c r="F876" s="161">
        <v>2015</v>
      </c>
      <c r="G876" s="272" t="s">
        <v>33</v>
      </c>
      <c r="H876" s="163">
        <f t="shared" si="234"/>
        <v>43454</v>
      </c>
      <c r="I876" s="163">
        <f t="shared" si="235"/>
        <v>43587</v>
      </c>
      <c r="J876" s="1636">
        <v>1250000</v>
      </c>
      <c r="K876" s="1637">
        <v>42142</v>
      </c>
      <c r="L876" s="1480">
        <v>3000000</v>
      </c>
      <c r="M876" s="1637">
        <v>42142</v>
      </c>
      <c r="N876" s="1480">
        <v>3000000</v>
      </c>
      <c r="O876" s="1637">
        <v>42396</v>
      </c>
      <c r="P876" s="1480">
        <v>3000000</v>
      </c>
      <c r="Q876" s="1637">
        <v>42572</v>
      </c>
      <c r="R876" s="1480">
        <v>3000000</v>
      </c>
      <c r="S876" s="1637">
        <v>42761</v>
      </c>
      <c r="T876" s="1192" t="s">
        <v>1078</v>
      </c>
      <c r="U876" s="1466">
        <v>42907</v>
      </c>
      <c r="V876" s="1636">
        <v>3000000</v>
      </c>
      <c r="W876" s="1365">
        <v>43112</v>
      </c>
      <c r="X876" s="1480">
        <v>3000000</v>
      </c>
      <c r="Y876" s="1365">
        <v>43294</v>
      </c>
      <c r="Z876" s="1389"/>
      <c r="AA876" s="1667"/>
      <c r="AB876" s="1480">
        <v>1000000</v>
      </c>
      <c r="AC876" s="1365">
        <v>43112</v>
      </c>
      <c r="AD876" s="1666" t="str">
        <f t="shared" si="236"/>
        <v xml:space="preserve">  </v>
      </c>
      <c r="AE876" s="1590" t="str">
        <f t="shared" si="237"/>
        <v xml:space="preserve">  </v>
      </c>
      <c r="AF876" s="2300" t="s">
        <v>1329</v>
      </c>
      <c r="AG876" s="1612"/>
      <c r="AH876" s="1625" t="str">
        <f t="shared" si="242"/>
        <v>PAI</v>
      </c>
      <c r="AI876" s="1680">
        <f t="shared" si="243"/>
        <v>20250000</v>
      </c>
      <c r="AJ876" s="1681">
        <f t="shared" si="239"/>
        <v>20250000</v>
      </c>
      <c r="AK876" s="1682">
        <f t="shared" si="244"/>
        <v>0</v>
      </c>
      <c r="AL876" s="1683" t="str">
        <f t="shared" si="245"/>
        <v>Lunas</v>
      </c>
      <c r="AM876" s="1410"/>
      <c r="AN876" s="1411"/>
      <c r="AO876" s="1410"/>
      <c r="AP876" s="1411"/>
      <c r="AQ876" s="1128"/>
      <c r="AR876" s="1173"/>
      <c r="AT876" s="1173"/>
      <c r="AV876" s="1173"/>
      <c r="AX876" s="1173"/>
      <c r="AY876" s="1176"/>
      <c r="AZ876" s="1173"/>
    </row>
    <row r="877" spans="1:52" s="2" customFormat="1" x14ac:dyDescent="0.25">
      <c r="A877" s="156">
        <v>816</v>
      </c>
      <c r="B877" s="172">
        <v>9</v>
      </c>
      <c r="C877" s="159">
        <v>849315010</v>
      </c>
      <c r="D877" s="158" t="s">
        <v>1339</v>
      </c>
      <c r="E877" s="160" t="s">
        <v>1328</v>
      </c>
      <c r="F877" s="161">
        <v>2015</v>
      </c>
      <c r="G877" s="162" t="s">
        <v>33</v>
      </c>
      <c r="H877" s="163">
        <f t="shared" si="234"/>
        <v>43104</v>
      </c>
      <c r="I877" s="163">
        <f t="shared" si="235"/>
        <v>43218</v>
      </c>
      <c r="J877" s="1443">
        <v>1250000</v>
      </c>
      <c r="K877" s="1383">
        <v>42142</v>
      </c>
      <c r="L877" s="1385">
        <v>3000000</v>
      </c>
      <c r="M877" s="1383">
        <v>42142</v>
      </c>
      <c r="N877" s="1385">
        <v>3000000</v>
      </c>
      <c r="O877" s="1383">
        <v>42401</v>
      </c>
      <c r="P877" s="1385">
        <v>3000000</v>
      </c>
      <c r="Q877" s="1383">
        <v>42573</v>
      </c>
      <c r="R877" s="1385">
        <v>3000000</v>
      </c>
      <c r="S877" s="1383">
        <v>42760</v>
      </c>
      <c r="T877" s="1358">
        <v>3000000</v>
      </c>
      <c r="U877" s="1383">
        <v>43096</v>
      </c>
      <c r="V877" s="1465" t="s">
        <v>1080</v>
      </c>
      <c r="W877" s="1384"/>
      <c r="X877" s="1430"/>
      <c r="Y877" s="1654"/>
      <c r="Z877" s="1430"/>
      <c r="AA877" s="1667"/>
      <c r="AB877" s="1385">
        <v>1000000</v>
      </c>
      <c r="AC877" s="1357">
        <v>43096</v>
      </c>
      <c r="AD877" s="1666" t="str">
        <f t="shared" si="236"/>
        <v xml:space="preserve">  </v>
      </c>
      <c r="AE877" s="1590" t="str">
        <f t="shared" si="237"/>
        <v xml:space="preserve">  </v>
      </c>
      <c r="AF877" s="2300" t="s">
        <v>1329</v>
      </c>
      <c r="AG877" s="1612"/>
      <c r="AH877" s="1625" t="str">
        <f t="shared" si="242"/>
        <v>PAI</v>
      </c>
      <c r="AI877" s="1680">
        <f t="shared" si="243"/>
        <v>17250000</v>
      </c>
      <c r="AJ877" s="1681">
        <f t="shared" si="239"/>
        <v>17250000</v>
      </c>
      <c r="AK877" s="1682">
        <f t="shared" si="244"/>
        <v>0</v>
      </c>
      <c r="AL877" s="1683" t="str">
        <f t="shared" si="245"/>
        <v>Lunas</v>
      </c>
      <c r="AM877" s="1410"/>
      <c r="AN877" s="1411"/>
      <c r="AO877" s="1410"/>
      <c r="AP877" s="1411"/>
      <c r="AQ877" s="1128"/>
      <c r="AR877" s="1173"/>
      <c r="AT877" s="1173"/>
      <c r="AV877" s="1173"/>
      <c r="AX877" s="1173"/>
      <c r="AY877" s="1176"/>
      <c r="AZ877" s="1173"/>
    </row>
    <row r="878" spans="1:52" s="2" customFormat="1" x14ac:dyDescent="0.25">
      <c r="A878" s="156">
        <v>817</v>
      </c>
      <c r="B878" s="172">
        <v>10</v>
      </c>
      <c r="C878" s="159">
        <v>849315011</v>
      </c>
      <c r="D878" s="158" t="s">
        <v>1340</v>
      </c>
      <c r="E878" s="160" t="s">
        <v>1328</v>
      </c>
      <c r="F878" s="161">
        <v>2015</v>
      </c>
      <c r="G878" s="162" t="s">
        <v>33</v>
      </c>
      <c r="H878" s="163">
        <f t="shared" si="234"/>
        <v>43202</v>
      </c>
      <c r="I878" s="163">
        <f t="shared" si="235"/>
        <v>43440</v>
      </c>
      <c r="J878" s="1443">
        <v>1250000</v>
      </c>
      <c r="K878" s="1383">
        <v>42144</v>
      </c>
      <c r="L878" s="1385">
        <v>3000000</v>
      </c>
      <c r="M878" s="1383">
        <v>42144</v>
      </c>
      <c r="N878" s="1385">
        <v>3000000</v>
      </c>
      <c r="O878" s="1383">
        <v>42401</v>
      </c>
      <c r="P878" s="1385">
        <v>3000000</v>
      </c>
      <c r="Q878" s="1383">
        <v>42573</v>
      </c>
      <c r="R878" s="1385">
        <v>3000000</v>
      </c>
      <c r="S878" s="1383">
        <v>42762</v>
      </c>
      <c r="T878" s="1358">
        <v>3000000</v>
      </c>
      <c r="U878" s="1383">
        <v>43171</v>
      </c>
      <c r="V878" s="1385">
        <v>3000000</v>
      </c>
      <c r="W878" s="1383">
        <v>43171</v>
      </c>
      <c r="X878" s="1465" t="s">
        <v>1080</v>
      </c>
      <c r="Y878" s="1474"/>
      <c r="Z878" s="1430"/>
      <c r="AA878" s="1667"/>
      <c r="AB878" s="1385">
        <v>1000000</v>
      </c>
      <c r="AC878" s="1383">
        <v>43171</v>
      </c>
      <c r="AD878" s="1666" t="str">
        <f t="shared" si="236"/>
        <v xml:space="preserve">  </v>
      </c>
      <c r="AE878" s="1590" t="str">
        <f t="shared" si="237"/>
        <v xml:space="preserve">  </v>
      </c>
      <c r="AF878" s="2300" t="s">
        <v>1329</v>
      </c>
      <c r="AG878" s="1612"/>
      <c r="AH878" s="1625" t="str">
        <f t="shared" si="242"/>
        <v>PAI</v>
      </c>
      <c r="AI878" s="1680">
        <f t="shared" si="243"/>
        <v>20250000</v>
      </c>
      <c r="AJ878" s="1681">
        <f t="shared" si="239"/>
        <v>20250000</v>
      </c>
      <c r="AK878" s="1682">
        <f t="shared" si="244"/>
        <v>0</v>
      </c>
      <c r="AL878" s="1683" t="str">
        <f t="shared" si="245"/>
        <v>Lunas</v>
      </c>
      <c r="AM878" s="1410"/>
      <c r="AN878" s="1411"/>
      <c r="AO878" s="1410"/>
      <c r="AP878" s="1411"/>
      <c r="AQ878" s="1128"/>
      <c r="AR878" s="1173"/>
      <c r="AT878" s="1173"/>
      <c r="AV878" s="1173"/>
      <c r="AX878" s="1173"/>
      <c r="AY878" s="1176"/>
      <c r="AZ878" s="1173"/>
    </row>
    <row r="879" spans="1:52" s="2" customFormat="1" x14ac:dyDescent="0.25">
      <c r="A879" s="164">
        <v>818</v>
      </c>
      <c r="B879" s="345">
        <v>11</v>
      </c>
      <c r="C879" s="174">
        <v>849315012</v>
      </c>
      <c r="D879" s="166" t="s">
        <v>1341</v>
      </c>
      <c r="E879" s="168" t="s">
        <v>1328</v>
      </c>
      <c r="F879" s="169">
        <v>2015</v>
      </c>
      <c r="G879" s="214" t="s">
        <v>1077</v>
      </c>
      <c r="H879" s="265" t="str">
        <f t="shared" si="234"/>
        <v xml:space="preserve">   </v>
      </c>
      <c r="I879" s="265" t="str">
        <f t="shared" si="235"/>
        <v xml:space="preserve">   </v>
      </c>
      <c r="J879" s="1635">
        <v>1250000</v>
      </c>
      <c r="K879" s="1500">
        <v>42143</v>
      </c>
      <c r="L879" s="1389">
        <v>3000000</v>
      </c>
      <c r="M879" s="1500">
        <v>42143</v>
      </c>
      <c r="N879" s="1389">
        <v>3000000</v>
      </c>
      <c r="O879" s="1500">
        <v>42401</v>
      </c>
      <c r="P879" s="1389">
        <v>3000000</v>
      </c>
      <c r="Q879" s="1500">
        <v>42573</v>
      </c>
      <c r="R879" s="1389">
        <v>3000000</v>
      </c>
      <c r="S879" s="1500">
        <v>42760</v>
      </c>
      <c r="T879" s="1359">
        <v>3000000</v>
      </c>
      <c r="U879" s="1523">
        <v>43116</v>
      </c>
      <c r="V879" s="1522">
        <v>3000000</v>
      </c>
      <c r="W879" s="1523">
        <v>43116</v>
      </c>
      <c r="X879" s="1522"/>
      <c r="Y879" s="1670"/>
      <c r="Z879" s="1359"/>
      <c r="AA879" s="1671"/>
      <c r="AB879" s="1672">
        <v>1000000</v>
      </c>
      <c r="AC879" s="1523">
        <v>43116</v>
      </c>
      <c r="AD879" s="1666" t="str">
        <f t="shared" si="236"/>
        <v xml:space="preserve">  </v>
      </c>
      <c r="AE879" s="1590" t="str">
        <f t="shared" si="237"/>
        <v xml:space="preserve">  </v>
      </c>
      <c r="AF879" s="2300" t="s">
        <v>1329</v>
      </c>
      <c r="AG879" s="1612"/>
      <c r="AH879" s="1625" t="str">
        <f t="shared" si="242"/>
        <v>PAI</v>
      </c>
      <c r="AI879" s="1688">
        <f t="shared" si="243"/>
        <v>20250000</v>
      </c>
      <c r="AJ879" s="1685">
        <f t="shared" si="239"/>
        <v>20250000</v>
      </c>
      <c r="AK879" s="1686">
        <f t="shared" si="244"/>
        <v>0</v>
      </c>
      <c r="AL879" s="1687" t="s">
        <v>1334</v>
      </c>
      <c r="AM879" s="1410"/>
      <c r="AN879" s="1411"/>
      <c r="AO879" s="1410"/>
      <c r="AP879" s="1411"/>
      <c r="AQ879" s="1128"/>
      <c r="AR879" s="1173"/>
      <c r="AT879" s="1173"/>
      <c r="AV879" s="1173"/>
      <c r="AX879" s="1173"/>
      <c r="AY879" s="1176"/>
      <c r="AZ879" s="1173"/>
    </row>
    <row r="880" spans="1:52" s="2" customFormat="1" x14ac:dyDescent="0.25">
      <c r="A880" s="156">
        <v>819</v>
      </c>
      <c r="B880" s="172">
        <v>12</v>
      </c>
      <c r="C880" s="159">
        <v>849315013</v>
      </c>
      <c r="D880" s="158" t="s">
        <v>1342</v>
      </c>
      <c r="E880" s="160" t="s">
        <v>1328</v>
      </c>
      <c r="F880" s="161">
        <v>2015</v>
      </c>
      <c r="G880" s="162" t="s">
        <v>33</v>
      </c>
      <c r="H880" s="163">
        <f t="shared" si="234"/>
        <v>43087</v>
      </c>
      <c r="I880" s="163">
        <f t="shared" si="235"/>
        <v>43218</v>
      </c>
      <c r="J880" s="1443">
        <v>1250000</v>
      </c>
      <c r="K880" s="1383">
        <v>42143</v>
      </c>
      <c r="L880" s="1385">
        <v>3000000</v>
      </c>
      <c r="M880" s="1383">
        <v>42143</v>
      </c>
      <c r="N880" s="1385">
        <v>3000000</v>
      </c>
      <c r="O880" s="1383">
        <v>42401</v>
      </c>
      <c r="P880" s="1385">
        <v>3000000</v>
      </c>
      <c r="Q880" s="1383">
        <v>42573</v>
      </c>
      <c r="R880" s="1385">
        <v>3000000</v>
      </c>
      <c r="S880" s="1383">
        <v>42760</v>
      </c>
      <c r="T880" s="1358">
        <v>3000000</v>
      </c>
      <c r="U880" s="1383">
        <v>43080</v>
      </c>
      <c r="V880" s="1465" t="s">
        <v>1080</v>
      </c>
      <c r="W880" s="1474"/>
      <c r="X880" s="1430"/>
      <c r="Y880" s="1654"/>
      <c r="Z880" s="1430"/>
      <c r="AA880" s="1667"/>
      <c r="AB880" s="1385">
        <v>1000000</v>
      </c>
      <c r="AC880" s="1357">
        <v>43080</v>
      </c>
      <c r="AD880" s="1666" t="str">
        <f t="shared" si="236"/>
        <v xml:space="preserve">  </v>
      </c>
      <c r="AE880" s="1590" t="str">
        <f t="shared" si="237"/>
        <v xml:space="preserve">  </v>
      </c>
      <c r="AF880" s="2300" t="s">
        <v>1329</v>
      </c>
      <c r="AG880" s="1612"/>
      <c r="AH880" s="1625" t="str">
        <f t="shared" si="242"/>
        <v>PAI</v>
      </c>
      <c r="AI880" s="1680">
        <f t="shared" si="243"/>
        <v>17250000</v>
      </c>
      <c r="AJ880" s="1681">
        <f t="shared" si="239"/>
        <v>17250000</v>
      </c>
      <c r="AK880" s="1682">
        <f t="shared" si="244"/>
        <v>0</v>
      </c>
      <c r="AL880" s="1683" t="str">
        <f t="shared" si="245"/>
        <v>Lunas</v>
      </c>
      <c r="AM880" s="1410"/>
      <c r="AN880" s="1411"/>
      <c r="AO880" s="1410"/>
      <c r="AP880" s="1411"/>
      <c r="AQ880" s="1128"/>
      <c r="AR880" s="1173"/>
      <c r="AT880" s="1173"/>
      <c r="AV880" s="1173"/>
      <c r="AX880" s="1173"/>
      <c r="AY880" s="1176"/>
      <c r="AZ880" s="1173"/>
    </row>
    <row r="881" spans="1:52" s="2" customFormat="1" x14ac:dyDescent="0.25">
      <c r="A881" s="156">
        <v>820</v>
      </c>
      <c r="B881" s="344">
        <v>13</v>
      </c>
      <c r="C881" s="178">
        <v>849315014</v>
      </c>
      <c r="D881" s="177" t="s">
        <v>1343</v>
      </c>
      <c r="E881" s="346" t="s">
        <v>1328</v>
      </c>
      <c r="F881" s="317">
        <v>2015</v>
      </c>
      <c r="G881" s="162" t="s">
        <v>33</v>
      </c>
      <c r="H881" s="163">
        <f t="shared" si="234"/>
        <v>43686</v>
      </c>
      <c r="I881" s="163">
        <f t="shared" si="235"/>
        <v>43750</v>
      </c>
      <c r="J881" s="1636">
        <v>1250000</v>
      </c>
      <c r="K881" s="1637">
        <v>42144</v>
      </c>
      <c r="L881" s="1480">
        <v>3000000</v>
      </c>
      <c r="M881" s="1637">
        <v>42144</v>
      </c>
      <c r="N881" s="1480">
        <v>3000000</v>
      </c>
      <c r="O881" s="1637">
        <v>42401</v>
      </c>
      <c r="P881" s="1480">
        <v>3000000</v>
      </c>
      <c r="Q881" s="1637">
        <v>42580</v>
      </c>
      <c r="R881" s="1480">
        <v>3000000</v>
      </c>
      <c r="S881" s="1637">
        <v>42765</v>
      </c>
      <c r="T881" s="1431">
        <v>3000000</v>
      </c>
      <c r="U881" s="1637">
        <v>42982</v>
      </c>
      <c r="V881" s="1480">
        <v>3000000</v>
      </c>
      <c r="W881" s="1365">
        <v>43684</v>
      </c>
      <c r="X881" s="1480">
        <v>3000000</v>
      </c>
      <c r="Y881" s="1365">
        <v>43684</v>
      </c>
      <c r="Z881" s="1480">
        <v>3000000</v>
      </c>
      <c r="AA881" s="1365">
        <v>43684</v>
      </c>
      <c r="AB881" s="1480">
        <v>1000000</v>
      </c>
      <c r="AC881" s="1365">
        <v>43684</v>
      </c>
      <c r="AD881" s="1666" t="str">
        <f t="shared" si="236"/>
        <v xml:space="preserve">  </v>
      </c>
      <c r="AE881" s="1590" t="str">
        <f t="shared" si="237"/>
        <v xml:space="preserve">  </v>
      </c>
      <c r="AF881" s="2300" t="s">
        <v>1329</v>
      </c>
      <c r="AG881" s="1612"/>
      <c r="AH881" s="1625" t="str">
        <f t="shared" si="242"/>
        <v>PAI</v>
      </c>
      <c r="AI881" s="1680">
        <f t="shared" si="243"/>
        <v>26250000</v>
      </c>
      <c r="AJ881" s="1681">
        <f t="shared" si="239"/>
        <v>26250000</v>
      </c>
      <c r="AK881" s="1682">
        <f t="shared" si="244"/>
        <v>0</v>
      </c>
      <c r="AL881" s="1683" t="str">
        <f t="shared" si="245"/>
        <v>Lunas</v>
      </c>
      <c r="AM881" s="1410"/>
      <c r="AN881" s="1411"/>
      <c r="AO881" s="1410"/>
      <c r="AP881" s="1411"/>
      <c r="AQ881" s="1128"/>
      <c r="AR881" s="1173"/>
      <c r="AT881" s="1173"/>
      <c r="AV881" s="1173"/>
      <c r="AX881" s="1173"/>
      <c r="AY881" s="1176"/>
      <c r="AZ881" s="1173"/>
    </row>
    <row r="882" spans="1:52" s="2" customFormat="1" x14ac:dyDescent="0.25">
      <c r="A882" s="164">
        <v>821</v>
      </c>
      <c r="B882" s="345">
        <v>14</v>
      </c>
      <c r="C882" s="174">
        <v>849315015</v>
      </c>
      <c r="D882" s="166" t="s">
        <v>1344</v>
      </c>
      <c r="E882" s="168" t="s">
        <v>1328</v>
      </c>
      <c r="F882" s="169">
        <v>2015</v>
      </c>
      <c r="G882" s="214" t="s">
        <v>1077</v>
      </c>
      <c r="H882" s="265" t="str">
        <f t="shared" si="234"/>
        <v xml:space="preserve">   </v>
      </c>
      <c r="I882" s="265" t="str">
        <f t="shared" si="235"/>
        <v xml:space="preserve">   </v>
      </c>
      <c r="J882" s="1635">
        <v>1250000</v>
      </c>
      <c r="K882" s="1500">
        <v>42144</v>
      </c>
      <c r="L882" s="1389">
        <v>3000000</v>
      </c>
      <c r="M882" s="1500">
        <v>42144</v>
      </c>
      <c r="N882" s="1389">
        <v>3000000</v>
      </c>
      <c r="O882" s="1500">
        <v>42397</v>
      </c>
      <c r="P882" s="1635">
        <v>3000000</v>
      </c>
      <c r="Q882" s="1500">
        <v>42573</v>
      </c>
      <c r="R882" s="1389">
        <v>3000000</v>
      </c>
      <c r="S882" s="1500">
        <v>42761</v>
      </c>
      <c r="T882" s="1192" t="s">
        <v>1078</v>
      </c>
      <c r="U882" s="1466">
        <v>42940</v>
      </c>
      <c r="V882" s="1222" t="s">
        <v>1078</v>
      </c>
      <c r="W882" s="1386">
        <v>43129</v>
      </c>
      <c r="X882" s="1389"/>
      <c r="Y882" s="1654"/>
      <c r="Z882" s="1430"/>
      <c r="AA882" s="1667"/>
      <c r="AB882" s="1389"/>
      <c r="AC882" s="1360"/>
      <c r="AD882" s="1666" t="str">
        <f t="shared" si="236"/>
        <v xml:space="preserve">  </v>
      </c>
      <c r="AE882" s="1590" t="str">
        <f t="shared" si="237"/>
        <v xml:space="preserve">  </v>
      </c>
      <c r="AF882" s="2300" t="s">
        <v>1329</v>
      </c>
      <c r="AG882" s="1612"/>
      <c r="AH882" s="1625" t="str">
        <f t="shared" si="242"/>
        <v>PAI</v>
      </c>
      <c r="AI882" s="1688">
        <f t="shared" si="243"/>
        <v>13250000</v>
      </c>
      <c r="AJ882" s="1685">
        <f t="shared" si="239"/>
        <v>13250000</v>
      </c>
      <c r="AK882" s="1686">
        <f t="shared" si="244"/>
        <v>0</v>
      </c>
      <c r="AL882" s="1687" t="s">
        <v>1334</v>
      </c>
      <c r="AM882" s="1410"/>
      <c r="AN882" s="1411"/>
      <c r="AO882" s="1410"/>
      <c r="AP882" s="1411"/>
      <c r="AQ882" s="1128"/>
      <c r="AR882" s="1173"/>
      <c r="AT882" s="1173"/>
      <c r="AV882" s="1173"/>
      <c r="AX882" s="1173"/>
      <c r="AY882" s="1176"/>
      <c r="AZ882" s="1173"/>
    </row>
    <row r="883" spans="1:52" s="2" customFormat="1" x14ac:dyDescent="0.25">
      <c r="A883" s="156">
        <v>822</v>
      </c>
      <c r="B883" s="172">
        <v>15</v>
      </c>
      <c r="C883" s="159">
        <v>849315016</v>
      </c>
      <c r="D883" s="158" t="s">
        <v>1345</v>
      </c>
      <c r="E883" s="160" t="s">
        <v>1328</v>
      </c>
      <c r="F883" s="161">
        <v>2015</v>
      </c>
      <c r="G883" s="162" t="s">
        <v>33</v>
      </c>
      <c r="H883" s="163">
        <f t="shared" si="234"/>
        <v>43291</v>
      </c>
      <c r="I883" s="163">
        <f t="shared" si="235"/>
        <v>43440</v>
      </c>
      <c r="J883" s="1443">
        <v>1250000</v>
      </c>
      <c r="K883" s="1383">
        <v>42131</v>
      </c>
      <c r="L883" s="1385">
        <v>3000000</v>
      </c>
      <c r="M883" s="1383">
        <v>42131</v>
      </c>
      <c r="N883" s="1385">
        <v>3000000</v>
      </c>
      <c r="O883" s="1383">
        <v>42398</v>
      </c>
      <c r="P883" s="1385">
        <v>3000000</v>
      </c>
      <c r="Q883" s="1383">
        <v>42573</v>
      </c>
      <c r="R883" s="1385">
        <v>3000000</v>
      </c>
      <c r="S883" s="1383">
        <v>42761</v>
      </c>
      <c r="T883" s="1358">
        <v>3000000</v>
      </c>
      <c r="U883" s="1383">
        <v>43052</v>
      </c>
      <c r="V883" s="1385">
        <v>3000000</v>
      </c>
      <c r="W883" s="1357">
        <v>43116</v>
      </c>
      <c r="X883" s="1465" t="s">
        <v>1080</v>
      </c>
      <c r="Y883" s="1474"/>
      <c r="Z883" s="1430"/>
      <c r="AA883" s="1667"/>
      <c r="AB883" s="1385">
        <v>1000000</v>
      </c>
      <c r="AC883" s="1357">
        <v>43090</v>
      </c>
      <c r="AD883" s="1666" t="str">
        <f t="shared" si="236"/>
        <v xml:space="preserve">  </v>
      </c>
      <c r="AE883" s="1590" t="str">
        <f t="shared" si="237"/>
        <v xml:space="preserve">  </v>
      </c>
      <c r="AF883" s="2300" t="s">
        <v>1329</v>
      </c>
      <c r="AG883" s="1612"/>
      <c r="AH883" s="1625" t="str">
        <f t="shared" si="242"/>
        <v>PAI</v>
      </c>
      <c r="AI883" s="1680">
        <f t="shared" si="243"/>
        <v>20250000</v>
      </c>
      <c r="AJ883" s="1681">
        <f t="shared" si="239"/>
        <v>20250000</v>
      </c>
      <c r="AK883" s="1682">
        <f t="shared" si="244"/>
        <v>0</v>
      </c>
      <c r="AL883" s="1683" t="str">
        <f t="shared" si="245"/>
        <v>Lunas</v>
      </c>
      <c r="AM883" s="1410"/>
      <c r="AN883" s="1411"/>
      <c r="AO883" s="1410"/>
      <c r="AP883" s="1411"/>
      <c r="AQ883" s="1128"/>
      <c r="AR883" s="1173"/>
      <c r="AT883" s="1173"/>
      <c r="AV883" s="1173"/>
      <c r="AX883" s="1173"/>
      <c r="AY883" s="1176"/>
      <c r="AZ883" s="1173"/>
    </row>
    <row r="884" spans="1:52" s="2" customFormat="1" x14ac:dyDescent="0.25">
      <c r="A884" s="164">
        <v>823</v>
      </c>
      <c r="B884" s="343">
        <v>16</v>
      </c>
      <c r="C884" s="263">
        <v>849315030</v>
      </c>
      <c r="D884" s="173" t="s">
        <v>1346</v>
      </c>
      <c r="E884" s="264" t="s">
        <v>1328</v>
      </c>
      <c r="F884" s="175">
        <v>2015</v>
      </c>
      <c r="G884" s="214" t="s">
        <v>1077</v>
      </c>
      <c r="H884" s="265" t="str">
        <f t="shared" si="234"/>
        <v xml:space="preserve">   </v>
      </c>
      <c r="I884" s="265" t="str">
        <f t="shared" si="235"/>
        <v xml:space="preserve">   </v>
      </c>
      <c r="J884" s="1635">
        <v>1250000</v>
      </c>
      <c r="K884" s="1500">
        <v>42143</v>
      </c>
      <c r="L884" s="1389">
        <v>3000000</v>
      </c>
      <c r="M884" s="1500">
        <v>42143</v>
      </c>
      <c r="N884" s="1389">
        <v>3000000</v>
      </c>
      <c r="O884" s="1500">
        <v>42401</v>
      </c>
      <c r="P884" s="1389">
        <v>3000000</v>
      </c>
      <c r="Q884" s="1500">
        <v>42572</v>
      </c>
      <c r="R884" s="1389">
        <v>3000000</v>
      </c>
      <c r="S884" s="1500">
        <v>42762</v>
      </c>
      <c r="T884" s="1499"/>
      <c r="U884" s="1500"/>
      <c r="V884" s="1222" t="s">
        <v>1078</v>
      </c>
      <c r="W884" s="1386">
        <v>43126</v>
      </c>
      <c r="X884" s="1389"/>
      <c r="Y884" s="1654"/>
      <c r="Z884" s="1430"/>
      <c r="AA884" s="1667"/>
      <c r="AB884" s="1389"/>
      <c r="AC884" s="1360"/>
      <c r="AD884" s="1666" t="str">
        <f t="shared" si="236"/>
        <v xml:space="preserve">  </v>
      </c>
      <c r="AE884" s="1590" t="str">
        <f t="shared" si="237"/>
        <v xml:space="preserve">  </v>
      </c>
      <c r="AF884" s="2300" t="s">
        <v>1329</v>
      </c>
      <c r="AG884" s="1612"/>
      <c r="AH884" s="1625" t="str">
        <f t="shared" si="242"/>
        <v>PAI</v>
      </c>
      <c r="AI884" s="1688">
        <f t="shared" ref="AI884" si="246">SUM(J884,L884,N884,P884,R884,T884,V884,X884,Z884,AB884,AD884,AF884)</f>
        <v>13250000</v>
      </c>
      <c r="AJ884" s="1685">
        <f t="shared" si="239"/>
        <v>13250000</v>
      </c>
      <c r="AK884" s="1686">
        <f t="shared" ref="AK884" si="247">AJ884-AI884</f>
        <v>0</v>
      </c>
      <c r="AL884" s="1687" t="s">
        <v>1334</v>
      </c>
      <c r="AM884" s="1410"/>
      <c r="AN884" s="1411"/>
      <c r="AO884" s="1410"/>
      <c r="AP884" s="1411"/>
      <c r="AQ884" s="1128"/>
      <c r="AR884" s="1173"/>
      <c r="AT884" s="1173"/>
      <c r="AV884" s="1173"/>
      <c r="AX884" s="1173"/>
      <c r="AY884" s="1176"/>
      <c r="AZ884" s="1173"/>
    </row>
    <row r="885" spans="1:52" s="2" customFormat="1" x14ac:dyDescent="0.25">
      <c r="A885" s="164">
        <v>824</v>
      </c>
      <c r="B885" s="343">
        <v>17</v>
      </c>
      <c r="C885" s="263">
        <v>849315031</v>
      </c>
      <c r="D885" s="173" t="s">
        <v>1347</v>
      </c>
      <c r="E885" s="264" t="s">
        <v>1328</v>
      </c>
      <c r="F885" s="175">
        <v>2015</v>
      </c>
      <c r="G885" s="214" t="s">
        <v>1077</v>
      </c>
      <c r="H885" s="265" t="str">
        <f t="shared" si="234"/>
        <v xml:space="preserve">   </v>
      </c>
      <c r="I885" s="265" t="str">
        <f t="shared" si="235"/>
        <v xml:space="preserve">   </v>
      </c>
      <c r="J885" s="1635">
        <v>1250000</v>
      </c>
      <c r="K885" s="1500">
        <v>42142</v>
      </c>
      <c r="L885" s="1389">
        <v>3000000</v>
      </c>
      <c r="M885" s="1500">
        <v>42142</v>
      </c>
      <c r="N885" s="1389">
        <v>3000000</v>
      </c>
      <c r="O885" s="1500">
        <v>42401</v>
      </c>
      <c r="P885" s="1389">
        <v>3000000</v>
      </c>
      <c r="Q885" s="1500">
        <v>42573</v>
      </c>
      <c r="R885" s="1653"/>
      <c r="S885" s="1652"/>
      <c r="T885" s="1499"/>
      <c r="U885" s="1652"/>
      <c r="V885" s="1366"/>
      <c r="W885" s="1654"/>
      <c r="X885" s="1430"/>
      <c r="Y885" s="1654"/>
      <c r="Z885" s="1430"/>
      <c r="AA885" s="1667"/>
      <c r="AB885" s="1389"/>
      <c r="AC885" s="1360"/>
      <c r="AD885" s="1666" t="str">
        <f t="shared" si="236"/>
        <v xml:space="preserve">  </v>
      </c>
      <c r="AE885" s="1590" t="str">
        <f t="shared" si="237"/>
        <v xml:space="preserve">  </v>
      </c>
      <c r="AF885" s="2300" t="s">
        <v>1329</v>
      </c>
      <c r="AG885" s="1612"/>
      <c r="AH885" s="1625" t="str">
        <f t="shared" si="242"/>
        <v>PAI</v>
      </c>
      <c r="AI885" s="1688">
        <f t="shared" si="243"/>
        <v>10250000</v>
      </c>
      <c r="AJ885" s="1685">
        <f t="shared" si="239"/>
        <v>10250000</v>
      </c>
      <c r="AK885" s="1686">
        <f t="shared" si="244"/>
        <v>0</v>
      </c>
      <c r="AL885" s="1687" t="s">
        <v>1334</v>
      </c>
      <c r="AM885" s="1410"/>
      <c r="AN885" s="1411"/>
      <c r="AO885" s="1410"/>
      <c r="AP885" s="1411"/>
      <c r="AQ885" s="1128"/>
      <c r="AR885" s="1173"/>
      <c r="AT885" s="1173"/>
      <c r="AV885" s="1173"/>
      <c r="AX885" s="1173"/>
      <c r="AY885" s="1176"/>
      <c r="AZ885" s="1173"/>
    </row>
    <row r="886" spans="1:52" s="2" customFormat="1" x14ac:dyDescent="0.25">
      <c r="A886" s="156">
        <v>825</v>
      </c>
      <c r="B886" s="172">
        <v>18</v>
      </c>
      <c r="C886" s="159">
        <v>849315032</v>
      </c>
      <c r="D886" s="158" t="s">
        <v>1348</v>
      </c>
      <c r="E886" s="160" t="s">
        <v>1328</v>
      </c>
      <c r="F886" s="161">
        <v>2015</v>
      </c>
      <c r="G886" s="162" t="s">
        <v>33</v>
      </c>
      <c r="H886" s="163">
        <f t="shared" si="234"/>
        <v>43258</v>
      </c>
      <c r="I886" s="163">
        <f t="shared" si="235"/>
        <v>43440</v>
      </c>
      <c r="J886" s="1443">
        <v>1250000</v>
      </c>
      <c r="K886" s="1383">
        <v>42139</v>
      </c>
      <c r="L886" s="1385">
        <v>3000000</v>
      </c>
      <c r="M886" s="1383">
        <v>42139</v>
      </c>
      <c r="N886" s="1385">
        <v>3000000</v>
      </c>
      <c r="O886" s="1383">
        <v>42401</v>
      </c>
      <c r="P886" s="1385">
        <v>3000000</v>
      </c>
      <c r="Q886" s="1383">
        <v>42573</v>
      </c>
      <c r="R886" s="1385">
        <v>3000000</v>
      </c>
      <c r="S886" s="1383">
        <v>42801</v>
      </c>
      <c r="T886" s="1358">
        <v>3000000</v>
      </c>
      <c r="U886" s="1383">
        <v>43052</v>
      </c>
      <c r="V886" s="1443">
        <v>3000000</v>
      </c>
      <c r="W886" s="1357">
        <v>43244</v>
      </c>
      <c r="X886" s="1465" t="s">
        <v>1080</v>
      </c>
      <c r="Y886" s="1474"/>
      <c r="Z886" s="1430"/>
      <c r="AA886" s="1667"/>
      <c r="AB886" s="1385">
        <v>1000000</v>
      </c>
      <c r="AC886" s="1357">
        <v>43244</v>
      </c>
      <c r="AD886" s="1666" t="str">
        <f t="shared" si="236"/>
        <v xml:space="preserve">  </v>
      </c>
      <c r="AE886" s="1590" t="str">
        <f t="shared" si="237"/>
        <v xml:space="preserve">  </v>
      </c>
      <c r="AF886" s="2300" t="s">
        <v>1329</v>
      </c>
      <c r="AG886" s="1612"/>
      <c r="AH886" s="1625" t="str">
        <f t="shared" si="242"/>
        <v>PAI</v>
      </c>
      <c r="AI886" s="1680">
        <f t="shared" si="243"/>
        <v>20250000</v>
      </c>
      <c r="AJ886" s="1681">
        <f t="shared" si="239"/>
        <v>20250000</v>
      </c>
      <c r="AK886" s="1682">
        <f t="shared" si="244"/>
        <v>0</v>
      </c>
      <c r="AL886" s="1683" t="str">
        <f t="shared" si="245"/>
        <v>Lunas</v>
      </c>
      <c r="AM886" s="1410"/>
      <c r="AN886" s="1411"/>
      <c r="AO886" s="1410"/>
      <c r="AP886" s="1411"/>
      <c r="AQ886" s="1128"/>
      <c r="AR886" s="1173"/>
      <c r="AT886" s="1173"/>
      <c r="AV886" s="1173"/>
      <c r="AX886" s="1173"/>
      <c r="AY886" s="1176"/>
      <c r="AZ886" s="1173"/>
    </row>
    <row r="887" spans="1:52" s="2" customFormat="1" x14ac:dyDescent="0.25">
      <c r="A887" s="156">
        <v>826</v>
      </c>
      <c r="B887" s="344">
        <v>19</v>
      </c>
      <c r="C887" s="178">
        <v>849315033</v>
      </c>
      <c r="D887" s="177" t="s">
        <v>1349</v>
      </c>
      <c r="E887" s="346" t="s">
        <v>1328</v>
      </c>
      <c r="F887" s="317">
        <v>2015</v>
      </c>
      <c r="G887" s="162" t="s">
        <v>33</v>
      </c>
      <c r="H887" s="163">
        <f t="shared" si="234"/>
        <v>43650</v>
      </c>
      <c r="I887" s="163">
        <f t="shared" si="235"/>
        <v>43750</v>
      </c>
      <c r="J887" s="1636">
        <v>1250000</v>
      </c>
      <c r="K887" s="1637">
        <v>42144</v>
      </c>
      <c r="L887" s="1480">
        <v>3000000</v>
      </c>
      <c r="M887" s="1637">
        <v>42144</v>
      </c>
      <c r="N887" s="1480">
        <v>3000000</v>
      </c>
      <c r="O887" s="1637">
        <v>42398</v>
      </c>
      <c r="P887" s="1480">
        <v>3000000</v>
      </c>
      <c r="Q887" s="1637">
        <v>42579</v>
      </c>
      <c r="R887" s="1480">
        <v>3000000</v>
      </c>
      <c r="S887" s="1637">
        <v>43000</v>
      </c>
      <c r="T887" s="1431">
        <v>3000000</v>
      </c>
      <c r="U887" s="1637">
        <v>43000</v>
      </c>
      <c r="V887" s="1636">
        <v>3000000</v>
      </c>
      <c r="W887" s="1365">
        <v>43438</v>
      </c>
      <c r="X887" s="1480">
        <v>3000000</v>
      </c>
      <c r="Y887" s="1365">
        <v>43438</v>
      </c>
      <c r="Z887" s="1480">
        <v>3000000</v>
      </c>
      <c r="AA887" s="1365">
        <v>43633</v>
      </c>
      <c r="AB887" s="1385">
        <v>1000000</v>
      </c>
      <c r="AC887" s="1357">
        <v>43635</v>
      </c>
      <c r="AD887" s="1666" t="str">
        <f t="shared" si="236"/>
        <v xml:space="preserve">  </v>
      </c>
      <c r="AE887" s="1590" t="str">
        <f t="shared" si="237"/>
        <v xml:space="preserve">  </v>
      </c>
      <c r="AF887" s="2300" t="s">
        <v>1329</v>
      </c>
      <c r="AG887" s="1612"/>
      <c r="AH887" s="1625" t="str">
        <f t="shared" si="242"/>
        <v>PAI</v>
      </c>
      <c r="AI887" s="1680">
        <f t="shared" si="243"/>
        <v>26250000</v>
      </c>
      <c r="AJ887" s="1681">
        <f t="shared" si="239"/>
        <v>26250000</v>
      </c>
      <c r="AK887" s="1682">
        <f t="shared" si="244"/>
        <v>0</v>
      </c>
      <c r="AL887" s="1683" t="str">
        <f t="shared" si="245"/>
        <v>Lunas</v>
      </c>
      <c r="AM887" s="1410"/>
      <c r="AN887" s="1411"/>
      <c r="AO887" s="1410"/>
      <c r="AP887" s="1411"/>
      <c r="AQ887" s="1128"/>
      <c r="AR887" s="1173"/>
      <c r="AT887" s="1173"/>
      <c r="AV887" s="1173"/>
      <c r="AX887" s="1173"/>
      <c r="AY887" s="1176"/>
      <c r="AZ887" s="1173"/>
    </row>
    <row r="888" spans="1:52" s="2" customFormat="1" x14ac:dyDescent="0.25">
      <c r="A888" s="156">
        <v>827</v>
      </c>
      <c r="B888" s="344">
        <v>20</v>
      </c>
      <c r="C888" s="178">
        <v>849315017</v>
      </c>
      <c r="D888" s="177" t="s">
        <v>1350</v>
      </c>
      <c r="E888" s="346" t="s">
        <v>1328</v>
      </c>
      <c r="F888" s="317">
        <v>2015</v>
      </c>
      <c r="G888" s="162" t="s">
        <v>33</v>
      </c>
      <c r="H888" s="163">
        <f t="shared" si="234"/>
        <v>43654</v>
      </c>
      <c r="I888" s="283" t="str">
        <f t="shared" si="235"/>
        <v xml:space="preserve">   </v>
      </c>
      <c r="J888" s="1636">
        <v>1250000</v>
      </c>
      <c r="K888" s="1637">
        <v>42158</v>
      </c>
      <c r="L888" s="1480">
        <v>3000000</v>
      </c>
      <c r="M888" s="1637">
        <v>42158</v>
      </c>
      <c r="N888" s="1480">
        <v>3000000</v>
      </c>
      <c r="O888" s="1637">
        <v>42396</v>
      </c>
      <c r="P888" s="1480">
        <v>3000000</v>
      </c>
      <c r="Q888" s="1637">
        <v>42573</v>
      </c>
      <c r="R888" s="1480">
        <v>3000000</v>
      </c>
      <c r="S888" s="1637">
        <v>42761</v>
      </c>
      <c r="T888" s="1358">
        <v>3000000</v>
      </c>
      <c r="U888" s="1357">
        <v>43116</v>
      </c>
      <c r="V888" s="1385">
        <v>3000000</v>
      </c>
      <c r="W888" s="1357">
        <v>43116</v>
      </c>
      <c r="X888" s="1480">
        <v>3000000</v>
      </c>
      <c r="Y888" s="1365">
        <v>43304</v>
      </c>
      <c r="Z888" s="1480">
        <v>3000000</v>
      </c>
      <c r="AA888" s="1365">
        <v>43489</v>
      </c>
      <c r="AB888" s="1673">
        <v>1000000</v>
      </c>
      <c r="AC888" s="1357">
        <v>43636</v>
      </c>
      <c r="AD888" s="1666" t="str">
        <f t="shared" si="236"/>
        <v xml:space="preserve">  </v>
      </c>
      <c r="AE888" s="1590" t="str">
        <f t="shared" si="237"/>
        <v xml:space="preserve">  </v>
      </c>
      <c r="AF888" s="2300" t="s">
        <v>1329</v>
      </c>
      <c r="AG888" s="1612"/>
      <c r="AH888" s="1625" t="str">
        <f t="shared" si="242"/>
        <v>PAI</v>
      </c>
      <c r="AI888" s="1680">
        <f t="shared" si="243"/>
        <v>26250000</v>
      </c>
      <c r="AJ888" s="1681">
        <f t="shared" si="239"/>
        <v>26250000</v>
      </c>
      <c r="AK888" s="1682">
        <f t="shared" si="244"/>
        <v>0</v>
      </c>
      <c r="AL888" s="1683" t="str">
        <f t="shared" si="245"/>
        <v>Lunas</v>
      </c>
      <c r="AM888" s="1410"/>
      <c r="AN888" s="1411"/>
      <c r="AO888" s="1410"/>
      <c r="AP888" s="1411"/>
      <c r="AQ888" s="1128"/>
      <c r="AR888" s="1173"/>
      <c r="AT888" s="1173"/>
      <c r="AV888" s="1173"/>
      <c r="AX888" s="1173"/>
      <c r="AY888" s="1176"/>
      <c r="AZ888" s="1173"/>
    </row>
    <row r="889" spans="1:52" s="2" customFormat="1" x14ac:dyDescent="0.25">
      <c r="A889" s="156">
        <v>828</v>
      </c>
      <c r="B889" s="172">
        <v>21</v>
      </c>
      <c r="C889" s="159">
        <v>849315018</v>
      </c>
      <c r="D889" s="158" t="s">
        <v>1351</v>
      </c>
      <c r="E889" s="160" t="s">
        <v>1328</v>
      </c>
      <c r="F889" s="161">
        <v>2015</v>
      </c>
      <c r="G889" s="162" t="s">
        <v>33</v>
      </c>
      <c r="H889" s="163">
        <f t="shared" si="234"/>
        <v>42943</v>
      </c>
      <c r="I889" s="163">
        <f t="shared" si="235"/>
        <v>43064</v>
      </c>
      <c r="J889" s="1443">
        <v>1250000</v>
      </c>
      <c r="K889" s="1383">
        <v>42191</v>
      </c>
      <c r="L889" s="1385">
        <v>3000000</v>
      </c>
      <c r="M889" s="1383">
        <v>42191</v>
      </c>
      <c r="N889" s="1385">
        <v>3000000</v>
      </c>
      <c r="O889" s="1383">
        <v>42401</v>
      </c>
      <c r="P889" s="1385">
        <v>3000000</v>
      </c>
      <c r="Q889" s="1383">
        <v>42571</v>
      </c>
      <c r="R889" s="1385">
        <v>3000000</v>
      </c>
      <c r="S889" s="1383">
        <v>42761</v>
      </c>
      <c r="T889" s="1382" t="s">
        <v>1080</v>
      </c>
      <c r="U889" s="1474"/>
      <c r="V889" s="1430"/>
      <c r="W889" s="1654"/>
      <c r="X889" s="1430"/>
      <c r="Y889" s="1654"/>
      <c r="Z889" s="1430"/>
      <c r="AA889" s="1667"/>
      <c r="AB889" s="1385">
        <v>1000000</v>
      </c>
      <c r="AC889" s="1357">
        <v>42901</v>
      </c>
      <c r="AD889" s="1666" t="str">
        <f t="shared" si="236"/>
        <v xml:space="preserve">  </v>
      </c>
      <c r="AE889" s="1590" t="str">
        <f t="shared" si="237"/>
        <v xml:space="preserve">  </v>
      </c>
      <c r="AF889" s="2300" t="s">
        <v>1329</v>
      </c>
      <c r="AG889" s="1612"/>
      <c r="AH889" s="1625" t="str">
        <f t="shared" si="242"/>
        <v>PAI</v>
      </c>
      <c r="AI889" s="1680">
        <f t="shared" si="243"/>
        <v>14250000</v>
      </c>
      <c r="AJ889" s="1681">
        <f t="shared" si="239"/>
        <v>14250000</v>
      </c>
      <c r="AK889" s="1682">
        <f t="shared" si="244"/>
        <v>0</v>
      </c>
      <c r="AL889" s="1683" t="str">
        <f t="shared" si="245"/>
        <v>Lunas</v>
      </c>
      <c r="AM889" s="1410"/>
      <c r="AN889" s="1411"/>
      <c r="AO889" s="1410"/>
      <c r="AP889" s="1411"/>
      <c r="AQ889" s="1128"/>
      <c r="AR889" s="1173"/>
      <c r="AT889" s="1173"/>
      <c r="AV889" s="1173"/>
      <c r="AX889" s="1173"/>
      <c r="AY889" s="1176"/>
      <c r="AZ889" s="1173"/>
    </row>
    <row r="890" spans="1:52" s="2" customFormat="1" x14ac:dyDescent="0.25">
      <c r="A890" s="172">
        <v>829</v>
      </c>
      <c r="B890" s="172">
        <v>22</v>
      </c>
      <c r="C890" s="159">
        <v>849315019</v>
      </c>
      <c r="D890" s="158" t="s">
        <v>1352</v>
      </c>
      <c r="E890" s="160" t="s">
        <v>1328</v>
      </c>
      <c r="F890" s="161">
        <v>2015</v>
      </c>
      <c r="G890" s="162" t="s">
        <v>33</v>
      </c>
      <c r="H890" s="163">
        <f t="shared" si="234"/>
        <v>43103</v>
      </c>
      <c r="I890" s="163">
        <f t="shared" si="235"/>
        <v>43218</v>
      </c>
      <c r="J890" s="1385">
        <v>1250000</v>
      </c>
      <c r="K890" s="1383">
        <v>42164</v>
      </c>
      <c r="L890" s="1385">
        <v>3000000</v>
      </c>
      <c r="M890" s="1383">
        <v>42164</v>
      </c>
      <c r="N890" s="1385">
        <v>3000000</v>
      </c>
      <c r="O890" s="1383">
        <v>42395</v>
      </c>
      <c r="P890" s="1385">
        <v>3000000</v>
      </c>
      <c r="Q890" s="1383">
        <v>42573</v>
      </c>
      <c r="R890" s="1385">
        <v>3000000</v>
      </c>
      <c r="S890" s="1383">
        <v>42751</v>
      </c>
      <c r="T890" s="1358">
        <v>3000000</v>
      </c>
      <c r="U890" s="1383">
        <v>43088</v>
      </c>
      <c r="V890" s="1465" t="s">
        <v>1080</v>
      </c>
      <c r="W890" s="1474"/>
      <c r="X890" s="1430"/>
      <c r="Y890" s="1654"/>
      <c r="Z890" s="1430"/>
      <c r="AA890" s="1667"/>
      <c r="AB890" s="1385">
        <v>1000000</v>
      </c>
      <c r="AC890" s="1357">
        <v>43088</v>
      </c>
      <c r="AD890" s="1666" t="str">
        <f t="shared" si="236"/>
        <v xml:space="preserve">  </v>
      </c>
      <c r="AE890" s="1590" t="str">
        <f t="shared" si="237"/>
        <v xml:space="preserve">  </v>
      </c>
      <c r="AF890" s="2300" t="s">
        <v>1329</v>
      </c>
      <c r="AG890" s="1612"/>
      <c r="AH890" s="1625" t="str">
        <f t="shared" si="242"/>
        <v>PAI</v>
      </c>
      <c r="AI890" s="1680">
        <f t="shared" si="243"/>
        <v>17250000</v>
      </c>
      <c r="AJ890" s="1681">
        <f t="shared" si="239"/>
        <v>17250000</v>
      </c>
      <c r="AK890" s="1682">
        <f t="shared" si="244"/>
        <v>0</v>
      </c>
      <c r="AL890" s="1683" t="str">
        <f t="shared" si="245"/>
        <v>Lunas</v>
      </c>
      <c r="AM890" s="1410"/>
      <c r="AN890" s="1411"/>
      <c r="AO890" s="1410"/>
      <c r="AP890" s="1411"/>
      <c r="AQ890" s="1128"/>
      <c r="AR890" s="1173"/>
      <c r="AT890" s="1173"/>
      <c r="AV890" s="1173"/>
      <c r="AX890" s="1173"/>
      <c r="AY890" s="1176"/>
      <c r="AZ890" s="1173"/>
    </row>
    <row r="891" spans="1:52" s="2" customFormat="1" x14ac:dyDescent="0.25">
      <c r="A891" s="156">
        <v>830</v>
      </c>
      <c r="B891" s="344">
        <v>23</v>
      </c>
      <c r="C891" s="178">
        <v>849315035</v>
      </c>
      <c r="D891" s="177" t="s">
        <v>974</v>
      </c>
      <c r="E891" s="346" t="s">
        <v>1328</v>
      </c>
      <c r="F891" s="317">
        <v>2015</v>
      </c>
      <c r="G891" s="162" t="s">
        <v>33</v>
      </c>
      <c r="H891" s="163">
        <f t="shared" si="234"/>
        <v>43550</v>
      </c>
      <c r="I891" s="163">
        <f t="shared" si="235"/>
        <v>43750</v>
      </c>
      <c r="J891" s="1636">
        <v>1250000</v>
      </c>
      <c r="K891" s="1637">
        <v>42195</v>
      </c>
      <c r="L891" s="1480">
        <v>3000000</v>
      </c>
      <c r="M891" s="1637">
        <v>42195</v>
      </c>
      <c r="N891" s="1480">
        <v>3000000</v>
      </c>
      <c r="O891" s="1637">
        <v>42403</v>
      </c>
      <c r="P891" s="1480">
        <v>3000000</v>
      </c>
      <c r="Q891" s="1637">
        <v>42570</v>
      </c>
      <c r="R891" s="1480">
        <v>3000000</v>
      </c>
      <c r="S891" s="1637">
        <v>42758</v>
      </c>
      <c r="T891" s="1431">
        <v>3000000</v>
      </c>
      <c r="U891" s="1637">
        <v>43063</v>
      </c>
      <c r="V891" s="1443">
        <v>3000000</v>
      </c>
      <c r="W891" s="1357">
        <v>43124</v>
      </c>
      <c r="X891" s="1480">
        <v>3000000</v>
      </c>
      <c r="Y891" s="1365">
        <v>43556</v>
      </c>
      <c r="Z891" s="1465" t="s">
        <v>276</v>
      </c>
      <c r="AA891" s="1360"/>
      <c r="AB891" s="1480">
        <v>1000000</v>
      </c>
      <c r="AC891" s="1365">
        <v>42758</v>
      </c>
      <c r="AD891" s="1666" t="str">
        <f t="shared" si="236"/>
        <v xml:space="preserve">  </v>
      </c>
      <c r="AE891" s="1590" t="str">
        <f t="shared" si="237"/>
        <v xml:space="preserve">  </v>
      </c>
      <c r="AF891" s="2300" t="s">
        <v>1329</v>
      </c>
      <c r="AG891" s="1612"/>
      <c r="AH891" s="1625" t="str">
        <f t="shared" si="242"/>
        <v>PAI</v>
      </c>
      <c r="AI891" s="1680">
        <f t="shared" si="243"/>
        <v>23250000</v>
      </c>
      <c r="AJ891" s="1681">
        <f t="shared" si="239"/>
        <v>23250000</v>
      </c>
      <c r="AK891" s="1682">
        <f t="shared" si="244"/>
        <v>0</v>
      </c>
      <c r="AL891" s="1683" t="str">
        <f t="shared" si="245"/>
        <v>Lunas</v>
      </c>
      <c r="AM891" s="1410"/>
      <c r="AN891" s="1411"/>
      <c r="AO891" s="1410"/>
      <c r="AP891" s="1411"/>
      <c r="AQ891" s="1128"/>
      <c r="AR891" s="1173"/>
      <c r="AT891" s="1173"/>
      <c r="AV891" s="1173"/>
      <c r="AX891" s="1173"/>
      <c r="AY891" s="1176"/>
      <c r="AZ891" s="1173"/>
    </row>
    <row r="892" spans="1:52" s="2" customFormat="1" x14ac:dyDescent="0.25">
      <c r="A892" s="156">
        <v>831</v>
      </c>
      <c r="B892" s="172">
        <v>24</v>
      </c>
      <c r="C892" s="159">
        <v>849315020</v>
      </c>
      <c r="D892" s="158" t="s">
        <v>1353</v>
      </c>
      <c r="E892" s="160" t="s">
        <v>1328</v>
      </c>
      <c r="F892" s="161">
        <v>2015</v>
      </c>
      <c r="G892" s="162" t="s">
        <v>33</v>
      </c>
      <c r="H892" s="163">
        <f t="shared" si="234"/>
        <v>43034</v>
      </c>
      <c r="I892" s="163">
        <f t="shared" si="235"/>
        <v>43064</v>
      </c>
      <c r="J892" s="1443">
        <v>1250000</v>
      </c>
      <c r="K892" s="1383">
        <v>42195</v>
      </c>
      <c r="L892" s="1385">
        <v>3000000</v>
      </c>
      <c r="M892" s="1383">
        <v>42195</v>
      </c>
      <c r="N892" s="1385">
        <v>3000000</v>
      </c>
      <c r="O892" s="1383">
        <v>42401</v>
      </c>
      <c r="P892" s="1385">
        <v>3000000</v>
      </c>
      <c r="Q892" s="1383">
        <v>42607</v>
      </c>
      <c r="R892" s="1385">
        <v>3000000</v>
      </c>
      <c r="S892" s="1383">
        <v>42801</v>
      </c>
      <c r="T892" s="1358">
        <v>3000000</v>
      </c>
      <c r="U892" s="1383">
        <v>43025</v>
      </c>
      <c r="V892" s="1465" t="s">
        <v>1080</v>
      </c>
      <c r="W892" s="1474"/>
      <c r="X892" s="1430"/>
      <c r="Y892" s="1654"/>
      <c r="Z892" s="1430"/>
      <c r="AA892" s="1667"/>
      <c r="AB892" s="1385">
        <v>1000000</v>
      </c>
      <c r="AC892" s="1357">
        <v>42801</v>
      </c>
      <c r="AD892" s="1666" t="str">
        <f t="shared" si="236"/>
        <v xml:space="preserve">  </v>
      </c>
      <c r="AE892" s="1590" t="str">
        <f t="shared" si="237"/>
        <v xml:space="preserve">  </v>
      </c>
      <c r="AF892" s="2300" t="s">
        <v>1329</v>
      </c>
      <c r="AG892" s="1612"/>
      <c r="AH892" s="1625" t="str">
        <f t="shared" si="242"/>
        <v>PAI</v>
      </c>
      <c r="AI892" s="1680">
        <f t="shared" si="243"/>
        <v>17250000</v>
      </c>
      <c r="AJ892" s="1681">
        <f t="shared" si="239"/>
        <v>17250000</v>
      </c>
      <c r="AK892" s="1682">
        <f t="shared" si="244"/>
        <v>0</v>
      </c>
      <c r="AL892" s="1683" t="str">
        <f t="shared" si="245"/>
        <v>Lunas</v>
      </c>
      <c r="AM892" s="1410"/>
      <c r="AN892" s="1411"/>
      <c r="AO892" s="1410"/>
      <c r="AP892" s="1411"/>
      <c r="AQ892" s="1128"/>
      <c r="AR892" s="1173"/>
      <c r="AT892" s="1173"/>
      <c r="AV892" s="1173"/>
      <c r="AX892" s="1173"/>
      <c r="AY892" s="1176"/>
      <c r="AZ892" s="1173"/>
    </row>
    <row r="893" spans="1:52" s="2" customFormat="1" x14ac:dyDescent="0.25">
      <c r="A893" s="156">
        <v>832</v>
      </c>
      <c r="B893" s="344">
        <v>25</v>
      </c>
      <c r="C893" s="178">
        <v>849315037</v>
      </c>
      <c r="D893" s="177" t="s">
        <v>1354</v>
      </c>
      <c r="E893" s="160" t="s">
        <v>1328</v>
      </c>
      <c r="F893" s="161">
        <v>2015</v>
      </c>
      <c r="G893" s="272" t="s">
        <v>33</v>
      </c>
      <c r="H893" s="163">
        <f t="shared" si="234"/>
        <v>43612</v>
      </c>
      <c r="I893" s="163">
        <f t="shared" si="235"/>
        <v>43705</v>
      </c>
      <c r="J893" s="1636">
        <v>1250000</v>
      </c>
      <c r="K893" s="1637">
        <v>42192</v>
      </c>
      <c r="L893" s="1480">
        <v>3000000</v>
      </c>
      <c r="M893" s="1637">
        <v>42192</v>
      </c>
      <c r="N893" s="1480">
        <v>3000000</v>
      </c>
      <c r="O893" s="1637">
        <v>42391</v>
      </c>
      <c r="P893" s="1480">
        <v>3000000</v>
      </c>
      <c r="Q893" s="1637">
        <v>42573</v>
      </c>
      <c r="R893" s="1480">
        <v>3000000</v>
      </c>
      <c r="S893" s="1637">
        <v>42761</v>
      </c>
      <c r="T893" s="1192" t="s">
        <v>1078</v>
      </c>
      <c r="U893" s="1466">
        <v>42951</v>
      </c>
      <c r="V893" s="1222" t="s">
        <v>1078</v>
      </c>
      <c r="W893" s="1386">
        <v>43117</v>
      </c>
      <c r="X893" s="1480">
        <v>3000000</v>
      </c>
      <c r="Y893" s="1365">
        <v>43294</v>
      </c>
      <c r="Z893" s="1480">
        <v>3000000</v>
      </c>
      <c r="AA893" s="1365">
        <v>43482</v>
      </c>
      <c r="AB893" s="1385">
        <v>1000000</v>
      </c>
      <c r="AC893" s="1365">
        <v>43567</v>
      </c>
      <c r="AD893" s="1666" t="str">
        <f t="shared" si="236"/>
        <v xml:space="preserve">  </v>
      </c>
      <c r="AE893" s="1590" t="str">
        <f t="shared" si="237"/>
        <v xml:space="preserve">  </v>
      </c>
      <c r="AF893" s="2300" t="s">
        <v>1329</v>
      </c>
      <c r="AG893" s="1612"/>
      <c r="AH893" s="1625" t="str">
        <f t="shared" si="242"/>
        <v>PAI</v>
      </c>
      <c r="AI893" s="1680">
        <f t="shared" si="243"/>
        <v>20250000</v>
      </c>
      <c r="AJ893" s="1681">
        <f t="shared" si="239"/>
        <v>20250000</v>
      </c>
      <c r="AK893" s="1682">
        <f t="shared" si="244"/>
        <v>0</v>
      </c>
      <c r="AL893" s="1683" t="str">
        <f t="shared" si="245"/>
        <v>Lunas</v>
      </c>
      <c r="AM893" s="1410"/>
      <c r="AN893" s="1411"/>
      <c r="AO893" s="1410"/>
      <c r="AP893" s="1411"/>
      <c r="AQ893" s="1128"/>
      <c r="AR893" s="1173"/>
      <c r="AT893" s="1173"/>
      <c r="AV893" s="1173"/>
      <c r="AX893" s="1173"/>
      <c r="AY893" s="1176"/>
      <c r="AZ893" s="1173"/>
    </row>
    <row r="894" spans="1:52" s="2" customFormat="1" x14ac:dyDescent="0.25">
      <c r="A894" s="156">
        <v>833</v>
      </c>
      <c r="B894" s="172">
        <v>26</v>
      </c>
      <c r="C894" s="159">
        <v>849315021</v>
      </c>
      <c r="D894" s="158" t="s">
        <v>1355</v>
      </c>
      <c r="E894" s="160" t="s">
        <v>1328</v>
      </c>
      <c r="F894" s="161">
        <v>2015</v>
      </c>
      <c r="G894" s="162" t="s">
        <v>33</v>
      </c>
      <c r="H894" s="163">
        <f t="shared" si="234"/>
        <v>43024</v>
      </c>
      <c r="I894" s="163">
        <f t="shared" si="235"/>
        <v>43064</v>
      </c>
      <c r="J894" s="1443">
        <v>1250000</v>
      </c>
      <c r="K894" s="1383">
        <v>42178</v>
      </c>
      <c r="L894" s="1385">
        <v>3000000</v>
      </c>
      <c r="M894" s="1383">
        <v>42178</v>
      </c>
      <c r="N894" s="1385">
        <v>3000000</v>
      </c>
      <c r="O894" s="1383">
        <v>42398</v>
      </c>
      <c r="P894" s="1385">
        <v>3000000</v>
      </c>
      <c r="Q894" s="1383">
        <v>42576</v>
      </c>
      <c r="R894" s="1385">
        <v>3000000</v>
      </c>
      <c r="S894" s="1383">
        <v>42755</v>
      </c>
      <c r="T894" s="1358">
        <v>3000000</v>
      </c>
      <c r="U894" s="1383">
        <v>43013</v>
      </c>
      <c r="V894" s="1465" t="s">
        <v>1080</v>
      </c>
      <c r="W894" s="1474"/>
      <c r="X894" s="1430"/>
      <c r="Y894" s="1654"/>
      <c r="Z894" s="1430"/>
      <c r="AA894" s="1667"/>
      <c r="AB894" s="1385">
        <v>1000000</v>
      </c>
      <c r="AC894" s="1365">
        <v>43435</v>
      </c>
      <c r="AD894" s="1666" t="str">
        <f t="shared" si="236"/>
        <v xml:space="preserve">  </v>
      </c>
      <c r="AE894" s="1590" t="str">
        <f t="shared" si="237"/>
        <v xml:space="preserve">  </v>
      </c>
      <c r="AF894" s="2300" t="s">
        <v>1329</v>
      </c>
      <c r="AG894" s="1612"/>
      <c r="AH894" s="1625" t="str">
        <f t="shared" si="242"/>
        <v>PAI</v>
      </c>
      <c r="AI894" s="1680">
        <f t="shared" si="243"/>
        <v>17250000</v>
      </c>
      <c r="AJ894" s="1681">
        <f t="shared" si="239"/>
        <v>17250000</v>
      </c>
      <c r="AK894" s="1682">
        <f t="shared" si="244"/>
        <v>0</v>
      </c>
      <c r="AL894" s="1683" t="str">
        <f t="shared" si="245"/>
        <v>Lunas</v>
      </c>
      <c r="AM894" s="1410"/>
      <c r="AN894" s="1411"/>
      <c r="AO894" s="1410"/>
      <c r="AP894" s="1411"/>
      <c r="AQ894" s="1128"/>
      <c r="AR894" s="1173"/>
      <c r="AT894" s="1173"/>
      <c r="AV894" s="1173"/>
      <c r="AX894" s="1173"/>
      <c r="AY894" s="1176"/>
      <c r="AZ894" s="1173"/>
    </row>
    <row r="895" spans="1:52" s="2" customFormat="1" x14ac:dyDescent="0.25">
      <c r="A895" s="234">
        <v>834</v>
      </c>
      <c r="B895" s="347">
        <v>27</v>
      </c>
      <c r="C895" s="314">
        <v>849315022</v>
      </c>
      <c r="D895" s="313" t="s">
        <v>1356</v>
      </c>
      <c r="E895" s="237" t="s">
        <v>1328</v>
      </c>
      <c r="F895" s="315">
        <v>2015</v>
      </c>
      <c r="G895" s="214" t="s">
        <v>1077</v>
      </c>
      <c r="H895" s="239" t="str">
        <f t="shared" si="234"/>
        <v xml:space="preserve">   </v>
      </c>
      <c r="I895" s="239" t="str">
        <f t="shared" si="235"/>
        <v xml:space="preserve">   </v>
      </c>
      <c r="J895" s="1638">
        <v>1250000</v>
      </c>
      <c r="K895" s="1604">
        <v>42171</v>
      </c>
      <c r="L895" s="1638">
        <v>3000000</v>
      </c>
      <c r="M895" s="1604">
        <v>42171</v>
      </c>
      <c r="N895" s="1639" t="s">
        <v>1162</v>
      </c>
      <c r="O895" s="1640"/>
      <c r="P895" s="1522"/>
      <c r="Q895" s="1655"/>
      <c r="R895" s="1656"/>
      <c r="S895" s="1655"/>
      <c r="T895" s="1656"/>
      <c r="U895" s="1654"/>
      <c r="V895" s="1430"/>
      <c r="W895" s="1654"/>
      <c r="X895" s="1430"/>
      <c r="Y895" s="1654"/>
      <c r="Z895" s="1430"/>
      <c r="AA895" s="1667"/>
      <c r="AB895" s="1389"/>
      <c r="AC895" s="1360"/>
      <c r="AD895" s="1666" t="str">
        <f t="shared" si="236"/>
        <v xml:space="preserve">  </v>
      </c>
      <c r="AE895" s="1590" t="str">
        <f t="shared" si="237"/>
        <v xml:space="preserve">  </v>
      </c>
      <c r="AF895" s="2300" t="s">
        <v>1329</v>
      </c>
      <c r="AG895" s="1612"/>
      <c r="AH895" s="1625" t="str">
        <f t="shared" si="242"/>
        <v>PAI</v>
      </c>
      <c r="AI895" s="1688">
        <f t="shared" ref="AI895:AI898" si="248">SUM(J895,L895,N895,P895,R895,T895,V895,X895,Z895,AB895,AD895,AF895)</f>
        <v>4250000</v>
      </c>
      <c r="AJ895" s="1685">
        <f t="shared" si="239"/>
        <v>4250000</v>
      </c>
      <c r="AK895" s="1686">
        <f t="shared" ref="AK895:AK898" si="249">AJ895-AI895</f>
        <v>0</v>
      </c>
      <c r="AL895" s="1687" t="s">
        <v>1334</v>
      </c>
      <c r="AM895" s="1410"/>
      <c r="AN895" s="1411"/>
      <c r="AO895" s="1410"/>
      <c r="AP895" s="1411"/>
      <c r="AQ895" s="1128"/>
      <c r="AR895" s="1173"/>
      <c r="AT895" s="1173"/>
      <c r="AV895" s="1173"/>
      <c r="AX895" s="1173"/>
      <c r="AY895" s="1176"/>
      <c r="AZ895" s="1173"/>
    </row>
    <row r="896" spans="1:52" s="2" customFormat="1" x14ac:dyDescent="0.25">
      <c r="A896" s="156">
        <v>835</v>
      </c>
      <c r="B896" s="172">
        <v>28</v>
      </c>
      <c r="C896" s="159">
        <v>849315023</v>
      </c>
      <c r="D896" s="158" t="s">
        <v>1357</v>
      </c>
      <c r="E896" s="160" t="s">
        <v>1328</v>
      </c>
      <c r="F896" s="161">
        <v>2015</v>
      </c>
      <c r="G896" s="162" t="s">
        <v>33</v>
      </c>
      <c r="H896" s="163">
        <f t="shared" si="234"/>
        <v>43651</v>
      </c>
      <c r="I896" s="163">
        <f t="shared" si="235"/>
        <v>43750</v>
      </c>
      <c r="J896" s="1636">
        <v>1250000</v>
      </c>
      <c r="K896" s="1637">
        <v>42194</v>
      </c>
      <c r="L896" s="1480">
        <v>3000000</v>
      </c>
      <c r="M896" s="1637">
        <v>42194</v>
      </c>
      <c r="N896" s="1480">
        <v>3000000</v>
      </c>
      <c r="O896" s="1637">
        <v>42401</v>
      </c>
      <c r="P896" s="1480">
        <v>3000000</v>
      </c>
      <c r="Q896" s="1637">
        <v>42572</v>
      </c>
      <c r="R896" s="1480">
        <v>3000000</v>
      </c>
      <c r="S896" s="1637">
        <v>42755</v>
      </c>
      <c r="T896" s="1431">
        <v>3000000</v>
      </c>
      <c r="U896" s="1637">
        <v>43042</v>
      </c>
      <c r="V896" s="1443">
        <v>3000000</v>
      </c>
      <c r="W896" s="1357">
        <v>43129</v>
      </c>
      <c r="X896" s="1480">
        <v>3000000</v>
      </c>
      <c r="Y896" s="1365">
        <v>43406</v>
      </c>
      <c r="Z896" s="1480">
        <v>3000000</v>
      </c>
      <c r="AA896" s="1365">
        <v>43605</v>
      </c>
      <c r="AB896" s="1385">
        <v>1000000</v>
      </c>
      <c r="AC896" s="1357">
        <v>43129</v>
      </c>
      <c r="AD896" s="1666" t="str">
        <f t="shared" si="236"/>
        <v xml:space="preserve">  </v>
      </c>
      <c r="AE896" s="1590" t="str">
        <f t="shared" si="237"/>
        <v xml:space="preserve">  </v>
      </c>
      <c r="AF896" s="2300" t="s">
        <v>1329</v>
      </c>
      <c r="AG896" s="1612"/>
      <c r="AH896" s="1625" t="str">
        <f t="shared" si="242"/>
        <v>PAI</v>
      </c>
      <c r="AI896" s="1689">
        <f t="shared" si="248"/>
        <v>26250000</v>
      </c>
      <c r="AJ896" s="1690">
        <f t="shared" si="239"/>
        <v>26250000</v>
      </c>
      <c r="AK896" s="1682">
        <f t="shared" si="249"/>
        <v>0</v>
      </c>
      <c r="AL896" s="1691" t="str">
        <f t="shared" ref="AL896:AL898" si="250">IF(AK896=0,"Lunas","Cek")</f>
        <v>Lunas</v>
      </c>
      <c r="AM896" s="1410"/>
      <c r="AN896" s="1411"/>
      <c r="AO896" s="1410"/>
      <c r="AP896" s="1411"/>
      <c r="AQ896" s="1128"/>
      <c r="AR896" s="1173"/>
      <c r="AT896" s="1173"/>
      <c r="AV896" s="1173"/>
      <c r="AX896" s="1173"/>
      <c r="AY896" s="1176"/>
      <c r="AZ896" s="1173"/>
    </row>
    <row r="897" spans="1:52" s="2" customFormat="1" x14ac:dyDescent="0.25">
      <c r="A897" s="156">
        <v>836</v>
      </c>
      <c r="B897" s="172">
        <v>29</v>
      </c>
      <c r="C897" s="159">
        <v>849315024</v>
      </c>
      <c r="D897" s="158" t="s">
        <v>1358</v>
      </c>
      <c r="E897" s="160" t="s">
        <v>1328</v>
      </c>
      <c r="F897" s="161">
        <v>2015</v>
      </c>
      <c r="G897" s="162" t="s">
        <v>33</v>
      </c>
      <c r="H897" s="163">
        <f t="shared" si="234"/>
        <v>43024</v>
      </c>
      <c r="I897" s="163">
        <f t="shared" si="235"/>
        <v>43064</v>
      </c>
      <c r="J897" s="1443">
        <v>1250000</v>
      </c>
      <c r="K897" s="1383">
        <v>42182</v>
      </c>
      <c r="L897" s="1385">
        <v>3000000</v>
      </c>
      <c r="M897" s="1383">
        <v>42182</v>
      </c>
      <c r="N897" s="1385">
        <v>3000000</v>
      </c>
      <c r="O897" s="1383">
        <v>42396</v>
      </c>
      <c r="P897" s="1443">
        <v>3000000</v>
      </c>
      <c r="Q897" s="1383">
        <v>42572</v>
      </c>
      <c r="R897" s="1385">
        <v>3000000</v>
      </c>
      <c r="S897" s="1383">
        <v>42761</v>
      </c>
      <c r="T897" s="1358">
        <v>3000000</v>
      </c>
      <c r="U897" s="1383">
        <v>42921</v>
      </c>
      <c r="V897" s="1465" t="s">
        <v>1080</v>
      </c>
      <c r="W897" s="1474"/>
      <c r="X897" s="1430"/>
      <c r="Y897" s="1654"/>
      <c r="Z897" s="1430"/>
      <c r="AA897" s="1667"/>
      <c r="AB897" s="1385">
        <v>1000000</v>
      </c>
      <c r="AC897" s="1357">
        <v>42761</v>
      </c>
      <c r="AD897" s="1666" t="str">
        <f t="shared" si="236"/>
        <v xml:space="preserve">  </v>
      </c>
      <c r="AE897" s="1590" t="str">
        <f t="shared" si="237"/>
        <v xml:space="preserve">  </v>
      </c>
      <c r="AF897" s="2300" t="s">
        <v>1329</v>
      </c>
      <c r="AG897" s="1612"/>
      <c r="AH897" s="1625" t="str">
        <f t="shared" si="242"/>
        <v>PAI</v>
      </c>
      <c r="AI897" s="1689">
        <f t="shared" si="248"/>
        <v>17250000</v>
      </c>
      <c r="AJ897" s="1690">
        <f t="shared" si="239"/>
        <v>17250000</v>
      </c>
      <c r="AK897" s="1682">
        <f t="shared" si="249"/>
        <v>0</v>
      </c>
      <c r="AL897" s="1691" t="str">
        <f t="shared" si="250"/>
        <v>Lunas</v>
      </c>
      <c r="AM897" s="1410"/>
      <c r="AN897" s="1411"/>
      <c r="AO897" s="1410"/>
      <c r="AP897" s="1411"/>
      <c r="AQ897" s="1128"/>
      <c r="AR897" s="1173"/>
      <c r="AT897" s="1173"/>
      <c r="AV897" s="1173"/>
      <c r="AX897" s="1173"/>
      <c r="AY897" s="1176"/>
      <c r="AZ897" s="1173"/>
    </row>
    <row r="898" spans="1:52" s="2" customFormat="1" x14ac:dyDescent="0.25">
      <c r="A898" s="156">
        <v>837</v>
      </c>
      <c r="B898" s="172">
        <v>30</v>
      </c>
      <c r="C898" s="159">
        <v>849315025</v>
      </c>
      <c r="D898" s="158" t="s">
        <v>1359</v>
      </c>
      <c r="E898" s="160" t="s">
        <v>1328</v>
      </c>
      <c r="F898" s="161">
        <v>2015</v>
      </c>
      <c r="G898" s="162" t="s">
        <v>33</v>
      </c>
      <c r="H898" s="163">
        <f t="shared" si="234"/>
        <v>43287</v>
      </c>
      <c r="I898" s="163">
        <f t="shared" si="235"/>
        <v>43351</v>
      </c>
      <c r="J898" s="1443">
        <v>1250000</v>
      </c>
      <c r="K898" s="1383">
        <v>42159</v>
      </c>
      <c r="L898" s="1385">
        <v>3000000</v>
      </c>
      <c r="M898" s="1383">
        <v>42159</v>
      </c>
      <c r="N898" s="1385">
        <v>3000000</v>
      </c>
      <c r="O898" s="1383">
        <v>42403</v>
      </c>
      <c r="P898" s="1385">
        <v>3000000</v>
      </c>
      <c r="Q898" s="1383">
        <v>42570</v>
      </c>
      <c r="R898" s="1385">
        <v>3000000</v>
      </c>
      <c r="S898" s="1383">
        <v>42758</v>
      </c>
      <c r="T898" s="1358">
        <v>3000000</v>
      </c>
      <c r="U898" s="1383">
        <v>42937</v>
      </c>
      <c r="V898" s="1385">
        <v>3000000</v>
      </c>
      <c r="W898" s="1357">
        <v>43112</v>
      </c>
      <c r="X898" s="1465" t="s">
        <v>1080</v>
      </c>
      <c r="Y898" s="1474"/>
      <c r="Z898" s="1430"/>
      <c r="AA898" s="1667"/>
      <c r="AB898" s="1385">
        <v>1000000</v>
      </c>
      <c r="AC898" s="1357">
        <v>42758</v>
      </c>
      <c r="AD898" s="1666" t="str">
        <f t="shared" si="236"/>
        <v xml:space="preserve">  </v>
      </c>
      <c r="AE898" s="1590" t="str">
        <f t="shared" si="237"/>
        <v xml:space="preserve">  </v>
      </c>
      <c r="AF898" s="2300" t="s">
        <v>1329</v>
      </c>
      <c r="AG898" s="1612"/>
      <c r="AH898" s="1625" t="str">
        <f t="shared" si="242"/>
        <v>PAI</v>
      </c>
      <c r="AI898" s="1689">
        <f t="shared" si="248"/>
        <v>20250000</v>
      </c>
      <c r="AJ898" s="1690">
        <f t="shared" si="239"/>
        <v>20250000</v>
      </c>
      <c r="AK898" s="1682">
        <f t="shared" si="249"/>
        <v>0</v>
      </c>
      <c r="AL898" s="1691" t="str">
        <f t="shared" si="250"/>
        <v>Lunas</v>
      </c>
      <c r="AM898" s="1410"/>
      <c r="AN898" s="1411"/>
      <c r="AO898" s="1410"/>
      <c r="AP898" s="1411"/>
      <c r="AQ898" s="1128"/>
      <c r="AR898" s="1173"/>
      <c r="AT898" s="1173"/>
      <c r="AV898" s="1173"/>
      <c r="AX898" s="1173"/>
      <c r="AY898" s="1176"/>
      <c r="AZ898" s="1173"/>
    </row>
    <row r="899" spans="1:52" s="2" customFormat="1" x14ac:dyDescent="0.25">
      <c r="A899" s="234">
        <v>838</v>
      </c>
      <c r="B899" s="347">
        <v>31</v>
      </c>
      <c r="C899" s="236">
        <v>849315026</v>
      </c>
      <c r="D899" s="233" t="s">
        <v>1360</v>
      </c>
      <c r="E899" s="237" t="s">
        <v>1328</v>
      </c>
      <c r="F899" s="238">
        <v>2015</v>
      </c>
      <c r="G899" s="214" t="s">
        <v>1077</v>
      </c>
      <c r="H899" s="239" t="str">
        <f t="shared" ref="H899:H930" si="251">IFERROR(VLOOKUP(C899,Tlus,3,FALSE),"   ")</f>
        <v xml:space="preserve">   </v>
      </c>
      <c r="I899" s="239" t="str">
        <f t="shared" ref="I899:I930" si="252">IFERROR(VLOOKUP(C899,Wis,4,FALSE),"   ")</f>
        <v xml:space="preserve">   </v>
      </c>
      <c r="J899" s="1638">
        <v>1250000</v>
      </c>
      <c r="K899" s="1604">
        <v>42169</v>
      </c>
      <c r="L899" s="1698">
        <v>3000000</v>
      </c>
      <c r="M899" s="1604">
        <v>42169</v>
      </c>
      <c r="N899" s="1639" t="s">
        <v>1162</v>
      </c>
      <c r="O899" s="1699"/>
      <c r="P899" s="1359"/>
      <c r="Q899" s="1655"/>
      <c r="R899" s="1656"/>
      <c r="S899" s="1655"/>
      <c r="T899" s="1656"/>
      <c r="U899" s="1654"/>
      <c r="V899" s="1430"/>
      <c r="W899" s="1654"/>
      <c r="X899" s="1430"/>
      <c r="Y899" s="1654"/>
      <c r="Z899" s="1430"/>
      <c r="AA899" s="1667"/>
      <c r="AB899" s="1653"/>
      <c r="AC899" s="1360"/>
      <c r="AD899" s="1666" t="str">
        <f t="shared" si="236"/>
        <v xml:space="preserve">  </v>
      </c>
      <c r="AE899" s="1590" t="str">
        <f t="shared" si="237"/>
        <v xml:space="preserve">  </v>
      </c>
      <c r="AF899" s="2300" t="s">
        <v>1329</v>
      </c>
      <c r="AG899" s="1612"/>
      <c r="AH899" s="1625" t="str">
        <f t="shared" si="242"/>
        <v>PAI</v>
      </c>
      <c r="AI899" s="1688">
        <f t="shared" ref="AI899:AI904" si="253">SUM(J899,L899,N899,P899,R899,T899,V899,X899,Z899,AB899,AD899,AF899)</f>
        <v>4250000</v>
      </c>
      <c r="AJ899" s="1685">
        <f t="shared" si="239"/>
        <v>4250000</v>
      </c>
      <c r="AK899" s="1686">
        <f t="shared" ref="AK899:AK904" si="254">AJ899-AI899</f>
        <v>0</v>
      </c>
      <c r="AL899" s="1687" t="s">
        <v>1334</v>
      </c>
      <c r="AM899" s="1410"/>
      <c r="AN899" s="1411"/>
      <c r="AO899" s="1410"/>
      <c r="AP899" s="1411"/>
      <c r="AQ899" s="1128"/>
      <c r="AR899" s="1173"/>
      <c r="AT899" s="1173"/>
      <c r="AV899" s="1173"/>
      <c r="AX899" s="1173"/>
      <c r="AY899" s="1176"/>
      <c r="AZ899" s="1173"/>
    </row>
    <row r="900" spans="1:52" s="2" customFormat="1" x14ac:dyDescent="0.25">
      <c r="A900" s="156">
        <v>839</v>
      </c>
      <c r="B900" s="172">
        <v>32</v>
      </c>
      <c r="C900" s="159">
        <v>849315027</v>
      </c>
      <c r="D900" s="158" t="s">
        <v>1361</v>
      </c>
      <c r="E900" s="160" t="s">
        <v>1328</v>
      </c>
      <c r="F900" s="161">
        <v>2015</v>
      </c>
      <c r="G900" s="162" t="s">
        <v>33</v>
      </c>
      <c r="H900" s="163">
        <f t="shared" si="251"/>
        <v>43369</v>
      </c>
      <c r="I900" s="163">
        <f t="shared" si="252"/>
        <v>43440</v>
      </c>
      <c r="J900" s="1443">
        <v>1250000</v>
      </c>
      <c r="K900" s="1383">
        <v>42164</v>
      </c>
      <c r="L900" s="1385">
        <v>3000000</v>
      </c>
      <c r="M900" s="1383">
        <v>42164</v>
      </c>
      <c r="N900" s="1385">
        <v>3000000</v>
      </c>
      <c r="O900" s="1383">
        <v>42403</v>
      </c>
      <c r="P900" s="1385">
        <v>3000000</v>
      </c>
      <c r="Q900" s="1383">
        <v>42570</v>
      </c>
      <c r="R900" s="1385">
        <v>3000000</v>
      </c>
      <c r="S900" s="1383">
        <v>42758</v>
      </c>
      <c r="T900" s="1358">
        <v>3000000</v>
      </c>
      <c r="U900" s="1383">
        <v>42937</v>
      </c>
      <c r="V900" s="1385">
        <v>3000000</v>
      </c>
      <c r="W900" s="1357">
        <v>43115</v>
      </c>
      <c r="X900" s="1385">
        <v>3000000</v>
      </c>
      <c r="Y900" s="1357">
        <v>43293</v>
      </c>
      <c r="Z900" s="1465" t="s">
        <v>1080</v>
      </c>
      <c r="AA900" s="1360"/>
      <c r="AB900" s="1385">
        <v>1000000</v>
      </c>
      <c r="AC900" s="1357">
        <v>42758</v>
      </c>
      <c r="AD900" s="1666" t="str">
        <f t="shared" si="236"/>
        <v xml:space="preserve">  </v>
      </c>
      <c r="AE900" s="1590" t="str">
        <f t="shared" si="237"/>
        <v xml:space="preserve">  </v>
      </c>
      <c r="AF900" s="2300" t="s">
        <v>1329</v>
      </c>
      <c r="AG900" s="1612"/>
      <c r="AH900" s="1625" t="str">
        <f t="shared" si="242"/>
        <v>PAI</v>
      </c>
      <c r="AI900" s="1689">
        <f t="shared" si="253"/>
        <v>23250000</v>
      </c>
      <c r="AJ900" s="1690">
        <f t="shared" si="239"/>
        <v>23250000</v>
      </c>
      <c r="AK900" s="1682">
        <f t="shared" si="254"/>
        <v>0</v>
      </c>
      <c r="AL900" s="1691" t="str">
        <f t="shared" ref="AL900:AL904" si="255">IF(AK900=0,"Lunas","Cek")</f>
        <v>Lunas</v>
      </c>
      <c r="AM900" s="1410"/>
      <c r="AN900" s="1411"/>
      <c r="AO900" s="1410"/>
      <c r="AP900" s="1411"/>
      <c r="AQ900" s="1128"/>
      <c r="AR900" s="1173"/>
      <c r="AT900" s="1173"/>
      <c r="AV900" s="1173"/>
      <c r="AX900" s="1173"/>
      <c r="AY900" s="1176"/>
      <c r="AZ900" s="1173"/>
    </row>
    <row r="901" spans="1:52" s="2" customFormat="1" x14ac:dyDescent="0.25">
      <c r="A901" s="156">
        <v>840</v>
      </c>
      <c r="B901" s="172">
        <v>33</v>
      </c>
      <c r="C901" s="159">
        <v>849315036</v>
      </c>
      <c r="D901" s="158" t="s">
        <v>1362</v>
      </c>
      <c r="E901" s="160" t="s">
        <v>1328</v>
      </c>
      <c r="F901" s="161">
        <v>2015</v>
      </c>
      <c r="G901" s="162" t="s">
        <v>33</v>
      </c>
      <c r="H901" s="163">
        <f t="shared" si="251"/>
        <v>43312</v>
      </c>
      <c r="I901" s="163">
        <f t="shared" si="252"/>
        <v>43440</v>
      </c>
      <c r="J901" s="1443">
        <v>1250000</v>
      </c>
      <c r="K901" s="1383">
        <v>42195</v>
      </c>
      <c r="L901" s="1385">
        <v>3000000</v>
      </c>
      <c r="M901" s="1383">
        <v>42195</v>
      </c>
      <c r="N901" s="1385">
        <v>3000000</v>
      </c>
      <c r="O901" s="1383">
        <v>42401</v>
      </c>
      <c r="P901" s="1385">
        <v>3000000</v>
      </c>
      <c r="Q901" s="1383">
        <v>42570</v>
      </c>
      <c r="R901" s="1385">
        <v>3000000</v>
      </c>
      <c r="S901" s="1383">
        <v>42758</v>
      </c>
      <c r="T901" s="1358">
        <v>3000000</v>
      </c>
      <c r="U901" s="1383">
        <v>42937</v>
      </c>
      <c r="V901" s="1443">
        <v>3000000</v>
      </c>
      <c r="W901" s="1357">
        <v>43115</v>
      </c>
      <c r="X901" s="1385">
        <v>3000000</v>
      </c>
      <c r="Y901" s="1357">
        <v>43293</v>
      </c>
      <c r="Z901" s="1465" t="s">
        <v>1080</v>
      </c>
      <c r="AA901" s="1360"/>
      <c r="AB901" s="1385">
        <v>1000000</v>
      </c>
      <c r="AC901" s="1357">
        <v>42758</v>
      </c>
      <c r="AD901" s="1666" t="str">
        <f t="shared" si="236"/>
        <v xml:space="preserve">  </v>
      </c>
      <c r="AE901" s="1590" t="str">
        <f t="shared" si="237"/>
        <v xml:space="preserve">  </v>
      </c>
      <c r="AF901" s="2300" t="s">
        <v>1329</v>
      </c>
      <c r="AG901" s="1612"/>
      <c r="AH901" s="1625" t="str">
        <f t="shared" si="242"/>
        <v>PAI</v>
      </c>
      <c r="AI901" s="1689">
        <f t="shared" si="253"/>
        <v>23250000</v>
      </c>
      <c r="AJ901" s="1690">
        <f t="shared" si="239"/>
        <v>23250000</v>
      </c>
      <c r="AK901" s="1682">
        <f t="shared" si="254"/>
        <v>0</v>
      </c>
      <c r="AL901" s="1691" t="str">
        <f t="shared" si="255"/>
        <v>Lunas</v>
      </c>
      <c r="AM901" s="1410"/>
      <c r="AN901" s="1411"/>
      <c r="AO901" s="1410"/>
      <c r="AP901" s="1411"/>
      <c r="AQ901" s="1128"/>
      <c r="AR901" s="1173"/>
      <c r="AT901" s="1173"/>
      <c r="AV901" s="1173"/>
      <c r="AX901" s="1173"/>
      <c r="AY901" s="1176"/>
      <c r="AZ901" s="1173"/>
    </row>
    <row r="902" spans="1:52" s="2" customFormat="1" x14ac:dyDescent="0.25">
      <c r="A902" s="156">
        <v>841</v>
      </c>
      <c r="B902" s="172">
        <v>34</v>
      </c>
      <c r="C902" s="174">
        <v>849315028</v>
      </c>
      <c r="D902" s="158" t="s">
        <v>1363</v>
      </c>
      <c r="E902" s="160" t="s">
        <v>1328</v>
      </c>
      <c r="F902" s="161">
        <v>2015</v>
      </c>
      <c r="G902" s="162" t="s">
        <v>33</v>
      </c>
      <c r="H902" s="163">
        <f t="shared" si="251"/>
        <v>43034</v>
      </c>
      <c r="I902" s="163">
        <f t="shared" si="252"/>
        <v>43218</v>
      </c>
      <c r="J902" s="1443">
        <v>1250000</v>
      </c>
      <c r="K902" s="1383">
        <v>42172</v>
      </c>
      <c r="L902" s="1385">
        <v>3000000</v>
      </c>
      <c r="M902" s="1383">
        <v>42172</v>
      </c>
      <c r="N902" s="1385">
        <v>3000000</v>
      </c>
      <c r="O902" s="1383">
        <v>42403</v>
      </c>
      <c r="P902" s="1385">
        <v>3000000</v>
      </c>
      <c r="Q902" s="1383">
        <v>42573</v>
      </c>
      <c r="R902" s="1385">
        <v>3000000</v>
      </c>
      <c r="S902" s="1383">
        <v>42755</v>
      </c>
      <c r="T902" s="1358">
        <v>3000000</v>
      </c>
      <c r="U902" s="1383">
        <v>42929</v>
      </c>
      <c r="V902" s="1389"/>
      <c r="W902" s="1654"/>
      <c r="X902" s="1430"/>
      <c r="Y902" s="1654"/>
      <c r="Z902" s="1430"/>
      <c r="AA902" s="1667"/>
      <c r="AB902" s="1480">
        <v>1000000</v>
      </c>
      <c r="AC902" s="1365">
        <v>42755</v>
      </c>
      <c r="AD902" s="1666" t="str">
        <f t="shared" si="236"/>
        <v xml:space="preserve">  </v>
      </c>
      <c r="AE902" s="1590" t="str">
        <f t="shared" si="237"/>
        <v xml:space="preserve">  </v>
      </c>
      <c r="AF902" s="2300" t="s">
        <v>1329</v>
      </c>
      <c r="AG902" s="1612"/>
      <c r="AH902" s="1625" t="str">
        <f t="shared" si="242"/>
        <v>PAI</v>
      </c>
      <c r="AI902" s="1689">
        <f t="shared" si="253"/>
        <v>17250000</v>
      </c>
      <c r="AJ902" s="1690">
        <f t="shared" si="239"/>
        <v>17250000</v>
      </c>
      <c r="AK902" s="1682">
        <f t="shared" si="254"/>
        <v>0</v>
      </c>
      <c r="AL902" s="1691" t="str">
        <f t="shared" si="255"/>
        <v>Lunas</v>
      </c>
      <c r="AM902" s="1410"/>
      <c r="AN902" s="1411"/>
      <c r="AO902" s="1410"/>
      <c r="AP902" s="1411"/>
      <c r="AQ902" s="1128"/>
      <c r="AR902" s="1173"/>
      <c r="AT902" s="1173"/>
      <c r="AV902" s="1173"/>
      <c r="AX902" s="1173"/>
      <c r="AY902" s="1176"/>
      <c r="AZ902" s="1173"/>
    </row>
    <row r="903" spans="1:52" s="2" customFormat="1" x14ac:dyDescent="0.25">
      <c r="A903" s="156">
        <v>842</v>
      </c>
      <c r="B903" s="172">
        <v>35</v>
      </c>
      <c r="C903" s="159">
        <v>849315029</v>
      </c>
      <c r="D903" s="158" t="s">
        <v>1364</v>
      </c>
      <c r="E903" s="160" t="s">
        <v>1328</v>
      </c>
      <c r="F903" s="161">
        <v>2015</v>
      </c>
      <c r="G903" s="162" t="s">
        <v>33</v>
      </c>
      <c r="H903" s="163">
        <f t="shared" si="251"/>
        <v>43203</v>
      </c>
      <c r="I903" s="163">
        <f t="shared" si="252"/>
        <v>43440</v>
      </c>
      <c r="J903" s="1443">
        <v>1250000</v>
      </c>
      <c r="K903" s="1383">
        <v>42209</v>
      </c>
      <c r="L903" s="1385">
        <v>3000000</v>
      </c>
      <c r="M903" s="1383">
        <v>42209</v>
      </c>
      <c r="N903" s="1385">
        <v>3000000</v>
      </c>
      <c r="O903" s="1383">
        <v>42398</v>
      </c>
      <c r="P903" s="1385">
        <v>3000000</v>
      </c>
      <c r="Q903" s="1383">
        <v>42583</v>
      </c>
      <c r="R903" s="1385">
        <v>3000000</v>
      </c>
      <c r="S903" s="1383">
        <v>43000</v>
      </c>
      <c r="T903" s="1358">
        <v>3000000</v>
      </c>
      <c r="U903" s="1383">
        <v>43000</v>
      </c>
      <c r="V903" s="1443">
        <v>3000000</v>
      </c>
      <c r="W903" s="1357">
        <v>43206</v>
      </c>
      <c r="X903" s="1465" t="s">
        <v>1080</v>
      </c>
      <c r="Y903" s="1474"/>
      <c r="Z903" s="1430"/>
      <c r="AA903" s="1667"/>
      <c r="AB903" s="1385">
        <v>1000000</v>
      </c>
      <c r="AC903" s="1357">
        <v>43206</v>
      </c>
      <c r="AD903" s="1666" t="str">
        <f t="shared" si="236"/>
        <v xml:space="preserve">  </v>
      </c>
      <c r="AE903" s="1590" t="str">
        <f t="shared" si="237"/>
        <v xml:space="preserve">  </v>
      </c>
      <c r="AF903" s="2300" t="s">
        <v>1329</v>
      </c>
      <c r="AG903" s="1612"/>
      <c r="AH903" s="1625" t="str">
        <f t="shared" si="242"/>
        <v>PAI</v>
      </c>
      <c r="AI903" s="1689">
        <f t="shared" si="253"/>
        <v>20250000</v>
      </c>
      <c r="AJ903" s="1690">
        <f t="shared" si="239"/>
        <v>20250000</v>
      </c>
      <c r="AK903" s="1682">
        <f t="shared" si="254"/>
        <v>0</v>
      </c>
      <c r="AL903" s="1691" t="str">
        <f t="shared" si="255"/>
        <v>Lunas</v>
      </c>
      <c r="AM903" s="1410"/>
      <c r="AN903" s="1411"/>
      <c r="AO903" s="1410"/>
      <c r="AP903" s="1411"/>
      <c r="AQ903" s="1128"/>
      <c r="AR903" s="1173"/>
      <c r="AT903" s="1173"/>
      <c r="AV903" s="1173"/>
      <c r="AX903" s="1173"/>
      <c r="AY903" s="1176"/>
      <c r="AZ903" s="1173"/>
    </row>
    <row r="904" spans="1:52" s="2" customFormat="1" x14ac:dyDescent="0.25">
      <c r="A904" s="180">
        <v>843</v>
      </c>
      <c r="B904" s="348">
        <v>36</v>
      </c>
      <c r="C904" s="183">
        <v>849315034</v>
      </c>
      <c r="D904" s="182" t="s">
        <v>1365</v>
      </c>
      <c r="E904" s="184" t="s">
        <v>1328</v>
      </c>
      <c r="F904" s="185">
        <v>2015</v>
      </c>
      <c r="G904" s="186" t="s">
        <v>33</v>
      </c>
      <c r="H904" s="284">
        <f t="shared" si="251"/>
        <v>43110</v>
      </c>
      <c r="I904" s="284">
        <f t="shared" si="252"/>
        <v>43218</v>
      </c>
      <c r="J904" s="1700">
        <v>1250000</v>
      </c>
      <c r="K904" s="1463">
        <v>42215</v>
      </c>
      <c r="L904" s="1484">
        <v>3000000</v>
      </c>
      <c r="M904" s="1463">
        <v>42215</v>
      </c>
      <c r="N904" s="1484">
        <v>3000000</v>
      </c>
      <c r="O904" s="1463">
        <v>42401</v>
      </c>
      <c r="P904" s="1484">
        <v>3000000</v>
      </c>
      <c r="Q904" s="1463">
        <v>42573</v>
      </c>
      <c r="R904" s="1484">
        <v>3000000</v>
      </c>
      <c r="S904" s="1463">
        <v>42783</v>
      </c>
      <c r="T904" s="1434">
        <v>3000000</v>
      </c>
      <c r="U904" s="1463">
        <v>43097</v>
      </c>
      <c r="V904" s="1552" t="s">
        <v>1080</v>
      </c>
      <c r="W904" s="1720"/>
      <c r="X904" s="1448"/>
      <c r="Y904" s="1728"/>
      <c r="Z904" s="1448"/>
      <c r="AA904" s="1729"/>
      <c r="AB904" s="1484">
        <v>1000000</v>
      </c>
      <c r="AC904" s="1435">
        <v>43097</v>
      </c>
      <c r="AD904" s="1666" t="str">
        <f t="shared" si="236"/>
        <v xml:space="preserve">  </v>
      </c>
      <c r="AE904" s="1590" t="str">
        <f t="shared" si="237"/>
        <v xml:space="preserve">  </v>
      </c>
      <c r="AF904" s="2300" t="s">
        <v>1329</v>
      </c>
      <c r="AG904" s="1612"/>
      <c r="AH904" s="1625" t="str">
        <f t="shared" si="242"/>
        <v>PAI</v>
      </c>
      <c r="AI904" s="1739">
        <f t="shared" si="253"/>
        <v>17250000</v>
      </c>
      <c r="AJ904" s="1740">
        <f t="shared" si="239"/>
        <v>17250000</v>
      </c>
      <c r="AK904" s="1741">
        <f t="shared" si="254"/>
        <v>0</v>
      </c>
      <c r="AL904" s="1742" t="str">
        <f t="shared" si="255"/>
        <v>Lunas</v>
      </c>
      <c r="AM904" s="1410"/>
      <c r="AN904" s="1411"/>
      <c r="AO904" s="1410"/>
      <c r="AP904" s="1411"/>
      <c r="AQ904" s="1128"/>
      <c r="AR904" s="1173"/>
      <c r="AT904" s="1173"/>
      <c r="AV904" s="1173"/>
      <c r="AX904" s="1173"/>
      <c r="AY904" s="1176"/>
      <c r="AZ904" s="1173"/>
    </row>
    <row r="905" spans="1:52" s="4" customFormat="1" x14ac:dyDescent="0.25">
      <c r="A905" s="349"/>
      <c r="B905" s="350"/>
      <c r="C905" s="1692"/>
      <c r="D905" s="187"/>
      <c r="E905" s="352" t="s">
        <v>61</v>
      </c>
      <c r="F905" s="353" t="s">
        <v>61</v>
      </c>
      <c r="G905" s="192" t="s">
        <v>61</v>
      </c>
      <c r="H905" s="193" t="str">
        <f t="shared" si="251"/>
        <v xml:space="preserve">   </v>
      </c>
      <c r="I905" s="193" t="str">
        <f t="shared" si="252"/>
        <v xml:space="preserve">   </v>
      </c>
      <c r="J905" s="1409"/>
      <c r="K905" s="1436"/>
      <c r="L905" s="1409"/>
      <c r="M905" s="1436"/>
      <c r="N905" s="1606"/>
      <c r="O905" s="1436"/>
      <c r="P905" s="1409"/>
      <c r="Q905" s="1436"/>
      <c r="R905" s="1606"/>
      <c r="S905" s="1464"/>
      <c r="T905" s="1409"/>
      <c r="U905" s="1436"/>
      <c r="V905" s="1409"/>
      <c r="W905" s="1436"/>
      <c r="X905" s="1721"/>
      <c r="Y905" s="1436"/>
      <c r="Z905" s="1721"/>
      <c r="AA905" s="1436"/>
      <c r="AB905" s="1721"/>
      <c r="AC905" s="1436"/>
      <c r="AD905" s="1730"/>
      <c r="AE905" s="1436"/>
      <c r="AF905" s="1730"/>
      <c r="AG905" s="1436"/>
      <c r="AH905" s="1677"/>
      <c r="AI905" s="1730"/>
      <c r="AJ905" s="1409"/>
      <c r="AK905" s="1409"/>
      <c r="AL905" s="187"/>
      <c r="AM905" s="1215"/>
      <c r="AN905" s="1743"/>
      <c r="AO905" s="1215"/>
      <c r="AP905" s="1743"/>
      <c r="AQ905" s="1215"/>
      <c r="AR905" s="1216"/>
      <c r="AT905" s="1216"/>
      <c r="AV905" s="1216"/>
      <c r="AX905" s="1216"/>
      <c r="AY905" s="1217"/>
      <c r="AZ905" s="1216"/>
    </row>
    <row r="906" spans="1:52" s="2" customFormat="1" x14ac:dyDescent="0.25">
      <c r="A906" s="194" t="s">
        <v>1366</v>
      </c>
      <c r="B906" s="250"/>
      <c r="C906" s="274"/>
      <c r="D906" s="354"/>
      <c r="E906" s="198" t="s">
        <v>1096</v>
      </c>
      <c r="F906" s="199" t="s">
        <v>1096</v>
      </c>
      <c r="G906" s="146">
        <v>3000000</v>
      </c>
      <c r="H906" s="232" t="str">
        <f t="shared" si="251"/>
        <v xml:space="preserve">   </v>
      </c>
      <c r="I906" s="232" t="str">
        <f t="shared" si="252"/>
        <v xml:space="preserve">   </v>
      </c>
      <c r="J906" s="1450">
        <v>1250000</v>
      </c>
      <c r="K906" s="1529"/>
      <c r="L906" s="1582" t="s">
        <v>1049</v>
      </c>
      <c r="M906" s="1502" t="s">
        <v>1058</v>
      </c>
      <c r="N906" s="1582" t="s">
        <v>1051</v>
      </c>
      <c r="O906" s="1502" t="s">
        <v>1060</v>
      </c>
      <c r="P906" s="1582" t="s">
        <v>1053</v>
      </c>
      <c r="Q906" s="1502" t="s">
        <v>1062</v>
      </c>
      <c r="R906" s="1582" t="s">
        <v>1055</v>
      </c>
      <c r="S906" s="1502" t="s">
        <v>1064</v>
      </c>
      <c r="T906" s="1582" t="s">
        <v>1057</v>
      </c>
      <c r="U906" s="1502" t="s">
        <v>1066</v>
      </c>
      <c r="V906" s="1582" t="s">
        <v>1059</v>
      </c>
      <c r="W906" s="1502" t="s">
        <v>1068</v>
      </c>
      <c r="X906" s="1582" t="s">
        <v>1061</v>
      </c>
      <c r="Y906" s="1502" t="s">
        <v>1141</v>
      </c>
      <c r="Z906" s="1582" t="s">
        <v>1063</v>
      </c>
      <c r="AA906" s="1502" t="s">
        <v>1325</v>
      </c>
      <c r="AB906" s="1450">
        <v>1000000</v>
      </c>
      <c r="AC906" s="1663" t="s">
        <v>1326</v>
      </c>
      <c r="AD906" s="1450">
        <v>500000</v>
      </c>
      <c r="AE906" s="1663" t="s">
        <v>22</v>
      </c>
      <c r="AF906" s="1662"/>
      <c r="AG906" s="1436"/>
      <c r="AH906" s="1408"/>
      <c r="AI906" s="1512"/>
      <c r="AJ906" s="1409"/>
      <c r="AK906" s="1409"/>
      <c r="AL906" s="1513"/>
      <c r="AM906" s="1513"/>
      <c r="AN906" s="1514"/>
      <c r="AO906" s="1513"/>
      <c r="AP906" s="1514"/>
      <c r="AQ906" s="1128"/>
      <c r="AR906" s="1173"/>
      <c r="AT906" s="1173"/>
      <c r="AV906" s="1173"/>
      <c r="AX906" s="1173"/>
      <c r="AY906" s="1176"/>
      <c r="AZ906" s="1173"/>
    </row>
    <row r="907" spans="1:52" s="2" customFormat="1" x14ac:dyDescent="0.25">
      <c r="A907" s="200">
        <v>844</v>
      </c>
      <c r="B907" s="355">
        <v>1</v>
      </c>
      <c r="C907" s="357">
        <v>849215001</v>
      </c>
      <c r="D907" s="356" t="s">
        <v>1367</v>
      </c>
      <c r="E907" s="358" t="s">
        <v>1110</v>
      </c>
      <c r="F907" s="359">
        <v>2015</v>
      </c>
      <c r="G907" s="162" t="s">
        <v>33</v>
      </c>
      <c r="H907" s="163">
        <f t="shared" si="251"/>
        <v>43650</v>
      </c>
      <c r="I907" s="163">
        <f t="shared" si="252"/>
        <v>43750</v>
      </c>
      <c r="J907" s="1701">
        <v>1250000</v>
      </c>
      <c r="K907" s="1702"/>
      <c r="L907" s="1703">
        <v>3000000</v>
      </c>
      <c r="M907" s="1704">
        <v>42137</v>
      </c>
      <c r="N907" s="1703">
        <v>3000000</v>
      </c>
      <c r="O907" s="1704">
        <v>42401</v>
      </c>
      <c r="P907" s="1703">
        <v>3000000</v>
      </c>
      <c r="Q907" s="1704">
        <v>42570</v>
      </c>
      <c r="R907" s="1703">
        <v>3000000</v>
      </c>
      <c r="S907" s="1704">
        <v>42755</v>
      </c>
      <c r="T907" s="1722">
        <v>3000000</v>
      </c>
      <c r="U907" s="1704">
        <v>43243</v>
      </c>
      <c r="V907" s="1701">
        <v>3000000</v>
      </c>
      <c r="W907" s="1702">
        <v>43636</v>
      </c>
      <c r="X907" s="1703">
        <v>3000000</v>
      </c>
      <c r="Y907" s="1702" t="s">
        <v>1368</v>
      </c>
      <c r="Z907" s="1703">
        <v>3000000</v>
      </c>
      <c r="AA907" s="1702" t="s">
        <v>1368</v>
      </c>
      <c r="AB907" s="1703">
        <v>1000000</v>
      </c>
      <c r="AC907" s="1452">
        <v>43243</v>
      </c>
      <c r="AD907" s="1666" t="str">
        <f>IFERROR(VLOOKUP(C907,BSP,3,FALSE),"  ")</f>
        <v xml:space="preserve">  </v>
      </c>
      <c r="AE907" s="1590" t="str">
        <f>IFERROR((VLOOKUP(C907,BSP,4,FALSE)),"  ")</f>
        <v xml:space="preserve">  </v>
      </c>
      <c r="AF907" s="2300" t="s">
        <v>1329</v>
      </c>
      <c r="AG907" s="1612"/>
      <c r="AH907" s="1625" t="str">
        <f t="shared" ref="AH907:AH916" si="256">E907</f>
        <v>PBA</v>
      </c>
      <c r="AI907" s="1678">
        <f t="shared" ref="AI907" si="257">SUM(J907,L907,N907,P907,R907,T907,V907,X907,Z907,AB907,AD907,AF907)</f>
        <v>26250000</v>
      </c>
      <c r="AJ907" s="1679">
        <f>(COUNT(L907,N907,P907,R907,T907,V907,X907,Z907)*$G$868)+(COUNT(J907)*$J$868)+(COUNT(AB907)*$AB$868)+(COUNT(AD907)*$AD$868)</f>
        <v>26250000</v>
      </c>
      <c r="AK907" s="1419">
        <f t="shared" ref="AK907" si="258">AJ907-AI907</f>
        <v>0</v>
      </c>
      <c r="AL907" s="1420" t="str">
        <f t="shared" ref="AL907" si="259">IF(AK907=0,"Lunas","Cek")</f>
        <v>Lunas</v>
      </c>
      <c r="AM907" s="1410"/>
      <c r="AN907" s="1411"/>
      <c r="AO907" s="1410"/>
      <c r="AP907" s="1411"/>
      <c r="AQ907" s="1128"/>
      <c r="AR907" s="1173"/>
      <c r="AT907" s="1173"/>
      <c r="AV907" s="1173"/>
      <c r="AX907" s="1173"/>
      <c r="AY907" s="1176"/>
      <c r="AZ907" s="1173"/>
    </row>
    <row r="908" spans="1:52" s="2" customFormat="1" x14ac:dyDescent="0.25">
      <c r="A908" s="156">
        <v>845</v>
      </c>
      <c r="B908" s="344">
        <v>2</v>
      </c>
      <c r="C908" s="178">
        <v>849215002</v>
      </c>
      <c r="D908" s="177" t="s">
        <v>1369</v>
      </c>
      <c r="E908" s="346" t="s">
        <v>1110</v>
      </c>
      <c r="F908" s="317">
        <v>2015</v>
      </c>
      <c r="G908" s="162" t="s">
        <v>33</v>
      </c>
      <c r="H908" s="163">
        <f t="shared" si="251"/>
        <v>43832</v>
      </c>
      <c r="I908" s="163">
        <f t="shared" si="252"/>
        <v>44168</v>
      </c>
      <c r="J908" s="1636">
        <v>1250000</v>
      </c>
      <c r="K908" s="1365"/>
      <c r="L908" s="1480">
        <v>3000000</v>
      </c>
      <c r="M908" s="1637">
        <v>42143</v>
      </c>
      <c r="N908" s="1480">
        <v>3000000</v>
      </c>
      <c r="O908" s="1637">
        <v>42401</v>
      </c>
      <c r="P908" s="1636">
        <v>3000000</v>
      </c>
      <c r="Q908" s="1637">
        <v>42573</v>
      </c>
      <c r="R908" s="1480">
        <v>3000000</v>
      </c>
      <c r="S908" s="1637" t="s">
        <v>1370</v>
      </c>
      <c r="T908" s="1431">
        <v>3000000</v>
      </c>
      <c r="U908" s="1637">
        <v>42755</v>
      </c>
      <c r="V908" s="1636">
        <v>3000000</v>
      </c>
      <c r="W908" s="1365">
        <v>43126</v>
      </c>
      <c r="X908" s="1480">
        <v>3000000</v>
      </c>
      <c r="Y908" s="1365">
        <v>43577</v>
      </c>
      <c r="Z908" s="1480">
        <v>3000000</v>
      </c>
      <c r="AA908" s="1365">
        <v>43577</v>
      </c>
      <c r="AB908" s="1480">
        <v>1000000</v>
      </c>
      <c r="AC908" s="1365">
        <v>43126</v>
      </c>
      <c r="AD908" s="1480">
        <v>500000</v>
      </c>
      <c r="AE908" s="1365">
        <v>43860</v>
      </c>
      <c r="AF908" s="1480">
        <v>3000000</v>
      </c>
      <c r="AG908" s="1365">
        <v>43822</v>
      </c>
      <c r="AH908" s="1625" t="str">
        <f t="shared" si="256"/>
        <v>PBA</v>
      </c>
      <c r="AI908" s="1417">
        <f t="shared" ref="AI908:AI916" si="260">SUM(J908,L908,N908,P908,R908,T908,V908,X908,Z908,AB908,AD908,AF908)</f>
        <v>29750000</v>
      </c>
      <c r="AJ908" s="1418">
        <f>(COUNT(L908,N908,P908,R908,T908,V908,X908,Z908)*$G$868)+(COUNT(J908)*$J$868)+(COUNT(AB908)*$AB$868)+(COUNT(AD908)*$AD$868)+AF908</f>
        <v>29750000</v>
      </c>
      <c r="AK908" s="1419">
        <f t="shared" ref="AK908:AK916" si="261">AJ908-AI908</f>
        <v>0</v>
      </c>
      <c r="AL908" s="1420" t="str">
        <f t="shared" ref="AL908:AL914" si="262">IF(AK908=0,"Lunas","Cek")</f>
        <v>Lunas</v>
      </c>
      <c r="AM908" s="1410"/>
      <c r="AN908" s="1411"/>
      <c r="AO908" s="1410"/>
      <c r="AP908" s="1411"/>
      <c r="AQ908" s="1128"/>
      <c r="AR908" s="1173"/>
      <c r="AT908" s="1173"/>
      <c r="AV908" s="1173"/>
      <c r="AX908" s="1173"/>
      <c r="AY908" s="1176"/>
      <c r="AZ908" s="1173"/>
    </row>
    <row r="909" spans="1:52" s="2" customFormat="1" x14ac:dyDescent="0.25">
      <c r="A909" s="156">
        <v>846</v>
      </c>
      <c r="B909" s="172">
        <v>3</v>
      </c>
      <c r="C909" s="159">
        <v>849215003</v>
      </c>
      <c r="D909" s="158" t="s">
        <v>1371</v>
      </c>
      <c r="E909" s="160" t="s">
        <v>1110</v>
      </c>
      <c r="F909" s="161">
        <v>2015</v>
      </c>
      <c r="G909" s="162" t="s">
        <v>33</v>
      </c>
      <c r="H909" s="163">
        <f t="shared" si="251"/>
        <v>43244</v>
      </c>
      <c r="I909" s="163">
        <f t="shared" si="252"/>
        <v>43440</v>
      </c>
      <c r="J909" s="1443">
        <v>1250000</v>
      </c>
      <c r="K909" s="1357"/>
      <c r="L909" s="1385">
        <v>3000000</v>
      </c>
      <c r="M909" s="1383">
        <v>42313</v>
      </c>
      <c r="N909" s="1385">
        <v>3000000</v>
      </c>
      <c r="O909" s="1383">
        <v>42401</v>
      </c>
      <c r="P909" s="1385">
        <v>3000000</v>
      </c>
      <c r="Q909" s="1383">
        <v>42573</v>
      </c>
      <c r="R909" s="1385">
        <v>3000000</v>
      </c>
      <c r="S909" s="1383">
        <v>42755</v>
      </c>
      <c r="T909" s="1358">
        <v>3000000</v>
      </c>
      <c r="U909" s="1383">
        <v>42929</v>
      </c>
      <c r="V909" s="1443">
        <v>3000000</v>
      </c>
      <c r="W909" s="1357">
        <v>43206</v>
      </c>
      <c r="X909" s="1465" t="s">
        <v>1080</v>
      </c>
      <c r="Y909" s="1474"/>
      <c r="Z909" s="1363"/>
      <c r="AA909" s="1563"/>
      <c r="AB909" s="1385">
        <v>1000000</v>
      </c>
      <c r="AC909" s="1357">
        <v>42755</v>
      </c>
      <c r="AD909" s="1731" t="str">
        <f t="shared" ref="AD909:AD916" si="263">IFERROR(VLOOKUP(C909,BSP,3,FALSE),"  ")</f>
        <v xml:space="preserve">  </v>
      </c>
      <c r="AE909" s="1367" t="str">
        <f t="shared" ref="AE909:AE916" si="264">IFERROR((VLOOKUP(C909,BSP,4,FALSE)),"  ")</f>
        <v xml:space="preserve">  </v>
      </c>
      <c r="AF909" s="2300" t="s">
        <v>1329</v>
      </c>
      <c r="AG909" s="1612"/>
      <c r="AH909" s="1625" t="str">
        <f t="shared" si="256"/>
        <v>PBA</v>
      </c>
      <c r="AI909" s="1678">
        <f t="shared" si="260"/>
        <v>20250000</v>
      </c>
      <c r="AJ909" s="1679">
        <f>(COUNT(L909,N909,P909,R909,T909,V909,X909,Z909)*$G$868)+(COUNT(J909)*$J$868)+(COUNT(AB909)*$AB$868)+(COUNT(AD909)*$AD$868)</f>
        <v>20250000</v>
      </c>
      <c r="AK909" s="1419">
        <f t="shared" si="261"/>
        <v>0</v>
      </c>
      <c r="AL909" s="1420" t="str">
        <f t="shared" si="262"/>
        <v>Lunas</v>
      </c>
      <c r="AM909" s="1410"/>
      <c r="AN909" s="1411"/>
      <c r="AO909" s="1410"/>
      <c r="AP909" s="1411"/>
      <c r="AQ909" s="1128"/>
      <c r="AR909" s="1173"/>
      <c r="AT909" s="1173"/>
      <c r="AV909" s="1173"/>
      <c r="AX909" s="1173"/>
      <c r="AY909" s="1176"/>
      <c r="AZ909" s="1173"/>
    </row>
    <row r="910" spans="1:52" s="2" customFormat="1" x14ac:dyDescent="0.25">
      <c r="A910" s="164">
        <v>847</v>
      </c>
      <c r="B910" s="345">
        <v>4</v>
      </c>
      <c r="C910" s="174">
        <v>849215004</v>
      </c>
      <c r="D910" s="166" t="s">
        <v>1372</v>
      </c>
      <c r="E910" s="168" t="s">
        <v>1110</v>
      </c>
      <c r="F910" s="169">
        <v>2015</v>
      </c>
      <c r="G910" s="214" t="s">
        <v>1077</v>
      </c>
      <c r="H910" s="265" t="str">
        <f t="shared" si="251"/>
        <v xml:space="preserve">   </v>
      </c>
      <c r="I910" s="265" t="str">
        <f t="shared" si="252"/>
        <v xml:space="preserve">   </v>
      </c>
      <c r="J910" s="1635">
        <v>1250000</v>
      </c>
      <c r="K910" s="1360"/>
      <c r="L910" s="1389">
        <v>3000000</v>
      </c>
      <c r="M910" s="1500">
        <v>42193</v>
      </c>
      <c r="N910" s="1389">
        <v>3000000</v>
      </c>
      <c r="O910" s="1500">
        <v>42403</v>
      </c>
      <c r="P910" s="1389">
        <v>3000000</v>
      </c>
      <c r="Q910" s="1500">
        <v>42604</v>
      </c>
      <c r="R910" s="1389">
        <v>3000000</v>
      </c>
      <c r="S910" s="1360">
        <v>43116</v>
      </c>
      <c r="T910" s="1430">
        <v>3000000</v>
      </c>
      <c r="U910" s="1360">
        <v>43116</v>
      </c>
      <c r="V910" s="1389">
        <v>3000000</v>
      </c>
      <c r="W910" s="1360">
        <v>43116</v>
      </c>
      <c r="X910" s="1723">
        <v>3000000</v>
      </c>
      <c r="Y910" s="1360">
        <v>43116</v>
      </c>
      <c r="Z910" s="1723">
        <v>3000000</v>
      </c>
      <c r="AA910" s="1360">
        <v>43116</v>
      </c>
      <c r="AB910" s="1389">
        <v>1000000</v>
      </c>
      <c r="AC910" s="1360">
        <v>43116</v>
      </c>
      <c r="AD910" s="1666" t="str">
        <f t="shared" si="263"/>
        <v xml:space="preserve">  </v>
      </c>
      <c r="AE910" s="1590" t="str">
        <f t="shared" si="264"/>
        <v xml:space="preserve">  </v>
      </c>
      <c r="AF910" s="1732">
        <v>6000000</v>
      </c>
      <c r="AG910" s="1744">
        <v>43962</v>
      </c>
      <c r="AH910" s="1625" t="str">
        <f t="shared" si="256"/>
        <v>PBA</v>
      </c>
      <c r="AI910" s="1417">
        <f t="shared" ref="AI910" si="265">SUM(J910,L910,N910,P910,R910,T910,V910,X910,Z910,AB910,AD910,AF910)</f>
        <v>32250000</v>
      </c>
      <c r="AJ910" s="1418">
        <f>(COUNT(L910,N910,P910,R910,T910,V910,X910,Z910)*$G$868)+(COUNT(J910)*$J$868)+(COUNT(AB910)*$AB$868)+(COUNT(AD910)*$AD$868)+AF910</f>
        <v>32250000</v>
      </c>
      <c r="AK910" s="1419">
        <f t="shared" ref="AK910" si="266">AJ910-AI910</f>
        <v>0</v>
      </c>
      <c r="AL910" s="1420" t="str">
        <f t="shared" ref="AL910" si="267">IF(AK910=0,"Lunas","Cek")</f>
        <v>Lunas</v>
      </c>
      <c r="AM910" s="1410"/>
      <c r="AN910" s="1411"/>
      <c r="AO910" s="1410"/>
      <c r="AP910" s="1411"/>
      <c r="AQ910" s="1128"/>
      <c r="AR910" s="1173"/>
      <c r="AT910" s="1173"/>
      <c r="AV910" s="1173"/>
      <c r="AX910" s="1173"/>
      <c r="AY910" s="1176"/>
      <c r="AZ910" s="1173"/>
    </row>
    <row r="911" spans="1:52" s="2" customFormat="1" x14ac:dyDescent="0.25">
      <c r="A911" s="156">
        <v>848</v>
      </c>
      <c r="B911" s="172">
        <v>6</v>
      </c>
      <c r="C911" s="159">
        <v>849215005</v>
      </c>
      <c r="D911" s="158" t="s">
        <v>1373</v>
      </c>
      <c r="E911" s="160" t="s">
        <v>1110</v>
      </c>
      <c r="F911" s="161">
        <v>2015</v>
      </c>
      <c r="G911" s="162" t="s">
        <v>33</v>
      </c>
      <c r="H911" s="163">
        <f t="shared" si="251"/>
        <v>43082</v>
      </c>
      <c r="I911" s="163">
        <f t="shared" si="252"/>
        <v>43440</v>
      </c>
      <c r="J911" s="1443">
        <v>1250000</v>
      </c>
      <c r="K911" s="1357"/>
      <c r="L911" s="1385">
        <v>3000000</v>
      </c>
      <c r="M911" s="1383">
        <v>42181</v>
      </c>
      <c r="N911" s="1385">
        <v>3000000</v>
      </c>
      <c r="O911" s="1383">
        <v>42401</v>
      </c>
      <c r="P911" s="1443">
        <v>3000000</v>
      </c>
      <c r="Q911" s="1383">
        <v>42577</v>
      </c>
      <c r="R911" s="1385">
        <v>3000000</v>
      </c>
      <c r="S911" s="1383">
        <v>42821</v>
      </c>
      <c r="T911" s="1358">
        <v>3000000</v>
      </c>
      <c r="U911" s="1383">
        <v>42929</v>
      </c>
      <c r="V911" s="1465" t="s">
        <v>1080</v>
      </c>
      <c r="W911" s="1474"/>
      <c r="X911" s="1363"/>
      <c r="Y911" s="1391"/>
      <c r="Z911" s="1363"/>
      <c r="AA911" s="1563"/>
      <c r="AB911" s="1385">
        <v>1000000</v>
      </c>
      <c r="AC911" s="1357">
        <v>42993</v>
      </c>
      <c r="AD911" s="1666" t="str">
        <f t="shared" si="263"/>
        <v xml:space="preserve">  </v>
      </c>
      <c r="AE911" s="1590" t="str">
        <f t="shared" si="264"/>
        <v xml:space="preserve">  </v>
      </c>
      <c r="AF911" s="2300" t="s">
        <v>1329</v>
      </c>
      <c r="AG911" s="1612"/>
      <c r="AH911" s="1625" t="str">
        <f t="shared" si="256"/>
        <v>PBA</v>
      </c>
      <c r="AI911" s="1678">
        <f t="shared" si="260"/>
        <v>17250000</v>
      </c>
      <c r="AJ911" s="1679">
        <f t="shared" ref="AJ911:AJ916" si="268">(COUNT(L911,N911,P911,R911,T911,V911,X911,Z911)*$G$868)+(COUNT(J911)*$J$868)+(COUNT(AB911)*$AB$868)+(COUNT(AD911)*$AD$868)</f>
        <v>17250000</v>
      </c>
      <c r="AK911" s="1419">
        <f t="shared" si="261"/>
        <v>0</v>
      </c>
      <c r="AL911" s="1420" t="str">
        <f t="shared" si="262"/>
        <v>Lunas</v>
      </c>
      <c r="AM911" s="1410"/>
      <c r="AN911" s="1411"/>
      <c r="AO911" s="1410"/>
      <c r="AP911" s="1411"/>
      <c r="AQ911" s="1128"/>
      <c r="AR911" s="1173"/>
      <c r="AT911" s="1173"/>
      <c r="AV911" s="1173"/>
      <c r="AX911" s="1173"/>
      <c r="AY911" s="1176"/>
      <c r="AZ911" s="1173"/>
    </row>
    <row r="912" spans="1:52" s="2" customFormat="1" x14ac:dyDescent="0.25">
      <c r="A912" s="234">
        <v>849</v>
      </c>
      <c r="B912" s="586">
        <v>8</v>
      </c>
      <c r="C912" s="304">
        <v>849215006</v>
      </c>
      <c r="D912" s="301" t="s">
        <v>1374</v>
      </c>
      <c r="E912" s="298" t="s">
        <v>1110</v>
      </c>
      <c r="F912" s="299">
        <v>2015</v>
      </c>
      <c r="G912" s="214" t="s">
        <v>1077</v>
      </c>
      <c r="H912" s="265" t="str">
        <f t="shared" si="251"/>
        <v xml:space="preserve">   </v>
      </c>
      <c r="I912" s="265" t="str">
        <f t="shared" si="252"/>
        <v xml:space="preserve">   </v>
      </c>
      <c r="J912" s="1635">
        <v>1250000</v>
      </c>
      <c r="K912" s="1360"/>
      <c r="L912" s="1389">
        <v>3000000</v>
      </c>
      <c r="M912" s="1500">
        <v>42194</v>
      </c>
      <c r="N912" s="1389">
        <v>3000000</v>
      </c>
      <c r="O912" s="1500">
        <v>42398</v>
      </c>
      <c r="P912" s="1389">
        <v>3000000</v>
      </c>
      <c r="Q912" s="1500">
        <v>42573</v>
      </c>
      <c r="R912" s="1389"/>
      <c r="S912" s="1500"/>
      <c r="T912" s="1430">
        <v>3000000</v>
      </c>
      <c r="U912" s="1500">
        <v>42936</v>
      </c>
      <c r="V912" s="1714"/>
      <c r="W912" s="1391"/>
      <c r="X912" s="1363"/>
      <c r="Y912" s="1391"/>
      <c r="Z912" s="1363"/>
      <c r="AA912" s="1563"/>
      <c r="AB912" s="1389">
        <v>1000000</v>
      </c>
      <c r="AC912" s="1360">
        <v>42936</v>
      </c>
      <c r="AD912" s="1666" t="str">
        <f t="shared" si="263"/>
        <v xml:space="preserve">  </v>
      </c>
      <c r="AE912" s="1590" t="str">
        <f t="shared" si="264"/>
        <v xml:space="preserve">  </v>
      </c>
      <c r="AF912" s="2300" t="s">
        <v>1329</v>
      </c>
      <c r="AG912" s="1612"/>
      <c r="AH912" s="1625" t="str">
        <f t="shared" si="256"/>
        <v>PBA</v>
      </c>
      <c r="AI912" s="1688">
        <f t="shared" si="260"/>
        <v>14250000</v>
      </c>
      <c r="AJ912" s="1685">
        <f t="shared" si="268"/>
        <v>14250000</v>
      </c>
      <c r="AK912" s="1686">
        <f t="shared" si="261"/>
        <v>0</v>
      </c>
      <c r="AL912" s="1687" t="s">
        <v>1334</v>
      </c>
      <c r="AM912" s="1410"/>
      <c r="AN912" s="1411"/>
      <c r="AO912" s="1410"/>
      <c r="AP912" s="1411"/>
      <c r="AQ912" s="1128"/>
      <c r="AR912" s="1173"/>
      <c r="AT912" s="1173"/>
      <c r="AV912" s="1173"/>
      <c r="AX912" s="1173"/>
      <c r="AY912" s="1176"/>
      <c r="AZ912" s="1173"/>
    </row>
    <row r="913" spans="1:52" s="2" customFormat="1" x14ac:dyDescent="0.25">
      <c r="A913" s="156">
        <v>850</v>
      </c>
      <c r="B913" s="344">
        <v>9</v>
      </c>
      <c r="C913" s="178">
        <v>849215007</v>
      </c>
      <c r="D913" s="177" t="s">
        <v>1375</v>
      </c>
      <c r="E913" s="346" t="s">
        <v>1110</v>
      </c>
      <c r="F913" s="317">
        <v>2015</v>
      </c>
      <c r="G913" s="272" t="s">
        <v>33</v>
      </c>
      <c r="H913" s="163">
        <f t="shared" si="251"/>
        <v>43613</v>
      </c>
      <c r="I913" s="163">
        <f t="shared" si="252"/>
        <v>43705</v>
      </c>
      <c r="J913" s="1636">
        <v>1250000</v>
      </c>
      <c r="K913" s="1365"/>
      <c r="L913" s="1385">
        <v>3000000</v>
      </c>
      <c r="M913" s="1383">
        <v>42209</v>
      </c>
      <c r="N913" s="1385">
        <v>3000000</v>
      </c>
      <c r="O913" s="1383">
        <v>42403</v>
      </c>
      <c r="P913" s="1480">
        <v>3000000</v>
      </c>
      <c r="Q913" s="1637">
        <v>42604</v>
      </c>
      <c r="R913" s="1480">
        <v>3000000</v>
      </c>
      <c r="S913" s="1637">
        <v>43297</v>
      </c>
      <c r="T913" s="1431">
        <v>3000000</v>
      </c>
      <c r="U913" s="1637">
        <v>43297</v>
      </c>
      <c r="V913" s="1480">
        <v>3000000</v>
      </c>
      <c r="W913" s="1637">
        <v>43297</v>
      </c>
      <c r="X913" s="1480">
        <v>3000000</v>
      </c>
      <c r="Y913" s="1365">
        <v>43564</v>
      </c>
      <c r="Z913" s="1480">
        <v>3000000</v>
      </c>
      <c r="AA913" s="1365">
        <v>43564</v>
      </c>
      <c r="AB913" s="1480">
        <v>1000000</v>
      </c>
      <c r="AC913" s="1365">
        <v>43297</v>
      </c>
      <c r="AD913" s="1666" t="str">
        <f t="shared" si="263"/>
        <v xml:space="preserve">  </v>
      </c>
      <c r="AE913" s="1590" t="str">
        <f t="shared" si="264"/>
        <v xml:space="preserve">  </v>
      </c>
      <c r="AF913" s="2300" t="s">
        <v>1329</v>
      </c>
      <c r="AG913" s="1612"/>
      <c r="AH913" s="1625" t="str">
        <f t="shared" si="256"/>
        <v>PBA</v>
      </c>
      <c r="AI913" s="1678">
        <f t="shared" si="260"/>
        <v>26250000</v>
      </c>
      <c r="AJ913" s="1679">
        <f t="shared" si="268"/>
        <v>26250000</v>
      </c>
      <c r="AK913" s="1419">
        <f t="shared" si="261"/>
        <v>0</v>
      </c>
      <c r="AL913" s="1420" t="str">
        <f t="shared" si="262"/>
        <v>Lunas</v>
      </c>
      <c r="AM913" s="1410"/>
      <c r="AN913" s="1411"/>
      <c r="AO913" s="1410"/>
      <c r="AP913" s="1411"/>
      <c r="AQ913" s="1128" t="s">
        <v>1376</v>
      </c>
      <c r="AR913" s="1173"/>
      <c r="AT913" s="1173"/>
      <c r="AV913" s="1173"/>
      <c r="AX913" s="1173"/>
      <c r="AY913" s="1176"/>
      <c r="AZ913" s="1173"/>
    </row>
    <row r="914" spans="1:52" s="2" customFormat="1" x14ac:dyDescent="0.25">
      <c r="A914" s="156">
        <v>851</v>
      </c>
      <c r="B914" s="344">
        <v>10</v>
      </c>
      <c r="C914" s="178">
        <v>849215008</v>
      </c>
      <c r="D914" s="177" t="s">
        <v>1377</v>
      </c>
      <c r="E914" s="346" t="s">
        <v>1110</v>
      </c>
      <c r="F914" s="317">
        <v>2015</v>
      </c>
      <c r="G914" s="272" t="s">
        <v>33</v>
      </c>
      <c r="H914" s="163">
        <f t="shared" si="251"/>
        <v>43481</v>
      </c>
      <c r="I914" s="163">
        <f t="shared" si="252"/>
        <v>43705</v>
      </c>
      <c r="J914" s="1636">
        <v>1250000</v>
      </c>
      <c r="K914" s="1365"/>
      <c r="L914" s="1480">
        <v>3000000</v>
      </c>
      <c r="M914" s="1637">
        <v>42209</v>
      </c>
      <c r="N914" s="1480">
        <v>3000000</v>
      </c>
      <c r="O914" s="1637">
        <v>42395</v>
      </c>
      <c r="P914" s="1636">
        <v>3000000</v>
      </c>
      <c r="Q914" s="1637">
        <v>42573</v>
      </c>
      <c r="R914" s="1480">
        <v>3000000</v>
      </c>
      <c r="S914" s="1637">
        <v>42765</v>
      </c>
      <c r="T914" s="1431">
        <v>3000000</v>
      </c>
      <c r="U914" s="1637">
        <v>42930</v>
      </c>
      <c r="V914" s="1636">
        <v>3000000</v>
      </c>
      <c r="W914" s="1365">
        <v>43353</v>
      </c>
      <c r="X914" s="1480">
        <v>3000000</v>
      </c>
      <c r="Y914" s="1365">
        <v>43353</v>
      </c>
      <c r="Z914" s="1465" t="s">
        <v>1080</v>
      </c>
      <c r="AA914" s="1360"/>
      <c r="AB914" s="1480">
        <v>1000000</v>
      </c>
      <c r="AC914" s="1365">
        <v>42962</v>
      </c>
      <c r="AD914" s="1666" t="str">
        <f t="shared" si="263"/>
        <v xml:space="preserve">  </v>
      </c>
      <c r="AE914" s="1590" t="str">
        <f t="shared" si="264"/>
        <v xml:space="preserve">  </v>
      </c>
      <c r="AF914" s="2300" t="s">
        <v>1329</v>
      </c>
      <c r="AG914" s="1612"/>
      <c r="AH914" s="1625" t="str">
        <f t="shared" si="256"/>
        <v>PBA</v>
      </c>
      <c r="AI914" s="1678">
        <f t="shared" si="260"/>
        <v>23250000</v>
      </c>
      <c r="AJ914" s="1679">
        <f t="shared" si="268"/>
        <v>23250000</v>
      </c>
      <c r="AK914" s="1419">
        <f t="shared" si="261"/>
        <v>0</v>
      </c>
      <c r="AL914" s="1420" t="str">
        <f t="shared" si="262"/>
        <v>Lunas</v>
      </c>
      <c r="AM914" s="1410"/>
      <c r="AN914" s="1411"/>
      <c r="AO914" s="1410"/>
      <c r="AP914" s="1411"/>
      <c r="AQ914" s="1128"/>
      <c r="AR914" s="1173"/>
      <c r="AT914" s="1173"/>
      <c r="AV914" s="1173"/>
      <c r="AX914" s="1173"/>
      <c r="AY914" s="1176"/>
      <c r="AZ914" s="1173"/>
    </row>
    <row r="915" spans="1:52" s="2" customFormat="1" x14ac:dyDescent="0.25">
      <c r="A915" s="234">
        <v>852</v>
      </c>
      <c r="B915" s="586">
        <v>11</v>
      </c>
      <c r="C915" s="304">
        <v>849215009</v>
      </c>
      <c r="D915" s="301" t="s">
        <v>1378</v>
      </c>
      <c r="E915" s="298" t="s">
        <v>1110</v>
      </c>
      <c r="F915" s="299">
        <v>2015</v>
      </c>
      <c r="G915" s="214" t="s">
        <v>1077</v>
      </c>
      <c r="H915" s="265" t="str">
        <f t="shared" si="251"/>
        <v xml:space="preserve">   </v>
      </c>
      <c r="I915" s="265" t="str">
        <f t="shared" si="252"/>
        <v xml:space="preserve">   </v>
      </c>
      <c r="J915" s="1635">
        <v>1250000</v>
      </c>
      <c r="K915" s="1360"/>
      <c r="L915" s="1389">
        <v>3000000</v>
      </c>
      <c r="M915" s="1500">
        <v>42240</v>
      </c>
      <c r="N915" s="1389">
        <v>3000000</v>
      </c>
      <c r="O915" s="1500">
        <v>42410</v>
      </c>
      <c r="P915" s="1389">
        <v>3000000</v>
      </c>
      <c r="Q915" s="1500">
        <v>42650</v>
      </c>
      <c r="R915" s="1714"/>
      <c r="S915" s="1391"/>
      <c r="T915" s="1363"/>
      <c r="U915" s="1391"/>
      <c r="V915" s="1363"/>
      <c r="W915" s="1391"/>
      <c r="X915" s="1363"/>
      <c r="Y915" s="1391"/>
      <c r="Z915" s="1363"/>
      <c r="AA915" s="1563"/>
      <c r="AB915" s="1363"/>
      <c r="AC915" s="1563"/>
      <c r="AD915" s="1666" t="str">
        <f t="shared" si="263"/>
        <v xml:space="preserve">  </v>
      </c>
      <c r="AE915" s="1590" t="str">
        <f t="shared" si="264"/>
        <v xml:space="preserve">  </v>
      </c>
      <c r="AF915" s="2300" t="s">
        <v>1329</v>
      </c>
      <c r="AG915" s="1612"/>
      <c r="AH915" s="1625" t="str">
        <f t="shared" si="256"/>
        <v>PBA</v>
      </c>
      <c r="AI915" s="1688">
        <f t="shared" si="260"/>
        <v>10250000</v>
      </c>
      <c r="AJ915" s="1685">
        <f t="shared" si="268"/>
        <v>10250000</v>
      </c>
      <c r="AK915" s="1686">
        <f t="shared" si="261"/>
        <v>0</v>
      </c>
      <c r="AL915" s="1687" t="s">
        <v>1334</v>
      </c>
      <c r="AM915" s="1410"/>
      <c r="AN915" s="1411"/>
      <c r="AO915" s="1410"/>
      <c r="AP915" s="1411"/>
      <c r="AQ915" s="1128"/>
      <c r="AR915" s="1173"/>
      <c r="AT915" s="1173"/>
      <c r="AV915" s="1173"/>
      <c r="AX915" s="1173"/>
      <c r="AY915" s="1176"/>
      <c r="AZ915" s="1173"/>
    </row>
    <row r="916" spans="1:52" s="2" customFormat="1" x14ac:dyDescent="0.25">
      <c r="A916" s="240">
        <v>853</v>
      </c>
      <c r="B916" s="1693">
        <v>12</v>
      </c>
      <c r="C916" s="1694">
        <v>849215010</v>
      </c>
      <c r="D916" s="1695" t="s">
        <v>1379</v>
      </c>
      <c r="E916" s="1696" t="s">
        <v>1110</v>
      </c>
      <c r="F916" s="1697">
        <v>2015</v>
      </c>
      <c r="G916" s="214" t="s">
        <v>1077</v>
      </c>
      <c r="H916" s="364" t="str">
        <f t="shared" si="251"/>
        <v xml:space="preserve">   </v>
      </c>
      <c r="I916" s="364" t="str">
        <f t="shared" si="252"/>
        <v xml:space="preserve">   </v>
      </c>
      <c r="J916" s="1705">
        <v>1250000</v>
      </c>
      <c r="K916" s="1557"/>
      <c r="L916" s="1706">
        <v>3000000</v>
      </c>
      <c r="M916" s="1501">
        <v>42156</v>
      </c>
      <c r="N916" s="1706">
        <v>3000000</v>
      </c>
      <c r="O916" s="1501">
        <v>42398</v>
      </c>
      <c r="P916" s="1705">
        <v>3000000</v>
      </c>
      <c r="Q916" s="1501">
        <v>42573</v>
      </c>
      <c r="R916" s="1706">
        <v>3000000</v>
      </c>
      <c r="S916" s="1501">
        <v>42755</v>
      </c>
      <c r="T916" s="1448">
        <v>3000000</v>
      </c>
      <c r="U916" s="1501"/>
      <c r="V916" s="1724">
        <v>3000000</v>
      </c>
      <c r="W916" s="1445">
        <v>43112</v>
      </c>
      <c r="X916" s="1363"/>
      <c r="Y916" s="1391"/>
      <c r="Z916" s="1363"/>
      <c r="AA916" s="1563"/>
      <c r="AB916" s="1706">
        <v>1000000</v>
      </c>
      <c r="AC916" s="1557">
        <v>42951</v>
      </c>
      <c r="AD916" s="1733" t="str">
        <f t="shared" si="263"/>
        <v xml:space="preserve">  </v>
      </c>
      <c r="AE916" s="1734" t="str">
        <f t="shared" si="264"/>
        <v xml:space="preserve">  </v>
      </c>
      <c r="AF916" s="2301" t="s">
        <v>1329</v>
      </c>
      <c r="AG916" s="1616"/>
      <c r="AH916" s="1625" t="str">
        <f t="shared" si="256"/>
        <v>PBA</v>
      </c>
      <c r="AI916" s="1688">
        <f t="shared" si="260"/>
        <v>20250000</v>
      </c>
      <c r="AJ916" s="1685">
        <f t="shared" si="268"/>
        <v>20250000</v>
      </c>
      <c r="AK916" s="1686">
        <f t="shared" si="261"/>
        <v>0</v>
      </c>
      <c r="AL916" s="1687" t="s">
        <v>1334</v>
      </c>
      <c r="AM916" s="1410"/>
      <c r="AN916" s="1411"/>
      <c r="AO916" s="1410"/>
      <c r="AP916" s="1411"/>
      <c r="AQ916" s="1128"/>
      <c r="AR916" s="1173"/>
      <c r="AT916" s="1173"/>
      <c r="AV916" s="1173"/>
      <c r="AX916" s="1173"/>
      <c r="AY916" s="1176"/>
      <c r="AZ916" s="1173"/>
    </row>
    <row r="917" spans="1:52" s="4" customFormat="1" x14ac:dyDescent="0.25">
      <c r="A917" s="187"/>
      <c r="B917" s="192"/>
      <c r="C917" s="190"/>
      <c r="D917" s="189"/>
      <c r="E917" s="191" t="s">
        <v>61</v>
      </c>
      <c r="F917" s="192" t="s">
        <v>61</v>
      </c>
      <c r="G917" s="192" t="s">
        <v>61</v>
      </c>
      <c r="H917" s="193" t="str">
        <f t="shared" si="251"/>
        <v xml:space="preserve">   </v>
      </c>
      <c r="I917" s="193" t="str">
        <f t="shared" si="252"/>
        <v xml:space="preserve">   </v>
      </c>
      <c r="J917" s="1437"/>
      <c r="K917" s="1436"/>
      <c r="L917" s="1437"/>
      <c r="M917" s="1436"/>
      <c r="N917" s="1632"/>
      <c r="O917" s="1436"/>
      <c r="P917" s="1437"/>
      <c r="Q917" s="1436"/>
      <c r="R917" s="1632"/>
      <c r="S917" s="1464"/>
      <c r="T917" s="1437"/>
      <c r="U917" s="1436"/>
      <c r="V917" s="1437"/>
      <c r="W917" s="1436"/>
      <c r="X917" s="1648"/>
      <c r="Y917" s="1436"/>
      <c r="Z917" s="1648"/>
      <c r="AA917" s="1436"/>
      <c r="AB917" s="1648"/>
      <c r="AC917" s="1436"/>
      <c r="AD917" s="1662"/>
      <c r="AE917" s="1436"/>
      <c r="AF917" s="1662"/>
      <c r="AG917" s="1436"/>
      <c r="AH917" s="1677"/>
      <c r="AI917" s="1745"/>
      <c r="AJ917" s="1745"/>
      <c r="AK917" s="1745"/>
      <c r="AL917" s="1510"/>
      <c r="AM917" s="1510"/>
      <c r="AN917" s="1511"/>
      <c r="AO917" s="1510"/>
      <c r="AP917" s="1511"/>
      <c r="AQ917" s="1215"/>
      <c r="AR917" s="1216"/>
      <c r="AT917" s="1216"/>
      <c r="AV917" s="1216"/>
      <c r="AX917" s="1216"/>
      <c r="AY917" s="1217"/>
      <c r="AZ917" s="1216"/>
    </row>
    <row r="918" spans="1:52" s="2" customFormat="1" x14ac:dyDescent="0.25">
      <c r="A918" s="365" t="s">
        <v>1380</v>
      </c>
      <c r="B918" s="365"/>
      <c r="C918" s="366"/>
      <c r="D918" s="365"/>
      <c r="E918" s="198" t="s">
        <v>1096</v>
      </c>
      <c r="F918" s="199" t="s">
        <v>1096</v>
      </c>
      <c r="G918" s="146">
        <v>3000000</v>
      </c>
      <c r="H918" s="147" t="str">
        <f t="shared" si="251"/>
        <v xml:space="preserve">   </v>
      </c>
      <c r="I918" s="147" t="str">
        <f t="shared" si="252"/>
        <v xml:space="preserve">   </v>
      </c>
      <c r="J918" s="1349">
        <v>1250000</v>
      </c>
      <c r="K918" s="1529"/>
      <c r="L918" s="1582" t="s">
        <v>1049</v>
      </c>
      <c r="M918" s="1502" t="s">
        <v>1058</v>
      </c>
      <c r="N918" s="1582" t="s">
        <v>1051</v>
      </c>
      <c r="O918" s="1502" t="s">
        <v>1060</v>
      </c>
      <c r="P918" s="1582" t="s">
        <v>1053</v>
      </c>
      <c r="Q918" s="1502" t="s">
        <v>1062</v>
      </c>
      <c r="R918" s="1582" t="s">
        <v>1055</v>
      </c>
      <c r="S918" s="1502" t="s">
        <v>1064</v>
      </c>
      <c r="T918" s="1582" t="s">
        <v>1057</v>
      </c>
      <c r="U918" s="1502" t="s">
        <v>1066</v>
      </c>
      <c r="V918" s="1582" t="s">
        <v>1059</v>
      </c>
      <c r="W918" s="1502" t="s">
        <v>1068</v>
      </c>
      <c r="X918" s="1582" t="s">
        <v>1061</v>
      </c>
      <c r="Y918" s="1502" t="s">
        <v>1141</v>
      </c>
      <c r="Z918" s="1582" t="s">
        <v>1063</v>
      </c>
      <c r="AA918" s="1502" t="s">
        <v>1325</v>
      </c>
      <c r="AB918" s="1450">
        <v>1000000</v>
      </c>
      <c r="AC918" s="1663" t="s">
        <v>1326</v>
      </c>
      <c r="AD918" s="1450">
        <v>500000</v>
      </c>
      <c r="AE918" s="1663" t="s">
        <v>22</v>
      </c>
      <c r="AF918" s="1662"/>
      <c r="AG918" s="1436"/>
      <c r="AH918" s="1408"/>
      <c r="AI918" s="1512"/>
      <c r="AJ918" s="1409"/>
      <c r="AK918" s="1409"/>
      <c r="AL918" s="1513"/>
      <c r="AM918" s="1513"/>
      <c r="AN918" s="1514"/>
      <c r="AO918" s="1513"/>
      <c r="AP918" s="1514"/>
      <c r="AQ918" s="1128"/>
      <c r="AR918" s="1173"/>
      <c r="AT918" s="1173"/>
      <c r="AV918" s="1173"/>
      <c r="AX918" s="1173"/>
      <c r="AY918" s="1176"/>
      <c r="AZ918" s="1173"/>
    </row>
    <row r="919" spans="1:52" s="2" customFormat="1" x14ac:dyDescent="0.25">
      <c r="A919" s="148">
        <v>854</v>
      </c>
      <c r="B919" s="367">
        <v>1</v>
      </c>
      <c r="C919" s="151">
        <v>849115001</v>
      </c>
      <c r="D919" s="150" t="s">
        <v>1381</v>
      </c>
      <c r="E919" s="152" t="s">
        <v>1070</v>
      </c>
      <c r="F919" s="153">
        <v>2015</v>
      </c>
      <c r="G919" s="342" t="s">
        <v>33</v>
      </c>
      <c r="H919" s="163">
        <f t="shared" si="251"/>
        <v>43405</v>
      </c>
      <c r="I919" s="163">
        <f t="shared" si="252"/>
        <v>43587</v>
      </c>
      <c r="J919" s="1633">
        <v>1250000</v>
      </c>
      <c r="K919" s="1707">
        <v>42144</v>
      </c>
      <c r="L919" s="1708"/>
      <c r="M919" s="1709" t="s">
        <v>1382</v>
      </c>
      <c r="N919" s="1708"/>
      <c r="O919" s="1709" t="s">
        <v>1382</v>
      </c>
      <c r="P919" s="1633">
        <v>3000000</v>
      </c>
      <c r="Q919" s="1479">
        <v>42573</v>
      </c>
      <c r="R919" s="1634">
        <v>3000000</v>
      </c>
      <c r="S919" s="1479">
        <v>42761</v>
      </c>
      <c r="T919" s="1441">
        <v>3000000</v>
      </c>
      <c r="U919" s="1479">
        <v>42968</v>
      </c>
      <c r="V919" s="1633">
        <v>3000000</v>
      </c>
      <c r="W919" s="1440">
        <v>43116</v>
      </c>
      <c r="X919" s="1465" t="s">
        <v>1080</v>
      </c>
      <c r="Y919" s="1542"/>
      <c r="Z919" s="1714"/>
      <c r="AA919" s="1563"/>
      <c r="AB919" s="1703">
        <v>1000000</v>
      </c>
      <c r="AC919" s="1452">
        <v>43116</v>
      </c>
      <c r="AD919" s="1666" t="str">
        <f t="shared" ref="AD919:AD941" si="269">IFERROR(VLOOKUP(C919,BSP,3,FALSE),"  ")</f>
        <v xml:space="preserve">  </v>
      </c>
      <c r="AE919" s="1590" t="str">
        <f t="shared" ref="AE919:AE941" si="270">IFERROR((VLOOKUP(C919,BSP,4,FALSE)),"  ")</f>
        <v xml:space="preserve">  </v>
      </c>
      <c r="AF919" s="2300" t="s">
        <v>1329</v>
      </c>
      <c r="AG919" s="1612"/>
      <c r="AH919" s="1625" t="str">
        <f t="shared" ref="AH919:AH941" si="271">E919</f>
        <v>MPI-S2</v>
      </c>
      <c r="AI919" s="1678">
        <f t="shared" ref="AI919" si="272">SUM(J919,L919,N919,P919,R919,T919,V919,X919,Z919,AB919,AD919,AF919)</f>
        <v>14250000</v>
      </c>
      <c r="AJ919" s="1679">
        <f t="shared" ref="AJ919:AJ941" si="273">(COUNT(L919,N919,P919,R919,T919,V919,X919,Z919)*$G$868)+(COUNT(J919)*$J$868)+(COUNT(AB919)*$AB$868)+(COUNT(AD919)*$AD$868)</f>
        <v>14250000</v>
      </c>
      <c r="AK919" s="1419">
        <f t="shared" ref="AK919" si="274">AJ919-AI919</f>
        <v>0</v>
      </c>
      <c r="AL919" s="1420" t="str">
        <f t="shared" ref="AL919" si="275">IF(AK919=0,"Lunas","Cek")</f>
        <v>Lunas</v>
      </c>
      <c r="AM919" s="1410"/>
      <c r="AN919" s="1411"/>
      <c r="AO919" s="1410"/>
      <c r="AP919" s="1411"/>
      <c r="AQ919" s="1128"/>
      <c r="AR919" s="1173"/>
      <c r="AT919" s="1173"/>
      <c r="AV919" s="1173"/>
      <c r="AX919" s="1173"/>
      <c r="AY919" s="1176"/>
      <c r="AZ919" s="1173"/>
    </row>
    <row r="920" spans="1:52" s="2" customFormat="1" x14ac:dyDescent="0.25">
      <c r="A920" s="156">
        <v>855</v>
      </c>
      <c r="B920" s="172">
        <v>2</v>
      </c>
      <c r="C920" s="159">
        <v>849115002</v>
      </c>
      <c r="D920" s="158" t="s">
        <v>1383</v>
      </c>
      <c r="E920" s="160" t="s">
        <v>1070</v>
      </c>
      <c r="F920" s="161">
        <v>2015</v>
      </c>
      <c r="G920" s="162" t="s">
        <v>33</v>
      </c>
      <c r="H920" s="163">
        <f t="shared" si="251"/>
        <v>43084</v>
      </c>
      <c r="I920" s="163">
        <f t="shared" si="252"/>
        <v>43218</v>
      </c>
      <c r="J920" s="1443">
        <v>1250000</v>
      </c>
      <c r="K920" s="1383">
        <v>42142</v>
      </c>
      <c r="L920" s="1385">
        <v>3000000</v>
      </c>
      <c r="M920" s="1383">
        <v>42142</v>
      </c>
      <c r="N920" s="1385">
        <v>3000000</v>
      </c>
      <c r="O920" s="1383">
        <v>42405</v>
      </c>
      <c r="P920" s="1385">
        <v>3000000</v>
      </c>
      <c r="Q920" s="1383">
        <v>42576</v>
      </c>
      <c r="R920" s="1385">
        <v>3000000</v>
      </c>
      <c r="S920" s="1383">
        <v>42762</v>
      </c>
      <c r="T920" s="1358">
        <v>3000000</v>
      </c>
      <c r="U920" s="1383">
        <v>43039</v>
      </c>
      <c r="V920" s="1465" t="s">
        <v>1080</v>
      </c>
      <c r="W920" s="1651"/>
      <c r="X920" s="1363"/>
      <c r="Y920" s="1391"/>
      <c r="Z920" s="1363"/>
      <c r="AA920" s="1563"/>
      <c r="AB920" s="1385">
        <v>1000000</v>
      </c>
      <c r="AC920" s="1357">
        <v>43039</v>
      </c>
      <c r="AD920" s="1666" t="str">
        <f t="shared" si="269"/>
        <v xml:space="preserve">  </v>
      </c>
      <c r="AE920" s="1590" t="str">
        <f t="shared" si="270"/>
        <v xml:space="preserve">  </v>
      </c>
      <c r="AF920" s="2300" t="s">
        <v>1329</v>
      </c>
      <c r="AG920" s="1612"/>
      <c r="AH920" s="1625" t="str">
        <f t="shared" si="271"/>
        <v>MPI-S2</v>
      </c>
      <c r="AI920" s="1680">
        <f t="shared" ref="AI920:AI941" si="276">SUM(J920,L920,N920,P920,R920,T920,V920,X920,Z920,AB920,AD920,AF920)</f>
        <v>17250000</v>
      </c>
      <c r="AJ920" s="1681">
        <f t="shared" si="273"/>
        <v>17250000</v>
      </c>
      <c r="AK920" s="1682">
        <f t="shared" ref="AK920:AK941" si="277">AJ920-AI920</f>
        <v>0</v>
      </c>
      <c r="AL920" s="1691" t="str">
        <f t="shared" ref="AL920:AL940" si="278">IF(AK920=0,"Lunas","Cek")</f>
        <v>Lunas</v>
      </c>
      <c r="AM920" s="1410"/>
      <c r="AN920" s="1411"/>
      <c r="AO920" s="1410"/>
      <c r="AP920" s="1411"/>
      <c r="AQ920" s="1128"/>
      <c r="AR920" s="1173"/>
      <c r="AT920" s="1173"/>
      <c r="AV920" s="1173"/>
      <c r="AX920" s="1173"/>
      <c r="AY920" s="1176"/>
      <c r="AZ920" s="1173"/>
    </row>
    <row r="921" spans="1:52" s="2" customFormat="1" x14ac:dyDescent="0.25">
      <c r="A921" s="156">
        <v>856</v>
      </c>
      <c r="B921" s="172">
        <v>3</v>
      </c>
      <c r="C921" s="159">
        <v>849115003</v>
      </c>
      <c r="D921" s="158" t="s">
        <v>1384</v>
      </c>
      <c r="E921" s="160" t="s">
        <v>1070</v>
      </c>
      <c r="F921" s="161">
        <v>2015</v>
      </c>
      <c r="G921" s="162" t="s">
        <v>33</v>
      </c>
      <c r="H921" s="163">
        <f t="shared" si="251"/>
        <v>43034</v>
      </c>
      <c r="I921" s="163">
        <f t="shared" si="252"/>
        <v>43064</v>
      </c>
      <c r="J921" s="1443">
        <v>1250000</v>
      </c>
      <c r="K921" s="1383">
        <v>42144</v>
      </c>
      <c r="L921" s="1385">
        <v>3000000</v>
      </c>
      <c r="M921" s="1383">
        <v>42144</v>
      </c>
      <c r="N921" s="1385">
        <v>3000000</v>
      </c>
      <c r="O921" s="1383">
        <v>42415</v>
      </c>
      <c r="P921" s="1385">
        <v>3000000</v>
      </c>
      <c r="Q921" s="1383">
        <v>42572</v>
      </c>
      <c r="R921" s="1385">
        <v>3000000</v>
      </c>
      <c r="S921" s="1383">
        <v>42762</v>
      </c>
      <c r="T921" s="1358">
        <v>3000000</v>
      </c>
      <c r="U921" s="1383">
        <v>43020</v>
      </c>
      <c r="V921" s="1465" t="s">
        <v>1080</v>
      </c>
      <c r="W921" s="1651"/>
      <c r="X921" s="1363"/>
      <c r="Y921" s="1391"/>
      <c r="Z921" s="1363"/>
      <c r="AA921" s="1563"/>
      <c r="AB921" s="1385">
        <v>1000000</v>
      </c>
      <c r="AC921" s="1357">
        <v>43020</v>
      </c>
      <c r="AD921" s="1666" t="str">
        <f t="shared" si="269"/>
        <v xml:space="preserve">  </v>
      </c>
      <c r="AE921" s="1590" t="str">
        <f t="shared" si="270"/>
        <v xml:space="preserve">  </v>
      </c>
      <c r="AF921" s="2300" t="s">
        <v>1329</v>
      </c>
      <c r="AG921" s="1612"/>
      <c r="AH921" s="1625" t="str">
        <f t="shared" si="271"/>
        <v>MPI-S2</v>
      </c>
      <c r="AI921" s="1680">
        <f t="shared" si="276"/>
        <v>17250000</v>
      </c>
      <c r="AJ921" s="1681">
        <f t="shared" si="273"/>
        <v>17250000</v>
      </c>
      <c r="AK921" s="1682">
        <f t="shared" si="277"/>
        <v>0</v>
      </c>
      <c r="AL921" s="1691" t="str">
        <f t="shared" si="278"/>
        <v>Lunas</v>
      </c>
      <c r="AM921" s="1410"/>
      <c r="AN921" s="1411"/>
      <c r="AO921" s="1410"/>
      <c r="AP921" s="1411"/>
      <c r="AQ921" s="1128"/>
      <c r="AR921" s="1173"/>
      <c r="AT921" s="1173"/>
      <c r="AV921" s="1173"/>
      <c r="AX921" s="1173"/>
      <c r="AY921" s="1176"/>
      <c r="AZ921" s="1173"/>
    </row>
    <row r="922" spans="1:52" s="2" customFormat="1" x14ac:dyDescent="0.25">
      <c r="A922" s="234">
        <v>857</v>
      </c>
      <c r="B922" s="586">
        <v>4</v>
      </c>
      <c r="C922" s="304">
        <v>849115004</v>
      </c>
      <c r="D922" s="301" t="s">
        <v>1385</v>
      </c>
      <c r="E922" s="298" t="s">
        <v>1070</v>
      </c>
      <c r="F922" s="299">
        <v>2015</v>
      </c>
      <c r="G922" s="214" t="s">
        <v>1077</v>
      </c>
      <c r="H922" s="265" t="str">
        <f t="shared" si="251"/>
        <v xml:space="preserve">   </v>
      </c>
      <c r="I922" s="265" t="str">
        <f t="shared" si="252"/>
        <v xml:space="preserve">   </v>
      </c>
      <c r="J922" s="1635">
        <v>1250000</v>
      </c>
      <c r="K922" s="1500">
        <v>42144</v>
      </c>
      <c r="L922" s="1389">
        <v>3000000</v>
      </c>
      <c r="M922" s="1500">
        <v>42144</v>
      </c>
      <c r="N922" s="1389">
        <v>3000000</v>
      </c>
      <c r="O922" s="1500">
        <v>42401</v>
      </c>
      <c r="P922" s="1389">
        <v>3000000</v>
      </c>
      <c r="Q922" s="1500">
        <v>42585</v>
      </c>
      <c r="R922" s="1389">
        <v>3000000</v>
      </c>
      <c r="S922" s="1500">
        <v>42762</v>
      </c>
      <c r="T922" s="1363"/>
      <c r="U922" s="1391"/>
      <c r="V922" s="1363"/>
      <c r="W922" s="1391"/>
      <c r="X922" s="1363"/>
      <c r="Y922" s="1391"/>
      <c r="Z922" s="1363"/>
      <c r="AA922" s="1563"/>
      <c r="AB922" s="1389"/>
      <c r="AC922" s="1360"/>
      <c r="AD922" s="1666" t="str">
        <f t="shared" si="269"/>
        <v xml:space="preserve">  </v>
      </c>
      <c r="AE922" s="1590" t="str">
        <f t="shared" si="270"/>
        <v xml:space="preserve">  </v>
      </c>
      <c r="AF922" s="2300" t="s">
        <v>1329</v>
      </c>
      <c r="AG922" s="1612"/>
      <c r="AH922" s="1625" t="str">
        <f t="shared" si="271"/>
        <v>MPI-S2</v>
      </c>
      <c r="AI922" s="1688">
        <f t="shared" si="276"/>
        <v>13250000</v>
      </c>
      <c r="AJ922" s="1685">
        <f t="shared" si="273"/>
        <v>13250000</v>
      </c>
      <c r="AK922" s="1686">
        <f t="shared" si="277"/>
        <v>0</v>
      </c>
      <c r="AL922" s="1687" t="s">
        <v>1334</v>
      </c>
      <c r="AM922" s="1410"/>
      <c r="AN922" s="1411"/>
      <c r="AO922" s="1410"/>
      <c r="AP922" s="1411"/>
      <c r="AQ922" s="1128"/>
      <c r="AR922" s="1173"/>
      <c r="AT922" s="1173"/>
      <c r="AV922" s="1173"/>
      <c r="AX922" s="1173"/>
      <c r="AY922" s="1176"/>
      <c r="AZ922" s="1173"/>
    </row>
    <row r="923" spans="1:52" s="2" customFormat="1" x14ac:dyDescent="0.25">
      <c r="A923" s="156">
        <v>858</v>
      </c>
      <c r="B923" s="172">
        <v>5</v>
      </c>
      <c r="C923" s="159">
        <v>849115005</v>
      </c>
      <c r="D923" s="158" t="s">
        <v>1386</v>
      </c>
      <c r="E923" s="160" t="s">
        <v>1070</v>
      </c>
      <c r="F923" s="161">
        <v>2015</v>
      </c>
      <c r="G923" s="162" t="s">
        <v>33</v>
      </c>
      <c r="H923" s="163">
        <f t="shared" si="251"/>
        <v>43103</v>
      </c>
      <c r="I923" s="163">
        <f t="shared" si="252"/>
        <v>43218</v>
      </c>
      <c r="J923" s="1443">
        <v>1250000</v>
      </c>
      <c r="K923" s="1383">
        <v>42143</v>
      </c>
      <c r="L923" s="1385">
        <v>3000000</v>
      </c>
      <c r="M923" s="1383">
        <v>42143</v>
      </c>
      <c r="N923" s="1385">
        <v>3000000</v>
      </c>
      <c r="O923" s="1383">
        <v>42398</v>
      </c>
      <c r="P923" s="1385">
        <v>3000000</v>
      </c>
      <c r="Q923" s="1383">
        <v>42573</v>
      </c>
      <c r="R923" s="1443">
        <v>3000000</v>
      </c>
      <c r="S923" s="1383">
        <v>42744</v>
      </c>
      <c r="T923" s="1358">
        <v>3000000</v>
      </c>
      <c r="U923" s="1383">
        <v>43091</v>
      </c>
      <c r="V923" s="1465" t="s">
        <v>1080</v>
      </c>
      <c r="W923" s="1474"/>
      <c r="X923" s="1363"/>
      <c r="Y923" s="1391"/>
      <c r="Z923" s="1363"/>
      <c r="AA923" s="1563"/>
      <c r="AB923" s="1480">
        <v>1000000</v>
      </c>
      <c r="AC923" s="1365">
        <v>43091</v>
      </c>
      <c r="AD923" s="1666" t="str">
        <f t="shared" si="269"/>
        <v xml:space="preserve">  </v>
      </c>
      <c r="AE923" s="1590" t="str">
        <f t="shared" si="270"/>
        <v xml:space="preserve">  </v>
      </c>
      <c r="AF923" s="2300" t="s">
        <v>1329</v>
      </c>
      <c r="AG923" s="1612"/>
      <c r="AH923" s="1625" t="str">
        <f t="shared" si="271"/>
        <v>MPI-S2</v>
      </c>
      <c r="AI923" s="1680">
        <f t="shared" si="276"/>
        <v>17250000</v>
      </c>
      <c r="AJ923" s="1681">
        <f t="shared" si="273"/>
        <v>17250000</v>
      </c>
      <c r="AK923" s="1682">
        <f t="shared" si="277"/>
        <v>0</v>
      </c>
      <c r="AL923" s="1691" t="str">
        <f t="shared" si="278"/>
        <v>Lunas</v>
      </c>
      <c r="AM923" s="1410"/>
      <c r="AN923" s="1411"/>
      <c r="AO923" s="1410"/>
      <c r="AP923" s="1411"/>
      <c r="AQ923" s="1128"/>
      <c r="AR923" s="1173"/>
      <c r="AT923" s="1173"/>
      <c r="AV923" s="1173"/>
      <c r="AX923" s="1173"/>
      <c r="AY923" s="1176"/>
      <c r="AZ923" s="1173"/>
    </row>
    <row r="924" spans="1:52" s="2" customFormat="1" x14ac:dyDescent="0.25">
      <c r="A924" s="156">
        <v>859</v>
      </c>
      <c r="B924" s="172">
        <v>6</v>
      </c>
      <c r="C924" s="159">
        <v>849115006</v>
      </c>
      <c r="D924" s="158" t="s">
        <v>1387</v>
      </c>
      <c r="E924" s="160" t="s">
        <v>1070</v>
      </c>
      <c r="F924" s="161">
        <v>2015</v>
      </c>
      <c r="G924" s="162" t="s">
        <v>33</v>
      </c>
      <c r="H924" s="163">
        <f t="shared" si="251"/>
        <v>43104</v>
      </c>
      <c r="I924" s="163">
        <f t="shared" si="252"/>
        <v>43218</v>
      </c>
      <c r="J924" s="1443">
        <v>1250000</v>
      </c>
      <c r="K924" s="1383">
        <v>42150</v>
      </c>
      <c r="L924" s="1385">
        <v>3000000</v>
      </c>
      <c r="M924" s="1383">
        <v>42150</v>
      </c>
      <c r="N924" s="1385">
        <v>3000000</v>
      </c>
      <c r="O924" s="1383">
        <v>42402</v>
      </c>
      <c r="P924" s="1385">
        <v>3000000</v>
      </c>
      <c r="Q924" s="1383">
        <v>42580</v>
      </c>
      <c r="R924" s="1385">
        <v>3000000</v>
      </c>
      <c r="S924" s="1383">
        <v>42867</v>
      </c>
      <c r="T924" s="1358">
        <v>3000000</v>
      </c>
      <c r="U924" s="1383">
        <v>43090</v>
      </c>
      <c r="V924" s="1465" t="s">
        <v>1080</v>
      </c>
      <c r="W924" s="1474"/>
      <c r="X924" s="1363"/>
      <c r="Y924" s="1391"/>
      <c r="Z924" s="1363"/>
      <c r="AA924" s="1563"/>
      <c r="AB924" s="1385">
        <v>1000000</v>
      </c>
      <c r="AC924" s="1357">
        <v>43090</v>
      </c>
      <c r="AD924" s="1666" t="str">
        <f t="shared" si="269"/>
        <v xml:space="preserve">  </v>
      </c>
      <c r="AE924" s="1590" t="str">
        <f t="shared" si="270"/>
        <v xml:space="preserve">  </v>
      </c>
      <c r="AF924" s="2300" t="s">
        <v>1329</v>
      </c>
      <c r="AG924" s="1612"/>
      <c r="AH924" s="1625" t="str">
        <f t="shared" si="271"/>
        <v>MPI-S2</v>
      </c>
      <c r="AI924" s="1680">
        <f t="shared" si="276"/>
        <v>17250000</v>
      </c>
      <c r="AJ924" s="1681">
        <f t="shared" si="273"/>
        <v>17250000</v>
      </c>
      <c r="AK924" s="1682">
        <f t="shared" si="277"/>
        <v>0</v>
      </c>
      <c r="AL924" s="1691" t="str">
        <f t="shared" si="278"/>
        <v>Lunas</v>
      </c>
      <c r="AM924" s="1410"/>
      <c r="AN924" s="1411"/>
      <c r="AO924" s="1410"/>
      <c r="AP924" s="1411"/>
      <c r="AQ924" s="1128"/>
      <c r="AR924" s="1173"/>
      <c r="AT924" s="1173"/>
      <c r="AV924" s="1173"/>
      <c r="AX924" s="1173"/>
      <c r="AY924" s="1176"/>
      <c r="AZ924" s="1173"/>
    </row>
    <row r="925" spans="1:52" s="2" customFormat="1" x14ac:dyDescent="0.25">
      <c r="A925" s="156">
        <v>860</v>
      </c>
      <c r="B925" s="172">
        <v>7</v>
      </c>
      <c r="C925" s="159">
        <v>849115007</v>
      </c>
      <c r="D925" s="158" t="s">
        <v>606</v>
      </c>
      <c r="E925" s="160" t="s">
        <v>1070</v>
      </c>
      <c r="F925" s="161">
        <v>2015</v>
      </c>
      <c r="G925" s="162" t="s">
        <v>33</v>
      </c>
      <c r="H925" s="163">
        <f t="shared" si="251"/>
        <v>43248</v>
      </c>
      <c r="I925" s="163">
        <f t="shared" si="252"/>
        <v>43440</v>
      </c>
      <c r="J925" s="1443">
        <v>1250000</v>
      </c>
      <c r="K925" s="1383">
        <v>42145</v>
      </c>
      <c r="L925" s="1385">
        <v>3000000</v>
      </c>
      <c r="M925" s="1383">
        <v>42145</v>
      </c>
      <c r="N925" s="1385">
        <v>3000000</v>
      </c>
      <c r="O925" s="1383">
        <v>42397</v>
      </c>
      <c r="P925" s="1385">
        <v>3000000</v>
      </c>
      <c r="Q925" s="1383">
        <v>42572</v>
      </c>
      <c r="R925" s="1385">
        <v>3000000</v>
      </c>
      <c r="S925" s="1383">
        <v>42760</v>
      </c>
      <c r="T925" s="1358">
        <v>3000000</v>
      </c>
      <c r="U925" s="1383">
        <v>43174</v>
      </c>
      <c r="V925" s="1385">
        <v>3000000</v>
      </c>
      <c r="W925" s="1357">
        <v>43174</v>
      </c>
      <c r="X925" s="1465" t="s">
        <v>1080</v>
      </c>
      <c r="Y925" s="1474"/>
      <c r="Z925" s="1363"/>
      <c r="AA925" s="1563"/>
      <c r="AB925" s="1385">
        <v>1000000</v>
      </c>
      <c r="AC925" s="1357">
        <v>43174</v>
      </c>
      <c r="AD925" s="1666" t="str">
        <f t="shared" si="269"/>
        <v xml:space="preserve">  </v>
      </c>
      <c r="AE925" s="1590" t="str">
        <f t="shared" si="270"/>
        <v xml:space="preserve">  </v>
      </c>
      <c r="AF925" s="2300" t="s">
        <v>1329</v>
      </c>
      <c r="AG925" s="1612"/>
      <c r="AH925" s="1625" t="str">
        <f t="shared" si="271"/>
        <v>MPI-S2</v>
      </c>
      <c r="AI925" s="1680">
        <f t="shared" si="276"/>
        <v>20250000</v>
      </c>
      <c r="AJ925" s="1681">
        <f t="shared" si="273"/>
        <v>20250000</v>
      </c>
      <c r="AK925" s="1682">
        <f t="shared" si="277"/>
        <v>0</v>
      </c>
      <c r="AL925" s="1691" t="str">
        <f t="shared" si="278"/>
        <v>Lunas</v>
      </c>
      <c r="AM925" s="1410"/>
      <c r="AN925" s="1411"/>
      <c r="AO925" s="1410"/>
      <c r="AP925" s="1411"/>
      <c r="AQ925" s="1128"/>
      <c r="AR925" s="1173"/>
      <c r="AT925" s="1173"/>
      <c r="AV925" s="1173"/>
      <c r="AX925" s="1173"/>
      <c r="AY925" s="1176"/>
      <c r="AZ925" s="1173"/>
    </row>
    <row r="926" spans="1:52" s="2" customFormat="1" x14ac:dyDescent="0.25">
      <c r="A926" s="156">
        <v>861</v>
      </c>
      <c r="B926" s="172">
        <v>8</v>
      </c>
      <c r="C926" s="159">
        <v>849115008</v>
      </c>
      <c r="D926" s="158" t="s">
        <v>1388</v>
      </c>
      <c r="E926" s="160" t="s">
        <v>1070</v>
      </c>
      <c r="F926" s="161">
        <v>2015</v>
      </c>
      <c r="G926" s="162" t="s">
        <v>33</v>
      </c>
      <c r="H926" s="163">
        <f t="shared" si="251"/>
        <v>43388</v>
      </c>
      <c r="I926" s="163">
        <f t="shared" si="252"/>
        <v>43440</v>
      </c>
      <c r="J926" s="1443">
        <v>1250000</v>
      </c>
      <c r="K926" s="1383">
        <v>42198</v>
      </c>
      <c r="L926" s="1385">
        <v>3000000</v>
      </c>
      <c r="M926" s="1383">
        <v>42198</v>
      </c>
      <c r="N926" s="1385">
        <v>3000000</v>
      </c>
      <c r="O926" s="1383">
        <v>42405</v>
      </c>
      <c r="P926" s="1385">
        <v>3000000</v>
      </c>
      <c r="Q926" s="1383">
        <v>42572</v>
      </c>
      <c r="R926" s="1385">
        <v>3000000</v>
      </c>
      <c r="S926" s="1383">
        <v>42755</v>
      </c>
      <c r="T926" s="1358">
        <v>3000000</v>
      </c>
      <c r="U926" s="1383">
        <v>42971</v>
      </c>
      <c r="V926" s="1443">
        <v>3000000</v>
      </c>
      <c r="W926" s="1357">
        <v>43304</v>
      </c>
      <c r="X926" s="1443">
        <v>3000000</v>
      </c>
      <c r="Y926" s="1357">
        <v>43304</v>
      </c>
      <c r="Z926" s="1465" t="s">
        <v>1080</v>
      </c>
      <c r="AA926" s="1360"/>
      <c r="AB926" s="1385">
        <v>1000000</v>
      </c>
      <c r="AC926" s="1357">
        <v>43311</v>
      </c>
      <c r="AD926" s="1666" t="str">
        <f t="shared" si="269"/>
        <v xml:space="preserve">  </v>
      </c>
      <c r="AE926" s="1590" t="str">
        <f t="shared" si="270"/>
        <v xml:space="preserve">  </v>
      </c>
      <c r="AF926" s="2300" t="s">
        <v>1329</v>
      </c>
      <c r="AG926" s="1612"/>
      <c r="AH926" s="1625" t="str">
        <f t="shared" si="271"/>
        <v>MPI-S2</v>
      </c>
      <c r="AI926" s="1680">
        <f t="shared" si="276"/>
        <v>23250000</v>
      </c>
      <c r="AJ926" s="1681">
        <f t="shared" si="273"/>
        <v>23250000</v>
      </c>
      <c r="AK926" s="1682">
        <f t="shared" si="277"/>
        <v>0</v>
      </c>
      <c r="AL926" s="1691" t="str">
        <f t="shared" si="278"/>
        <v>Lunas</v>
      </c>
      <c r="AM926" s="1410"/>
      <c r="AN926" s="1411"/>
      <c r="AO926" s="1410"/>
      <c r="AP926" s="1411"/>
      <c r="AQ926" s="1128"/>
      <c r="AR926" s="1173"/>
      <c r="AT926" s="1173"/>
      <c r="AV926" s="1173"/>
      <c r="AX926" s="1173"/>
      <c r="AY926" s="1176"/>
      <c r="AZ926" s="1173"/>
    </row>
    <row r="927" spans="1:52" s="2" customFormat="1" x14ac:dyDescent="0.25">
      <c r="A927" s="156">
        <v>862</v>
      </c>
      <c r="B927" s="172">
        <v>9</v>
      </c>
      <c r="C927" s="159">
        <v>849115024</v>
      </c>
      <c r="D927" s="158" t="s">
        <v>1389</v>
      </c>
      <c r="E927" s="160" t="s">
        <v>1070</v>
      </c>
      <c r="F927" s="161">
        <v>2015</v>
      </c>
      <c r="G927" s="162" t="s">
        <v>33</v>
      </c>
      <c r="H927" s="163">
        <f t="shared" si="251"/>
        <v>43398</v>
      </c>
      <c r="I927" s="163">
        <f t="shared" si="252"/>
        <v>43440</v>
      </c>
      <c r="J927" s="1443">
        <v>1250000</v>
      </c>
      <c r="K927" s="1383">
        <v>42193</v>
      </c>
      <c r="L927" s="1385">
        <v>3000000</v>
      </c>
      <c r="M927" s="1383">
        <v>42193</v>
      </c>
      <c r="N927" s="1385">
        <v>3000000</v>
      </c>
      <c r="O927" s="1383">
        <v>42401</v>
      </c>
      <c r="P927" s="1443">
        <v>3000000</v>
      </c>
      <c r="Q927" s="1383">
        <v>42573</v>
      </c>
      <c r="R927" s="1385">
        <v>3000000</v>
      </c>
      <c r="S927" s="1383">
        <v>42762</v>
      </c>
      <c r="T927" s="1358">
        <v>3000000</v>
      </c>
      <c r="U927" s="1383">
        <v>43017</v>
      </c>
      <c r="V927" s="1443">
        <v>3000000</v>
      </c>
      <c r="W927" s="1357">
        <v>43388</v>
      </c>
      <c r="X927" s="1385">
        <v>3000000</v>
      </c>
      <c r="Y927" s="1357">
        <v>43388</v>
      </c>
      <c r="Z927" s="1465" t="s">
        <v>1080</v>
      </c>
      <c r="AA927" s="1360"/>
      <c r="AB927" s="1385">
        <v>1000000</v>
      </c>
      <c r="AC927" s="1357">
        <v>42762</v>
      </c>
      <c r="AD927" s="1666" t="str">
        <f t="shared" si="269"/>
        <v xml:space="preserve">  </v>
      </c>
      <c r="AE927" s="1590" t="str">
        <f t="shared" si="270"/>
        <v xml:space="preserve">  </v>
      </c>
      <c r="AF927" s="2300" t="s">
        <v>1329</v>
      </c>
      <c r="AG927" s="1612"/>
      <c r="AH927" s="1625" t="str">
        <f t="shared" si="271"/>
        <v>MPI-S2</v>
      </c>
      <c r="AI927" s="1680">
        <f t="shared" si="276"/>
        <v>23250000</v>
      </c>
      <c r="AJ927" s="1681">
        <f t="shared" si="273"/>
        <v>23250000</v>
      </c>
      <c r="AK927" s="1682">
        <f t="shared" si="277"/>
        <v>0</v>
      </c>
      <c r="AL927" s="1691" t="str">
        <f t="shared" si="278"/>
        <v>Lunas</v>
      </c>
      <c r="AM927" s="1410"/>
      <c r="AN927" s="1411"/>
      <c r="AO927" s="1410"/>
      <c r="AP927" s="1411"/>
      <c r="AQ927" s="1128"/>
      <c r="AR927" s="1173"/>
      <c r="AT927" s="1173"/>
      <c r="AV927" s="1173"/>
      <c r="AX927" s="1173"/>
      <c r="AY927" s="1176"/>
      <c r="AZ927" s="1173"/>
    </row>
    <row r="928" spans="1:52" s="2" customFormat="1" x14ac:dyDescent="0.25">
      <c r="A928" s="156">
        <v>863</v>
      </c>
      <c r="B928" s="172">
        <v>10</v>
      </c>
      <c r="C928" s="159">
        <v>849115018</v>
      </c>
      <c r="D928" s="158" t="s">
        <v>1390</v>
      </c>
      <c r="E928" s="160" t="s">
        <v>1070</v>
      </c>
      <c r="F928" s="161">
        <v>2015</v>
      </c>
      <c r="G928" s="162" t="s">
        <v>33</v>
      </c>
      <c r="H928" s="163">
        <f t="shared" si="251"/>
        <v>43062</v>
      </c>
      <c r="I928" s="163">
        <f t="shared" si="252"/>
        <v>43218</v>
      </c>
      <c r="J928" s="1443">
        <v>1250000</v>
      </c>
      <c r="K928" s="1383">
        <v>42208</v>
      </c>
      <c r="L928" s="1385">
        <v>3000000</v>
      </c>
      <c r="M928" s="1383">
        <v>42208</v>
      </c>
      <c r="N928" s="1385">
        <v>3000000</v>
      </c>
      <c r="O928" s="1383">
        <v>42405</v>
      </c>
      <c r="P928" s="1385">
        <v>3000000</v>
      </c>
      <c r="Q928" s="1383">
        <v>42572</v>
      </c>
      <c r="R928" s="1385">
        <v>3000000</v>
      </c>
      <c r="S928" s="1383">
        <v>42747</v>
      </c>
      <c r="T928" s="1358">
        <v>3000000</v>
      </c>
      <c r="U928" s="1383">
        <v>43042</v>
      </c>
      <c r="V928" s="1465" t="s">
        <v>1080</v>
      </c>
      <c r="W928" s="1474"/>
      <c r="X928" s="1363"/>
      <c r="Y928" s="1391"/>
      <c r="Z928" s="1363"/>
      <c r="AA928" s="1563"/>
      <c r="AB928" s="1385">
        <v>1000000</v>
      </c>
      <c r="AC928" s="1357">
        <v>42747</v>
      </c>
      <c r="AD928" s="1666" t="str">
        <f t="shared" si="269"/>
        <v xml:space="preserve">  </v>
      </c>
      <c r="AE928" s="1590" t="str">
        <f t="shared" si="270"/>
        <v xml:space="preserve">  </v>
      </c>
      <c r="AF928" s="2300" t="s">
        <v>1329</v>
      </c>
      <c r="AG928" s="1612"/>
      <c r="AH928" s="1625" t="str">
        <f t="shared" si="271"/>
        <v>MPI-S2</v>
      </c>
      <c r="AI928" s="1680">
        <f t="shared" si="276"/>
        <v>17250000</v>
      </c>
      <c r="AJ928" s="1681">
        <f t="shared" si="273"/>
        <v>17250000</v>
      </c>
      <c r="AK928" s="1682">
        <f t="shared" si="277"/>
        <v>0</v>
      </c>
      <c r="AL928" s="1691" t="str">
        <f t="shared" si="278"/>
        <v>Lunas</v>
      </c>
      <c r="AM928" s="1410"/>
      <c r="AN928" s="1411"/>
      <c r="AO928" s="1410"/>
      <c r="AP928" s="1411"/>
      <c r="AQ928" s="1128"/>
      <c r="AR928" s="1173"/>
      <c r="AT928" s="1173"/>
      <c r="AV928" s="1173"/>
      <c r="AX928" s="1173"/>
      <c r="AY928" s="1176"/>
      <c r="AZ928" s="1173"/>
    </row>
    <row r="929" spans="1:52" s="2" customFormat="1" x14ac:dyDescent="0.25">
      <c r="A929" s="156">
        <v>864</v>
      </c>
      <c r="B929" s="172">
        <v>11</v>
      </c>
      <c r="C929" s="159">
        <v>849115009</v>
      </c>
      <c r="D929" s="158" t="s">
        <v>1391</v>
      </c>
      <c r="E929" s="160" t="s">
        <v>1070</v>
      </c>
      <c r="F929" s="161">
        <v>2015</v>
      </c>
      <c r="G929" s="162" t="s">
        <v>33</v>
      </c>
      <c r="H929" s="163">
        <f t="shared" si="251"/>
        <v>43076</v>
      </c>
      <c r="I929" s="163">
        <f t="shared" si="252"/>
        <v>43218</v>
      </c>
      <c r="J929" s="1443">
        <v>1250000</v>
      </c>
      <c r="K929" s="1383">
        <v>42163</v>
      </c>
      <c r="L929" s="1385">
        <v>3000000</v>
      </c>
      <c r="M929" s="1383">
        <v>42163</v>
      </c>
      <c r="N929" s="1385">
        <v>3000000</v>
      </c>
      <c r="O929" s="1383">
        <v>42397</v>
      </c>
      <c r="P929" s="1385">
        <v>3000000</v>
      </c>
      <c r="Q929" s="1383">
        <v>42572</v>
      </c>
      <c r="R929" s="1385">
        <v>3000000</v>
      </c>
      <c r="S929" s="1383">
        <v>42760</v>
      </c>
      <c r="T929" s="1358">
        <v>3000000</v>
      </c>
      <c r="U929" s="1383">
        <v>43063</v>
      </c>
      <c r="V929" s="1465" t="s">
        <v>1080</v>
      </c>
      <c r="W929" s="1474"/>
      <c r="X929" s="1363"/>
      <c r="Y929" s="1391"/>
      <c r="Z929" s="1363"/>
      <c r="AA929" s="1563"/>
      <c r="AB929" s="1385">
        <v>1000000</v>
      </c>
      <c r="AC929" s="1357">
        <v>43063</v>
      </c>
      <c r="AD929" s="1666" t="str">
        <f t="shared" si="269"/>
        <v xml:space="preserve">  </v>
      </c>
      <c r="AE929" s="1590" t="str">
        <f t="shared" si="270"/>
        <v xml:space="preserve">  </v>
      </c>
      <c r="AF929" s="2300" t="s">
        <v>1329</v>
      </c>
      <c r="AG929" s="1612"/>
      <c r="AH929" s="1625" t="str">
        <f t="shared" si="271"/>
        <v>MPI-S2</v>
      </c>
      <c r="AI929" s="1680">
        <f t="shared" si="276"/>
        <v>17250000</v>
      </c>
      <c r="AJ929" s="1681">
        <f t="shared" si="273"/>
        <v>17250000</v>
      </c>
      <c r="AK929" s="1682">
        <f t="shared" si="277"/>
        <v>0</v>
      </c>
      <c r="AL929" s="1691" t="str">
        <f t="shared" si="278"/>
        <v>Lunas</v>
      </c>
      <c r="AM929" s="1410"/>
      <c r="AN929" s="1411"/>
      <c r="AO929" s="1410"/>
      <c r="AP929" s="1411"/>
      <c r="AQ929" s="1128"/>
      <c r="AR929" s="1173"/>
      <c r="AT929" s="1173"/>
      <c r="AV929" s="1173"/>
      <c r="AX929" s="1173"/>
      <c r="AY929" s="1176"/>
      <c r="AZ929" s="1173"/>
    </row>
    <row r="930" spans="1:52" s="2" customFormat="1" x14ac:dyDescent="0.25">
      <c r="A930" s="156">
        <v>865</v>
      </c>
      <c r="B930" s="172">
        <v>12</v>
      </c>
      <c r="C930" s="159">
        <v>849115021</v>
      </c>
      <c r="D930" s="158" t="s">
        <v>1392</v>
      </c>
      <c r="E930" s="160" t="s">
        <v>1070</v>
      </c>
      <c r="F930" s="161">
        <v>2015</v>
      </c>
      <c r="G930" s="162" t="s">
        <v>33</v>
      </c>
      <c r="H930" s="163">
        <f t="shared" si="251"/>
        <v>43248</v>
      </c>
      <c r="I930" s="163">
        <f t="shared" si="252"/>
        <v>43440</v>
      </c>
      <c r="J930" s="1443">
        <v>1250000</v>
      </c>
      <c r="K930" s="1383">
        <v>42219</v>
      </c>
      <c r="L930" s="1385">
        <v>3000000</v>
      </c>
      <c r="M930" s="1383">
        <v>42219</v>
      </c>
      <c r="N930" s="1385">
        <v>3000000</v>
      </c>
      <c r="O930" s="1383">
        <v>42398</v>
      </c>
      <c r="P930" s="1385">
        <v>3000000</v>
      </c>
      <c r="Q930" s="1383">
        <v>42576</v>
      </c>
      <c r="R930" s="1385">
        <v>3000000</v>
      </c>
      <c r="S930" s="1383">
        <v>42766</v>
      </c>
      <c r="T930" s="1358">
        <v>3000000</v>
      </c>
      <c r="U930" s="1383">
        <v>43116</v>
      </c>
      <c r="V930" s="1443">
        <v>3000000</v>
      </c>
      <c r="W930" s="1357">
        <v>43116</v>
      </c>
      <c r="X930" s="1465" t="s">
        <v>1080</v>
      </c>
      <c r="Y930" s="1474"/>
      <c r="Z930" s="1363"/>
      <c r="AA930" s="1563"/>
      <c r="AB930" s="1385">
        <v>1000000</v>
      </c>
      <c r="AC930" s="1357">
        <v>43116</v>
      </c>
      <c r="AD930" s="1666" t="str">
        <f t="shared" si="269"/>
        <v xml:space="preserve">  </v>
      </c>
      <c r="AE930" s="1590" t="str">
        <f t="shared" si="270"/>
        <v xml:space="preserve">  </v>
      </c>
      <c r="AF930" s="2300" t="s">
        <v>1329</v>
      </c>
      <c r="AG930" s="1612"/>
      <c r="AH930" s="1625" t="str">
        <f t="shared" si="271"/>
        <v>MPI-S2</v>
      </c>
      <c r="AI930" s="1680">
        <f t="shared" si="276"/>
        <v>20250000</v>
      </c>
      <c r="AJ930" s="1681">
        <f t="shared" si="273"/>
        <v>20250000</v>
      </c>
      <c r="AK930" s="1682">
        <f t="shared" si="277"/>
        <v>0</v>
      </c>
      <c r="AL930" s="1691" t="str">
        <f t="shared" si="278"/>
        <v>Lunas</v>
      </c>
      <c r="AM930" s="1410"/>
      <c r="AN930" s="1411"/>
      <c r="AO930" s="1410"/>
      <c r="AP930" s="1411"/>
      <c r="AQ930" s="1128"/>
      <c r="AR930" s="1173"/>
      <c r="AT930" s="1173"/>
      <c r="AV930" s="1173"/>
      <c r="AX930" s="1173"/>
      <c r="AY930" s="1176"/>
      <c r="AZ930" s="1173"/>
    </row>
    <row r="931" spans="1:52" s="2" customFormat="1" x14ac:dyDescent="0.25">
      <c r="A931" s="234">
        <v>866</v>
      </c>
      <c r="B931" s="347">
        <v>13</v>
      </c>
      <c r="C931" s="236">
        <v>849115022</v>
      </c>
      <c r="D931" s="233" t="s">
        <v>1393</v>
      </c>
      <c r="E931" s="237" t="s">
        <v>1070</v>
      </c>
      <c r="F931" s="238">
        <v>2015</v>
      </c>
      <c r="G931" s="214" t="s">
        <v>1077</v>
      </c>
      <c r="H931" s="303" t="str">
        <f t="shared" ref="H931:H962" si="279">IFERROR(VLOOKUP(C931,Tlus,3,FALSE),"   ")</f>
        <v xml:space="preserve">   </v>
      </c>
      <c r="I931" s="303" t="str">
        <f t="shared" ref="I931:I962" si="280">IFERROR(VLOOKUP(C931,Wis,4,FALSE),"   ")</f>
        <v xml:space="preserve">   </v>
      </c>
      <c r="J931" s="1710">
        <v>1250000</v>
      </c>
      <c r="K931" s="1604">
        <v>42394</v>
      </c>
      <c r="L931" s="1698">
        <v>3000000</v>
      </c>
      <c r="M931" s="1604">
        <v>42186</v>
      </c>
      <c r="N931" s="1711" t="s">
        <v>1162</v>
      </c>
      <c r="O931" s="1712"/>
      <c r="P931" s="1363"/>
      <c r="Q931" s="1391"/>
      <c r="R931" s="1363"/>
      <c r="S931" s="1391"/>
      <c r="T931" s="1363"/>
      <c r="U931" s="1391"/>
      <c r="V931" s="1363"/>
      <c r="W931" s="1391"/>
      <c r="X931" s="1363"/>
      <c r="Y931" s="1391"/>
      <c r="Z931" s="1363"/>
      <c r="AA931" s="1563"/>
      <c r="AB931" s="1714"/>
      <c r="AC931" s="1367"/>
      <c r="AD931" s="1666" t="str">
        <f t="shared" si="269"/>
        <v xml:space="preserve">  </v>
      </c>
      <c r="AE931" s="1590" t="str">
        <f t="shared" si="270"/>
        <v xml:space="preserve">  </v>
      </c>
      <c r="AF931" s="2300" t="s">
        <v>1329</v>
      </c>
      <c r="AG931" s="1612"/>
      <c r="AH931" s="1625" t="str">
        <f t="shared" si="271"/>
        <v>MPI-S2</v>
      </c>
      <c r="AI931" s="1688">
        <f t="shared" si="276"/>
        <v>4250000</v>
      </c>
      <c r="AJ931" s="1685">
        <f t="shared" si="273"/>
        <v>4250000</v>
      </c>
      <c r="AK931" s="1686">
        <f t="shared" si="277"/>
        <v>0</v>
      </c>
      <c r="AL931" s="1687" t="s">
        <v>1334</v>
      </c>
      <c r="AM931" s="1410"/>
      <c r="AN931" s="1411"/>
      <c r="AO931" s="1410"/>
      <c r="AP931" s="1411"/>
      <c r="AQ931" s="1128"/>
      <c r="AR931" s="1173"/>
      <c r="AT931" s="1173"/>
      <c r="AV931" s="1173"/>
      <c r="AX931" s="1173"/>
      <c r="AY931" s="1176"/>
      <c r="AZ931" s="1173"/>
    </row>
    <row r="932" spans="1:52" s="2" customFormat="1" x14ac:dyDescent="0.25">
      <c r="A932" s="156">
        <v>867</v>
      </c>
      <c r="B932" s="344">
        <v>14</v>
      </c>
      <c r="C932" s="178">
        <v>849115010</v>
      </c>
      <c r="D932" s="177" t="s">
        <v>1394</v>
      </c>
      <c r="E932" s="346" t="s">
        <v>1070</v>
      </c>
      <c r="F932" s="317">
        <v>2015</v>
      </c>
      <c r="G932" s="162" t="s">
        <v>33</v>
      </c>
      <c r="H932" s="163">
        <f t="shared" si="279"/>
        <v>43675</v>
      </c>
      <c r="I932" s="163">
        <f t="shared" si="280"/>
        <v>43750</v>
      </c>
      <c r="J932" s="1636">
        <v>1250000</v>
      </c>
      <c r="K932" s="1637">
        <v>42401</v>
      </c>
      <c r="L932" s="1480">
        <v>3000000</v>
      </c>
      <c r="M932" s="1637">
        <v>42195</v>
      </c>
      <c r="N932" s="1385">
        <v>3000000</v>
      </c>
      <c r="O932" s="1637">
        <v>42401</v>
      </c>
      <c r="P932" s="1480">
        <v>3000000</v>
      </c>
      <c r="Q932" s="1637">
        <v>42571</v>
      </c>
      <c r="R932" s="1480">
        <v>3000000</v>
      </c>
      <c r="S932" s="1637">
        <v>42762</v>
      </c>
      <c r="T932" s="1431">
        <v>3000000</v>
      </c>
      <c r="U932" s="1637">
        <v>43126</v>
      </c>
      <c r="V932" s="1636">
        <v>3000000</v>
      </c>
      <c r="W932" s="1365">
        <v>43116</v>
      </c>
      <c r="X932" s="1480">
        <v>3000000</v>
      </c>
      <c r="Y932" s="1365">
        <v>43665</v>
      </c>
      <c r="Z932" s="1480">
        <v>3000000</v>
      </c>
      <c r="AA932" s="1365">
        <v>43665</v>
      </c>
      <c r="AB932" s="1385">
        <v>1000000</v>
      </c>
      <c r="AC932" s="1357">
        <v>43126</v>
      </c>
      <c r="AD932" s="1666" t="str">
        <f t="shared" si="269"/>
        <v xml:space="preserve">  </v>
      </c>
      <c r="AE932" s="1590" t="str">
        <f t="shared" si="270"/>
        <v xml:space="preserve">  </v>
      </c>
      <c r="AF932" s="2300" t="s">
        <v>1329</v>
      </c>
      <c r="AG932" s="1612"/>
      <c r="AH932" s="1625" t="str">
        <f t="shared" si="271"/>
        <v>MPI-S2</v>
      </c>
      <c r="AI932" s="1680">
        <f t="shared" si="276"/>
        <v>26250000</v>
      </c>
      <c r="AJ932" s="1681">
        <f t="shared" si="273"/>
        <v>26250000</v>
      </c>
      <c r="AK932" s="1682">
        <f t="shared" si="277"/>
        <v>0</v>
      </c>
      <c r="AL932" s="1691" t="str">
        <f t="shared" si="278"/>
        <v>Lunas</v>
      </c>
      <c r="AM932" s="1410"/>
      <c r="AN932" s="1411"/>
      <c r="AO932" s="1410"/>
      <c r="AP932" s="1411"/>
      <c r="AQ932" s="1128"/>
      <c r="AR932" s="1173"/>
      <c r="AT932" s="1173"/>
      <c r="AV932" s="1173"/>
      <c r="AX932" s="1173"/>
      <c r="AY932" s="1176"/>
      <c r="AZ932" s="1173"/>
    </row>
    <row r="933" spans="1:52" s="2" customFormat="1" x14ac:dyDescent="0.25">
      <c r="A933" s="234">
        <v>868</v>
      </c>
      <c r="B933" s="586">
        <v>15</v>
      </c>
      <c r="C933" s="304">
        <v>849115011</v>
      </c>
      <c r="D933" s="301" t="s">
        <v>1395</v>
      </c>
      <c r="E933" s="298" t="s">
        <v>1070</v>
      </c>
      <c r="F933" s="299">
        <v>2015</v>
      </c>
      <c r="G933" s="214" t="s">
        <v>1077</v>
      </c>
      <c r="H933" s="265" t="str">
        <f t="shared" si="279"/>
        <v xml:space="preserve">   </v>
      </c>
      <c r="I933" s="265" t="str">
        <f t="shared" si="280"/>
        <v xml:space="preserve">   </v>
      </c>
      <c r="J933" s="1635">
        <v>1250000</v>
      </c>
      <c r="K933" s="1500">
        <v>42397</v>
      </c>
      <c r="L933" s="1389">
        <v>3000000</v>
      </c>
      <c r="M933" s="1500">
        <v>42192</v>
      </c>
      <c r="N933" s="1389">
        <v>3000000</v>
      </c>
      <c r="O933" s="1500">
        <v>42397</v>
      </c>
      <c r="P933" s="1389">
        <v>3000000</v>
      </c>
      <c r="Q933" s="1500">
        <v>42576</v>
      </c>
      <c r="R933" s="1389">
        <v>3000000</v>
      </c>
      <c r="S933" s="1500">
        <v>42971</v>
      </c>
      <c r="T933" s="1430">
        <v>3000000</v>
      </c>
      <c r="U933" s="1500">
        <v>42971</v>
      </c>
      <c r="V933" s="1714"/>
      <c r="W933" s="1391"/>
      <c r="X933" s="1363"/>
      <c r="Y933" s="1391"/>
      <c r="Z933" s="1363"/>
      <c r="AA933" s="1563"/>
      <c r="AB933" s="1389"/>
      <c r="AC933" s="1360"/>
      <c r="AD933" s="1666" t="str">
        <f t="shared" si="269"/>
        <v xml:space="preserve">  </v>
      </c>
      <c r="AE933" s="1590" t="str">
        <f t="shared" si="270"/>
        <v xml:space="preserve">  </v>
      </c>
      <c r="AF933" s="2300" t="s">
        <v>1329</v>
      </c>
      <c r="AG933" s="1612"/>
      <c r="AH933" s="1625" t="str">
        <f t="shared" si="271"/>
        <v>MPI-S2</v>
      </c>
      <c r="AI933" s="1688">
        <f t="shared" si="276"/>
        <v>16250000</v>
      </c>
      <c r="AJ933" s="1685">
        <f t="shared" si="273"/>
        <v>16250000</v>
      </c>
      <c r="AK933" s="1686">
        <f t="shared" si="277"/>
        <v>0</v>
      </c>
      <c r="AL933" s="1687" t="s">
        <v>1334</v>
      </c>
      <c r="AM933" s="1410"/>
      <c r="AN933" s="1411"/>
      <c r="AO933" s="1410"/>
      <c r="AP933" s="1411"/>
      <c r="AQ933" s="1128"/>
      <c r="AR933" s="1173"/>
      <c r="AT933" s="1173"/>
      <c r="AV933" s="1173"/>
      <c r="AX933" s="1173"/>
      <c r="AY933" s="1176"/>
      <c r="AZ933" s="1173"/>
    </row>
    <row r="934" spans="1:52" s="2" customFormat="1" x14ac:dyDescent="0.25">
      <c r="A934" s="234">
        <v>869</v>
      </c>
      <c r="B934" s="586">
        <v>16</v>
      </c>
      <c r="C934" s="304">
        <v>849115012</v>
      </c>
      <c r="D934" s="301" t="s">
        <v>1396</v>
      </c>
      <c r="E934" s="298" t="s">
        <v>1070</v>
      </c>
      <c r="F934" s="299">
        <v>2015</v>
      </c>
      <c r="G934" s="214" t="s">
        <v>1077</v>
      </c>
      <c r="H934" s="265" t="str">
        <f t="shared" si="279"/>
        <v xml:space="preserve">   </v>
      </c>
      <c r="I934" s="265" t="str">
        <f t="shared" si="280"/>
        <v xml:space="preserve">   </v>
      </c>
      <c r="J934" s="1635">
        <v>1250000</v>
      </c>
      <c r="K934" s="1360"/>
      <c r="L934" s="1713"/>
      <c r="M934" s="1362" t="s">
        <v>1382</v>
      </c>
      <c r="N934" s="1713"/>
      <c r="O934" s="1362" t="s">
        <v>1382</v>
      </c>
      <c r="P934" s="1635">
        <v>2000000</v>
      </c>
      <c r="Q934" s="1651"/>
      <c r="R934" s="1363"/>
      <c r="S934" s="1391"/>
      <c r="T934" s="1363"/>
      <c r="U934" s="1391"/>
      <c r="V934" s="1363"/>
      <c r="W934" s="1391"/>
      <c r="X934" s="1363"/>
      <c r="Y934" s="1391"/>
      <c r="Z934" s="1363"/>
      <c r="AA934" s="1563"/>
      <c r="AB934" s="1389"/>
      <c r="AC934" s="1360"/>
      <c r="AD934" s="1666" t="str">
        <f t="shared" si="269"/>
        <v xml:space="preserve">  </v>
      </c>
      <c r="AE934" s="1590" t="str">
        <f t="shared" si="270"/>
        <v xml:space="preserve">  </v>
      </c>
      <c r="AF934" s="2300" t="s">
        <v>1329</v>
      </c>
      <c r="AG934" s="1612"/>
      <c r="AH934" s="1625" t="str">
        <f t="shared" si="271"/>
        <v>MPI-S2</v>
      </c>
      <c r="AI934" s="1688">
        <f t="shared" si="276"/>
        <v>3250000</v>
      </c>
      <c r="AJ934" s="1685">
        <f t="shared" si="273"/>
        <v>4250000</v>
      </c>
      <c r="AK934" s="1686">
        <f t="shared" si="277"/>
        <v>1000000</v>
      </c>
      <c r="AL934" s="1687" t="s">
        <v>1334</v>
      </c>
      <c r="AM934" s="1410"/>
      <c r="AN934" s="1411"/>
      <c r="AO934" s="1410"/>
      <c r="AP934" s="1411"/>
      <c r="AQ934" s="1128"/>
      <c r="AR934" s="1173"/>
      <c r="AT934" s="1173"/>
      <c r="AV934" s="1173"/>
      <c r="AX934" s="1173"/>
      <c r="AY934" s="1176"/>
      <c r="AZ934" s="1173"/>
    </row>
    <row r="935" spans="1:52" s="2" customFormat="1" x14ac:dyDescent="0.25">
      <c r="A935" s="234">
        <v>870</v>
      </c>
      <c r="B935" s="347">
        <v>17</v>
      </c>
      <c r="C935" s="236">
        <v>849115013</v>
      </c>
      <c r="D935" s="233" t="s">
        <v>1397</v>
      </c>
      <c r="E935" s="237" t="s">
        <v>1070</v>
      </c>
      <c r="F935" s="238">
        <v>2015</v>
      </c>
      <c r="G935" s="214" t="s">
        <v>1077</v>
      </c>
      <c r="H935" s="265" t="str">
        <f t="shared" si="279"/>
        <v xml:space="preserve">   </v>
      </c>
      <c r="I935" s="265" t="str">
        <f t="shared" si="280"/>
        <v xml:space="preserve">   </v>
      </c>
      <c r="J935" s="1635">
        <v>1250000</v>
      </c>
      <c r="K935" s="1503">
        <v>42194</v>
      </c>
      <c r="L935" s="1714">
        <v>3000000</v>
      </c>
      <c r="M935" s="1503">
        <v>42194</v>
      </c>
      <c r="N935" s="1714">
        <v>3000000</v>
      </c>
      <c r="O935" s="1503">
        <v>42398</v>
      </c>
      <c r="P935" s="1714">
        <v>3000000</v>
      </c>
      <c r="Q935" s="1503">
        <v>42685</v>
      </c>
      <c r="R935" s="1714"/>
      <c r="S935" s="1391"/>
      <c r="T935" s="1363"/>
      <c r="U935" s="1391"/>
      <c r="V935" s="1363"/>
      <c r="W935" s="1391"/>
      <c r="X935" s="1363"/>
      <c r="Y935" s="1391"/>
      <c r="Z935" s="1363"/>
      <c r="AA935" s="1563"/>
      <c r="AB935" s="1389"/>
      <c r="AC935" s="1360"/>
      <c r="AD935" s="1666" t="str">
        <f t="shared" si="269"/>
        <v xml:space="preserve">  </v>
      </c>
      <c r="AE935" s="1590" t="str">
        <f t="shared" si="270"/>
        <v xml:space="preserve">  </v>
      </c>
      <c r="AF935" s="2300" t="s">
        <v>1329</v>
      </c>
      <c r="AG935" s="1612"/>
      <c r="AH935" s="1625" t="str">
        <f t="shared" si="271"/>
        <v>MPI-S2</v>
      </c>
      <c r="AI935" s="1688">
        <f t="shared" si="276"/>
        <v>10250000</v>
      </c>
      <c r="AJ935" s="1685">
        <f t="shared" si="273"/>
        <v>10250000</v>
      </c>
      <c r="AK935" s="1686">
        <f t="shared" si="277"/>
        <v>0</v>
      </c>
      <c r="AL935" s="1687" t="s">
        <v>1334</v>
      </c>
      <c r="AM935" s="1410"/>
      <c r="AN935" s="1411"/>
      <c r="AO935" s="1410"/>
      <c r="AP935" s="1411"/>
      <c r="AQ935" s="1128"/>
      <c r="AR935" s="1173"/>
      <c r="AT935" s="1173"/>
      <c r="AV935" s="1173"/>
      <c r="AX935" s="1173"/>
      <c r="AY935" s="1176"/>
      <c r="AZ935" s="1173"/>
    </row>
    <row r="936" spans="1:52" s="2" customFormat="1" x14ac:dyDescent="0.25">
      <c r="A936" s="156">
        <v>871</v>
      </c>
      <c r="B936" s="344">
        <v>18</v>
      </c>
      <c r="C936" s="178">
        <v>849115014</v>
      </c>
      <c r="D936" s="177" t="s">
        <v>1398</v>
      </c>
      <c r="E936" s="346" t="s">
        <v>1070</v>
      </c>
      <c r="F936" s="317">
        <v>2015</v>
      </c>
      <c r="G936" s="272" t="s">
        <v>33</v>
      </c>
      <c r="H936" s="163">
        <f t="shared" si="279"/>
        <v>43482</v>
      </c>
      <c r="I936" s="163">
        <f t="shared" si="280"/>
        <v>43587</v>
      </c>
      <c r="J936" s="1636">
        <v>1250000</v>
      </c>
      <c r="K936" s="1637">
        <v>42192</v>
      </c>
      <c r="L936" s="1480">
        <v>3000000</v>
      </c>
      <c r="M936" s="1637">
        <v>42192</v>
      </c>
      <c r="N936" s="1480">
        <v>3000000</v>
      </c>
      <c r="O936" s="1637">
        <v>42398</v>
      </c>
      <c r="P936" s="1636">
        <v>3000000</v>
      </c>
      <c r="Q936" s="1637">
        <v>42573</v>
      </c>
      <c r="R936" s="1480">
        <v>3000000</v>
      </c>
      <c r="S936" s="1637">
        <v>42762</v>
      </c>
      <c r="T936" s="1431">
        <v>3000000</v>
      </c>
      <c r="U936" s="1637">
        <v>43014</v>
      </c>
      <c r="V936" s="1636">
        <v>3000000</v>
      </c>
      <c r="W936" s="1365">
        <v>43398</v>
      </c>
      <c r="X936" s="1480">
        <v>3000000</v>
      </c>
      <c r="Y936" s="1365">
        <v>43398</v>
      </c>
      <c r="Z936" s="1465" t="s">
        <v>1080</v>
      </c>
      <c r="AA936" s="1360"/>
      <c r="AB936" s="1480">
        <v>1000000</v>
      </c>
      <c r="AC936" s="1365">
        <v>42762</v>
      </c>
      <c r="AD936" s="1666" t="str">
        <f t="shared" si="269"/>
        <v xml:space="preserve">  </v>
      </c>
      <c r="AE936" s="1590" t="str">
        <f t="shared" si="270"/>
        <v xml:space="preserve">  </v>
      </c>
      <c r="AF936" s="2300" t="s">
        <v>1329</v>
      </c>
      <c r="AG936" s="1612"/>
      <c r="AH936" s="1625" t="str">
        <f t="shared" si="271"/>
        <v>MPI-S2</v>
      </c>
      <c r="AI936" s="1680">
        <f t="shared" si="276"/>
        <v>23250000</v>
      </c>
      <c r="AJ936" s="1681">
        <f t="shared" si="273"/>
        <v>23250000</v>
      </c>
      <c r="AK936" s="1682">
        <f t="shared" si="277"/>
        <v>0</v>
      </c>
      <c r="AL936" s="1691" t="str">
        <f t="shared" si="278"/>
        <v>Lunas</v>
      </c>
      <c r="AM936" s="1410"/>
      <c r="AN936" s="1411"/>
      <c r="AO936" s="1410"/>
      <c r="AP936" s="1411"/>
      <c r="AQ936" s="1128"/>
      <c r="AR936" s="1173"/>
      <c r="AT936" s="1173"/>
      <c r="AV936" s="1173"/>
      <c r="AX936" s="1173"/>
      <c r="AY936" s="1176"/>
      <c r="AZ936" s="1173"/>
    </row>
    <row r="937" spans="1:52" s="2" customFormat="1" x14ac:dyDescent="0.25">
      <c r="A937" s="156">
        <v>872</v>
      </c>
      <c r="B937" s="172">
        <v>19</v>
      </c>
      <c r="C937" s="178">
        <v>849115015</v>
      </c>
      <c r="D937" s="177" t="s">
        <v>1399</v>
      </c>
      <c r="E937" s="346" t="s">
        <v>1070</v>
      </c>
      <c r="F937" s="317">
        <v>2015</v>
      </c>
      <c r="G937" s="272" t="s">
        <v>33</v>
      </c>
      <c r="H937" s="163">
        <f t="shared" si="279"/>
        <v>43480</v>
      </c>
      <c r="I937" s="163">
        <f t="shared" si="280"/>
        <v>43587</v>
      </c>
      <c r="J937" s="1636">
        <v>1250000</v>
      </c>
      <c r="K937" s="1637">
        <v>42194</v>
      </c>
      <c r="L937" s="1480">
        <v>3000000</v>
      </c>
      <c r="M937" s="1637">
        <v>42194</v>
      </c>
      <c r="N937" s="1480">
        <v>3000000</v>
      </c>
      <c r="O937" s="1637">
        <v>42398</v>
      </c>
      <c r="P937" s="1480">
        <v>3000000</v>
      </c>
      <c r="Q937" s="1637">
        <v>42613</v>
      </c>
      <c r="R937" s="1480">
        <v>3000000</v>
      </c>
      <c r="S937" s="1637">
        <v>42990</v>
      </c>
      <c r="T937" s="1431">
        <v>3000000</v>
      </c>
      <c r="U937" s="1637">
        <v>42990</v>
      </c>
      <c r="V937" s="1636">
        <v>3000000</v>
      </c>
      <c r="W937" s="1365">
        <v>43220</v>
      </c>
      <c r="X937" s="1480">
        <v>3000000</v>
      </c>
      <c r="Y937" s="1365">
        <v>43423</v>
      </c>
      <c r="Z937" s="1714"/>
      <c r="AA937" s="1563"/>
      <c r="AB937" s="1480">
        <v>1000000</v>
      </c>
      <c r="AC937" s="1365">
        <v>43220</v>
      </c>
      <c r="AD937" s="1666" t="str">
        <f t="shared" si="269"/>
        <v xml:space="preserve">  </v>
      </c>
      <c r="AE937" s="1590" t="str">
        <f t="shared" si="270"/>
        <v xml:space="preserve">  </v>
      </c>
      <c r="AF937" s="2300" t="s">
        <v>1329</v>
      </c>
      <c r="AG937" s="1612"/>
      <c r="AH937" s="1625" t="str">
        <f t="shared" si="271"/>
        <v>MPI-S2</v>
      </c>
      <c r="AI937" s="1680">
        <f t="shared" si="276"/>
        <v>23250000</v>
      </c>
      <c r="AJ937" s="1681">
        <f t="shared" si="273"/>
        <v>23250000</v>
      </c>
      <c r="AK937" s="1682">
        <f t="shared" si="277"/>
        <v>0</v>
      </c>
      <c r="AL937" s="1691" t="str">
        <f t="shared" si="278"/>
        <v>Lunas</v>
      </c>
      <c r="AM937" s="1410"/>
      <c r="AN937" s="1411"/>
      <c r="AO937" s="1410"/>
      <c r="AP937" s="1411"/>
      <c r="AQ937" s="1128"/>
      <c r="AR937" s="1173"/>
      <c r="AT937" s="1173"/>
      <c r="AV937" s="1173"/>
      <c r="AX937" s="1173"/>
      <c r="AY937" s="1176"/>
      <c r="AZ937" s="1173"/>
    </row>
    <row r="938" spans="1:52" s="2" customFormat="1" x14ac:dyDescent="0.25">
      <c r="A938" s="234">
        <v>873</v>
      </c>
      <c r="B938" s="586">
        <v>20</v>
      </c>
      <c r="C938" s="304">
        <v>849115016</v>
      </c>
      <c r="D938" s="301" t="s">
        <v>1400</v>
      </c>
      <c r="E938" s="298" t="s">
        <v>1070</v>
      </c>
      <c r="F938" s="299">
        <v>2015</v>
      </c>
      <c r="G938" s="214" t="s">
        <v>1077</v>
      </c>
      <c r="H938" s="265" t="str">
        <f t="shared" si="279"/>
        <v xml:space="preserve">   </v>
      </c>
      <c r="I938" s="265" t="str">
        <f t="shared" si="280"/>
        <v xml:space="preserve">   </v>
      </c>
      <c r="J938" s="1635">
        <v>1250000</v>
      </c>
      <c r="K938" s="1500">
        <v>42195</v>
      </c>
      <c r="L938" s="1389">
        <v>3000000</v>
      </c>
      <c r="M938" s="1500">
        <v>42195</v>
      </c>
      <c r="N938" s="1389">
        <v>3000000</v>
      </c>
      <c r="O938" s="1500">
        <v>42401</v>
      </c>
      <c r="P938" s="1389">
        <v>3000000</v>
      </c>
      <c r="Q938" s="1500">
        <v>42401</v>
      </c>
      <c r="R938" s="1389">
        <v>3000000</v>
      </c>
      <c r="S938" s="1500">
        <v>42762</v>
      </c>
      <c r="T938" s="1363"/>
      <c r="U938" s="1391"/>
      <c r="V938" s="1363"/>
      <c r="W938" s="1391"/>
      <c r="X938" s="1363"/>
      <c r="Y938" s="1391"/>
      <c r="Z938" s="1363"/>
      <c r="AA938" s="1563"/>
      <c r="AB938" s="1389"/>
      <c r="AC938" s="1360"/>
      <c r="AD938" s="1666" t="str">
        <f t="shared" si="269"/>
        <v xml:space="preserve">  </v>
      </c>
      <c r="AE938" s="1590" t="str">
        <f t="shared" si="270"/>
        <v xml:space="preserve">  </v>
      </c>
      <c r="AF938" s="2300" t="s">
        <v>1329</v>
      </c>
      <c r="AG938" s="1612"/>
      <c r="AH938" s="1625" t="str">
        <f t="shared" si="271"/>
        <v>MPI-S2</v>
      </c>
      <c r="AI938" s="1688">
        <f t="shared" si="276"/>
        <v>13250000</v>
      </c>
      <c r="AJ938" s="1685">
        <f t="shared" si="273"/>
        <v>13250000</v>
      </c>
      <c r="AK938" s="1686">
        <f t="shared" si="277"/>
        <v>0</v>
      </c>
      <c r="AL938" s="1687" t="s">
        <v>1334</v>
      </c>
      <c r="AM938" s="1410"/>
      <c r="AN938" s="1411"/>
      <c r="AO938" s="1410"/>
      <c r="AP938" s="1411"/>
      <c r="AQ938" s="1128"/>
      <c r="AR938" s="1173"/>
      <c r="AT938" s="1173"/>
      <c r="AV938" s="1173"/>
      <c r="AX938" s="1173"/>
      <c r="AY938" s="1176"/>
      <c r="AZ938" s="1173"/>
    </row>
    <row r="939" spans="1:52" s="2" customFormat="1" x14ac:dyDescent="0.25">
      <c r="A939" s="156">
        <v>874</v>
      </c>
      <c r="B939" s="172">
        <v>21</v>
      </c>
      <c r="C939" s="159">
        <v>849115017</v>
      </c>
      <c r="D939" s="158" t="s">
        <v>1401</v>
      </c>
      <c r="E939" s="160" t="s">
        <v>1070</v>
      </c>
      <c r="F939" s="161">
        <v>2015</v>
      </c>
      <c r="G939" s="162" t="s">
        <v>33</v>
      </c>
      <c r="H939" s="163">
        <f t="shared" si="279"/>
        <v>43020</v>
      </c>
      <c r="I939" s="163">
        <f t="shared" si="280"/>
        <v>43064</v>
      </c>
      <c r="J939" s="1443">
        <v>1250000</v>
      </c>
      <c r="K939" s="1383">
        <v>42208</v>
      </c>
      <c r="L939" s="1385">
        <v>3000000</v>
      </c>
      <c r="M939" s="1383">
        <v>42208</v>
      </c>
      <c r="N939" s="1385">
        <v>3000000</v>
      </c>
      <c r="O939" s="1383">
        <v>42397</v>
      </c>
      <c r="P939" s="1385">
        <v>3000000</v>
      </c>
      <c r="Q939" s="1383" t="s">
        <v>1402</v>
      </c>
      <c r="R939" s="1385">
        <v>3000000</v>
      </c>
      <c r="S939" s="1383">
        <v>42759</v>
      </c>
      <c r="T939" s="1358">
        <v>3000000</v>
      </c>
      <c r="U939" s="1383">
        <v>43012</v>
      </c>
      <c r="V939" s="1465" t="s">
        <v>1080</v>
      </c>
      <c r="W939" s="1474"/>
      <c r="X939" s="1363"/>
      <c r="Y939" s="1391"/>
      <c r="Z939" s="1363"/>
      <c r="AA939" s="1563"/>
      <c r="AB939" s="1385">
        <v>1000000</v>
      </c>
      <c r="AC939" s="1357">
        <v>42759</v>
      </c>
      <c r="AD939" s="1666" t="str">
        <f t="shared" si="269"/>
        <v xml:space="preserve">  </v>
      </c>
      <c r="AE939" s="1590" t="str">
        <f t="shared" si="270"/>
        <v xml:space="preserve">  </v>
      </c>
      <c r="AF939" s="2300" t="s">
        <v>1329</v>
      </c>
      <c r="AG939" s="1612"/>
      <c r="AH939" s="1625" t="str">
        <f t="shared" si="271"/>
        <v>MPI-S2</v>
      </c>
      <c r="AI939" s="1680">
        <f t="shared" si="276"/>
        <v>17250000</v>
      </c>
      <c r="AJ939" s="1681">
        <f t="shared" si="273"/>
        <v>17250000</v>
      </c>
      <c r="AK939" s="1682">
        <f t="shared" si="277"/>
        <v>0</v>
      </c>
      <c r="AL939" s="1691" t="str">
        <f t="shared" si="278"/>
        <v>Lunas</v>
      </c>
      <c r="AM939" s="1410"/>
      <c r="AN939" s="1411"/>
      <c r="AO939" s="1410"/>
      <c r="AP939" s="1411"/>
      <c r="AQ939" s="1128"/>
      <c r="AR939" s="1173"/>
      <c r="AT939" s="1173"/>
      <c r="AV939" s="1173"/>
      <c r="AX939" s="1173"/>
      <c r="AY939" s="1176"/>
      <c r="AZ939" s="1173"/>
    </row>
    <row r="940" spans="1:52" s="2" customFormat="1" x14ac:dyDescent="0.25">
      <c r="A940" s="156">
        <v>875</v>
      </c>
      <c r="B940" s="172">
        <v>22</v>
      </c>
      <c r="C940" s="159">
        <v>849115019</v>
      </c>
      <c r="D940" s="177" t="s">
        <v>1403</v>
      </c>
      <c r="E940" s="346" t="s">
        <v>1070</v>
      </c>
      <c r="F940" s="317">
        <v>2015</v>
      </c>
      <c r="G940" s="162" t="s">
        <v>33</v>
      </c>
      <c r="H940" s="163">
        <f t="shared" si="279"/>
        <v>43643</v>
      </c>
      <c r="I940" s="163">
        <f t="shared" si="280"/>
        <v>43818</v>
      </c>
      <c r="J940" s="1636">
        <v>1250000</v>
      </c>
      <c r="K940" s="1637">
        <v>42208</v>
      </c>
      <c r="L940" s="1480">
        <v>3000000</v>
      </c>
      <c r="M940" s="1637">
        <v>42208</v>
      </c>
      <c r="N940" s="1480">
        <v>3000000</v>
      </c>
      <c r="O940" s="1637">
        <v>42398</v>
      </c>
      <c r="P940" s="1480">
        <v>3000000</v>
      </c>
      <c r="Q940" s="1637">
        <v>42572</v>
      </c>
      <c r="R940" s="1480">
        <v>3000000</v>
      </c>
      <c r="S940" s="1637">
        <v>42762</v>
      </c>
      <c r="T940" s="1431">
        <v>3000000</v>
      </c>
      <c r="U940" s="1637">
        <v>43319</v>
      </c>
      <c r="V940" s="1636">
        <v>3000000</v>
      </c>
      <c r="W940" s="1365">
        <v>43144</v>
      </c>
      <c r="X940" s="1636">
        <v>3000000</v>
      </c>
      <c r="Y940" s="1365">
        <v>43684</v>
      </c>
      <c r="Z940" s="1636">
        <v>3000000</v>
      </c>
      <c r="AA940" s="1365">
        <v>43684</v>
      </c>
      <c r="AB940" s="1480">
        <v>1000000</v>
      </c>
      <c r="AC940" s="1365">
        <v>42954</v>
      </c>
      <c r="AD940" s="1666" t="str">
        <f t="shared" si="269"/>
        <v xml:space="preserve">  </v>
      </c>
      <c r="AE940" s="1590" t="str">
        <f t="shared" si="270"/>
        <v xml:space="preserve">  </v>
      </c>
      <c r="AF940" s="2300" t="s">
        <v>1329</v>
      </c>
      <c r="AG940" s="1612"/>
      <c r="AH940" s="1625" t="str">
        <f t="shared" si="271"/>
        <v>MPI-S2</v>
      </c>
      <c r="AI940" s="1680">
        <f t="shared" si="276"/>
        <v>26250000</v>
      </c>
      <c r="AJ940" s="1681">
        <f t="shared" si="273"/>
        <v>26250000</v>
      </c>
      <c r="AK940" s="1682">
        <f t="shared" si="277"/>
        <v>0</v>
      </c>
      <c r="AL940" s="1691" t="str">
        <f t="shared" si="278"/>
        <v>Lunas</v>
      </c>
      <c r="AM940" s="1410"/>
      <c r="AN940" s="1411"/>
      <c r="AO940" s="1410"/>
      <c r="AP940" s="1411"/>
      <c r="AQ940" s="1128"/>
      <c r="AR940" s="1173"/>
      <c r="AT940" s="1173"/>
      <c r="AV940" s="1173"/>
      <c r="AX940" s="1173"/>
      <c r="AY940" s="1176"/>
      <c r="AZ940" s="1173"/>
    </row>
    <row r="941" spans="1:52" s="2" customFormat="1" x14ac:dyDescent="0.25">
      <c r="A941" s="240">
        <v>876</v>
      </c>
      <c r="B941" s="368">
        <v>23</v>
      </c>
      <c r="C941" s="243">
        <v>849115023</v>
      </c>
      <c r="D941" s="318" t="s">
        <v>1404</v>
      </c>
      <c r="E941" s="244" t="s">
        <v>61</v>
      </c>
      <c r="F941" s="245" t="s">
        <v>61</v>
      </c>
      <c r="G941" s="170" t="s">
        <v>1077</v>
      </c>
      <c r="H941" s="246" t="str">
        <f t="shared" si="279"/>
        <v xml:space="preserve">   </v>
      </c>
      <c r="I941" s="246" t="str">
        <f t="shared" si="280"/>
        <v xml:space="preserve">   </v>
      </c>
      <c r="J941" s="1715">
        <v>1250000</v>
      </c>
      <c r="K941" s="1716">
        <v>42208</v>
      </c>
      <c r="L941" s="1717">
        <v>3000000</v>
      </c>
      <c r="M941" s="1716">
        <v>42208</v>
      </c>
      <c r="N941" s="1717">
        <v>3000000</v>
      </c>
      <c r="O941" s="1716">
        <v>42411</v>
      </c>
      <c r="P941" s="1717">
        <v>3000000</v>
      </c>
      <c r="Q941" s="1716">
        <v>42573</v>
      </c>
      <c r="R941" s="1711" t="s">
        <v>1162</v>
      </c>
      <c r="S941" s="1725"/>
      <c r="T941" s="1363"/>
      <c r="U941" s="1391"/>
      <c r="V941" s="1363"/>
      <c r="W941" s="1391"/>
      <c r="X941" s="1363"/>
      <c r="Y941" s="1391"/>
      <c r="Z941" s="1363"/>
      <c r="AA941" s="1563"/>
      <c r="AB941" s="1363"/>
      <c r="AC941" s="1563"/>
      <c r="AD941" s="1733" t="str">
        <f t="shared" si="269"/>
        <v xml:space="preserve">  </v>
      </c>
      <c r="AE941" s="1734" t="str">
        <f t="shared" si="270"/>
        <v xml:space="preserve">  </v>
      </c>
      <c r="AF941" s="2301" t="s">
        <v>1329</v>
      </c>
      <c r="AG941" s="1616"/>
      <c r="AH941" s="1625" t="str">
        <f t="shared" si="271"/>
        <v>-</v>
      </c>
      <c r="AI941" s="1746">
        <f t="shared" si="276"/>
        <v>10250000</v>
      </c>
      <c r="AJ941" s="1747">
        <f t="shared" si="273"/>
        <v>10250000</v>
      </c>
      <c r="AK941" s="1748">
        <f t="shared" si="277"/>
        <v>0</v>
      </c>
      <c r="AL941" s="1749" t="s">
        <v>1334</v>
      </c>
      <c r="AM941" s="1410"/>
      <c r="AN941" s="1411"/>
      <c r="AO941" s="1410"/>
      <c r="AP941" s="1411"/>
      <c r="AQ941" s="1128"/>
      <c r="AR941" s="1173"/>
      <c r="AT941" s="1173"/>
      <c r="AV941" s="1173"/>
      <c r="AX941" s="1173"/>
      <c r="AY941" s="1176"/>
      <c r="AZ941" s="1173"/>
    </row>
    <row r="942" spans="1:52" s="4" customFormat="1" x14ac:dyDescent="0.25">
      <c r="A942" s="187"/>
      <c r="B942" s="267"/>
      <c r="C942" s="269"/>
      <c r="D942" s="268"/>
      <c r="E942" s="270" t="s">
        <v>61</v>
      </c>
      <c r="F942" s="267" t="s">
        <v>61</v>
      </c>
      <c r="G942" s="192" t="s">
        <v>61</v>
      </c>
      <c r="H942" s="193" t="str">
        <f t="shared" si="279"/>
        <v xml:space="preserve">   </v>
      </c>
      <c r="I942" s="193" t="str">
        <f t="shared" si="280"/>
        <v xml:space="preserve">   </v>
      </c>
      <c r="J942" s="187"/>
      <c r="K942" s="1436"/>
      <c r="L942" s="1437"/>
      <c r="M942" s="1629"/>
      <c r="N942" s="1437"/>
      <c r="O942" s="1629"/>
      <c r="P942" s="1437"/>
      <c r="Q942" s="1629"/>
      <c r="R942" s="1478"/>
      <c r="S942" s="1643"/>
      <c r="T942" s="1437"/>
      <c r="U942" s="1719"/>
      <c r="V942" s="1215"/>
      <c r="W942" s="1436"/>
      <c r="X942" s="1437"/>
      <c r="Y942" s="1436"/>
      <c r="Z942" s="1437"/>
      <c r="AA942" s="1436"/>
      <c r="AB942" s="1437"/>
      <c r="AC942" s="1436"/>
      <c r="AD942" s="1735"/>
      <c r="AE942" s="1436"/>
      <c r="AF942" s="1735"/>
      <c r="AG942" s="1750"/>
      <c r="AH942" s="1751"/>
      <c r="AI942" s="1745"/>
      <c r="AJ942" s="1745"/>
      <c r="AK942" s="1745"/>
      <c r="AL942" s="1510"/>
      <c r="AM942" s="1510"/>
      <c r="AN942" s="1511"/>
      <c r="AO942" s="1510"/>
      <c r="AP942" s="1511"/>
      <c r="AQ942" s="1215"/>
      <c r="AR942" s="1216"/>
      <c r="AT942" s="1216"/>
      <c r="AV942" s="1216"/>
      <c r="AX942" s="1216"/>
      <c r="AY942" s="1217"/>
      <c r="AZ942" s="1216"/>
    </row>
    <row r="943" spans="1:52" s="2" customFormat="1" x14ac:dyDescent="0.25">
      <c r="A943" s="369" t="s">
        <v>1405</v>
      </c>
      <c r="B943" s="140"/>
      <c r="C943" s="370"/>
      <c r="D943" s="339"/>
      <c r="E943" s="198" t="s">
        <v>1096</v>
      </c>
      <c r="F943" s="199" t="s">
        <v>1096</v>
      </c>
      <c r="G943" s="146">
        <v>3000000</v>
      </c>
      <c r="H943" s="371" t="str">
        <f t="shared" si="279"/>
        <v xml:space="preserve">   </v>
      </c>
      <c r="I943" s="371" t="str">
        <f t="shared" si="280"/>
        <v xml:space="preserve">   </v>
      </c>
      <c r="J943" s="1450">
        <v>1250000</v>
      </c>
      <c r="K943" s="1529"/>
      <c r="L943" s="1582" t="s">
        <v>1049</v>
      </c>
      <c r="M943" s="1502" t="s">
        <v>1058</v>
      </c>
      <c r="N943" s="1582" t="s">
        <v>1051</v>
      </c>
      <c r="O943" s="1502" t="s">
        <v>1060</v>
      </c>
      <c r="P943" s="1582" t="s">
        <v>1053</v>
      </c>
      <c r="Q943" s="1502" t="s">
        <v>1062</v>
      </c>
      <c r="R943" s="1582" t="s">
        <v>1055</v>
      </c>
      <c r="S943" s="1502" t="s">
        <v>1064</v>
      </c>
      <c r="T943" s="1582" t="s">
        <v>1057</v>
      </c>
      <c r="U943" s="1502" t="s">
        <v>1066</v>
      </c>
      <c r="V943" s="1582" t="s">
        <v>1059</v>
      </c>
      <c r="W943" s="1502" t="s">
        <v>1068</v>
      </c>
      <c r="X943" s="1582" t="s">
        <v>1061</v>
      </c>
      <c r="Y943" s="1502" t="s">
        <v>1141</v>
      </c>
      <c r="Z943" s="1582" t="s">
        <v>1063</v>
      </c>
      <c r="AA943" s="1502" t="s">
        <v>1325</v>
      </c>
      <c r="AB943" s="1450">
        <v>1000000</v>
      </c>
      <c r="AC943" s="1663" t="s">
        <v>1326</v>
      </c>
      <c r="AD943" s="1450">
        <v>500000</v>
      </c>
      <c r="AE943" s="1663" t="s">
        <v>22</v>
      </c>
      <c r="AF943" s="1662"/>
      <c r="AG943" s="1436"/>
      <c r="AH943" s="1408"/>
      <c r="AI943" s="1512"/>
      <c r="AJ943" s="1409"/>
      <c r="AK943" s="1409"/>
      <c r="AL943" s="1513"/>
      <c r="AM943" s="1513"/>
      <c r="AN943" s="1514"/>
      <c r="AO943" s="1513"/>
      <c r="AP943" s="1514"/>
      <c r="AQ943" s="1128"/>
      <c r="AR943" s="1173"/>
      <c r="AT943" s="1173"/>
      <c r="AV943" s="1173"/>
      <c r="AX943" s="1173"/>
      <c r="AY943" s="1176"/>
      <c r="AZ943" s="1173"/>
    </row>
    <row r="944" spans="1:52" s="2" customFormat="1" x14ac:dyDescent="0.25">
      <c r="A944" s="148">
        <v>877</v>
      </c>
      <c r="B944" s="367">
        <v>1</v>
      </c>
      <c r="C944" s="151">
        <v>839215001</v>
      </c>
      <c r="D944" s="150" t="s">
        <v>1406</v>
      </c>
      <c r="E944" s="152" t="s">
        <v>1195</v>
      </c>
      <c r="F944" s="153">
        <v>2015</v>
      </c>
      <c r="G944" s="154" t="s">
        <v>33</v>
      </c>
      <c r="H944" s="155">
        <f t="shared" si="279"/>
        <v>42978</v>
      </c>
      <c r="I944" s="155">
        <f t="shared" si="280"/>
        <v>43064</v>
      </c>
      <c r="J944" s="1718">
        <v>1250000</v>
      </c>
      <c r="K944" s="1401">
        <v>42131</v>
      </c>
      <c r="L944" s="1381">
        <v>3000000</v>
      </c>
      <c r="M944" s="1401">
        <v>42131</v>
      </c>
      <c r="N944" s="1381">
        <v>3000000</v>
      </c>
      <c r="O944" s="1401">
        <v>42397</v>
      </c>
      <c r="P944" s="1381">
        <v>3000000</v>
      </c>
      <c r="Q944" s="1401">
        <v>42594</v>
      </c>
      <c r="R944" s="1381">
        <v>3000000</v>
      </c>
      <c r="S944" s="1401">
        <v>42822</v>
      </c>
      <c r="T944" s="1470" t="s">
        <v>1080</v>
      </c>
      <c r="U944" s="1726"/>
      <c r="V944" s="1363"/>
      <c r="W944" s="1391"/>
      <c r="X944" s="1363"/>
      <c r="Y944" s="1391"/>
      <c r="Z944" s="1363"/>
      <c r="AA944" s="1563"/>
      <c r="AB944" s="1736">
        <v>1000000</v>
      </c>
      <c r="AC944" s="1727">
        <v>42822</v>
      </c>
      <c r="AD944" s="1666" t="str">
        <f t="shared" ref="AD944:AD956" si="281">IFERROR(VLOOKUP(C944,BSP,3,FALSE),"  ")</f>
        <v xml:space="preserve">  </v>
      </c>
      <c r="AE944" s="1590" t="str">
        <f t="shared" ref="AE944:AE956" si="282">IFERROR((VLOOKUP(C944,BSP,4,FALSE)),"  ")</f>
        <v xml:space="preserve">  </v>
      </c>
      <c r="AF944" s="2300" t="s">
        <v>1329</v>
      </c>
      <c r="AG944" s="1612"/>
      <c r="AH944" s="1625" t="str">
        <f t="shared" ref="AH944:AH956" si="283">E944</f>
        <v>ES</v>
      </c>
      <c r="AI944" s="1678">
        <f t="shared" ref="AI944" si="284">SUM(J944,L944,N944,P944,R944,T944,V944,X944,Z944,AB944,AD944,AF944)</f>
        <v>14250000</v>
      </c>
      <c r="AJ944" s="1679">
        <f t="shared" ref="AJ944:AJ956" si="285">(COUNT(L944,N944,P944,R944,T944,V944,X944,Z944)*$G$868)+(COUNT(J944)*$J$868)+(COUNT(AB944)*$AB$868)+(COUNT(AD944)*$AD$868)</f>
        <v>14250000</v>
      </c>
      <c r="AK944" s="1419">
        <f t="shared" ref="AK944" si="286">AJ944-AI944</f>
        <v>0</v>
      </c>
      <c r="AL944" s="1420" t="str">
        <f t="shared" ref="AL944" si="287">IF(AK944=0,"Lunas","Cek")</f>
        <v>Lunas</v>
      </c>
      <c r="AM944" s="1410"/>
      <c r="AN944" s="1411"/>
      <c r="AO944" s="1410"/>
      <c r="AP944" s="1411"/>
      <c r="AQ944" s="1128"/>
      <c r="AR944" s="1173"/>
      <c r="AT944" s="1173"/>
      <c r="AV944" s="1173"/>
      <c r="AX944" s="1173"/>
      <c r="AY944" s="1176"/>
      <c r="AZ944" s="1173"/>
    </row>
    <row r="945" spans="1:52" s="2" customFormat="1" x14ac:dyDescent="0.25">
      <c r="A945" s="164">
        <v>878</v>
      </c>
      <c r="B945" s="345">
        <v>2</v>
      </c>
      <c r="C945" s="174">
        <v>839215002</v>
      </c>
      <c r="D945" s="166" t="s">
        <v>1407</v>
      </c>
      <c r="E945" s="168" t="s">
        <v>1195</v>
      </c>
      <c r="F945" s="169">
        <v>2015</v>
      </c>
      <c r="G945" s="360" t="s">
        <v>1408</v>
      </c>
      <c r="H945" s="265" t="str">
        <f t="shared" si="279"/>
        <v xml:space="preserve">   </v>
      </c>
      <c r="I945" s="265" t="str">
        <f t="shared" si="280"/>
        <v xml:space="preserve">   </v>
      </c>
      <c r="J945" s="1635">
        <v>1250000</v>
      </c>
      <c r="K945" s="1500">
        <v>42130</v>
      </c>
      <c r="L945" s="1389">
        <v>3000000</v>
      </c>
      <c r="M945" s="1500">
        <v>42130</v>
      </c>
      <c r="N945" s="1389">
        <v>3000000</v>
      </c>
      <c r="O945" s="1500">
        <v>42398</v>
      </c>
      <c r="P945" s="1389">
        <v>3000000</v>
      </c>
      <c r="Q945" s="1500">
        <v>42572</v>
      </c>
      <c r="R945" s="1389">
        <v>3000000</v>
      </c>
      <c r="S945" s="1500">
        <v>42759</v>
      </c>
      <c r="T945" s="1430">
        <v>3000000</v>
      </c>
      <c r="U945" s="1500">
        <v>43494</v>
      </c>
      <c r="V945" s="1389">
        <v>3000000</v>
      </c>
      <c r="W945" s="1500">
        <v>43494</v>
      </c>
      <c r="X945" s="1389">
        <v>3000000</v>
      </c>
      <c r="Y945" s="1360">
        <v>43630</v>
      </c>
      <c r="Z945" s="1389">
        <v>3000000</v>
      </c>
      <c r="AA945" s="1360">
        <v>43630</v>
      </c>
      <c r="AB945" s="1737">
        <v>1000000</v>
      </c>
      <c r="AC945" s="1360">
        <v>42759</v>
      </c>
      <c r="AD945" s="1666" t="str">
        <f t="shared" si="281"/>
        <v xml:space="preserve">  </v>
      </c>
      <c r="AE945" s="1590" t="str">
        <f t="shared" si="282"/>
        <v xml:space="preserve">  </v>
      </c>
      <c r="AF945" s="2300" t="s">
        <v>1329</v>
      </c>
      <c r="AG945" s="1612"/>
      <c r="AH945" s="1625" t="str">
        <f t="shared" si="283"/>
        <v>ES</v>
      </c>
      <c r="AI945" s="1680">
        <f t="shared" ref="AI945:AI953" si="288">SUM(J945,L945,N945,P945,R945,T945,V945,X945,Z945,AB945,AD945,AF945)</f>
        <v>26250000</v>
      </c>
      <c r="AJ945" s="1681">
        <f t="shared" si="285"/>
        <v>26250000</v>
      </c>
      <c r="AK945" s="1682">
        <f t="shared" ref="AK945:AK953" si="289">AJ945-AI945</f>
        <v>0</v>
      </c>
      <c r="AL945" s="1691" t="str">
        <f t="shared" ref="AL945:AL952" si="290">IF(AK945=0,"Lunas","Cek")</f>
        <v>Lunas</v>
      </c>
      <c r="AM945" s="1410"/>
      <c r="AN945" s="1411"/>
      <c r="AO945" s="1410"/>
      <c r="AP945" s="1411"/>
      <c r="AQ945" s="1128"/>
      <c r="AR945" s="1173"/>
      <c r="AT945" s="1173"/>
      <c r="AV945" s="1173"/>
      <c r="AX945" s="1173"/>
      <c r="AY945" s="1176"/>
      <c r="AZ945" s="1173"/>
    </row>
    <row r="946" spans="1:52" s="2" customFormat="1" x14ac:dyDescent="0.25">
      <c r="A946" s="156">
        <v>879</v>
      </c>
      <c r="B946" s="172">
        <v>3</v>
      </c>
      <c r="C946" s="159">
        <v>839215003</v>
      </c>
      <c r="D946" s="158" t="s">
        <v>1409</v>
      </c>
      <c r="E946" s="160" t="s">
        <v>1195</v>
      </c>
      <c r="F946" s="161">
        <v>2015</v>
      </c>
      <c r="G946" s="162" t="s">
        <v>33</v>
      </c>
      <c r="H946" s="163">
        <f t="shared" si="279"/>
        <v>43047</v>
      </c>
      <c r="I946" s="163">
        <f t="shared" si="280"/>
        <v>43218</v>
      </c>
      <c r="J946" s="1443">
        <v>1250000</v>
      </c>
      <c r="K946" s="1383">
        <v>42193</v>
      </c>
      <c r="L946" s="1385">
        <v>3000000</v>
      </c>
      <c r="M946" s="1383">
        <v>42193</v>
      </c>
      <c r="N946" s="1385">
        <v>3000000</v>
      </c>
      <c r="O946" s="1383">
        <v>42403</v>
      </c>
      <c r="P946" s="1385">
        <v>3000000</v>
      </c>
      <c r="Q946" s="1383">
        <v>42825</v>
      </c>
      <c r="R946" s="1385">
        <v>3000000</v>
      </c>
      <c r="S946" s="1383">
        <v>42969</v>
      </c>
      <c r="T946" s="1358">
        <v>3000000</v>
      </c>
      <c r="U946" s="1383">
        <v>42969</v>
      </c>
      <c r="V946" s="1465" t="s">
        <v>276</v>
      </c>
      <c r="W946" s="1474"/>
      <c r="X946" s="1363"/>
      <c r="Y946" s="1391"/>
      <c r="Z946" s="1363"/>
      <c r="AA946" s="1563"/>
      <c r="AB946" s="1668">
        <v>1000000</v>
      </c>
      <c r="AC946" s="1357" t="s">
        <v>1410</v>
      </c>
      <c r="AD946" s="1666" t="str">
        <f t="shared" si="281"/>
        <v xml:space="preserve">  </v>
      </c>
      <c r="AE946" s="1590" t="str">
        <f t="shared" si="282"/>
        <v xml:space="preserve">  </v>
      </c>
      <c r="AF946" s="2300" t="s">
        <v>1329</v>
      </c>
      <c r="AG946" s="1612"/>
      <c r="AH946" s="1625" t="str">
        <f t="shared" si="283"/>
        <v>ES</v>
      </c>
      <c r="AI946" s="1680">
        <f t="shared" si="288"/>
        <v>17250000</v>
      </c>
      <c r="AJ946" s="1681">
        <f t="shared" si="285"/>
        <v>17250000</v>
      </c>
      <c r="AK946" s="1682">
        <f t="shared" si="289"/>
        <v>0</v>
      </c>
      <c r="AL946" s="1691" t="str">
        <f t="shared" si="290"/>
        <v>Lunas</v>
      </c>
      <c r="AM946" s="1410"/>
      <c r="AN946" s="1411"/>
      <c r="AO946" s="1410"/>
      <c r="AP946" s="1411"/>
      <c r="AQ946" s="1128"/>
      <c r="AR946" s="1173"/>
      <c r="AT946" s="1173"/>
      <c r="AV946" s="1173"/>
      <c r="AX946" s="1173"/>
      <c r="AY946" s="1176"/>
      <c r="AZ946" s="1173"/>
    </row>
    <row r="947" spans="1:52" s="2" customFormat="1" x14ac:dyDescent="0.25">
      <c r="A947" s="156">
        <v>880</v>
      </c>
      <c r="B947" s="172">
        <v>4</v>
      </c>
      <c r="C947" s="159">
        <v>839215004</v>
      </c>
      <c r="D947" s="158" t="s">
        <v>1411</v>
      </c>
      <c r="E947" s="160" t="s">
        <v>1195</v>
      </c>
      <c r="F947" s="161">
        <v>2015</v>
      </c>
      <c r="G947" s="162" t="s">
        <v>33</v>
      </c>
      <c r="H947" s="163">
        <f t="shared" si="279"/>
        <v>42940</v>
      </c>
      <c r="I947" s="163">
        <f t="shared" si="280"/>
        <v>43064</v>
      </c>
      <c r="J947" s="1443">
        <v>1250000</v>
      </c>
      <c r="K947" s="1383">
        <v>42130</v>
      </c>
      <c r="L947" s="1385">
        <v>3000000</v>
      </c>
      <c r="M947" s="1383">
        <v>42130</v>
      </c>
      <c r="N947" s="1385">
        <v>3000000</v>
      </c>
      <c r="O947" s="1383">
        <v>42403</v>
      </c>
      <c r="P947" s="1385">
        <v>3000000</v>
      </c>
      <c r="Q947" s="1383">
        <v>42572</v>
      </c>
      <c r="R947" s="1385">
        <v>3000000</v>
      </c>
      <c r="S947" s="1383">
        <v>42759</v>
      </c>
      <c r="T947" s="1382" t="s">
        <v>1080</v>
      </c>
      <c r="U947" s="1474"/>
      <c r="V947" s="1363"/>
      <c r="W947" s="1391"/>
      <c r="X947" s="1363"/>
      <c r="Y947" s="1391"/>
      <c r="Z947" s="1363"/>
      <c r="AA947" s="1563"/>
      <c r="AB947" s="1668">
        <v>1000000</v>
      </c>
      <c r="AC947" s="1357"/>
      <c r="AD947" s="1666" t="str">
        <f t="shared" si="281"/>
        <v xml:space="preserve">  </v>
      </c>
      <c r="AE947" s="1590" t="str">
        <f t="shared" si="282"/>
        <v xml:space="preserve">  </v>
      </c>
      <c r="AF947" s="2300" t="s">
        <v>1329</v>
      </c>
      <c r="AG947" s="1612"/>
      <c r="AH947" s="1625" t="str">
        <f t="shared" si="283"/>
        <v>ES</v>
      </c>
      <c r="AI947" s="1680">
        <f t="shared" si="288"/>
        <v>14250000</v>
      </c>
      <c r="AJ947" s="1681">
        <f t="shared" si="285"/>
        <v>14250000</v>
      </c>
      <c r="AK947" s="1682">
        <f t="shared" si="289"/>
        <v>0</v>
      </c>
      <c r="AL947" s="1691" t="str">
        <f t="shared" si="290"/>
        <v>Lunas</v>
      </c>
      <c r="AM947" s="1410"/>
      <c r="AN947" s="1411"/>
      <c r="AO947" s="1410"/>
      <c r="AP947" s="1411"/>
      <c r="AQ947" s="1128"/>
      <c r="AR947" s="1173"/>
      <c r="AT947" s="1173"/>
      <c r="AV947" s="1173"/>
      <c r="AX947" s="1173"/>
      <c r="AY947" s="1176"/>
      <c r="AZ947" s="1173"/>
    </row>
    <row r="948" spans="1:52" s="2" customFormat="1" x14ac:dyDescent="0.25">
      <c r="A948" s="156">
        <v>881</v>
      </c>
      <c r="B948" s="172">
        <v>5</v>
      </c>
      <c r="C948" s="159">
        <v>839215005</v>
      </c>
      <c r="D948" s="158" t="s">
        <v>1412</v>
      </c>
      <c r="E948" s="160" t="s">
        <v>1195</v>
      </c>
      <c r="F948" s="161">
        <v>2015</v>
      </c>
      <c r="G948" s="162" t="s">
        <v>33</v>
      </c>
      <c r="H948" s="163">
        <f t="shared" si="279"/>
        <v>42768</v>
      </c>
      <c r="I948" s="163">
        <f t="shared" si="280"/>
        <v>42861</v>
      </c>
      <c r="J948" s="1443">
        <v>1250000</v>
      </c>
      <c r="K948" s="1383">
        <v>42192</v>
      </c>
      <c r="L948" s="1385">
        <v>3000000</v>
      </c>
      <c r="M948" s="1383">
        <v>42192</v>
      </c>
      <c r="N948" s="1385">
        <v>3000000</v>
      </c>
      <c r="O948" s="1383">
        <v>42391</v>
      </c>
      <c r="P948" s="1385">
        <v>3000000</v>
      </c>
      <c r="Q948" s="1383">
        <v>42573</v>
      </c>
      <c r="R948" s="1443">
        <v>3000000</v>
      </c>
      <c r="S948" s="1383">
        <v>42744</v>
      </c>
      <c r="T948" s="1382" t="s">
        <v>276</v>
      </c>
      <c r="U948" s="1474"/>
      <c r="V948" s="1363"/>
      <c r="W948" s="1391"/>
      <c r="X948" s="1363"/>
      <c r="Y948" s="1391"/>
      <c r="Z948" s="1363"/>
      <c r="AA948" s="1563"/>
      <c r="AB948" s="1738">
        <v>1000000</v>
      </c>
      <c r="AC948" s="1357">
        <v>42744</v>
      </c>
      <c r="AD948" s="1666" t="str">
        <f t="shared" si="281"/>
        <v xml:space="preserve">  </v>
      </c>
      <c r="AE948" s="1590" t="str">
        <f t="shared" si="282"/>
        <v xml:space="preserve">  </v>
      </c>
      <c r="AF948" s="2300" t="s">
        <v>1329</v>
      </c>
      <c r="AG948" s="1612"/>
      <c r="AH948" s="1625" t="str">
        <f t="shared" si="283"/>
        <v>ES</v>
      </c>
      <c r="AI948" s="1680">
        <f t="shared" si="288"/>
        <v>14250000</v>
      </c>
      <c r="AJ948" s="1681">
        <f t="shared" si="285"/>
        <v>14250000</v>
      </c>
      <c r="AK948" s="1682">
        <f t="shared" si="289"/>
        <v>0</v>
      </c>
      <c r="AL948" s="1691" t="str">
        <f t="shared" si="290"/>
        <v>Lunas</v>
      </c>
      <c r="AM948" s="1410"/>
      <c r="AN948" s="1411"/>
      <c r="AO948" s="1410"/>
      <c r="AP948" s="1411"/>
      <c r="AQ948" s="1128"/>
      <c r="AR948" s="1173"/>
      <c r="AT948" s="1173"/>
      <c r="AV948" s="1173"/>
      <c r="AX948" s="1173"/>
      <c r="AY948" s="1176"/>
      <c r="AZ948" s="1173"/>
    </row>
    <row r="949" spans="1:52" s="2" customFormat="1" x14ac:dyDescent="0.25">
      <c r="A949" s="156">
        <v>882</v>
      </c>
      <c r="B949" s="172">
        <v>6</v>
      </c>
      <c r="C949" s="159">
        <v>839215006</v>
      </c>
      <c r="D949" s="158" t="s">
        <v>1413</v>
      </c>
      <c r="E949" s="160" t="s">
        <v>1195</v>
      </c>
      <c r="F949" s="161">
        <v>2015</v>
      </c>
      <c r="G949" s="162" t="s">
        <v>33</v>
      </c>
      <c r="H949" s="163">
        <f t="shared" si="279"/>
        <v>43020</v>
      </c>
      <c r="I949" s="163">
        <f t="shared" si="280"/>
        <v>43064</v>
      </c>
      <c r="J949" s="1443">
        <v>1250000</v>
      </c>
      <c r="K949" s="1383">
        <v>42145</v>
      </c>
      <c r="L949" s="1385">
        <v>3000000</v>
      </c>
      <c r="M949" s="1383">
        <v>42145</v>
      </c>
      <c r="N949" s="1385">
        <v>3000000</v>
      </c>
      <c r="O949" s="1383"/>
      <c r="P949" s="1385">
        <v>3000000</v>
      </c>
      <c r="Q949" s="1383">
        <v>42573</v>
      </c>
      <c r="R949" s="1443">
        <v>3000000</v>
      </c>
      <c r="S949" s="1383">
        <v>42832</v>
      </c>
      <c r="T949" s="1358">
        <v>3000000</v>
      </c>
      <c r="U949" s="1383">
        <v>43020</v>
      </c>
      <c r="V949" s="1465" t="s">
        <v>1080</v>
      </c>
      <c r="W949" s="1651"/>
      <c r="X949" s="1363"/>
      <c r="Y949" s="1391"/>
      <c r="Z949" s="1363"/>
      <c r="AA949" s="1563"/>
      <c r="AB949" s="1385">
        <v>1000000</v>
      </c>
      <c r="AC949" s="1357">
        <v>43020</v>
      </c>
      <c r="AD949" s="1666" t="str">
        <f t="shared" si="281"/>
        <v xml:space="preserve">  </v>
      </c>
      <c r="AE949" s="1590" t="str">
        <f t="shared" si="282"/>
        <v xml:space="preserve">  </v>
      </c>
      <c r="AF949" s="2300" t="s">
        <v>1329</v>
      </c>
      <c r="AG949" s="1612"/>
      <c r="AH949" s="1625" t="str">
        <f t="shared" si="283"/>
        <v>ES</v>
      </c>
      <c r="AI949" s="1680">
        <f t="shared" si="288"/>
        <v>17250000</v>
      </c>
      <c r="AJ949" s="1681">
        <f t="shared" si="285"/>
        <v>17250000</v>
      </c>
      <c r="AK949" s="1682">
        <f t="shared" si="289"/>
        <v>0</v>
      </c>
      <c r="AL949" s="1691" t="str">
        <f t="shared" si="290"/>
        <v>Lunas</v>
      </c>
      <c r="AM949" s="1410"/>
      <c r="AN949" s="1411"/>
      <c r="AO949" s="1410"/>
      <c r="AP949" s="1411"/>
      <c r="AQ949" s="1128"/>
      <c r="AR949" s="1173"/>
      <c r="AT949" s="1173"/>
      <c r="AV949" s="1173"/>
      <c r="AX949" s="1173"/>
      <c r="AY949" s="1176"/>
      <c r="AZ949" s="1173"/>
    </row>
    <row r="950" spans="1:52" s="2" customFormat="1" x14ac:dyDescent="0.25">
      <c r="A950" s="156">
        <v>883</v>
      </c>
      <c r="B950" s="344">
        <v>7</v>
      </c>
      <c r="C950" s="178">
        <v>839215007</v>
      </c>
      <c r="D950" s="177" t="s">
        <v>1414</v>
      </c>
      <c r="E950" s="346" t="s">
        <v>1195</v>
      </c>
      <c r="F950" s="317">
        <v>2015</v>
      </c>
      <c r="G950" s="162" t="s">
        <v>33</v>
      </c>
      <c r="H950" s="163">
        <f t="shared" si="279"/>
        <v>42421</v>
      </c>
      <c r="I950" s="163">
        <f t="shared" si="280"/>
        <v>42861</v>
      </c>
      <c r="J950" s="1636">
        <v>1250000</v>
      </c>
      <c r="K950" s="1637">
        <v>42159</v>
      </c>
      <c r="L950" s="1480">
        <v>3000000</v>
      </c>
      <c r="M950" s="1637">
        <v>42159</v>
      </c>
      <c r="N950" s="1480">
        <v>3000000</v>
      </c>
      <c r="O950" s="1637">
        <v>42394</v>
      </c>
      <c r="P950" s="1480">
        <v>3000000</v>
      </c>
      <c r="Q950" s="1637">
        <v>42571</v>
      </c>
      <c r="R950" s="1653"/>
      <c r="S950" s="1652"/>
      <c r="T950" s="1499"/>
      <c r="U950" s="1652"/>
      <c r="V950" s="1499"/>
      <c r="W950" s="1652"/>
      <c r="X950" s="1363"/>
      <c r="Y950" s="1391"/>
      <c r="Z950" s="1363"/>
      <c r="AA950" s="1563"/>
      <c r="AB950" s="1653"/>
      <c r="AC950" s="1360"/>
      <c r="AD950" s="1666" t="str">
        <f t="shared" si="281"/>
        <v xml:space="preserve">  </v>
      </c>
      <c r="AE950" s="1590" t="str">
        <f t="shared" si="282"/>
        <v xml:space="preserve">  </v>
      </c>
      <c r="AF950" s="2300" t="s">
        <v>1329</v>
      </c>
      <c r="AG950" s="1612"/>
      <c r="AH950" s="1625" t="str">
        <f t="shared" si="283"/>
        <v>ES</v>
      </c>
      <c r="AI950" s="1680">
        <f t="shared" si="288"/>
        <v>10250000</v>
      </c>
      <c r="AJ950" s="1681">
        <f t="shared" si="285"/>
        <v>10250000</v>
      </c>
      <c r="AK950" s="1682">
        <f t="shared" si="289"/>
        <v>0</v>
      </c>
      <c r="AL950" s="1691" t="str">
        <f t="shared" si="290"/>
        <v>Lunas</v>
      </c>
      <c r="AM950" s="1410"/>
      <c r="AN950" s="1411"/>
      <c r="AO950" s="1410"/>
      <c r="AP950" s="1411"/>
      <c r="AQ950" s="1128"/>
      <c r="AR950" s="1173"/>
      <c r="AT950" s="1173"/>
      <c r="AV950" s="1173"/>
      <c r="AX950" s="1173"/>
      <c r="AY950" s="1176"/>
      <c r="AZ950" s="1173"/>
    </row>
    <row r="951" spans="1:52" s="2" customFormat="1" x14ac:dyDescent="0.25">
      <c r="A951" s="156">
        <v>884</v>
      </c>
      <c r="B951" s="343">
        <v>8</v>
      </c>
      <c r="C951" s="263">
        <v>839215008</v>
      </c>
      <c r="D951" s="173" t="s">
        <v>1415</v>
      </c>
      <c r="E951" s="168" t="s">
        <v>1195</v>
      </c>
      <c r="F951" s="169">
        <v>2015</v>
      </c>
      <c r="G951" s="360" t="s">
        <v>1408</v>
      </c>
      <c r="H951" s="265" t="str">
        <f t="shared" si="279"/>
        <v xml:space="preserve">   </v>
      </c>
      <c r="I951" s="265" t="str">
        <f t="shared" si="280"/>
        <v xml:space="preserve">   </v>
      </c>
      <c r="J951" s="1635">
        <v>1250000</v>
      </c>
      <c r="K951" s="1503">
        <v>42192</v>
      </c>
      <c r="L951" s="1714">
        <v>3000000</v>
      </c>
      <c r="M951" s="1503">
        <v>42192</v>
      </c>
      <c r="N951" s="1389">
        <v>3000000</v>
      </c>
      <c r="O951" s="1503">
        <v>42390</v>
      </c>
      <c r="P951" s="1389">
        <v>3000000</v>
      </c>
      <c r="Q951" s="1500">
        <v>42571</v>
      </c>
      <c r="R951" s="1389">
        <v>3000000</v>
      </c>
      <c r="S951" s="1500">
        <v>42762</v>
      </c>
      <c r="T951" s="1430">
        <v>3000000</v>
      </c>
      <c r="U951" s="1500">
        <v>42972</v>
      </c>
      <c r="V951" s="1635">
        <v>3000000</v>
      </c>
      <c r="W951" s="1367">
        <v>43112</v>
      </c>
      <c r="X951" s="1389">
        <v>3000000</v>
      </c>
      <c r="Y951" s="1360">
        <v>43293</v>
      </c>
      <c r="Z951" s="1714"/>
      <c r="AA951" s="1563"/>
      <c r="AB951" s="1669">
        <v>1000000</v>
      </c>
      <c r="AC951" s="1357" t="s">
        <v>1410</v>
      </c>
      <c r="AD951" s="1666" t="str">
        <f t="shared" si="281"/>
        <v xml:space="preserve">  </v>
      </c>
      <c r="AE951" s="1590" t="str">
        <f t="shared" si="282"/>
        <v xml:space="preserve">  </v>
      </c>
      <c r="AF951" s="2300" t="s">
        <v>1329</v>
      </c>
      <c r="AG951" s="1612"/>
      <c r="AH951" s="1625" t="str">
        <f t="shared" si="283"/>
        <v>ES</v>
      </c>
      <c r="AI951" s="1680">
        <f t="shared" si="288"/>
        <v>23250000</v>
      </c>
      <c r="AJ951" s="1681">
        <f t="shared" si="285"/>
        <v>23250000</v>
      </c>
      <c r="AK951" s="1682">
        <f t="shared" si="289"/>
        <v>0</v>
      </c>
      <c r="AL951" s="1691" t="str">
        <f t="shared" si="290"/>
        <v>Lunas</v>
      </c>
      <c r="AM951" s="1410"/>
      <c r="AN951" s="1411"/>
      <c r="AO951" s="1410"/>
      <c r="AP951" s="1411"/>
      <c r="AQ951" s="1128"/>
      <c r="AR951" s="1173"/>
      <c r="AT951" s="1173"/>
      <c r="AV951" s="1173"/>
      <c r="AX951" s="1173"/>
      <c r="AY951" s="1176"/>
      <c r="AZ951" s="1173"/>
    </row>
    <row r="952" spans="1:52" s="2" customFormat="1" x14ac:dyDescent="0.25">
      <c r="A952" s="156">
        <v>885</v>
      </c>
      <c r="B952" s="172">
        <v>9</v>
      </c>
      <c r="C952" s="159">
        <v>839215009</v>
      </c>
      <c r="D952" s="158" t="s">
        <v>1416</v>
      </c>
      <c r="E952" s="160" t="s">
        <v>1195</v>
      </c>
      <c r="F952" s="161">
        <v>2015</v>
      </c>
      <c r="G952" s="162" t="s">
        <v>33</v>
      </c>
      <c r="H952" s="163">
        <f t="shared" si="279"/>
        <v>43291</v>
      </c>
      <c r="I952" s="163">
        <f t="shared" si="280"/>
        <v>43351</v>
      </c>
      <c r="J952" s="1443">
        <v>1250000</v>
      </c>
      <c r="K952" s="1383">
        <v>42188</v>
      </c>
      <c r="L952" s="1385">
        <v>3000000</v>
      </c>
      <c r="M952" s="1383">
        <v>42188</v>
      </c>
      <c r="N952" s="1385">
        <v>3000000</v>
      </c>
      <c r="O952" s="1383">
        <v>42401</v>
      </c>
      <c r="P952" s="1385">
        <v>3000000</v>
      </c>
      <c r="Q952" s="1383">
        <v>42573</v>
      </c>
      <c r="R952" s="1385">
        <v>3000000</v>
      </c>
      <c r="S952" s="1383">
        <v>42830</v>
      </c>
      <c r="T952" s="1358">
        <v>3000000</v>
      </c>
      <c r="U952" s="1383">
        <v>42948</v>
      </c>
      <c r="V952" s="1443">
        <v>3000000</v>
      </c>
      <c r="W952" s="1357">
        <v>43276</v>
      </c>
      <c r="X952" s="1465" t="s">
        <v>1080</v>
      </c>
      <c r="Y952" s="1474"/>
      <c r="Z952" s="1363"/>
      <c r="AA952" s="1563"/>
      <c r="AB952" s="1385">
        <v>1000000</v>
      </c>
      <c r="AC952" s="1357">
        <v>42830</v>
      </c>
      <c r="AD952" s="1666" t="str">
        <f t="shared" si="281"/>
        <v xml:space="preserve">  </v>
      </c>
      <c r="AE952" s="1590" t="str">
        <f t="shared" si="282"/>
        <v xml:space="preserve">  </v>
      </c>
      <c r="AF952" s="2300" t="s">
        <v>1329</v>
      </c>
      <c r="AG952" s="1612"/>
      <c r="AH952" s="1625" t="str">
        <f t="shared" si="283"/>
        <v>ES</v>
      </c>
      <c r="AI952" s="1680">
        <f t="shared" si="288"/>
        <v>20250000</v>
      </c>
      <c r="AJ952" s="1681">
        <f t="shared" si="285"/>
        <v>20250000</v>
      </c>
      <c r="AK952" s="1682">
        <f t="shared" si="289"/>
        <v>0</v>
      </c>
      <c r="AL952" s="1691" t="str">
        <f t="shared" si="290"/>
        <v>Lunas</v>
      </c>
      <c r="AM952" s="1410"/>
      <c r="AN952" s="1411"/>
      <c r="AO952" s="1410"/>
      <c r="AP952" s="1411"/>
      <c r="AQ952" s="1128"/>
      <c r="AR952" s="1173"/>
      <c r="AT952" s="1173"/>
      <c r="AV952" s="1173"/>
      <c r="AX952" s="1173"/>
      <c r="AY952" s="1176"/>
      <c r="AZ952" s="1173"/>
    </row>
    <row r="953" spans="1:52" s="2" customFormat="1" x14ac:dyDescent="0.25">
      <c r="A953" s="234">
        <v>886</v>
      </c>
      <c r="B953" s="347">
        <v>10</v>
      </c>
      <c r="C953" s="236">
        <v>839215010</v>
      </c>
      <c r="D953" s="233" t="s">
        <v>1417</v>
      </c>
      <c r="E953" s="237" t="s">
        <v>1195</v>
      </c>
      <c r="F953" s="238">
        <v>2015</v>
      </c>
      <c r="G953" s="214" t="s">
        <v>1077</v>
      </c>
      <c r="H953" s="239" t="str">
        <f t="shared" si="279"/>
        <v xml:space="preserve">   </v>
      </c>
      <c r="I953" s="239" t="str">
        <f t="shared" si="280"/>
        <v xml:space="preserve">   </v>
      </c>
      <c r="J953" s="1638">
        <v>1250000</v>
      </c>
      <c r="K953" s="1604">
        <v>42194</v>
      </c>
      <c r="L953" s="1698">
        <v>3000000</v>
      </c>
      <c r="M953" s="1604">
        <v>42194</v>
      </c>
      <c r="N953" s="1698">
        <v>3000000</v>
      </c>
      <c r="O953" s="1604">
        <v>42401</v>
      </c>
      <c r="P953" s="1639" t="s">
        <v>1162</v>
      </c>
      <c r="Q953" s="1651"/>
      <c r="R953" s="1363"/>
      <c r="S953" s="1391"/>
      <c r="T953" s="1363"/>
      <c r="U953" s="1391"/>
      <c r="V953" s="1363"/>
      <c r="W953" s="1391"/>
      <c r="X953" s="1363"/>
      <c r="Y953" s="1391"/>
      <c r="Z953" s="1363"/>
      <c r="AA953" s="1563"/>
      <c r="AB953" s="1653"/>
      <c r="AC953" s="1360"/>
      <c r="AD953" s="1666" t="str">
        <f t="shared" si="281"/>
        <v xml:space="preserve">  </v>
      </c>
      <c r="AE953" s="1590" t="str">
        <f t="shared" si="282"/>
        <v xml:space="preserve">  </v>
      </c>
      <c r="AF953" s="2300" t="s">
        <v>1329</v>
      </c>
      <c r="AG953" s="1612"/>
      <c r="AH953" s="1625" t="str">
        <f t="shared" si="283"/>
        <v>ES</v>
      </c>
      <c r="AI953" s="1688">
        <f t="shared" si="288"/>
        <v>7250000</v>
      </c>
      <c r="AJ953" s="1685">
        <f t="shared" si="285"/>
        <v>7250000</v>
      </c>
      <c r="AK953" s="1686">
        <f t="shared" si="289"/>
        <v>0</v>
      </c>
      <c r="AL953" s="1687" t="s">
        <v>1334</v>
      </c>
      <c r="AM953" s="1410"/>
      <c r="AN953" s="1411"/>
      <c r="AO953" s="1410"/>
      <c r="AP953" s="1411"/>
      <c r="AQ953" s="1128"/>
      <c r="AR953" s="1173"/>
      <c r="AT953" s="1173"/>
      <c r="AV953" s="1173"/>
      <c r="AX953" s="1173"/>
      <c r="AY953" s="1176"/>
      <c r="AZ953" s="1173"/>
    </row>
    <row r="954" spans="1:52" s="2" customFormat="1" x14ac:dyDescent="0.25">
      <c r="A954" s="156">
        <v>887</v>
      </c>
      <c r="B954" s="172">
        <v>11</v>
      </c>
      <c r="C954" s="159">
        <v>839215011</v>
      </c>
      <c r="D954" s="158" t="s">
        <v>1418</v>
      </c>
      <c r="E954" s="160" t="s">
        <v>1195</v>
      </c>
      <c r="F954" s="161">
        <v>2015</v>
      </c>
      <c r="G954" s="162" t="s">
        <v>33</v>
      </c>
      <c r="H954" s="163">
        <f t="shared" si="279"/>
        <v>43047</v>
      </c>
      <c r="I954" s="163">
        <f t="shared" si="280"/>
        <v>43218</v>
      </c>
      <c r="J954" s="1443">
        <v>1250000</v>
      </c>
      <c r="K954" s="1383">
        <v>42186</v>
      </c>
      <c r="L954" s="1385">
        <v>3000000</v>
      </c>
      <c r="M954" s="1383">
        <v>42186</v>
      </c>
      <c r="N954" s="1385">
        <v>3000000</v>
      </c>
      <c r="O954" s="1383">
        <v>42401</v>
      </c>
      <c r="P954" s="1385">
        <v>3000000</v>
      </c>
      <c r="Q954" s="1383">
        <v>42572</v>
      </c>
      <c r="R954" s="1385">
        <v>3000000</v>
      </c>
      <c r="S954" s="1383">
        <v>42863</v>
      </c>
      <c r="T954" s="1358">
        <v>3000000</v>
      </c>
      <c r="U954" s="1383">
        <v>43032</v>
      </c>
      <c r="V954" s="1465" t="s">
        <v>1080</v>
      </c>
      <c r="W954" s="1474"/>
      <c r="X954" s="1363"/>
      <c r="Y954" s="1391"/>
      <c r="Z954" s="1363"/>
      <c r="AA954" s="1563"/>
      <c r="AB954" s="1385">
        <v>1000000</v>
      </c>
      <c r="AC954" s="1357">
        <v>43032</v>
      </c>
      <c r="AD954" s="1666" t="str">
        <f t="shared" si="281"/>
        <v xml:space="preserve">  </v>
      </c>
      <c r="AE954" s="1590" t="str">
        <f t="shared" si="282"/>
        <v xml:space="preserve">  </v>
      </c>
      <c r="AF954" s="2300" t="s">
        <v>1329</v>
      </c>
      <c r="AG954" s="1612"/>
      <c r="AH954" s="1625" t="str">
        <f t="shared" si="283"/>
        <v>ES</v>
      </c>
      <c r="AI954" s="1680">
        <f t="shared" ref="AI954:AI955" si="291">SUM(J954,L954,N954,P954,R954,T954,V954,X954,Z954,AB954,AD954,AF954)</f>
        <v>17250000</v>
      </c>
      <c r="AJ954" s="1681">
        <f t="shared" si="285"/>
        <v>17250000</v>
      </c>
      <c r="AK954" s="1682">
        <f t="shared" ref="AK954:AK956" si="292">AJ954-AI954</f>
        <v>0</v>
      </c>
      <c r="AL954" s="1691" t="str">
        <f t="shared" ref="AL954" si="293">IF(AK954=0,"Lunas","Cek")</f>
        <v>Lunas</v>
      </c>
      <c r="AM954" s="1410"/>
      <c r="AN954" s="1411"/>
      <c r="AO954" s="1410"/>
      <c r="AP954" s="1411"/>
      <c r="AQ954" s="1128"/>
      <c r="AR954" s="1173"/>
      <c r="AT954" s="1173"/>
      <c r="AV954" s="1173"/>
      <c r="AX954" s="1173"/>
      <c r="AY954" s="1176"/>
      <c r="AZ954" s="1173"/>
    </row>
    <row r="955" spans="1:52" s="2" customFormat="1" x14ac:dyDescent="0.25">
      <c r="A955" s="234">
        <v>888</v>
      </c>
      <c r="B955" s="347">
        <v>12</v>
      </c>
      <c r="C955" s="236">
        <v>839215012</v>
      </c>
      <c r="D955" s="233" t="s">
        <v>1419</v>
      </c>
      <c r="E955" s="237" t="s">
        <v>1195</v>
      </c>
      <c r="F955" s="238">
        <v>2015</v>
      </c>
      <c r="G955" s="214" t="s">
        <v>1077</v>
      </c>
      <c r="H955" s="239" t="str">
        <f t="shared" si="279"/>
        <v xml:space="preserve">   </v>
      </c>
      <c r="I955" s="239" t="str">
        <f t="shared" si="280"/>
        <v xml:space="preserve">   </v>
      </c>
      <c r="J955" s="1638">
        <v>1250000</v>
      </c>
      <c r="K955" s="1604">
        <v>42209</v>
      </c>
      <c r="L955" s="1713"/>
      <c r="M955" s="1362" t="s">
        <v>1382</v>
      </c>
      <c r="N955" s="1713"/>
      <c r="O955" s="1362" t="s">
        <v>1382</v>
      </c>
      <c r="P955" s="1639" t="s">
        <v>1162</v>
      </c>
      <c r="Q955" s="1651"/>
      <c r="R955" s="1363"/>
      <c r="S955" s="1391"/>
      <c r="T955" s="1363"/>
      <c r="U955" s="1391"/>
      <c r="V955" s="1363"/>
      <c r="W955" s="1391"/>
      <c r="X955" s="1363"/>
      <c r="Y955" s="1391"/>
      <c r="Z955" s="1363"/>
      <c r="AA955" s="1563"/>
      <c r="AB955" s="1653"/>
      <c r="AC955" s="1360"/>
      <c r="AD955" s="1666" t="str">
        <f t="shared" si="281"/>
        <v xml:space="preserve">  </v>
      </c>
      <c r="AE955" s="1590" t="str">
        <f t="shared" si="282"/>
        <v xml:space="preserve">  </v>
      </c>
      <c r="AF955" s="2300" t="s">
        <v>1329</v>
      </c>
      <c r="AG955" s="1612"/>
      <c r="AH955" s="1625" t="str">
        <f t="shared" si="283"/>
        <v>ES</v>
      </c>
      <c r="AI955" s="1688">
        <f t="shared" si="291"/>
        <v>1250000</v>
      </c>
      <c r="AJ955" s="1685">
        <f t="shared" si="285"/>
        <v>1250000</v>
      </c>
      <c r="AK955" s="1686">
        <f t="shared" si="292"/>
        <v>0</v>
      </c>
      <c r="AL955" s="1687" t="s">
        <v>1334</v>
      </c>
      <c r="AM955" s="1410"/>
      <c r="AN955" s="1411"/>
      <c r="AO955" s="1410"/>
      <c r="AP955" s="1411"/>
      <c r="AQ955" s="1128"/>
      <c r="AR955" s="1173"/>
      <c r="AT955" s="1173"/>
      <c r="AV955" s="1173"/>
      <c r="AX955" s="1173"/>
      <c r="AY955" s="1176"/>
      <c r="AZ955" s="1173"/>
    </row>
    <row r="956" spans="1:52" s="2" customFormat="1" x14ac:dyDescent="0.25">
      <c r="A956" s="180">
        <v>889</v>
      </c>
      <c r="B956" s="348">
        <v>13</v>
      </c>
      <c r="C956" s="183">
        <v>839215013</v>
      </c>
      <c r="D956" s="182" t="s">
        <v>1420</v>
      </c>
      <c r="E956" s="184" t="s">
        <v>1195</v>
      </c>
      <c r="F956" s="185">
        <v>2015</v>
      </c>
      <c r="G956" s="186" t="s">
        <v>33</v>
      </c>
      <c r="H956" s="284">
        <f t="shared" si="279"/>
        <v>42815</v>
      </c>
      <c r="I956" s="284">
        <f t="shared" si="280"/>
        <v>42861</v>
      </c>
      <c r="J956" s="1700">
        <v>1250000</v>
      </c>
      <c r="K956" s="1463" t="s">
        <v>1421</v>
      </c>
      <c r="L956" s="1484">
        <v>3000000</v>
      </c>
      <c r="M956" s="1463" t="s">
        <v>1421</v>
      </c>
      <c r="N956" s="1484">
        <v>3000000</v>
      </c>
      <c r="O956" s="1463">
        <v>42394</v>
      </c>
      <c r="P956" s="1484">
        <v>3000000</v>
      </c>
      <c r="Q956" s="1463">
        <v>42569</v>
      </c>
      <c r="R956" s="1484">
        <v>3000000</v>
      </c>
      <c r="S956" s="1463">
        <v>42787</v>
      </c>
      <c r="T956" s="1462" t="s">
        <v>276</v>
      </c>
      <c r="U956" s="1725"/>
      <c r="V956" s="1363"/>
      <c r="W956" s="1391"/>
      <c r="X956" s="1363"/>
      <c r="Y956" s="1391"/>
      <c r="Z956" s="1363"/>
      <c r="AA956" s="1563"/>
      <c r="AB956" s="1484">
        <v>1000000</v>
      </c>
      <c r="AC956" s="1463">
        <v>42787</v>
      </c>
      <c r="AD956" s="1666" t="str">
        <f t="shared" si="281"/>
        <v xml:space="preserve">  </v>
      </c>
      <c r="AE956" s="1590" t="str">
        <f t="shared" si="282"/>
        <v xml:space="preserve">  </v>
      </c>
      <c r="AF956" s="2300" t="s">
        <v>1329</v>
      </c>
      <c r="AG956" s="1612"/>
      <c r="AH956" s="1625" t="str">
        <f t="shared" si="283"/>
        <v>ES</v>
      </c>
      <c r="AI956" s="1752">
        <f t="shared" ref="AI956" si="294">SUM(J956,L956,N956,P956,R956,T956,V956,X956,Z956,AB956,AD956,AF956)</f>
        <v>14250000</v>
      </c>
      <c r="AJ956" s="1753">
        <f t="shared" si="285"/>
        <v>14250000</v>
      </c>
      <c r="AK956" s="1741">
        <f t="shared" si="292"/>
        <v>0</v>
      </c>
      <c r="AL956" s="1742" t="str">
        <f t="shared" ref="AL956" si="295">IF(AK956=0,"Lunas","Cek")</f>
        <v>Lunas</v>
      </c>
      <c r="AM956" s="1410"/>
      <c r="AN956" s="1411"/>
      <c r="AO956" s="1410"/>
      <c r="AP956" s="1411"/>
      <c r="AQ956" s="1128"/>
      <c r="AR956" s="1173"/>
      <c r="AT956" s="1173"/>
      <c r="AV956" s="1173"/>
      <c r="AX956" s="1173"/>
      <c r="AY956" s="1176"/>
      <c r="AZ956" s="1173"/>
    </row>
    <row r="957" spans="1:52" s="4" customFormat="1" x14ac:dyDescent="0.25">
      <c r="A957" s="187"/>
      <c r="B957" s="267"/>
      <c r="C957" s="269"/>
      <c r="D957" s="268"/>
      <c r="E957" s="270" t="s">
        <v>61</v>
      </c>
      <c r="F957" s="267" t="s">
        <v>61</v>
      </c>
      <c r="G957" s="192" t="s">
        <v>61</v>
      </c>
      <c r="H957" s="193" t="str">
        <f t="shared" si="279"/>
        <v xml:space="preserve">   </v>
      </c>
      <c r="I957" s="193" t="str">
        <f t="shared" si="280"/>
        <v xml:space="preserve">   </v>
      </c>
      <c r="J957" s="187"/>
      <c r="K957" s="1436"/>
      <c r="L957" s="1528"/>
      <c r="M957" s="1719"/>
      <c r="N957" s="1437"/>
      <c r="O957" s="1719"/>
      <c r="P957" s="1437"/>
      <c r="Q957" s="1629"/>
      <c r="R957" s="1478"/>
      <c r="S957" s="1643"/>
      <c r="T957" s="1437"/>
      <c r="U957" s="1629"/>
      <c r="V957" s="1215"/>
      <c r="W957" s="1488"/>
      <c r="X957" s="1437"/>
      <c r="Y957" s="1436"/>
      <c r="Z957" s="1437"/>
      <c r="AA957" s="1436"/>
      <c r="AB957" s="1437"/>
      <c r="AC957" s="1436"/>
      <c r="AD957" s="1735"/>
      <c r="AE957" s="1436"/>
      <c r="AF957" s="1735"/>
      <c r="AG957" s="1750"/>
      <c r="AH957" s="1751"/>
      <c r="AI957" s="1745"/>
      <c r="AJ957" s="1745"/>
      <c r="AK957" s="1745"/>
      <c r="AL957" s="1510"/>
      <c r="AM957" s="1510"/>
      <c r="AN957" s="1511"/>
      <c r="AO957" s="1510"/>
      <c r="AP957" s="1511"/>
      <c r="AQ957" s="1215"/>
      <c r="AR957" s="1216"/>
      <c r="AT957" s="1216"/>
      <c r="AV957" s="1216"/>
      <c r="AX957" s="1216"/>
      <c r="AY957" s="1217"/>
      <c r="AZ957" s="1216"/>
    </row>
    <row r="958" spans="1:52" s="2" customFormat="1" x14ac:dyDescent="0.25">
      <c r="A958" s="194" t="s">
        <v>1422</v>
      </c>
      <c r="B958" s="372"/>
      <c r="C958" s="366"/>
      <c r="D958" s="373"/>
      <c r="E958" s="198" t="s">
        <v>1096</v>
      </c>
      <c r="F958" s="199" t="s">
        <v>1096</v>
      </c>
      <c r="G958" s="146">
        <v>3000000</v>
      </c>
      <c r="H958" s="147" t="str">
        <f t="shared" si="279"/>
        <v xml:space="preserve">   </v>
      </c>
      <c r="I958" s="147" t="str">
        <f t="shared" si="280"/>
        <v xml:space="preserve">   </v>
      </c>
      <c r="J958" s="1349">
        <v>1250000</v>
      </c>
      <c r="K958" s="1529"/>
      <c r="L958" s="1582" t="s">
        <v>1049</v>
      </c>
      <c r="M958" s="1502" t="s">
        <v>1058</v>
      </c>
      <c r="N958" s="1582" t="s">
        <v>1051</v>
      </c>
      <c r="O958" s="1502" t="s">
        <v>1060</v>
      </c>
      <c r="P958" s="1582" t="s">
        <v>1053</v>
      </c>
      <c r="Q958" s="1502" t="s">
        <v>1062</v>
      </c>
      <c r="R958" s="1582" t="s">
        <v>1055</v>
      </c>
      <c r="S958" s="1502" t="s">
        <v>1064</v>
      </c>
      <c r="T958" s="1582" t="s">
        <v>1057</v>
      </c>
      <c r="U958" s="1502" t="s">
        <v>1066</v>
      </c>
      <c r="V958" s="1582" t="s">
        <v>1059</v>
      </c>
      <c r="W958" s="1502" t="s">
        <v>1068</v>
      </c>
      <c r="X958" s="1582" t="s">
        <v>1061</v>
      </c>
      <c r="Y958" s="1502" t="s">
        <v>1141</v>
      </c>
      <c r="Z958" s="1582" t="s">
        <v>1063</v>
      </c>
      <c r="AA958" s="1502" t="s">
        <v>1325</v>
      </c>
      <c r="AB958" s="1450">
        <v>1000000</v>
      </c>
      <c r="AC958" s="1663" t="s">
        <v>1326</v>
      </c>
      <c r="AD958" s="1450">
        <v>500000</v>
      </c>
      <c r="AE958" s="1663" t="s">
        <v>22</v>
      </c>
      <c r="AF958" s="1662"/>
      <c r="AG958" s="1436"/>
      <c r="AH958" s="1408"/>
      <c r="AI958" s="1512"/>
      <c r="AJ958" s="1409"/>
      <c r="AK958" s="1409"/>
      <c r="AL958" s="1513"/>
      <c r="AM958" s="1513"/>
      <c r="AN958" s="1514"/>
      <c r="AO958" s="1513"/>
      <c r="AP958" s="1514"/>
      <c r="AQ958" s="1128"/>
      <c r="AR958" s="1173"/>
      <c r="AT958" s="1173"/>
      <c r="AV958" s="1173"/>
      <c r="AX958" s="1173"/>
      <c r="AY958" s="1176"/>
      <c r="AZ958" s="1173"/>
    </row>
    <row r="959" spans="1:52" s="2" customFormat="1" x14ac:dyDescent="0.25">
      <c r="A959" s="148">
        <v>890</v>
      </c>
      <c r="B959" s="367">
        <v>1</v>
      </c>
      <c r="C959" s="151">
        <v>839115001</v>
      </c>
      <c r="D959" s="150" t="s">
        <v>1423</v>
      </c>
      <c r="E959" s="152" t="s">
        <v>848</v>
      </c>
      <c r="F959" s="153">
        <v>2015</v>
      </c>
      <c r="G959" s="154" t="s">
        <v>33</v>
      </c>
      <c r="H959" s="155">
        <f t="shared" si="279"/>
        <v>42943</v>
      </c>
      <c r="I959" s="155">
        <f t="shared" si="280"/>
        <v>43064</v>
      </c>
      <c r="J959" s="1718">
        <v>1250000</v>
      </c>
      <c r="K959" s="1401">
        <v>42142</v>
      </c>
      <c r="L959" s="1381">
        <v>3000000</v>
      </c>
      <c r="M959" s="1401">
        <v>42142</v>
      </c>
      <c r="N959" s="1381">
        <v>3000000</v>
      </c>
      <c r="O959" s="1401">
        <v>42401</v>
      </c>
      <c r="P959" s="1381">
        <v>3000000</v>
      </c>
      <c r="Q959" s="1401">
        <v>42572</v>
      </c>
      <c r="R959" s="1381">
        <v>3000000</v>
      </c>
      <c r="S959" s="1401">
        <v>42759</v>
      </c>
      <c r="T959" s="1470" t="s">
        <v>1080</v>
      </c>
      <c r="U959" s="1727"/>
      <c r="V959" s="1714"/>
      <c r="W959" s="1563"/>
      <c r="X959" s="1714"/>
      <c r="Y959" s="1563"/>
      <c r="Z959" s="1714"/>
      <c r="AA959" s="1563"/>
      <c r="AB959" s="1381">
        <v>1000000</v>
      </c>
      <c r="AC959" s="1354">
        <v>42759</v>
      </c>
      <c r="AD959" s="1666" t="str">
        <f>IFERROR(VLOOKUP(C959,BSP,3,FALSE),"  ")</f>
        <v xml:space="preserve">  </v>
      </c>
      <c r="AE959" s="1590" t="str">
        <f>IFERROR((VLOOKUP(C959,BSP,4,FALSE)),"  ")</f>
        <v xml:space="preserve">  </v>
      </c>
      <c r="AF959" s="2300" t="s">
        <v>1329</v>
      </c>
      <c r="AG959" s="1612"/>
      <c r="AH959" s="1625" t="str">
        <f t="shared" ref="AH959:AH972" si="296">E959</f>
        <v>HK</v>
      </c>
      <c r="AI959" s="1678">
        <f t="shared" ref="AI959" si="297">SUM(J959,L959,N959,P959,R959,T959,V959,X959,Z959,AB959,AD959,AF959)</f>
        <v>14250000</v>
      </c>
      <c r="AJ959" s="1679">
        <f t="shared" ref="AJ959:AJ972" si="298">(COUNT(L959,N959,P959,R959,T959,V959,X959,Z959)*$G$868)+(COUNT(J959)*$J$868)+(COUNT(AB959)*$AB$868)+(COUNT(AD959)*$AD$868)</f>
        <v>14250000</v>
      </c>
      <c r="AK959" s="1419">
        <f t="shared" ref="AK959" si="299">AJ959-AI959</f>
        <v>0</v>
      </c>
      <c r="AL959" s="1420" t="str">
        <f t="shared" ref="AL959" si="300">IF(AK959=0,"Lunas","Cek")</f>
        <v>Lunas</v>
      </c>
      <c r="AM959" s="1410"/>
      <c r="AN959" s="1411"/>
      <c r="AO959" s="1410"/>
      <c r="AP959" s="1411"/>
      <c r="AQ959" s="1128"/>
      <c r="AR959" s="1173"/>
      <c r="AT959" s="1173"/>
      <c r="AV959" s="1173"/>
      <c r="AX959" s="1173"/>
      <c r="AY959" s="1176"/>
      <c r="AZ959" s="1173"/>
    </row>
    <row r="960" spans="1:52" s="2" customFormat="1" x14ac:dyDescent="0.25">
      <c r="A960" s="156">
        <v>891</v>
      </c>
      <c r="B960" s="172">
        <v>2</v>
      </c>
      <c r="C960" s="159">
        <v>839115002</v>
      </c>
      <c r="D960" s="158" t="s">
        <v>1424</v>
      </c>
      <c r="E960" s="160" t="s">
        <v>848</v>
      </c>
      <c r="F960" s="161">
        <v>2015</v>
      </c>
      <c r="G960" s="162" t="s">
        <v>33</v>
      </c>
      <c r="H960" s="163">
        <f t="shared" si="279"/>
        <v>43061</v>
      </c>
      <c r="I960" s="163">
        <f t="shared" si="280"/>
        <v>43218</v>
      </c>
      <c r="J960" s="1443">
        <v>1250000</v>
      </c>
      <c r="K960" s="1383">
        <v>42144</v>
      </c>
      <c r="L960" s="1385">
        <v>3000000</v>
      </c>
      <c r="M960" s="1383">
        <v>42144</v>
      </c>
      <c r="N960" s="1385">
        <v>3000000</v>
      </c>
      <c r="O960" s="1383">
        <v>42401</v>
      </c>
      <c r="P960" s="1385">
        <v>3000000</v>
      </c>
      <c r="Q960" s="1383">
        <v>42573</v>
      </c>
      <c r="R960" s="1385">
        <v>3000000</v>
      </c>
      <c r="S960" s="1383">
        <v>42762</v>
      </c>
      <c r="T960" s="1358">
        <v>3000000</v>
      </c>
      <c r="U960" s="1383">
        <v>43046</v>
      </c>
      <c r="V960" s="1465" t="s">
        <v>1080</v>
      </c>
      <c r="W960" s="1360"/>
      <c r="X960" s="1714"/>
      <c r="Y960" s="1563"/>
      <c r="Z960" s="1714"/>
      <c r="AA960" s="1563"/>
      <c r="AB960" s="1385">
        <v>1000000</v>
      </c>
      <c r="AC960" s="1357">
        <v>42762</v>
      </c>
      <c r="AD960" s="1731" t="str">
        <f>IFERROR(VLOOKUP(C960,BSP,3,FALSE),"  ")</f>
        <v xml:space="preserve">  </v>
      </c>
      <c r="AE960" s="1367" t="str">
        <f>IFERROR((VLOOKUP(C960,BSP,4,FALSE)),"  ")</f>
        <v xml:space="preserve">  </v>
      </c>
      <c r="AF960" s="2300" t="s">
        <v>1329</v>
      </c>
      <c r="AG960" s="1612"/>
      <c r="AH960" s="1625" t="str">
        <f t="shared" si="296"/>
        <v>HK</v>
      </c>
      <c r="AI960" s="1680">
        <f t="shared" ref="AI960:AI962" si="301">SUM(J960,L960,N960,P960,R960,T960,V960,X960,Z960,AB960,AD960,AF960)</f>
        <v>17250000</v>
      </c>
      <c r="AJ960" s="1681">
        <f t="shared" si="298"/>
        <v>17250000</v>
      </c>
      <c r="AK960" s="1682">
        <f t="shared" ref="AK960:AK962" si="302">AJ960-AI960</f>
        <v>0</v>
      </c>
      <c r="AL960" s="1691" t="str">
        <f t="shared" ref="AL960:AL961" si="303">IF(AK960=0,"Lunas","Cek")</f>
        <v>Lunas</v>
      </c>
      <c r="AM960" s="1410"/>
      <c r="AN960" s="1411"/>
      <c r="AO960" s="1410"/>
      <c r="AP960" s="1411"/>
      <c r="AQ960" s="1128"/>
      <c r="AR960" s="1173"/>
      <c r="AT960" s="1173"/>
      <c r="AV960" s="1173"/>
      <c r="AX960" s="1173"/>
      <c r="AY960" s="1176"/>
      <c r="AZ960" s="1173"/>
    </row>
    <row r="961" spans="1:52" s="2" customFormat="1" x14ac:dyDescent="0.25">
      <c r="A961" s="156">
        <v>892</v>
      </c>
      <c r="B961" s="344">
        <v>3</v>
      </c>
      <c r="C961" s="374">
        <v>839115003</v>
      </c>
      <c r="D961" s="177" t="s">
        <v>1425</v>
      </c>
      <c r="E961" s="346" t="s">
        <v>848</v>
      </c>
      <c r="F961" s="317">
        <v>2015</v>
      </c>
      <c r="G961" s="162" t="s">
        <v>33</v>
      </c>
      <c r="H961" s="163">
        <f t="shared" si="279"/>
        <v>43991</v>
      </c>
      <c r="I961" s="1768">
        <f t="shared" si="280"/>
        <v>44186</v>
      </c>
      <c r="J961" s="1636">
        <v>1250000</v>
      </c>
      <c r="K961" s="1637">
        <v>42183</v>
      </c>
      <c r="L961" s="1480">
        <v>3000000</v>
      </c>
      <c r="M961" s="1637">
        <v>42183</v>
      </c>
      <c r="N961" s="1480">
        <v>3000000</v>
      </c>
      <c r="O961" s="1637">
        <v>42397</v>
      </c>
      <c r="P961" s="1480">
        <v>3000000</v>
      </c>
      <c r="Q961" s="1637">
        <v>42542</v>
      </c>
      <c r="R961" s="1480">
        <v>3000000</v>
      </c>
      <c r="S961" s="1637">
        <v>42759</v>
      </c>
      <c r="T961" s="1431">
        <v>3000000</v>
      </c>
      <c r="U961" s="1637">
        <v>43434</v>
      </c>
      <c r="V961" s="1480">
        <v>3000000</v>
      </c>
      <c r="W961" s="1637">
        <v>43434</v>
      </c>
      <c r="X961" s="1480">
        <v>3000000</v>
      </c>
      <c r="Y961" s="1637">
        <v>43434</v>
      </c>
      <c r="Z961" s="1480">
        <v>3000000</v>
      </c>
      <c r="AA961" s="1365">
        <v>43502</v>
      </c>
      <c r="AB961" s="1480">
        <v>1000000</v>
      </c>
      <c r="AC961" s="1365">
        <v>42759</v>
      </c>
      <c r="AD961" s="1809">
        <v>500000</v>
      </c>
      <c r="AE961" s="1440">
        <v>44019</v>
      </c>
      <c r="AF961" s="1732">
        <v>6000000</v>
      </c>
      <c r="AG961" s="1744">
        <v>43962</v>
      </c>
      <c r="AH961" s="1625" t="str">
        <f t="shared" si="296"/>
        <v>HK</v>
      </c>
      <c r="AI961" s="1680">
        <f t="shared" si="301"/>
        <v>32750000</v>
      </c>
      <c r="AJ961" s="1681">
        <f t="shared" si="298"/>
        <v>26750000</v>
      </c>
      <c r="AK961" s="1682">
        <f t="shared" si="302"/>
        <v>-6000000</v>
      </c>
      <c r="AL961" s="1691" t="str">
        <f t="shared" si="303"/>
        <v>Cek</v>
      </c>
      <c r="AM961" s="1410"/>
      <c r="AN961" s="1411"/>
      <c r="AO961" s="1410"/>
      <c r="AP961" s="1411"/>
      <c r="AQ961" s="1128"/>
      <c r="AR961" s="1173"/>
      <c r="AT961" s="1173"/>
      <c r="AV961" s="1173"/>
      <c r="AX961" s="1173"/>
      <c r="AY961" s="1176"/>
      <c r="AZ961" s="1173"/>
    </row>
    <row r="962" spans="1:52" s="2" customFormat="1" x14ac:dyDescent="0.25">
      <c r="A962" s="234">
        <v>893</v>
      </c>
      <c r="B962" s="347">
        <v>4</v>
      </c>
      <c r="C962" s="236">
        <v>839115014</v>
      </c>
      <c r="D962" s="233" t="s">
        <v>1426</v>
      </c>
      <c r="E962" s="237" t="s">
        <v>848</v>
      </c>
      <c r="F962" s="238">
        <v>2015</v>
      </c>
      <c r="G962" s="214" t="s">
        <v>1077</v>
      </c>
      <c r="H962" s="239" t="str">
        <f t="shared" si="279"/>
        <v xml:space="preserve">   </v>
      </c>
      <c r="I962" s="239" t="str">
        <f t="shared" si="280"/>
        <v xml:space="preserve">   </v>
      </c>
      <c r="J962" s="1638"/>
      <c r="K962" s="1604"/>
      <c r="L962" s="1698">
        <v>3000000</v>
      </c>
      <c r="M962" s="1604">
        <v>42415</v>
      </c>
      <c r="N962" s="1639" t="s">
        <v>1162</v>
      </c>
      <c r="O962" s="1503"/>
      <c r="P962" s="1714"/>
      <c r="Q962" s="1563"/>
      <c r="R962" s="1714"/>
      <c r="S962" s="1563"/>
      <c r="T962" s="1714"/>
      <c r="U962" s="1563"/>
      <c r="V962" s="1714"/>
      <c r="W962" s="1563"/>
      <c r="X962" s="1714"/>
      <c r="Y962" s="1563"/>
      <c r="Z962" s="1714"/>
      <c r="AA962" s="1563"/>
      <c r="AB962" s="1714"/>
      <c r="AC962" s="1367"/>
      <c r="AD962" s="1666" t="str">
        <f t="shared" ref="AD962:AD972" si="304">IFERROR(VLOOKUP(C962,BSP,3,FALSE),"  ")</f>
        <v xml:space="preserve">  </v>
      </c>
      <c r="AE962" s="1590" t="str">
        <f t="shared" ref="AE962:AE972" si="305">IFERROR((VLOOKUP(C962,BSP,4,FALSE)),"  ")</f>
        <v xml:space="preserve">  </v>
      </c>
      <c r="AF962" s="2300" t="s">
        <v>1329</v>
      </c>
      <c r="AG962" s="1612"/>
      <c r="AH962" s="1625" t="str">
        <f t="shared" si="296"/>
        <v>HK</v>
      </c>
      <c r="AI962" s="1688">
        <f t="shared" si="301"/>
        <v>3000000</v>
      </c>
      <c r="AJ962" s="1685">
        <f t="shared" si="298"/>
        <v>3000000</v>
      </c>
      <c r="AK962" s="1686">
        <f t="shared" si="302"/>
        <v>0</v>
      </c>
      <c r="AL962" s="1687" t="s">
        <v>1334</v>
      </c>
      <c r="AM962" s="1410"/>
      <c r="AN962" s="1411"/>
      <c r="AO962" s="1410"/>
      <c r="AP962" s="1411"/>
      <c r="AQ962" s="1128"/>
      <c r="AR962" s="1173"/>
      <c r="AT962" s="1173"/>
      <c r="AV962" s="1173"/>
      <c r="AX962" s="1173"/>
      <c r="AY962" s="1176"/>
      <c r="AZ962" s="1173"/>
    </row>
    <row r="963" spans="1:52" s="2" customFormat="1" x14ac:dyDescent="0.25">
      <c r="A963" s="156">
        <v>894</v>
      </c>
      <c r="B963" s="172">
        <v>5</v>
      </c>
      <c r="C963" s="159">
        <v>839115004</v>
      </c>
      <c r="D963" s="158" t="s">
        <v>1427</v>
      </c>
      <c r="E963" s="160" t="s">
        <v>848</v>
      </c>
      <c r="F963" s="161">
        <v>2015</v>
      </c>
      <c r="G963" s="162" t="s">
        <v>33</v>
      </c>
      <c r="H963" s="163">
        <f t="shared" ref="H963:H994" si="306">IFERROR(VLOOKUP(C963,Tlus,3,FALSE),"   ")</f>
        <v>42811</v>
      </c>
      <c r="I963" s="163">
        <f t="shared" ref="I963:I994" si="307">IFERROR(VLOOKUP(C963,Wis,4,FALSE),"   ")</f>
        <v>42861</v>
      </c>
      <c r="J963" s="1443">
        <v>1250000</v>
      </c>
      <c r="K963" s="1383">
        <v>42177</v>
      </c>
      <c r="L963" s="1385">
        <v>3000000</v>
      </c>
      <c r="M963" s="1383">
        <v>42177</v>
      </c>
      <c r="N963" s="1385">
        <v>3000000</v>
      </c>
      <c r="O963" s="1383">
        <v>42398</v>
      </c>
      <c r="P963" s="1385">
        <v>3000000</v>
      </c>
      <c r="Q963" s="1383">
        <v>42573</v>
      </c>
      <c r="R963" s="1443">
        <v>3000000</v>
      </c>
      <c r="S963" s="1383">
        <v>42765</v>
      </c>
      <c r="T963" s="1382" t="s">
        <v>276</v>
      </c>
      <c r="U963" s="1360"/>
      <c r="V963" s="1714"/>
      <c r="W963" s="1563"/>
      <c r="X963" s="1714"/>
      <c r="Y963" s="1563"/>
      <c r="Z963" s="1714"/>
      <c r="AA963" s="1563"/>
      <c r="AB963" s="1385">
        <v>1000000</v>
      </c>
      <c r="AC963" s="1357">
        <v>42802</v>
      </c>
      <c r="AD963" s="1666" t="str">
        <f t="shared" si="304"/>
        <v xml:space="preserve">  </v>
      </c>
      <c r="AE963" s="1590" t="str">
        <f t="shared" si="305"/>
        <v xml:space="preserve">  </v>
      </c>
      <c r="AF963" s="2300" t="s">
        <v>1329</v>
      </c>
      <c r="AG963" s="1612"/>
      <c r="AH963" s="1625" t="str">
        <f t="shared" si="296"/>
        <v>HK</v>
      </c>
      <c r="AI963" s="1680">
        <f t="shared" ref="AI963:AI972" si="308">SUM(J963,L963,N963,P963,R963,T963,V963,X963,Z963,AB963,AD963,AF963)</f>
        <v>14250000</v>
      </c>
      <c r="AJ963" s="1681">
        <f t="shared" si="298"/>
        <v>14250000</v>
      </c>
      <c r="AK963" s="1682">
        <f t="shared" ref="AK963:AK972" si="309">AJ963-AI963</f>
        <v>0</v>
      </c>
      <c r="AL963" s="1691" t="str">
        <f t="shared" ref="AL963:AL971" si="310">IF(AK963=0,"Lunas","Cek")</f>
        <v>Lunas</v>
      </c>
      <c r="AM963" s="1410"/>
      <c r="AN963" s="1411"/>
      <c r="AO963" s="1410"/>
      <c r="AP963" s="1411"/>
      <c r="AQ963" s="1128"/>
      <c r="AR963" s="1173"/>
      <c r="AT963" s="1173"/>
      <c r="AV963" s="1173"/>
      <c r="AX963" s="1173"/>
      <c r="AY963" s="1176"/>
      <c r="AZ963" s="1173"/>
    </row>
    <row r="964" spans="1:52" s="2" customFormat="1" x14ac:dyDescent="0.25">
      <c r="A964" s="156">
        <v>895</v>
      </c>
      <c r="B964" s="172">
        <v>6</v>
      </c>
      <c r="C964" s="159">
        <v>839115005</v>
      </c>
      <c r="D964" s="158" t="s">
        <v>1428</v>
      </c>
      <c r="E964" s="160" t="s">
        <v>848</v>
      </c>
      <c r="F964" s="161">
        <v>2015</v>
      </c>
      <c r="G964" s="162" t="s">
        <v>33</v>
      </c>
      <c r="H964" s="163">
        <f t="shared" si="306"/>
        <v>42949</v>
      </c>
      <c r="I964" s="163">
        <f t="shared" si="307"/>
        <v>43064</v>
      </c>
      <c r="J964" s="1443">
        <v>1250000</v>
      </c>
      <c r="K964" s="1383">
        <v>42198</v>
      </c>
      <c r="L964" s="1385">
        <v>3000000</v>
      </c>
      <c r="M964" s="1383">
        <v>42198</v>
      </c>
      <c r="N964" s="1385">
        <v>3000000</v>
      </c>
      <c r="O964" s="1383">
        <v>42401</v>
      </c>
      <c r="P964" s="1443">
        <v>3000000</v>
      </c>
      <c r="Q964" s="1383">
        <v>42577</v>
      </c>
      <c r="R964" s="1385">
        <v>3000000</v>
      </c>
      <c r="S964" s="1383">
        <v>42786</v>
      </c>
      <c r="T964" s="1382" t="s">
        <v>1080</v>
      </c>
      <c r="U964" s="1360"/>
      <c r="V964" s="1714"/>
      <c r="W964" s="1563"/>
      <c r="X964" s="1714"/>
      <c r="Y964" s="1563"/>
      <c r="Z964" s="1714"/>
      <c r="AA964" s="1563"/>
      <c r="AB964" s="1385">
        <v>1000000</v>
      </c>
      <c r="AC964" s="1357">
        <v>42905</v>
      </c>
      <c r="AD964" s="1666" t="str">
        <f t="shared" si="304"/>
        <v xml:space="preserve">  </v>
      </c>
      <c r="AE964" s="1590" t="str">
        <f t="shared" si="305"/>
        <v xml:space="preserve">  </v>
      </c>
      <c r="AF964" s="2300" t="s">
        <v>1329</v>
      </c>
      <c r="AG964" s="1612"/>
      <c r="AH964" s="1625" t="str">
        <f t="shared" si="296"/>
        <v>HK</v>
      </c>
      <c r="AI964" s="1680">
        <f t="shared" si="308"/>
        <v>14250000</v>
      </c>
      <c r="AJ964" s="1681">
        <f t="shared" si="298"/>
        <v>14250000</v>
      </c>
      <c r="AK964" s="1682">
        <f t="shared" si="309"/>
        <v>0</v>
      </c>
      <c r="AL964" s="1691" t="str">
        <f t="shared" si="310"/>
        <v>Lunas</v>
      </c>
      <c r="AM964" s="1410"/>
      <c r="AN964" s="1411"/>
      <c r="AO964" s="1410"/>
      <c r="AP964" s="1411"/>
      <c r="AQ964" s="1128"/>
      <c r="AR964" s="1173"/>
      <c r="AT964" s="1173"/>
      <c r="AV964" s="1173"/>
      <c r="AX964" s="1173"/>
      <c r="AY964" s="1176"/>
      <c r="AZ964" s="1173"/>
    </row>
    <row r="965" spans="1:52" s="2" customFormat="1" x14ac:dyDescent="0.25">
      <c r="A965" s="156">
        <v>896</v>
      </c>
      <c r="B965" s="172">
        <v>7</v>
      </c>
      <c r="C965" s="159">
        <v>839115006</v>
      </c>
      <c r="D965" s="158" t="s">
        <v>1429</v>
      </c>
      <c r="E965" s="160" t="s">
        <v>848</v>
      </c>
      <c r="F965" s="161">
        <v>2015</v>
      </c>
      <c r="G965" s="162" t="s">
        <v>33</v>
      </c>
      <c r="H965" s="163">
        <f t="shared" si="306"/>
        <v>43251</v>
      </c>
      <c r="I965" s="163">
        <f t="shared" si="307"/>
        <v>43351</v>
      </c>
      <c r="J965" s="1443">
        <v>1250000</v>
      </c>
      <c r="K965" s="1383">
        <v>42171</v>
      </c>
      <c r="L965" s="1385">
        <v>3000000</v>
      </c>
      <c r="M965" s="1383">
        <v>42171</v>
      </c>
      <c r="N965" s="1385">
        <v>3000000</v>
      </c>
      <c r="O965" s="1383">
        <v>42398</v>
      </c>
      <c r="P965" s="1443">
        <v>3000000</v>
      </c>
      <c r="Q965" s="1383">
        <v>42572</v>
      </c>
      <c r="R965" s="1385">
        <v>3000000</v>
      </c>
      <c r="S965" s="1383">
        <v>42940</v>
      </c>
      <c r="T965" s="1358">
        <v>3000000</v>
      </c>
      <c r="U965" s="1383">
        <v>43227</v>
      </c>
      <c r="V965" s="1385">
        <v>3000000</v>
      </c>
      <c r="W965" s="1383">
        <v>43227</v>
      </c>
      <c r="X965" s="1465" t="s">
        <v>276</v>
      </c>
      <c r="Y965" s="1360"/>
      <c r="Z965" s="1714"/>
      <c r="AA965" s="1563"/>
      <c r="AB965" s="1385">
        <v>1000000</v>
      </c>
      <c r="AC965" s="1357">
        <v>42940</v>
      </c>
      <c r="AD965" s="1666" t="str">
        <f t="shared" si="304"/>
        <v xml:space="preserve">  </v>
      </c>
      <c r="AE965" s="1590" t="str">
        <f t="shared" si="305"/>
        <v xml:space="preserve">  </v>
      </c>
      <c r="AF965" s="2300" t="s">
        <v>1329</v>
      </c>
      <c r="AG965" s="1612"/>
      <c r="AH965" s="1625" t="str">
        <f t="shared" si="296"/>
        <v>HK</v>
      </c>
      <c r="AI965" s="1680">
        <f t="shared" si="308"/>
        <v>20250000</v>
      </c>
      <c r="AJ965" s="1681">
        <f t="shared" si="298"/>
        <v>20250000</v>
      </c>
      <c r="AK965" s="1682">
        <f t="shared" si="309"/>
        <v>0</v>
      </c>
      <c r="AL965" s="1691" t="str">
        <f t="shared" si="310"/>
        <v>Lunas</v>
      </c>
      <c r="AM965" s="1410"/>
      <c r="AN965" s="1411"/>
      <c r="AO965" s="1410"/>
      <c r="AP965" s="1411"/>
      <c r="AQ965" s="1128"/>
      <c r="AR965" s="1173"/>
      <c r="AT965" s="1173"/>
      <c r="AV965" s="1173"/>
      <c r="AX965" s="1173"/>
      <c r="AY965" s="1176"/>
      <c r="AZ965" s="1173"/>
    </row>
    <row r="966" spans="1:52" s="2" customFormat="1" x14ac:dyDescent="0.25">
      <c r="A966" s="156">
        <v>897</v>
      </c>
      <c r="B966" s="172">
        <v>8</v>
      </c>
      <c r="C966" s="159">
        <v>839115007</v>
      </c>
      <c r="D966" s="158" t="s">
        <v>1430</v>
      </c>
      <c r="E966" s="160" t="s">
        <v>848</v>
      </c>
      <c r="F966" s="161">
        <v>2015</v>
      </c>
      <c r="G966" s="162" t="s">
        <v>33</v>
      </c>
      <c r="H966" s="163">
        <f t="shared" si="306"/>
        <v>43672</v>
      </c>
      <c r="I966" s="163">
        <f t="shared" si="307"/>
        <v>43750</v>
      </c>
      <c r="J966" s="1636">
        <v>1250000</v>
      </c>
      <c r="K966" s="1383">
        <v>42195</v>
      </c>
      <c r="L966" s="1385">
        <v>3000000</v>
      </c>
      <c r="M966" s="1383">
        <v>42195</v>
      </c>
      <c r="N966" s="1385">
        <v>3000000</v>
      </c>
      <c r="O966" s="1383">
        <v>42398</v>
      </c>
      <c r="P966" s="1385">
        <v>3000000</v>
      </c>
      <c r="Q966" s="1383">
        <v>42573</v>
      </c>
      <c r="R966" s="1480">
        <v>3000000</v>
      </c>
      <c r="S966" s="1383">
        <v>42891</v>
      </c>
      <c r="T966" s="1431">
        <v>3000000</v>
      </c>
      <c r="U966" s="1383">
        <v>43608</v>
      </c>
      <c r="V966" s="1636">
        <v>3000000</v>
      </c>
      <c r="W966" s="1383">
        <v>43608</v>
      </c>
      <c r="X966" s="1480">
        <v>3000000</v>
      </c>
      <c r="Y966" s="1383">
        <v>43608</v>
      </c>
      <c r="Z966" s="1480">
        <v>3000000</v>
      </c>
      <c r="AA966" s="1383">
        <v>43608</v>
      </c>
      <c r="AB966" s="1385">
        <v>1000000</v>
      </c>
      <c r="AC966" s="1383">
        <v>43608</v>
      </c>
      <c r="AD966" s="1666" t="str">
        <f t="shared" si="304"/>
        <v xml:space="preserve">  </v>
      </c>
      <c r="AE966" s="1590" t="str">
        <f t="shared" si="305"/>
        <v xml:space="preserve">  </v>
      </c>
      <c r="AF966" s="2300" t="s">
        <v>1329</v>
      </c>
      <c r="AG966" s="1612"/>
      <c r="AH966" s="1625" t="str">
        <f t="shared" si="296"/>
        <v>HK</v>
      </c>
      <c r="AI966" s="1680">
        <f t="shared" si="308"/>
        <v>26250000</v>
      </c>
      <c r="AJ966" s="1681">
        <f t="shared" si="298"/>
        <v>26250000</v>
      </c>
      <c r="AK966" s="1682">
        <f t="shared" si="309"/>
        <v>0</v>
      </c>
      <c r="AL966" s="1691" t="str">
        <f t="shared" si="310"/>
        <v>Lunas</v>
      </c>
      <c r="AM966" s="1410"/>
      <c r="AN966" s="1411"/>
      <c r="AO966" s="1410"/>
      <c r="AP966" s="1411"/>
      <c r="AQ966" s="1128"/>
      <c r="AR966" s="1173"/>
      <c r="AT966" s="1173"/>
      <c r="AV966" s="1173"/>
      <c r="AX966" s="1173"/>
      <c r="AY966" s="1176"/>
      <c r="AZ966" s="1173"/>
    </row>
    <row r="967" spans="1:52" s="2" customFormat="1" x14ac:dyDescent="0.25">
      <c r="A967" s="156">
        <v>898</v>
      </c>
      <c r="B967" s="172">
        <v>9</v>
      </c>
      <c r="C967" s="159">
        <v>839115008</v>
      </c>
      <c r="D967" s="158" t="s">
        <v>1431</v>
      </c>
      <c r="E967" s="160" t="s">
        <v>848</v>
      </c>
      <c r="F967" s="161">
        <v>2015</v>
      </c>
      <c r="G967" s="162" t="s">
        <v>33</v>
      </c>
      <c r="H967" s="163">
        <f t="shared" si="306"/>
        <v>42984</v>
      </c>
      <c r="I967" s="163">
        <f t="shared" si="307"/>
        <v>43064</v>
      </c>
      <c r="J967" s="1443">
        <v>1250000</v>
      </c>
      <c r="K967" s="1383">
        <v>42178</v>
      </c>
      <c r="L967" s="1385">
        <v>3000000</v>
      </c>
      <c r="M967" s="1383">
        <v>42178</v>
      </c>
      <c r="N967" s="1385">
        <v>3000000</v>
      </c>
      <c r="O967" s="1383">
        <v>42398</v>
      </c>
      <c r="P967" s="1443">
        <v>3000000</v>
      </c>
      <c r="Q967" s="1383">
        <v>42572</v>
      </c>
      <c r="R967" s="1385">
        <v>3000000</v>
      </c>
      <c r="S967" s="1383" t="s">
        <v>1432</v>
      </c>
      <c r="T967" s="1358">
        <v>3000000</v>
      </c>
      <c r="U967" s="1383">
        <v>42937</v>
      </c>
      <c r="V967" s="1465" t="s">
        <v>1080</v>
      </c>
      <c r="W967" s="1360"/>
      <c r="X967" s="1714"/>
      <c r="Y967" s="1563"/>
      <c r="Z967" s="1714"/>
      <c r="AA967" s="1563"/>
      <c r="AB967" s="1714">
        <v>1000000</v>
      </c>
      <c r="AC967" s="1367"/>
      <c r="AD967" s="1666" t="str">
        <f t="shared" si="304"/>
        <v xml:space="preserve">  </v>
      </c>
      <c r="AE967" s="1590" t="str">
        <f t="shared" si="305"/>
        <v xml:space="preserve">  </v>
      </c>
      <c r="AF967" s="2300" t="s">
        <v>1329</v>
      </c>
      <c r="AG967" s="1612"/>
      <c r="AH967" s="1625" t="str">
        <f t="shared" si="296"/>
        <v>HK</v>
      </c>
      <c r="AI967" s="1680">
        <f t="shared" si="308"/>
        <v>17250000</v>
      </c>
      <c r="AJ967" s="1681">
        <f t="shared" si="298"/>
        <v>17250000</v>
      </c>
      <c r="AK967" s="1682">
        <f t="shared" si="309"/>
        <v>0</v>
      </c>
      <c r="AL967" s="1691" t="str">
        <f t="shared" si="310"/>
        <v>Lunas</v>
      </c>
      <c r="AM967" s="1410"/>
      <c r="AN967" s="1411"/>
      <c r="AO967" s="1410"/>
      <c r="AP967" s="1411"/>
      <c r="AQ967" s="1128"/>
      <c r="AR967" s="1173"/>
      <c r="AT967" s="1173"/>
      <c r="AV967" s="1173"/>
      <c r="AX967" s="1173"/>
      <c r="AY967" s="1176"/>
      <c r="AZ967" s="1173"/>
    </row>
    <row r="968" spans="1:52" s="2" customFormat="1" x14ac:dyDescent="0.25">
      <c r="A968" s="156">
        <v>899</v>
      </c>
      <c r="B968" s="172">
        <v>10</v>
      </c>
      <c r="C968" s="159">
        <v>839115009</v>
      </c>
      <c r="D968" s="158" t="s">
        <v>1433</v>
      </c>
      <c r="E968" s="160" t="s">
        <v>848</v>
      </c>
      <c r="F968" s="161">
        <v>2015</v>
      </c>
      <c r="G968" s="162" t="s">
        <v>33</v>
      </c>
      <c r="H968" s="163">
        <f t="shared" si="306"/>
        <v>43109</v>
      </c>
      <c r="I968" s="163">
        <f t="shared" si="307"/>
        <v>43218</v>
      </c>
      <c r="J968" s="1443">
        <v>1250000</v>
      </c>
      <c r="K968" s="1383">
        <v>42186</v>
      </c>
      <c r="L968" s="1385">
        <v>3000000</v>
      </c>
      <c r="M968" s="1383">
        <v>42186</v>
      </c>
      <c r="N968" s="1443">
        <v>3000000</v>
      </c>
      <c r="O968" s="1383">
        <v>42401</v>
      </c>
      <c r="P968" s="1443">
        <v>3000000</v>
      </c>
      <c r="Q968" s="1383">
        <v>42580</v>
      </c>
      <c r="R968" s="1385">
        <v>3000000</v>
      </c>
      <c r="S968" s="1383">
        <v>42891</v>
      </c>
      <c r="T968" s="1358">
        <v>3000000</v>
      </c>
      <c r="U968" s="1383">
        <v>43096</v>
      </c>
      <c r="V968" s="1465" t="s">
        <v>1080</v>
      </c>
      <c r="W968" s="1360"/>
      <c r="X968" s="1714"/>
      <c r="Y968" s="1563"/>
      <c r="Z968" s="1714"/>
      <c r="AA968" s="1563"/>
      <c r="AB968" s="1385">
        <v>1000000</v>
      </c>
      <c r="AC968" s="1357">
        <v>43096</v>
      </c>
      <c r="AD968" s="1666" t="str">
        <f t="shared" si="304"/>
        <v xml:space="preserve">  </v>
      </c>
      <c r="AE968" s="1590" t="str">
        <f t="shared" si="305"/>
        <v xml:space="preserve">  </v>
      </c>
      <c r="AF968" s="2300" t="s">
        <v>1329</v>
      </c>
      <c r="AG968" s="1612"/>
      <c r="AH968" s="1625" t="str">
        <f t="shared" si="296"/>
        <v>HK</v>
      </c>
      <c r="AI968" s="1680">
        <f t="shared" si="308"/>
        <v>17250000</v>
      </c>
      <c r="AJ968" s="1681">
        <f t="shared" si="298"/>
        <v>17250000</v>
      </c>
      <c r="AK968" s="1682">
        <f t="shared" si="309"/>
        <v>0</v>
      </c>
      <c r="AL968" s="1691" t="str">
        <f t="shared" si="310"/>
        <v>Lunas</v>
      </c>
      <c r="AM968" s="1410"/>
      <c r="AN968" s="1411"/>
      <c r="AO968" s="1410"/>
      <c r="AP968" s="1411"/>
      <c r="AQ968" s="1128"/>
      <c r="AR968" s="1173"/>
      <c r="AT968" s="1173"/>
      <c r="AV968" s="1173"/>
      <c r="AX968" s="1173"/>
      <c r="AY968" s="1176"/>
      <c r="AZ968" s="1173"/>
    </row>
    <row r="969" spans="1:52" s="2" customFormat="1" x14ac:dyDescent="0.25">
      <c r="A969" s="156">
        <v>900</v>
      </c>
      <c r="B969" s="172">
        <v>11</v>
      </c>
      <c r="C969" s="159">
        <v>839115010</v>
      </c>
      <c r="D969" s="158" t="s">
        <v>1434</v>
      </c>
      <c r="E969" s="160" t="s">
        <v>848</v>
      </c>
      <c r="F969" s="161">
        <v>2015</v>
      </c>
      <c r="G969" s="162" t="s">
        <v>33</v>
      </c>
      <c r="H969" s="163">
        <f t="shared" si="306"/>
        <v>42935</v>
      </c>
      <c r="I969" s="163">
        <f t="shared" si="307"/>
        <v>43064</v>
      </c>
      <c r="J969" s="1443">
        <v>1250000</v>
      </c>
      <c r="K969" s="1383">
        <v>42186</v>
      </c>
      <c r="L969" s="1385">
        <v>3000000</v>
      </c>
      <c r="M969" s="1383">
        <v>42186</v>
      </c>
      <c r="N969" s="1385">
        <v>3000000</v>
      </c>
      <c r="O969" s="1383">
        <v>42397</v>
      </c>
      <c r="P969" s="1443">
        <v>3000000</v>
      </c>
      <c r="Q969" s="1383">
        <v>42577</v>
      </c>
      <c r="R969" s="1385">
        <v>3000000</v>
      </c>
      <c r="S969" s="1383">
        <v>42878</v>
      </c>
      <c r="T969" s="1382" t="s">
        <v>1080</v>
      </c>
      <c r="U969" s="1500"/>
      <c r="V969" s="1714"/>
      <c r="W969" s="1563"/>
      <c r="X969" s="1714"/>
      <c r="Y969" s="1563"/>
      <c r="Z969" s="1714"/>
      <c r="AA969" s="1563"/>
      <c r="AB969" s="1385">
        <v>1000000</v>
      </c>
      <c r="AC969" s="1357">
        <v>42900</v>
      </c>
      <c r="AD969" s="1666" t="str">
        <f t="shared" si="304"/>
        <v xml:space="preserve">  </v>
      </c>
      <c r="AE969" s="1590" t="str">
        <f t="shared" si="305"/>
        <v xml:space="preserve">  </v>
      </c>
      <c r="AF969" s="2300" t="s">
        <v>1329</v>
      </c>
      <c r="AG969" s="1612"/>
      <c r="AH969" s="1625" t="str">
        <f t="shared" si="296"/>
        <v>HK</v>
      </c>
      <c r="AI969" s="1680">
        <f t="shared" si="308"/>
        <v>14250000</v>
      </c>
      <c r="AJ969" s="1681">
        <f t="shared" si="298"/>
        <v>14250000</v>
      </c>
      <c r="AK969" s="1682">
        <f t="shared" si="309"/>
        <v>0</v>
      </c>
      <c r="AL969" s="1691" t="str">
        <f t="shared" si="310"/>
        <v>Lunas</v>
      </c>
      <c r="AM969" s="1410"/>
      <c r="AN969" s="1411"/>
      <c r="AO969" s="1410"/>
      <c r="AP969" s="1411"/>
      <c r="AQ969" s="1128"/>
      <c r="AR969" s="1173"/>
      <c r="AT969" s="1173"/>
      <c r="AV969" s="1173"/>
      <c r="AX969" s="1173"/>
      <c r="AY969" s="1176"/>
      <c r="AZ969" s="1173"/>
    </row>
    <row r="970" spans="1:52" s="2" customFormat="1" x14ac:dyDescent="0.25">
      <c r="A970" s="156">
        <v>901</v>
      </c>
      <c r="B970" s="172">
        <v>12</v>
      </c>
      <c r="C970" s="178">
        <v>839115011</v>
      </c>
      <c r="D970" s="177" t="s">
        <v>1435</v>
      </c>
      <c r="E970" s="346" t="s">
        <v>848</v>
      </c>
      <c r="F970" s="317">
        <v>2015</v>
      </c>
      <c r="G970" s="162" t="s">
        <v>33</v>
      </c>
      <c r="H970" s="163">
        <f t="shared" si="306"/>
        <v>43678</v>
      </c>
      <c r="I970" s="163">
        <f t="shared" si="307"/>
        <v>43818</v>
      </c>
      <c r="J970" s="1636">
        <v>1250000</v>
      </c>
      <c r="K970" s="1637">
        <v>42194</v>
      </c>
      <c r="L970" s="1480">
        <v>3000000</v>
      </c>
      <c r="M970" s="1637">
        <v>42194</v>
      </c>
      <c r="N970" s="1480">
        <v>3000000</v>
      </c>
      <c r="O970" s="1637">
        <v>42401</v>
      </c>
      <c r="P970" s="1636">
        <v>3000000</v>
      </c>
      <c r="Q970" s="1637">
        <v>42578</v>
      </c>
      <c r="R970" s="1480">
        <v>3000000</v>
      </c>
      <c r="S970" s="1637">
        <v>42766</v>
      </c>
      <c r="T970" s="1431">
        <v>3000000</v>
      </c>
      <c r="U970" s="1637">
        <v>42937</v>
      </c>
      <c r="V970" s="1636">
        <v>3000000</v>
      </c>
      <c r="W970" s="2302" t="s">
        <v>1436</v>
      </c>
      <c r="X970" s="1480">
        <v>3000000</v>
      </c>
      <c r="Y970" s="2303" t="s">
        <v>1436</v>
      </c>
      <c r="Z970" s="1480">
        <v>3000000</v>
      </c>
      <c r="AA970" s="1365">
        <v>43654</v>
      </c>
      <c r="AB970" s="1480">
        <v>1000000</v>
      </c>
      <c r="AC970" s="1365">
        <v>43654</v>
      </c>
      <c r="AD970" s="1666" t="str">
        <f t="shared" si="304"/>
        <v xml:space="preserve">  </v>
      </c>
      <c r="AE970" s="1590" t="str">
        <f t="shared" si="305"/>
        <v xml:space="preserve">  </v>
      </c>
      <c r="AF970" s="2300" t="s">
        <v>1329</v>
      </c>
      <c r="AG970" s="1612"/>
      <c r="AH970" s="1625" t="str">
        <f t="shared" si="296"/>
        <v>HK</v>
      </c>
      <c r="AI970" s="1680">
        <f t="shared" si="308"/>
        <v>26250000</v>
      </c>
      <c r="AJ970" s="1681">
        <f t="shared" si="298"/>
        <v>26250000</v>
      </c>
      <c r="AK970" s="1682">
        <f t="shared" si="309"/>
        <v>0</v>
      </c>
      <c r="AL970" s="1691" t="str">
        <f t="shared" si="310"/>
        <v>Lunas</v>
      </c>
      <c r="AM970" s="1410"/>
      <c r="AN970" s="1411"/>
      <c r="AO970" s="1410"/>
      <c r="AP970" s="1411"/>
      <c r="AQ970" s="1128"/>
      <c r="AR970" s="1173"/>
      <c r="AT970" s="1173"/>
      <c r="AV970" s="1173"/>
      <c r="AX970" s="1173"/>
      <c r="AY970" s="1176"/>
      <c r="AZ970" s="1173"/>
    </row>
    <row r="971" spans="1:52" s="2" customFormat="1" x14ac:dyDescent="0.25">
      <c r="A971" s="156">
        <v>902</v>
      </c>
      <c r="B971" s="172">
        <v>13</v>
      </c>
      <c r="C971" s="159">
        <v>839115012</v>
      </c>
      <c r="D971" s="158" t="s">
        <v>1437</v>
      </c>
      <c r="E971" s="160" t="s">
        <v>848</v>
      </c>
      <c r="F971" s="161">
        <v>2015</v>
      </c>
      <c r="G971" s="162" t="s">
        <v>33</v>
      </c>
      <c r="H971" s="163">
        <f t="shared" si="306"/>
        <v>42943</v>
      </c>
      <c r="I971" s="163">
        <f t="shared" si="307"/>
        <v>43064</v>
      </c>
      <c r="J971" s="1443">
        <v>1250000</v>
      </c>
      <c r="K971" s="1383">
        <v>42209</v>
      </c>
      <c r="L971" s="1385">
        <v>3000000</v>
      </c>
      <c r="M971" s="1383">
        <v>42209</v>
      </c>
      <c r="N971" s="1385">
        <v>3000000</v>
      </c>
      <c r="O971" s="1383">
        <v>42401</v>
      </c>
      <c r="P971" s="1385">
        <v>3000000</v>
      </c>
      <c r="Q971" s="1383">
        <v>42573</v>
      </c>
      <c r="R971" s="1385">
        <v>3000000</v>
      </c>
      <c r="S971" s="1383">
        <v>42746</v>
      </c>
      <c r="T971" s="1382" t="s">
        <v>1080</v>
      </c>
      <c r="U971" s="1360"/>
      <c r="V971" s="1363"/>
      <c r="W971" s="1563"/>
      <c r="X971" s="1363"/>
      <c r="Y971" s="1563"/>
      <c r="Z971" s="1363"/>
      <c r="AA971" s="1563"/>
      <c r="AB971" s="1385">
        <v>1000000</v>
      </c>
      <c r="AC971" s="1367"/>
      <c r="AD971" s="1666" t="str">
        <f t="shared" si="304"/>
        <v xml:space="preserve">  </v>
      </c>
      <c r="AE971" s="1590" t="str">
        <f t="shared" si="305"/>
        <v xml:space="preserve">  </v>
      </c>
      <c r="AF971" s="2300" t="s">
        <v>1329</v>
      </c>
      <c r="AG971" s="1612"/>
      <c r="AH971" s="1625" t="str">
        <f t="shared" si="296"/>
        <v>HK</v>
      </c>
      <c r="AI971" s="1680">
        <f t="shared" si="308"/>
        <v>14250000</v>
      </c>
      <c r="AJ971" s="1681">
        <f t="shared" si="298"/>
        <v>14250000</v>
      </c>
      <c r="AK971" s="1682">
        <f t="shared" si="309"/>
        <v>0</v>
      </c>
      <c r="AL971" s="1691" t="str">
        <f t="shared" si="310"/>
        <v>Lunas</v>
      </c>
      <c r="AM971" s="1410"/>
      <c r="AN971" s="1411"/>
      <c r="AO971" s="1410"/>
      <c r="AP971" s="1411"/>
      <c r="AQ971" s="1128"/>
      <c r="AR971" s="1173"/>
      <c r="AT971" s="1173"/>
      <c r="AV971" s="1173"/>
      <c r="AX971" s="1173"/>
      <c r="AY971" s="1176"/>
      <c r="AZ971" s="1173"/>
    </row>
    <row r="972" spans="1:52" s="2" customFormat="1" x14ac:dyDescent="0.25">
      <c r="A972" s="240">
        <v>903</v>
      </c>
      <c r="B972" s="368">
        <v>14</v>
      </c>
      <c r="C972" s="243">
        <v>839115013</v>
      </c>
      <c r="D972" s="318" t="s">
        <v>1438</v>
      </c>
      <c r="E972" s="244" t="s">
        <v>61</v>
      </c>
      <c r="F972" s="245" t="s">
        <v>61</v>
      </c>
      <c r="G972" s="170" t="s">
        <v>1077</v>
      </c>
      <c r="H972" s="246" t="str">
        <f t="shared" si="306"/>
        <v xml:space="preserve">   </v>
      </c>
      <c r="I972" s="246" t="str">
        <f t="shared" si="307"/>
        <v xml:space="preserve">   </v>
      </c>
      <c r="J972" s="1715">
        <v>1250000</v>
      </c>
      <c r="K972" s="1716">
        <v>42209</v>
      </c>
      <c r="L972" s="1717">
        <v>3000000</v>
      </c>
      <c r="M972" s="1716">
        <v>42209</v>
      </c>
      <c r="N972" s="1711" t="s">
        <v>1162</v>
      </c>
      <c r="O972" s="1447"/>
      <c r="P972" s="1714"/>
      <c r="Q972" s="1563"/>
      <c r="R972" s="1714"/>
      <c r="S972" s="1563"/>
      <c r="T972" s="1714"/>
      <c r="U972" s="1563"/>
      <c r="V972" s="1714"/>
      <c r="W972" s="1563"/>
      <c r="X972" s="1714"/>
      <c r="Y972" s="1563"/>
      <c r="Z972" s="1714"/>
      <c r="AA972" s="1563"/>
      <c r="AB972" s="1724"/>
      <c r="AC972" s="1445"/>
      <c r="AD972" s="1733" t="str">
        <f t="shared" si="304"/>
        <v xml:space="preserve">  </v>
      </c>
      <c r="AE972" s="1734" t="str">
        <f t="shared" si="305"/>
        <v xml:space="preserve">  </v>
      </c>
      <c r="AF972" s="2301" t="s">
        <v>1329</v>
      </c>
      <c r="AG972" s="1616"/>
      <c r="AH972" s="1625" t="str">
        <f t="shared" si="296"/>
        <v>-</v>
      </c>
      <c r="AI972" s="1746">
        <f t="shared" si="308"/>
        <v>4250000</v>
      </c>
      <c r="AJ972" s="1747">
        <f t="shared" si="298"/>
        <v>4250000</v>
      </c>
      <c r="AK972" s="1748">
        <f t="shared" si="309"/>
        <v>0</v>
      </c>
      <c r="AL972" s="1749" t="s">
        <v>1334</v>
      </c>
      <c r="AM972" s="1410"/>
      <c r="AN972" s="1411"/>
      <c r="AO972" s="1410"/>
      <c r="AP972" s="1411"/>
      <c r="AQ972" s="1128"/>
      <c r="AR972" s="1173"/>
      <c r="AT972" s="1173"/>
      <c r="AV972" s="1173"/>
      <c r="AX972" s="1173"/>
      <c r="AY972" s="1176"/>
      <c r="AZ972" s="1173"/>
    </row>
    <row r="973" spans="1:52" s="4" customFormat="1" x14ac:dyDescent="0.25">
      <c r="A973" s="276"/>
      <c r="B973" s="276"/>
      <c r="C973" s="269"/>
      <c r="D973" s="268"/>
      <c r="E973" s="270" t="s">
        <v>61</v>
      </c>
      <c r="F973" s="267" t="s">
        <v>61</v>
      </c>
      <c r="G973" s="192" t="s">
        <v>61</v>
      </c>
      <c r="H973" s="193" t="str">
        <f t="shared" si="306"/>
        <v xml:space="preserve">   </v>
      </c>
      <c r="I973" s="193" t="str">
        <f t="shared" si="307"/>
        <v xml:space="preserve">   </v>
      </c>
      <c r="J973" s="1528"/>
      <c r="K973" s="1488"/>
      <c r="L973" s="1528"/>
      <c r="M973" s="1488"/>
      <c r="N973" s="1528"/>
      <c r="O973" s="1488"/>
      <c r="P973" s="1528"/>
      <c r="Q973" s="1488"/>
      <c r="R973" s="1528"/>
      <c r="S973" s="1549"/>
      <c r="T973" s="1528"/>
      <c r="U973" s="1488"/>
      <c r="V973" s="1528"/>
      <c r="W973" s="1488"/>
      <c r="X973" s="1437"/>
      <c r="Y973" s="1436"/>
      <c r="Z973" s="1437"/>
      <c r="AA973" s="1436"/>
      <c r="AB973" s="1437"/>
      <c r="AC973" s="1436"/>
      <c r="AD973" s="1810"/>
      <c r="AE973" s="1488"/>
      <c r="AF973" s="1810"/>
      <c r="AG973" s="1488"/>
      <c r="AH973" s="1826"/>
      <c r="AI973" s="1810"/>
      <c r="AJ973" s="1810"/>
      <c r="AK973" s="1810"/>
      <c r="AL973" s="1510"/>
      <c r="AM973" s="1510"/>
      <c r="AN973" s="1511"/>
      <c r="AO973" s="1510"/>
      <c r="AP973" s="1511"/>
      <c r="AQ973" s="1215"/>
      <c r="AR973" s="1216"/>
      <c r="AT973" s="1216"/>
      <c r="AV973" s="1216"/>
      <c r="AX973" s="1216"/>
      <c r="AY973" s="1217"/>
      <c r="AZ973" s="1216"/>
    </row>
    <row r="974" spans="1:52" s="2" customFormat="1" x14ac:dyDescent="0.25">
      <c r="A974" s="194" t="s">
        <v>1439</v>
      </c>
      <c r="B974" s="375"/>
      <c r="C974" s="370"/>
      <c r="D974" s="373"/>
      <c r="E974" s="198" t="s">
        <v>1096</v>
      </c>
      <c r="F974" s="199" t="s">
        <v>1096</v>
      </c>
      <c r="G974" s="146">
        <v>3000000</v>
      </c>
      <c r="H974" s="371" t="str">
        <f t="shared" si="306"/>
        <v xml:space="preserve">   </v>
      </c>
      <c r="I974" s="371" t="str">
        <f t="shared" si="307"/>
        <v xml:space="preserve">   </v>
      </c>
      <c r="J974" s="1450">
        <v>1250000</v>
      </c>
      <c r="K974" s="1529"/>
      <c r="L974" s="1582" t="s">
        <v>1049</v>
      </c>
      <c r="M974" s="1502" t="s">
        <v>1058</v>
      </c>
      <c r="N974" s="1582" t="s">
        <v>1051</v>
      </c>
      <c r="O974" s="1502" t="s">
        <v>1060</v>
      </c>
      <c r="P974" s="1582" t="s">
        <v>1053</v>
      </c>
      <c r="Q974" s="1502" t="s">
        <v>1062</v>
      </c>
      <c r="R974" s="1582" t="s">
        <v>1055</v>
      </c>
      <c r="S974" s="1502" t="s">
        <v>1064</v>
      </c>
      <c r="T974" s="1582" t="s">
        <v>1057</v>
      </c>
      <c r="U974" s="1502" t="s">
        <v>1066</v>
      </c>
      <c r="V974" s="1582" t="s">
        <v>1059</v>
      </c>
      <c r="W974" s="1502" t="s">
        <v>1068</v>
      </c>
      <c r="X974" s="1582" t="s">
        <v>1061</v>
      </c>
      <c r="Y974" s="1502" t="s">
        <v>1141</v>
      </c>
      <c r="Z974" s="1582" t="s">
        <v>1063</v>
      </c>
      <c r="AA974" s="1502" t="s">
        <v>1325</v>
      </c>
      <c r="AB974" s="1450">
        <v>1000000</v>
      </c>
      <c r="AC974" s="1663" t="s">
        <v>1326</v>
      </c>
      <c r="AD974" s="1450">
        <v>500000</v>
      </c>
      <c r="AE974" s="1663" t="s">
        <v>22</v>
      </c>
      <c r="AF974" s="1662"/>
      <c r="AG974" s="1436"/>
      <c r="AH974" s="1408"/>
      <c r="AI974" s="1512"/>
      <c r="AJ974" s="1409"/>
      <c r="AK974" s="1409"/>
      <c r="AL974" s="1513"/>
      <c r="AM974" s="1513"/>
      <c r="AN974" s="1514"/>
      <c r="AO974" s="1513"/>
      <c r="AP974" s="1514"/>
      <c r="AQ974" s="1128"/>
      <c r="AR974" s="1173"/>
      <c r="AT974" s="1173"/>
      <c r="AV974" s="1173"/>
      <c r="AX974" s="1173"/>
      <c r="AY974" s="1176"/>
      <c r="AZ974" s="1173"/>
    </row>
    <row r="975" spans="1:52" s="2" customFormat="1" x14ac:dyDescent="0.25">
      <c r="A975" s="200">
        <v>904</v>
      </c>
      <c r="B975" s="376">
        <v>1</v>
      </c>
      <c r="C975" s="151">
        <v>829115001</v>
      </c>
      <c r="D975" s="356" t="s">
        <v>1440</v>
      </c>
      <c r="E975" s="311" t="s">
        <v>1441</v>
      </c>
      <c r="F975" s="153">
        <v>2015</v>
      </c>
      <c r="G975" s="342" t="s">
        <v>33</v>
      </c>
      <c r="H975" s="163">
        <f t="shared" si="306"/>
        <v>43682</v>
      </c>
      <c r="I975" s="163">
        <f t="shared" si="307"/>
        <v>43818</v>
      </c>
      <c r="J975" s="1701">
        <v>1250000</v>
      </c>
      <c r="K975" s="1704">
        <v>42187</v>
      </c>
      <c r="L975" s="1703">
        <v>3000000</v>
      </c>
      <c r="M975" s="1704">
        <v>42187</v>
      </c>
      <c r="N975" s="1703">
        <v>3000000</v>
      </c>
      <c r="O975" s="1704">
        <v>42405</v>
      </c>
      <c r="P975" s="1703">
        <v>3000000</v>
      </c>
      <c r="Q975" s="1704">
        <v>42573</v>
      </c>
      <c r="R975" s="1701">
        <v>3000000</v>
      </c>
      <c r="S975" s="1704">
        <v>42755</v>
      </c>
      <c r="T975" s="1722">
        <v>3000000</v>
      </c>
      <c r="U975" s="1704">
        <v>42937</v>
      </c>
      <c r="V975" s="1701">
        <v>3000000</v>
      </c>
      <c r="W975" s="1440">
        <v>43643</v>
      </c>
      <c r="X975" s="1703">
        <v>3000000</v>
      </c>
      <c r="Y975" s="1702">
        <v>43643</v>
      </c>
      <c r="Z975" s="1703">
        <v>3000000</v>
      </c>
      <c r="AA975" s="1702">
        <v>43663</v>
      </c>
      <c r="AB975" s="1703">
        <v>1000000</v>
      </c>
      <c r="AC975" s="1452">
        <v>43643</v>
      </c>
      <c r="AD975" s="1666" t="str">
        <f t="shared" ref="AD975:AD986" si="311">IFERROR(VLOOKUP(C975,BSP,3,FALSE),"  ")</f>
        <v xml:space="preserve">  </v>
      </c>
      <c r="AE975" s="1590" t="str">
        <f t="shared" ref="AE975:AE986" si="312">IFERROR((VLOOKUP(C975,BSP,4,FALSE)),"  ")</f>
        <v xml:space="preserve">  </v>
      </c>
      <c r="AF975" s="2300" t="s">
        <v>1329</v>
      </c>
      <c r="AG975" s="1612"/>
      <c r="AH975" s="1625" t="str">
        <f t="shared" ref="AH975:AH986" si="313">E975</f>
        <v>KPI</v>
      </c>
      <c r="AI975" s="1678">
        <f t="shared" ref="AI975" si="314">SUM(J975,L975,N975,P975,R975,T975,V975,X975,Z975,AB975,AD975,AF975)</f>
        <v>26250000</v>
      </c>
      <c r="AJ975" s="1679">
        <f t="shared" ref="AJ975:AJ986" si="315">(COUNT(L975,N975,P975,R975,T975,V975,X975,Z975)*$G$868)+(COUNT(J975)*$J$868)+(COUNT(AB975)*$AB$868)+(COUNT(AD975)*$AD$868)</f>
        <v>26250000</v>
      </c>
      <c r="AK975" s="1419">
        <f t="shared" ref="AK975" si="316">AJ975-AI975</f>
        <v>0</v>
      </c>
      <c r="AL975" s="1420" t="str">
        <f t="shared" ref="AL975" si="317">IF(AK975=0,"Lunas","Cek")</f>
        <v>Lunas</v>
      </c>
      <c r="AM975" s="1410"/>
      <c r="AN975" s="1411"/>
      <c r="AO975" s="1410"/>
      <c r="AP975" s="1411"/>
      <c r="AQ975" s="1128"/>
      <c r="AR975" s="1173"/>
      <c r="AT975" s="1173"/>
      <c r="AV975" s="1173"/>
      <c r="AX975" s="1173"/>
      <c r="AY975" s="1176"/>
      <c r="AZ975" s="1173"/>
    </row>
    <row r="976" spans="1:52" s="2" customFormat="1" x14ac:dyDescent="0.25">
      <c r="A976" s="156">
        <v>905</v>
      </c>
      <c r="B976" s="176">
        <v>2</v>
      </c>
      <c r="C976" s="178">
        <v>829115002</v>
      </c>
      <c r="D976" s="177" t="s">
        <v>1442</v>
      </c>
      <c r="E976" s="179" t="s">
        <v>1441</v>
      </c>
      <c r="F976" s="161">
        <v>2015</v>
      </c>
      <c r="G976" s="162" t="s">
        <v>33</v>
      </c>
      <c r="H976" s="163">
        <f t="shared" si="306"/>
        <v>43677</v>
      </c>
      <c r="I976" s="163">
        <f t="shared" si="307"/>
        <v>43818</v>
      </c>
      <c r="J976" s="1636">
        <v>1250000</v>
      </c>
      <c r="K976" s="1637">
        <v>42192</v>
      </c>
      <c r="L976" s="1480">
        <v>3000000</v>
      </c>
      <c r="M976" s="1637">
        <v>42192</v>
      </c>
      <c r="N976" s="1480">
        <v>3000000</v>
      </c>
      <c r="O976" s="1637">
        <v>42405</v>
      </c>
      <c r="P976" s="1480">
        <v>3000000</v>
      </c>
      <c r="Q976" s="1637">
        <v>42573</v>
      </c>
      <c r="R976" s="1636">
        <v>3000000</v>
      </c>
      <c r="S976" s="1637">
        <v>42755</v>
      </c>
      <c r="T976" s="1431">
        <v>3000000</v>
      </c>
      <c r="U976" s="1637">
        <v>42937</v>
      </c>
      <c r="V976" s="1385">
        <v>3000000</v>
      </c>
      <c r="W976" s="1357">
        <v>43116</v>
      </c>
      <c r="X976" s="1480">
        <v>3000000</v>
      </c>
      <c r="Y976" s="1365">
        <v>43297</v>
      </c>
      <c r="Z976" s="1480">
        <v>3000000</v>
      </c>
      <c r="AA976" s="1365">
        <v>43636</v>
      </c>
      <c r="AB976" s="1480">
        <v>1000000</v>
      </c>
      <c r="AC976" s="1365">
        <v>43641</v>
      </c>
      <c r="AD976" s="1731" t="str">
        <f t="shared" si="311"/>
        <v xml:space="preserve">  </v>
      </c>
      <c r="AE976" s="1367" t="str">
        <f t="shared" si="312"/>
        <v xml:space="preserve">  </v>
      </c>
      <c r="AF976" s="2300" t="s">
        <v>1329</v>
      </c>
      <c r="AG976" s="1612"/>
      <c r="AH976" s="1625" t="str">
        <f t="shared" si="313"/>
        <v>KPI</v>
      </c>
      <c r="AI976" s="1680">
        <f t="shared" ref="AI976:AI986" si="318">SUM(J976,L976,N976,P976,R976,T976,V976,X976,Z976,AB976,AD976,AF976)</f>
        <v>26250000</v>
      </c>
      <c r="AJ976" s="1681">
        <f t="shared" si="315"/>
        <v>26250000</v>
      </c>
      <c r="AK976" s="1682">
        <f t="shared" ref="AK976:AK986" si="319">AJ976-AI976</f>
        <v>0</v>
      </c>
      <c r="AL976" s="1691" t="str">
        <f t="shared" ref="AL976:AL984" si="320">IF(AK976=0,"Lunas","Cek")</f>
        <v>Lunas</v>
      </c>
      <c r="AM976" s="1410"/>
      <c r="AN976" s="1411"/>
      <c r="AO976" s="1410"/>
      <c r="AP976" s="1411"/>
      <c r="AQ976" s="1128"/>
      <c r="AR976" s="1173"/>
      <c r="AT976" s="1173"/>
      <c r="AV976" s="1173"/>
      <c r="AX976" s="1173"/>
      <c r="AY976" s="1176"/>
      <c r="AZ976" s="1173"/>
    </row>
    <row r="977" spans="1:52" s="2" customFormat="1" x14ac:dyDescent="0.25">
      <c r="A977" s="156">
        <v>906</v>
      </c>
      <c r="B977" s="157">
        <v>3</v>
      </c>
      <c r="C977" s="159">
        <v>829115003</v>
      </c>
      <c r="D977" s="158" t="s">
        <v>1443</v>
      </c>
      <c r="E977" s="160" t="s">
        <v>1441</v>
      </c>
      <c r="F977" s="161">
        <v>2015</v>
      </c>
      <c r="G977" s="162" t="s">
        <v>33</v>
      </c>
      <c r="H977" s="163">
        <f t="shared" si="306"/>
        <v>43104</v>
      </c>
      <c r="I977" s="163">
        <f t="shared" si="307"/>
        <v>43218</v>
      </c>
      <c r="J977" s="1443">
        <v>1250000</v>
      </c>
      <c r="K977" s="1383">
        <v>42187</v>
      </c>
      <c r="L977" s="1385">
        <v>3000000</v>
      </c>
      <c r="M977" s="1383">
        <v>42187</v>
      </c>
      <c r="N977" s="1385">
        <v>3000000</v>
      </c>
      <c r="O977" s="1383">
        <v>42405</v>
      </c>
      <c r="P977" s="1385">
        <v>3000000</v>
      </c>
      <c r="Q977" s="1383">
        <v>42573</v>
      </c>
      <c r="R977" s="1443">
        <v>3000000</v>
      </c>
      <c r="S977" s="1383">
        <v>42755</v>
      </c>
      <c r="T977" s="1358">
        <v>3000000</v>
      </c>
      <c r="U977" s="1383">
        <v>42937</v>
      </c>
      <c r="V977" s="1465" t="s">
        <v>1080</v>
      </c>
      <c r="W977" s="1360"/>
      <c r="X977" s="1714"/>
      <c r="Y977" s="1563"/>
      <c r="Z977" s="1714"/>
      <c r="AA977" s="1563"/>
      <c r="AB977" s="1385">
        <v>1000000</v>
      </c>
      <c r="AC977" s="1357">
        <v>42755</v>
      </c>
      <c r="AD977" s="1666" t="str">
        <f t="shared" si="311"/>
        <v xml:space="preserve">  </v>
      </c>
      <c r="AE977" s="1590" t="str">
        <f t="shared" si="312"/>
        <v xml:space="preserve">  </v>
      </c>
      <c r="AF977" s="2300" t="s">
        <v>1329</v>
      </c>
      <c r="AG977" s="1612"/>
      <c r="AH977" s="1625" t="str">
        <f t="shared" si="313"/>
        <v>KPI</v>
      </c>
      <c r="AI977" s="1680">
        <f t="shared" si="318"/>
        <v>17250000</v>
      </c>
      <c r="AJ977" s="1681">
        <f t="shared" si="315"/>
        <v>17250000</v>
      </c>
      <c r="AK977" s="1682">
        <f t="shared" si="319"/>
        <v>0</v>
      </c>
      <c r="AL977" s="1691" t="str">
        <f t="shared" si="320"/>
        <v>Lunas</v>
      </c>
      <c r="AM977" s="1410"/>
      <c r="AN977" s="1411"/>
      <c r="AO977" s="1410"/>
      <c r="AP977" s="1411"/>
      <c r="AQ977" s="1128"/>
      <c r="AR977" s="1173"/>
      <c r="AT977" s="1173"/>
      <c r="AV977" s="1173"/>
      <c r="AX977" s="1173"/>
      <c r="AY977" s="1176"/>
      <c r="AZ977" s="1173"/>
    </row>
    <row r="978" spans="1:52" s="2" customFormat="1" x14ac:dyDescent="0.25">
      <c r="A978" s="234">
        <v>907</v>
      </c>
      <c r="B978" s="305">
        <v>4</v>
      </c>
      <c r="C978" s="304">
        <v>829115004</v>
      </c>
      <c r="D978" s="301" t="s">
        <v>1444</v>
      </c>
      <c r="E978" s="298" t="s">
        <v>1441</v>
      </c>
      <c r="F978" s="299">
        <v>2015</v>
      </c>
      <c r="G978" s="214" t="s">
        <v>1077</v>
      </c>
      <c r="H978" s="265" t="str">
        <f t="shared" si="306"/>
        <v xml:space="preserve">   </v>
      </c>
      <c r="I978" s="265" t="str">
        <f t="shared" si="307"/>
        <v xml:space="preserve">   </v>
      </c>
      <c r="J978" s="1635">
        <v>1250000</v>
      </c>
      <c r="K978" s="1500">
        <v>42144</v>
      </c>
      <c r="L978" s="1389">
        <v>3000000</v>
      </c>
      <c r="M978" s="1500">
        <v>42144</v>
      </c>
      <c r="N978" s="1389"/>
      <c r="O978" s="1500" t="s">
        <v>1445</v>
      </c>
      <c r="P978" s="1389">
        <v>3000000</v>
      </c>
      <c r="Q978" s="1500">
        <v>42573</v>
      </c>
      <c r="R978" s="1653"/>
      <c r="S978" s="1500"/>
      <c r="T978" s="1430"/>
      <c r="U978" s="1500"/>
      <c r="V978" s="1635"/>
      <c r="W978" s="1367"/>
      <c r="X978" s="1714"/>
      <c r="Y978" s="1563"/>
      <c r="Z978" s="1714"/>
      <c r="AA978" s="1563"/>
      <c r="AB978" s="1389"/>
      <c r="AC978" s="1360"/>
      <c r="AD978" s="1666" t="str">
        <f t="shared" si="311"/>
        <v xml:space="preserve">  </v>
      </c>
      <c r="AE978" s="1590" t="str">
        <f t="shared" si="312"/>
        <v xml:space="preserve">  </v>
      </c>
      <c r="AF978" s="2300" t="s">
        <v>1329</v>
      </c>
      <c r="AG978" s="1612"/>
      <c r="AH978" s="1625" t="str">
        <f t="shared" si="313"/>
        <v>KPI</v>
      </c>
      <c r="AI978" s="1688">
        <f t="shared" si="318"/>
        <v>7250000</v>
      </c>
      <c r="AJ978" s="1685">
        <f t="shared" si="315"/>
        <v>7250000</v>
      </c>
      <c r="AK978" s="1686">
        <f t="shared" si="319"/>
        <v>0</v>
      </c>
      <c r="AL978" s="1687" t="s">
        <v>1334</v>
      </c>
      <c r="AM978" s="1410"/>
      <c r="AN978" s="1411"/>
      <c r="AO978" s="1410"/>
      <c r="AP978" s="1411"/>
      <c r="AQ978" s="1128"/>
      <c r="AR978" s="1173"/>
      <c r="AT978" s="1173"/>
      <c r="AV978" s="1173"/>
      <c r="AX978" s="1173"/>
      <c r="AY978" s="1176"/>
      <c r="AZ978" s="1173"/>
    </row>
    <row r="979" spans="1:52" s="2" customFormat="1" x14ac:dyDescent="0.25">
      <c r="A979" s="156">
        <v>908</v>
      </c>
      <c r="B979" s="176">
        <v>5</v>
      </c>
      <c r="C979" s="178">
        <v>829115005</v>
      </c>
      <c r="D979" s="177" t="s">
        <v>1446</v>
      </c>
      <c r="E979" s="275" t="s">
        <v>1441</v>
      </c>
      <c r="F979" s="317">
        <v>2015</v>
      </c>
      <c r="G979" s="162" t="s">
        <v>33</v>
      </c>
      <c r="H979" s="163">
        <f t="shared" si="306"/>
        <v>43573</v>
      </c>
      <c r="I979" s="163">
        <f t="shared" si="307"/>
        <v>43818</v>
      </c>
      <c r="J979" s="1636">
        <v>1250000</v>
      </c>
      <c r="K979" s="1637">
        <v>42188</v>
      </c>
      <c r="L979" s="1480">
        <v>3000000</v>
      </c>
      <c r="M979" s="1637">
        <v>42188</v>
      </c>
      <c r="N979" s="1480">
        <v>3000000</v>
      </c>
      <c r="O979" s="1637">
        <v>42405</v>
      </c>
      <c r="P979" s="1480">
        <v>3000000</v>
      </c>
      <c r="Q979" s="1637">
        <v>42573</v>
      </c>
      <c r="R979" s="1480">
        <v>3000000</v>
      </c>
      <c r="S979" s="1383">
        <v>42755</v>
      </c>
      <c r="T979" s="1431">
        <v>3000000</v>
      </c>
      <c r="U979" s="1637">
        <v>42937</v>
      </c>
      <c r="V979" s="1385">
        <v>3000000</v>
      </c>
      <c r="W979" s="1357">
        <v>43116</v>
      </c>
      <c r="X979" s="1480">
        <v>3000000</v>
      </c>
      <c r="Y979" s="1365">
        <v>43357</v>
      </c>
      <c r="Z979" s="1714"/>
      <c r="AA979" s="1563"/>
      <c r="AB979" s="1480">
        <v>1000000</v>
      </c>
      <c r="AC979" s="1357">
        <v>43747</v>
      </c>
      <c r="AD979" s="1666" t="str">
        <f t="shared" si="311"/>
        <v xml:space="preserve">  </v>
      </c>
      <c r="AE979" s="1590" t="str">
        <f t="shared" si="312"/>
        <v xml:space="preserve">  </v>
      </c>
      <c r="AF979" s="2300" t="s">
        <v>1329</v>
      </c>
      <c r="AG979" s="1612"/>
      <c r="AH979" s="1625" t="str">
        <f t="shared" si="313"/>
        <v>KPI</v>
      </c>
      <c r="AI979" s="1680">
        <f t="shared" si="318"/>
        <v>23250000</v>
      </c>
      <c r="AJ979" s="1681">
        <f t="shared" si="315"/>
        <v>23250000</v>
      </c>
      <c r="AK979" s="1682">
        <f t="shared" si="319"/>
        <v>0</v>
      </c>
      <c r="AL979" s="1691" t="str">
        <f t="shared" si="320"/>
        <v>Lunas</v>
      </c>
      <c r="AM979" s="1410"/>
      <c r="AN979" s="1411"/>
      <c r="AO979" s="1410"/>
      <c r="AP979" s="1411"/>
      <c r="AQ979" s="1128"/>
      <c r="AR979" s="1173"/>
      <c r="AT979" s="1173"/>
      <c r="AV979" s="1173"/>
      <c r="AX979" s="1173"/>
      <c r="AY979" s="1176"/>
      <c r="AZ979" s="1173"/>
    </row>
    <row r="980" spans="1:52" s="2" customFormat="1" x14ac:dyDescent="0.25">
      <c r="A980" s="156">
        <v>909</v>
      </c>
      <c r="B980" s="176">
        <v>6</v>
      </c>
      <c r="C980" s="178">
        <v>829115011</v>
      </c>
      <c r="D980" s="177" t="s">
        <v>1447</v>
      </c>
      <c r="E980" s="179" t="s">
        <v>1441</v>
      </c>
      <c r="F980" s="161">
        <v>2015</v>
      </c>
      <c r="G980" s="162" t="s">
        <v>33</v>
      </c>
      <c r="H980" s="163">
        <f t="shared" si="306"/>
        <v>43677</v>
      </c>
      <c r="I980" s="163">
        <f t="shared" si="307"/>
        <v>43818</v>
      </c>
      <c r="J980" s="1636">
        <v>1250000</v>
      </c>
      <c r="K980" s="1637">
        <v>42223</v>
      </c>
      <c r="L980" s="1480">
        <v>3000000</v>
      </c>
      <c r="M980" s="1637">
        <v>42223</v>
      </c>
      <c r="N980" s="1480">
        <v>3000000</v>
      </c>
      <c r="O980" s="1637">
        <v>42405</v>
      </c>
      <c r="P980" s="1480">
        <v>3000000</v>
      </c>
      <c r="Q980" s="1637">
        <v>42597</v>
      </c>
      <c r="R980" s="1385">
        <v>3000000</v>
      </c>
      <c r="S980" s="1383">
        <v>42845</v>
      </c>
      <c r="T980" s="1358">
        <v>3000000</v>
      </c>
      <c r="U980" s="1357">
        <v>43116</v>
      </c>
      <c r="V980" s="1385">
        <v>3000000</v>
      </c>
      <c r="W980" s="1357">
        <v>43116</v>
      </c>
      <c r="X980" s="1480">
        <v>3000000</v>
      </c>
      <c r="Y980" s="1637">
        <v>43327</v>
      </c>
      <c r="Z980" s="1480">
        <v>3000000</v>
      </c>
      <c r="AA980" s="1365">
        <v>43642</v>
      </c>
      <c r="AB980" s="1480">
        <v>1000000</v>
      </c>
      <c r="AC980" s="1365">
        <v>43642</v>
      </c>
      <c r="AD980" s="1666" t="str">
        <f t="shared" si="311"/>
        <v xml:space="preserve">  </v>
      </c>
      <c r="AE980" s="1590" t="str">
        <f t="shared" si="312"/>
        <v xml:space="preserve">  </v>
      </c>
      <c r="AF980" s="2300" t="s">
        <v>1329</v>
      </c>
      <c r="AG980" s="1612"/>
      <c r="AH980" s="1625" t="str">
        <f t="shared" si="313"/>
        <v>KPI</v>
      </c>
      <c r="AI980" s="1680">
        <f t="shared" si="318"/>
        <v>26250000</v>
      </c>
      <c r="AJ980" s="1681">
        <f t="shared" si="315"/>
        <v>26250000</v>
      </c>
      <c r="AK980" s="1682">
        <f t="shared" si="319"/>
        <v>0</v>
      </c>
      <c r="AL980" s="1691" t="str">
        <f t="shared" si="320"/>
        <v>Lunas</v>
      </c>
      <c r="AM980" s="1410"/>
      <c r="AN980" s="1411"/>
      <c r="AO980" s="1410"/>
      <c r="AP980" s="1411"/>
      <c r="AQ980" s="1128"/>
      <c r="AR980" s="1173"/>
      <c r="AT980" s="1173"/>
      <c r="AV980" s="1173"/>
      <c r="AX980" s="1173"/>
      <c r="AY980" s="1176"/>
      <c r="AZ980" s="1173"/>
    </row>
    <row r="981" spans="1:52" s="2" customFormat="1" x14ac:dyDescent="0.25">
      <c r="A981" s="156">
        <v>910</v>
      </c>
      <c r="B981" s="176">
        <v>6</v>
      </c>
      <c r="C981" s="159">
        <v>829115006</v>
      </c>
      <c r="D981" s="177" t="s">
        <v>1448</v>
      </c>
      <c r="E981" s="346" t="s">
        <v>1441</v>
      </c>
      <c r="F981" s="317">
        <v>2015</v>
      </c>
      <c r="G981" s="162" t="s">
        <v>33</v>
      </c>
      <c r="H981" s="163">
        <f t="shared" si="306"/>
        <v>43566</v>
      </c>
      <c r="I981" s="163">
        <f t="shared" si="307"/>
        <v>43818</v>
      </c>
      <c r="J981" s="1636">
        <v>1250000</v>
      </c>
      <c r="K981" s="1637">
        <v>42188</v>
      </c>
      <c r="L981" s="1480">
        <v>3000000</v>
      </c>
      <c r="M981" s="1637">
        <v>42188</v>
      </c>
      <c r="N981" s="1480">
        <v>3000000</v>
      </c>
      <c r="O981" s="1637">
        <v>42405</v>
      </c>
      <c r="P981" s="1480">
        <v>3000000</v>
      </c>
      <c r="Q981" s="1383">
        <v>42573</v>
      </c>
      <c r="R981" s="1480">
        <v>3000000</v>
      </c>
      <c r="S981" s="1383">
        <v>42755</v>
      </c>
      <c r="T981" s="1358">
        <v>3000000</v>
      </c>
      <c r="U981" s="1383">
        <v>42937</v>
      </c>
      <c r="V981" s="1714"/>
      <c r="W981" s="1563"/>
      <c r="X981" s="1714"/>
      <c r="Y981" s="1563"/>
      <c r="Z981" s="1714"/>
      <c r="AA981" s="1563"/>
      <c r="AB981" s="1389">
        <v>1000000</v>
      </c>
      <c r="AC981" s="1367">
        <v>43754</v>
      </c>
      <c r="AD981" s="1666" t="str">
        <f t="shared" si="311"/>
        <v xml:space="preserve">  </v>
      </c>
      <c r="AE981" s="1590" t="str">
        <f t="shared" si="312"/>
        <v xml:space="preserve">  </v>
      </c>
      <c r="AF981" s="2300" t="s">
        <v>1329</v>
      </c>
      <c r="AG981" s="1612"/>
      <c r="AH981" s="1625" t="str">
        <f t="shared" si="313"/>
        <v>KPI</v>
      </c>
      <c r="AI981" s="1680">
        <f t="shared" si="318"/>
        <v>17250000</v>
      </c>
      <c r="AJ981" s="1681">
        <f t="shared" si="315"/>
        <v>17250000</v>
      </c>
      <c r="AK981" s="1682">
        <f t="shared" si="319"/>
        <v>0</v>
      </c>
      <c r="AL981" s="1691" t="str">
        <f t="shared" si="320"/>
        <v>Lunas</v>
      </c>
      <c r="AM981" s="1410"/>
      <c r="AN981" s="1411"/>
      <c r="AO981" s="1410"/>
      <c r="AP981" s="1411"/>
      <c r="AQ981" s="1128"/>
      <c r="AR981" s="1173"/>
      <c r="AT981" s="1173"/>
      <c r="AV981" s="1173"/>
      <c r="AX981" s="1173"/>
      <c r="AY981" s="1176"/>
      <c r="AZ981" s="1173"/>
    </row>
    <row r="982" spans="1:52" s="2" customFormat="1" x14ac:dyDescent="0.25">
      <c r="A982" s="156">
        <v>911</v>
      </c>
      <c r="B982" s="176">
        <v>8</v>
      </c>
      <c r="C982" s="159">
        <v>829115007</v>
      </c>
      <c r="D982" s="177" t="s">
        <v>1449</v>
      </c>
      <c r="E982" s="275" t="s">
        <v>1441</v>
      </c>
      <c r="F982" s="317">
        <v>2015</v>
      </c>
      <c r="G982" s="162" t="s">
        <v>33</v>
      </c>
      <c r="H982" s="163">
        <f t="shared" si="306"/>
        <v>43573</v>
      </c>
      <c r="I982" s="163">
        <f t="shared" si="307"/>
        <v>43818</v>
      </c>
      <c r="J982" s="1636">
        <v>1250000</v>
      </c>
      <c r="K982" s="1637">
        <v>42188</v>
      </c>
      <c r="L982" s="1480">
        <v>3000000</v>
      </c>
      <c r="M982" s="1637">
        <v>42188</v>
      </c>
      <c r="N982" s="1480">
        <v>3000000</v>
      </c>
      <c r="O982" s="1637">
        <v>42405</v>
      </c>
      <c r="P982" s="1480">
        <v>3000000</v>
      </c>
      <c r="Q982" s="1383">
        <v>42573</v>
      </c>
      <c r="R982" s="1480">
        <v>3000000</v>
      </c>
      <c r="S982" s="1383">
        <v>42755</v>
      </c>
      <c r="T982" s="1358">
        <v>3000000</v>
      </c>
      <c r="U982" s="1383">
        <v>42937</v>
      </c>
      <c r="V982" s="1385">
        <v>3000000</v>
      </c>
      <c r="W982" s="1357">
        <v>43116</v>
      </c>
      <c r="X982" s="1480">
        <v>3000000</v>
      </c>
      <c r="Y982" s="1365">
        <v>43364</v>
      </c>
      <c r="Z982" s="1714"/>
      <c r="AA982" s="1563"/>
      <c r="AB982" s="1480">
        <v>1000000</v>
      </c>
      <c r="AC982" s="1357">
        <v>43766</v>
      </c>
      <c r="AD982" s="1666" t="str">
        <f t="shared" si="311"/>
        <v xml:space="preserve">  </v>
      </c>
      <c r="AE982" s="1590" t="str">
        <f t="shared" si="312"/>
        <v xml:space="preserve">  </v>
      </c>
      <c r="AF982" s="2300" t="s">
        <v>1329</v>
      </c>
      <c r="AG982" s="1612"/>
      <c r="AH982" s="1625" t="str">
        <f t="shared" si="313"/>
        <v>KPI</v>
      </c>
      <c r="AI982" s="1680">
        <f t="shared" si="318"/>
        <v>23250000</v>
      </c>
      <c r="AJ982" s="1681">
        <f t="shared" si="315"/>
        <v>23250000</v>
      </c>
      <c r="AK982" s="1682">
        <f t="shared" si="319"/>
        <v>0</v>
      </c>
      <c r="AL982" s="1691" t="str">
        <f t="shared" si="320"/>
        <v>Lunas</v>
      </c>
      <c r="AM982" s="1410"/>
      <c r="AN982" s="1411"/>
      <c r="AO982" s="1410"/>
      <c r="AP982" s="1411"/>
      <c r="AQ982" s="1128"/>
      <c r="AR982" s="1173"/>
      <c r="AT982" s="1173"/>
      <c r="AV982" s="1173"/>
      <c r="AX982" s="1173"/>
      <c r="AY982" s="1176"/>
      <c r="AZ982" s="1173"/>
    </row>
    <row r="983" spans="1:52" s="2" customFormat="1" x14ac:dyDescent="0.25">
      <c r="A983" s="156">
        <v>912</v>
      </c>
      <c r="B983" s="176">
        <v>9</v>
      </c>
      <c r="C983" s="178">
        <v>829115008</v>
      </c>
      <c r="D983" s="177" t="s">
        <v>1450</v>
      </c>
      <c r="E983" s="179" t="s">
        <v>1441</v>
      </c>
      <c r="F983" s="161">
        <v>2015</v>
      </c>
      <c r="G983" s="162" t="s">
        <v>33</v>
      </c>
      <c r="H983" s="163">
        <f t="shared" si="306"/>
        <v>43682</v>
      </c>
      <c r="I983" s="163" t="str">
        <f t="shared" si="307"/>
        <v xml:space="preserve">   </v>
      </c>
      <c r="J983" s="1636">
        <v>1250000</v>
      </c>
      <c r="K983" s="1637">
        <v>42188</v>
      </c>
      <c r="L983" s="1480">
        <v>3000000</v>
      </c>
      <c r="M983" s="1637">
        <v>42188</v>
      </c>
      <c r="N983" s="1385">
        <v>3000000</v>
      </c>
      <c r="O983" s="1383">
        <v>42405</v>
      </c>
      <c r="P983" s="1480">
        <v>3000000</v>
      </c>
      <c r="Q983" s="1383">
        <v>42573</v>
      </c>
      <c r="R983" s="1480">
        <v>3000000</v>
      </c>
      <c r="S983" s="1383">
        <v>42755</v>
      </c>
      <c r="T983" s="1358">
        <v>3000000</v>
      </c>
      <c r="U983" s="1383">
        <v>42937</v>
      </c>
      <c r="V983" s="1385">
        <v>3000000</v>
      </c>
      <c r="W983" s="1357">
        <v>43116</v>
      </c>
      <c r="X983" s="1480">
        <v>3000000</v>
      </c>
      <c r="Y983" s="1365">
        <v>43641</v>
      </c>
      <c r="Z983" s="1480">
        <v>3000000</v>
      </c>
      <c r="AA983" s="2303" t="s">
        <v>1451</v>
      </c>
      <c r="AB983" s="1480">
        <v>1000000</v>
      </c>
      <c r="AC983" s="1357">
        <v>43641</v>
      </c>
      <c r="AD983" s="1666" t="str">
        <f t="shared" si="311"/>
        <v xml:space="preserve">  </v>
      </c>
      <c r="AE983" s="1590" t="str">
        <f t="shared" si="312"/>
        <v xml:space="preserve">  </v>
      </c>
      <c r="AF983" s="2300" t="s">
        <v>1329</v>
      </c>
      <c r="AG983" s="1612"/>
      <c r="AH983" s="1625" t="str">
        <f t="shared" si="313"/>
        <v>KPI</v>
      </c>
      <c r="AI983" s="1680">
        <f t="shared" si="318"/>
        <v>26250000</v>
      </c>
      <c r="AJ983" s="1681">
        <f t="shared" si="315"/>
        <v>26250000</v>
      </c>
      <c r="AK983" s="1682">
        <f t="shared" si="319"/>
        <v>0</v>
      </c>
      <c r="AL983" s="1691" t="str">
        <f t="shared" si="320"/>
        <v>Lunas</v>
      </c>
      <c r="AM983" s="1410"/>
      <c r="AN983" s="1411"/>
      <c r="AO983" s="1410"/>
      <c r="AP983" s="1411"/>
      <c r="AQ983" s="1128"/>
      <c r="AR983" s="1173"/>
      <c r="AT983" s="1173"/>
      <c r="AV983" s="1173"/>
      <c r="AX983" s="1173"/>
      <c r="AY983" s="1176"/>
      <c r="AZ983" s="1173"/>
    </row>
    <row r="984" spans="1:52" s="2" customFormat="1" x14ac:dyDescent="0.25">
      <c r="A984" s="156">
        <v>913</v>
      </c>
      <c r="B984" s="176">
        <v>10</v>
      </c>
      <c r="C984" s="178">
        <v>829115009</v>
      </c>
      <c r="D984" s="177" t="s">
        <v>1452</v>
      </c>
      <c r="E984" s="179" t="s">
        <v>1441</v>
      </c>
      <c r="F984" s="161">
        <v>2015</v>
      </c>
      <c r="G984" s="162" t="s">
        <v>33</v>
      </c>
      <c r="H984" s="163">
        <f t="shared" si="306"/>
        <v>43677</v>
      </c>
      <c r="I984" s="163">
        <f t="shared" si="307"/>
        <v>44058</v>
      </c>
      <c r="J984" s="1636">
        <v>1250000</v>
      </c>
      <c r="K984" s="1637">
        <v>42209</v>
      </c>
      <c r="L984" s="1480">
        <v>3000000</v>
      </c>
      <c r="M984" s="1637">
        <v>42209</v>
      </c>
      <c r="N984" s="1480">
        <v>3000000</v>
      </c>
      <c r="O984" s="1637">
        <v>42405</v>
      </c>
      <c r="P984" s="1480">
        <v>3000000</v>
      </c>
      <c r="Q984" s="1383">
        <v>42573</v>
      </c>
      <c r="R984" s="1480">
        <v>3000000</v>
      </c>
      <c r="S984" s="1383">
        <v>42755</v>
      </c>
      <c r="T984" s="1358">
        <v>3000000</v>
      </c>
      <c r="U984" s="1383">
        <v>42937</v>
      </c>
      <c r="V984" s="1385">
        <v>3000000</v>
      </c>
      <c r="W984" s="1357">
        <v>43116</v>
      </c>
      <c r="X984" s="1480">
        <v>3000000</v>
      </c>
      <c r="Y984" s="1365">
        <v>43641</v>
      </c>
      <c r="Z984" s="1480">
        <v>3000000</v>
      </c>
      <c r="AA984" s="1365">
        <v>43641</v>
      </c>
      <c r="AB984" s="1480">
        <v>1000000</v>
      </c>
      <c r="AC984" s="1357">
        <v>43641</v>
      </c>
      <c r="AD984" s="1666" t="str">
        <f t="shared" si="311"/>
        <v xml:space="preserve">  </v>
      </c>
      <c r="AE984" s="1590" t="str">
        <f t="shared" si="312"/>
        <v xml:space="preserve">  </v>
      </c>
      <c r="AF984" s="2300" t="s">
        <v>1329</v>
      </c>
      <c r="AG984" s="1612"/>
      <c r="AH984" s="1625" t="str">
        <f t="shared" si="313"/>
        <v>KPI</v>
      </c>
      <c r="AI984" s="1680">
        <f t="shared" si="318"/>
        <v>26250000</v>
      </c>
      <c r="AJ984" s="1681">
        <f t="shared" si="315"/>
        <v>26250000</v>
      </c>
      <c r="AK984" s="1682">
        <f t="shared" si="319"/>
        <v>0</v>
      </c>
      <c r="AL984" s="1691" t="str">
        <f t="shared" si="320"/>
        <v>Lunas</v>
      </c>
      <c r="AM984" s="1410"/>
      <c r="AN984" s="1411"/>
      <c r="AO984" s="1410"/>
      <c r="AP984" s="1411"/>
      <c r="AQ984" s="1128"/>
      <c r="AR984" s="1173"/>
      <c r="AT984" s="1173"/>
      <c r="AV984" s="1173"/>
      <c r="AX984" s="1173"/>
      <c r="AY984" s="1176"/>
      <c r="AZ984" s="1173"/>
    </row>
    <row r="985" spans="1:52" s="2" customFormat="1" x14ac:dyDescent="0.25">
      <c r="A985" s="234">
        <v>914</v>
      </c>
      <c r="B985" s="305">
        <v>11</v>
      </c>
      <c r="C985" s="236">
        <v>829115010</v>
      </c>
      <c r="D985" s="233" t="s">
        <v>1453</v>
      </c>
      <c r="E985" s="1754" t="s">
        <v>1441</v>
      </c>
      <c r="F985" s="299">
        <v>2015</v>
      </c>
      <c r="G985" s="214" t="s">
        <v>1077</v>
      </c>
      <c r="H985" s="265" t="str">
        <f t="shared" si="306"/>
        <v xml:space="preserve">   </v>
      </c>
      <c r="I985" s="265" t="str">
        <f t="shared" si="307"/>
        <v xml:space="preserve">   </v>
      </c>
      <c r="J985" s="1635">
        <v>1250000</v>
      </c>
      <c r="K985" s="1500">
        <v>42209</v>
      </c>
      <c r="L985" s="1389">
        <v>3000000</v>
      </c>
      <c r="M985" s="1500">
        <v>42209</v>
      </c>
      <c r="N985" s="1389">
        <v>3000000</v>
      </c>
      <c r="O985" s="1500">
        <v>42405</v>
      </c>
      <c r="P985" s="1389">
        <v>3000000</v>
      </c>
      <c r="Q985" s="1500">
        <v>42573</v>
      </c>
      <c r="R985" s="1635">
        <v>3000000</v>
      </c>
      <c r="S985" s="1500">
        <v>42755</v>
      </c>
      <c r="T985" s="1363">
        <v>3000000</v>
      </c>
      <c r="U985" s="1367">
        <v>42937</v>
      </c>
      <c r="V985" s="1714">
        <v>3000000</v>
      </c>
      <c r="W985" s="1367">
        <v>43116</v>
      </c>
      <c r="X985" s="1714"/>
      <c r="Y985" s="1563"/>
      <c r="Z985" s="1714"/>
      <c r="AA985" s="1563"/>
      <c r="AB985" s="1714"/>
      <c r="AC985" s="1563"/>
      <c r="AD985" s="1666" t="str">
        <f t="shared" si="311"/>
        <v xml:space="preserve">  </v>
      </c>
      <c r="AE985" s="1590" t="str">
        <f t="shared" si="312"/>
        <v xml:space="preserve">  </v>
      </c>
      <c r="AF985" s="2300" t="s">
        <v>1329</v>
      </c>
      <c r="AG985" s="1612"/>
      <c r="AH985" s="1625" t="str">
        <f t="shared" si="313"/>
        <v>KPI</v>
      </c>
      <c r="AI985" s="1688">
        <f t="shared" si="318"/>
        <v>19250000</v>
      </c>
      <c r="AJ985" s="1685">
        <f t="shared" si="315"/>
        <v>19250000</v>
      </c>
      <c r="AK985" s="1686">
        <f t="shared" si="319"/>
        <v>0</v>
      </c>
      <c r="AL985" s="1687" t="s">
        <v>1334</v>
      </c>
      <c r="AM985" s="1410"/>
      <c r="AN985" s="1411"/>
      <c r="AO985" s="1410"/>
      <c r="AP985" s="1411"/>
      <c r="AQ985" s="1128"/>
      <c r="AR985" s="1173"/>
      <c r="AT985" s="1173"/>
      <c r="AV985" s="1173"/>
      <c r="AX985" s="1173"/>
      <c r="AY985" s="1176"/>
      <c r="AZ985" s="1173"/>
    </row>
    <row r="986" spans="1:52" s="2" customFormat="1" x14ac:dyDescent="0.25">
      <c r="A986" s="240">
        <v>915</v>
      </c>
      <c r="B986" s="1755">
        <v>12</v>
      </c>
      <c r="C986" s="1694">
        <v>829115012</v>
      </c>
      <c r="D986" s="1695" t="s">
        <v>1454</v>
      </c>
      <c r="E986" s="1756" t="s">
        <v>1441</v>
      </c>
      <c r="F986" s="1697">
        <v>2015</v>
      </c>
      <c r="G986" s="214" t="s">
        <v>1077</v>
      </c>
      <c r="H986" s="364" t="str">
        <f t="shared" si="306"/>
        <v xml:space="preserve">   </v>
      </c>
      <c r="I986" s="364" t="str">
        <f t="shared" si="307"/>
        <v xml:space="preserve">   </v>
      </c>
      <c r="J986" s="1705">
        <v>1250000</v>
      </c>
      <c r="K986" s="1501">
        <v>42166</v>
      </c>
      <c r="L986" s="1706">
        <v>3000000</v>
      </c>
      <c r="M986" s="1501">
        <v>42166</v>
      </c>
      <c r="N986" s="1706">
        <v>3000000</v>
      </c>
      <c r="O986" s="1501">
        <v>42405</v>
      </c>
      <c r="P986" s="1706">
        <v>3000000</v>
      </c>
      <c r="Q986" s="1501">
        <v>42573</v>
      </c>
      <c r="R986" s="1705">
        <v>3000000</v>
      </c>
      <c r="S986" s="1501">
        <v>42755</v>
      </c>
      <c r="T986" s="1446">
        <v>3000000</v>
      </c>
      <c r="U986" s="1445">
        <v>42937</v>
      </c>
      <c r="V986" s="1724">
        <v>3000000</v>
      </c>
      <c r="W986" s="1445">
        <v>43116</v>
      </c>
      <c r="X986" s="1706">
        <v>3000000</v>
      </c>
      <c r="Y986" s="1557">
        <v>43297</v>
      </c>
      <c r="Z986" s="1714"/>
      <c r="AA986" s="1563"/>
      <c r="AB986" s="1714"/>
      <c r="AC986" s="1563"/>
      <c r="AD986" s="1733" t="str">
        <f t="shared" si="311"/>
        <v xml:space="preserve">  </v>
      </c>
      <c r="AE986" s="1734" t="str">
        <f t="shared" si="312"/>
        <v xml:space="preserve">  </v>
      </c>
      <c r="AF986" s="2301" t="s">
        <v>1329</v>
      </c>
      <c r="AG986" s="1616"/>
      <c r="AH986" s="1625" t="str">
        <f t="shared" si="313"/>
        <v>KPI</v>
      </c>
      <c r="AI986" s="1746">
        <f t="shared" si="318"/>
        <v>22250000</v>
      </c>
      <c r="AJ986" s="1747">
        <f t="shared" si="315"/>
        <v>22250000</v>
      </c>
      <c r="AK986" s="1748">
        <f t="shared" si="319"/>
        <v>0</v>
      </c>
      <c r="AL986" s="1749" t="s">
        <v>1334</v>
      </c>
      <c r="AM986" s="1410"/>
      <c r="AN986" s="1411"/>
      <c r="AO986" s="1410"/>
      <c r="AP986" s="1411"/>
      <c r="AQ986" s="1128"/>
      <c r="AR986" s="1173"/>
      <c r="AT986" s="1173"/>
      <c r="AV986" s="1173"/>
      <c r="AX986" s="1173"/>
      <c r="AY986" s="1176"/>
      <c r="AZ986" s="1173"/>
    </row>
    <row r="987" spans="1:52" s="4" customFormat="1" x14ac:dyDescent="0.25">
      <c r="A987" s="350"/>
      <c r="B987" s="350"/>
      <c r="C987" s="1692"/>
      <c r="D987" s="187"/>
      <c r="E987" s="352" t="s">
        <v>61</v>
      </c>
      <c r="F987" s="353" t="s">
        <v>61</v>
      </c>
      <c r="G987" s="192" t="s">
        <v>61</v>
      </c>
      <c r="H987" s="193" t="str">
        <f t="shared" si="306"/>
        <v xml:space="preserve">   </v>
      </c>
      <c r="I987" s="193" t="str">
        <f t="shared" si="307"/>
        <v xml:space="preserve">   </v>
      </c>
      <c r="J987" s="1409"/>
      <c r="K987" s="1436"/>
      <c r="L987" s="1409"/>
      <c r="M987" s="1436"/>
      <c r="N987" s="1409"/>
      <c r="O987" s="1436"/>
      <c r="P987" s="1409"/>
      <c r="Q987" s="1436"/>
      <c r="R987" s="1409"/>
      <c r="S987" s="1464"/>
      <c r="T987" s="1409"/>
      <c r="U987" s="1436"/>
      <c r="V987" s="1409"/>
      <c r="W987" s="1436"/>
      <c r="X987" s="1409"/>
      <c r="Y987" s="1436"/>
      <c r="Z987" s="1409"/>
      <c r="AA987" s="1436"/>
      <c r="AB987" s="1409"/>
      <c r="AC987" s="1436"/>
      <c r="AD987" s="1606"/>
      <c r="AE987" s="1436"/>
      <c r="AF987" s="1606"/>
      <c r="AG987" s="1436"/>
      <c r="AH987" s="1826"/>
      <c r="AI987" s="1606"/>
      <c r="AJ987" s="1606"/>
      <c r="AK987" s="1589"/>
      <c r="AL987" s="187"/>
      <c r="AM987" s="1215"/>
      <c r="AN987" s="1743"/>
      <c r="AO987" s="1215"/>
      <c r="AP987" s="1743"/>
      <c r="AQ987" s="1215"/>
      <c r="AR987" s="1216"/>
      <c r="AT987" s="1216"/>
      <c r="AV987" s="1216"/>
      <c r="AX987" s="1216"/>
      <c r="AY987" s="1217"/>
      <c r="AZ987" s="1216"/>
    </row>
    <row r="988" spans="1:52" s="2" customFormat="1" x14ac:dyDescent="0.25">
      <c r="A988" s="194" t="s">
        <v>1455</v>
      </c>
      <c r="B988" s="375"/>
      <c r="C988" s="370"/>
      <c r="D988" s="373"/>
      <c r="E988" s="198" t="s">
        <v>1096</v>
      </c>
      <c r="F988" s="199" t="s">
        <v>1096</v>
      </c>
      <c r="G988" s="146">
        <v>3000000</v>
      </c>
      <c r="H988" s="371" t="str">
        <f t="shared" si="306"/>
        <v xml:space="preserve">   </v>
      </c>
      <c r="I988" s="371" t="str">
        <f t="shared" si="307"/>
        <v xml:space="preserve">   </v>
      </c>
      <c r="J988" s="1450">
        <v>1250000</v>
      </c>
      <c r="K988" s="1529"/>
      <c r="L988" s="1582" t="s">
        <v>1049</v>
      </c>
      <c r="M988" s="1502" t="s">
        <v>1058</v>
      </c>
      <c r="N988" s="1582" t="s">
        <v>1051</v>
      </c>
      <c r="O988" s="1502" t="s">
        <v>1060</v>
      </c>
      <c r="P988" s="1582" t="s">
        <v>1053</v>
      </c>
      <c r="Q988" s="1502" t="s">
        <v>1062</v>
      </c>
      <c r="R988" s="1582" t="s">
        <v>1055</v>
      </c>
      <c r="S988" s="1502" t="s">
        <v>1064</v>
      </c>
      <c r="T988" s="1582" t="s">
        <v>1057</v>
      </c>
      <c r="U988" s="1502" t="s">
        <v>1066</v>
      </c>
      <c r="V988" s="1582" t="s">
        <v>1059</v>
      </c>
      <c r="W988" s="1502" t="s">
        <v>1068</v>
      </c>
      <c r="X988" s="1582" t="s">
        <v>1061</v>
      </c>
      <c r="Y988" s="1502" t="s">
        <v>1141</v>
      </c>
      <c r="Z988" s="1582" t="s">
        <v>1063</v>
      </c>
      <c r="AA988" s="1502" t="s">
        <v>1325</v>
      </c>
      <c r="AB988" s="1450">
        <v>1000000</v>
      </c>
      <c r="AC988" s="1663" t="s">
        <v>1326</v>
      </c>
      <c r="AD988" s="1450">
        <v>500000</v>
      </c>
      <c r="AE988" s="1663" t="s">
        <v>22</v>
      </c>
      <c r="AF988" s="1662"/>
      <c r="AG988" s="1436"/>
      <c r="AH988" s="1408"/>
      <c r="AI988" s="1512"/>
      <c r="AJ988" s="1409"/>
      <c r="AK988" s="1409"/>
      <c r="AL988" s="1513"/>
      <c r="AM988" s="1513"/>
      <c r="AN988" s="1514"/>
      <c r="AO988" s="1513"/>
      <c r="AP988" s="1514"/>
      <c r="AQ988" s="1128"/>
      <c r="AR988" s="1173"/>
      <c r="AT988" s="1173"/>
      <c r="AV988" s="1173"/>
      <c r="AX988" s="1173"/>
      <c r="AY988" s="1176"/>
      <c r="AZ988" s="1173"/>
    </row>
    <row r="989" spans="1:52" s="2" customFormat="1" x14ac:dyDescent="0.25">
      <c r="A989" s="380">
        <v>916</v>
      </c>
      <c r="B989" s="381">
        <v>1</v>
      </c>
      <c r="C989" s="357">
        <v>849415001</v>
      </c>
      <c r="D989" s="356" t="s">
        <v>1456</v>
      </c>
      <c r="E989" s="382" t="s">
        <v>1457</v>
      </c>
      <c r="F989" s="359">
        <v>2015</v>
      </c>
      <c r="G989" s="272" t="s">
        <v>33</v>
      </c>
      <c r="H989" s="163">
        <f t="shared" si="306"/>
        <v>43678</v>
      </c>
      <c r="I989" s="163">
        <f t="shared" si="307"/>
        <v>43750</v>
      </c>
      <c r="J989" s="1701">
        <v>1250000</v>
      </c>
      <c r="K989" s="1704">
        <v>42209</v>
      </c>
      <c r="L989" s="1703">
        <v>3000000</v>
      </c>
      <c r="M989" s="1704">
        <v>42209</v>
      </c>
      <c r="N989" s="1703">
        <v>3000000</v>
      </c>
      <c r="O989" s="1704">
        <v>42389</v>
      </c>
      <c r="P989" s="1703">
        <v>3000000</v>
      </c>
      <c r="Q989" s="1704">
        <v>42572</v>
      </c>
      <c r="R989" s="1703">
        <v>3000000</v>
      </c>
      <c r="S989" s="1704">
        <v>42748</v>
      </c>
      <c r="T989" s="1722">
        <v>3000000</v>
      </c>
      <c r="U989" s="1702">
        <v>43112</v>
      </c>
      <c r="V989" s="1703">
        <v>3000000</v>
      </c>
      <c r="W989" s="1702">
        <v>43112</v>
      </c>
      <c r="X989" s="1703">
        <v>3000000</v>
      </c>
      <c r="Y989" s="1702">
        <v>43535</v>
      </c>
      <c r="Z989" s="1703">
        <v>3000000</v>
      </c>
      <c r="AA989" s="1702">
        <v>43535</v>
      </c>
      <c r="AB989" s="1811">
        <v>1000000</v>
      </c>
      <c r="AC989" s="1452">
        <v>43112</v>
      </c>
      <c r="AD989" s="1666" t="str">
        <f>IFERROR(VLOOKUP(C989,BSP,3,FALSE),"  ")</f>
        <v xml:space="preserve">  </v>
      </c>
      <c r="AE989" s="1590" t="str">
        <f>IFERROR((VLOOKUP(C989,BSP,4,FALSE)),"  ")</f>
        <v xml:space="preserve">  </v>
      </c>
      <c r="AF989" s="2300" t="s">
        <v>1329</v>
      </c>
      <c r="AG989" s="1612"/>
      <c r="AH989" s="1625" t="str">
        <f t="shared" ref="AH989:AH993" si="321">E989</f>
        <v>IPDI</v>
      </c>
      <c r="AI989" s="1678">
        <f t="shared" ref="AI989" si="322">SUM(J989,L989,N989,P989,R989,T989,V989,X989,Z989,AB989,AD989,AF989)</f>
        <v>26250000</v>
      </c>
      <c r="AJ989" s="1679">
        <f>(COUNT(L989,N989,P989,R989,T989,V989,X989,Z989)*$G$868)+(COUNT(J989)*$J$868)+(COUNT(AB989)*$AB$868)+(COUNT(AD989)*$AD$868)</f>
        <v>26250000</v>
      </c>
      <c r="AK989" s="1419">
        <f t="shared" ref="AK989" si="323">AJ989-AI989</f>
        <v>0</v>
      </c>
      <c r="AL989" s="1420" t="str">
        <f t="shared" ref="AL989" si="324">IF(AK989=0,"Lunas","Cek")</f>
        <v>Lunas</v>
      </c>
      <c r="AM989" s="1410"/>
      <c r="AN989" s="1411"/>
      <c r="AO989" s="1410"/>
      <c r="AP989" s="1411"/>
      <c r="AQ989" s="1128"/>
      <c r="AR989" s="1173"/>
      <c r="AT989" s="1173"/>
      <c r="AV989" s="1173"/>
      <c r="AX989" s="1173"/>
      <c r="AY989" s="1176"/>
      <c r="AZ989" s="1173"/>
    </row>
    <row r="990" spans="1:52" s="2" customFormat="1" x14ac:dyDescent="0.25">
      <c r="A990" s="316">
        <v>917</v>
      </c>
      <c r="B990" s="344">
        <v>2</v>
      </c>
      <c r="C990" s="178">
        <v>849415002</v>
      </c>
      <c r="D990" s="177" t="s">
        <v>1458</v>
      </c>
      <c r="E990" s="275" t="s">
        <v>1457</v>
      </c>
      <c r="F990" s="317">
        <v>2015</v>
      </c>
      <c r="G990" s="272" t="s">
        <v>33</v>
      </c>
      <c r="H990" s="163">
        <f t="shared" si="306"/>
        <v>43483</v>
      </c>
      <c r="I990" s="163">
        <f t="shared" si="307"/>
        <v>43587</v>
      </c>
      <c r="J990" s="1636">
        <v>1250000</v>
      </c>
      <c r="K990" s="1637">
        <v>42208</v>
      </c>
      <c r="L990" s="1480">
        <v>3000000</v>
      </c>
      <c r="M990" s="1637">
        <v>42208</v>
      </c>
      <c r="N990" s="1480">
        <v>3000000</v>
      </c>
      <c r="O990" s="1637">
        <v>42396</v>
      </c>
      <c r="P990" s="1480">
        <v>3000000</v>
      </c>
      <c r="Q990" s="1637">
        <v>42572</v>
      </c>
      <c r="R990" s="1480">
        <v>3000000</v>
      </c>
      <c r="S990" s="1637">
        <v>42748</v>
      </c>
      <c r="T990" s="1431">
        <v>3000000</v>
      </c>
      <c r="U990" s="1637">
        <v>43080</v>
      </c>
      <c r="V990" s="1636">
        <v>3000000</v>
      </c>
      <c r="W990" s="1365">
        <v>43112</v>
      </c>
      <c r="X990" s="1480">
        <v>3000000</v>
      </c>
      <c r="Y990" s="1365">
        <v>43390</v>
      </c>
      <c r="Z990" s="1465" t="s">
        <v>1080</v>
      </c>
      <c r="AA990" s="1360"/>
      <c r="AB990" s="1480">
        <v>1000000</v>
      </c>
      <c r="AC990" s="1365">
        <v>43080</v>
      </c>
      <c r="AD990" s="1731" t="str">
        <f>IFERROR(VLOOKUP(C990,BSP,3,FALSE),"  ")</f>
        <v xml:space="preserve">  </v>
      </c>
      <c r="AE990" s="1367" t="str">
        <f>IFERROR((VLOOKUP(C990,BSP,4,FALSE)),"  ")</f>
        <v xml:space="preserve">  </v>
      </c>
      <c r="AF990" s="2300" t="s">
        <v>1329</v>
      </c>
      <c r="AG990" s="1612"/>
      <c r="AH990" s="1625" t="str">
        <f t="shared" si="321"/>
        <v>IPDI</v>
      </c>
      <c r="AI990" s="1680">
        <f t="shared" ref="AI990:AI993" si="325">SUM(J990,L990,N990,P990,R990,T990,V990,X990,Z990,AB990,AD990,AF990)</f>
        <v>23250000</v>
      </c>
      <c r="AJ990" s="1681">
        <f>(COUNT(L990,N990,P990,R990,T990,V990,X990,Z990)*$G$868)+(COUNT(J990)*$J$868)+(COUNT(AB990)*$AB$868)+(COUNT(AD990)*$AD$868)</f>
        <v>23250000</v>
      </c>
      <c r="AK990" s="1682">
        <f t="shared" ref="AK990:AK993" si="326">AJ990-AI990</f>
        <v>0</v>
      </c>
      <c r="AL990" s="1691" t="str">
        <f t="shared" ref="AL990:AL993" si="327">IF(AK990=0,"Lunas","Cek")</f>
        <v>Lunas</v>
      </c>
      <c r="AM990" s="1410"/>
      <c r="AN990" s="1411"/>
      <c r="AO990" s="1410"/>
      <c r="AP990" s="1411"/>
      <c r="AQ990" s="1128"/>
      <c r="AR990" s="1173"/>
      <c r="AT990" s="1173"/>
      <c r="AV990" s="1173"/>
      <c r="AX990" s="1173"/>
      <c r="AY990" s="1176"/>
      <c r="AZ990" s="1173"/>
    </row>
    <row r="991" spans="1:52" s="2" customFormat="1" x14ac:dyDescent="0.25">
      <c r="A991" s="156">
        <v>918</v>
      </c>
      <c r="B991" s="172">
        <v>3</v>
      </c>
      <c r="C991" s="159">
        <v>849415003</v>
      </c>
      <c r="D991" s="158" t="s">
        <v>1459</v>
      </c>
      <c r="E991" s="179" t="s">
        <v>1457</v>
      </c>
      <c r="F991" s="161">
        <v>2015</v>
      </c>
      <c r="G991" s="162" t="s">
        <v>33</v>
      </c>
      <c r="H991" s="163">
        <f t="shared" si="306"/>
        <v>43306</v>
      </c>
      <c r="I991" s="163">
        <f t="shared" si="307"/>
        <v>43440</v>
      </c>
      <c r="J991" s="1443">
        <v>1250000</v>
      </c>
      <c r="K991" s="1383">
        <v>42143</v>
      </c>
      <c r="L991" s="1385">
        <v>3000000</v>
      </c>
      <c r="M991" s="1383">
        <v>42143</v>
      </c>
      <c r="N991" s="1385">
        <v>3000000</v>
      </c>
      <c r="O991" s="1383">
        <v>42401</v>
      </c>
      <c r="P991" s="1385">
        <v>3000000</v>
      </c>
      <c r="Q991" s="1383">
        <v>42573</v>
      </c>
      <c r="R991" s="1385">
        <v>3000000</v>
      </c>
      <c r="S991" s="1383">
        <v>42755</v>
      </c>
      <c r="T991" s="1358">
        <v>3000000</v>
      </c>
      <c r="U991" s="1383">
        <v>43021</v>
      </c>
      <c r="V991" s="1443">
        <v>3000000</v>
      </c>
      <c r="W991" s="1357">
        <v>43276</v>
      </c>
      <c r="X991" s="1465" t="s">
        <v>1080</v>
      </c>
      <c r="Y991" s="1474"/>
      <c r="Z991" s="1430"/>
      <c r="AA991" s="1360"/>
      <c r="AB991" s="1385">
        <v>1000000</v>
      </c>
      <c r="AC991" s="1357">
        <v>43276</v>
      </c>
      <c r="AD991" s="1666" t="str">
        <f>IFERROR(VLOOKUP(C991,BSP,3,FALSE),"  ")</f>
        <v xml:space="preserve">  </v>
      </c>
      <c r="AE991" s="1590" t="str">
        <f>IFERROR((VLOOKUP(C991,BSP,4,FALSE)),"  ")</f>
        <v xml:space="preserve">  </v>
      </c>
      <c r="AF991" s="2300" t="s">
        <v>1329</v>
      </c>
      <c r="AG991" s="1612"/>
      <c r="AH991" s="1625" t="str">
        <f t="shared" si="321"/>
        <v>IPDI</v>
      </c>
      <c r="AI991" s="1680">
        <f t="shared" si="325"/>
        <v>20250000</v>
      </c>
      <c r="AJ991" s="1681">
        <f>(COUNT(L991,N991,P991,R991,T991,V991,X991,Z991)*$G$868)+(COUNT(J991)*$J$868)+(COUNT(AB991)*$AB$868)+(COUNT(AD991)*$AD$868)</f>
        <v>20250000</v>
      </c>
      <c r="AK991" s="1682">
        <f t="shared" si="326"/>
        <v>0</v>
      </c>
      <c r="AL991" s="1691" t="str">
        <f t="shared" si="327"/>
        <v>Lunas</v>
      </c>
      <c r="AM991" s="1410"/>
      <c r="AN991" s="1411"/>
      <c r="AO991" s="1410"/>
      <c r="AP991" s="1411"/>
      <c r="AQ991" s="1128"/>
      <c r="AR991" s="1173"/>
      <c r="AT991" s="1173"/>
      <c r="AV991" s="1173"/>
      <c r="AX991" s="1173"/>
      <c r="AY991" s="1176"/>
      <c r="AZ991" s="1173"/>
    </row>
    <row r="992" spans="1:52" s="2" customFormat="1" x14ac:dyDescent="0.25">
      <c r="A992" s="156">
        <v>919</v>
      </c>
      <c r="B992" s="172">
        <v>4</v>
      </c>
      <c r="C992" s="159">
        <v>849415004</v>
      </c>
      <c r="D992" s="158" t="s">
        <v>1460</v>
      </c>
      <c r="E992" s="160" t="s">
        <v>1457</v>
      </c>
      <c r="F992" s="161">
        <v>2015</v>
      </c>
      <c r="G992" s="162" t="s">
        <v>33</v>
      </c>
      <c r="H992" s="163">
        <f t="shared" si="306"/>
        <v>43006</v>
      </c>
      <c r="I992" s="163">
        <f t="shared" si="307"/>
        <v>43064</v>
      </c>
      <c r="J992" s="1443">
        <v>1250000</v>
      </c>
      <c r="K992" s="1383">
        <v>42119</v>
      </c>
      <c r="L992" s="1385">
        <v>3000000</v>
      </c>
      <c r="M992" s="1383">
        <v>42119</v>
      </c>
      <c r="N992" s="1385">
        <v>3000000</v>
      </c>
      <c r="O992" s="1383">
        <v>42411</v>
      </c>
      <c r="P992" s="1385">
        <v>3000000</v>
      </c>
      <c r="Q992" s="1383">
        <v>42572</v>
      </c>
      <c r="R992" s="1385">
        <v>3000000</v>
      </c>
      <c r="S992" s="1383">
        <v>42752</v>
      </c>
      <c r="T992" s="1358">
        <v>3000000</v>
      </c>
      <c r="U992" s="1357">
        <v>42937</v>
      </c>
      <c r="V992" s="1465" t="s">
        <v>1080</v>
      </c>
      <c r="W992" s="1384"/>
      <c r="X992" s="1430"/>
      <c r="Y992" s="1474"/>
      <c r="Z992" s="1430"/>
      <c r="AA992" s="1360"/>
      <c r="AB992" s="1385">
        <v>1000000</v>
      </c>
      <c r="AC992" s="1357">
        <v>42941</v>
      </c>
      <c r="AD992" s="1666" t="str">
        <f>IFERROR(VLOOKUP(C992,BSP,3,FALSE),"  ")</f>
        <v xml:space="preserve">  </v>
      </c>
      <c r="AE992" s="1590" t="str">
        <f>IFERROR((VLOOKUP(C992,BSP,4,FALSE)),"  ")</f>
        <v xml:space="preserve">  </v>
      </c>
      <c r="AF992" s="2300" t="s">
        <v>1329</v>
      </c>
      <c r="AG992" s="1612"/>
      <c r="AH992" s="1625" t="str">
        <f t="shared" si="321"/>
        <v>IPDI</v>
      </c>
      <c r="AI992" s="1680">
        <f t="shared" si="325"/>
        <v>17250000</v>
      </c>
      <c r="AJ992" s="1681">
        <f>(COUNT(L992,N992,P992,R992,T992,V992,X992,Z992)*$G$868)+(COUNT(J992)*$J$868)+(COUNT(AB992)*$AB$868)+(COUNT(AD992)*$AD$868)</f>
        <v>17250000</v>
      </c>
      <c r="AK992" s="1682">
        <f t="shared" si="326"/>
        <v>0</v>
      </c>
      <c r="AL992" s="1691" t="str">
        <f t="shared" si="327"/>
        <v>Lunas</v>
      </c>
      <c r="AM992" s="1410"/>
      <c r="AN992" s="1411"/>
      <c r="AO992" s="1410"/>
      <c r="AP992" s="1411"/>
      <c r="AQ992" s="1128"/>
      <c r="AR992" s="1173"/>
      <c r="AT992" s="1173"/>
      <c r="AV992" s="1173"/>
      <c r="AX992" s="1173"/>
      <c r="AY992" s="1176"/>
      <c r="AZ992" s="1173"/>
    </row>
    <row r="993" spans="1:54" s="2" customFormat="1" x14ac:dyDescent="0.25">
      <c r="A993" s="180">
        <v>920</v>
      </c>
      <c r="B993" s="348">
        <v>5</v>
      </c>
      <c r="C993" s="183">
        <v>849415005</v>
      </c>
      <c r="D993" s="182" t="s">
        <v>1461</v>
      </c>
      <c r="E993" s="184" t="s">
        <v>1457</v>
      </c>
      <c r="F993" s="185">
        <v>2015</v>
      </c>
      <c r="G993" s="186" t="s">
        <v>33</v>
      </c>
      <c r="H993" s="284">
        <f t="shared" si="306"/>
        <v>43073</v>
      </c>
      <c r="I993" s="284">
        <f t="shared" si="307"/>
        <v>43218</v>
      </c>
      <c r="J993" s="1700">
        <v>1250000</v>
      </c>
      <c r="K993" s="1463">
        <v>42135</v>
      </c>
      <c r="L993" s="1484">
        <v>3000000</v>
      </c>
      <c r="M993" s="1463">
        <v>42135</v>
      </c>
      <c r="N993" s="1484">
        <v>3000000</v>
      </c>
      <c r="O993" s="1463">
        <v>42396</v>
      </c>
      <c r="P993" s="1484">
        <v>3000000</v>
      </c>
      <c r="Q993" s="1463">
        <v>42571</v>
      </c>
      <c r="R993" s="1484">
        <v>3000000</v>
      </c>
      <c r="S993" s="1463">
        <v>42759</v>
      </c>
      <c r="T993" s="1434">
        <v>3000000</v>
      </c>
      <c r="U993" s="1435">
        <v>42937</v>
      </c>
      <c r="V993" s="1552" t="s">
        <v>1080</v>
      </c>
      <c r="W993" s="1782"/>
      <c r="X993" s="1448"/>
      <c r="Y993" s="1720"/>
      <c r="Z993" s="1448"/>
      <c r="AA993" s="1557"/>
      <c r="AB993" s="1484">
        <v>1000000</v>
      </c>
      <c r="AC993" s="1435">
        <v>43060</v>
      </c>
      <c r="AD993" s="1733" t="str">
        <f>IFERROR(VLOOKUP(C993,BSP,3,FALSE),"  ")</f>
        <v xml:space="preserve">  </v>
      </c>
      <c r="AE993" s="1734" t="str">
        <f>IFERROR((VLOOKUP(C993,BSP,4,FALSE)),"  ")</f>
        <v xml:space="preserve">  </v>
      </c>
      <c r="AF993" s="2301" t="s">
        <v>1329</v>
      </c>
      <c r="AG993" s="1616"/>
      <c r="AH993" s="1625" t="str">
        <f t="shared" si="321"/>
        <v>IPDI</v>
      </c>
      <c r="AI993" s="1752">
        <f t="shared" si="325"/>
        <v>17250000</v>
      </c>
      <c r="AJ993" s="1753">
        <f>(COUNT(L993,N993,P993,R993,T993,V993,X993,Z993)*$G$868)+(COUNT(J993)*$J$868)+(COUNT(AB993)*$AB$868)+(COUNT(AD993)*$AD$868)</f>
        <v>17250000</v>
      </c>
      <c r="AK993" s="1741">
        <f t="shared" si="326"/>
        <v>0</v>
      </c>
      <c r="AL993" s="1742" t="str">
        <f t="shared" si="327"/>
        <v>Lunas</v>
      </c>
      <c r="AM993" s="1410"/>
      <c r="AN993" s="1411"/>
      <c r="AO993" s="1410"/>
      <c r="AP993" s="1411"/>
      <c r="AQ993" s="1128"/>
      <c r="AR993" s="1173"/>
      <c r="AS993" s="223"/>
      <c r="AT993" s="1856"/>
      <c r="AU993" s="223"/>
      <c r="AV993" s="1856"/>
      <c r="AW993" s="223"/>
      <c r="AX993" s="1856"/>
      <c r="AY993" s="1897"/>
      <c r="AZ993" s="1856"/>
    </row>
    <row r="994" spans="1:54" s="2" customFormat="1" x14ac:dyDescent="0.25">
      <c r="A994" s="383"/>
      <c r="B994" s="223"/>
      <c r="C994" s="385"/>
      <c r="D994" s="384"/>
      <c r="E994" s="386" t="s">
        <v>61</v>
      </c>
      <c r="F994" s="387" t="s">
        <v>61</v>
      </c>
      <c r="G994" s="192" t="s">
        <v>61</v>
      </c>
      <c r="H994" s="36" t="str">
        <f t="shared" si="306"/>
        <v xml:space="preserve">   </v>
      </c>
      <c r="I994" s="36" t="str">
        <f t="shared" si="307"/>
        <v xml:space="preserve">   </v>
      </c>
      <c r="J994" s="223"/>
      <c r="K994" s="1127"/>
      <c r="L994" s="1769"/>
      <c r="M994" s="1770"/>
      <c r="N994" s="1769"/>
      <c r="O994" s="1770"/>
      <c r="P994" s="1769"/>
      <c r="Q994" s="1770"/>
      <c r="R994" s="1769"/>
      <c r="S994" s="1783"/>
      <c r="T994" s="1769"/>
      <c r="U994" s="1770"/>
      <c r="V994" s="1769"/>
      <c r="W994" s="1348"/>
      <c r="X994" s="1769"/>
      <c r="Y994" s="1127"/>
      <c r="Z994" s="1812"/>
      <c r="AA994" s="1138"/>
      <c r="AB994" s="1437"/>
      <c r="AC994" s="1770"/>
      <c r="AD994" s="414"/>
      <c r="AE994" s="1629"/>
      <c r="AF994" s="414"/>
      <c r="AG994" s="1629"/>
      <c r="AH994" s="1827"/>
      <c r="AI994" s="414"/>
      <c r="AJ994" s="1409"/>
      <c r="AK994" s="1409"/>
      <c r="AL994" s="1513"/>
      <c r="AM994" s="1513"/>
      <c r="AN994" s="1514"/>
      <c r="AO994" s="1513"/>
      <c r="AP994" s="1514"/>
      <c r="AQ994" s="1857"/>
      <c r="AR994" s="1858"/>
      <c r="AS994" s="1859"/>
      <c r="AT994" s="1860"/>
      <c r="AU994" s="1861"/>
      <c r="AV994" s="1862"/>
      <c r="AW994" s="1898"/>
      <c r="AX994" s="1899"/>
      <c r="AY994" s="1900"/>
      <c r="AZ994" s="1901"/>
    </row>
    <row r="995" spans="1:54" s="2" customFormat="1" x14ac:dyDescent="0.25">
      <c r="A995" s="388" t="s">
        <v>1462</v>
      </c>
      <c r="B995" s="389"/>
      <c r="C995" s="391"/>
      <c r="D995" s="390"/>
      <c r="E995" s="392" t="s">
        <v>1096</v>
      </c>
      <c r="F995" s="393" t="s">
        <v>1096</v>
      </c>
      <c r="G995" s="394">
        <v>6000000</v>
      </c>
      <c r="H995" s="371" t="str">
        <f t="shared" ref="H995:H1021" si="328">IFERROR(VLOOKUP(C995,Tlus,3,FALSE),"   ")</f>
        <v xml:space="preserve">   </v>
      </c>
      <c r="I995" s="371" t="str">
        <f t="shared" ref="I995:I1021" si="329">IFERROR(VLOOKUP(C995,Wis,4,FALSE),"   ")</f>
        <v xml:space="preserve">   </v>
      </c>
      <c r="J995" s="1450">
        <v>1250000</v>
      </c>
      <c r="K995" s="1438"/>
      <c r="L995" s="1771" t="s">
        <v>1049</v>
      </c>
      <c r="M995" s="1438" t="s">
        <v>1058</v>
      </c>
      <c r="N995" s="1771" t="s">
        <v>1051</v>
      </c>
      <c r="O995" s="1438" t="s">
        <v>1060</v>
      </c>
      <c r="P995" s="1771" t="s">
        <v>1053</v>
      </c>
      <c r="Q995" s="1438" t="s">
        <v>1062</v>
      </c>
      <c r="R995" s="1771" t="s">
        <v>1055</v>
      </c>
      <c r="S995" s="1438" t="s">
        <v>1064</v>
      </c>
      <c r="T995" s="1771" t="s">
        <v>1057</v>
      </c>
      <c r="U995" s="1438" t="s">
        <v>1066</v>
      </c>
      <c r="V995" s="1771" t="s">
        <v>1059</v>
      </c>
      <c r="W995" s="1438" t="s">
        <v>1068</v>
      </c>
      <c r="X995" s="1771" t="s">
        <v>1061</v>
      </c>
      <c r="Y995" s="1438" t="s">
        <v>1141</v>
      </c>
      <c r="Z995" s="1771" t="s">
        <v>1063</v>
      </c>
      <c r="AA995" s="1438" t="s">
        <v>1325</v>
      </c>
      <c r="AB995" s="1813" t="s">
        <v>1065</v>
      </c>
      <c r="AC995" s="1814" t="s">
        <v>1463</v>
      </c>
      <c r="AD995" s="1815" t="s">
        <v>1067</v>
      </c>
      <c r="AE995" s="1814" t="s">
        <v>1464</v>
      </c>
      <c r="AF995" s="1815" t="s">
        <v>1465</v>
      </c>
      <c r="AG995" s="1814" t="s">
        <v>1466</v>
      </c>
      <c r="AH995" s="1828"/>
      <c r="AI995" s="1512"/>
      <c r="AJ995" s="1409"/>
      <c r="AK995" s="1409"/>
      <c r="AL995" s="1513"/>
      <c r="AM995" s="1815" t="s">
        <v>1467</v>
      </c>
      <c r="AN995" s="1814" t="s">
        <v>1468</v>
      </c>
      <c r="AO995" s="1815" t="s">
        <v>1469</v>
      </c>
      <c r="AP995" s="1814" t="s">
        <v>1470</v>
      </c>
      <c r="AQ995" s="1450" t="s">
        <v>1471</v>
      </c>
      <c r="AR995" s="1863">
        <v>2000000</v>
      </c>
      <c r="AS995" s="1450" t="s">
        <v>1472</v>
      </c>
      <c r="AT995" s="1863">
        <v>1500000</v>
      </c>
      <c r="AU995" s="1450" t="s">
        <v>1473</v>
      </c>
      <c r="AV995" s="1863">
        <v>2000000</v>
      </c>
      <c r="AW995" s="1450" t="s">
        <v>1474</v>
      </c>
      <c r="AX995" s="1863">
        <v>4000000</v>
      </c>
      <c r="AY995" s="1450" t="s">
        <v>1475</v>
      </c>
      <c r="AZ995" s="1863">
        <v>10000000</v>
      </c>
      <c r="BA995" s="1450" t="s">
        <v>22</v>
      </c>
      <c r="BB995" s="1902">
        <v>500000</v>
      </c>
    </row>
    <row r="996" spans="1:54" s="2" customFormat="1" x14ac:dyDescent="0.25">
      <c r="A996" s="148">
        <v>921</v>
      </c>
      <c r="B996" s="395">
        <v>1</v>
      </c>
      <c r="C996" s="462">
        <v>841915001</v>
      </c>
      <c r="D996" s="396" t="s">
        <v>1476</v>
      </c>
      <c r="E996" s="311" t="s">
        <v>1477</v>
      </c>
      <c r="F996" s="397">
        <v>2015</v>
      </c>
      <c r="G996" s="398" t="s">
        <v>33</v>
      </c>
      <c r="H996" s="163">
        <f t="shared" si="328"/>
        <v>43603</v>
      </c>
      <c r="I996" s="163">
        <f t="shared" si="329"/>
        <v>43705</v>
      </c>
      <c r="J996" s="1701">
        <v>1250000</v>
      </c>
      <c r="K996" s="1479">
        <v>42200</v>
      </c>
      <c r="L996" s="1634">
        <v>6000000</v>
      </c>
      <c r="M996" s="1479">
        <v>42200</v>
      </c>
      <c r="N996" s="1634">
        <v>6000000</v>
      </c>
      <c r="O996" s="1479">
        <v>42401</v>
      </c>
      <c r="P996" s="1701">
        <v>6000000</v>
      </c>
      <c r="Q996" s="1704">
        <v>42573</v>
      </c>
      <c r="R996" s="1703">
        <v>6000000</v>
      </c>
      <c r="S996" s="1479">
        <v>42753</v>
      </c>
      <c r="T996" s="1722">
        <v>6000000</v>
      </c>
      <c r="U996" s="1704">
        <v>42936</v>
      </c>
      <c r="V996" s="1784">
        <v>6000000</v>
      </c>
      <c r="W996" s="1785">
        <v>43115</v>
      </c>
      <c r="X996" s="1786">
        <v>6000000</v>
      </c>
      <c r="Y996" s="1785">
        <v>43306</v>
      </c>
      <c r="Z996" s="1786">
        <v>6000000</v>
      </c>
      <c r="AA996" s="1785">
        <v>43483</v>
      </c>
      <c r="AB996" s="1816"/>
      <c r="AC996" s="1817"/>
      <c r="AD996" s="1818"/>
      <c r="AE996" s="1817"/>
      <c r="AF996" s="1818"/>
      <c r="AG996" s="1829"/>
      <c r="AH996" s="1625" t="str">
        <f t="shared" ref="AH996:AH1021" si="330">E996</f>
        <v>MPI-S3</v>
      </c>
      <c r="AI996" s="1830">
        <f>SUM(J996,L996,N996,P996,R996,T996,V996,X996,Z996,AB996,AD996,AF996,AM996,AO996,AQ996,AS996,AU996,AW996,AY996,BA996)</f>
        <v>68750000</v>
      </c>
      <c r="AJ996" s="1831">
        <f t="shared" ref="AJ996:AJ1021" si="331">(COUNT(L996,N996,P996,R996,T996,V996,X996,Z996,AB996,AD996,AF996,AM996,AO996)*$G$995)+(COUNT(J996)*$J$995)+(COUNT(AQ996)*$AR$995)+(COUNT(AS996)*$AT$995)+(COUNT(AU996)*$AV$995)++(COUNT(AW996)*$AX$995)+(COUNT(AY996)*$AZ$995)+(COUNT(BA996)*$BB$995)</f>
        <v>68750000</v>
      </c>
      <c r="AK996" s="1832">
        <f t="shared" ref="AK996" si="332">AJ996-AI996</f>
        <v>0</v>
      </c>
      <c r="AL996" s="1833" t="str">
        <f t="shared" ref="AL996" si="333">IF(AK996=0,"Lunas","Cek")</f>
        <v>Lunas</v>
      </c>
      <c r="AM996" s="1410"/>
      <c r="AN996" s="1411"/>
      <c r="AO996" s="1410"/>
      <c r="AP996" s="1411"/>
      <c r="AQ996" s="1864">
        <v>2000000</v>
      </c>
      <c r="AR996" s="1865">
        <v>43483</v>
      </c>
      <c r="AS996" s="1866">
        <v>1500000</v>
      </c>
      <c r="AT996" s="1867">
        <v>43543</v>
      </c>
      <c r="AU996" s="1868">
        <v>2000000</v>
      </c>
      <c r="AV996" s="1785">
        <v>43483</v>
      </c>
      <c r="AW996" s="1868">
        <v>4000000</v>
      </c>
      <c r="AX996" s="1903">
        <v>43517</v>
      </c>
      <c r="AY996" s="1904">
        <v>10000000</v>
      </c>
      <c r="AZ996" s="1905">
        <v>43578</v>
      </c>
      <c r="BA996" s="1906"/>
      <c r="BB996" s="1870"/>
    </row>
    <row r="997" spans="1:54" s="2" customFormat="1" x14ac:dyDescent="0.25">
      <c r="A997" s="234">
        <v>922</v>
      </c>
      <c r="B997" s="399">
        <v>2</v>
      </c>
      <c r="C997" s="1757">
        <v>841915002</v>
      </c>
      <c r="D997" s="313" t="s">
        <v>1478</v>
      </c>
      <c r="E997" s="237" t="s">
        <v>1477</v>
      </c>
      <c r="F997" s="315">
        <v>2015</v>
      </c>
      <c r="G997" s="214" t="s">
        <v>1077</v>
      </c>
      <c r="H997" s="239" t="str">
        <f t="shared" si="328"/>
        <v xml:space="preserve">   </v>
      </c>
      <c r="I997" s="239" t="str">
        <f t="shared" si="329"/>
        <v xml:space="preserve">   </v>
      </c>
      <c r="J997" s="1772">
        <v>1250000</v>
      </c>
      <c r="K997" s="1604">
        <v>42169</v>
      </c>
      <c r="L997" s="1638">
        <v>6000000</v>
      </c>
      <c r="M997" s="1604">
        <v>42169</v>
      </c>
      <c r="N997" s="1186" t="s">
        <v>1078</v>
      </c>
      <c r="O997" s="1466">
        <v>42402</v>
      </c>
      <c r="P997" s="1186" t="s">
        <v>1078</v>
      </c>
      <c r="Q997" s="1466">
        <v>42578</v>
      </c>
      <c r="R997" s="1711" t="s">
        <v>1162</v>
      </c>
      <c r="S997" s="1500"/>
      <c r="T997" s="1430"/>
      <c r="U997" s="1787"/>
      <c r="V997" s="1389"/>
      <c r="W997" s="1787"/>
      <c r="X997" s="1389"/>
      <c r="Y997" s="1787"/>
      <c r="Z997" s="1389"/>
      <c r="AA997" s="1787"/>
      <c r="AB997" s="1819"/>
      <c r="AC997" s="1360"/>
      <c r="AD997" s="1819"/>
      <c r="AE997" s="1360"/>
      <c r="AF997" s="1389"/>
      <c r="AG997" s="1796"/>
      <c r="AH997" s="1625" t="str">
        <f t="shared" si="330"/>
        <v>MPI-S3</v>
      </c>
      <c r="AI997" s="1834">
        <f t="shared" ref="AI997:AI1021" si="334">SUM(J997,L997,N997,P997,R997,T997,V997,X997,Z997,AB997,AD997,AF997,AM997,AO997,AQ997,AS997,AU997,AW997,AY997,BA997)</f>
        <v>7250000</v>
      </c>
      <c r="AJ997" s="1835">
        <f t="shared" si="331"/>
        <v>7250000</v>
      </c>
      <c r="AK997" s="1836">
        <f t="shared" ref="AK997:AK1021" si="335">AJ997-AI997</f>
        <v>0</v>
      </c>
      <c r="AL997" s="1837" t="str">
        <f t="shared" ref="AL997:AL1021" si="336">IF(AK997=0,"Lunas","Cek")</f>
        <v>Lunas</v>
      </c>
      <c r="AM997" s="1838"/>
      <c r="AN997" s="1839"/>
      <c r="AO997" s="1838"/>
      <c r="AP997" s="1869"/>
      <c r="AQ997" s="1731"/>
      <c r="AR997" s="1870"/>
      <c r="AS997" s="1731"/>
      <c r="AT997" s="1871"/>
      <c r="AU997" s="1872"/>
      <c r="AV997" s="1870"/>
      <c r="AW997" s="1907"/>
      <c r="AX997" s="1870"/>
      <c r="AY997" s="1908"/>
      <c r="AZ997" s="1870"/>
      <c r="BA997" s="1906"/>
      <c r="BB997" s="1885"/>
    </row>
    <row r="998" spans="1:54" s="2" customFormat="1" x14ac:dyDescent="0.25">
      <c r="A998" s="164">
        <v>923</v>
      </c>
      <c r="B998" s="400">
        <v>3</v>
      </c>
      <c r="C998" s="468">
        <v>841915003</v>
      </c>
      <c r="D998" s="401" t="s">
        <v>1479</v>
      </c>
      <c r="E998" s="402" t="s">
        <v>1477</v>
      </c>
      <c r="F998" s="403">
        <v>2015</v>
      </c>
      <c r="G998" s="1758" t="s">
        <v>28</v>
      </c>
      <c r="H998" s="265" t="str">
        <f t="shared" si="328"/>
        <v xml:space="preserve">   </v>
      </c>
      <c r="I998" s="265" t="str">
        <f t="shared" si="329"/>
        <v xml:space="preserve">   </v>
      </c>
      <c r="J998" s="1635">
        <v>1250000</v>
      </c>
      <c r="K998" s="1500">
        <v>42165</v>
      </c>
      <c r="L998" s="1389">
        <v>6000000</v>
      </c>
      <c r="M998" s="1500">
        <v>42165</v>
      </c>
      <c r="N998" s="1389">
        <v>6000000</v>
      </c>
      <c r="O998" s="1500">
        <v>42396</v>
      </c>
      <c r="P998" s="1389">
        <v>6000000</v>
      </c>
      <c r="Q998" s="1500">
        <v>42573</v>
      </c>
      <c r="R998" s="1653">
        <v>0</v>
      </c>
      <c r="S998" s="1500"/>
      <c r="T998" s="1499">
        <v>0</v>
      </c>
      <c r="U998" s="1500"/>
      <c r="V998" s="1635">
        <v>0</v>
      </c>
      <c r="W998" s="1360"/>
      <c r="X998" s="1389">
        <v>0</v>
      </c>
      <c r="Y998" s="1360"/>
      <c r="Z998" s="1389">
        <v>0</v>
      </c>
      <c r="AA998" s="1360"/>
      <c r="AB998" s="1819">
        <v>0</v>
      </c>
      <c r="AC998" s="1360"/>
      <c r="AD998" s="1819">
        <v>0</v>
      </c>
      <c r="AE998" s="1360"/>
      <c r="AF998" s="1819" t="str">
        <f>IFERROR(VLOOKUP(C998,BSP,3,FALSE),"  ")</f>
        <v xml:space="preserve">  </v>
      </c>
      <c r="AG998" s="1360" t="str">
        <f>IFERROR((VLOOKUP(C998,BSP,4,FALSE)),"  ")</f>
        <v xml:space="preserve">  </v>
      </c>
      <c r="AH998" s="1625" t="str">
        <f t="shared" si="330"/>
        <v>MPI-S3</v>
      </c>
      <c r="AI998" s="1840">
        <f t="shared" ref="AI998" si="337">SUM(J998,L998,N998,P998,R998,T998,V998,X998,Z998,AB998,AD998,AF998,AM998,AO998,AQ998,AS998,AU998,AW998,AY998,BA998)</f>
        <v>19250000</v>
      </c>
      <c r="AJ998" s="1841">
        <f t="shared" si="331"/>
        <v>61250000</v>
      </c>
      <c r="AK998" s="1841">
        <f t="shared" ref="AK998" si="338">AJ998-AI998</f>
        <v>42000000</v>
      </c>
      <c r="AL998" s="1837" t="str">
        <f t="shared" si="336"/>
        <v>Cek</v>
      </c>
      <c r="AM998" s="1842"/>
      <c r="AN998" s="1843"/>
      <c r="AO998" s="1842"/>
      <c r="AP998" s="1873"/>
      <c r="AQ998" s="1731"/>
      <c r="AR998" s="1870"/>
      <c r="AS998" s="1731"/>
      <c r="AT998" s="1871"/>
      <c r="AU998" s="1872"/>
      <c r="AV998" s="1870"/>
      <c r="AW998" s="1907"/>
      <c r="AX998" s="1870"/>
      <c r="AY998" s="1908"/>
      <c r="AZ998" s="1870"/>
      <c r="BA998" s="1906"/>
      <c r="BB998" s="1885"/>
    </row>
    <row r="999" spans="1:54" s="2" customFormat="1" x14ac:dyDescent="0.25">
      <c r="A999" s="164">
        <v>924</v>
      </c>
      <c r="B999" s="400">
        <v>4</v>
      </c>
      <c r="C999" s="468">
        <v>841915004</v>
      </c>
      <c r="D999" s="401" t="s">
        <v>1480</v>
      </c>
      <c r="E999" s="402" t="s">
        <v>1477</v>
      </c>
      <c r="F999" s="403">
        <v>2015</v>
      </c>
      <c r="G999" s="1758" t="s">
        <v>28</v>
      </c>
      <c r="H999" s="265" t="str">
        <f t="shared" si="328"/>
        <v xml:space="preserve">   </v>
      </c>
      <c r="I999" s="265" t="str">
        <f t="shared" si="329"/>
        <v xml:space="preserve">   </v>
      </c>
      <c r="J999" s="1635">
        <v>1250000</v>
      </c>
      <c r="K999" s="1500">
        <v>42168</v>
      </c>
      <c r="L999" s="1389">
        <v>6000000</v>
      </c>
      <c r="M999" s="1500">
        <v>42168</v>
      </c>
      <c r="N999" s="1389">
        <v>6000000</v>
      </c>
      <c r="O999" s="1500">
        <v>42412</v>
      </c>
      <c r="P999" s="1773">
        <v>6000000</v>
      </c>
      <c r="Q999" s="1788">
        <v>43791</v>
      </c>
      <c r="R999" s="1186" t="s">
        <v>1078</v>
      </c>
      <c r="S999" s="1466">
        <v>42755</v>
      </c>
      <c r="T999" s="1192" t="s">
        <v>1078</v>
      </c>
      <c r="U999" s="1466">
        <v>42907</v>
      </c>
      <c r="V999" s="1773">
        <v>6000000</v>
      </c>
      <c r="W999" s="1788">
        <v>43791</v>
      </c>
      <c r="X999" s="1773">
        <v>6000000</v>
      </c>
      <c r="Y999" s="1788">
        <v>43791</v>
      </c>
      <c r="Z999" s="1773">
        <v>6000000</v>
      </c>
      <c r="AA999" s="1788">
        <v>43791</v>
      </c>
      <c r="AB999" s="1773">
        <v>6000000</v>
      </c>
      <c r="AC999" s="1788">
        <v>43791</v>
      </c>
      <c r="AD999" s="1773">
        <v>6000000</v>
      </c>
      <c r="AE999" s="1820">
        <v>43911</v>
      </c>
      <c r="AF999" s="1819" t="str">
        <f>IFERROR(VLOOKUP(C999,BSP,3,FALSE),"  ")</f>
        <v xml:space="preserve">  </v>
      </c>
      <c r="AG999" s="1360" t="str">
        <f>IFERROR((VLOOKUP(C999,BSP,4,FALSE)),"  ")</f>
        <v xml:space="preserve">  </v>
      </c>
      <c r="AH999" s="1625" t="str">
        <f t="shared" si="330"/>
        <v>MPI-S3</v>
      </c>
      <c r="AI999" s="1834">
        <f t="shared" si="334"/>
        <v>49250000</v>
      </c>
      <c r="AJ999" s="1835">
        <f t="shared" si="331"/>
        <v>49250000</v>
      </c>
      <c r="AK999" s="1836">
        <f t="shared" si="335"/>
        <v>0</v>
      </c>
      <c r="AL999" s="1837" t="str">
        <f t="shared" si="336"/>
        <v>Lunas</v>
      </c>
      <c r="AM999" s="1842"/>
      <c r="AN999" s="1843"/>
      <c r="AO999" s="1842"/>
      <c r="AP999" s="1873"/>
      <c r="AQ999" s="1731"/>
      <c r="AR999" s="1870"/>
      <c r="AS999" s="1731"/>
      <c r="AT999" s="1871"/>
      <c r="AU999" s="1872"/>
      <c r="AV999" s="1870"/>
      <c r="AW999" s="1907"/>
      <c r="AX999" s="1870"/>
      <c r="AY999" s="1908"/>
      <c r="AZ999" s="1870"/>
      <c r="BA999" s="1906"/>
      <c r="BB999" s="1885"/>
    </row>
    <row r="1000" spans="1:54" s="2" customFormat="1" x14ac:dyDescent="0.25">
      <c r="A1000" s="156">
        <v>925</v>
      </c>
      <c r="B1000" s="406">
        <v>5</v>
      </c>
      <c r="C1000" s="1759">
        <v>841915005</v>
      </c>
      <c r="D1000" s="211" t="s">
        <v>1481</v>
      </c>
      <c r="E1000" s="179" t="s">
        <v>1477</v>
      </c>
      <c r="F1000" s="213">
        <v>2015</v>
      </c>
      <c r="G1000" s="398" t="s">
        <v>33</v>
      </c>
      <c r="H1000" s="163">
        <f t="shared" si="328"/>
        <v>43602</v>
      </c>
      <c r="I1000" s="163">
        <f t="shared" si="329"/>
        <v>43750</v>
      </c>
      <c r="J1000" s="1636">
        <v>1250000</v>
      </c>
      <c r="K1000" s="1637">
        <v>42171</v>
      </c>
      <c r="L1000" s="1480">
        <v>6000000</v>
      </c>
      <c r="M1000" s="1637">
        <v>42171</v>
      </c>
      <c r="N1000" s="1480">
        <v>6000000</v>
      </c>
      <c r="O1000" s="1637">
        <v>42394</v>
      </c>
      <c r="P1000" s="1480">
        <v>6000000</v>
      </c>
      <c r="Q1000" s="1637">
        <v>42573</v>
      </c>
      <c r="R1000" s="1480">
        <v>6000000</v>
      </c>
      <c r="S1000" s="1637">
        <v>42761</v>
      </c>
      <c r="T1000" s="1431">
        <v>6000000</v>
      </c>
      <c r="U1000" s="1637">
        <v>43075</v>
      </c>
      <c r="V1000" s="1789">
        <v>6000000</v>
      </c>
      <c r="W1000" s="1790">
        <v>43125</v>
      </c>
      <c r="X1000" s="1791">
        <v>6000000</v>
      </c>
      <c r="Y1000" s="1799">
        <v>43665</v>
      </c>
      <c r="Z1000" s="1791">
        <v>6000000</v>
      </c>
      <c r="AA1000" s="1799">
        <v>43665</v>
      </c>
      <c r="AB1000" s="1723"/>
      <c r="AC1000" s="1654"/>
      <c r="AD1000" s="1430"/>
      <c r="AE1000" s="1654"/>
      <c r="AF1000" s="1821"/>
      <c r="AG1000" s="1796"/>
      <c r="AH1000" s="1625" t="str">
        <f t="shared" si="330"/>
        <v>MPI-S3</v>
      </c>
      <c r="AI1000" s="1844">
        <f t="shared" si="334"/>
        <v>68750000</v>
      </c>
      <c r="AJ1000" s="1845">
        <f t="shared" si="331"/>
        <v>68750000</v>
      </c>
      <c r="AK1000" s="1845">
        <f t="shared" si="335"/>
        <v>0</v>
      </c>
      <c r="AL1000" s="1846" t="str">
        <f t="shared" si="336"/>
        <v>Lunas</v>
      </c>
      <c r="AM1000" s="1842"/>
      <c r="AN1000" s="1843"/>
      <c r="AO1000" s="1842"/>
      <c r="AP1000" s="1873"/>
      <c r="AQ1000" s="1874">
        <v>2000000</v>
      </c>
      <c r="AR1000" s="1875">
        <v>42933</v>
      </c>
      <c r="AS1000" s="1876">
        <v>1500000</v>
      </c>
      <c r="AT1000" s="1877">
        <v>43192</v>
      </c>
      <c r="AU1000" s="1878">
        <f>1500000+500000</f>
        <v>2000000</v>
      </c>
      <c r="AV1000" s="1879">
        <v>43285</v>
      </c>
      <c r="AW1000" s="1909">
        <v>4000000</v>
      </c>
      <c r="AX1000" s="1882">
        <v>43543</v>
      </c>
      <c r="AY1000" s="1910">
        <v>10000000</v>
      </c>
      <c r="AZ1000" s="1882">
        <v>43584</v>
      </c>
      <c r="BA1000" s="1906"/>
      <c r="BB1000" s="1885"/>
    </row>
    <row r="1001" spans="1:54" s="2" customFormat="1" x14ac:dyDescent="0.25">
      <c r="A1001" s="164">
        <v>926</v>
      </c>
      <c r="B1001" s="400">
        <v>6</v>
      </c>
      <c r="C1001" s="468">
        <v>841915006</v>
      </c>
      <c r="D1001" s="401" t="s">
        <v>1482</v>
      </c>
      <c r="E1001" s="407" t="s">
        <v>1477</v>
      </c>
      <c r="F1001" s="403">
        <v>2015</v>
      </c>
      <c r="G1001" s="360" t="s">
        <v>1483</v>
      </c>
      <c r="H1001" s="408" t="str">
        <f t="shared" si="328"/>
        <v xml:space="preserve">   </v>
      </c>
      <c r="I1001" s="408" t="str">
        <f t="shared" si="329"/>
        <v xml:space="preserve">   </v>
      </c>
      <c r="J1001" s="1635">
        <v>1250000</v>
      </c>
      <c r="K1001" s="1500">
        <v>42186</v>
      </c>
      <c r="L1001" s="1389">
        <v>6000000</v>
      </c>
      <c r="M1001" s="1500">
        <v>42186</v>
      </c>
      <c r="N1001" s="1389">
        <v>6000000</v>
      </c>
      <c r="O1001" s="1774">
        <v>42412</v>
      </c>
      <c r="P1001" s="1389">
        <v>6000000</v>
      </c>
      <c r="Q1001" s="1500"/>
      <c r="R1001" s="1389">
        <v>6000000</v>
      </c>
      <c r="S1001" s="1500"/>
      <c r="T1001" s="1499">
        <v>0</v>
      </c>
      <c r="U1001" s="1500"/>
      <c r="V1001" s="1635">
        <v>0</v>
      </c>
      <c r="W1001" s="1503"/>
      <c r="X1001" s="1389">
        <v>0</v>
      </c>
      <c r="Y1001" s="1360"/>
      <c r="Z1001" s="1773">
        <v>6000000</v>
      </c>
      <c r="AA1001" s="1822">
        <v>43118</v>
      </c>
      <c r="AB1001" s="1823">
        <v>6000000</v>
      </c>
      <c r="AC1001" s="1822">
        <v>43671</v>
      </c>
      <c r="AD1001" s="1823">
        <v>6000000</v>
      </c>
      <c r="AE1001" s="1822">
        <v>43861.426712963003</v>
      </c>
      <c r="AF1001" s="1819">
        <f>IFERROR(VLOOKUP(C1001,BSP,3,FALSE),"  ")</f>
        <v>6000000</v>
      </c>
      <c r="AG1001" s="1360">
        <f>IFERROR((VLOOKUP(C1001,BSP,4,FALSE)),"  ")</f>
        <v>44071.544664351903</v>
      </c>
      <c r="AH1001" s="1625" t="str">
        <f t="shared" si="330"/>
        <v>MPI-S3</v>
      </c>
      <c r="AI1001" s="1834">
        <f t="shared" si="334"/>
        <v>50750000</v>
      </c>
      <c r="AJ1001" s="1835">
        <f t="shared" si="331"/>
        <v>70750000</v>
      </c>
      <c r="AK1001" s="1836">
        <f t="shared" si="335"/>
        <v>20000000</v>
      </c>
      <c r="AL1001" s="1837" t="str">
        <f t="shared" si="336"/>
        <v>Cek</v>
      </c>
      <c r="AM1001" s="1842"/>
      <c r="AN1001" s="1843"/>
      <c r="AO1001" s="1842"/>
      <c r="AP1001" s="1873"/>
      <c r="AQ1001" s="1731">
        <v>0</v>
      </c>
      <c r="AR1001" s="1870"/>
      <c r="AS1001" s="1880">
        <v>1500000</v>
      </c>
      <c r="AT1001" s="1881">
        <v>43644</v>
      </c>
      <c r="AU1001" s="1872"/>
      <c r="AV1001" s="1870"/>
      <c r="AW1001" s="1907"/>
      <c r="AX1001" s="1870"/>
      <c r="AY1001" s="1908"/>
      <c r="AZ1001" s="1870"/>
      <c r="BA1001" s="1906"/>
      <c r="BB1001" s="1885"/>
    </row>
    <row r="1002" spans="1:54" s="2" customFormat="1" x14ac:dyDescent="0.25">
      <c r="A1002" s="156">
        <v>927</v>
      </c>
      <c r="B1002" s="406">
        <v>7</v>
      </c>
      <c r="C1002" s="1759">
        <v>841915007</v>
      </c>
      <c r="D1002" s="211" t="s">
        <v>1484</v>
      </c>
      <c r="E1002" s="179" t="s">
        <v>1477</v>
      </c>
      <c r="F1002" s="213">
        <v>2015</v>
      </c>
      <c r="G1002" s="272" t="s">
        <v>33</v>
      </c>
      <c r="H1002" s="163">
        <f t="shared" si="328"/>
        <v>43734</v>
      </c>
      <c r="I1002" s="163">
        <f t="shared" si="329"/>
        <v>43818</v>
      </c>
      <c r="J1002" s="1636">
        <v>1250000</v>
      </c>
      <c r="K1002" s="1637">
        <v>42192</v>
      </c>
      <c r="L1002" s="1480">
        <v>6000000</v>
      </c>
      <c r="M1002" s="1637">
        <v>42192</v>
      </c>
      <c r="N1002" s="1480">
        <v>6000000</v>
      </c>
      <c r="O1002" s="1637">
        <v>42398</v>
      </c>
      <c r="P1002" s="1480">
        <v>6000000</v>
      </c>
      <c r="Q1002" s="1637">
        <v>42572</v>
      </c>
      <c r="R1002" s="1636">
        <v>6000000</v>
      </c>
      <c r="S1002" s="1383">
        <v>42761</v>
      </c>
      <c r="T1002" s="1431">
        <v>6000000</v>
      </c>
      <c r="U1002" s="1637">
        <v>43017</v>
      </c>
      <c r="V1002" s="1792">
        <v>6000000</v>
      </c>
      <c r="W1002" s="1793">
        <v>43110</v>
      </c>
      <c r="X1002" s="1791">
        <v>6000000</v>
      </c>
      <c r="Y1002" s="1799">
        <v>43339</v>
      </c>
      <c r="Z1002" s="1791">
        <v>6000000</v>
      </c>
      <c r="AA1002" s="1799">
        <v>43493</v>
      </c>
      <c r="AB1002" s="1723"/>
      <c r="AC1002" s="1654"/>
      <c r="AD1002" s="1430"/>
      <c r="AE1002" s="1654"/>
      <c r="AF1002" s="1430"/>
      <c r="AG1002" s="1796"/>
      <c r="AH1002" s="1625" t="str">
        <f t="shared" si="330"/>
        <v>MPI-S3</v>
      </c>
      <c r="AI1002" s="1844">
        <f t="shared" si="334"/>
        <v>68750000</v>
      </c>
      <c r="AJ1002" s="1845">
        <f t="shared" si="331"/>
        <v>68750000</v>
      </c>
      <c r="AK1002" s="1845">
        <f t="shared" si="335"/>
        <v>0</v>
      </c>
      <c r="AL1002" s="1846" t="str">
        <f t="shared" si="336"/>
        <v>Lunas</v>
      </c>
      <c r="AM1002" s="1842"/>
      <c r="AN1002" s="1843"/>
      <c r="AO1002" s="1842"/>
      <c r="AP1002" s="1873"/>
      <c r="AQ1002" s="1876">
        <v>2000000</v>
      </c>
      <c r="AR1002" s="1882">
        <v>43128</v>
      </c>
      <c r="AS1002" s="1883">
        <v>1500000</v>
      </c>
      <c r="AT1002" s="1884">
        <v>43748.5836458333</v>
      </c>
      <c r="AU1002" s="1878">
        <v>2000000</v>
      </c>
      <c r="AV1002" s="1879">
        <v>43480</v>
      </c>
      <c r="AW1002" s="1909">
        <v>4000000</v>
      </c>
      <c r="AX1002" s="1882">
        <v>43616</v>
      </c>
      <c r="AY1002" s="1910">
        <v>10000000</v>
      </c>
      <c r="AZ1002" s="1882">
        <v>43726</v>
      </c>
      <c r="BA1002" s="1906"/>
      <c r="BB1002" s="1885"/>
    </row>
    <row r="1003" spans="1:54" s="2" customFormat="1" x14ac:dyDescent="0.25">
      <c r="A1003" s="164">
        <v>928</v>
      </c>
      <c r="B1003" s="400">
        <v>8</v>
      </c>
      <c r="C1003" s="468">
        <v>841915008</v>
      </c>
      <c r="D1003" s="401" t="s">
        <v>1485</v>
      </c>
      <c r="E1003" s="407" t="s">
        <v>1477</v>
      </c>
      <c r="F1003" s="403">
        <v>2015</v>
      </c>
      <c r="G1003" s="1758" t="s">
        <v>28</v>
      </c>
      <c r="H1003" s="408" t="str">
        <f t="shared" si="328"/>
        <v xml:space="preserve">   </v>
      </c>
      <c r="I1003" s="408" t="str">
        <f t="shared" si="329"/>
        <v xml:space="preserve">   </v>
      </c>
      <c r="J1003" s="1635">
        <v>1250000</v>
      </c>
      <c r="K1003" s="1500">
        <v>42198</v>
      </c>
      <c r="L1003" s="1389">
        <v>6000000</v>
      </c>
      <c r="M1003" s="1500">
        <v>42198</v>
      </c>
      <c r="N1003" s="1389">
        <v>6000000</v>
      </c>
      <c r="O1003" s="1500">
        <v>42398</v>
      </c>
      <c r="P1003" s="1714">
        <v>6000000</v>
      </c>
      <c r="Q1003" s="1500">
        <v>42542</v>
      </c>
      <c r="R1003" s="1635">
        <v>6000000</v>
      </c>
      <c r="S1003" s="1503">
        <v>42761</v>
      </c>
      <c r="T1003" s="1794">
        <v>6000000</v>
      </c>
      <c r="U1003" s="1795">
        <v>43157</v>
      </c>
      <c r="V1003" s="1773">
        <v>6000000</v>
      </c>
      <c r="W1003" s="1795">
        <v>43157</v>
      </c>
      <c r="X1003" s="1222" t="s">
        <v>1078</v>
      </c>
      <c r="Y1003" s="1466">
        <v>43353</v>
      </c>
      <c r="Z1003" s="1773">
        <v>6000000</v>
      </c>
      <c r="AA1003" s="1822">
        <v>43662</v>
      </c>
      <c r="AB1003" s="1823">
        <v>6000000</v>
      </c>
      <c r="AC1003" s="1822">
        <v>43662</v>
      </c>
      <c r="AD1003" s="1819">
        <v>0</v>
      </c>
      <c r="AE1003" s="1360"/>
      <c r="AF1003" s="1819" t="str">
        <f>IFERROR(VLOOKUP(C1003,BSP,3,FALSE),"  ")</f>
        <v xml:space="preserve">  </v>
      </c>
      <c r="AG1003" s="1360" t="str">
        <f>IFERROR((VLOOKUP(C1003,BSP,4,FALSE)),"  ")</f>
        <v xml:space="preserve">  </v>
      </c>
      <c r="AH1003" s="1625" t="str">
        <f t="shared" si="330"/>
        <v>MPI-S3</v>
      </c>
      <c r="AI1003" s="1834">
        <f t="shared" si="334"/>
        <v>52750000</v>
      </c>
      <c r="AJ1003" s="1835">
        <f t="shared" si="331"/>
        <v>58750000</v>
      </c>
      <c r="AK1003" s="1836">
        <f t="shared" si="335"/>
        <v>6000000</v>
      </c>
      <c r="AL1003" s="1837" t="str">
        <f t="shared" si="336"/>
        <v>Cek</v>
      </c>
      <c r="AM1003" s="1842"/>
      <c r="AN1003" s="1843"/>
      <c r="AO1003" s="1842"/>
      <c r="AP1003" s="1873"/>
      <c r="AQ1003" s="1880">
        <v>2000000</v>
      </c>
      <c r="AR1003" s="1885">
        <v>43157</v>
      </c>
      <c r="AS1003" s="1880">
        <v>1500000</v>
      </c>
      <c r="AT1003" s="1881">
        <v>43662</v>
      </c>
      <c r="AU1003" s="1872"/>
      <c r="AV1003" s="1870"/>
      <c r="AW1003" s="1907"/>
      <c r="AX1003" s="1870"/>
      <c r="AY1003" s="1908"/>
      <c r="AZ1003" s="1870"/>
      <c r="BA1003" s="1906"/>
      <c r="BB1003" s="1885"/>
    </row>
    <row r="1004" spans="1:54" s="2" customFormat="1" x14ac:dyDescent="0.25">
      <c r="A1004" s="156">
        <v>929</v>
      </c>
      <c r="B1004" s="406">
        <v>9</v>
      </c>
      <c r="C1004" s="468">
        <v>841915009</v>
      </c>
      <c r="D1004" s="211" t="s">
        <v>1486</v>
      </c>
      <c r="E1004" s="407" t="s">
        <v>1477</v>
      </c>
      <c r="F1004" s="403">
        <v>2015</v>
      </c>
      <c r="G1004" s="398" t="s">
        <v>33</v>
      </c>
      <c r="H1004" s="284">
        <f t="shared" si="328"/>
        <v>43543</v>
      </c>
      <c r="I1004" s="284">
        <f t="shared" si="329"/>
        <v>43587</v>
      </c>
      <c r="J1004" s="1635">
        <v>1250000</v>
      </c>
      <c r="K1004" s="1500">
        <v>42191</v>
      </c>
      <c r="L1004" s="1389">
        <v>6000000</v>
      </c>
      <c r="M1004" s="1500">
        <v>42191</v>
      </c>
      <c r="N1004" s="1389">
        <v>6000000</v>
      </c>
      <c r="O1004" s="1500">
        <v>42401</v>
      </c>
      <c r="P1004" s="1389">
        <v>6000000</v>
      </c>
      <c r="Q1004" s="1500">
        <v>42576</v>
      </c>
      <c r="R1004" s="1389">
        <v>6000000</v>
      </c>
      <c r="S1004" s="1500">
        <v>42933</v>
      </c>
      <c r="T1004" s="1430">
        <v>6000000</v>
      </c>
      <c r="U1004" s="1503">
        <v>42933</v>
      </c>
      <c r="V1004" s="1773">
        <v>6000000</v>
      </c>
      <c r="W1004" s="1788">
        <v>43123</v>
      </c>
      <c r="X1004" s="1773">
        <v>6000000</v>
      </c>
      <c r="Y1004" s="1822">
        <v>43437</v>
      </c>
      <c r="Z1004" s="1389">
        <v>0</v>
      </c>
      <c r="AA1004" s="1360"/>
      <c r="AB1004" s="1723"/>
      <c r="AC1004" s="1796"/>
      <c r="AD1004" s="1723"/>
      <c r="AE1004" s="1796"/>
      <c r="AF1004" s="1389"/>
      <c r="AG1004" s="1796"/>
      <c r="AH1004" s="1625" t="str">
        <f t="shared" si="330"/>
        <v>MPI-S3</v>
      </c>
      <c r="AI1004" s="1844">
        <f t="shared" si="334"/>
        <v>46750000</v>
      </c>
      <c r="AJ1004" s="1845">
        <f t="shared" si="331"/>
        <v>52750000</v>
      </c>
      <c r="AK1004" s="1836">
        <f t="shared" si="335"/>
        <v>6000000</v>
      </c>
      <c r="AL1004" s="1837" t="str">
        <f t="shared" si="336"/>
        <v>Cek</v>
      </c>
      <c r="AM1004" s="1842"/>
      <c r="AN1004" s="1843"/>
      <c r="AO1004" s="1842"/>
      <c r="AP1004" s="1873"/>
      <c r="AQ1004" s="1731">
        <v>2000000</v>
      </c>
      <c r="AR1004" s="1870">
        <v>42933</v>
      </c>
      <c r="AS1004" s="1880">
        <v>1500000</v>
      </c>
      <c r="AT1004" s="1881">
        <v>43544</v>
      </c>
      <c r="AU1004" s="1731"/>
      <c r="AV1004" s="1870"/>
      <c r="AW1004" s="1731"/>
      <c r="AX1004" s="1870"/>
      <c r="AY1004" s="1908"/>
      <c r="AZ1004" s="1870"/>
      <c r="BA1004" s="1906"/>
      <c r="BB1004" s="1885"/>
    </row>
    <row r="1005" spans="1:54" s="2" customFormat="1" x14ac:dyDescent="0.25">
      <c r="A1005" s="234">
        <v>930</v>
      </c>
      <c r="B1005" s="399">
        <v>10</v>
      </c>
      <c r="C1005" s="1760">
        <v>841915010</v>
      </c>
      <c r="D1005" s="313" t="s">
        <v>1487</v>
      </c>
      <c r="E1005" s="237" t="s">
        <v>1477</v>
      </c>
      <c r="F1005" s="315">
        <v>2015</v>
      </c>
      <c r="G1005" s="214" t="s">
        <v>1077</v>
      </c>
      <c r="H1005" s="239" t="str">
        <f t="shared" si="328"/>
        <v xml:space="preserve">   </v>
      </c>
      <c r="I1005" s="239" t="str">
        <f t="shared" si="329"/>
        <v xml:space="preserve">   </v>
      </c>
      <c r="J1005" s="1772">
        <v>1250000</v>
      </c>
      <c r="K1005" s="1604">
        <v>42200</v>
      </c>
      <c r="L1005" s="1698">
        <v>6000000</v>
      </c>
      <c r="M1005" s="1604">
        <v>42200</v>
      </c>
      <c r="N1005" s="1711" t="s">
        <v>1162</v>
      </c>
      <c r="O1005" s="1503"/>
      <c r="P1005" s="1389"/>
      <c r="Q1005" s="1796"/>
      <c r="R1005" s="1389"/>
      <c r="S1005" s="1796"/>
      <c r="T1005" s="1389"/>
      <c r="U1005" s="1796"/>
      <c r="V1005" s="1389"/>
      <c r="W1005" s="1796"/>
      <c r="X1005" s="1389"/>
      <c r="Y1005" s="1796"/>
      <c r="Z1005" s="1389"/>
      <c r="AA1005" s="1796"/>
      <c r="AB1005" s="1819"/>
      <c r="AC1005" s="1360"/>
      <c r="AD1005" s="1819"/>
      <c r="AE1005" s="1360"/>
      <c r="AF1005" s="1389"/>
      <c r="AG1005" s="1796"/>
      <c r="AH1005" s="1625" t="str">
        <f t="shared" si="330"/>
        <v>MPI-S3</v>
      </c>
      <c r="AI1005" s="1840">
        <f t="shared" si="334"/>
        <v>7250000</v>
      </c>
      <c r="AJ1005" s="1841">
        <f t="shared" si="331"/>
        <v>7250000</v>
      </c>
      <c r="AK1005" s="1841">
        <f t="shared" si="335"/>
        <v>0</v>
      </c>
      <c r="AL1005" s="1837" t="str">
        <f t="shared" si="336"/>
        <v>Lunas</v>
      </c>
      <c r="AM1005" s="1842"/>
      <c r="AN1005" s="1843"/>
      <c r="AO1005" s="1842"/>
      <c r="AP1005" s="1873"/>
      <c r="AQ1005" s="1731"/>
      <c r="AR1005" s="1870"/>
      <c r="AS1005" s="1731"/>
      <c r="AT1005" s="1871"/>
      <c r="AU1005" s="1731"/>
      <c r="AV1005" s="1870"/>
      <c r="AW1005" s="1731"/>
      <c r="AX1005" s="1870"/>
      <c r="AY1005" s="1906"/>
      <c r="AZ1005" s="1870"/>
      <c r="BA1005" s="1906"/>
      <c r="BB1005" s="1885"/>
    </row>
    <row r="1006" spans="1:54" s="2" customFormat="1" x14ac:dyDescent="0.25">
      <c r="A1006" s="156">
        <v>931</v>
      </c>
      <c r="B1006" s="406">
        <v>11</v>
      </c>
      <c r="C1006" s="466">
        <v>841915011</v>
      </c>
      <c r="D1006" s="211" t="s">
        <v>1488</v>
      </c>
      <c r="E1006" s="160" t="s">
        <v>1477</v>
      </c>
      <c r="F1006" s="213">
        <v>2015</v>
      </c>
      <c r="G1006" s="398" t="s">
        <v>33</v>
      </c>
      <c r="H1006" s="163">
        <f t="shared" si="328"/>
        <v>44062</v>
      </c>
      <c r="I1006" s="163">
        <f t="shared" si="329"/>
        <v>44186</v>
      </c>
      <c r="J1006" s="1636">
        <v>1250000</v>
      </c>
      <c r="K1006" s="1637">
        <v>42187</v>
      </c>
      <c r="L1006" s="1480">
        <v>6000000</v>
      </c>
      <c r="M1006" s="1637">
        <v>42187</v>
      </c>
      <c r="N1006" s="1480">
        <v>6000000</v>
      </c>
      <c r="O1006" s="1637">
        <v>42390</v>
      </c>
      <c r="P1006" s="1480">
        <v>6000000</v>
      </c>
      <c r="Q1006" s="1637">
        <v>42573</v>
      </c>
      <c r="R1006" s="1480">
        <v>6000000</v>
      </c>
      <c r="S1006" s="1637">
        <v>42761</v>
      </c>
      <c r="T1006" s="1431">
        <v>6000000</v>
      </c>
      <c r="U1006" s="1637">
        <v>43061</v>
      </c>
      <c r="V1006" s="1797">
        <v>6000000</v>
      </c>
      <c r="W1006" s="1798">
        <v>43112</v>
      </c>
      <c r="X1006" s="1791">
        <v>6000000</v>
      </c>
      <c r="Y1006" s="1799">
        <v>43858.345509259299</v>
      </c>
      <c r="Z1006" s="1791">
        <v>6000000</v>
      </c>
      <c r="AA1006" s="1799">
        <v>43858.345509259299</v>
      </c>
      <c r="AB1006" s="1791">
        <v>6000000</v>
      </c>
      <c r="AC1006" s="1799">
        <v>43858.345509259299</v>
      </c>
      <c r="AD1006" s="1791">
        <v>6000000</v>
      </c>
      <c r="AE1006" s="1799">
        <v>43858.345509259299</v>
      </c>
      <c r="AF1006" s="1389"/>
      <c r="AG1006" s="1796"/>
      <c r="AH1006" s="1625" t="str">
        <f t="shared" si="330"/>
        <v>MPI-S3</v>
      </c>
      <c r="AI1006" s="1834">
        <f t="shared" si="334"/>
        <v>80750000</v>
      </c>
      <c r="AJ1006" s="1835">
        <f t="shared" si="331"/>
        <v>80750000</v>
      </c>
      <c r="AK1006" s="1836">
        <f t="shared" si="335"/>
        <v>0</v>
      </c>
      <c r="AL1006" s="1837" t="str">
        <f t="shared" si="336"/>
        <v>Lunas</v>
      </c>
      <c r="AM1006" s="1842"/>
      <c r="AN1006" s="1843"/>
      <c r="AO1006" s="1842"/>
      <c r="AP1006" s="1873"/>
      <c r="AQ1006" s="1731">
        <v>2000000</v>
      </c>
      <c r="AR1006" s="1870">
        <v>42933</v>
      </c>
      <c r="AS1006" s="1731">
        <v>1500000</v>
      </c>
      <c r="AT1006" s="1886">
        <v>43122</v>
      </c>
      <c r="AU1006" s="1880">
        <v>2000000</v>
      </c>
      <c r="AV1006" s="1885">
        <v>43861.8889583333</v>
      </c>
      <c r="AW1006" s="1880">
        <v>4000000</v>
      </c>
      <c r="AX1006" s="1885">
        <v>43948</v>
      </c>
      <c r="AY1006" s="1910">
        <v>10000000</v>
      </c>
      <c r="AZ1006" s="1885">
        <v>44000</v>
      </c>
      <c r="BA1006" s="1906"/>
      <c r="BB1006" s="1885"/>
    </row>
    <row r="1007" spans="1:54" s="2" customFormat="1" x14ac:dyDescent="0.25">
      <c r="A1007" s="164">
        <v>932</v>
      </c>
      <c r="B1007" s="406">
        <v>12</v>
      </c>
      <c r="C1007" s="1759">
        <v>841915013</v>
      </c>
      <c r="D1007" s="211" t="s">
        <v>1489</v>
      </c>
      <c r="E1007" s="160" t="s">
        <v>1477</v>
      </c>
      <c r="F1007" s="213">
        <v>2015</v>
      </c>
      <c r="G1007" s="398" t="s">
        <v>33</v>
      </c>
      <c r="H1007" s="163">
        <f t="shared" si="328"/>
        <v>43978</v>
      </c>
      <c r="I1007" s="163">
        <f t="shared" si="329"/>
        <v>44058</v>
      </c>
      <c r="J1007" s="1636">
        <v>1250000</v>
      </c>
      <c r="K1007" s="1637">
        <v>42194</v>
      </c>
      <c r="L1007" s="1480">
        <v>6000000</v>
      </c>
      <c r="M1007" s="1637">
        <v>42194</v>
      </c>
      <c r="N1007" s="1186" t="s">
        <v>1078</v>
      </c>
      <c r="O1007" s="1466">
        <v>42405</v>
      </c>
      <c r="P1007" s="1480">
        <v>6000000</v>
      </c>
      <c r="Q1007" s="1383">
        <v>42605</v>
      </c>
      <c r="R1007" s="1480">
        <v>6000000</v>
      </c>
      <c r="S1007" s="1637"/>
      <c r="T1007" s="1431">
        <v>6000000</v>
      </c>
      <c r="U1007" s="1637">
        <v>42948</v>
      </c>
      <c r="V1007" s="1797">
        <v>6000000</v>
      </c>
      <c r="W1007" s="1799">
        <v>43138</v>
      </c>
      <c r="X1007" s="1222" t="s">
        <v>1078</v>
      </c>
      <c r="Y1007" s="1466">
        <v>43353</v>
      </c>
      <c r="Z1007" s="1791">
        <v>6000000</v>
      </c>
      <c r="AA1007" s="1799">
        <v>43117</v>
      </c>
      <c r="AB1007" s="1824">
        <v>6000000</v>
      </c>
      <c r="AC1007" s="1799">
        <v>43801.403298611098</v>
      </c>
      <c r="AD1007" s="1824">
        <v>6000000</v>
      </c>
      <c r="AE1007" s="1365">
        <v>43963</v>
      </c>
      <c r="AF1007" s="1389"/>
      <c r="AG1007" s="1796"/>
      <c r="AH1007" s="1625" t="str">
        <f t="shared" si="330"/>
        <v>MPI-S3</v>
      </c>
      <c r="AI1007" s="1844">
        <f t="shared" si="334"/>
        <v>69250000</v>
      </c>
      <c r="AJ1007" s="1845">
        <f t="shared" si="331"/>
        <v>69250000</v>
      </c>
      <c r="AK1007" s="1845">
        <f t="shared" si="335"/>
        <v>0</v>
      </c>
      <c r="AL1007" s="1846" t="str">
        <f t="shared" si="336"/>
        <v>Lunas</v>
      </c>
      <c r="AM1007" s="1842"/>
      <c r="AN1007" s="1843"/>
      <c r="AO1007" s="1842"/>
      <c r="AP1007" s="1873"/>
      <c r="AQ1007" s="1876">
        <v>2000000</v>
      </c>
      <c r="AR1007" s="1882">
        <v>43138</v>
      </c>
      <c r="AS1007" s="1876">
        <v>1500000</v>
      </c>
      <c r="AT1007" s="1877">
        <v>43550</v>
      </c>
      <c r="AU1007" s="1876">
        <v>2000000</v>
      </c>
      <c r="AV1007" s="1799">
        <v>43801.403298611098</v>
      </c>
      <c r="AW1007" s="1883">
        <v>4000000</v>
      </c>
      <c r="AX1007" s="1887">
        <v>43941</v>
      </c>
      <c r="AY1007" s="1910">
        <v>10000000</v>
      </c>
      <c r="AZ1007" s="1887">
        <v>43963</v>
      </c>
      <c r="BA1007" s="1911">
        <v>500000</v>
      </c>
      <c r="BB1007" s="1879">
        <v>44020</v>
      </c>
    </row>
    <row r="1008" spans="1:54" s="2" customFormat="1" x14ac:dyDescent="0.25">
      <c r="A1008" s="164">
        <v>933</v>
      </c>
      <c r="B1008" s="400">
        <v>13</v>
      </c>
      <c r="C1008" s="468">
        <v>841915014</v>
      </c>
      <c r="D1008" s="401" t="s">
        <v>1490</v>
      </c>
      <c r="E1008" s="402" t="s">
        <v>1477</v>
      </c>
      <c r="F1008" s="403">
        <v>2015</v>
      </c>
      <c r="G1008" s="1758" t="s">
        <v>28</v>
      </c>
      <c r="H1008" s="265" t="str">
        <f t="shared" si="328"/>
        <v xml:space="preserve">   </v>
      </c>
      <c r="I1008" s="265" t="str">
        <f t="shared" si="329"/>
        <v xml:space="preserve">   </v>
      </c>
      <c r="J1008" s="1635">
        <v>1250000</v>
      </c>
      <c r="K1008" s="1500">
        <v>42159</v>
      </c>
      <c r="L1008" s="1389">
        <v>6000000</v>
      </c>
      <c r="M1008" s="1500">
        <v>42159</v>
      </c>
      <c r="N1008" s="1775">
        <v>6000000</v>
      </c>
      <c r="O1008" s="1503">
        <v>42421</v>
      </c>
      <c r="P1008" s="1389">
        <v>6000000</v>
      </c>
      <c r="Q1008" s="1503">
        <v>42572</v>
      </c>
      <c r="R1008" s="1635">
        <v>6000000</v>
      </c>
      <c r="S1008" s="1503">
        <v>42761</v>
      </c>
      <c r="T1008" s="1794">
        <v>6000000</v>
      </c>
      <c r="U1008" s="1788">
        <v>43909</v>
      </c>
      <c r="V1008" s="1794">
        <v>6000000</v>
      </c>
      <c r="W1008" s="1788">
        <v>43909</v>
      </c>
      <c r="X1008" s="1222" t="s">
        <v>1078</v>
      </c>
      <c r="Y1008" s="1466">
        <v>43353</v>
      </c>
      <c r="Z1008" s="1794">
        <v>6000000</v>
      </c>
      <c r="AA1008" s="1788">
        <v>43909</v>
      </c>
      <c r="AB1008" s="1794">
        <v>6000000</v>
      </c>
      <c r="AC1008" s="1788">
        <v>43909</v>
      </c>
      <c r="AD1008" s="1794">
        <v>6000000</v>
      </c>
      <c r="AE1008" s="1788">
        <v>43909</v>
      </c>
      <c r="AF1008" s="1819" t="str">
        <f>IFERROR(VLOOKUP(C1008,BSP,3,FALSE),"  ")</f>
        <v xml:space="preserve">  </v>
      </c>
      <c r="AG1008" s="1360" t="str">
        <f>IFERROR((VLOOKUP(C1008,BSP,4,FALSE)),"  ")</f>
        <v xml:space="preserve">  </v>
      </c>
      <c r="AH1008" s="1625" t="str">
        <f t="shared" si="330"/>
        <v>MPI-S3</v>
      </c>
      <c r="AI1008" s="1834">
        <f t="shared" si="334"/>
        <v>57250000</v>
      </c>
      <c r="AJ1008" s="1835">
        <f t="shared" si="331"/>
        <v>57250000</v>
      </c>
      <c r="AK1008" s="1836">
        <f t="shared" si="335"/>
        <v>0</v>
      </c>
      <c r="AL1008" s="1837" t="str">
        <f t="shared" si="336"/>
        <v>Lunas</v>
      </c>
      <c r="AM1008" s="1842"/>
      <c r="AN1008" s="1843"/>
      <c r="AO1008" s="1842"/>
      <c r="AP1008" s="1873"/>
      <c r="AQ1008" s="1731">
        <v>2000000</v>
      </c>
      <c r="AR1008" s="1870">
        <v>42942</v>
      </c>
      <c r="AS1008" s="1731"/>
      <c r="AT1008" s="1871"/>
      <c r="AU1008" s="1731"/>
      <c r="AV1008" s="1870"/>
      <c r="AW1008" s="1731"/>
      <c r="AX1008" s="1870"/>
      <c r="AY1008" s="1906"/>
      <c r="AZ1008" s="1870"/>
      <c r="BA1008" s="1906"/>
      <c r="BB1008" s="1885"/>
    </row>
    <row r="1009" spans="1:54" s="2" customFormat="1" x14ac:dyDescent="0.25">
      <c r="A1009" s="164">
        <v>934</v>
      </c>
      <c r="B1009" s="400">
        <v>14</v>
      </c>
      <c r="C1009" s="464">
        <v>841915015</v>
      </c>
      <c r="D1009" s="401" t="s">
        <v>1491</v>
      </c>
      <c r="E1009" s="402" t="s">
        <v>1477</v>
      </c>
      <c r="F1009" s="403">
        <v>2015</v>
      </c>
      <c r="G1009" s="1758" t="s">
        <v>28</v>
      </c>
      <c r="H1009" s="265" t="str">
        <f t="shared" si="328"/>
        <v xml:space="preserve">   </v>
      </c>
      <c r="I1009" s="265" t="str">
        <f t="shared" si="329"/>
        <v xml:space="preserve">   </v>
      </c>
      <c r="J1009" s="1635">
        <v>1250000</v>
      </c>
      <c r="K1009" s="1503">
        <v>42209</v>
      </c>
      <c r="L1009" s="1714">
        <v>6000000</v>
      </c>
      <c r="M1009" s="1503">
        <v>42209</v>
      </c>
      <c r="N1009" s="1714">
        <v>6000000</v>
      </c>
      <c r="O1009" s="1503">
        <v>42397</v>
      </c>
      <c r="P1009" s="1186" t="s">
        <v>1078</v>
      </c>
      <c r="Q1009" s="1466">
        <v>42604</v>
      </c>
      <c r="R1009" s="1186" t="s">
        <v>1078</v>
      </c>
      <c r="S1009" s="1466">
        <v>42766</v>
      </c>
      <c r="T1009" s="1499">
        <v>0</v>
      </c>
      <c r="U1009" s="1500"/>
      <c r="V1009" s="1635">
        <v>0</v>
      </c>
      <c r="W1009" s="1360"/>
      <c r="X1009" s="1389">
        <v>0</v>
      </c>
      <c r="Y1009" s="1360"/>
      <c r="Z1009" s="1389">
        <v>0</v>
      </c>
      <c r="AA1009" s="1360"/>
      <c r="AB1009" s="1819">
        <v>0</v>
      </c>
      <c r="AC1009" s="1360"/>
      <c r="AD1009" s="1819">
        <v>0</v>
      </c>
      <c r="AE1009" s="1360"/>
      <c r="AF1009" s="1819" t="str">
        <f>IFERROR(VLOOKUP(C1009,BSP,3,FALSE),"  ")</f>
        <v xml:space="preserve">  </v>
      </c>
      <c r="AG1009" s="1360" t="str">
        <f>IFERROR((VLOOKUP(C1009,BSP,4,FALSE)),"  ")</f>
        <v xml:space="preserve">  </v>
      </c>
      <c r="AH1009" s="1625" t="str">
        <f t="shared" si="330"/>
        <v>MPI-S3</v>
      </c>
      <c r="AI1009" s="1834">
        <f t="shared" si="334"/>
        <v>13250000</v>
      </c>
      <c r="AJ1009" s="1835">
        <f t="shared" si="331"/>
        <v>49250000</v>
      </c>
      <c r="AK1009" s="1836">
        <f t="shared" si="335"/>
        <v>36000000</v>
      </c>
      <c r="AL1009" s="1837" t="str">
        <f t="shared" si="336"/>
        <v>Cek</v>
      </c>
      <c r="AM1009" s="1842"/>
      <c r="AN1009" s="1843"/>
      <c r="AO1009" s="1842"/>
      <c r="AP1009" s="1873"/>
      <c r="AQ1009" s="1731"/>
      <c r="AR1009" s="1870"/>
      <c r="AS1009" s="1731"/>
      <c r="AT1009" s="1871"/>
      <c r="AU1009" s="1731"/>
      <c r="AV1009" s="1870"/>
      <c r="AW1009" s="1731"/>
      <c r="AX1009" s="1870"/>
      <c r="AY1009" s="1906"/>
      <c r="AZ1009" s="1870"/>
      <c r="BA1009" s="1906"/>
      <c r="BB1009" s="1885"/>
    </row>
    <row r="1010" spans="1:54" s="2" customFormat="1" x14ac:dyDescent="0.25">
      <c r="A1010" s="164">
        <v>935</v>
      </c>
      <c r="B1010" s="406">
        <v>15</v>
      </c>
      <c r="C1010" s="1759">
        <v>841915016</v>
      </c>
      <c r="D1010" s="211" t="s">
        <v>1492</v>
      </c>
      <c r="E1010" s="160" t="s">
        <v>1477</v>
      </c>
      <c r="F1010" s="213">
        <v>2015</v>
      </c>
      <c r="G1010" s="398" t="s">
        <v>33</v>
      </c>
      <c r="H1010" s="163">
        <f t="shared" si="328"/>
        <v>43956</v>
      </c>
      <c r="I1010" s="163">
        <f t="shared" si="329"/>
        <v>44058</v>
      </c>
      <c r="J1010" s="1636">
        <v>1250000</v>
      </c>
      <c r="K1010" s="1637">
        <v>42195</v>
      </c>
      <c r="L1010" s="1480">
        <v>6000000</v>
      </c>
      <c r="M1010" s="1637">
        <v>42195</v>
      </c>
      <c r="N1010" s="1480">
        <v>6000000</v>
      </c>
      <c r="O1010" s="1637">
        <v>42398</v>
      </c>
      <c r="P1010" s="1636">
        <v>6000000</v>
      </c>
      <c r="Q1010" s="1637">
        <v>42615</v>
      </c>
      <c r="R1010" s="1791">
        <v>6000000</v>
      </c>
      <c r="S1010" s="1800">
        <v>43852</v>
      </c>
      <c r="T1010" s="1801">
        <v>6000000</v>
      </c>
      <c r="U1010" s="1802">
        <v>43852</v>
      </c>
      <c r="V1010" s="1222" t="s">
        <v>1078</v>
      </c>
      <c r="W1010" s="1466">
        <v>43122</v>
      </c>
      <c r="X1010" s="1222" t="s">
        <v>1078</v>
      </c>
      <c r="Y1010" s="1466">
        <v>43353</v>
      </c>
      <c r="Z1010" s="1791">
        <v>6000000</v>
      </c>
      <c r="AA1010" s="1799">
        <v>43495</v>
      </c>
      <c r="AB1010" s="1791">
        <v>6000000</v>
      </c>
      <c r="AC1010" s="1799">
        <v>43852</v>
      </c>
      <c r="AD1010" s="1791">
        <v>6000000</v>
      </c>
      <c r="AE1010" s="1799">
        <v>43936</v>
      </c>
      <c r="AF1010" s="1389"/>
      <c r="AG1010" s="1796"/>
      <c r="AH1010" s="1625" t="str">
        <f t="shared" si="330"/>
        <v>MPI-S3</v>
      </c>
      <c r="AI1010" s="1844">
        <f t="shared" si="334"/>
        <v>69250000</v>
      </c>
      <c r="AJ1010" s="1845">
        <f t="shared" si="331"/>
        <v>69250000</v>
      </c>
      <c r="AK1010" s="1845">
        <f t="shared" si="335"/>
        <v>0</v>
      </c>
      <c r="AL1010" s="1846" t="str">
        <f t="shared" si="336"/>
        <v>Lunas</v>
      </c>
      <c r="AM1010" s="1842"/>
      <c r="AN1010" s="1843"/>
      <c r="AO1010" s="1842"/>
      <c r="AP1010" s="1873"/>
      <c r="AQ1010" s="1883">
        <v>2000000</v>
      </c>
      <c r="AR1010" s="1887">
        <v>42936</v>
      </c>
      <c r="AS1010" s="1883">
        <v>1500000</v>
      </c>
      <c r="AT1010" s="1888">
        <v>43495</v>
      </c>
      <c r="AU1010" s="1883">
        <v>2000000</v>
      </c>
      <c r="AV1010" s="1888">
        <v>43852</v>
      </c>
      <c r="AW1010" s="1883">
        <v>4000000</v>
      </c>
      <c r="AX1010" s="1887">
        <v>43881</v>
      </c>
      <c r="AY1010" s="1912">
        <v>10000000</v>
      </c>
      <c r="AZ1010" s="1887">
        <v>43936</v>
      </c>
      <c r="BA1010" s="1912">
        <v>500000</v>
      </c>
      <c r="BB1010" s="1887">
        <v>44014</v>
      </c>
    </row>
    <row r="1011" spans="1:54" s="2" customFormat="1" x14ac:dyDescent="0.25">
      <c r="A1011" s="164">
        <v>936</v>
      </c>
      <c r="B1011" s="400">
        <v>16</v>
      </c>
      <c r="C1011" s="468">
        <v>841915018</v>
      </c>
      <c r="D1011" s="401" t="s">
        <v>1493</v>
      </c>
      <c r="E1011" s="402" t="s">
        <v>1477</v>
      </c>
      <c r="F1011" s="403">
        <v>2015</v>
      </c>
      <c r="G1011" s="360" t="s">
        <v>1483</v>
      </c>
      <c r="H1011" s="265" t="str">
        <f t="shared" si="328"/>
        <v xml:space="preserve">   </v>
      </c>
      <c r="I1011" s="265" t="str">
        <f t="shared" si="329"/>
        <v xml:space="preserve">   </v>
      </c>
      <c r="J1011" s="1635">
        <v>1250000</v>
      </c>
      <c r="K1011" s="1500">
        <v>42195</v>
      </c>
      <c r="L1011" s="1389">
        <v>6000000</v>
      </c>
      <c r="M1011" s="1500">
        <v>42195</v>
      </c>
      <c r="N1011" s="1389">
        <v>6000000</v>
      </c>
      <c r="O1011" s="1500">
        <v>42391</v>
      </c>
      <c r="P1011" s="1389">
        <v>6000000</v>
      </c>
      <c r="Q1011" s="1500">
        <v>42572</v>
      </c>
      <c r="R1011" s="1186" t="s">
        <v>1078</v>
      </c>
      <c r="S1011" s="1466">
        <v>42755</v>
      </c>
      <c r="T1011" s="1430">
        <v>6000000</v>
      </c>
      <c r="U1011" s="1500">
        <v>42935</v>
      </c>
      <c r="V1011" s="1222" t="s">
        <v>1078</v>
      </c>
      <c r="W1011" s="1466">
        <v>43118</v>
      </c>
      <c r="X1011" s="1773">
        <v>6000000</v>
      </c>
      <c r="Y1011" s="1822">
        <v>43852</v>
      </c>
      <c r="Z1011" s="1773">
        <v>6000000</v>
      </c>
      <c r="AA1011" s="1822">
        <v>43852</v>
      </c>
      <c r="AB1011" s="1773">
        <v>6000000</v>
      </c>
      <c r="AC1011" s="1822">
        <v>43852</v>
      </c>
      <c r="AD1011" s="1773">
        <v>6000000</v>
      </c>
      <c r="AE1011" s="1820">
        <v>44096</v>
      </c>
      <c r="AF1011" s="1773">
        <v>6000000</v>
      </c>
      <c r="AG1011" s="1820">
        <v>44096</v>
      </c>
      <c r="AH1011" s="1625" t="str">
        <f t="shared" si="330"/>
        <v>MPI-S3</v>
      </c>
      <c r="AI1011" s="1834">
        <f t="shared" si="334"/>
        <v>74750000</v>
      </c>
      <c r="AJ1011" s="1835">
        <f t="shared" si="331"/>
        <v>74750000</v>
      </c>
      <c r="AK1011" s="1836">
        <f t="shared" si="335"/>
        <v>0</v>
      </c>
      <c r="AL1011" s="1837" t="str">
        <f t="shared" si="336"/>
        <v>Lunas</v>
      </c>
      <c r="AM1011" s="1842"/>
      <c r="AN1011" s="1843"/>
      <c r="AO1011" s="1842"/>
      <c r="AP1011" s="1873"/>
      <c r="AQ1011" s="1880">
        <v>2000000</v>
      </c>
      <c r="AR1011" s="1885">
        <v>43852</v>
      </c>
      <c r="AS1011" s="1889">
        <v>1500000</v>
      </c>
      <c r="AT1011" s="1890">
        <v>43852.803530092599</v>
      </c>
      <c r="AU1011" s="1880">
        <v>2000000</v>
      </c>
      <c r="AV1011" s="1885">
        <v>44096</v>
      </c>
      <c r="AW1011" s="1880">
        <v>4000000</v>
      </c>
      <c r="AX1011" s="1891">
        <v>44153</v>
      </c>
      <c r="AY1011" s="1913">
        <v>10000000</v>
      </c>
      <c r="AZ1011" s="1891">
        <v>44153</v>
      </c>
      <c r="BA1011" s="1906"/>
      <c r="BB1011" s="1885"/>
    </row>
    <row r="1012" spans="1:54" s="2" customFormat="1" x14ac:dyDescent="0.25">
      <c r="A1012" s="164">
        <v>937</v>
      </c>
      <c r="B1012" s="400">
        <v>17</v>
      </c>
      <c r="C1012" s="468">
        <v>841915019</v>
      </c>
      <c r="D1012" s="401" t="s">
        <v>1494</v>
      </c>
      <c r="E1012" s="402" t="s">
        <v>1477</v>
      </c>
      <c r="F1012" s="403">
        <v>2015</v>
      </c>
      <c r="G1012" s="1758" t="s">
        <v>28</v>
      </c>
      <c r="H1012" s="265" t="str">
        <f t="shared" si="328"/>
        <v xml:space="preserve">   </v>
      </c>
      <c r="I1012" s="265" t="str">
        <f t="shared" si="329"/>
        <v xml:space="preserve">   </v>
      </c>
      <c r="J1012" s="1635">
        <v>1250000</v>
      </c>
      <c r="K1012" s="1500">
        <v>42195</v>
      </c>
      <c r="L1012" s="1389">
        <v>6000000</v>
      </c>
      <c r="M1012" s="1500">
        <v>42195</v>
      </c>
      <c r="N1012" s="1389">
        <v>6000000</v>
      </c>
      <c r="O1012" s="1500">
        <v>42391</v>
      </c>
      <c r="P1012" s="1389">
        <v>6000000</v>
      </c>
      <c r="Q1012" s="1500">
        <v>42937</v>
      </c>
      <c r="R1012" s="1186" t="s">
        <v>1078</v>
      </c>
      <c r="S1012" s="1466">
        <v>42755</v>
      </c>
      <c r="T1012" s="1430">
        <v>6000000</v>
      </c>
      <c r="U1012" s="1500">
        <v>42935</v>
      </c>
      <c r="V1012" s="1222" t="s">
        <v>1078</v>
      </c>
      <c r="W1012" s="1466">
        <v>43118</v>
      </c>
      <c r="X1012" s="1389">
        <v>0</v>
      </c>
      <c r="Y1012" s="1360"/>
      <c r="Z1012" s="1389">
        <v>0</v>
      </c>
      <c r="AA1012" s="1360"/>
      <c r="AB1012" s="1819">
        <v>0</v>
      </c>
      <c r="AC1012" s="1360"/>
      <c r="AD1012" s="1819">
        <v>0</v>
      </c>
      <c r="AE1012" s="1360"/>
      <c r="AF1012" s="1819" t="str">
        <f>IFERROR(VLOOKUP(C1012,BSP,3,FALSE),"  ")</f>
        <v xml:space="preserve">  </v>
      </c>
      <c r="AG1012" s="1360" t="str">
        <f>IFERROR((VLOOKUP(C1012,BSP,4,FALSE)),"  ")</f>
        <v xml:space="preserve">  </v>
      </c>
      <c r="AH1012" s="1625" t="str">
        <f t="shared" si="330"/>
        <v>MPI-S3</v>
      </c>
      <c r="AI1012" s="1834">
        <f t="shared" si="334"/>
        <v>25250000</v>
      </c>
      <c r="AJ1012" s="1835">
        <f t="shared" si="331"/>
        <v>49250000</v>
      </c>
      <c r="AK1012" s="1836">
        <f t="shared" si="335"/>
        <v>24000000</v>
      </c>
      <c r="AL1012" s="1837" t="str">
        <f t="shared" si="336"/>
        <v>Cek</v>
      </c>
      <c r="AM1012" s="1842"/>
      <c r="AN1012" s="1843"/>
      <c r="AO1012" s="1842"/>
      <c r="AP1012" s="1873"/>
      <c r="AQ1012" s="1731"/>
      <c r="AR1012" s="1870"/>
      <c r="AS1012" s="1731"/>
      <c r="AT1012" s="1871"/>
      <c r="AU1012" s="1731"/>
      <c r="AV1012" s="1870"/>
      <c r="AW1012" s="1731"/>
      <c r="AX1012" s="1870"/>
      <c r="AY1012" s="1906"/>
      <c r="AZ1012" s="1870"/>
      <c r="BA1012" s="1906"/>
      <c r="BB1012" s="1885"/>
    </row>
    <row r="1013" spans="1:54" s="2" customFormat="1" x14ac:dyDescent="0.25">
      <c r="A1013" s="164">
        <v>938</v>
      </c>
      <c r="B1013" s="400">
        <v>18</v>
      </c>
      <c r="C1013" s="468">
        <v>841915020</v>
      </c>
      <c r="D1013" s="401" t="s">
        <v>1495</v>
      </c>
      <c r="E1013" s="402" t="s">
        <v>1477</v>
      </c>
      <c r="F1013" s="403">
        <v>2015</v>
      </c>
      <c r="G1013" s="360" t="s">
        <v>1483</v>
      </c>
      <c r="H1013" s="265" t="str">
        <f t="shared" si="328"/>
        <v xml:space="preserve">   </v>
      </c>
      <c r="I1013" s="265" t="str">
        <f t="shared" si="329"/>
        <v xml:space="preserve">   </v>
      </c>
      <c r="J1013" s="1635">
        <v>1250000</v>
      </c>
      <c r="K1013" s="1500">
        <v>42199</v>
      </c>
      <c r="L1013" s="1389">
        <v>6000000</v>
      </c>
      <c r="M1013" s="1500">
        <v>42199</v>
      </c>
      <c r="N1013" s="1389">
        <v>6000000</v>
      </c>
      <c r="O1013" s="1500">
        <v>42371</v>
      </c>
      <c r="P1013" s="1389">
        <v>6000000</v>
      </c>
      <c r="Q1013" s="1500">
        <v>42573</v>
      </c>
      <c r="R1013" s="1389">
        <v>6000000</v>
      </c>
      <c r="S1013" s="1500">
        <v>42762</v>
      </c>
      <c r="T1013" s="1430">
        <v>6000000</v>
      </c>
      <c r="U1013" s="1500">
        <v>42929</v>
      </c>
      <c r="V1013" s="1803">
        <v>6000000</v>
      </c>
      <c r="W1013" s="1788">
        <v>43818</v>
      </c>
      <c r="X1013" s="1803">
        <v>6000000</v>
      </c>
      <c r="Y1013" s="1788">
        <v>43818</v>
      </c>
      <c r="Z1013" s="1803">
        <v>6000000</v>
      </c>
      <c r="AA1013" s="1788">
        <v>43818</v>
      </c>
      <c r="AB1013" s="1803">
        <v>6000000</v>
      </c>
      <c r="AC1013" s="1788">
        <v>43818</v>
      </c>
      <c r="AD1013" s="1823">
        <v>6000000</v>
      </c>
      <c r="AE1013" s="1822">
        <v>43861.608020833301</v>
      </c>
      <c r="AF1013" s="1823">
        <v>6000000</v>
      </c>
      <c r="AG1013" s="1360">
        <v>44050</v>
      </c>
      <c r="AH1013" s="1625" t="str">
        <f t="shared" si="330"/>
        <v>MPI-S3</v>
      </c>
      <c r="AI1013" s="1834">
        <f t="shared" si="334"/>
        <v>86750000</v>
      </c>
      <c r="AJ1013" s="1835">
        <f t="shared" si="331"/>
        <v>86750000</v>
      </c>
      <c r="AK1013" s="1836">
        <f t="shared" si="335"/>
        <v>0</v>
      </c>
      <c r="AL1013" s="1837" t="str">
        <f t="shared" si="336"/>
        <v>Lunas</v>
      </c>
      <c r="AM1013" s="1842"/>
      <c r="AN1013" s="1843"/>
      <c r="AO1013" s="1842"/>
      <c r="AP1013" s="1873"/>
      <c r="AQ1013" s="1731">
        <v>2000000</v>
      </c>
      <c r="AR1013" s="1870">
        <v>42929</v>
      </c>
      <c r="AS1013" s="1889">
        <v>1500000</v>
      </c>
      <c r="AT1013" s="1890">
        <v>43818</v>
      </c>
      <c r="AU1013" s="1880">
        <v>2000000</v>
      </c>
      <c r="AV1013" s="1891">
        <v>44050</v>
      </c>
      <c r="AW1013" s="1880">
        <v>4000000</v>
      </c>
      <c r="AX1013" s="1885">
        <v>44139</v>
      </c>
      <c r="AY1013" s="1914">
        <v>10000000</v>
      </c>
      <c r="AZ1013" s="1891">
        <v>44169</v>
      </c>
      <c r="BA1013" s="1906"/>
      <c r="BB1013" s="1885"/>
    </row>
    <row r="1014" spans="1:54" s="2" customFormat="1" x14ac:dyDescent="0.25">
      <c r="A1014" s="164">
        <v>939</v>
      </c>
      <c r="B1014" s="400">
        <v>19</v>
      </c>
      <c r="C1014" s="468">
        <v>841915021</v>
      </c>
      <c r="D1014" s="401" t="s">
        <v>1496</v>
      </c>
      <c r="E1014" s="402" t="s">
        <v>1477</v>
      </c>
      <c r="F1014" s="403">
        <v>2015</v>
      </c>
      <c r="G1014" s="1758" t="s">
        <v>28</v>
      </c>
      <c r="H1014" s="265" t="str">
        <f t="shared" si="328"/>
        <v xml:space="preserve">   </v>
      </c>
      <c r="I1014" s="265" t="str">
        <f t="shared" si="329"/>
        <v xml:space="preserve">   </v>
      </c>
      <c r="J1014" s="1635">
        <v>1250000</v>
      </c>
      <c r="K1014" s="1500">
        <v>42194</v>
      </c>
      <c r="L1014" s="1389">
        <v>6000000</v>
      </c>
      <c r="M1014" s="1500">
        <v>42194</v>
      </c>
      <c r="N1014" s="1389">
        <v>6000000</v>
      </c>
      <c r="O1014" s="1500">
        <v>42390</v>
      </c>
      <c r="P1014" s="1635">
        <v>6000000</v>
      </c>
      <c r="Q1014" s="1500">
        <v>42573</v>
      </c>
      <c r="R1014" s="1186" t="s">
        <v>1078</v>
      </c>
      <c r="S1014" s="1466">
        <v>42755</v>
      </c>
      <c r="T1014" s="1794">
        <v>6000000</v>
      </c>
      <c r="U1014" s="1503">
        <v>43978</v>
      </c>
      <c r="V1014" s="1794">
        <v>6000000</v>
      </c>
      <c r="W1014" s="1503">
        <v>43978</v>
      </c>
      <c r="X1014" s="1794">
        <v>6000000</v>
      </c>
      <c r="Y1014" s="1503">
        <v>43978</v>
      </c>
      <c r="Z1014" s="1794">
        <v>6000000</v>
      </c>
      <c r="AA1014" s="1503">
        <v>43978</v>
      </c>
      <c r="AB1014" s="1794">
        <v>6000000</v>
      </c>
      <c r="AC1014" s="1503">
        <v>43978</v>
      </c>
      <c r="AD1014" s="1794">
        <v>6000000</v>
      </c>
      <c r="AE1014" s="1503">
        <v>43978</v>
      </c>
      <c r="AF1014" s="1819" t="str">
        <f>IFERROR(VLOOKUP(C1014,BSP,3,FALSE),"  ")</f>
        <v xml:space="preserve">  </v>
      </c>
      <c r="AG1014" s="1360" t="str">
        <f>IFERROR((VLOOKUP(C1014,BSP,4,FALSE)),"  ")</f>
        <v xml:space="preserve">  </v>
      </c>
      <c r="AH1014" s="1625" t="str">
        <f t="shared" si="330"/>
        <v>MPI-S3</v>
      </c>
      <c r="AI1014" s="1834">
        <f t="shared" si="334"/>
        <v>57250000</v>
      </c>
      <c r="AJ1014" s="1835">
        <f t="shared" si="331"/>
        <v>57250000</v>
      </c>
      <c r="AK1014" s="1836">
        <f t="shared" si="335"/>
        <v>0</v>
      </c>
      <c r="AL1014" s="1837" t="str">
        <f t="shared" si="336"/>
        <v>Lunas</v>
      </c>
      <c r="AM1014" s="1842"/>
      <c r="AN1014" s="1843"/>
      <c r="AO1014" s="1842"/>
      <c r="AP1014" s="1873"/>
      <c r="AQ1014" s="1794">
        <v>2000000</v>
      </c>
      <c r="AR1014" s="1503">
        <v>43978</v>
      </c>
      <c r="AS1014" s="1731"/>
      <c r="AT1014" s="1871"/>
      <c r="AU1014" s="1731"/>
      <c r="AV1014" s="1870"/>
      <c r="AW1014" s="1731"/>
      <c r="AX1014" s="1870"/>
      <c r="AY1014" s="1906"/>
      <c r="AZ1014" s="1870"/>
      <c r="BA1014" s="1906"/>
      <c r="BB1014" s="1885"/>
    </row>
    <row r="1015" spans="1:54" s="2" customFormat="1" x14ac:dyDescent="0.25">
      <c r="A1015" s="164">
        <v>940</v>
      </c>
      <c r="B1015" s="400">
        <v>20</v>
      </c>
      <c r="C1015" s="468">
        <v>841915022</v>
      </c>
      <c r="D1015" s="401" t="s">
        <v>1497</v>
      </c>
      <c r="E1015" s="402" t="s">
        <v>1477</v>
      </c>
      <c r="F1015" s="403">
        <v>2015</v>
      </c>
      <c r="G1015" s="1758" t="s">
        <v>28</v>
      </c>
      <c r="H1015" s="265" t="str">
        <f t="shared" si="328"/>
        <v xml:space="preserve">   </v>
      </c>
      <c r="I1015" s="265" t="str">
        <f t="shared" si="329"/>
        <v xml:space="preserve">   </v>
      </c>
      <c r="J1015" s="1635">
        <v>1250000</v>
      </c>
      <c r="K1015" s="1500">
        <v>42158</v>
      </c>
      <c r="L1015" s="1389">
        <v>6000000</v>
      </c>
      <c r="M1015" s="1500">
        <v>42158</v>
      </c>
      <c r="N1015" s="1389">
        <v>6000000</v>
      </c>
      <c r="O1015" s="1500">
        <v>42396</v>
      </c>
      <c r="P1015" s="1635">
        <v>6000000</v>
      </c>
      <c r="Q1015" s="1500">
        <v>42573</v>
      </c>
      <c r="R1015" s="1389">
        <v>6000000</v>
      </c>
      <c r="S1015" s="1500">
        <v>42762</v>
      </c>
      <c r="T1015" s="1430">
        <v>6000000</v>
      </c>
      <c r="U1015" s="1500">
        <v>42929</v>
      </c>
      <c r="V1015" s="1635">
        <v>0</v>
      </c>
      <c r="W1015" s="1500"/>
      <c r="X1015" s="1389">
        <v>0</v>
      </c>
      <c r="Y1015" s="1360"/>
      <c r="Z1015" s="1389">
        <v>0</v>
      </c>
      <c r="AA1015" s="1360"/>
      <c r="AB1015" s="1819">
        <v>0</v>
      </c>
      <c r="AC1015" s="1360"/>
      <c r="AD1015" s="1819">
        <v>0</v>
      </c>
      <c r="AE1015" s="1360"/>
      <c r="AF1015" s="1819" t="str">
        <f>IFERROR(VLOOKUP(C1015,BSP,3,FALSE),"  ")</f>
        <v xml:space="preserve">  </v>
      </c>
      <c r="AG1015" s="1360" t="str">
        <f>IFERROR((VLOOKUP(C1015,BSP,4,FALSE)),"  ")</f>
        <v xml:space="preserve">  </v>
      </c>
      <c r="AH1015" s="1625" t="str">
        <f t="shared" si="330"/>
        <v>MPI-S3</v>
      </c>
      <c r="AI1015" s="1834">
        <f t="shared" si="334"/>
        <v>34750000</v>
      </c>
      <c r="AJ1015" s="1835">
        <f t="shared" si="331"/>
        <v>64750000</v>
      </c>
      <c r="AK1015" s="1836">
        <f t="shared" si="335"/>
        <v>30000000</v>
      </c>
      <c r="AL1015" s="1837" t="str">
        <f t="shared" si="336"/>
        <v>Cek</v>
      </c>
      <c r="AM1015" s="1842"/>
      <c r="AN1015" s="1843"/>
      <c r="AO1015" s="1842"/>
      <c r="AP1015" s="1873"/>
      <c r="AQ1015" s="1731">
        <v>2000000</v>
      </c>
      <c r="AR1015" s="1870">
        <v>42929</v>
      </c>
      <c r="AS1015" s="1880">
        <v>1500000</v>
      </c>
      <c r="AT1015" s="1881">
        <v>44004</v>
      </c>
      <c r="AU1015" s="1731"/>
      <c r="AV1015" s="1870"/>
      <c r="AW1015" s="1731"/>
      <c r="AX1015" s="1870"/>
      <c r="AY1015" s="1906"/>
      <c r="AZ1015" s="1870"/>
      <c r="BA1015" s="1906"/>
      <c r="BB1015" s="1885"/>
    </row>
    <row r="1016" spans="1:54" s="2" customFormat="1" x14ac:dyDescent="0.25">
      <c r="A1016" s="164">
        <v>941</v>
      </c>
      <c r="B1016" s="400">
        <v>21</v>
      </c>
      <c r="C1016" s="468">
        <v>841915023</v>
      </c>
      <c r="D1016" s="401" t="s">
        <v>1498</v>
      </c>
      <c r="E1016" s="402" t="s">
        <v>1477</v>
      </c>
      <c r="F1016" s="403">
        <v>2015</v>
      </c>
      <c r="G1016" s="360" t="s">
        <v>1483</v>
      </c>
      <c r="H1016" s="265" t="str">
        <f t="shared" si="328"/>
        <v xml:space="preserve">   </v>
      </c>
      <c r="I1016" s="265" t="str">
        <f t="shared" si="329"/>
        <v xml:space="preserve">   </v>
      </c>
      <c r="J1016" s="1635">
        <v>1250000</v>
      </c>
      <c r="K1016" s="1500">
        <v>42199</v>
      </c>
      <c r="L1016" s="1389">
        <v>6000000</v>
      </c>
      <c r="M1016" s="1500">
        <v>42199</v>
      </c>
      <c r="N1016" s="1389">
        <v>6000000</v>
      </c>
      <c r="O1016" s="1500">
        <v>42398</v>
      </c>
      <c r="P1016" s="1389">
        <v>6000000</v>
      </c>
      <c r="Q1016" s="1500">
        <v>42576</v>
      </c>
      <c r="R1016" s="1186" t="s">
        <v>1078</v>
      </c>
      <c r="S1016" s="1466">
        <v>42755</v>
      </c>
      <c r="T1016" s="1794">
        <v>6000000</v>
      </c>
      <c r="U1016" s="1788">
        <v>43484</v>
      </c>
      <c r="V1016" s="1222" t="s">
        <v>1078</v>
      </c>
      <c r="W1016" s="1466">
        <v>42764</v>
      </c>
      <c r="X1016" s="1804">
        <v>6000000</v>
      </c>
      <c r="Y1016" s="1788">
        <v>43484</v>
      </c>
      <c r="Z1016" s="1804">
        <v>6000000</v>
      </c>
      <c r="AA1016" s="1788">
        <v>43484</v>
      </c>
      <c r="AB1016" s="1825">
        <v>6000000</v>
      </c>
      <c r="AC1016" s="1820">
        <v>43791</v>
      </c>
      <c r="AD1016" s="1825">
        <v>6000000</v>
      </c>
      <c r="AE1016" s="1820">
        <v>43875</v>
      </c>
      <c r="AF1016" s="1819">
        <v>6000000</v>
      </c>
      <c r="AG1016" s="1360">
        <v>44070</v>
      </c>
      <c r="AH1016" s="1625" t="str">
        <f t="shared" si="330"/>
        <v>MPI-S3</v>
      </c>
      <c r="AI1016" s="1834">
        <f t="shared" si="334"/>
        <v>58750000</v>
      </c>
      <c r="AJ1016" s="1835">
        <f t="shared" si="331"/>
        <v>58750000</v>
      </c>
      <c r="AK1016" s="1836">
        <f t="shared" si="335"/>
        <v>0</v>
      </c>
      <c r="AL1016" s="1837" t="str">
        <f t="shared" si="336"/>
        <v>Lunas</v>
      </c>
      <c r="AM1016" s="1842"/>
      <c r="AN1016" s="1843"/>
      <c r="AO1016" s="1842"/>
      <c r="AP1016" s="1873"/>
      <c r="AQ1016" s="1880">
        <v>2000000</v>
      </c>
      <c r="AR1016" s="1885">
        <v>43484</v>
      </c>
      <c r="AS1016" s="1889">
        <v>1500000</v>
      </c>
      <c r="AT1016" s="1820">
        <v>43875</v>
      </c>
      <c r="AU1016" s="1731"/>
      <c r="AV1016" s="1870"/>
      <c r="AW1016" s="1731"/>
      <c r="AX1016" s="1870"/>
      <c r="AY1016" s="1906"/>
      <c r="AZ1016" s="1870"/>
      <c r="BA1016" s="1906"/>
      <c r="BB1016" s="1885"/>
    </row>
    <row r="1017" spans="1:54" s="2" customFormat="1" x14ac:dyDescent="0.25">
      <c r="A1017" s="234">
        <v>942</v>
      </c>
      <c r="B1017" s="399">
        <v>22</v>
      </c>
      <c r="C1017" s="1760">
        <v>841915024</v>
      </c>
      <c r="D1017" s="313" t="s">
        <v>1499</v>
      </c>
      <c r="E1017" s="237" t="s">
        <v>1477</v>
      </c>
      <c r="F1017" s="315">
        <v>2015</v>
      </c>
      <c r="G1017" s="214" t="s">
        <v>1077</v>
      </c>
      <c r="H1017" s="239" t="str">
        <f t="shared" si="328"/>
        <v xml:space="preserve">   </v>
      </c>
      <c r="I1017" s="239" t="str">
        <f t="shared" si="329"/>
        <v xml:space="preserve">   </v>
      </c>
      <c r="J1017" s="1772">
        <v>1250000</v>
      </c>
      <c r="K1017" s="1604">
        <v>42193</v>
      </c>
      <c r="L1017" s="1698">
        <v>6000000</v>
      </c>
      <c r="M1017" s="1604">
        <v>42193</v>
      </c>
      <c r="N1017" s="1711" t="s">
        <v>1162</v>
      </c>
      <c r="O1017" s="1503"/>
      <c r="P1017" s="1389"/>
      <c r="Q1017" s="1796"/>
      <c r="R1017" s="1389"/>
      <c r="S1017" s="1796"/>
      <c r="T1017" s="1389"/>
      <c r="U1017" s="1796"/>
      <c r="V1017" s="1389"/>
      <c r="W1017" s="1796"/>
      <c r="X1017" s="1389"/>
      <c r="Y1017" s="1796"/>
      <c r="Z1017" s="1389"/>
      <c r="AA1017" s="1796"/>
      <c r="AB1017" s="1819"/>
      <c r="AC1017" s="1360"/>
      <c r="AD1017" s="1819"/>
      <c r="AE1017" s="1360"/>
      <c r="AF1017" s="1389"/>
      <c r="AG1017" s="1796"/>
      <c r="AH1017" s="1625" t="str">
        <f t="shared" si="330"/>
        <v>MPI-S3</v>
      </c>
      <c r="AI1017" s="1840">
        <f t="shared" ref="AI1017" si="339">SUM(J1017,L1017,N1017,P1017,R1017,T1017,V1017,X1017,Z1017,AB1017,AD1017,AF1017,AM1017,AO1017,AQ1017,AS1017,AU1017,AW1017,AY1017,BA1017)</f>
        <v>7250000</v>
      </c>
      <c r="AJ1017" s="1841">
        <f t="shared" si="331"/>
        <v>7250000</v>
      </c>
      <c r="AK1017" s="1841">
        <f t="shared" ref="AK1017" si="340">AJ1017-AI1017</f>
        <v>0</v>
      </c>
      <c r="AL1017" s="1837" t="str">
        <f t="shared" si="336"/>
        <v>Lunas</v>
      </c>
      <c r="AM1017" s="1842"/>
      <c r="AN1017" s="1843"/>
      <c r="AO1017" s="1842"/>
      <c r="AP1017" s="1873"/>
      <c r="AQ1017" s="1731"/>
      <c r="AR1017" s="1870"/>
      <c r="AS1017" s="1731"/>
      <c r="AT1017" s="1871"/>
      <c r="AU1017" s="1731"/>
      <c r="AV1017" s="1870"/>
      <c r="AW1017" s="1731"/>
      <c r="AX1017" s="1870"/>
      <c r="AY1017" s="1906"/>
      <c r="AZ1017" s="1870"/>
      <c r="BA1017" s="1906"/>
      <c r="BB1017" s="1885"/>
    </row>
    <row r="1018" spans="1:54" s="2" customFormat="1" x14ac:dyDescent="0.25">
      <c r="A1018" s="164">
        <v>943</v>
      </c>
      <c r="B1018" s="400">
        <v>23</v>
      </c>
      <c r="C1018" s="468">
        <v>841915026</v>
      </c>
      <c r="D1018" s="401" t="s">
        <v>1500</v>
      </c>
      <c r="E1018" s="402" t="s">
        <v>1477</v>
      </c>
      <c r="F1018" s="403">
        <v>2015</v>
      </c>
      <c r="G1018" s="1758" t="s">
        <v>28</v>
      </c>
      <c r="H1018" s="265" t="str">
        <f t="shared" si="328"/>
        <v xml:space="preserve">   </v>
      </c>
      <c r="I1018" s="265" t="str">
        <f t="shared" si="329"/>
        <v xml:space="preserve">   </v>
      </c>
      <c r="J1018" s="1635">
        <v>1250000</v>
      </c>
      <c r="K1018" s="1500">
        <v>42192</v>
      </c>
      <c r="L1018" s="1389">
        <v>6000000</v>
      </c>
      <c r="M1018" s="1500">
        <v>42192</v>
      </c>
      <c r="N1018" s="1389">
        <v>6000000</v>
      </c>
      <c r="O1018" s="1500">
        <v>42389</v>
      </c>
      <c r="P1018" s="1389">
        <v>6000000</v>
      </c>
      <c r="Q1018" s="1500">
        <v>42572</v>
      </c>
      <c r="R1018" s="1389">
        <v>6000000</v>
      </c>
      <c r="S1018" s="1500">
        <v>42764</v>
      </c>
      <c r="T1018" s="1430">
        <v>6000000</v>
      </c>
      <c r="U1018" s="1500">
        <v>42934</v>
      </c>
      <c r="V1018" s="1805">
        <v>6000000</v>
      </c>
      <c r="W1018" s="1806">
        <v>43116</v>
      </c>
      <c r="X1018" s="1389">
        <v>0</v>
      </c>
      <c r="Y1018" s="1360"/>
      <c r="Z1018" s="1389">
        <v>0</v>
      </c>
      <c r="AA1018" s="1360"/>
      <c r="AB1018" s="1819">
        <v>0</v>
      </c>
      <c r="AC1018" s="1360"/>
      <c r="AD1018" s="1819">
        <v>0</v>
      </c>
      <c r="AE1018" s="1360"/>
      <c r="AF1018" s="1819" t="str">
        <f>IFERROR(VLOOKUP(C1018,BSP,3,FALSE),"  ")</f>
        <v xml:space="preserve">  </v>
      </c>
      <c r="AG1018" s="1360" t="str">
        <f>IFERROR((VLOOKUP(C1018,BSP,4,FALSE)),"  ")</f>
        <v xml:space="preserve">  </v>
      </c>
      <c r="AH1018" s="1625" t="str">
        <f t="shared" si="330"/>
        <v>MPI-S3</v>
      </c>
      <c r="AI1018" s="1834">
        <f t="shared" si="334"/>
        <v>39250000</v>
      </c>
      <c r="AJ1018" s="1835">
        <f t="shared" si="331"/>
        <v>63250000</v>
      </c>
      <c r="AK1018" s="1836">
        <f t="shared" si="335"/>
        <v>24000000</v>
      </c>
      <c r="AL1018" s="1837" t="str">
        <f t="shared" si="336"/>
        <v>Cek</v>
      </c>
      <c r="AM1018" s="1842"/>
      <c r="AN1018" s="1843"/>
      <c r="AO1018" s="1842"/>
      <c r="AP1018" s="1873"/>
      <c r="AQ1018" s="1731">
        <v>2000000</v>
      </c>
      <c r="AR1018" s="1870">
        <v>42934</v>
      </c>
      <c r="AS1018" s="1731"/>
      <c r="AT1018" s="1871"/>
      <c r="AU1018" s="1731"/>
      <c r="AV1018" s="1870"/>
      <c r="AW1018" s="1731"/>
      <c r="AX1018" s="1870"/>
      <c r="AY1018" s="1906"/>
      <c r="AZ1018" s="1870"/>
      <c r="BA1018" s="1906"/>
      <c r="BB1018" s="1885"/>
    </row>
    <row r="1019" spans="1:54" s="2" customFormat="1" x14ac:dyDescent="0.25">
      <c r="A1019" s="164">
        <v>944</v>
      </c>
      <c r="B1019" s="400">
        <v>24</v>
      </c>
      <c r="C1019" s="468">
        <v>841915028</v>
      </c>
      <c r="D1019" s="401" t="s">
        <v>1501</v>
      </c>
      <c r="E1019" s="402" t="s">
        <v>1477</v>
      </c>
      <c r="F1019" s="403">
        <v>2015</v>
      </c>
      <c r="G1019" s="1758" t="s">
        <v>28</v>
      </c>
      <c r="H1019" s="265" t="str">
        <f t="shared" si="328"/>
        <v xml:space="preserve">   </v>
      </c>
      <c r="I1019" s="265" t="str">
        <f t="shared" si="329"/>
        <v xml:space="preserve">   </v>
      </c>
      <c r="J1019" s="1635">
        <v>1250000</v>
      </c>
      <c r="K1019" s="1500">
        <v>42193</v>
      </c>
      <c r="L1019" s="1389">
        <v>6000000</v>
      </c>
      <c r="M1019" s="1500">
        <v>42193</v>
      </c>
      <c r="N1019" s="1389">
        <v>6000000</v>
      </c>
      <c r="O1019" s="1503">
        <v>42468</v>
      </c>
      <c r="P1019" s="1389">
        <v>6000000</v>
      </c>
      <c r="Q1019" s="1500">
        <v>42612</v>
      </c>
      <c r="R1019" s="1389">
        <v>6000000</v>
      </c>
      <c r="S1019" s="1500">
        <v>42996</v>
      </c>
      <c r="T1019" s="1499">
        <v>0</v>
      </c>
      <c r="U1019" s="1500"/>
      <c r="V1019" s="1635">
        <v>0</v>
      </c>
      <c r="W1019" s="1500"/>
      <c r="X1019" s="1389">
        <v>0</v>
      </c>
      <c r="Y1019" s="1360"/>
      <c r="Z1019" s="1389">
        <v>0</v>
      </c>
      <c r="AA1019" s="1360"/>
      <c r="AB1019" s="1819">
        <v>0</v>
      </c>
      <c r="AC1019" s="1360"/>
      <c r="AD1019" s="1819">
        <v>0</v>
      </c>
      <c r="AE1019" s="1360"/>
      <c r="AF1019" s="1819" t="str">
        <f>IFERROR(VLOOKUP(C1019,BSP,3,FALSE),"  ")</f>
        <v xml:space="preserve">  </v>
      </c>
      <c r="AG1019" s="1360" t="str">
        <f>IFERROR((VLOOKUP(C1019,BSP,4,FALSE)),"  ")</f>
        <v xml:space="preserve">  </v>
      </c>
      <c r="AH1019" s="1625" t="str">
        <f t="shared" si="330"/>
        <v>MPI-S3</v>
      </c>
      <c r="AI1019" s="1834">
        <f t="shared" si="334"/>
        <v>27250000</v>
      </c>
      <c r="AJ1019" s="1835">
        <f t="shared" si="331"/>
        <v>63250000</v>
      </c>
      <c r="AK1019" s="1836">
        <f t="shared" si="335"/>
        <v>36000000</v>
      </c>
      <c r="AL1019" s="1837" t="str">
        <f t="shared" si="336"/>
        <v>Cek</v>
      </c>
      <c r="AM1019" s="1842"/>
      <c r="AN1019" s="1843"/>
      <c r="AO1019" s="1842"/>
      <c r="AP1019" s="1873"/>
      <c r="AQ1019" s="1731">
        <v>2000000</v>
      </c>
      <c r="AR1019" s="1870">
        <v>42941</v>
      </c>
      <c r="AS1019" s="1731"/>
      <c r="AT1019" s="1871"/>
      <c r="AU1019" s="1731"/>
      <c r="AV1019" s="1870"/>
      <c r="AW1019" s="1731"/>
      <c r="AX1019" s="1870"/>
      <c r="AY1019" s="1906"/>
      <c r="AZ1019" s="1870"/>
      <c r="BA1019" s="1906"/>
      <c r="BB1019" s="1885"/>
    </row>
    <row r="1020" spans="1:54" s="2" customFormat="1" x14ac:dyDescent="0.25">
      <c r="A1020" s="164">
        <v>945</v>
      </c>
      <c r="B1020" s="400">
        <v>25</v>
      </c>
      <c r="C1020" s="468">
        <v>841915029</v>
      </c>
      <c r="D1020" s="401" t="s">
        <v>1502</v>
      </c>
      <c r="E1020" s="402" t="s">
        <v>1477</v>
      </c>
      <c r="F1020" s="403">
        <v>2015</v>
      </c>
      <c r="G1020" s="1758" t="s">
        <v>28</v>
      </c>
      <c r="H1020" s="265" t="str">
        <f t="shared" si="328"/>
        <v xml:space="preserve">   </v>
      </c>
      <c r="I1020" s="265" t="str">
        <f t="shared" si="329"/>
        <v xml:space="preserve">   </v>
      </c>
      <c r="J1020" s="1635">
        <v>1250000</v>
      </c>
      <c r="K1020" s="1500">
        <v>42194</v>
      </c>
      <c r="L1020" s="1389">
        <v>6000000</v>
      </c>
      <c r="M1020" s="1500">
        <v>42194</v>
      </c>
      <c r="N1020" s="1389">
        <v>6000000</v>
      </c>
      <c r="O1020" s="1503">
        <v>42398</v>
      </c>
      <c r="P1020" s="1389">
        <v>6000000</v>
      </c>
      <c r="Q1020" s="1503">
        <v>42573</v>
      </c>
      <c r="R1020" s="1389">
        <v>6000000</v>
      </c>
      <c r="S1020" s="1500">
        <v>42761</v>
      </c>
      <c r="T1020" s="1803">
        <v>6000000</v>
      </c>
      <c r="U1020" s="1788">
        <v>43511.577569444402</v>
      </c>
      <c r="V1020" s="1803">
        <v>6000000</v>
      </c>
      <c r="W1020" s="1788">
        <v>43511.577569444402</v>
      </c>
      <c r="X1020" s="1389">
        <v>0</v>
      </c>
      <c r="Y1020" s="1360"/>
      <c r="Z1020" s="1389">
        <v>0</v>
      </c>
      <c r="AA1020" s="1360"/>
      <c r="AB1020" s="1819">
        <v>0</v>
      </c>
      <c r="AC1020" s="1360"/>
      <c r="AD1020" s="1819">
        <v>0</v>
      </c>
      <c r="AE1020" s="1360"/>
      <c r="AF1020" s="1819" t="str">
        <f>IFERROR(VLOOKUP(C1020,BSP,3,FALSE),"  ")</f>
        <v xml:space="preserve">  </v>
      </c>
      <c r="AG1020" s="1360" t="str">
        <f>IFERROR((VLOOKUP(C1020,BSP,4,FALSE)),"  ")</f>
        <v xml:space="preserve">  </v>
      </c>
      <c r="AH1020" s="1625" t="str">
        <f t="shared" si="330"/>
        <v>MPI-S3</v>
      </c>
      <c r="AI1020" s="1834">
        <f t="shared" si="334"/>
        <v>39250000</v>
      </c>
      <c r="AJ1020" s="1835">
        <f t="shared" si="331"/>
        <v>63250000</v>
      </c>
      <c r="AK1020" s="1836">
        <f t="shared" si="335"/>
        <v>24000000</v>
      </c>
      <c r="AL1020" s="1837" t="str">
        <f t="shared" si="336"/>
        <v>Cek</v>
      </c>
      <c r="AM1020" s="1842"/>
      <c r="AN1020" s="1843"/>
      <c r="AO1020" s="1842"/>
      <c r="AP1020" s="1873"/>
      <c r="AQ1020" s="1731">
        <v>2000000</v>
      </c>
      <c r="AR1020" s="1870">
        <v>42968</v>
      </c>
      <c r="AS1020" s="1731"/>
      <c r="AT1020" s="1871"/>
      <c r="AU1020" s="1731"/>
      <c r="AV1020" s="1870"/>
      <c r="AW1020" s="1731"/>
      <c r="AX1020" s="1870"/>
      <c r="AY1020" s="1906"/>
      <c r="AZ1020" s="1870"/>
      <c r="BA1020" s="1906"/>
      <c r="BB1020" s="1885"/>
    </row>
    <row r="1021" spans="1:54" s="2" customFormat="1" x14ac:dyDescent="0.25">
      <c r="A1021" s="180">
        <v>946</v>
      </c>
      <c r="B1021" s="1761">
        <v>26</v>
      </c>
      <c r="C1021" s="1762">
        <v>841915030</v>
      </c>
      <c r="D1021" s="1763" t="s">
        <v>1503</v>
      </c>
      <c r="E1021" s="184" t="s">
        <v>1477</v>
      </c>
      <c r="F1021" s="1764">
        <v>2015</v>
      </c>
      <c r="G1021" s="398" t="s">
        <v>33</v>
      </c>
      <c r="H1021" s="163">
        <f t="shared" si="328"/>
        <v>44056</v>
      </c>
      <c r="I1021" s="163" t="str">
        <f t="shared" si="329"/>
        <v xml:space="preserve">   </v>
      </c>
      <c r="J1021" s="1776">
        <v>1250000</v>
      </c>
      <c r="K1021" s="1777">
        <v>42193</v>
      </c>
      <c r="L1021" s="1778">
        <v>6000000</v>
      </c>
      <c r="M1021" s="1777">
        <v>42193</v>
      </c>
      <c r="N1021" s="1700">
        <v>6000000</v>
      </c>
      <c r="O1021" s="1463">
        <v>42395</v>
      </c>
      <c r="P1021" s="1700">
        <v>6000000</v>
      </c>
      <c r="Q1021" s="1463">
        <v>42573</v>
      </c>
      <c r="R1021" s="1807">
        <v>6000000</v>
      </c>
      <c r="S1021" s="1808">
        <v>43854.509525463</v>
      </c>
      <c r="T1021" s="1587">
        <v>6000000</v>
      </c>
      <c r="U1021" s="1777">
        <v>43059</v>
      </c>
      <c r="V1021" s="1807">
        <v>6000000</v>
      </c>
      <c r="W1021" s="1808">
        <v>43854.509525463</v>
      </c>
      <c r="X1021" s="1807">
        <v>6000000</v>
      </c>
      <c r="Y1021" s="1808">
        <v>43854.509525463</v>
      </c>
      <c r="Z1021" s="1807">
        <v>6000000</v>
      </c>
      <c r="AA1021" s="1808">
        <v>43854.509525463</v>
      </c>
      <c r="AB1021" s="1807">
        <v>6000000</v>
      </c>
      <c r="AC1021" s="1808">
        <v>43854.509525463</v>
      </c>
      <c r="AD1021" s="1807">
        <v>6000000</v>
      </c>
      <c r="AE1021" s="1808">
        <v>43854.509525463</v>
      </c>
      <c r="AF1021" s="1706"/>
      <c r="AG1021" s="1847"/>
      <c r="AH1021" s="1625" t="str">
        <f t="shared" si="330"/>
        <v>MPI-S3</v>
      </c>
      <c r="AI1021" s="1848">
        <f t="shared" si="334"/>
        <v>80750000</v>
      </c>
      <c r="AJ1021" s="1849">
        <f t="shared" si="331"/>
        <v>80750000</v>
      </c>
      <c r="AK1021" s="1850">
        <f t="shared" si="335"/>
        <v>0</v>
      </c>
      <c r="AL1021" s="1851" t="str">
        <f t="shared" si="336"/>
        <v>Lunas</v>
      </c>
      <c r="AM1021" s="1852"/>
      <c r="AN1021" s="1853"/>
      <c r="AO1021" s="1852"/>
      <c r="AP1021" s="1892"/>
      <c r="AQ1021" s="1893">
        <v>2000000</v>
      </c>
      <c r="AR1021" s="1894">
        <v>42933</v>
      </c>
      <c r="AS1021" s="1893">
        <v>1500000</v>
      </c>
      <c r="AT1021" s="1886">
        <v>43122</v>
      </c>
      <c r="AU1021" s="1895">
        <v>2000000</v>
      </c>
      <c r="AV1021" s="1896">
        <v>43861</v>
      </c>
      <c r="AW1021" s="1889">
        <v>4000000</v>
      </c>
      <c r="AX1021" s="1915">
        <v>43949</v>
      </c>
      <c r="AY1021" s="1916">
        <v>10000000</v>
      </c>
      <c r="AZ1021" s="1915">
        <v>43999</v>
      </c>
      <c r="BA1021" s="1906"/>
      <c r="BB1021" s="1885"/>
    </row>
    <row r="1022" spans="1:54" s="2" customFormat="1" x14ac:dyDescent="0.25">
      <c r="A1022" s="414"/>
      <c r="B1022" s="414"/>
      <c r="C1022" s="1765"/>
      <c r="D1022" s="414"/>
      <c r="E1022" s="414"/>
      <c r="F1022" s="414" t="s">
        <v>61</v>
      </c>
      <c r="G1022" s="414"/>
      <c r="H1022" s="414"/>
      <c r="I1022" s="414"/>
      <c r="J1022" s="414"/>
      <c r="K1022" s="414"/>
      <c r="L1022" s="414"/>
      <c r="M1022" s="414"/>
      <c r="N1022" s="414"/>
      <c r="O1022" s="414"/>
      <c r="P1022" s="414"/>
      <c r="Q1022" s="414"/>
      <c r="R1022" s="414"/>
      <c r="S1022" s="414"/>
      <c r="T1022" s="414"/>
      <c r="U1022" s="414"/>
      <c r="V1022" s="414"/>
      <c r="W1022" s="414"/>
      <c r="X1022" s="414"/>
      <c r="Y1022" s="414"/>
      <c r="Z1022" s="414"/>
      <c r="AA1022" s="414"/>
      <c r="AB1022" s="414"/>
      <c r="AC1022" s="414"/>
      <c r="AD1022" s="414"/>
      <c r="AE1022" s="414"/>
      <c r="AF1022" s="414"/>
      <c r="AG1022" s="414"/>
      <c r="AH1022" s="414"/>
      <c r="AI1022" s="414"/>
      <c r="AJ1022" s="1409"/>
      <c r="AK1022" s="1409"/>
      <c r="AL1022" s="1513"/>
      <c r="AM1022" s="1513"/>
      <c r="AN1022" s="1514"/>
      <c r="AO1022" s="1513"/>
      <c r="AP1022" s="1514"/>
      <c r="AQ1022" s="1857"/>
      <c r="AR1022" s="1858"/>
      <c r="AS1022" s="1859"/>
      <c r="AT1022" s="1860"/>
      <c r="AU1022" s="1861"/>
      <c r="AV1022" s="1862"/>
      <c r="AW1022" s="1898"/>
      <c r="AX1022" s="1899"/>
      <c r="AY1022" s="1900"/>
      <c r="AZ1022" s="1901"/>
    </row>
    <row r="1023" spans="1:54" s="2" customFormat="1" x14ac:dyDescent="0.25">
      <c r="A1023" s="415" t="s">
        <v>1504</v>
      </c>
      <c r="B1023" s="388"/>
      <c r="C1023" s="417"/>
      <c r="D1023" s="416"/>
      <c r="E1023" s="418" t="s">
        <v>1096</v>
      </c>
      <c r="F1023" s="419" t="s">
        <v>1096</v>
      </c>
      <c r="G1023" s="420">
        <v>6000000</v>
      </c>
      <c r="H1023" s="421" t="str">
        <f t="shared" ref="H1023:H1054" si="341">IFERROR(VLOOKUP(C1023,Tlus,3,FALSE),"   ")</f>
        <v xml:space="preserve">   </v>
      </c>
      <c r="I1023" s="421" t="str">
        <f t="shared" ref="I1023:I1054" si="342">IFERROR(VLOOKUP(C1023,Wis,4,FALSE),"   ")</f>
        <v xml:space="preserve">   </v>
      </c>
      <c r="J1023" s="1779">
        <v>0</v>
      </c>
      <c r="K1023" s="1438"/>
      <c r="L1023" s="1771" t="s">
        <v>1049</v>
      </c>
      <c r="M1023" s="1438" t="s">
        <v>1058</v>
      </c>
      <c r="N1023" s="1771" t="s">
        <v>1051</v>
      </c>
      <c r="O1023" s="1438" t="s">
        <v>1060</v>
      </c>
      <c r="P1023" s="1771" t="s">
        <v>1053</v>
      </c>
      <c r="Q1023" s="1438" t="s">
        <v>1062</v>
      </c>
      <c r="R1023" s="1771" t="s">
        <v>1055</v>
      </c>
      <c r="S1023" s="1438" t="s">
        <v>1064</v>
      </c>
      <c r="T1023" s="1771" t="s">
        <v>1057</v>
      </c>
      <c r="U1023" s="1438" t="s">
        <v>1066</v>
      </c>
      <c r="V1023" s="1771" t="s">
        <v>1059</v>
      </c>
      <c r="W1023" s="1438" t="s">
        <v>1068</v>
      </c>
      <c r="X1023" s="1771" t="s">
        <v>1061</v>
      </c>
      <c r="Y1023" s="1438" t="s">
        <v>1141</v>
      </c>
      <c r="Z1023" s="1771" t="s">
        <v>1063</v>
      </c>
      <c r="AA1023" s="1438" t="s">
        <v>1325</v>
      </c>
      <c r="AB1023" s="1813" t="s">
        <v>1065</v>
      </c>
      <c r="AC1023" s="1814" t="s">
        <v>1463</v>
      </c>
      <c r="AD1023" s="1815" t="s">
        <v>1067</v>
      </c>
      <c r="AE1023" s="1814" t="s">
        <v>1464</v>
      </c>
      <c r="AF1023" s="1815" t="s">
        <v>1465</v>
      </c>
      <c r="AG1023" s="1814" t="s">
        <v>1466</v>
      </c>
      <c r="AH1023" s="1828"/>
      <c r="AI1023" s="1512"/>
      <c r="AJ1023" s="1409"/>
      <c r="AK1023" s="1409"/>
      <c r="AL1023" s="1513"/>
      <c r="AM1023" s="1815" t="s">
        <v>1467</v>
      </c>
      <c r="AN1023" s="1814" t="s">
        <v>1468</v>
      </c>
      <c r="AO1023" s="1815" t="s">
        <v>1469</v>
      </c>
      <c r="AP1023" s="1814" t="s">
        <v>1470</v>
      </c>
      <c r="AQ1023" s="1450" t="s">
        <v>1471</v>
      </c>
      <c r="AR1023" s="1863">
        <v>2000000</v>
      </c>
      <c r="AS1023" s="1450" t="s">
        <v>1472</v>
      </c>
      <c r="AT1023" s="1863">
        <v>1500000</v>
      </c>
      <c r="AU1023" s="1450" t="s">
        <v>1473</v>
      </c>
      <c r="AV1023" s="1863">
        <v>2000000</v>
      </c>
      <c r="AW1023" s="1450" t="s">
        <v>1474</v>
      </c>
      <c r="AX1023" s="1863">
        <v>4000000</v>
      </c>
      <c r="AY1023" s="1450" t="s">
        <v>1475</v>
      </c>
      <c r="AZ1023" s="1863">
        <v>10000000</v>
      </c>
      <c r="BA1023" s="1450" t="s">
        <v>22</v>
      </c>
      <c r="BB1023" s="1902">
        <v>500000</v>
      </c>
    </row>
    <row r="1024" spans="1:54" s="2" customFormat="1" x14ac:dyDescent="0.25">
      <c r="A1024" s="322">
        <v>947</v>
      </c>
      <c r="B1024" s="422">
        <v>27</v>
      </c>
      <c r="C1024" s="1766">
        <v>841915031</v>
      </c>
      <c r="D1024" s="423" t="s">
        <v>1505</v>
      </c>
      <c r="E1024" s="152" t="s">
        <v>1506</v>
      </c>
      <c r="F1024" s="1767">
        <v>2015</v>
      </c>
      <c r="G1024" s="398" t="s">
        <v>33</v>
      </c>
      <c r="H1024" s="163">
        <f t="shared" si="341"/>
        <v>43516</v>
      </c>
      <c r="I1024" s="163">
        <f t="shared" si="342"/>
        <v>43587</v>
      </c>
      <c r="J1024" s="1780"/>
      <c r="K1024" s="1601"/>
      <c r="L1024" s="1441"/>
      <c r="M1024" s="1781" t="s">
        <v>475</v>
      </c>
      <c r="N1024" s="1441"/>
      <c r="O1024" s="1781" t="s">
        <v>475</v>
      </c>
      <c r="P1024" s="1441"/>
      <c r="Q1024" s="1781" t="s">
        <v>475</v>
      </c>
      <c r="R1024" s="1597"/>
      <c r="S1024" s="1781" t="s">
        <v>475</v>
      </c>
      <c r="T1024" s="1597"/>
      <c r="U1024" s="1781" t="s">
        <v>475</v>
      </c>
      <c r="V1024" s="1597"/>
      <c r="W1024" s="1781" t="s">
        <v>475</v>
      </c>
      <c r="X1024" s="1801">
        <v>6000000</v>
      </c>
      <c r="Y1024" s="1799">
        <v>43510</v>
      </c>
      <c r="Z1024" s="1801">
        <v>6000000</v>
      </c>
      <c r="AA1024" s="1799">
        <v>43510</v>
      </c>
      <c r="AB1024" s="1816"/>
      <c r="AC1024" s="1817"/>
      <c r="AD1024" s="1818"/>
      <c r="AE1024" s="1817"/>
      <c r="AF1024" s="1818"/>
      <c r="AG1024" s="1829"/>
      <c r="AH1024" s="1625" t="str">
        <f t="shared" ref="AH1024:AH1036" si="343">E1024</f>
        <v>5000 Dok</v>
      </c>
      <c r="AI1024" s="1854">
        <f>SUM(J1024,L1024,N1024,P1024,R1024,T1024,V1024,X1024,Z1024,AB1024,AD1024,AF1024,AM1024,AO1024,AQ1024,AS1024,AU1024,AW1024,AY1024,BA1024)</f>
        <v>12000000</v>
      </c>
      <c r="AJ1024" s="1854">
        <f t="shared" ref="AJ1024:AJ1036" si="344">(COUNT(L1024,N1024,P1024,R1024,T1024,V1024,X1024,Z1024,AB1024,AD1024,AF1024,AM1024,AO1024)*$G$1247)+(COUNT(J1024)*$J$1247)+(COUNT(AQ1024)*$AR$1247)+(COUNT(AS1024)*$AT$1247)+(COUNT(AU1024)*$AV$1247)++(COUNT(AW1024)*$AX$1247)+(COUNT(AY1024)*$AZ$1247)+(COUNT(BA1024)*$BB$1247)</f>
        <v>12000000</v>
      </c>
      <c r="AK1024" s="1845">
        <f t="shared" ref="AK1024" si="345">AJ1024-AI1024</f>
        <v>0</v>
      </c>
      <c r="AL1024" s="1855" t="str">
        <f t="shared" ref="AL1024" si="346">IF(AK1024=0,"Lunas","Cek")</f>
        <v>Lunas</v>
      </c>
      <c r="AM1024" s="1410"/>
      <c r="AN1024" s="1411"/>
      <c r="AO1024" s="1410"/>
      <c r="AP1024" s="1411"/>
      <c r="AQ1024" s="1874"/>
      <c r="AR1024" s="1879" t="s">
        <v>1507</v>
      </c>
      <c r="AS1024" s="1874"/>
      <c r="AT1024" s="1879" t="s">
        <v>1507</v>
      </c>
      <c r="AU1024" s="1874"/>
      <c r="AV1024" s="1879" t="s">
        <v>1507</v>
      </c>
      <c r="AW1024" s="1874"/>
      <c r="AX1024" s="1879" t="s">
        <v>1507</v>
      </c>
      <c r="AY1024" s="1911"/>
      <c r="AZ1024" s="1879" t="s">
        <v>1507</v>
      </c>
      <c r="BA1024" s="1911"/>
      <c r="BB1024" s="1879"/>
    </row>
    <row r="1025" spans="1:54" s="2" customFormat="1" x14ac:dyDescent="0.25">
      <c r="A1025" s="164">
        <v>948</v>
      </c>
      <c r="B1025" s="427">
        <v>28</v>
      </c>
      <c r="C1025" s="468">
        <v>841915038</v>
      </c>
      <c r="D1025" s="430" t="s">
        <v>1508</v>
      </c>
      <c r="E1025" s="160" t="s">
        <v>1506</v>
      </c>
      <c r="F1025" s="1917">
        <v>2015</v>
      </c>
      <c r="G1025" s="398" t="s">
        <v>33</v>
      </c>
      <c r="H1025" s="163">
        <f t="shared" si="341"/>
        <v>43942</v>
      </c>
      <c r="I1025" s="163">
        <f t="shared" si="342"/>
        <v>44058</v>
      </c>
      <c r="J1025" s="1366"/>
      <c r="K1025" s="1500"/>
      <c r="L1025" s="1358"/>
      <c r="M1025" s="1390" t="s">
        <v>475</v>
      </c>
      <c r="N1025" s="1358"/>
      <c r="O1025" s="1390" t="s">
        <v>475</v>
      </c>
      <c r="P1025" s="1358"/>
      <c r="Q1025" s="1390" t="s">
        <v>475</v>
      </c>
      <c r="R1025" s="1472"/>
      <c r="S1025" s="1390" t="s">
        <v>475</v>
      </c>
      <c r="T1025" s="1472"/>
      <c r="U1025" s="1390" t="s">
        <v>475</v>
      </c>
      <c r="V1025" s="1472"/>
      <c r="W1025" s="1390" t="s">
        <v>475</v>
      </c>
      <c r="X1025" s="1801">
        <v>6000000</v>
      </c>
      <c r="Y1025" s="1799">
        <v>43815</v>
      </c>
      <c r="Z1025" s="1801">
        <v>6000000</v>
      </c>
      <c r="AA1025" s="1799">
        <v>43815</v>
      </c>
      <c r="AB1025" s="1801">
        <v>6000000</v>
      </c>
      <c r="AC1025" s="1799">
        <v>43815</v>
      </c>
      <c r="AD1025" s="1801">
        <v>6000000</v>
      </c>
      <c r="AE1025" s="1888">
        <v>43882</v>
      </c>
      <c r="AF1025" s="1945"/>
      <c r="AG1025" s="1667"/>
      <c r="AH1025" s="1625" t="str">
        <f t="shared" si="343"/>
        <v>5000 Dok</v>
      </c>
      <c r="AI1025" s="1854">
        <f t="shared" ref="AI1025:AI1036" si="347">SUM(J1025,L1025,N1025,P1025,R1025,T1025,V1025,X1025,Z1025,AB1025,AD1025,AF1025,AM1025,AO1025,AQ1025,AS1025,AU1025,AW1025,AY1025,BA1025)</f>
        <v>40500000</v>
      </c>
      <c r="AJ1025" s="1854">
        <f t="shared" si="344"/>
        <v>40500000</v>
      </c>
      <c r="AK1025" s="1845">
        <f t="shared" ref="AK1025:AK1036" si="348">AJ1025-AI1025</f>
        <v>0</v>
      </c>
      <c r="AL1025" s="1855" t="str">
        <f t="shared" ref="AL1025:AL1036" si="349">IF(AK1025=0,"Lunas","Cek")</f>
        <v>Lunas</v>
      </c>
      <c r="AM1025" s="1410"/>
      <c r="AN1025" s="1411"/>
      <c r="AO1025" s="1410"/>
      <c r="AP1025" s="1411"/>
      <c r="AQ1025" s="1874"/>
      <c r="AR1025" s="1879" t="s">
        <v>1507</v>
      </c>
      <c r="AS1025" s="1874"/>
      <c r="AT1025" s="1965" t="s">
        <v>1507</v>
      </c>
      <c r="AU1025" s="1876">
        <v>2000000</v>
      </c>
      <c r="AV1025" s="1882">
        <v>43815</v>
      </c>
      <c r="AW1025" s="1883">
        <v>4000000</v>
      </c>
      <c r="AX1025" s="1887">
        <v>43882</v>
      </c>
      <c r="AY1025" s="1911">
        <v>10000000</v>
      </c>
      <c r="AZ1025" s="1879">
        <v>43934</v>
      </c>
      <c r="BA1025" s="1912">
        <v>500000</v>
      </c>
      <c r="BB1025" s="1887">
        <v>43943</v>
      </c>
    </row>
    <row r="1026" spans="1:54" s="2" customFormat="1" x14ac:dyDescent="0.25">
      <c r="A1026" s="164">
        <v>949</v>
      </c>
      <c r="B1026" s="427">
        <v>29</v>
      </c>
      <c r="C1026" s="468">
        <v>841915032</v>
      </c>
      <c r="D1026" s="430" t="s">
        <v>1509</v>
      </c>
      <c r="E1026" s="160" t="s">
        <v>1506</v>
      </c>
      <c r="F1026" s="1917">
        <v>2015</v>
      </c>
      <c r="G1026" s="398" t="s">
        <v>33</v>
      </c>
      <c r="H1026" s="163">
        <f t="shared" si="341"/>
        <v>43902</v>
      </c>
      <c r="I1026" s="163">
        <f t="shared" si="342"/>
        <v>44058</v>
      </c>
      <c r="J1026" s="1366"/>
      <c r="K1026" s="1500"/>
      <c r="L1026" s="1358"/>
      <c r="M1026" s="1390" t="s">
        <v>475</v>
      </c>
      <c r="N1026" s="1358"/>
      <c r="O1026" s="1390" t="s">
        <v>475</v>
      </c>
      <c r="P1026" s="1358"/>
      <c r="Q1026" s="1390" t="s">
        <v>475</v>
      </c>
      <c r="R1026" s="1472"/>
      <c r="S1026" s="1390" t="s">
        <v>475</v>
      </c>
      <c r="T1026" s="1472"/>
      <c r="U1026" s="1390" t="s">
        <v>475</v>
      </c>
      <c r="V1026" s="1472"/>
      <c r="W1026" s="1390" t="s">
        <v>475</v>
      </c>
      <c r="X1026" s="1934">
        <v>6000000</v>
      </c>
      <c r="Y1026" s="1888">
        <v>43763</v>
      </c>
      <c r="Z1026" s="1934">
        <v>6000000</v>
      </c>
      <c r="AA1026" s="1888">
        <v>43763</v>
      </c>
      <c r="AB1026" s="1946">
        <v>6000000</v>
      </c>
      <c r="AC1026" s="1947">
        <v>43763</v>
      </c>
      <c r="AD1026" s="1801">
        <v>6000000</v>
      </c>
      <c r="AE1026" s="1947">
        <v>43903</v>
      </c>
      <c r="AF1026" s="1945"/>
      <c r="AG1026" s="1667"/>
      <c r="AH1026" s="1625" t="str">
        <f t="shared" si="343"/>
        <v>5000 Dok</v>
      </c>
      <c r="AI1026" s="1854">
        <f t="shared" si="347"/>
        <v>40500000</v>
      </c>
      <c r="AJ1026" s="1854">
        <f t="shared" si="344"/>
        <v>40500000</v>
      </c>
      <c r="AK1026" s="1845">
        <f t="shared" si="348"/>
        <v>0</v>
      </c>
      <c r="AL1026" s="1855" t="str">
        <f t="shared" si="349"/>
        <v>Lunas</v>
      </c>
      <c r="AM1026" s="1410"/>
      <c r="AN1026" s="1411"/>
      <c r="AO1026" s="1410"/>
      <c r="AP1026" s="1411"/>
      <c r="AQ1026" s="1874"/>
      <c r="AR1026" s="1879" t="s">
        <v>1510</v>
      </c>
      <c r="AS1026" s="1874"/>
      <c r="AT1026" s="1965" t="s">
        <v>1511</v>
      </c>
      <c r="AU1026" s="1876">
        <v>2000000</v>
      </c>
      <c r="AV1026" s="1882">
        <v>43763</v>
      </c>
      <c r="AW1026" s="1883">
        <v>4000000</v>
      </c>
      <c r="AX1026" s="1887">
        <v>43812.459895833301</v>
      </c>
      <c r="AY1026" s="1966">
        <v>10000000</v>
      </c>
      <c r="AZ1026" s="1882">
        <v>43889</v>
      </c>
      <c r="BA1026" s="1966">
        <v>500000</v>
      </c>
      <c r="BB1026" s="1947">
        <v>43903</v>
      </c>
    </row>
    <row r="1027" spans="1:54" s="2" customFormat="1" x14ac:dyDescent="0.25">
      <c r="A1027" s="164">
        <v>950</v>
      </c>
      <c r="B1027" s="427">
        <v>30</v>
      </c>
      <c r="C1027" s="468">
        <v>841915033</v>
      </c>
      <c r="D1027" s="211" t="s">
        <v>1512</v>
      </c>
      <c r="E1027" s="160" t="s">
        <v>1506</v>
      </c>
      <c r="F1027" s="213">
        <v>2015</v>
      </c>
      <c r="G1027" s="398" t="s">
        <v>33</v>
      </c>
      <c r="H1027" s="163">
        <f t="shared" si="341"/>
        <v>43903</v>
      </c>
      <c r="I1027" s="265" t="str">
        <f t="shared" si="342"/>
        <v xml:space="preserve">   </v>
      </c>
      <c r="J1027" s="1366"/>
      <c r="K1027" s="1500"/>
      <c r="L1027" s="1358"/>
      <c r="M1027" s="1390" t="s">
        <v>475</v>
      </c>
      <c r="N1027" s="1358"/>
      <c r="O1027" s="1390" t="s">
        <v>475</v>
      </c>
      <c r="P1027" s="1358"/>
      <c r="Q1027" s="1390" t="s">
        <v>475</v>
      </c>
      <c r="R1027" s="1472"/>
      <c r="S1027" s="1390" t="s">
        <v>475</v>
      </c>
      <c r="T1027" s="1472"/>
      <c r="U1027" s="1390" t="s">
        <v>475</v>
      </c>
      <c r="V1027" s="1472"/>
      <c r="W1027" s="1390" t="s">
        <v>475</v>
      </c>
      <c r="X1027" s="1801">
        <v>6000000</v>
      </c>
      <c r="Y1027" s="1799">
        <v>43816</v>
      </c>
      <c r="Z1027" s="1801">
        <v>6000000</v>
      </c>
      <c r="AA1027" s="1799">
        <v>43816</v>
      </c>
      <c r="AB1027" s="1801">
        <v>6000000</v>
      </c>
      <c r="AC1027" s="1799">
        <v>43816</v>
      </c>
      <c r="AD1027" s="1946">
        <v>6000000</v>
      </c>
      <c r="AE1027" s="1888">
        <v>43899</v>
      </c>
      <c r="AF1027" s="1945"/>
      <c r="AG1027" s="1667"/>
      <c r="AH1027" s="1625" t="str">
        <f t="shared" si="343"/>
        <v>5000 Dok</v>
      </c>
      <c r="AI1027" s="1854">
        <f t="shared" si="347"/>
        <v>38500000</v>
      </c>
      <c r="AJ1027" s="1854">
        <f t="shared" si="344"/>
        <v>38500000</v>
      </c>
      <c r="AK1027" s="1845">
        <f t="shared" si="348"/>
        <v>0</v>
      </c>
      <c r="AL1027" s="1855" t="str">
        <f t="shared" si="349"/>
        <v>Lunas</v>
      </c>
      <c r="AM1027" s="1410"/>
      <c r="AN1027" s="1411"/>
      <c r="AO1027" s="1410"/>
      <c r="AP1027" s="1411"/>
      <c r="AQ1027" s="1874"/>
      <c r="AR1027" s="1879" t="s">
        <v>1510</v>
      </c>
      <c r="AS1027" s="1874"/>
      <c r="AT1027" s="1965" t="s">
        <v>1511</v>
      </c>
      <c r="AU1027" s="1874"/>
      <c r="AV1027" s="1965" t="s">
        <v>1511</v>
      </c>
      <c r="AW1027" s="1876">
        <v>4000000</v>
      </c>
      <c r="AX1027" s="1882">
        <v>43816</v>
      </c>
      <c r="AY1027" s="1912">
        <v>10000000</v>
      </c>
      <c r="AZ1027" s="1887">
        <v>43899</v>
      </c>
      <c r="BA1027" s="1966">
        <v>500000</v>
      </c>
      <c r="BB1027" s="1887">
        <v>43906</v>
      </c>
    </row>
    <row r="1028" spans="1:54" s="2" customFormat="1" x14ac:dyDescent="0.25">
      <c r="A1028" s="164">
        <v>951</v>
      </c>
      <c r="B1028" s="427">
        <v>31</v>
      </c>
      <c r="C1028" s="468">
        <v>841915034</v>
      </c>
      <c r="D1028" s="401" t="s">
        <v>1513</v>
      </c>
      <c r="E1028" s="160" t="s">
        <v>1506</v>
      </c>
      <c r="F1028" s="213">
        <v>2015</v>
      </c>
      <c r="G1028" s="398" t="s">
        <v>33</v>
      </c>
      <c r="H1028" s="163">
        <f t="shared" si="341"/>
        <v>44118</v>
      </c>
      <c r="I1028" s="265" t="str">
        <f t="shared" si="342"/>
        <v xml:space="preserve">   </v>
      </c>
      <c r="J1028" s="1366"/>
      <c r="K1028" s="1500"/>
      <c r="L1028" s="1924"/>
      <c r="M1028" s="1362" t="s">
        <v>475</v>
      </c>
      <c r="N1028" s="1924"/>
      <c r="O1028" s="1362" t="s">
        <v>475</v>
      </c>
      <c r="P1028" s="1924"/>
      <c r="Q1028" s="1362" t="s">
        <v>475</v>
      </c>
      <c r="R1028" s="1935"/>
      <c r="S1028" s="1362" t="s">
        <v>475</v>
      </c>
      <c r="T1028" s="1935"/>
      <c r="U1028" s="1362" t="s">
        <v>475</v>
      </c>
      <c r="V1028" s="1935"/>
      <c r="W1028" s="1362" t="s">
        <v>475</v>
      </c>
      <c r="X1028" s="1794">
        <v>6000000</v>
      </c>
      <c r="Y1028" s="1822">
        <v>43690</v>
      </c>
      <c r="Z1028" s="1794">
        <v>6000000</v>
      </c>
      <c r="AA1028" s="1822">
        <v>43690</v>
      </c>
      <c r="AB1028" s="1794">
        <v>6000000</v>
      </c>
      <c r="AC1028" s="1820">
        <v>43747</v>
      </c>
      <c r="AD1028" s="1948">
        <v>6000000</v>
      </c>
      <c r="AE1028" s="1949">
        <v>43852.544606481497</v>
      </c>
      <c r="AF1028" s="1819" t="str">
        <f>IFERROR(VLOOKUP(C1028,BSP,3,FALSE),"  ")</f>
        <v xml:space="preserve">  </v>
      </c>
      <c r="AG1028" s="1360" t="str">
        <f>IFERROR((VLOOKUP(C1028,BSP,4,FALSE)),"  ")</f>
        <v xml:space="preserve">  </v>
      </c>
      <c r="AH1028" s="1625" t="str">
        <f t="shared" si="343"/>
        <v>5000 Dok</v>
      </c>
      <c r="AI1028" s="1963">
        <f t="shared" si="347"/>
        <v>41500000</v>
      </c>
      <c r="AJ1028" s="1963">
        <f t="shared" si="344"/>
        <v>41500000</v>
      </c>
      <c r="AK1028" s="1836">
        <f t="shared" si="348"/>
        <v>0</v>
      </c>
      <c r="AL1028" s="1855" t="str">
        <f t="shared" si="349"/>
        <v>Lunas</v>
      </c>
      <c r="AM1028" s="1410"/>
      <c r="AN1028" s="1411"/>
      <c r="AO1028" s="1410"/>
      <c r="AP1028" s="1411"/>
      <c r="AQ1028" s="1731"/>
      <c r="AR1028" s="1870" t="s">
        <v>1507</v>
      </c>
      <c r="AS1028" s="1880">
        <v>1500000</v>
      </c>
      <c r="AT1028" s="1820">
        <v>43747</v>
      </c>
      <c r="AU1028" s="1880">
        <v>2000000</v>
      </c>
      <c r="AV1028" s="1949">
        <v>43852.544606481497</v>
      </c>
      <c r="AW1028" s="1880">
        <v>4000000</v>
      </c>
      <c r="AX1028" s="1891">
        <v>43928</v>
      </c>
      <c r="AY1028" s="1913">
        <v>10000000</v>
      </c>
      <c r="AZ1028" s="1885">
        <v>44014</v>
      </c>
      <c r="BA1028" s="1906"/>
      <c r="BB1028" s="1870"/>
    </row>
    <row r="1029" spans="1:54" s="2" customFormat="1" x14ac:dyDescent="0.25">
      <c r="A1029" s="164">
        <v>952</v>
      </c>
      <c r="B1029" s="427">
        <v>32</v>
      </c>
      <c r="C1029" s="468">
        <v>841915035</v>
      </c>
      <c r="D1029" s="211" t="s">
        <v>1514</v>
      </c>
      <c r="E1029" s="160" t="s">
        <v>1506</v>
      </c>
      <c r="F1029" s="213">
        <v>2015</v>
      </c>
      <c r="G1029" s="272" t="s">
        <v>33</v>
      </c>
      <c r="H1029" s="163">
        <f t="shared" si="341"/>
        <v>43516</v>
      </c>
      <c r="I1029" s="163">
        <f t="shared" si="342"/>
        <v>43587</v>
      </c>
      <c r="J1029" s="1366"/>
      <c r="K1029" s="1500"/>
      <c r="L1029" s="1358"/>
      <c r="M1029" s="1390" t="s">
        <v>475</v>
      </c>
      <c r="N1029" s="1358"/>
      <c r="O1029" s="1390" t="s">
        <v>475</v>
      </c>
      <c r="P1029" s="1358"/>
      <c r="Q1029" s="1390" t="s">
        <v>475</v>
      </c>
      <c r="R1029" s="1472"/>
      <c r="S1029" s="1390" t="s">
        <v>475</v>
      </c>
      <c r="T1029" s="1472"/>
      <c r="U1029" s="1390" t="s">
        <v>475</v>
      </c>
      <c r="V1029" s="1472"/>
      <c r="W1029" s="1390" t="s">
        <v>475</v>
      </c>
      <c r="X1029" s="1801">
        <v>6000000</v>
      </c>
      <c r="Y1029" s="1799">
        <v>43510</v>
      </c>
      <c r="Z1029" s="1801">
        <v>6000000</v>
      </c>
      <c r="AA1029" s="1799">
        <v>43510</v>
      </c>
      <c r="AB1029" s="1389"/>
      <c r="AC1029" s="1654"/>
      <c r="AD1029" s="1821"/>
      <c r="AE1029" s="1654"/>
      <c r="AF1029" s="1821"/>
      <c r="AG1029" s="1667"/>
      <c r="AH1029" s="1625" t="str">
        <f t="shared" si="343"/>
        <v>5000 Dok</v>
      </c>
      <c r="AI1029" s="1963">
        <f t="shared" si="347"/>
        <v>12000000</v>
      </c>
      <c r="AJ1029" s="1854">
        <f t="shared" si="344"/>
        <v>12000000</v>
      </c>
      <c r="AK1029" s="1845">
        <f t="shared" si="348"/>
        <v>0</v>
      </c>
      <c r="AL1029" s="1855" t="str">
        <f t="shared" si="349"/>
        <v>Lunas</v>
      </c>
      <c r="AM1029" s="1410"/>
      <c r="AN1029" s="1411"/>
      <c r="AO1029" s="1410"/>
      <c r="AP1029" s="1411"/>
      <c r="AQ1029" s="1874"/>
      <c r="AR1029" s="1879" t="s">
        <v>1507</v>
      </c>
      <c r="AS1029" s="1874"/>
      <c r="AT1029" s="1879" t="s">
        <v>1507</v>
      </c>
      <c r="AU1029" s="1874"/>
      <c r="AV1029" s="1879" t="s">
        <v>1507</v>
      </c>
      <c r="AW1029" s="1874"/>
      <c r="AX1029" s="1879" t="s">
        <v>1507</v>
      </c>
      <c r="AY1029" s="1911"/>
      <c r="AZ1029" s="1879" t="s">
        <v>1507</v>
      </c>
      <c r="BA1029" s="1911"/>
      <c r="BB1029" s="1879"/>
    </row>
    <row r="1030" spans="1:54" s="2" customFormat="1" x14ac:dyDescent="0.25">
      <c r="A1030" s="164">
        <v>953</v>
      </c>
      <c r="B1030" s="427">
        <v>33</v>
      </c>
      <c r="C1030" s="468">
        <v>841915036</v>
      </c>
      <c r="D1030" s="401" t="s">
        <v>1515</v>
      </c>
      <c r="E1030" s="402" t="s">
        <v>1506</v>
      </c>
      <c r="F1030" s="403">
        <v>2015</v>
      </c>
      <c r="G1030" s="1758" t="s">
        <v>28</v>
      </c>
      <c r="H1030" s="265" t="str">
        <f t="shared" si="341"/>
        <v xml:space="preserve">   </v>
      </c>
      <c r="I1030" s="265" t="str">
        <f t="shared" si="342"/>
        <v xml:space="preserve">   </v>
      </c>
      <c r="J1030" s="1366"/>
      <c r="K1030" s="1500"/>
      <c r="L1030" s="1924"/>
      <c r="M1030" s="1362" t="s">
        <v>475</v>
      </c>
      <c r="N1030" s="1924"/>
      <c r="O1030" s="1362" t="s">
        <v>475</v>
      </c>
      <c r="P1030" s="1924"/>
      <c r="Q1030" s="1362" t="s">
        <v>475</v>
      </c>
      <c r="R1030" s="1935"/>
      <c r="S1030" s="1362" t="s">
        <v>475</v>
      </c>
      <c r="T1030" s="1935"/>
      <c r="U1030" s="1362" t="s">
        <v>475</v>
      </c>
      <c r="V1030" s="1935"/>
      <c r="W1030" s="1362" t="s">
        <v>475</v>
      </c>
      <c r="X1030" s="1794">
        <v>6000000</v>
      </c>
      <c r="Y1030" s="1820">
        <v>43908</v>
      </c>
      <c r="Z1030" s="1794">
        <v>6000000</v>
      </c>
      <c r="AA1030" s="1820">
        <v>43908</v>
      </c>
      <c r="AB1030" s="1794">
        <v>6000000</v>
      </c>
      <c r="AC1030" s="1820">
        <v>43908</v>
      </c>
      <c r="AD1030" s="1794">
        <v>6000000</v>
      </c>
      <c r="AE1030" s="1820">
        <v>43908</v>
      </c>
      <c r="AF1030" s="1819" t="str">
        <f>IFERROR(VLOOKUP(C1030,BSP,3,FALSE),"  ")</f>
        <v xml:space="preserve">  </v>
      </c>
      <c r="AG1030" s="1360" t="str">
        <f>IFERROR((VLOOKUP(C1030,BSP,4,FALSE)),"  ")</f>
        <v xml:space="preserve">  </v>
      </c>
      <c r="AH1030" s="1625" t="str">
        <f t="shared" si="343"/>
        <v>5000 Dok</v>
      </c>
      <c r="AI1030" s="1963">
        <f t="shared" si="347"/>
        <v>24000000</v>
      </c>
      <c r="AJ1030" s="1963">
        <f t="shared" si="344"/>
        <v>24000000</v>
      </c>
      <c r="AK1030" s="1836">
        <f t="shared" si="348"/>
        <v>0</v>
      </c>
      <c r="AL1030" s="1855" t="str">
        <f t="shared" si="349"/>
        <v>Lunas</v>
      </c>
      <c r="AM1030" s="1410"/>
      <c r="AN1030" s="1411"/>
      <c r="AO1030" s="1410"/>
      <c r="AP1030" s="1411"/>
      <c r="AQ1030" s="1731"/>
      <c r="AR1030" s="1870"/>
      <c r="AS1030" s="1731"/>
      <c r="AT1030" s="1871"/>
      <c r="AU1030" s="1731"/>
      <c r="AV1030" s="1870"/>
      <c r="AW1030" s="1731"/>
      <c r="AX1030" s="1870"/>
      <c r="AY1030" s="1906"/>
      <c r="AZ1030" s="1870"/>
      <c r="BA1030" s="1906"/>
      <c r="BB1030" s="1870"/>
    </row>
    <row r="1031" spans="1:54" s="2" customFormat="1" x14ac:dyDescent="0.25">
      <c r="A1031" s="164">
        <v>954</v>
      </c>
      <c r="B1031" s="427">
        <v>34</v>
      </c>
      <c r="C1031" s="468">
        <v>841915037</v>
      </c>
      <c r="D1031" s="211" t="s">
        <v>1516</v>
      </c>
      <c r="E1031" s="160" t="s">
        <v>1506</v>
      </c>
      <c r="F1031" s="213">
        <v>2015</v>
      </c>
      <c r="G1031" s="272" t="s">
        <v>33</v>
      </c>
      <c r="H1031" s="163">
        <f t="shared" si="341"/>
        <v>43980</v>
      </c>
      <c r="I1031" s="163">
        <f t="shared" si="342"/>
        <v>44058</v>
      </c>
      <c r="J1031" s="1366"/>
      <c r="K1031" s="1500"/>
      <c r="L1031" s="1358"/>
      <c r="M1031" s="1390" t="s">
        <v>475</v>
      </c>
      <c r="N1031" s="1358"/>
      <c r="O1031" s="1390" t="s">
        <v>475</v>
      </c>
      <c r="P1031" s="1358"/>
      <c r="Q1031" s="1390" t="s">
        <v>475</v>
      </c>
      <c r="R1031" s="1472"/>
      <c r="S1031" s="1390" t="s">
        <v>475</v>
      </c>
      <c r="T1031" s="1472"/>
      <c r="U1031" s="1390" t="s">
        <v>475</v>
      </c>
      <c r="V1031" s="1472"/>
      <c r="W1031" s="1390" t="s">
        <v>475</v>
      </c>
      <c r="X1031" s="1934">
        <v>6000000</v>
      </c>
      <c r="Y1031" s="1888">
        <v>43900</v>
      </c>
      <c r="Z1031" s="1934">
        <v>6000000</v>
      </c>
      <c r="AA1031" s="1888">
        <v>43900</v>
      </c>
      <c r="AB1031" s="1934">
        <v>6000000</v>
      </c>
      <c r="AC1031" s="1888">
        <v>43900</v>
      </c>
      <c r="AD1031" s="1934">
        <v>6000000</v>
      </c>
      <c r="AE1031" s="1888">
        <v>43900</v>
      </c>
      <c r="AF1031" s="1821"/>
      <c r="AG1031" s="1667"/>
      <c r="AH1031" s="1625" t="str">
        <f t="shared" si="343"/>
        <v>5000 Dok</v>
      </c>
      <c r="AI1031" s="1963">
        <f t="shared" si="347"/>
        <v>40500000</v>
      </c>
      <c r="AJ1031" s="1963">
        <f t="shared" si="344"/>
        <v>40500000</v>
      </c>
      <c r="AK1031" s="1836">
        <f t="shared" si="348"/>
        <v>0</v>
      </c>
      <c r="AL1031" s="1855" t="str">
        <f t="shared" si="349"/>
        <v>Lunas</v>
      </c>
      <c r="AM1031" s="1410"/>
      <c r="AN1031" s="1411"/>
      <c r="AO1031" s="1410"/>
      <c r="AP1031" s="1411"/>
      <c r="AQ1031" s="1874"/>
      <c r="AR1031" s="1879" t="s">
        <v>1511</v>
      </c>
      <c r="AS1031" s="1874"/>
      <c r="AT1031" s="1879" t="s">
        <v>1511</v>
      </c>
      <c r="AU1031" s="1876">
        <v>2000000</v>
      </c>
      <c r="AV1031" s="1799">
        <v>43900</v>
      </c>
      <c r="AW1031" s="1883">
        <v>4000000</v>
      </c>
      <c r="AX1031" s="1887">
        <v>43928</v>
      </c>
      <c r="AY1031" s="1912">
        <v>10000000</v>
      </c>
      <c r="AZ1031" s="1887">
        <v>43971</v>
      </c>
      <c r="BA1031" s="1912">
        <v>500000</v>
      </c>
      <c r="BB1031" s="1887">
        <v>44040</v>
      </c>
    </row>
    <row r="1032" spans="1:54" s="2" customFormat="1" x14ac:dyDescent="0.25">
      <c r="A1032" s="164">
        <v>955</v>
      </c>
      <c r="B1032" s="427">
        <v>35</v>
      </c>
      <c r="C1032" s="468">
        <v>841915039</v>
      </c>
      <c r="D1032" s="401" t="s">
        <v>1517</v>
      </c>
      <c r="E1032" s="402" t="s">
        <v>1506</v>
      </c>
      <c r="F1032" s="403">
        <v>2015</v>
      </c>
      <c r="G1032" s="1758" t="s">
        <v>28</v>
      </c>
      <c r="H1032" s="265" t="str">
        <f t="shared" si="341"/>
        <v xml:space="preserve">   </v>
      </c>
      <c r="I1032" s="265" t="str">
        <f t="shared" si="342"/>
        <v xml:space="preserve">   </v>
      </c>
      <c r="J1032" s="1366"/>
      <c r="K1032" s="1500"/>
      <c r="L1032" s="1924"/>
      <c r="M1032" s="1362" t="s">
        <v>475</v>
      </c>
      <c r="N1032" s="1924"/>
      <c r="O1032" s="1362" t="s">
        <v>475</v>
      </c>
      <c r="P1032" s="1924"/>
      <c r="Q1032" s="1362" t="s">
        <v>475</v>
      </c>
      <c r="R1032" s="1935"/>
      <c r="S1032" s="1362" t="s">
        <v>475</v>
      </c>
      <c r="T1032" s="1935"/>
      <c r="U1032" s="1362" t="s">
        <v>475</v>
      </c>
      <c r="V1032" s="1935"/>
      <c r="W1032" s="1362" t="s">
        <v>475</v>
      </c>
      <c r="X1032" s="1430">
        <v>0</v>
      </c>
      <c r="Y1032" s="1360"/>
      <c r="Z1032" s="1430">
        <v>0</v>
      </c>
      <c r="AA1032" s="1360"/>
      <c r="AB1032" s="1430">
        <v>0</v>
      </c>
      <c r="AC1032" s="1360"/>
      <c r="AD1032" s="1945">
        <v>0</v>
      </c>
      <c r="AE1032" s="1667"/>
      <c r="AF1032" s="1819" t="str">
        <f>IFERROR(VLOOKUP(C1032,BSP,3,FALSE),"  ")</f>
        <v xml:space="preserve">  </v>
      </c>
      <c r="AG1032" s="1360" t="str">
        <f>IFERROR((VLOOKUP(C1032,BSP,4,FALSE)),"  ")</f>
        <v xml:space="preserve">  </v>
      </c>
      <c r="AH1032" s="1625" t="str">
        <f t="shared" si="343"/>
        <v>5000 Dok</v>
      </c>
      <c r="AI1032" s="1963">
        <f t="shared" si="347"/>
        <v>0</v>
      </c>
      <c r="AJ1032" s="1963">
        <f t="shared" si="344"/>
        <v>24000000</v>
      </c>
      <c r="AK1032" s="1836">
        <f t="shared" si="348"/>
        <v>24000000</v>
      </c>
      <c r="AL1032" s="1855" t="str">
        <f t="shared" si="349"/>
        <v>Cek</v>
      </c>
      <c r="AM1032" s="1410"/>
      <c r="AN1032" s="1411"/>
      <c r="AO1032" s="1410"/>
      <c r="AP1032" s="1411"/>
      <c r="AQ1032" s="1731"/>
      <c r="AR1032" s="1870"/>
      <c r="AS1032" s="1731"/>
      <c r="AT1032" s="1871"/>
      <c r="AU1032" s="1731"/>
      <c r="AV1032" s="1870"/>
      <c r="AW1032" s="1731"/>
      <c r="AX1032" s="1870"/>
      <c r="AY1032" s="1906"/>
      <c r="AZ1032" s="1870"/>
      <c r="BA1032" s="1906"/>
      <c r="BB1032" s="1870"/>
    </row>
    <row r="1033" spans="1:54" s="2" customFormat="1" x14ac:dyDescent="0.25">
      <c r="A1033" s="164">
        <v>956</v>
      </c>
      <c r="B1033" s="427">
        <v>36</v>
      </c>
      <c r="C1033" s="468">
        <v>841915040</v>
      </c>
      <c r="D1033" s="211" t="s">
        <v>1518</v>
      </c>
      <c r="E1033" s="160" t="s">
        <v>1506</v>
      </c>
      <c r="F1033" s="213">
        <v>2015</v>
      </c>
      <c r="G1033" s="272" t="s">
        <v>33</v>
      </c>
      <c r="H1033" s="163">
        <f t="shared" si="341"/>
        <v>43602</v>
      </c>
      <c r="I1033" s="163">
        <f t="shared" si="342"/>
        <v>43750</v>
      </c>
      <c r="J1033" s="1366"/>
      <c r="K1033" s="1500"/>
      <c r="L1033" s="1358"/>
      <c r="M1033" s="1390" t="s">
        <v>475</v>
      </c>
      <c r="N1033" s="1358"/>
      <c r="O1033" s="1390" t="s">
        <v>475</v>
      </c>
      <c r="P1033" s="1358"/>
      <c r="Q1033" s="1390" t="s">
        <v>475</v>
      </c>
      <c r="R1033" s="1472"/>
      <c r="S1033" s="1390" t="s">
        <v>475</v>
      </c>
      <c r="T1033" s="1472"/>
      <c r="U1033" s="1390" t="s">
        <v>475</v>
      </c>
      <c r="V1033" s="1472"/>
      <c r="W1033" s="1390" t="s">
        <v>475</v>
      </c>
      <c r="X1033" s="1801">
        <v>6000000</v>
      </c>
      <c r="Y1033" s="1799">
        <v>43670</v>
      </c>
      <c r="Z1033" s="1801">
        <v>6000000</v>
      </c>
      <c r="AA1033" s="1799">
        <v>43670</v>
      </c>
      <c r="AB1033" s="1389"/>
      <c r="AC1033" s="1654"/>
      <c r="AD1033" s="1821"/>
      <c r="AE1033" s="1654"/>
      <c r="AF1033" s="1821"/>
      <c r="AG1033" s="1667"/>
      <c r="AH1033" s="1625" t="str">
        <f t="shared" si="343"/>
        <v>5000 Dok</v>
      </c>
      <c r="AI1033" s="1854">
        <f t="shared" si="347"/>
        <v>12000000</v>
      </c>
      <c r="AJ1033" s="1854">
        <f t="shared" si="344"/>
        <v>12000000</v>
      </c>
      <c r="AK1033" s="1845">
        <f t="shared" si="348"/>
        <v>0</v>
      </c>
      <c r="AL1033" s="1964" t="str">
        <f t="shared" si="349"/>
        <v>Lunas</v>
      </c>
      <c r="AM1033" s="1410"/>
      <c r="AN1033" s="1411"/>
      <c r="AO1033" s="1410"/>
      <c r="AP1033" s="1411"/>
      <c r="AQ1033" s="1874"/>
      <c r="AR1033" s="1879" t="s">
        <v>1507</v>
      </c>
      <c r="AS1033" s="1874"/>
      <c r="AT1033" s="1879" t="s">
        <v>1507</v>
      </c>
      <c r="AU1033" s="1874"/>
      <c r="AV1033" s="1879" t="s">
        <v>1507</v>
      </c>
      <c r="AW1033" s="1874"/>
      <c r="AX1033" s="1879" t="s">
        <v>1507</v>
      </c>
      <c r="AY1033" s="1911"/>
      <c r="AZ1033" s="1879" t="s">
        <v>1507</v>
      </c>
      <c r="BA1033" s="1911"/>
      <c r="BB1033" s="1879"/>
    </row>
    <row r="1034" spans="1:54" s="2" customFormat="1" x14ac:dyDescent="0.25">
      <c r="A1034" s="164">
        <v>957</v>
      </c>
      <c r="B1034" s="427">
        <v>37</v>
      </c>
      <c r="C1034" s="468">
        <v>841915027</v>
      </c>
      <c r="D1034" s="401" t="s">
        <v>1519</v>
      </c>
      <c r="E1034" s="402" t="s">
        <v>1506</v>
      </c>
      <c r="F1034" s="403">
        <v>2015</v>
      </c>
      <c r="G1034" s="1758" t="s">
        <v>28</v>
      </c>
      <c r="H1034" s="265" t="str">
        <f t="shared" si="341"/>
        <v xml:space="preserve">   </v>
      </c>
      <c r="I1034" s="265" t="str">
        <f t="shared" si="342"/>
        <v xml:space="preserve">   </v>
      </c>
      <c r="J1034" s="1366"/>
      <c r="K1034" s="1500"/>
      <c r="L1034" s="1924"/>
      <c r="M1034" s="1362" t="s">
        <v>475</v>
      </c>
      <c r="N1034" s="1924"/>
      <c r="O1034" s="1362" t="s">
        <v>475</v>
      </c>
      <c r="P1034" s="1924"/>
      <c r="Q1034" s="1362" t="s">
        <v>475</v>
      </c>
      <c r="R1034" s="1935"/>
      <c r="S1034" s="1362" t="s">
        <v>475</v>
      </c>
      <c r="T1034" s="1935"/>
      <c r="U1034" s="1362" t="s">
        <v>475</v>
      </c>
      <c r="V1034" s="1935"/>
      <c r="W1034" s="1362" t="s">
        <v>475</v>
      </c>
      <c r="X1034" s="1794">
        <v>6000000</v>
      </c>
      <c r="Y1034" s="1822">
        <v>43910</v>
      </c>
      <c r="Z1034" s="1794">
        <v>6000000</v>
      </c>
      <c r="AA1034" s="1822">
        <v>43910</v>
      </c>
      <c r="AB1034" s="1794">
        <v>6000000</v>
      </c>
      <c r="AC1034" s="1822">
        <v>43910</v>
      </c>
      <c r="AD1034" s="1794">
        <v>6000000</v>
      </c>
      <c r="AE1034" s="1822">
        <v>43910</v>
      </c>
      <c r="AF1034" s="1819" t="str">
        <f>IFERROR(VLOOKUP(C1034,BSP,3,FALSE),"  ")</f>
        <v xml:space="preserve">  </v>
      </c>
      <c r="AG1034" s="1360" t="str">
        <f>IFERROR((VLOOKUP(C1034,BSP,4,FALSE)),"  ")</f>
        <v xml:space="preserve">  </v>
      </c>
      <c r="AH1034" s="1625" t="str">
        <f t="shared" si="343"/>
        <v>5000 Dok</v>
      </c>
      <c r="AI1034" s="1963">
        <f t="shared" si="347"/>
        <v>24000000</v>
      </c>
      <c r="AJ1034" s="1963">
        <f t="shared" si="344"/>
        <v>24000000</v>
      </c>
      <c r="AK1034" s="1836">
        <f t="shared" si="348"/>
        <v>0</v>
      </c>
      <c r="AL1034" s="1855" t="str">
        <f t="shared" si="349"/>
        <v>Lunas</v>
      </c>
      <c r="AM1034" s="1410"/>
      <c r="AN1034" s="1411"/>
      <c r="AO1034" s="1410"/>
      <c r="AP1034" s="1411"/>
      <c r="AQ1034" s="1731"/>
      <c r="AR1034" s="1870"/>
      <c r="AS1034" s="1731"/>
      <c r="AT1034" s="1871"/>
      <c r="AU1034" s="1731"/>
      <c r="AV1034" s="1870"/>
      <c r="AW1034" s="1731"/>
      <c r="AX1034" s="1870"/>
      <c r="AY1034" s="1906"/>
      <c r="AZ1034" s="1870"/>
      <c r="BA1034" s="1906"/>
      <c r="BB1034" s="1870"/>
    </row>
    <row r="1035" spans="1:54" s="2" customFormat="1" x14ac:dyDescent="0.25">
      <c r="A1035" s="164">
        <v>958</v>
      </c>
      <c r="B1035" s="427">
        <v>38</v>
      </c>
      <c r="C1035" s="464">
        <v>841915025</v>
      </c>
      <c r="D1035" s="211" t="s">
        <v>1520</v>
      </c>
      <c r="E1035" s="160" t="s">
        <v>1506</v>
      </c>
      <c r="F1035" s="213">
        <v>2015</v>
      </c>
      <c r="G1035" s="272" t="s">
        <v>33</v>
      </c>
      <c r="H1035" s="163">
        <f t="shared" si="341"/>
        <v>44042</v>
      </c>
      <c r="I1035" s="163" t="str">
        <f t="shared" si="342"/>
        <v xml:space="preserve">   </v>
      </c>
      <c r="J1035" s="1366"/>
      <c r="K1035" s="1500"/>
      <c r="L1035" s="1358"/>
      <c r="M1035" s="1390" t="s">
        <v>475</v>
      </c>
      <c r="N1035" s="1358"/>
      <c r="O1035" s="1390" t="s">
        <v>475</v>
      </c>
      <c r="P1035" s="1358"/>
      <c r="Q1035" s="1390" t="s">
        <v>475</v>
      </c>
      <c r="R1035" s="1472"/>
      <c r="S1035" s="1390" t="s">
        <v>475</v>
      </c>
      <c r="T1035" s="1472"/>
      <c r="U1035" s="1390" t="s">
        <v>475</v>
      </c>
      <c r="V1035" s="1472"/>
      <c r="W1035" s="1390" t="s">
        <v>475</v>
      </c>
      <c r="X1035" s="1936">
        <v>6000000</v>
      </c>
      <c r="Y1035" s="1888">
        <v>43815</v>
      </c>
      <c r="Z1035" s="1936">
        <v>6000000</v>
      </c>
      <c r="AA1035" s="1888">
        <v>43815</v>
      </c>
      <c r="AB1035" s="1936">
        <v>6000000</v>
      </c>
      <c r="AC1035" s="1888">
        <v>43815</v>
      </c>
      <c r="AD1035" s="1936">
        <v>6000000</v>
      </c>
      <c r="AE1035" s="1950">
        <v>43861</v>
      </c>
      <c r="AF1035" s="1821"/>
      <c r="AG1035" s="1667"/>
      <c r="AH1035" s="1625" t="str">
        <f t="shared" si="343"/>
        <v>5000 Dok</v>
      </c>
      <c r="AI1035" s="1963">
        <f t="shared" si="347"/>
        <v>34000000</v>
      </c>
      <c r="AJ1035" s="1963">
        <f t="shared" si="344"/>
        <v>40000000</v>
      </c>
      <c r="AK1035" s="1836">
        <f t="shared" si="348"/>
        <v>6000000</v>
      </c>
      <c r="AL1035" s="1855" t="str">
        <f t="shared" si="349"/>
        <v>Cek</v>
      </c>
      <c r="AM1035" s="1410"/>
      <c r="AN1035" s="1411"/>
      <c r="AO1035" s="1410"/>
      <c r="AP1035" s="1411"/>
      <c r="AQ1035" s="1874"/>
      <c r="AR1035" s="1879" t="s">
        <v>1521</v>
      </c>
      <c r="AS1035" s="1874"/>
      <c r="AT1035" s="1879" t="s">
        <v>1521</v>
      </c>
      <c r="AU1035" s="1876">
        <v>2000000</v>
      </c>
      <c r="AV1035" s="1882">
        <v>43815</v>
      </c>
      <c r="AW1035" s="1883">
        <v>4000000</v>
      </c>
      <c r="AX1035" s="1887">
        <v>43941</v>
      </c>
      <c r="AY1035" s="1966">
        <v>4000000</v>
      </c>
      <c r="AZ1035" s="1882">
        <v>43941</v>
      </c>
      <c r="BA1035" s="1906"/>
      <c r="BB1035" s="1870"/>
    </row>
    <row r="1036" spans="1:54" s="2" customFormat="1" x14ac:dyDescent="0.25">
      <c r="A1036" s="216">
        <v>959</v>
      </c>
      <c r="B1036" s="431">
        <v>39</v>
      </c>
      <c r="C1036" s="1918">
        <v>841915012</v>
      </c>
      <c r="D1036" s="432" t="s">
        <v>1522</v>
      </c>
      <c r="E1036" s="411" t="s">
        <v>1506</v>
      </c>
      <c r="F1036" s="433">
        <v>2015</v>
      </c>
      <c r="G1036" s="1758" t="s">
        <v>28</v>
      </c>
      <c r="H1036" s="364" t="str">
        <f t="shared" si="341"/>
        <v xml:space="preserve">   </v>
      </c>
      <c r="I1036" s="364" t="str">
        <f t="shared" si="342"/>
        <v xml:space="preserve">   </v>
      </c>
      <c r="J1036" s="1444"/>
      <c r="K1036" s="1501"/>
      <c r="L1036" s="1925"/>
      <c r="M1036" s="1926" t="s">
        <v>475</v>
      </c>
      <c r="N1036" s="1925"/>
      <c r="O1036" s="1926" t="s">
        <v>475</v>
      </c>
      <c r="P1036" s="1925"/>
      <c r="Q1036" s="1926" t="s">
        <v>475</v>
      </c>
      <c r="R1036" s="1937"/>
      <c r="S1036" s="1926" t="s">
        <v>475</v>
      </c>
      <c r="T1036" s="1937"/>
      <c r="U1036" s="1926" t="s">
        <v>475</v>
      </c>
      <c r="V1036" s="1937"/>
      <c r="W1036" s="1926" t="s">
        <v>475</v>
      </c>
      <c r="X1036" s="1448">
        <v>0</v>
      </c>
      <c r="Y1036" s="1557"/>
      <c r="Z1036" s="1448">
        <v>0</v>
      </c>
      <c r="AA1036" s="1557"/>
      <c r="AB1036" s="1448">
        <v>0</v>
      </c>
      <c r="AC1036" s="1557"/>
      <c r="AD1036" s="1951">
        <v>0</v>
      </c>
      <c r="AE1036" s="1729"/>
      <c r="AF1036" s="1819" t="str">
        <f>IFERROR(VLOOKUP(C1036,BSP,3,FALSE),"  ")</f>
        <v xml:space="preserve">  </v>
      </c>
      <c r="AG1036" s="1360" t="str">
        <f>IFERROR((VLOOKUP(C1036,BSP,4,FALSE)),"  ")</f>
        <v xml:space="preserve">  </v>
      </c>
      <c r="AH1036" s="1625" t="str">
        <f t="shared" si="343"/>
        <v>5000 Dok</v>
      </c>
      <c r="AI1036" s="1963">
        <f t="shared" si="347"/>
        <v>0</v>
      </c>
      <c r="AJ1036" s="1963">
        <f t="shared" si="344"/>
        <v>24000000</v>
      </c>
      <c r="AK1036" s="1836">
        <f t="shared" si="348"/>
        <v>24000000</v>
      </c>
      <c r="AL1036" s="1855" t="str">
        <f t="shared" si="349"/>
        <v>Cek</v>
      </c>
      <c r="AM1036" s="1410"/>
      <c r="AN1036" s="1411"/>
      <c r="AO1036" s="1410"/>
      <c r="AP1036" s="1411"/>
      <c r="AQ1036" s="1731"/>
      <c r="AR1036" s="1870"/>
      <c r="AS1036" s="1731"/>
      <c r="AT1036" s="1871"/>
      <c r="AU1036" s="1731"/>
      <c r="AV1036" s="1870"/>
      <c r="AW1036" s="1731"/>
      <c r="AX1036" s="1870"/>
      <c r="AY1036" s="1906"/>
      <c r="AZ1036" s="1870"/>
      <c r="BA1036" s="1906"/>
      <c r="BB1036" s="1870"/>
    </row>
    <row r="1037" spans="1:54" s="2" customFormat="1" x14ac:dyDescent="0.25">
      <c r="A1037" s="223"/>
      <c r="B1037" s="434"/>
      <c r="C1037" s="436"/>
      <c r="D1037" s="435"/>
      <c r="E1037" s="437" t="s">
        <v>61</v>
      </c>
      <c r="F1037" s="438" t="s">
        <v>61</v>
      </c>
      <c r="G1037" s="192" t="s">
        <v>61</v>
      </c>
      <c r="H1037" s="439" t="str">
        <f t="shared" si="341"/>
        <v xml:space="preserve">   </v>
      </c>
      <c r="I1037" s="439" t="str">
        <f t="shared" si="342"/>
        <v xml:space="preserve">   </v>
      </c>
      <c r="J1037" s="436"/>
      <c r="K1037" s="436"/>
      <c r="L1037" s="436"/>
      <c r="M1037" s="436"/>
      <c r="N1037" s="436"/>
      <c r="O1037" s="436"/>
      <c r="P1037" s="436"/>
      <c r="Q1037" s="1938"/>
      <c r="R1037" s="436"/>
      <c r="S1037" s="1939"/>
      <c r="T1037" s="529"/>
      <c r="U1037" s="436"/>
      <c r="V1037" s="529"/>
      <c r="W1037" s="436"/>
      <c r="X1037" s="529"/>
      <c r="Y1037" s="436"/>
      <c r="Z1037" s="529"/>
      <c r="AA1037" s="436"/>
      <c r="AB1037" s="529"/>
      <c r="AC1037" s="1952"/>
      <c r="AD1037" s="1953"/>
      <c r="AE1037" s="1396"/>
      <c r="AF1037" s="1953"/>
      <c r="AG1037" s="1396"/>
      <c r="AH1037" s="1408"/>
      <c r="AI1037" s="1953"/>
      <c r="AJ1037" s="1953"/>
      <c r="AK1037" s="1953"/>
      <c r="AL1037" s="1513"/>
      <c r="AM1037" s="1513"/>
      <c r="AN1037" s="1514"/>
      <c r="AO1037" s="1513"/>
      <c r="AP1037" s="1514"/>
      <c r="AQ1037" s="1128"/>
      <c r="AR1037" s="1173"/>
      <c r="AT1037" s="1173"/>
      <c r="AV1037" s="1173"/>
      <c r="AX1037" s="1173"/>
      <c r="AY1037" s="1176"/>
      <c r="AZ1037" s="1173"/>
    </row>
    <row r="1038" spans="1:54" s="2" customFormat="1" x14ac:dyDescent="0.25">
      <c r="A1038" s="440" t="s">
        <v>1523</v>
      </c>
      <c r="B1038" s="434"/>
      <c r="C1038" s="436"/>
      <c r="D1038" s="435"/>
      <c r="E1038" s="437" t="s">
        <v>61</v>
      </c>
      <c r="F1038" s="438" t="s">
        <v>61</v>
      </c>
      <c r="G1038" s="192" t="s">
        <v>61</v>
      </c>
      <c r="H1038" s="36" t="str">
        <f t="shared" si="341"/>
        <v xml:space="preserve">   </v>
      </c>
      <c r="I1038" s="36" t="str">
        <f t="shared" si="342"/>
        <v xml:space="preserve">   </v>
      </c>
      <c r="J1038" s="436"/>
      <c r="K1038" s="436"/>
      <c r="L1038" s="436"/>
      <c r="M1038" s="436"/>
      <c r="N1038" s="436"/>
      <c r="O1038" s="436"/>
      <c r="P1038" s="436"/>
      <c r="Q1038" s="1938"/>
      <c r="R1038" s="436"/>
      <c r="S1038" s="1939"/>
      <c r="T1038" s="529"/>
      <c r="U1038" s="436"/>
      <c r="V1038" s="529"/>
      <c r="W1038" s="436"/>
      <c r="X1038" s="529"/>
      <c r="Y1038" s="436"/>
      <c r="Z1038" s="529"/>
      <c r="AA1038" s="436"/>
      <c r="AB1038" s="529"/>
      <c r="AC1038" s="1952"/>
      <c r="AD1038" s="1953"/>
      <c r="AE1038" s="1396"/>
      <c r="AF1038" s="1953"/>
      <c r="AG1038" s="1396"/>
      <c r="AH1038" s="1408"/>
      <c r="AI1038" s="1953"/>
      <c r="AJ1038" s="1953"/>
      <c r="AK1038" s="1953"/>
      <c r="AL1038" s="1513"/>
      <c r="AM1038" s="1513"/>
      <c r="AN1038" s="1514"/>
      <c r="AO1038" s="1513"/>
      <c r="AP1038" s="1514"/>
      <c r="AQ1038" s="1128"/>
      <c r="AR1038" s="1173"/>
      <c r="AT1038" s="1173"/>
      <c r="AV1038" s="1173"/>
      <c r="AX1038" s="1173"/>
      <c r="AY1038" s="1176"/>
      <c r="AZ1038" s="1173"/>
    </row>
    <row r="1039" spans="1:54" s="2" customFormat="1" x14ac:dyDescent="0.25">
      <c r="A1039" s="365" t="s">
        <v>1524</v>
      </c>
      <c r="B1039" s="365"/>
      <c r="C1039" s="366"/>
      <c r="D1039" s="365"/>
      <c r="E1039" s="198" t="s">
        <v>1096</v>
      </c>
      <c r="F1039" s="199" t="s">
        <v>1096</v>
      </c>
      <c r="G1039" s="146">
        <v>3000000</v>
      </c>
      <c r="H1039" s="147" t="str">
        <f t="shared" si="341"/>
        <v xml:space="preserve">   </v>
      </c>
      <c r="I1039" s="147" t="str">
        <f t="shared" si="342"/>
        <v xml:space="preserve">   </v>
      </c>
      <c r="J1039" s="1349">
        <v>1350000</v>
      </c>
      <c r="K1039" s="1529"/>
      <c r="L1039" s="1582" t="s">
        <v>1049</v>
      </c>
      <c r="M1039" s="1502" t="s">
        <v>1062</v>
      </c>
      <c r="N1039" s="1582" t="s">
        <v>1051</v>
      </c>
      <c r="O1039" s="1502" t="s">
        <v>1064</v>
      </c>
      <c r="P1039" s="1582" t="s">
        <v>1053</v>
      </c>
      <c r="Q1039" s="1502" t="s">
        <v>1066</v>
      </c>
      <c r="R1039" s="1582" t="s">
        <v>1055</v>
      </c>
      <c r="S1039" s="1502" t="s">
        <v>1068</v>
      </c>
      <c r="T1039" s="1582" t="s">
        <v>1057</v>
      </c>
      <c r="U1039" s="1502" t="s">
        <v>1141</v>
      </c>
      <c r="V1039" s="1582" t="s">
        <v>1059</v>
      </c>
      <c r="W1039" s="1502" t="s">
        <v>1325</v>
      </c>
      <c r="X1039" s="1582" t="s">
        <v>1061</v>
      </c>
      <c r="Y1039" s="1502" t="s">
        <v>1463</v>
      </c>
      <c r="Z1039" s="1582" t="s">
        <v>1063</v>
      </c>
      <c r="AA1039" s="1502" t="s">
        <v>1464</v>
      </c>
      <c r="AB1039" s="1450">
        <v>1000000</v>
      </c>
      <c r="AC1039" s="1663" t="s">
        <v>1326</v>
      </c>
      <c r="AD1039" s="1450">
        <v>500000</v>
      </c>
      <c r="AE1039" s="1663" t="s">
        <v>22</v>
      </c>
      <c r="AF1039" s="1582" t="s">
        <v>1065</v>
      </c>
      <c r="AG1039" s="1502" t="s">
        <v>1466</v>
      </c>
      <c r="AH1039" s="1408"/>
      <c r="AI1039" s="1512"/>
      <c r="AJ1039" s="1409"/>
      <c r="AK1039" s="1409"/>
      <c r="AL1039" s="1513"/>
      <c r="AM1039" s="1513"/>
      <c r="AN1039" s="1514"/>
      <c r="AO1039" s="1513"/>
      <c r="AP1039" s="1514"/>
      <c r="AQ1039" s="1128"/>
      <c r="AR1039" s="1173"/>
      <c r="AT1039" s="1173"/>
      <c r="AV1039" s="1173"/>
      <c r="AX1039" s="1173"/>
      <c r="AY1039" s="1176"/>
      <c r="AZ1039" s="1173"/>
    </row>
    <row r="1040" spans="1:54" s="2" customFormat="1" x14ac:dyDescent="0.25">
      <c r="A1040" s="148">
        <v>960</v>
      </c>
      <c r="B1040" s="367">
        <v>1</v>
      </c>
      <c r="C1040" s="151">
        <v>849216001</v>
      </c>
      <c r="D1040" s="150" t="s">
        <v>1525</v>
      </c>
      <c r="E1040" s="311" t="s">
        <v>1110</v>
      </c>
      <c r="F1040" s="153">
        <v>2016</v>
      </c>
      <c r="G1040" s="162" t="s">
        <v>33</v>
      </c>
      <c r="H1040" s="163">
        <f t="shared" si="341"/>
        <v>43502</v>
      </c>
      <c r="I1040" s="163">
        <f t="shared" si="342"/>
        <v>43587</v>
      </c>
      <c r="J1040" s="1701">
        <v>1350000</v>
      </c>
      <c r="K1040" s="1704">
        <v>42487</v>
      </c>
      <c r="L1040" s="1703">
        <v>3000000</v>
      </c>
      <c r="M1040" s="1704">
        <v>42487</v>
      </c>
      <c r="N1040" s="1703">
        <v>3000000</v>
      </c>
      <c r="O1040" s="1704">
        <v>42762</v>
      </c>
      <c r="P1040" s="1703">
        <v>3000000</v>
      </c>
      <c r="Q1040" s="1702">
        <v>42935</v>
      </c>
      <c r="R1040" s="1634">
        <v>3000000</v>
      </c>
      <c r="S1040" s="1440">
        <v>43115</v>
      </c>
      <c r="T1040" s="1722">
        <v>3000000</v>
      </c>
      <c r="U1040" s="1702">
        <v>43294</v>
      </c>
      <c r="V1040" s="1649" t="s">
        <v>1080</v>
      </c>
      <c r="W1040" s="1940"/>
      <c r="X1040" s="1941"/>
      <c r="Y1040" s="1954"/>
      <c r="Z1040" s="1941"/>
      <c r="AA1040" s="1955"/>
      <c r="AB1040" s="1956">
        <v>1000000</v>
      </c>
      <c r="AC1040" s="1354">
        <v>43131</v>
      </c>
      <c r="AD1040" s="1666"/>
      <c r="AE1040" s="1590"/>
      <c r="AF1040" s="2300" t="s">
        <v>1329</v>
      </c>
      <c r="AG1040" s="1612"/>
      <c r="AH1040" s="1625" t="str">
        <f t="shared" ref="AH1040:AH1058" si="350">E1040</f>
        <v>PBA</v>
      </c>
      <c r="AI1040" s="1678">
        <f t="shared" ref="AI1040" si="351">SUM(J1040,L1040,N1040,P1040,R1040,T1040,V1040,X1040,Z1040,AB1040,AD1040,AF1040)</f>
        <v>17350000</v>
      </c>
      <c r="AJ1040" s="1679">
        <f t="shared" ref="AJ1040:AJ1058" si="352">(COUNT(L1040,N1040,P1040,R1040,T1040,V1040,X1040,Z1040)*$G$1039)+(COUNT(J1040)*$J$1039)+(COUNT(AB1040)*$AB$1039)+(COUNT(AD1040)*$AD$1039)</f>
        <v>17350000</v>
      </c>
      <c r="AK1040" s="1419">
        <f t="shared" ref="AK1040" si="353">AJ1040-AI1040</f>
        <v>0</v>
      </c>
      <c r="AL1040" s="1420" t="str">
        <f t="shared" ref="AL1040" si="354">IF(AK1040=0,"Lunas","Cek")</f>
        <v>Lunas</v>
      </c>
      <c r="AM1040" s="1410"/>
      <c r="AN1040" s="1411"/>
      <c r="AO1040" s="1410"/>
      <c r="AP1040" s="1411"/>
      <c r="AQ1040" s="1128"/>
      <c r="AR1040" s="1173"/>
      <c r="AT1040" s="1173"/>
      <c r="AV1040" s="1173"/>
      <c r="AX1040" s="1173"/>
      <c r="AY1040" s="1176"/>
      <c r="AZ1040" s="1173"/>
    </row>
    <row r="1041" spans="1:52" s="2" customFormat="1" x14ac:dyDescent="0.25">
      <c r="A1041" s="156">
        <v>961</v>
      </c>
      <c r="B1041" s="172">
        <v>2</v>
      </c>
      <c r="C1041" s="159">
        <v>849216002</v>
      </c>
      <c r="D1041" s="158" t="s">
        <v>1526</v>
      </c>
      <c r="E1041" s="179" t="s">
        <v>1110</v>
      </c>
      <c r="F1041" s="161">
        <v>2016</v>
      </c>
      <c r="G1041" s="162" t="s">
        <v>33</v>
      </c>
      <c r="H1041" s="163">
        <f t="shared" si="341"/>
        <v>43290</v>
      </c>
      <c r="I1041" s="163">
        <f t="shared" si="342"/>
        <v>43351</v>
      </c>
      <c r="J1041" s="1443">
        <v>1350000</v>
      </c>
      <c r="K1041" s="1383">
        <v>42493</v>
      </c>
      <c r="L1041" s="1385">
        <v>3000000</v>
      </c>
      <c r="M1041" s="1383">
        <v>42493</v>
      </c>
      <c r="N1041" s="1385">
        <v>3000000</v>
      </c>
      <c r="O1041" s="1383">
        <v>42761</v>
      </c>
      <c r="P1041" s="1385">
        <v>3000000</v>
      </c>
      <c r="Q1041" s="1357">
        <v>42943</v>
      </c>
      <c r="R1041" s="1385">
        <v>3000000</v>
      </c>
      <c r="S1041" s="1357">
        <v>43116</v>
      </c>
      <c r="T1041" s="1382" t="s">
        <v>1080</v>
      </c>
      <c r="U1041" s="1384"/>
      <c r="V1041" s="1363"/>
      <c r="W1041" s="1391"/>
      <c r="X1041" s="1363"/>
      <c r="Y1041" s="1391"/>
      <c r="Z1041" s="1363"/>
      <c r="AA1041" s="1563"/>
      <c r="AB1041" s="1385">
        <v>1000000</v>
      </c>
      <c r="AC1041" s="1357">
        <v>43283</v>
      </c>
      <c r="AD1041" s="1666"/>
      <c r="AE1041" s="1590"/>
      <c r="AF1041" s="2300" t="s">
        <v>1329</v>
      </c>
      <c r="AG1041" s="1612"/>
      <c r="AH1041" s="1625" t="str">
        <f t="shared" si="350"/>
        <v>PBA</v>
      </c>
      <c r="AI1041" s="1680">
        <f t="shared" ref="AI1041:AI1058" si="355">SUM(J1041,L1041,N1041,P1041,R1041,T1041,V1041,X1041,Z1041,AB1041,AD1041,AF1041)</f>
        <v>14350000</v>
      </c>
      <c r="AJ1041" s="1681">
        <f t="shared" si="352"/>
        <v>14350000</v>
      </c>
      <c r="AK1041" s="1682">
        <f t="shared" ref="AK1041:AK1058" si="356">AJ1041-AI1041</f>
        <v>0</v>
      </c>
      <c r="AL1041" s="1691" t="str">
        <f t="shared" ref="AL1041:AL1058" si="357">IF(AK1041=0,"Lunas","Cek")</f>
        <v>Lunas</v>
      </c>
      <c r="AM1041" s="1410"/>
      <c r="AN1041" s="1411"/>
      <c r="AO1041" s="1410"/>
      <c r="AP1041" s="1411"/>
      <c r="AQ1041" s="1128"/>
      <c r="AR1041" s="1173"/>
      <c r="AT1041" s="1173"/>
      <c r="AV1041" s="1173"/>
      <c r="AX1041" s="1173"/>
      <c r="AY1041" s="1176"/>
      <c r="AZ1041" s="1173"/>
    </row>
    <row r="1042" spans="1:52" s="2" customFormat="1" x14ac:dyDescent="0.25">
      <c r="A1042" s="156">
        <v>962</v>
      </c>
      <c r="B1042" s="172">
        <v>3</v>
      </c>
      <c r="C1042" s="159">
        <v>849216003</v>
      </c>
      <c r="D1042" s="158" t="s">
        <v>1527</v>
      </c>
      <c r="E1042" s="179" t="s">
        <v>1110</v>
      </c>
      <c r="F1042" s="161">
        <v>2016</v>
      </c>
      <c r="G1042" s="162" t="s">
        <v>33</v>
      </c>
      <c r="H1042" s="163">
        <f t="shared" si="341"/>
        <v>43251</v>
      </c>
      <c r="I1042" s="163">
        <f t="shared" si="342"/>
        <v>43351</v>
      </c>
      <c r="J1042" s="1443">
        <v>1350000</v>
      </c>
      <c r="K1042" s="1383">
        <v>42493</v>
      </c>
      <c r="L1042" s="1385">
        <v>3000000</v>
      </c>
      <c r="M1042" s="1383">
        <v>42494</v>
      </c>
      <c r="N1042" s="1385">
        <v>3000000</v>
      </c>
      <c r="O1042" s="1383">
        <v>42754</v>
      </c>
      <c r="P1042" s="1385">
        <v>3000000</v>
      </c>
      <c r="Q1042" s="1357">
        <v>42930</v>
      </c>
      <c r="R1042" s="1385">
        <v>3000000</v>
      </c>
      <c r="S1042" s="1357">
        <v>43111</v>
      </c>
      <c r="T1042" s="1382" t="s">
        <v>1080</v>
      </c>
      <c r="U1042" s="1384"/>
      <c r="V1042" s="1363"/>
      <c r="W1042" s="1391"/>
      <c r="X1042" s="1363"/>
      <c r="Y1042" s="1391"/>
      <c r="Z1042" s="1363"/>
      <c r="AA1042" s="1563"/>
      <c r="AB1042" s="1385">
        <v>1000000</v>
      </c>
      <c r="AC1042" s="1357">
        <v>43241</v>
      </c>
      <c r="AD1042" s="1666"/>
      <c r="AE1042" s="1590"/>
      <c r="AF1042" s="2300" t="s">
        <v>1329</v>
      </c>
      <c r="AG1042" s="1612"/>
      <c r="AH1042" s="1625" t="str">
        <f t="shared" si="350"/>
        <v>PBA</v>
      </c>
      <c r="AI1042" s="1680">
        <f t="shared" si="355"/>
        <v>14350000</v>
      </c>
      <c r="AJ1042" s="1681">
        <f t="shared" si="352"/>
        <v>14350000</v>
      </c>
      <c r="AK1042" s="1682">
        <f t="shared" si="356"/>
        <v>0</v>
      </c>
      <c r="AL1042" s="1691" t="str">
        <f t="shared" si="357"/>
        <v>Lunas</v>
      </c>
      <c r="AM1042" s="1410"/>
      <c r="AN1042" s="1411"/>
      <c r="AO1042" s="1410"/>
      <c r="AP1042" s="1411"/>
      <c r="AQ1042" s="1128"/>
      <c r="AR1042" s="1173"/>
      <c r="AT1042" s="1173"/>
      <c r="AV1042" s="1173"/>
      <c r="AX1042" s="1173"/>
      <c r="AY1042" s="1176"/>
      <c r="AZ1042" s="1173"/>
    </row>
    <row r="1043" spans="1:52" s="2" customFormat="1" x14ac:dyDescent="0.25">
      <c r="A1043" s="156">
        <v>963</v>
      </c>
      <c r="B1043" s="172">
        <v>4</v>
      </c>
      <c r="C1043" s="159">
        <v>849216004</v>
      </c>
      <c r="D1043" s="158" t="s">
        <v>1528</v>
      </c>
      <c r="E1043" s="179" t="s">
        <v>1110</v>
      </c>
      <c r="F1043" s="161">
        <v>2016</v>
      </c>
      <c r="G1043" s="162" t="s">
        <v>33</v>
      </c>
      <c r="H1043" s="163">
        <f t="shared" si="341"/>
        <v>43286</v>
      </c>
      <c r="I1043" s="163">
        <f t="shared" si="342"/>
        <v>43440</v>
      </c>
      <c r="J1043" s="1443">
        <v>1350000</v>
      </c>
      <c r="K1043" s="1383">
        <v>42493</v>
      </c>
      <c r="L1043" s="1385">
        <v>3000000</v>
      </c>
      <c r="M1043" s="1383">
        <v>42493</v>
      </c>
      <c r="N1043" s="1385">
        <v>3000000</v>
      </c>
      <c r="O1043" s="1383">
        <v>42751</v>
      </c>
      <c r="P1043" s="1385">
        <v>3000000</v>
      </c>
      <c r="Q1043" s="1357">
        <v>42922</v>
      </c>
      <c r="R1043" s="1385">
        <v>3000000</v>
      </c>
      <c r="S1043" s="1357">
        <v>43111</v>
      </c>
      <c r="T1043" s="1382" t="s">
        <v>1080</v>
      </c>
      <c r="U1043" s="1384"/>
      <c r="V1043" s="1363"/>
      <c r="W1043" s="1391"/>
      <c r="X1043" s="1363"/>
      <c r="Y1043" s="1391"/>
      <c r="Z1043" s="1363"/>
      <c r="AA1043" s="1563"/>
      <c r="AB1043" s="1385">
        <v>1000000</v>
      </c>
      <c r="AC1043" s="1357">
        <v>43276</v>
      </c>
      <c r="AD1043" s="1666"/>
      <c r="AE1043" s="1590"/>
      <c r="AF1043" s="2300" t="s">
        <v>1329</v>
      </c>
      <c r="AG1043" s="1612"/>
      <c r="AH1043" s="1625" t="str">
        <f t="shared" si="350"/>
        <v>PBA</v>
      </c>
      <c r="AI1043" s="1680">
        <f t="shared" si="355"/>
        <v>14350000</v>
      </c>
      <c r="AJ1043" s="1681">
        <f t="shared" si="352"/>
        <v>14350000</v>
      </c>
      <c r="AK1043" s="1682">
        <f t="shared" si="356"/>
        <v>0</v>
      </c>
      <c r="AL1043" s="1691" t="str">
        <f t="shared" si="357"/>
        <v>Lunas</v>
      </c>
      <c r="AM1043" s="1410"/>
      <c r="AN1043" s="1411"/>
      <c r="AO1043" s="1410"/>
      <c r="AP1043" s="1411"/>
      <c r="AQ1043" s="1128"/>
      <c r="AR1043" s="1173"/>
      <c r="AT1043" s="1173"/>
      <c r="AV1043" s="1173"/>
      <c r="AX1043" s="1173"/>
      <c r="AY1043" s="1176"/>
      <c r="AZ1043" s="1173"/>
    </row>
    <row r="1044" spans="1:52" s="2" customFormat="1" x14ac:dyDescent="0.25">
      <c r="A1044" s="156">
        <v>964</v>
      </c>
      <c r="B1044" s="172">
        <v>5</v>
      </c>
      <c r="C1044" s="159">
        <v>849216006</v>
      </c>
      <c r="D1044" s="211" t="s">
        <v>1529</v>
      </c>
      <c r="E1044" s="179" t="s">
        <v>1110</v>
      </c>
      <c r="F1044" s="161">
        <v>2016</v>
      </c>
      <c r="G1044" s="162" t="s">
        <v>33</v>
      </c>
      <c r="H1044" s="163">
        <f t="shared" si="341"/>
        <v>43285</v>
      </c>
      <c r="I1044" s="163">
        <f t="shared" si="342"/>
        <v>43351</v>
      </c>
      <c r="J1044" s="1443">
        <v>1350000</v>
      </c>
      <c r="K1044" s="1383">
        <v>42499</v>
      </c>
      <c r="L1044" s="1385">
        <v>3000000</v>
      </c>
      <c r="M1044" s="1383">
        <v>42499</v>
      </c>
      <c r="N1044" s="1385">
        <v>3000000</v>
      </c>
      <c r="O1044" s="1383">
        <v>42755</v>
      </c>
      <c r="P1044" s="1385">
        <v>3000000</v>
      </c>
      <c r="Q1044" s="1357">
        <v>42936</v>
      </c>
      <c r="R1044" s="1385">
        <v>3000000</v>
      </c>
      <c r="S1044" s="1357">
        <v>43110</v>
      </c>
      <c r="T1044" s="1382" t="s">
        <v>1080</v>
      </c>
      <c r="U1044" s="1384"/>
      <c r="V1044" s="1363"/>
      <c r="W1044" s="1391"/>
      <c r="X1044" s="1363"/>
      <c r="Y1044" s="1391"/>
      <c r="Z1044" s="1363"/>
      <c r="AA1044" s="1563"/>
      <c r="AB1044" s="1385">
        <v>1000000</v>
      </c>
      <c r="AC1044" s="1357">
        <v>43277</v>
      </c>
      <c r="AD1044" s="1666"/>
      <c r="AE1044" s="1590"/>
      <c r="AF1044" s="2300" t="s">
        <v>1329</v>
      </c>
      <c r="AG1044" s="1612"/>
      <c r="AH1044" s="1625" t="str">
        <f t="shared" si="350"/>
        <v>PBA</v>
      </c>
      <c r="AI1044" s="1680">
        <f t="shared" si="355"/>
        <v>14350000</v>
      </c>
      <c r="AJ1044" s="1681">
        <f t="shared" si="352"/>
        <v>14350000</v>
      </c>
      <c r="AK1044" s="1682">
        <f t="shared" si="356"/>
        <v>0</v>
      </c>
      <c r="AL1044" s="1691" t="str">
        <f t="shared" si="357"/>
        <v>Lunas</v>
      </c>
      <c r="AM1044" s="1410"/>
      <c r="AN1044" s="1411"/>
      <c r="AO1044" s="1410"/>
      <c r="AP1044" s="1411"/>
      <c r="AQ1044" s="1128"/>
      <c r="AR1044" s="1173"/>
      <c r="AT1044" s="1173"/>
      <c r="AV1044" s="1173"/>
      <c r="AX1044" s="1173"/>
      <c r="AY1044" s="1176"/>
      <c r="AZ1044" s="1173"/>
    </row>
    <row r="1045" spans="1:52" s="2" customFormat="1" x14ac:dyDescent="0.25">
      <c r="A1045" s="156">
        <v>965</v>
      </c>
      <c r="B1045" s="172">
        <v>6</v>
      </c>
      <c r="C1045" s="159">
        <v>849216007</v>
      </c>
      <c r="D1045" s="211" t="s">
        <v>1530</v>
      </c>
      <c r="E1045" s="179" t="s">
        <v>1110</v>
      </c>
      <c r="F1045" s="161">
        <v>2016</v>
      </c>
      <c r="G1045" s="272" t="s">
        <v>33</v>
      </c>
      <c r="H1045" s="163">
        <f t="shared" si="341"/>
        <v>43651</v>
      </c>
      <c r="I1045" s="163">
        <f t="shared" si="342"/>
        <v>43750</v>
      </c>
      <c r="J1045" s="1636">
        <v>1350000</v>
      </c>
      <c r="K1045" s="1637">
        <v>42494</v>
      </c>
      <c r="L1045" s="1480">
        <v>3000000</v>
      </c>
      <c r="M1045" s="1637">
        <v>42494</v>
      </c>
      <c r="N1045" s="1186" t="s">
        <v>1078</v>
      </c>
      <c r="O1045" s="1466">
        <v>42759</v>
      </c>
      <c r="P1045" s="1186" t="s">
        <v>1078</v>
      </c>
      <c r="Q1045" s="1386">
        <v>42937</v>
      </c>
      <c r="R1045" s="1385">
        <v>3000000</v>
      </c>
      <c r="S1045" s="1357">
        <v>43116</v>
      </c>
      <c r="T1045" s="1431">
        <v>3000000</v>
      </c>
      <c r="U1045" s="1365">
        <v>43294</v>
      </c>
      <c r="V1045" s="1385">
        <v>3000000</v>
      </c>
      <c r="W1045" s="1357">
        <v>43482</v>
      </c>
      <c r="X1045" s="1363"/>
      <c r="Y1045" s="1391"/>
      <c r="Z1045" s="1363"/>
      <c r="AA1045" s="1563"/>
      <c r="AB1045" s="1480">
        <v>1000000</v>
      </c>
      <c r="AC1045" s="1357">
        <v>43633</v>
      </c>
      <c r="AD1045" s="1666"/>
      <c r="AE1045" s="1590"/>
      <c r="AF1045" s="2300" t="s">
        <v>1329</v>
      </c>
      <c r="AG1045" s="1612"/>
      <c r="AH1045" s="1625" t="str">
        <f t="shared" si="350"/>
        <v>PBA</v>
      </c>
      <c r="AI1045" s="1680">
        <f t="shared" si="355"/>
        <v>14350000</v>
      </c>
      <c r="AJ1045" s="1681">
        <f t="shared" si="352"/>
        <v>14350000</v>
      </c>
      <c r="AK1045" s="1682">
        <f t="shared" si="356"/>
        <v>0</v>
      </c>
      <c r="AL1045" s="1691" t="str">
        <f t="shared" si="357"/>
        <v>Lunas</v>
      </c>
      <c r="AM1045" s="1410"/>
      <c r="AN1045" s="1411"/>
      <c r="AO1045" s="1410"/>
      <c r="AP1045" s="1411"/>
      <c r="AQ1045" s="1128"/>
      <c r="AR1045" s="1173"/>
      <c r="AT1045" s="1173"/>
      <c r="AV1045" s="1173"/>
      <c r="AX1045" s="1173"/>
      <c r="AY1045" s="1176"/>
      <c r="AZ1045" s="1173"/>
    </row>
    <row r="1046" spans="1:52" s="2" customFormat="1" x14ac:dyDescent="0.25">
      <c r="A1046" s="156">
        <v>966</v>
      </c>
      <c r="B1046" s="172">
        <v>7</v>
      </c>
      <c r="C1046" s="159">
        <v>849216008</v>
      </c>
      <c r="D1046" s="211" t="s">
        <v>1531</v>
      </c>
      <c r="E1046" s="179" t="s">
        <v>1110</v>
      </c>
      <c r="F1046" s="161">
        <v>2016</v>
      </c>
      <c r="G1046" s="162" t="s">
        <v>33</v>
      </c>
      <c r="H1046" s="163">
        <f t="shared" si="341"/>
        <v>43308</v>
      </c>
      <c r="I1046" s="163">
        <f t="shared" si="342"/>
        <v>43440</v>
      </c>
      <c r="J1046" s="1443">
        <v>1350000</v>
      </c>
      <c r="K1046" s="1383">
        <v>42492</v>
      </c>
      <c r="L1046" s="1385">
        <v>3000000</v>
      </c>
      <c r="M1046" s="1383">
        <v>42492</v>
      </c>
      <c r="N1046" s="1385">
        <v>3000000</v>
      </c>
      <c r="O1046" s="1383">
        <v>42754</v>
      </c>
      <c r="P1046" s="1385">
        <v>3000000</v>
      </c>
      <c r="Q1046" s="1357">
        <v>42935</v>
      </c>
      <c r="R1046" s="1385">
        <v>3000000</v>
      </c>
      <c r="S1046" s="1357">
        <v>43115</v>
      </c>
      <c r="T1046" s="1358">
        <v>3000000</v>
      </c>
      <c r="U1046" s="1357">
        <v>43294</v>
      </c>
      <c r="V1046" s="1465" t="s">
        <v>1080</v>
      </c>
      <c r="W1046" s="1384"/>
      <c r="X1046" s="1363"/>
      <c r="Y1046" s="1391"/>
      <c r="Z1046" s="1363"/>
      <c r="AA1046" s="1563"/>
      <c r="AB1046" s="1480">
        <v>1000000</v>
      </c>
      <c r="AC1046" s="1357">
        <v>43304</v>
      </c>
      <c r="AD1046" s="1666"/>
      <c r="AE1046" s="1590"/>
      <c r="AF1046" s="2300" t="s">
        <v>1329</v>
      </c>
      <c r="AG1046" s="1612"/>
      <c r="AH1046" s="1625" t="str">
        <f t="shared" si="350"/>
        <v>PBA</v>
      </c>
      <c r="AI1046" s="1680">
        <f t="shared" si="355"/>
        <v>17350000</v>
      </c>
      <c r="AJ1046" s="1681">
        <f t="shared" si="352"/>
        <v>17350000</v>
      </c>
      <c r="AK1046" s="1682">
        <f t="shared" si="356"/>
        <v>0</v>
      </c>
      <c r="AL1046" s="1691" t="str">
        <f t="shared" si="357"/>
        <v>Lunas</v>
      </c>
      <c r="AM1046" s="1410"/>
      <c r="AN1046" s="1411"/>
      <c r="AO1046" s="1410"/>
      <c r="AP1046" s="1411"/>
      <c r="AQ1046" s="1128"/>
      <c r="AR1046" s="1173"/>
      <c r="AT1046" s="1173"/>
      <c r="AV1046" s="1173"/>
      <c r="AX1046" s="1173"/>
      <c r="AY1046" s="1176"/>
      <c r="AZ1046" s="1173"/>
    </row>
    <row r="1047" spans="1:52" s="2" customFormat="1" x14ac:dyDescent="0.25">
      <c r="A1047" s="156">
        <v>967</v>
      </c>
      <c r="B1047" s="172">
        <v>8</v>
      </c>
      <c r="C1047" s="159">
        <v>849216009</v>
      </c>
      <c r="D1047" s="211" t="s">
        <v>1532</v>
      </c>
      <c r="E1047" s="179" t="s">
        <v>1110</v>
      </c>
      <c r="F1047" s="161">
        <v>2016</v>
      </c>
      <c r="G1047" s="162" t="s">
        <v>33</v>
      </c>
      <c r="H1047" s="163">
        <f t="shared" si="341"/>
        <v>43294</v>
      </c>
      <c r="I1047" s="163">
        <f t="shared" si="342"/>
        <v>43440</v>
      </c>
      <c r="J1047" s="1443">
        <v>1350000</v>
      </c>
      <c r="K1047" s="1383">
        <v>42485</v>
      </c>
      <c r="L1047" s="1385">
        <v>3000000</v>
      </c>
      <c r="M1047" s="1383">
        <v>42485</v>
      </c>
      <c r="N1047" s="1385">
        <v>3000000</v>
      </c>
      <c r="O1047" s="1383">
        <v>42758</v>
      </c>
      <c r="P1047" s="1385">
        <v>3000000</v>
      </c>
      <c r="Q1047" s="1357">
        <v>42935</v>
      </c>
      <c r="R1047" s="1443">
        <v>3000000</v>
      </c>
      <c r="S1047" s="1357">
        <v>43111</v>
      </c>
      <c r="T1047" s="1382" t="s">
        <v>1080</v>
      </c>
      <c r="U1047" s="1474"/>
      <c r="V1047" s="1363"/>
      <c r="W1047" s="1391"/>
      <c r="X1047" s="1363"/>
      <c r="Y1047" s="1391"/>
      <c r="Z1047" s="1363"/>
      <c r="AA1047" s="1563"/>
      <c r="AB1047" s="1385">
        <v>1000000</v>
      </c>
      <c r="AC1047" s="1357">
        <v>43276</v>
      </c>
      <c r="AD1047" s="1666"/>
      <c r="AE1047" s="1590"/>
      <c r="AF1047" s="2300" t="s">
        <v>1329</v>
      </c>
      <c r="AG1047" s="1612"/>
      <c r="AH1047" s="1625" t="str">
        <f t="shared" si="350"/>
        <v>PBA</v>
      </c>
      <c r="AI1047" s="1680">
        <f t="shared" si="355"/>
        <v>14350000</v>
      </c>
      <c r="AJ1047" s="1681">
        <f t="shared" si="352"/>
        <v>14350000</v>
      </c>
      <c r="AK1047" s="1682">
        <f t="shared" si="356"/>
        <v>0</v>
      </c>
      <c r="AL1047" s="1691" t="str">
        <f t="shared" si="357"/>
        <v>Lunas</v>
      </c>
      <c r="AM1047" s="1410"/>
      <c r="AN1047" s="1411"/>
      <c r="AO1047" s="1410"/>
      <c r="AP1047" s="1411"/>
      <c r="AQ1047" s="1128"/>
      <c r="AR1047" s="1173"/>
      <c r="AT1047" s="1173"/>
      <c r="AV1047" s="1173"/>
      <c r="AX1047" s="1173"/>
      <c r="AY1047" s="1176"/>
      <c r="AZ1047" s="1173"/>
    </row>
    <row r="1048" spans="1:52" s="2" customFormat="1" x14ac:dyDescent="0.25">
      <c r="A1048" s="156">
        <v>968</v>
      </c>
      <c r="B1048" s="172">
        <v>9</v>
      </c>
      <c r="C1048" s="159">
        <v>849216010</v>
      </c>
      <c r="D1048" s="211" t="s">
        <v>1533</v>
      </c>
      <c r="E1048" s="179" t="s">
        <v>1110</v>
      </c>
      <c r="F1048" s="161">
        <v>2016</v>
      </c>
      <c r="G1048" s="162" t="s">
        <v>33</v>
      </c>
      <c r="H1048" s="163">
        <f t="shared" si="341"/>
        <v>43480</v>
      </c>
      <c r="I1048" s="163">
        <f t="shared" si="342"/>
        <v>43587</v>
      </c>
      <c r="J1048" s="1636">
        <v>1350000</v>
      </c>
      <c r="K1048" s="1637">
        <v>42499</v>
      </c>
      <c r="L1048" s="1480">
        <v>3000000</v>
      </c>
      <c r="M1048" s="1637">
        <v>42499</v>
      </c>
      <c r="N1048" s="1480">
        <v>3000000</v>
      </c>
      <c r="O1048" s="1637">
        <v>42759</v>
      </c>
      <c r="P1048" s="1480">
        <v>3000000</v>
      </c>
      <c r="Q1048" s="1365">
        <v>42934</v>
      </c>
      <c r="R1048" s="1443">
        <v>3000000</v>
      </c>
      <c r="S1048" s="1357">
        <v>43116</v>
      </c>
      <c r="T1048" s="1382" t="s">
        <v>1080</v>
      </c>
      <c r="U1048" s="1474"/>
      <c r="V1048" s="1363"/>
      <c r="W1048" s="1391"/>
      <c r="X1048" s="1363"/>
      <c r="Y1048" s="1391"/>
      <c r="Z1048" s="1363"/>
      <c r="AA1048" s="1563"/>
      <c r="AB1048" s="1385">
        <v>1000000</v>
      </c>
      <c r="AC1048" s="1357">
        <v>43553</v>
      </c>
      <c r="AD1048" s="1666"/>
      <c r="AE1048" s="1590"/>
      <c r="AF1048" s="2300" t="s">
        <v>1329</v>
      </c>
      <c r="AG1048" s="1612"/>
      <c r="AH1048" s="1625" t="str">
        <f t="shared" si="350"/>
        <v>PBA</v>
      </c>
      <c r="AI1048" s="1680">
        <f t="shared" si="355"/>
        <v>14350000</v>
      </c>
      <c r="AJ1048" s="1681">
        <f t="shared" si="352"/>
        <v>14350000</v>
      </c>
      <c r="AK1048" s="1682">
        <f t="shared" si="356"/>
        <v>0</v>
      </c>
      <c r="AL1048" s="1691" t="str">
        <f t="shared" si="357"/>
        <v>Lunas</v>
      </c>
      <c r="AM1048" s="1410"/>
      <c r="AN1048" s="1411"/>
      <c r="AO1048" s="1410"/>
      <c r="AP1048" s="1411"/>
      <c r="AQ1048" s="1128"/>
      <c r="AR1048" s="1173"/>
      <c r="AT1048" s="1173"/>
      <c r="AV1048" s="1173"/>
      <c r="AX1048" s="1173"/>
      <c r="AY1048" s="1176"/>
      <c r="AZ1048" s="1173"/>
    </row>
    <row r="1049" spans="1:52" s="2" customFormat="1" x14ac:dyDescent="0.25">
      <c r="A1049" s="164">
        <v>969</v>
      </c>
      <c r="B1049" s="343">
        <v>10</v>
      </c>
      <c r="C1049" s="263">
        <v>849216011</v>
      </c>
      <c r="D1049" s="401" t="s">
        <v>1534</v>
      </c>
      <c r="E1049" s="441" t="s">
        <v>1110</v>
      </c>
      <c r="F1049" s="175">
        <v>2016</v>
      </c>
      <c r="G1049" s="1758" t="s">
        <v>28</v>
      </c>
      <c r="H1049" s="265" t="str">
        <f t="shared" si="341"/>
        <v xml:space="preserve">   </v>
      </c>
      <c r="I1049" s="265" t="str">
        <f t="shared" si="342"/>
        <v xml:space="preserve">   </v>
      </c>
      <c r="J1049" s="1635">
        <v>1350000</v>
      </c>
      <c r="K1049" s="1500">
        <v>42492</v>
      </c>
      <c r="L1049" s="1389">
        <v>3000000</v>
      </c>
      <c r="M1049" s="1500">
        <v>42492</v>
      </c>
      <c r="N1049" s="1389">
        <v>3000000</v>
      </c>
      <c r="O1049" s="1500">
        <v>42759</v>
      </c>
      <c r="P1049" s="1389">
        <v>3000000</v>
      </c>
      <c r="Q1049" s="1360">
        <v>42930</v>
      </c>
      <c r="R1049" s="1775">
        <v>3000000</v>
      </c>
      <c r="S1049" s="1367">
        <v>43115</v>
      </c>
      <c r="T1049" s="1430">
        <v>3000000</v>
      </c>
      <c r="U1049" s="1360">
        <v>43294</v>
      </c>
      <c r="V1049" s="1714">
        <v>0</v>
      </c>
      <c r="W1049" s="1367"/>
      <c r="X1049" s="1714">
        <v>0</v>
      </c>
      <c r="Y1049" s="1367"/>
      <c r="Z1049" s="1731">
        <v>0</v>
      </c>
      <c r="AA1049" s="1367"/>
      <c r="AB1049" s="1389">
        <v>0</v>
      </c>
      <c r="AC1049" s="1367"/>
      <c r="AD1049" s="1666" t="str">
        <f>IFERROR(VLOOKUP(C1049,BSP,3,FALSE),"  ")</f>
        <v xml:space="preserve">  </v>
      </c>
      <c r="AE1049" s="1590" t="str">
        <f>IFERROR((VLOOKUP(C1049,BSP,4,FALSE)),"  ")</f>
        <v xml:space="preserve">  </v>
      </c>
      <c r="AF1049" s="1731" t="str">
        <f>IFERROR(VLOOKUP(C1049,BSP,3,FALSE),"  ")</f>
        <v xml:space="preserve">  </v>
      </c>
      <c r="AG1049" s="1367" t="str">
        <f>IFERROR((VLOOKUP(C1049,BSP,4,FALSE)),"  ")</f>
        <v xml:space="preserve">  </v>
      </c>
      <c r="AH1049" s="1625" t="str">
        <f t="shared" si="350"/>
        <v>PBA</v>
      </c>
      <c r="AI1049" s="1680">
        <f t="shared" si="355"/>
        <v>16350000</v>
      </c>
      <c r="AJ1049" s="1681">
        <f t="shared" si="352"/>
        <v>26350000</v>
      </c>
      <c r="AK1049" s="1682">
        <f t="shared" si="356"/>
        <v>10000000</v>
      </c>
      <c r="AL1049" s="1691" t="str">
        <f t="shared" si="357"/>
        <v>Cek</v>
      </c>
      <c r="AM1049" s="1410"/>
      <c r="AN1049" s="1411"/>
      <c r="AO1049" s="1410"/>
      <c r="AP1049" s="1411"/>
      <c r="AQ1049" s="1128"/>
      <c r="AR1049" s="1173"/>
      <c r="AT1049" s="1173"/>
      <c r="AV1049" s="1173"/>
      <c r="AX1049" s="1173"/>
      <c r="AY1049" s="1176"/>
      <c r="AZ1049" s="1173"/>
    </row>
    <row r="1050" spans="1:52" s="2" customFormat="1" x14ac:dyDescent="0.25">
      <c r="A1050" s="156">
        <v>970</v>
      </c>
      <c r="B1050" s="172">
        <v>11</v>
      </c>
      <c r="C1050" s="159">
        <v>849216012</v>
      </c>
      <c r="D1050" s="211" t="s">
        <v>1535</v>
      </c>
      <c r="E1050" s="179" t="s">
        <v>1110</v>
      </c>
      <c r="F1050" s="161">
        <v>2016</v>
      </c>
      <c r="G1050" s="272" t="s">
        <v>33</v>
      </c>
      <c r="H1050" s="163">
        <f t="shared" si="341"/>
        <v>43467</v>
      </c>
      <c r="I1050" s="163">
        <f t="shared" si="342"/>
        <v>43587</v>
      </c>
      <c r="J1050" s="1636">
        <v>1350000</v>
      </c>
      <c r="K1050" s="1637">
        <v>42493</v>
      </c>
      <c r="L1050" s="1480">
        <v>3000000</v>
      </c>
      <c r="M1050" s="1637">
        <v>42493</v>
      </c>
      <c r="N1050" s="1480">
        <v>3000000</v>
      </c>
      <c r="O1050" s="1637">
        <v>42760</v>
      </c>
      <c r="P1050" s="1480">
        <v>3000000</v>
      </c>
      <c r="Q1050" s="1365">
        <v>42922</v>
      </c>
      <c r="R1050" s="1443">
        <v>3000000</v>
      </c>
      <c r="S1050" s="1357">
        <v>43115</v>
      </c>
      <c r="T1050" s="1431">
        <v>3000000</v>
      </c>
      <c r="U1050" s="1365">
        <v>43292</v>
      </c>
      <c r="V1050" s="1465" t="s">
        <v>1080</v>
      </c>
      <c r="W1050" s="1384"/>
      <c r="X1050" s="1363"/>
      <c r="Y1050" s="1391"/>
      <c r="Z1050" s="1363"/>
      <c r="AA1050" s="1563"/>
      <c r="AB1050" s="1480">
        <v>1000000</v>
      </c>
      <c r="AC1050" s="1357">
        <v>43461</v>
      </c>
      <c r="AD1050" s="1666" t="str">
        <f>IFERROR(VLOOKUP(C1050,BSP,3,FALSE),"  ")</f>
        <v xml:space="preserve">  </v>
      </c>
      <c r="AE1050" s="1590" t="str">
        <f>IFERROR((VLOOKUP(C1050,BSP,4,FALSE)),"  ")</f>
        <v xml:space="preserve">  </v>
      </c>
      <c r="AF1050" s="2300" t="s">
        <v>1329</v>
      </c>
      <c r="AG1050" s="1612"/>
      <c r="AH1050" s="1625" t="str">
        <f t="shared" si="350"/>
        <v>PBA</v>
      </c>
      <c r="AI1050" s="1680">
        <f t="shared" si="355"/>
        <v>17350000</v>
      </c>
      <c r="AJ1050" s="1681">
        <f t="shared" si="352"/>
        <v>17350000</v>
      </c>
      <c r="AK1050" s="1682">
        <f t="shared" si="356"/>
        <v>0</v>
      </c>
      <c r="AL1050" s="1691" t="str">
        <f t="shared" si="357"/>
        <v>Lunas</v>
      </c>
      <c r="AM1050" s="1410"/>
      <c r="AN1050" s="1411"/>
      <c r="AO1050" s="1410"/>
      <c r="AP1050" s="1411"/>
      <c r="AQ1050" s="1128"/>
      <c r="AR1050" s="1173"/>
      <c r="AT1050" s="1173"/>
      <c r="AV1050" s="1173"/>
      <c r="AX1050" s="1173"/>
      <c r="AY1050" s="1176"/>
      <c r="AZ1050" s="1173"/>
    </row>
    <row r="1051" spans="1:52" s="2" customFormat="1" x14ac:dyDescent="0.25">
      <c r="A1051" s="164">
        <v>971</v>
      </c>
      <c r="B1051" s="343">
        <v>12</v>
      </c>
      <c r="C1051" s="263">
        <v>849216013</v>
      </c>
      <c r="D1051" s="173" t="s">
        <v>1480</v>
      </c>
      <c r="E1051" s="441" t="s">
        <v>1110</v>
      </c>
      <c r="F1051" s="175">
        <v>2016</v>
      </c>
      <c r="G1051" s="360" t="s">
        <v>1483</v>
      </c>
      <c r="H1051" s="265" t="str">
        <f t="shared" si="341"/>
        <v xml:space="preserve">   </v>
      </c>
      <c r="I1051" s="265" t="str">
        <f t="shared" si="342"/>
        <v xml:space="preserve">   </v>
      </c>
      <c r="J1051" s="1635">
        <v>1350000</v>
      </c>
      <c r="K1051" s="1500">
        <v>42542</v>
      </c>
      <c r="L1051" s="1389">
        <v>3000000</v>
      </c>
      <c r="M1051" s="1500">
        <v>42542</v>
      </c>
      <c r="N1051" s="1389">
        <v>3000000</v>
      </c>
      <c r="O1051" s="1500">
        <v>42775</v>
      </c>
      <c r="P1051" s="1389">
        <v>3000000</v>
      </c>
      <c r="Q1051" s="1360">
        <v>42936</v>
      </c>
      <c r="R1051" s="1714">
        <v>3000000</v>
      </c>
      <c r="S1051" s="1367">
        <v>43116</v>
      </c>
      <c r="T1051" s="1430">
        <v>3000000</v>
      </c>
      <c r="U1051" s="1360">
        <v>43500</v>
      </c>
      <c r="V1051" s="1714">
        <v>3000000</v>
      </c>
      <c r="W1051" s="1367">
        <v>43500</v>
      </c>
      <c r="X1051" s="1714">
        <v>3000000</v>
      </c>
      <c r="Y1051" s="1367">
        <v>43910</v>
      </c>
      <c r="Z1051" s="1714">
        <v>3000000</v>
      </c>
      <c r="AA1051" s="1367">
        <v>43910</v>
      </c>
      <c r="AB1051" s="1389">
        <v>0</v>
      </c>
      <c r="AC1051" s="1367"/>
      <c r="AD1051" s="1666" t="str">
        <f>IFERROR(VLOOKUP(C1051,BSP,3,FALSE),"  ")</f>
        <v xml:space="preserve">  </v>
      </c>
      <c r="AE1051" s="1590" t="str">
        <f>IFERROR((VLOOKUP(C1051,BSP,4,FALSE)),"  ")</f>
        <v xml:space="preserve">  </v>
      </c>
      <c r="AF1051" s="1731" t="str">
        <f>IFERROR(VLOOKUP(C1051,BSP,3,FALSE),"  ")</f>
        <v xml:space="preserve">  </v>
      </c>
      <c r="AG1051" s="1367" t="str">
        <f>IFERROR((VLOOKUP(C1051,BSP,4,FALSE)),"  ")</f>
        <v xml:space="preserve">  </v>
      </c>
      <c r="AH1051" s="1625" t="str">
        <f t="shared" si="350"/>
        <v>PBA</v>
      </c>
      <c r="AI1051" s="1680">
        <f t="shared" si="355"/>
        <v>25350000</v>
      </c>
      <c r="AJ1051" s="1681">
        <f t="shared" si="352"/>
        <v>26350000</v>
      </c>
      <c r="AK1051" s="1682">
        <f t="shared" si="356"/>
        <v>1000000</v>
      </c>
      <c r="AL1051" s="1691" t="str">
        <f t="shared" si="357"/>
        <v>Cek</v>
      </c>
      <c r="AM1051" s="1410"/>
      <c r="AN1051" s="1411"/>
      <c r="AO1051" s="1410"/>
      <c r="AP1051" s="1411"/>
      <c r="AQ1051" s="1128"/>
      <c r="AR1051" s="1173"/>
      <c r="AT1051" s="1173"/>
      <c r="AV1051" s="1173"/>
      <c r="AX1051" s="1173"/>
      <c r="AY1051" s="1176"/>
      <c r="AZ1051" s="1173"/>
    </row>
    <row r="1052" spans="1:52" s="2" customFormat="1" x14ac:dyDescent="0.25">
      <c r="A1052" s="164">
        <v>972</v>
      </c>
      <c r="B1052" s="343">
        <v>13</v>
      </c>
      <c r="C1052" s="263">
        <v>849216014</v>
      </c>
      <c r="D1052" s="173" t="s">
        <v>1536</v>
      </c>
      <c r="E1052" s="441" t="s">
        <v>1110</v>
      </c>
      <c r="F1052" s="175">
        <v>2016</v>
      </c>
      <c r="G1052" s="360" t="s">
        <v>1483</v>
      </c>
      <c r="H1052" s="265" t="str">
        <f t="shared" si="341"/>
        <v xml:space="preserve">   </v>
      </c>
      <c r="I1052" s="265" t="str">
        <f t="shared" si="342"/>
        <v xml:space="preserve">   </v>
      </c>
      <c r="J1052" s="1635">
        <v>1350000</v>
      </c>
      <c r="K1052" s="1500">
        <v>42542</v>
      </c>
      <c r="L1052" s="1389">
        <v>3000000</v>
      </c>
      <c r="M1052" s="1500">
        <v>42542</v>
      </c>
      <c r="N1052" s="1389">
        <v>3000000</v>
      </c>
      <c r="O1052" s="1500">
        <v>42759</v>
      </c>
      <c r="P1052" s="1389">
        <v>3000000</v>
      </c>
      <c r="Q1052" s="1360">
        <v>42935</v>
      </c>
      <c r="R1052" s="1714">
        <v>3000000</v>
      </c>
      <c r="S1052" s="1367">
        <v>43111</v>
      </c>
      <c r="T1052" s="1430">
        <v>3000000</v>
      </c>
      <c r="U1052" s="1360">
        <v>43294</v>
      </c>
      <c r="V1052" s="1714">
        <v>3000000</v>
      </c>
      <c r="W1052" s="1367">
        <v>43903</v>
      </c>
      <c r="X1052" s="1714">
        <v>3000000</v>
      </c>
      <c r="Y1052" s="1367">
        <v>43903</v>
      </c>
      <c r="Z1052" s="1731">
        <v>3000000</v>
      </c>
      <c r="AA1052" s="1367">
        <v>43903</v>
      </c>
      <c r="AB1052" s="1389">
        <v>0</v>
      </c>
      <c r="AC1052" s="1367"/>
      <c r="AD1052" s="1666" t="str">
        <f>IFERROR(VLOOKUP(C1052,BSP,3,FALSE),"  ")</f>
        <v xml:space="preserve">  </v>
      </c>
      <c r="AE1052" s="1590" t="str">
        <f>IFERROR((VLOOKUP(C1052,BSP,4,FALSE)),"  ")</f>
        <v xml:space="preserve">  </v>
      </c>
      <c r="AF1052" s="1731" t="str">
        <f>IFERROR(VLOOKUP(C1052,BSP,3,FALSE),"  ")</f>
        <v xml:space="preserve">  </v>
      </c>
      <c r="AG1052" s="1367" t="str">
        <f>IFERROR((VLOOKUP(C1052,BSP,4,FALSE)),"  ")</f>
        <v xml:space="preserve">  </v>
      </c>
      <c r="AH1052" s="1625" t="str">
        <f t="shared" si="350"/>
        <v>PBA</v>
      </c>
      <c r="AI1052" s="1680">
        <f t="shared" si="355"/>
        <v>25350000</v>
      </c>
      <c r="AJ1052" s="1681">
        <f t="shared" si="352"/>
        <v>26350000</v>
      </c>
      <c r="AK1052" s="1682">
        <f t="shared" si="356"/>
        <v>1000000</v>
      </c>
      <c r="AL1052" s="1691" t="str">
        <f t="shared" si="357"/>
        <v>Cek</v>
      </c>
      <c r="AM1052" s="1410"/>
      <c r="AN1052" s="1411"/>
      <c r="AO1052" s="1410"/>
      <c r="AP1052" s="1411"/>
      <c r="AQ1052" s="1128"/>
      <c r="AR1052" s="1173"/>
      <c r="AT1052" s="1173"/>
      <c r="AV1052" s="1173"/>
      <c r="AX1052" s="1173"/>
      <c r="AY1052" s="1176"/>
      <c r="AZ1052" s="1173"/>
    </row>
    <row r="1053" spans="1:52" s="2" customFormat="1" x14ac:dyDescent="0.25">
      <c r="A1053" s="156">
        <v>973</v>
      </c>
      <c r="B1053" s="172">
        <v>14</v>
      </c>
      <c r="C1053" s="159">
        <v>849216015</v>
      </c>
      <c r="D1053" s="158" t="s">
        <v>1537</v>
      </c>
      <c r="E1053" s="179" t="s">
        <v>1110</v>
      </c>
      <c r="F1053" s="161">
        <v>2016</v>
      </c>
      <c r="G1053" s="162" t="s">
        <v>33</v>
      </c>
      <c r="H1053" s="163">
        <f t="shared" si="341"/>
        <v>43369</v>
      </c>
      <c r="I1053" s="163">
        <f t="shared" si="342"/>
        <v>43440</v>
      </c>
      <c r="J1053" s="1443">
        <v>1350000</v>
      </c>
      <c r="K1053" s="1383">
        <v>42551</v>
      </c>
      <c r="L1053" s="1385">
        <v>3000000</v>
      </c>
      <c r="M1053" s="1383">
        <v>42551</v>
      </c>
      <c r="N1053" s="1385">
        <v>3000000</v>
      </c>
      <c r="O1053" s="1383">
        <v>42761</v>
      </c>
      <c r="P1053" s="1385">
        <v>3000000</v>
      </c>
      <c r="Q1053" s="1357">
        <v>43025</v>
      </c>
      <c r="R1053" s="1385">
        <v>3000000</v>
      </c>
      <c r="S1053" s="1357">
        <v>43158</v>
      </c>
      <c r="T1053" s="1358">
        <v>3000000</v>
      </c>
      <c r="U1053" s="1357">
        <v>43314</v>
      </c>
      <c r="V1053" s="1465" t="s">
        <v>1080</v>
      </c>
      <c r="W1053" s="1384"/>
      <c r="X1053" s="1363"/>
      <c r="Y1053" s="1391"/>
      <c r="Z1053" s="1363"/>
      <c r="AA1053" s="1563"/>
      <c r="AB1053" s="1385">
        <v>1000000</v>
      </c>
      <c r="AC1053" s="1357">
        <v>43272</v>
      </c>
      <c r="AD1053" s="1666"/>
      <c r="AE1053" s="1590"/>
      <c r="AF1053" s="2300" t="s">
        <v>1329</v>
      </c>
      <c r="AG1053" s="1612"/>
      <c r="AH1053" s="1625" t="str">
        <f t="shared" si="350"/>
        <v>PBA</v>
      </c>
      <c r="AI1053" s="1680">
        <f t="shared" si="355"/>
        <v>17350000</v>
      </c>
      <c r="AJ1053" s="1681">
        <f t="shared" si="352"/>
        <v>17350000</v>
      </c>
      <c r="AK1053" s="1682">
        <f t="shared" si="356"/>
        <v>0</v>
      </c>
      <c r="AL1053" s="1691" t="str">
        <f t="shared" si="357"/>
        <v>Lunas</v>
      </c>
      <c r="AM1053" s="1410"/>
      <c r="AN1053" s="1411"/>
      <c r="AO1053" s="1410"/>
      <c r="AP1053" s="1411"/>
      <c r="AQ1053" s="1128"/>
      <c r="AR1053" s="1173"/>
      <c r="AT1053" s="1173"/>
      <c r="AV1053" s="1173"/>
      <c r="AX1053" s="1173"/>
      <c r="AY1053" s="1176"/>
      <c r="AZ1053" s="1173"/>
    </row>
    <row r="1054" spans="1:52" s="2" customFormat="1" x14ac:dyDescent="0.25">
      <c r="A1054" s="164">
        <v>974</v>
      </c>
      <c r="B1054" s="343">
        <v>15</v>
      </c>
      <c r="C1054" s="263">
        <v>849216016</v>
      </c>
      <c r="D1054" s="173" t="s">
        <v>1538</v>
      </c>
      <c r="E1054" s="441" t="s">
        <v>1110</v>
      </c>
      <c r="F1054" s="175">
        <v>2016</v>
      </c>
      <c r="G1054" s="1758" t="s">
        <v>28</v>
      </c>
      <c r="H1054" s="265" t="str">
        <f t="shared" si="341"/>
        <v xml:space="preserve">   </v>
      </c>
      <c r="I1054" s="265" t="str">
        <f t="shared" si="342"/>
        <v xml:space="preserve">   </v>
      </c>
      <c r="J1054" s="1635">
        <v>1350000</v>
      </c>
      <c r="K1054" s="1500">
        <v>42562</v>
      </c>
      <c r="L1054" s="1389">
        <v>3000000</v>
      </c>
      <c r="M1054" s="1500">
        <v>42562</v>
      </c>
      <c r="N1054" s="1389">
        <v>3000000</v>
      </c>
      <c r="O1054" s="1500">
        <v>42761</v>
      </c>
      <c r="P1054" s="1389">
        <v>3000000</v>
      </c>
      <c r="Q1054" s="1360">
        <v>42926</v>
      </c>
      <c r="R1054" s="1714">
        <v>3000000</v>
      </c>
      <c r="S1054" s="1367">
        <v>43112</v>
      </c>
      <c r="T1054" s="1430">
        <v>3000000</v>
      </c>
      <c r="U1054" s="1360">
        <v>43293</v>
      </c>
      <c r="V1054" s="1714">
        <v>0</v>
      </c>
      <c r="W1054" s="1367"/>
      <c r="X1054" s="1714">
        <v>0</v>
      </c>
      <c r="Y1054" s="1367"/>
      <c r="Z1054" s="1731">
        <v>0</v>
      </c>
      <c r="AA1054" s="1367"/>
      <c r="AB1054" s="1389">
        <v>0</v>
      </c>
      <c r="AC1054" s="1367"/>
      <c r="AD1054" s="1666" t="str">
        <f>IFERROR(VLOOKUP(C1054,BSP,3,FALSE),"  ")</f>
        <v xml:space="preserve">  </v>
      </c>
      <c r="AE1054" s="1590" t="str">
        <f>IFERROR((VLOOKUP(C1054,BSP,4,FALSE)),"  ")</f>
        <v xml:space="preserve">  </v>
      </c>
      <c r="AF1054" s="1731" t="str">
        <f>IFERROR(VLOOKUP(C1054,BSP,3,FALSE),"  ")</f>
        <v xml:space="preserve">  </v>
      </c>
      <c r="AG1054" s="1367" t="str">
        <f>IFERROR((VLOOKUP(C1054,BSP,4,FALSE)),"  ")</f>
        <v xml:space="preserve">  </v>
      </c>
      <c r="AH1054" s="1625" t="str">
        <f t="shared" si="350"/>
        <v>PBA</v>
      </c>
      <c r="AI1054" s="1680">
        <f t="shared" si="355"/>
        <v>16350000</v>
      </c>
      <c r="AJ1054" s="1681">
        <f t="shared" si="352"/>
        <v>26350000</v>
      </c>
      <c r="AK1054" s="1682">
        <f t="shared" si="356"/>
        <v>10000000</v>
      </c>
      <c r="AL1054" s="1691" t="str">
        <f t="shared" si="357"/>
        <v>Cek</v>
      </c>
      <c r="AM1054" s="1410"/>
      <c r="AN1054" s="1411"/>
      <c r="AO1054" s="1410"/>
      <c r="AP1054" s="1411"/>
      <c r="AQ1054" s="1128"/>
      <c r="AR1054" s="1173"/>
      <c r="AT1054" s="1173"/>
      <c r="AV1054" s="1173"/>
      <c r="AX1054" s="1173"/>
      <c r="AY1054" s="1176"/>
      <c r="AZ1054" s="1173"/>
    </row>
    <row r="1055" spans="1:52" s="2" customFormat="1" x14ac:dyDescent="0.25">
      <c r="A1055" s="156">
        <v>975</v>
      </c>
      <c r="B1055" s="172">
        <v>16</v>
      </c>
      <c r="C1055" s="159">
        <v>849216017</v>
      </c>
      <c r="D1055" s="177" t="s">
        <v>1539</v>
      </c>
      <c r="E1055" s="179" t="s">
        <v>1110</v>
      </c>
      <c r="F1055" s="161">
        <v>2016</v>
      </c>
      <c r="G1055" s="162" t="s">
        <v>33</v>
      </c>
      <c r="H1055" s="163">
        <f t="shared" ref="H1055:H1086" si="358">IFERROR(VLOOKUP(C1055,Tlus,3,FALSE),"   ")</f>
        <v>43654</v>
      </c>
      <c r="I1055" s="163">
        <f t="shared" ref="I1055:I1086" si="359">IFERROR(VLOOKUP(C1055,Wis,4,FALSE),"   ")</f>
        <v>43818</v>
      </c>
      <c r="J1055" s="1636">
        <v>1350000</v>
      </c>
      <c r="K1055" s="1637">
        <v>42551</v>
      </c>
      <c r="L1055" s="1480">
        <v>3000000</v>
      </c>
      <c r="M1055" s="1637">
        <v>42551</v>
      </c>
      <c r="N1055" s="1480">
        <v>3000000</v>
      </c>
      <c r="O1055" s="1637">
        <v>42790</v>
      </c>
      <c r="P1055" s="1480">
        <v>3000000</v>
      </c>
      <c r="Q1055" s="1365">
        <v>42937</v>
      </c>
      <c r="R1055" s="1385">
        <v>3000000</v>
      </c>
      <c r="S1055" s="1357" t="s">
        <v>1540</v>
      </c>
      <c r="T1055" s="1431">
        <v>3000000</v>
      </c>
      <c r="U1055" s="1365">
        <v>43368</v>
      </c>
      <c r="V1055" s="1385">
        <v>3000000</v>
      </c>
      <c r="W1055" s="1357">
        <v>43637</v>
      </c>
      <c r="X1055" s="1465" t="s">
        <v>1080</v>
      </c>
      <c r="Y1055" s="1391"/>
      <c r="Z1055" s="1363"/>
      <c r="AA1055" s="1563"/>
      <c r="AB1055" s="1480">
        <v>1000000</v>
      </c>
      <c r="AC1055" s="1357">
        <v>43637</v>
      </c>
      <c r="AD1055" s="1666"/>
      <c r="AE1055" s="1590"/>
      <c r="AF1055" s="2300" t="s">
        <v>1329</v>
      </c>
      <c r="AG1055" s="1612"/>
      <c r="AH1055" s="1625" t="str">
        <f t="shared" si="350"/>
        <v>PBA</v>
      </c>
      <c r="AI1055" s="1680">
        <f t="shared" si="355"/>
        <v>20350000</v>
      </c>
      <c r="AJ1055" s="1681">
        <f t="shared" si="352"/>
        <v>20350000</v>
      </c>
      <c r="AK1055" s="1682">
        <f t="shared" si="356"/>
        <v>0</v>
      </c>
      <c r="AL1055" s="1691" t="str">
        <f t="shared" si="357"/>
        <v>Lunas</v>
      </c>
      <c r="AM1055" s="1410"/>
      <c r="AN1055" s="1411"/>
      <c r="AO1055" s="1410"/>
      <c r="AP1055" s="1411"/>
      <c r="AQ1055" s="1128"/>
      <c r="AR1055" s="1173"/>
      <c r="AT1055" s="1173"/>
      <c r="AV1055" s="1173"/>
      <c r="AX1055" s="1173"/>
      <c r="AY1055" s="1176"/>
      <c r="AZ1055" s="1173"/>
    </row>
    <row r="1056" spans="1:52" s="2" customFormat="1" x14ac:dyDescent="0.25">
      <c r="A1056" s="164">
        <v>976</v>
      </c>
      <c r="B1056" s="343">
        <v>17</v>
      </c>
      <c r="C1056" s="443">
        <v>849216018</v>
      </c>
      <c r="D1056" s="442" t="s">
        <v>1541</v>
      </c>
      <c r="E1056" s="444" t="s">
        <v>1110</v>
      </c>
      <c r="F1056" s="445">
        <v>2016</v>
      </c>
      <c r="G1056" s="1758" t="s">
        <v>28</v>
      </c>
      <c r="H1056" s="446" t="str">
        <f t="shared" si="358"/>
        <v xml:space="preserve">   </v>
      </c>
      <c r="I1056" s="446" t="str">
        <f t="shared" si="359"/>
        <v xml:space="preserve">   </v>
      </c>
      <c r="J1056" s="1927">
        <v>1350000</v>
      </c>
      <c r="K1056" s="1928">
        <v>42573</v>
      </c>
      <c r="L1056" s="1929">
        <v>3000000</v>
      </c>
      <c r="M1056" s="1928">
        <v>42573</v>
      </c>
      <c r="N1056" s="1927">
        <v>3000000</v>
      </c>
      <c r="O1056" s="1928">
        <v>42762</v>
      </c>
      <c r="P1056" s="1929" t="s">
        <v>1542</v>
      </c>
      <c r="Q1056" s="1928" t="s">
        <v>1543</v>
      </c>
      <c r="R1056" s="1929">
        <v>0</v>
      </c>
      <c r="S1056" s="1942" t="s">
        <v>1543</v>
      </c>
      <c r="T1056" s="1943">
        <v>0</v>
      </c>
      <c r="U1056" s="1942" t="s">
        <v>1543</v>
      </c>
      <c r="V1056" s="1714">
        <v>0</v>
      </c>
      <c r="W1056" s="1367"/>
      <c r="X1056" s="1714">
        <v>0</v>
      </c>
      <c r="Y1056" s="1367"/>
      <c r="Z1056" s="1731">
        <v>0</v>
      </c>
      <c r="AA1056" s="1367"/>
      <c r="AB1056" s="1389">
        <v>0</v>
      </c>
      <c r="AC1056" s="1367"/>
      <c r="AD1056" s="1666" t="str">
        <f>IFERROR(VLOOKUP(C1056,BSP,3,FALSE),"  ")</f>
        <v xml:space="preserve">  </v>
      </c>
      <c r="AE1056" s="1590" t="str">
        <f>IFERROR((VLOOKUP(C1056,BSP,4,FALSE)),"  ")</f>
        <v xml:space="preserve">  </v>
      </c>
      <c r="AF1056" s="1731" t="str">
        <f>IFERROR(VLOOKUP(C1056,BSP,3,FALSE),"  ")</f>
        <v xml:space="preserve">  </v>
      </c>
      <c r="AG1056" s="1367" t="str">
        <f>IFERROR((VLOOKUP(C1056,BSP,4,FALSE)),"  ")</f>
        <v xml:space="preserve">  </v>
      </c>
      <c r="AH1056" s="1625" t="str">
        <f t="shared" si="350"/>
        <v>PBA</v>
      </c>
      <c r="AI1056" s="1680">
        <f t="shared" si="355"/>
        <v>7350000</v>
      </c>
      <c r="AJ1056" s="1681">
        <f t="shared" si="352"/>
        <v>23350000</v>
      </c>
      <c r="AK1056" s="1682">
        <f t="shared" si="356"/>
        <v>16000000</v>
      </c>
      <c r="AL1056" s="1691" t="str">
        <f t="shared" si="357"/>
        <v>Cek</v>
      </c>
      <c r="AM1056" s="1410"/>
      <c r="AN1056" s="1411"/>
      <c r="AO1056" s="1410"/>
      <c r="AP1056" s="1411"/>
      <c r="AQ1056" s="1128"/>
      <c r="AR1056" s="1173"/>
      <c r="AT1056" s="1173"/>
      <c r="AV1056" s="1173"/>
      <c r="AX1056" s="1173"/>
      <c r="AY1056" s="1176"/>
      <c r="AZ1056" s="1173"/>
    </row>
    <row r="1057" spans="1:52" s="2" customFormat="1" x14ac:dyDescent="0.25">
      <c r="A1057" s="164">
        <v>977</v>
      </c>
      <c r="B1057" s="343">
        <v>18</v>
      </c>
      <c r="C1057" s="263">
        <v>849216019</v>
      </c>
      <c r="D1057" s="173" t="s">
        <v>1544</v>
      </c>
      <c r="E1057" s="441" t="s">
        <v>1110</v>
      </c>
      <c r="F1057" s="175">
        <v>2016</v>
      </c>
      <c r="G1057" s="1758" t="s">
        <v>28</v>
      </c>
      <c r="H1057" s="265" t="str">
        <f t="shared" si="358"/>
        <v xml:space="preserve">   </v>
      </c>
      <c r="I1057" s="265" t="str">
        <f t="shared" si="359"/>
        <v xml:space="preserve">   </v>
      </c>
      <c r="J1057" s="1635">
        <v>1350000</v>
      </c>
      <c r="K1057" s="1500">
        <v>42549</v>
      </c>
      <c r="L1057" s="1389">
        <v>3000000</v>
      </c>
      <c r="M1057" s="1500">
        <v>42549</v>
      </c>
      <c r="N1057" s="1775">
        <v>3000000</v>
      </c>
      <c r="O1057" s="1503">
        <v>42760</v>
      </c>
      <c r="P1057" s="1389">
        <v>3000000</v>
      </c>
      <c r="Q1057" s="1360">
        <v>43116</v>
      </c>
      <c r="R1057" s="1714">
        <v>3000000</v>
      </c>
      <c r="S1057" s="1367">
        <v>43116</v>
      </c>
      <c r="T1057" s="1430">
        <v>0</v>
      </c>
      <c r="U1057" s="1360"/>
      <c r="V1057" s="1714">
        <v>0</v>
      </c>
      <c r="W1057" s="1367"/>
      <c r="X1057" s="1714">
        <v>0</v>
      </c>
      <c r="Y1057" s="1367"/>
      <c r="Z1057" s="1731">
        <v>0</v>
      </c>
      <c r="AA1057" s="1367"/>
      <c r="AB1057" s="1389">
        <v>0</v>
      </c>
      <c r="AC1057" s="1367"/>
      <c r="AD1057" s="1666" t="str">
        <f>IFERROR(VLOOKUP(C1057,BSP,3,FALSE),"  ")</f>
        <v xml:space="preserve">  </v>
      </c>
      <c r="AE1057" s="1590" t="str">
        <f>IFERROR((VLOOKUP(C1057,BSP,4,FALSE)),"  ")</f>
        <v xml:space="preserve">  </v>
      </c>
      <c r="AF1057" s="1731" t="str">
        <f>IFERROR(VLOOKUP(C1057,BSP,3,FALSE),"  ")</f>
        <v xml:space="preserve">  </v>
      </c>
      <c r="AG1057" s="1367" t="str">
        <f>IFERROR((VLOOKUP(C1057,BSP,4,FALSE)),"  ")</f>
        <v xml:space="preserve">  </v>
      </c>
      <c r="AH1057" s="1625" t="str">
        <f t="shared" si="350"/>
        <v>PBA</v>
      </c>
      <c r="AI1057" s="1680">
        <f t="shared" si="355"/>
        <v>13350000</v>
      </c>
      <c r="AJ1057" s="1681">
        <f t="shared" si="352"/>
        <v>26350000</v>
      </c>
      <c r="AK1057" s="1682">
        <f t="shared" si="356"/>
        <v>13000000</v>
      </c>
      <c r="AL1057" s="1691" t="str">
        <f t="shared" si="357"/>
        <v>Cek</v>
      </c>
      <c r="AM1057" s="1410"/>
      <c r="AN1057" s="1411"/>
      <c r="AO1057" s="1410"/>
      <c r="AP1057" s="1411"/>
      <c r="AQ1057" s="1128"/>
      <c r="AR1057" s="1173"/>
      <c r="AT1057" s="1173"/>
      <c r="AV1057" s="1173"/>
      <c r="AX1057" s="1173"/>
      <c r="AY1057" s="1176"/>
      <c r="AZ1057" s="1173"/>
    </row>
    <row r="1058" spans="1:52" s="2" customFormat="1" x14ac:dyDescent="0.25">
      <c r="A1058" s="180">
        <v>978</v>
      </c>
      <c r="B1058" s="348">
        <v>19</v>
      </c>
      <c r="C1058" s="183">
        <v>849216020</v>
      </c>
      <c r="D1058" s="182" t="s">
        <v>1545</v>
      </c>
      <c r="E1058" s="184" t="s">
        <v>1110</v>
      </c>
      <c r="F1058" s="185">
        <v>2016</v>
      </c>
      <c r="G1058" s="186" t="s">
        <v>33</v>
      </c>
      <c r="H1058" s="284">
        <f t="shared" si="358"/>
        <v>43259</v>
      </c>
      <c r="I1058" s="284">
        <f t="shared" si="359"/>
        <v>43440</v>
      </c>
      <c r="J1058" s="1700">
        <v>1350000</v>
      </c>
      <c r="K1058" s="1463">
        <v>42551</v>
      </c>
      <c r="L1058" s="1484">
        <v>3000000</v>
      </c>
      <c r="M1058" s="1463">
        <v>42551</v>
      </c>
      <c r="N1058" s="1484">
        <v>3000000</v>
      </c>
      <c r="O1058" s="1463">
        <v>42760</v>
      </c>
      <c r="P1058" s="1484">
        <v>3000000</v>
      </c>
      <c r="Q1058" s="1435">
        <v>42933</v>
      </c>
      <c r="R1058" s="1484">
        <v>3000000</v>
      </c>
      <c r="S1058" s="1435">
        <v>43116</v>
      </c>
      <c r="T1058" s="1462" t="s">
        <v>1080</v>
      </c>
      <c r="U1058" s="1782"/>
      <c r="V1058" s="1446"/>
      <c r="W1058" s="1944"/>
      <c r="X1058" s="1446"/>
      <c r="Y1058" s="1944"/>
      <c r="Z1058" s="1446"/>
      <c r="AA1058" s="1957"/>
      <c r="AB1058" s="1484">
        <v>1000000</v>
      </c>
      <c r="AC1058" s="1435">
        <v>43256</v>
      </c>
      <c r="AD1058" s="1666"/>
      <c r="AE1058" s="1590"/>
      <c r="AF1058" s="2300" t="s">
        <v>1329</v>
      </c>
      <c r="AG1058" s="1612"/>
      <c r="AH1058" s="1625" t="str">
        <f t="shared" si="350"/>
        <v>PBA</v>
      </c>
      <c r="AI1058" s="1752">
        <f t="shared" si="355"/>
        <v>14350000</v>
      </c>
      <c r="AJ1058" s="1753">
        <f t="shared" si="352"/>
        <v>14350000</v>
      </c>
      <c r="AK1058" s="1741">
        <f t="shared" si="356"/>
        <v>0</v>
      </c>
      <c r="AL1058" s="1742" t="str">
        <f t="shared" si="357"/>
        <v>Lunas</v>
      </c>
      <c r="AM1058" s="1410"/>
      <c r="AN1058" s="1411"/>
      <c r="AO1058" s="1410"/>
      <c r="AP1058" s="1411"/>
      <c r="AQ1058" s="1128"/>
      <c r="AR1058" s="1173"/>
      <c r="AT1058" s="1173"/>
      <c r="AV1058" s="1173"/>
      <c r="AX1058" s="1173"/>
      <c r="AY1058" s="1176"/>
      <c r="AZ1058" s="1173"/>
    </row>
    <row r="1059" spans="1:52" s="2" customFormat="1" x14ac:dyDescent="0.25">
      <c r="A1059" s="223"/>
      <c r="B1059" s="224"/>
      <c r="C1059" s="1919"/>
      <c r="D1059" s="225"/>
      <c r="E1059" s="227" t="s">
        <v>61</v>
      </c>
      <c r="F1059" s="228" t="s">
        <v>61</v>
      </c>
      <c r="G1059" s="192" t="s">
        <v>61</v>
      </c>
      <c r="H1059" s="36" t="str">
        <f t="shared" si="358"/>
        <v xml:space="preserve">   </v>
      </c>
      <c r="I1059" s="36" t="str">
        <f t="shared" si="359"/>
        <v xml:space="preserve">   </v>
      </c>
      <c r="J1059" s="223"/>
      <c r="K1059" s="1127"/>
      <c r="L1059" s="1769"/>
      <c r="M1059" s="1770"/>
      <c r="N1059" s="1769"/>
      <c r="O1059" s="1770"/>
      <c r="P1059" s="1769"/>
      <c r="Q1059" s="1770"/>
      <c r="R1059" s="1769"/>
      <c r="S1059" s="1783"/>
      <c r="T1059" s="1437"/>
      <c r="U1059" s="1770"/>
      <c r="V1059" s="1437"/>
      <c r="W1059" s="1770"/>
      <c r="X1059" s="1437"/>
      <c r="Y1059" s="1770"/>
      <c r="Z1059" s="1958"/>
      <c r="AA1059" s="1959"/>
      <c r="AB1059" s="1958"/>
      <c r="AC1059" s="1959"/>
      <c r="AD1059" s="414"/>
      <c r="AE1059" s="1629"/>
      <c r="AF1059" s="414"/>
      <c r="AG1059" s="1629"/>
      <c r="AH1059" s="1827"/>
      <c r="AI1059" s="1512"/>
      <c r="AJ1059" s="1409"/>
      <c r="AK1059" s="1409"/>
      <c r="AL1059" s="1513"/>
      <c r="AM1059" s="1513"/>
      <c r="AN1059" s="1514"/>
      <c r="AO1059" s="1513"/>
      <c r="AP1059" s="1514"/>
      <c r="AQ1059" s="1128"/>
      <c r="AR1059" s="1173"/>
      <c r="AT1059" s="1173"/>
      <c r="AV1059" s="1173"/>
      <c r="AX1059" s="1173"/>
      <c r="AY1059" s="1176"/>
      <c r="AZ1059" s="1173"/>
    </row>
    <row r="1060" spans="1:52" s="2" customFormat="1" x14ac:dyDescent="0.25">
      <c r="A1060" s="365" t="s">
        <v>1546</v>
      </c>
      <c r="B1060" s="365"/>
      <c r="C1060" s="366"/>
      <c r="D1060" s="365"/>
      <c r="E1060" s="198" t="s">
        <v>1096</v>
      </c>
      <c r="F1060" s="199" t="s">
        <v>1096</v>
      </c>
      <c r="G1060" s="146">
        <v>3000000</v>
      </c>
      <c r="H1060" s="147" t="str">
        <f t="shared" si="358"/>
        <v xml:space="preserve">   </v>
      </c>
      <c r="I1060" s="147" t="str">
        <f t="shared" si="359"/>
        <v xml:space="preserve">   </v>
      </c>
      <c r="J1060" s="1349">
        <v>1350000</v>
      </c>
      <c r="K1060" s="1529"/>
      <c r="L1060" s="1582" t="s">
        <v>1049</v>
      </c>
      <c r="M1060" s="1502" t="s">
        <v>1062</v>
      </c>
      <c r="N1060" s="1582" t="s">
        <v>1051</v>
      </c>
      <c r="O1060" s="1502" t="s">
        <v>1064</v>
      </c>
      <c r="P1060" s="1582" t="s">
        <v>1053</v>
      </c>
      <c r="Q1060" s="1502" t="s">
        <v>1066</v>
      </c>
      <c r="R1060" s="1582" t="s">
        <v>1055</v>
      </c>
      <c r="S1060" s="1502" t="s">
        <v>1068</v>
      </c>
      <c r="T1060" s="1582" t="s">
        <v>1057</v>
      </c>
      <c r="U1060" s="1502" t="s">
        <v>1141</v>
      </c>
      <c r="V1060" s="1582" t="s">
        <v>1059</v>
      </c>
      <c r="W1060" s="1502" t="s">
        <v>1325</v>
      </c>
      <c r="X1060" s="1582" t="s">
        <v>1061</v>
      </c>
      <c r="Y1060" s="1502" t="s">
        <v>1463</v>
      </c>
      <c r="Z1060" s="1582" t="s">
        <v>1063</v>
      </c>
      <c r="AA1060" s="1502" t="s">
        <v>1464</v>
      </c>
      <c r="AB1060" s="1450">
        <v>1000000</v>
      </c>
      <c r="AC1060" s="1663" t="s">
        <v>1326</v>
      </c>
      <c r="AD1060" s="1450">
        <v>500000</v>
      </c>
      <c r="AE1060" s="1663" t="s">
        <v>22</v>
      </c>
      <c r="AF1060" s="1662"/>
      <c r="AG1060" s="1436"/>
      <c r="AH1060" s="1408"/>
      <c r="AI1060" s="1512"/>
      <c r="AJ1060" s="1409"/>
      <c r="AK1060" s="1409"/>
      <c r="AL1060" s="1513"/>
      <c r="AM1060" s="1513"/>
      <c r="AN1060" s="1514"/>
      <c r="AO1060" s="1513"/>
      <c r="AP1060" s="1514"/>
      <c r="AQ1060" s="1128"/>
      <c r="AR1060" s="1173"/>
      <c r="AT1060" s="1173"/>
      <c r="AV1060" s="1173"/>
      <c r="AX1060" s="1173"/>
      <c r="AY1060" s="1176"/>
      <c r="AZ1060" s="1173"/>
    </row>
    <row r="1061" spans="1:52" s="2" customFormat="1" x14ac:dyDescent="0.25">
      <c r="A1061" s="148">
        <v>979</v>
      </c>
      <c r="B1061" s="395">
        <v>1</v>
      </c>
      <c r="C1061" s="151">
        <v>839216001</v>
      </c>
      <c r="D1061" s="396" t="s">
        <v>1547</v>
      </c>
      <c r="E1061" s="311" t="s">
        <v>1195</v>
      </c>
      <c r="F1061" s="397">
        <v>2016</v>
      </c>
      <c r="G1061" s="342" t="s">
        <v>33</v>
      </c>
      <c r="H1061" s="163">
        <f t="shared" si="358"/>
        <v>43336</v>
      </c>
      <c r="I1061" s="163">
        <f t="shared" si="359"/>
        <v>43440</v>
      </c>
      <c r="J1061" s="1633">
        <v>1350000</v>
      </c>
      <c r="K1061" s="1479">
        <v>38841</v>
      </c>
      <c r="L1061" s="1634">
        <v>3000000</v>
      </c>
      <c r="M1061" s="1479">
        <v>38841</v>
      </c>
      <c r="N1061" s="1634">
        <v>3000000</v>
      </c>
      <c r="O1061" s="1479">
        <v>42758</v>
      </c>
      <c r="P1061" s="1634">
        <v>3000000</v>
      </c>
      <c r="Q1061" s="1440">
        <v>42935</v>
      </c>
      <c r="R1061" s="1634">
        <v>3000000</v>
      </c>
      <c r="S1061" s="1440">
        <v>43123</v>
      </c>
      <c r="T1061" s="1441">
        <v>3000000</v>
      </c>
      <c r="U1061" s="1440">
        <v>43315</v>
      </c>
      <c r="V1061" s="1649" t="s">
        <v>1080</v>
      </c>
      <c r="W1061" s="1384"/>
      <c r="X1061" s="1363"/>
      <c r="Y1061" s="1391"/>
      <c r="Z1061" s="1363"/>
      <c r="AA1061" s="1563"/>
      <c r="AB1061" s="1381">
        <v>1000000</v>
      </c>
      <c r="AC1061" s="1354">
        <v>43315</v>
      </c>
      <c r="AD1061" s="1666"/>
      <c r="AE1061" s="1590"/>
      <c r="AF1061" s="2300" t="s">
        <v>1329</v>
      </c>
      <c r="AG1061" s="1612"/>
      <c r="AH1061" s="1625" t="str">
        <f t="shared" ref="AH1061:AH1087" si="360">E1061</f>
        <v>ES</v>
      </c>
      <c r="AI1061" s="1678">
        <f t="shared" ref="AI1061" si="361">SUM(J1061,L1061,N1061,P1061,R1061,T1061,V1061,X1061,Z1061,AB1061,AD1061,AF1061)</f>
        <v>17350000</v>
      </c>
      <c r="AJ1061" s="1679">
        <f t="shared" ref="AJ1061:AJ1087" si="362">(COUNT(L1061,N1061,P1061,R1061,T1061,V1061,X1061,Z1061)*$G$1039)+(COUNT(J1061)*$J$1039)+(COUNT(AB1061)*$AB$1039)+(COUNT(AD1061)*$AD$1039)</f>
        <v>17350000</v>
      </c>
      <c r="AK1061" s="1419">
        <f t="shared" ref="AK1061" si="363">AJ1061-AI1061</f>
        <v>0</v>
      </c>
      <c r="AL1061" s="1420" t="str">
        <f t="shared" ref="AL1061" si="364">IF(AK1061=0,"Lunas","Cek")</f>
        <v>Lunas</v>
      </c>
      <c r="AM1061" s="1410"/>
      <c r="AN1061" s="1411"/>
      <c r="AO1061" s="1410"/>
      <c r="AP1061" s="1411"/>
      <c r="AQ1061" s="1128"/>
      <c r="AR1061" s="1173"/>
      <c r="AT1061" s="1173"/>
      <c r="AV1061" s="1173"/>
      <c r="AX1061" s="1173"/>
      <c r="AY1061" s="1176"/>
      <c r="AZ1061" s="1173"/>
    </row>
    <row r="1062" spans="1:52" s="2" customFormat="1" x14ac:dyDescent="0.25">
      <c r="A1062" s="156">
        <v>980</v>
      </c>
      <c r="B1062" s="406">
        <v>2</v>
      </c>
      <c r="C1062" s="178">
        <v>839216002</v>
      </c>
      <c r="D1062" s="211" t="s">
        <v>1548</v>
      </c>
      <c r="E1062" s="275" t="s">
        <v>1195</v>
      </c>
      <c r="F1062" s="213">
        <v>2016</v>
      </c>
      <c r="G1062" s="162" t="s">
        <v>33</v>
      </c>
      <c r="H1062" s="163">
        <f t="shared" si="358"/>
        <v>43609</v>
      </c>
      <c r="I1062" s="163">
        <f t="shared" si="359"/>
        <v>43750</v>
      </c>
      <c r="J1062" s="1636">
        <v>1350000</v>
      </c>
      <c r="K1062" s="1383">
        <v>42499</v>
      </c>
      <c r="L1062" s="1385">
        <v>3000000</v>
      </c>
      <c r="M1062" s="1383">
        <v>42499</v>
      </c>
      <c r="N1062" s="1480">
        <v>3000000</v>
      </c>
      <c r="O1062" s="1637">
        <v>42760</v>
      </c>
      <c r="P1062" s="1480">
        <v>3000000</v>
      </c>
      <c r="Q1062" s="1365">
        <v>42930</v>
      </c>
      <c r="R1062" s="1385">
        <v>3000000</v>
      </c>
      <c r="S1062" s="1357">
        <v>43131</v>
      </c>
      <c r="T1062" s="1431">
        <v>3000000</v>
      </c>
      <c r="U1062" s="1365">
        <v>43369</v>
      </c>
      <c r="V1062" s="1385">
        <v>3000000</v>
      </c>
      <c r="W1062" s="1357">
        <v>43598</v>
      </c>
      <c r="X1062" s="1465" t="s">
        <v>1080</v>
      </c>
      <c r="Y1062" s="1391"/>
      <c r="Z1062" s="1363"/>
      <c r="AA1062" s="1563"/>
      <c r="AB1062" s="1480">
        <v>1000000</v>
      </c>
      <c r="AC1062" s="1357">
        <v>43598</v>
      </c>
      <c r="AD1062" s="1666"/>
      <c r="AE1062" s="1590"/>
      <c r="AF1062" s="2300" t="s">
        <v>1329</v>
      </c>
      <c r="AG1062" s="1612"/>
      <c r="AH1062" s="1625" t="str">
        <f t="shared" si="360"/>
        <v>ES</v>
      </c>
      <c r="AI1062" s="1680">
        <f t="shared" ref="AI1062:AI1087" si="365">SUM(J1062,L1062,N1062,P1062,R1062,T1062,V1062,X1062,Z1062,AB1062,AD1062,AF1062)</f>
        <v>20350000</v>
      </c>
      <c r="AJ1062" s="1681">
        <f t="shared" si="362"/>
        <v>20350000</v>
      </c>
      <c r="AK1062" s="1682">
        <f t="shared" ref="AK1062:AK1087" si="366">AJ1062-AI1062</f>
        <v>0</v>
      </c>
      <c r="AL1062" s="1691" t="str">
        <f t="shared" ref="AL1062:AL1087" si="367">IF(AK1062=0,"Lunas","Cek")</f>
        <v>Lunas</v>
      </c>
      <c r="AM1062" s="1410"/>
      <c r="AN1062" s="1411"/>
      <c r="AO1062" s="1410"/>
      <c r="AP1062" s="1411"/>
      <c r="AQ1062" s="1128"/>
      <c r="AR1062" s="1173"/>
      <c r="AT1062" s="1173"/>
      <c r="AV1062" s="1173"/>
      <c r="AX1062" s="1173"/>
      <c r="AY1062" s="1176"/>
      <c r="AZ1062" s="1173"/>
    </row>
    <row r="1063" spans="1:52" s="2" customFormat="1" x14ac:dyDescent="0.25">
      <c r="A1063" s="156">
        <v>981</v>
      </c>
      <c r="B1063" s="406">
        <v>3</v>
      </c>
      <c r="C1063" s="159">
        <v>839216003</v>
      </c>
      <c r="D1063" s="211" t="s">
        <v>1549</v>
      </c>
      <c r="E1063" s="179" t="s">
        <v>1195</v>
      </c>
      <c r="F1063" s="213">
        <v>2016</v>
      </c>
      <c r="G1063" s="162" t="s">
        <v>33</v>
      </c>
      <c r="H1063" s="163">
        <f t="shared" si="358"/>
        <v>43361</v>
      </c>
      <c r="I1063" s="163">
        <f t="shared" si="359"/>
        <v>43440</v>
      </c>
      <c r="J1063" s="1443">
        <v>1350000</v>
      </c>
      <c r="K1063" s="1383">
        <v>42494</v>
      </c>
      <c r="L1063" s="1385">
        <v>3000000</v>
      </c>
      <c r="M1063" s="1383">
        <v>42494</v>
      </c>
      <c r="N1063" s="1385">
        <v>3000000</v>
      </c>
      <c r="O1063" s="1383">
        <v>42758</v>
      </c>
      <c r="P1063" s="1385">
        <v>3000000</v>
      </c>
      <c r="Q1063" s="1357">
        <v>42930</v>
      </c>
      <c r="R1063" s="1385">
        <v>3000000</v>
      </c>
      <c r="S1063" s="1357">
        <v>43111</v>
      </c>
      <c r="T1063" s="1358">
        <v>3000000</v>
      </c>
      <c r="U1063" s="1357">
        <v>43348</v>
      </c>
      <c r="V1063" s="1465" t="s">
        <v>1080</v>
      </c>
      <c r="W1063" s="1384"/>
      <c r="X1063" s="1363"/>
      <c r="Y1063" s="1391"/>
      <c r="Z1063" s="1363"/>
      <c r="AA1063" s="1563"/>
      <c r="AB1063" s="1385">
        <v>1000000</v>
      </c>
      <c r="AC1063" s="1357">
        <v>43348</v>
      </c>
      <c r="AD1063" s="1666"/>
      <c r="AE1063" s="1590"/>
      <c r="AF1063" s="2300" t="s">
        <v>1329</v>
      </c>
      <c r="AG1063" s="1612"/>
      <c r="AH1063" s="1625" t="str">
        <f t="shared" si="360"/>
        <v>ES</v>
      </c>
      <c r="AI1063" s="1680">
        <f t="shared" si="365"/>
        <v>17350000</v>
      </c>
      <c r="AJ1063" s="1681">
        <f t="shared" si="362"/>
        <v>17350000</v>
      </c>
      <c r="AK1063" s="1682">
        <f t="shared" si="366"/>
        <v>0</v>
      </c>
      <c r="AL1063" s="1691" t="str">
        <f t="shared" si="367"/>
        <v>Lunas</v>
      </c>
      <c r="AM1063" s="1410"/>
      <c r="AN1063" s="1411"/>
      <c r="AO1063" s="1410"/>
      <c r="AP1063" s="1411"/>
      <c r="AQ1063" s="1128"/>
      <c r="AR1063" s="1173"/>
      <c r="AT1063" s="1173"/>
      <c r="AV1063" s="1173"/>
      <c r="AX1063" s="1173"/>
      <c r="AY1063" s="1176"/>
      <c r="AZ1063" s="1173"/>
    </row>
    <row r="1064" spans="1:52" s="2" customFormat="1" x14ac:dyDescent="0.25">
      <c r="A1064" s="156">
        <v>982</v>
      </c>
      <c r="B1064" s="156">
        <v>4</v>
      </c>
      <c r="C1064" s="178">
        <v>839216004</v>
      </c>
      <c r="D1064" s="158" t="s">
        <v>1550</v>
      </c>
      <c r="E1064" s="275" t="s">
        <v>1195</v>
      </c>
      <c r="F1064" s="213">
        <v>2016</v>
      </c>
      <c r="G1064" s="162" t="s">
        <v>33</v>
      </c>
      <c r="H1064" s="163">
        <f t="shared" si="358"/>
        <v>44019</v>
      </c>
      <c r="I1064" s="163">
        <f t="shared" si="359"/>
        <v>44168</v>
      </c>
      <c r="J1064" s="1636">
        <v>1350000</v>
      </c>
      <c r="K1064" s="1383">
        <v>42487</v>
      </c>
      <c r="L1064" s="1443">
        <v>3000000</v>
      </c>
      <c r="M1064" s="1383">
        <v>42487</v>
      </c>
      <c r="N1064" s="1480">
        <v>3000000</v>
      </c>
      <c r="O1064" s="1637">
        <v>42759</v>
      </c>
      <c r="P1064" s="1480">
        <v>3000000</v>
      </c>
      <c r="Q1064" s="1365">
        <v>42929</v>
      </c>
      <c r="R1064" s="1385">
        <v>3000000</v>
      </c>
      <c r="S1064" s="1357">
        <v>43112</v>
      </c>
      <c r="T1064" s="1431">
        <v>3000000</v>
      </c>
      <c r="U1064" s="1365">
        <v>43294</v>
      </c>
      <c r="V1064" s="1480">
        <v>3000000</v>
      </c>
      <c r="W1064" s="1357">
        <v>43829</v>
      </c>
      <c r="X1064" s="1480">
        <v>3000000</v>
      </c>
      <c r="Y1064" s="1357">
        <v>43829</v>
      </c>
      <c r="Z1064" s="1874">
        <v>3000000</v>
      </c>
      <c r="AA1064" s="1357">
        <v>43860.553368055596</v>
      </c>
      <c r="AB1064" s="1385">
        <v>1000000</v>
      </c>
      <c r="AC1064" s="1357">
        <v>44007</v>
      </c>
      <c r="AD1064" s="1809">
        <v>500000</v>
      </c>
      <c r="AE1064" s="1440">
        <v>44032</v>
      </c>
      <c r="AF1064" s="2300" t="s">
        <v>1329</v>
      </c>
      <c r="AG1064" s="1612"/>
      <c r="AH1064" s="1625" t="str">
        <f t="shared" si="360"/>
        <v>ES</v>
      </c>
      <c r="AI1064" s="1680">
        <f t="shared" si="365"/>
        <v>26850000</v>
      </c>
      <c r="AJ1064" s="1681">
        <f t="shared" si="362"/>
        <v>26850000</v>
      </c>
      <c r="AK1064" s="1682">
        <f t="shared" si="366"/>
        <v>0</v>
      </c>
      <c r="AL1064" s="1691" t="str">
        <f t="shared" si="367"/>
        <v>Lunas</v>
      </c>
      <c r="AM1064" s="1410"/>
      <c r="AN1064" s="1411"/>
      <c r="AO1064" s="1410"/>
      <c r="AP1064" s="1411"/>
      <c r="AQ1064" s="1128"/>
      <c r="AR1064" s="1173"/>
      <c r="AT1064" s="1173"/>
      <c r="AV1064" s="1173"/>
      <c r="AX1064" s="1173"/>
      <c r="AY1064" s="1176"/>
      <c r="AZ1064" s="1173"/>
    </row>
    <row r="1065" spans="1:52" s="2" customFormat="1" x14ac:dyDescent="0.25">
      <c r="A1065" s="156">
        <v>983</v>
      </c>
      <c r="B1065" s="406">
        <v>5</v>
      </c>
      <c r="C1065" s="178">
        <v>839216005</v>
      </c>
      <c r="D1065" s="211" t="s">
        <v>1551</v>
      </c>
      <c r="E1065" s="275" t="s">
        <v>1195</v>
      </c>
      <c r="F1065" s="213">
        <v>2016</v>
      </c>
      <c r="G1065" s="162" t="s">
        <v>33</v>
      </c>
      <c r="H1065" s="163">
        <f t="shared" si="358"/>
        <v>44096</v>
      </c>
      <c r="I1065" s="163">
        <f t="shared" si="359"/>
        <v>44186</v>
      </c>
      <c r="J1065" s="1636">
        <v>1350000</v>
      </c>
      <c r="K1065" s="1383">
        <v>42487</v>
      </c>
      <c r="L1065" s="1443">
        <v>3000000</v>
      </c>
      <c r="M1065" s="1383">
        <v>42487</v>
      </c>
      <c r="N1065" s="1480">
        <v>3000000</v>
      </c>
      <c r="O1065" s="1637">
        <v>42759</v>
      </c>
      <c r="P1065" s="1480">
        <v>3000000</v>
      </c>
      <c r="Q1065" s="1365">
        <v>42929</v>
      </c>
      <c r="R1065" s="1385">
        <v>3000000</v>
      </c>
      <c r="S1065" s="1357">
        <v>43112</v>
      </c>
      <c r="T1065" s="1431">
        <v>3000000</v>
      </c>
      <c r="U1065" s="1365">
        <v>43294</v>
      </c>
      <c r="V1065" s="1480">
        <v>3000000</v>
      </c>
      <c r="W1065" s="1357">
        <v>43829</v>
      </c>
      <c r="X1065" s="1480">
        <v>3000000</v>
      </c>
      <c r="Y1065" s="1357">
        <v>43829</v>
      </c>
      <c r="Z1065" s="1874">
        <v>3000000</v>
      </c>
      <c r="AA1065" s="1357">
        <v>43860.593460648102</v>
      </c>
      <c r="AB1065" s="1480">
        <v>1000000</v>
      </c>
      <c r="AC1065" s="1357">
        <v>44068.487152777801</v>
      </c>
      <c r="AD1065" s="1809">
        <v>500000</v>
      </c>
      <c r="AE1065" s="1440">
        <v>44092</v>
      </c>
      <c r="AF1065" s="2300" t="s">
        <v>1329</v>
      </c>
      <c r="AG1065" s="1612"/>
      <c r="AH1065" s="1625" t="str">
        <f t="shared" si="360"/>
        <v>ES</v>
      </c>
      <c r="AI1065" s="1680">
        <f t="shared" si="365"/>
        <v>26850000</v>
      </c>
      <c r="AJ1065" s="1681">
        <f t="shared" si="362"/>
        <v>26850000</v>
      </c>
      <c r="AK1065" s="1682">
        <f t="shared" si="366"/>
        <v>0</v>
      </c>
      <c r="AL1065" s="1691" t="str">
        <f t="shared" si="367"/>
        <v>Lunas</v>
      </c>
      <c r="AM1065" s="1410"/>
      <c r="AN1065" s="1411"/>
      <c r="AO1065" s="1410"/>
      <c r="AP1065" s="1411"/>
      <c r="AQ1065" s="1128"/>
      <c r="AR1065" s="1173"/>
      <c r="AT1065" s="1173"/>
      <c r="AV1065" s="1173"/>
      <c r="AX1065" s="1173"/>
      <c r="AY1065" s="1176"/>
      <c r="AZ1065" s="1173"/>
    </row>
    <row r="1066" spans="1:52" s="2" customFormat="1" x14ac:dyDescent="0.25">
      <c r="A1066" s="164">
        <v>984</v>
      </c>
      <c r="B1066" s="448">
        <v>6</v>
      </c>
      <c r="C1066" s="174">
        <v>839216006</v>
      </c>
      <c r="D1066" s="401" t="s">
        <v>1552</v>
      </c>
      <c r="E1066" s="449" t="s">
        <v>1195</v>
      </c>
      <c r="F1066" s="450">
        <v>2016</v>
      </c>
      <c r="G1066" s="1758" t="s">
        <v>28</v>
      </c>
      <c r="H1066" s="265" t="str">
        <f t="shared" si="358"/>
        <v xml:space="preserve">   </v>
      </c>
      <c r="I1066" s="265" t="str">
        <f t="shared" si="359"/>
        <v xml:space="preserve">   </v>
      </c>
      <c r="J1066" s="1635">
        <v>1350000</v>
      </c>
      <c r="K1066" s="1503">
        <v>42499</v>
      </c>
      <c r="L1066" s="1714">
        <v>3000000</v>
      </c>
      <c r="M1066" s="1503">
        <v>42499</v>
      </c>
      <c r="N1066" s="1389">
        <v>3000000</v>
      </c>
      <c r="O1066" s="1500">
        <v>42760</v>
      </c>
      <c r="P1066" s="1635">
        <v>3000000</v>
      </c>
      <c r="Q1066" s="1360">
        <v>42936</v>
      </c>
      <c r="R1066" s="1714">
        <v>3000000</v>
      </c>
      <c r="S1066" s="1367">
        <v>43131</v>
      </c>
      <c r="T1066" s="1430">
        <v>3000000</v>
      </c>
      <c r="U1066" s="1360">
        <v>43445</v>
      </c>
      <c r="V1066" s="1714">
        <v>0</v>
      </c>
      <c r="W1066" s="1367"/>
      <c r="X1066" s="1714">
        <v>0</v>
      </c>
      <c r="Y1066" s="1367"/>
      <c r="Z1066" s="1731">
        <v>0</v>
      </c>
      <c r="AA1066" s="1367"/>
      <c r="AB1066" s="1389">
        <v>0</v>
      </c>
      <c r="AC1066" s="1367"/>
      <c r="AD1066" s="1666" t="str">
        <f>IFERROR(VLOOKUP(C1066,BSP,3,FALSE),"  ")</f>
        <v xml:space="preserve">  </v>
      </c>
      <c r="AE1066" s="1590" t="str">
        <f>IFERROR((VLOOKUP(C1066,BSP,4,FALSE)),"  ")</f>
        <v xml:space="preserve">  </v>
      </c>
      <c r="AF1066" s="1731" t="str">
        <f>IFERROR(VLOOKUP(C1066,BSP,3,FALSE),"  ")</f>
        <v xml:space="preserve">  </v>
      </c>
      <c r="AG1066" s="1367" t="str">
        <f>IFERROR((VLOOKUP(C1066,BSP,4,FALSE)),"  ")</f>
        <v xml:space="preserve">  </v>
      </c>
      <c r="AH1066" s="1625" t="str">
        <f t="shared" si="360"/>
        <v>ES</v>
      </c>
      <c r="AI1066" s="1680">
        <f t="shared" si="365"/>
        <v>16350000</v>
      </c>
      <c r="AJ1066" s="1681">
        <f t="shared" si="362"/>
        <v>26350000</v>
      </c>
      <c r="AK1066" s="1682">
        <f t="shared" si="366"/>
        <v>10000000</v>
      </c>
      <c r="AL1066" s="1691" t="str">
        <f t="shared" si="367"/>
        <v>Cek</v>
      </c>
      <c r="AM1066" s="1410"/>
      <c r="AN1066" s="1411"/>
      <c r="AO1066" s="1410"/>
      <c r="AP1066" s="1411"/>
      <c r="AQ1066" s="1128"/>
      <c r="AR1066" s="1173"/>
      <c r="AT1066" s="1173"/>
      <c r="AV1066" s="1173"/>
      <c r="AX1066" s="1173"/>
      <c r="AY1066" s="1176"/>
      <c r="AZ1066" s="1173"/>
    </row>
    <row r="1067" spans="1:52" s="2" customFormat="1" x14ac:dyDescent="0.25">
      <c r="A1067" s="164">
        <v>985</v>
      </c>
      <c r="B1067" s="400">
        <v>7</v>
      </c>
      <c r="C1067" s="174">
        <v>839216007</v>
      </c>
      <c r="D1067" s="401" t="s">
        <v>1553</v>
      </c>
      <c r="E1067" s="449" t="s">
        <v>1195</v>
      </c>
      <c r="F1067" s="450">
        <v>2016</v>
      </c>
      <c r="G1067" s="1758" t="s">
        <v>28</v>
      </c>
      <c r="H1067" s="265" t="str">
        <f t="shared" si="358"/>
        <v xml:space="preserve">   </v>
      </c>
      <c r="I1067" s="265" t="str">
        <f t="shared" si="359"/>
        <v xml:space="preserve">   </v>
      </c>
      <c r="J1067" s="1635">
        <v>1350000</v>
      </c>
      <c r="K1067" s="1503">
        <v>42499</v>
      </c>
      <c r="L1067" s="1714">
        <v>3000000</v>
      </c>
      <c r="M1067" s="1503">
        <v>42499</v>
      </c>
      <c r="N1067" s="1389">
        <v>3000000</v>
      </c>
      <c r="O1067" s="1500">
        <v>42772</v>
      </c>
      <c r="P1067" s="1389">
        <v>3000000</v>
      </c>
      <c r="Q1067" s="1360">
        <v>42937</v>
      </c>
      <c r="R1067" s="1714">
        <v>3000000</v>
      </c>
      <c r="S1067" s="1367">
        <v>43131</v>
      </c>
      <c r="T1067" s="1430">
        <v>0</v>
      </c>
      <c r="U1067" s="1360"/>
      <c r="V1067" s="1714">
        <v>0</v>
      </c>
      <c r="W1067" s="1367"/>
      <c r="X1067" s="1714">
        <v>0</v>
      </c>
      <c r="Y1067" s="1367"/>
      <c r="Z1067" s="1731">
        <v>0</v>
      </c>
      <c r="AA1067" s="1367"/>
      <c r="AB1067" s="1389">
        <v>0</v>
      </c>
      <c r="AC1067" s="1367"/>
      <c r="AD1067" s="1666" t="str">
        <f>IFERROR(VLOOKUP(C1067,BSP,3,FALSE),"  ")</f>
        <v xml:space="preserve">  </v>
      </c>
      <c r="AE1067" s="1590" t="str">
        <f>IFERROR((VLOOKUP(C1067,BSP,4,FALSE)),"  ")</f>
        <v xml:space="preserve">  </v>
      </c>
      <c r="AF1067" s="1731" t="str">
        <f>IFERROR(VLOOKUP(C1067,BSP,3,FALSE),"  ")</f>
        <v xml:space="preserve">  </v>
      </c>
      <c r="AG1067" s="1367" t="str">
        <f>IFERROR((VLOOKUP(C1067,BSP,4,FALSE)),"  ")</f>
        <v xml:space="preserve">  </v>
      </c>
      <c r="AH1067" s="1625" t="str">
        <f t="shared" si="360"/>
        <v>ES</v>
      </c>
      <c r="AI1067" s="1680">
        <f t="shared" si="365"/>
        <v>13350000</v>
      </c>
      <c r="AJ1067" s="1681">
        <f t="shared" si="362"/>
        <v>26350000</v>
      </c>
      <c r="AK1067" s="1682">
        <f t="shared" si="366"/>
        <v>13000000</v>
      </c>
      <c r="AL1067" s="1691" t="str">
        <f t="shared" si="367"/>
        <v>Cek</v>
      </c>
      <c r="AM1067" s="1410"/>
      <c r="AN1067" s="1411"/>
      <c r="AO1067" s="1410"/>
      <c r="AP1067" s="1411"/>
      <c r="AQ1067" s="1128"/>
      <c r="AR1067" s="1173"/>
      <c r="AT1067" s="1173"/>
      <c r="AV1067" s="1173"/>
      <c r="AX1067" s="1173"/>
      <c r="AY1067" s="1176"/>
      <c r="AZ1067" s="1173"/>
    </row>
    <row r="1068" spans="1:52" s="2" customFormat="1" x14ac:dyDescent="0.25">
      <c r="A1068" s="164">
        <v>986</v>
      </c>
      <c r="B1068" s="1920">
        <v>8</v>
      </c>
      <c r="C1068" s="263">
        <v>839216008</v>
      </c>
      <c r="D1068" s="1921" t="s">
        <v>1554</v>
      </c>
      <c r="E1068" s="377" t="s">
        <v>1195</v>
      </c>
      <c r="F1068" s="1922">
        <v>2016</v>
      </c>
      <c r="G1068" s="1758" t="s">
        <v>28</v>
      </c>
      <c r="H1068" s="265" t="str">
        <f t="shared" si="358"/>
        <v xml:space="preserve">   </v>
      </c>
      <c r="I1068" s="265" t="str">
        <f t="shared" si="359"/>
        <v xml:space="preserve">   </v>
      </c>
      <c r="J1068" s="1635">
        <v>1350000</v>
      </c>
      <c r="K1068" s="1503">
        <v>42499</v>
      </c>
      <c r="L1068" s="1714">
        <v>3000000</v>
      </c>
      <c r="M1068" s="1503">
        <v>42499</v>
      </c>
      <c r="N1068" s="1389">
        <v>3000000</v>
      </c>
      <c r="O1068" s="1500">
        <v>42782</v>
      </c>
      <c r="P1068" s="1635">
        <v>3000000</v>
      </c>
      <c r="Q1068" s="1360">
        <v>42993</v>
      </c>
      <c r="R1068" s="1714">
        <v>3000000</v>
      </c>
      <c r="S1068" s="1367">
        <v>43507</v>
      </c>
      <c r="T1068" s="1430">
        <v>3000000</v>
      </c>
      <c r="U1068" s="1360">
        <v>43507</v>
      </c>
      <c r="V1068" s="1714">
        <v>0</v>
      </c>
      <c r="W1068" s="1367"/>
      <c r="X1068" s="1714">
        <v>0</v>
      </c>
      <c r="Y1068" s="1367"/>
      <c r="Z1068" s="1731">
        <v>0</v>
      </c>
      <c r="AA1068" s="1367"/>
      <c r="AB1068" s="1389">
        <v>0</v>
      </c>
      <c r="AC1068" s="1367"/>
      <c r="AD1068" s="1666" t="str">
        <f>IFERROR(VLOOKUP(C1068,BSP,3,FALSE),"  ")</f>
        <v xml:space="preserve">  </v>
      </c>
      <c r="AE1068" s="1590" t="str">
        <f>IFERROR((VLOOKUP(C1068,BSP,4,FALSE)),"  ")</f>
        <v xml:space="preserve">  </v>
      </c>
      <c r="AF1068" s="1731" t="str">
        <f>IFERROR(VLOOKUP(C1068,BSP,3,FALSE),"  ")</f>
        <v xml:space="preserve">  </v>
      </c>
      <c r="AG1068" s="1367" t="str">
        <f>IFERROR((VLOOKUP(C1068,BSP,4,FALSE)),"  ")</f>
        <v xml:space="preserve">  </v>
      </c>
      <c r="AH1068" s="1625" t="str">
        <f t="shared" si="360"/>
        <v>ES</v>
      </c>
      <c r="AI1068" s="1680">
        <f t="shared" si="365"/>
        <v>16350000</v>
      </c>
      <c r="AJ1068" s="1681">
        <f t="shared" si="362"/>
        <v>26350000</v>
      </c>
      <c r="AK1068" s="1682">
        <f t="shared" si="366"/>
        <v>10000000</v>
      </c>
      <c r="AL1068" s="1691" t="str">
        <f t="shared" si="367"/>
        <v>Cek</v>
      </c>
      <c r="AM1068" s="1410"/>
      <c r="AN1068" s="1411"/>
      <c r="AO1068" s="1410"/>
      <c r="AP1068" s="1411"/>
      <c r="AQ1068" s="1128"/>
      <c r="AR1068" s="1173"/>
      <c r="AT1068" s="1173"/>
      <c r="AV1068" s="1173"/>
      <c r="AX1068" s="1173"/>
      <c r="AY1068" s="1176"/>
      <c r="AZ1068" s="1173"/>
    </row>
    <row r="1069" spans="1:52" s="2" customFormat="1" x14ac:dyDescent="0.25">
      <c r="A1069" s="164">
        <v>987</v>
      </c>
      <c r="B1069" s="400">
        <v>9</v>
      </c>
      <c r="C1069" s="263">
        <v>839216009</v>
      </c>
      <c r="D1069" s="401" t="s">
        <v>1555</v>
      </c>
      <c r="E1069" s="441" t="s">
        <v>1195</v>
      </c>
      <c r="F1069" s="450">
        <v>2016</v>
      </c>
      <c r="G1069" s="360" t="s">
        <v>1483</v>
      </c>
      <c r="H1069" s="265" t="str">
        <f t="shared" si="358"/>
        <v xml:space="preserve">   </v>
      </c>
      <c r="I1069" s="265" t="str">
        <f t="shared" si="359"/>
        <v xml:space="preserve">   </v>
      </c>
      <c r="J1069" s="1635">
        <v>1350000</v>
      </c>
      <c r="K1069" s="1503">
        <v>42487</v>
      </c>
      <c r="L1069" s="1775">
        <v>3000000</v>
      </c>
      <c r="M1069" s="1503">
        <v>42487</v>
      </c>
      <c r="N1069" s="1389">
        <v>3000000</v>
      </c>
      <c r="O1069" s="1500">
        <v>42759</v>
      </c>
      <c r="P1069" s="1389">
        <v>3000000</v>
      </c>
      <c r="Q1069" s="1360">
        <v>42929</v>
      </c>
      <c r="R1069" s="1714">
        <v>3000000</v>
      </c>
      <c r="S1069" s="1367">
        <v>43112</v>
      </c>
      <c r="T1069" s="1430">
        <v>3000000</v>
      </c>
      <c r="U1069" s="1360">
        <v>43294</v>
      </c>
      <c r="V1069" s="1714">
        <v>3000000</v>
      </c>
      <c r="W1069" s="1367">
        <v>43829</v>
      </c>
      <c r="X1069" s="1714">
        <v>3000000</v>
      </c>
      <c r="Y1069" s="1367">
        <v>43829</v>
      </c>
      <c r="Z1069" s="1731">
        <v>3000000</v>
      </c>
      <c r="AA1069" s="1367">
        <v>43861</v>
      </c>
      <c r="AB1069" s="1389">
        <v>3000000</v>
      </c>
      <c r="AC1069" s="1367">
        <v>43861.5601157407</v>
      </c>
      <c r="AD1069" s="1666">
        <f>IFERROR(VLOOKUP(C1069,BSP,3,FALSE),"  ")</f>
        <v>4000000</v>
      </c>
      <c r="AE1069" s="1590">
        <f>IFERROR((VLOOKUP(C1069,BSP,4,FALSE)),"  ")</f>
        <v>44078.618148148104</v>
      </c>
      <c r="AF1069" s="1731">
        <f>IFERROR(VLOOKUP(C1069,BSP,3,FALSE),"  ")</f>
        <v>4000000</v>
      </c>
      <c r="AG1069" s="1367">
        <f>IFERROR((VLOOKUP(C1069,BSP,4,FALSE)),"  ")</f>
        <v>44078.618148148104</v>
      </c>
      <c r="AH1069" s="1625" t="str">
        <f t="shared" si="360"/>
        <v>ES</v>
      </c>
      <c r="AI1069" s="1680">
        <f t="shared" si="365"/>
        <v>36350000</v>
      </c>
      <c r="AJ1069" s="1681">
        <f t="shared" si="362"/>
        <v>26850000</v>
      </c>
      <c r="AK1069" s="1682">
        <f t="shared" si="366"/>
        <v>-9500000</v>
      </c>
      <c r="AL1069" s="1691" t="str">
        <f t="shared" si="367"/>
        <v>Cek</v>
      </c>
      <c r="AM1069" s="1410"/>
      <c r="AN1069" s="1411"/>
      <c r="AO1069" s="1410"/>
      <c r="AP1069" s="1411"/>
      <c r="AQ1069" s="1128"/>
      <c r="AR1069" s="1173"/>
      <c r="AT1069" s="1173"/>
      <c r="AV1069" s="1173"/>
      <c r="AX1069" s="1173"/>
      <c r="AY1069" s="1176"/>
      <c r="AZ1069" s="1173"/>
    </row>
    <row r="1070" spans="1:52" s="2" customFormat="1" x14ac:dyDescent="0.25">
      <c r="A1070" s="156">
        <v>988</v>
      </c>
      <c r="B1070" s="156">
        <v>10</v>
      </c>
      <c r="C1070" s="159">
        <v>839216010</v>
      </c>
      <c r="D1070" s="211" t="s">
        <v>1556</v>
      </c>
      <c r="E1070" s="179" t="s">
        <v>1195</v>
      </c>
      <c r="F1070" s="213">
        <v>2016</v>
      </c>
      <c r="G1070" s="162" t="s">
        <v>33</v>
      </c>
      <c r="H1070" s="163">
        <f t="shared" si="358"/>
        <v>43899</v>
      </c>
      <c r="I1070" s="163">
        <f t="shared" si="359"/>
        <v>44058</v>
      </c>
      <c r="J1070" s="1636">
        <v>1350000</v>
      </c>
      <c r="K1070" s="1383">
        <v>42487</v>
      </c>
      <c r="L1070" s="1443">
        <v>3000000</v>
      </c>
      <c r="M1070" s="1383">
        <v>42487</v>
      </c>
      <c r="N1070" s="1480">
        <v>3000000</v>
      </c>
      <c r="O1070" s="1637">
        <v>42759</v>
      </c>
      <c r="P1070" s="1480">
        <v>3000000</v>
      </c>
      <c r="Q1070" s="1365">
        <v>42929</v>
      </c>
      <c r="R1070" s="1385">
        <v>3000000</v>
      </c>
      <c r="S1070" s="1357">
        <v>43112</v>
      </c>
      <c r="T1070" s="1431">
        <v>3000000</v>
      </c>
      <c r="U1070" s="1365">
        <v>43293</v>
      </c>
      <c r="V1070" s="1385">
        <v>3000000</v>
      </c>
      <c r="W1070" s="1357">
        <v>43829</v>
      </c>
      <c r="X1070" s="1385">
        <v>3000000</v>
      </c>
      <c r="Y1070" s="1357">
        <v>43829</v>
      </c>
      <c r="Z1070" s="1874">
        <v>3000000</v>
      </c>
      <c r="AA1070" s="1357">
        <v>43858</v>
      </c>
      <c r="AB1070" s="1480">
        <v>1000000</v>
      </c>
      <c r="AC1070" s="1357">
        <v>43861</v>
      </c>
      <c r="AD1070" s="1809">
        <v>500000</v>
      </c>
      <c r="AE1070" s="1440">
        <v>44005</v>
      </c>
      <c r="AF1070" s="2300" t="s">
        <v>1329</v>
      </c>
      <c r="AG1070" s="1612"/>
      <c r="AH1070" s="1625" t="str">
        <f t="shared" si="360"/>
        <v>ES</v>
      </c>
      <c r="AI1070" s="1680">
        <f t="shared" si="365"/>
        <v>26850000</v>
      </c>
      <c r="AJ1070" s="1681">
        <f t="shared" si="362"/>
        <v>26850000</v>
      </c>
      <c r="AK1070" s="1682">
        <f t="shared" si="366"/>
        <v>0</v>
      </c>
      <c r="AL1070" s="1691" t="str">
        <f t="shared" si="367"/>
        <v>Lunas</v>
      </c>
      <c r="AM1070" s="1410"/>
      <c r="AN1070" s="1411"/>
      <c r="AO1070" s="1410"/>
      <c r="AP1070" s="1411"/>
      <c r="AQ1070" s="1128"/>
      <c r="AR1070" s="1173"/>
      <c r="AT1070" s="1173"/>
      <c r="AV1070" s="1173"/>
      <c r="AX1070" s="1173"/>
      <c r="AY1070" s="1176"/>
      <c r="AZ1070" s="1173"/>
    </row>
    <row r="1071" spans="1:52" s="2" customFormat="1" x14ac:dyDescent="0.25">
      <c r="A1071" s="156">
        <v>989</v>
      </c>
      <c r="B1071" s="406">
        <v>11</v>
      </c>
      <c r="C1071" s="159">
        <v>839216011</v>
      </c>
      <c r="D1071" s="211" t="s">
        <v>1557</v>
      </c>
      <c r="E1071" s="179" t="s">
        <v>1195</v>
      </c>
      <c r="F1071" s="213">
        <v>2016</v>
      </c>
      <c r="G1071" s="162" t="s">
        <v>33</v>
      </c>
      <c r="H1071" s="163">
        <f t="shared" si="358"/>
        <v>43361</v>
      </c>
      <c r="I1071" s="163">
        <f t="shared" si="359"/>
        <v>43440</v>
      </c>
      <c r="J1071" s="1443">
        <v>1350000</v>
      </c>
      <c r="K1071" s="1383">
        <v>42481</v>
      </c>
      <c r="L1071" s="1385">
        <v>3000000</v>
      </c>
      <c r="M1071" s="1383">
        <v>42481</v>
      </c>
      <c r="N1071" s="1385">
        <v>3000000</v>
      </c>
      <c r="O1071" s="1383">
        <v>42754</v>
      </c>
      <c r="P1071" s="1443">
        <v>3000000</v>
      </c>
      <c r="Q1071" s="1357">
        <v>42956</v>
      </c>
      <c r="R1071" s="1385">
        <v>3000000</v>
      </c>
      <c r="S1071" s="1357">
        <v>43115</v>
      </c>
      <c r="T1071" s="1382" t="s">
        <v>1080</v>
      </c>
      <c r="U1071" s="1474"/>
      <c r="V1071" s="1363"/>
      <c r="W1071" s="1391"/>
      <c r="X1071" s="1363"/>
      <c r="Y1071" s="1391"/>
      <c r="Z1071" s="1363"/>
      <c r="AA1071" s="1563"/>
      <c r="AB1071" s="1385">
        <v>1000000</v>
      </c>
      <c r="AC1071" s="1357">
        <v>43276</v>
      </c>
      <c r="AD1071" s="1666"/>
      <c r="AE1071" s="1590"/>
      <c r="AF1071" s="2300" t="s">
        <v>1329</v>
      </c>
      <c r="AG1071" s="1612"/>
      <c r="AH1071" s="1625" t="str">
        <f t="shared" si="360"/>
        <v>ES</v>
      </c>
      <c r="AI1071" s="1680">
        <f t="shared" si="365"/>
        <v>14350000</v>
      </c>
      <c r="AJ1071" s="1681">
        <f t="shared" si="362"/>
        <v>14350000</v>
      </c>
      <c r="AK1071" s="1682">
        <f t="shared" si="366"/>
        <v>0</v>
      </c>
      <c r="AL1071" s="1691" t="str">
        <f t="shared" si="367"/>
        <v>Lunas</v>
      </c>
      <c r="AM1071" s="1410"/>
      <c r="AN1071" s="1411"/>
      <c r="AO1071" s="1410"/>
      <c r="AP1071" s="1411"/>
      <c r="AQ1071" s="1128"/>
      <c r="AR1071" s="1173"/>
      <c r="AT1071" s="1173"/>
      <c r="AV1071" s="1173"/>
      <c r="AX1071" s="1173"/>
      <c r="AY1071" s="1176"/>
      <c r="AZ1071" s="1173"/>
    </row>
    <row r="1072" spans="1:52" s="2" customFormat="1" x14ac:dyDescent="0.25">
      <c r="A1072" s="164">
        <v>990</v>
      </c>
      <c r="B1072" s="448">
        <v>12</v>
      </c>
      <c r="C1072" s="263">
        <v>839216012</v>
      </c>
      <c r="D1072" s="401" t="s">
        <v>1558</v>
      </c>
      <c r="E1072" s="449" t="s">
        <v>1195</v>
      </c>
      <c r="F1072" s="450">
        <v>2016</v>
      </c>
      <c r="G1072" s="1758" t="s">
        <v>28</v>
      </c>
      <c r="H1072" s="265" t="str">
        <f t="shared" si="358"/>
        <v xml:space="preserve">   </v>
      </c>
      <c r="I1072" s="265" t="str">
        <f t="shared" si="359"/>
        <v xml:space="preserve">   </v>
      </c>
      <c r="J1072" s="1635">
        <v>1350000</v>
      </c>
      <c r="K1072" s="1503">
        <v>42499</v>
      </c>
      <c r="L1072" s="1714">
        <v>3000000</v>
      </c>
      <c r="M1072" s="1503">
        <v>42499</v>
      </c>
      <c r="N1072" s="1389">
        <v>3000000</v>
      </c>
      <c r="O1072" s="1500">
        <v>42772</v>
      </c>
      <c r="P1072" s="1635">
        <v>3000000</v>
      </c>
      <c r="Q1072" s="1360">
        <v>42956</v>
      </c>
      <c r="R1072" s="1775">
        <v>3000000</v>
      </c>
      <c r="S1072" s="1367">
        <v>43124</v>
      </c>
      <c r="T1072" s="1430">
        <v>0</v>
      </c>
      <c r="U1072" s="1360"/>
      <c r="V1072" s="1714">
        <v>0</v>
      </c>
      <c r="W1072" s="1367"/>
      <c r="X1072" s="1714">
        <v>0</v>
      </c>
      <c r="Y1072" s="1367"/>
      <c r="Z1072" s="1731">
        <v>0</v>
      </c>
      <c r="AA1072" s="1367"/>
      <c r="AB1072" s="1389">
        <v>0</v>
      </c>
      <c r="AC1072" s="1367"/>
      <c r="AD1072" s="1666" t="str">
        <f>IFERROR(VLOOKUP(C1072,BSP,3,FALSE),"  ")</f>
        <v xml:space="preserve">  </v>
      </c>
      <c r="AE1072" s="1590" t="str">
        <f>IFERROR((VLOOKUP(C1072,BSP,4,FALSE)),"  ")</f>
        <v xml:space="preserve">  </v>
      </c>
      <c r="AF1072" s="1731" t="str">
        <f>IFERROR(VLOOKUP(C1072,BSP,3,FALSE),"  ")</f>
        <v xml:space="preserve">  </v>
      </c>
      <c r="AG1072" s="1367" t="str">
        <f>IFERROR((VLOOKUP(C1072,BSP,4,FALSE)),"  ")</f>
        <v xml:space="preserve">  </v>
      </c>
      <c r="AH1072" s="1625" t="str">
        <f t="shared" si="360"/>
        <v>ES</v>
      </c>
      <c r="AI1072" s="1680">
        <f t="shared" si="365"/>
        <v>13350000</v>
      </c>
      <c r="AJ1072" s="1681">
        <f t="shared" si="362"/>
        <v>26350000</v>
      </c>
      <c r="AK1072" s="1682">
        <f t="shared" si="366"/>
        <v>13000000</v>
      </c>
      <c r="AL1072" s="1691" t="str">
        <f t="shared" si="367"/>
        <v>Cek</v>
      </c>
      <c r="AM1072" s="1410"/>
      <c r="AN1072" s="1411"/>
      <c r="AO1072" s="1410"/>
      <c r="AP1072" s="1411"/>
      <c r="AQ1072" s="1128"/>
      <c r="AR1072" s="1173"/>
      <c r="AT1072" s="1173"/>
      <c r="AV1072" s="1173"/>
      <c r="AX1072" s="1173"/>
      <c r="AY1072" s="1176"/>
      <c r="AZ1072" s="1173"/>
    </row>
    <row r="1073" spans="1:52" s="2" customFormat="1" x14ac:dyDescent="0.25">
      <c r="A1073" s="156">
        <v>991</v>
      </c>
      <c r="B1073" s="406">
        <v>13</v>
      </c>
      <c r="C1073" s="159">
        <v>839216013</v>
      </c>
      <c r="D1073" s="211" t="s">
        <v>1559</v>
      </c>
      <c r="E1073" s="179" t="s">
        <v>1195</v>
      </c>
      <c r="F1073" s="213">
        <v>2016</v>
      </c>
      <c r="G1073" s="162" t="s">
        <v>33</v>
      </c>
      <c r="H1073" s="163">
        <f t="shared" si="358"/>
        <v>43285</v>
      </c>
      <c r="I1073" s="163">
        <f t="shared" si="359"/>
        <v>43351</v>
      </c>
      <c r="J1073" s="1443">
        <v>1350000</v>
      </c>
      <c r="K1073" s="1383">
        <v>42499</v>
      </c>
      <c r="L1073" s="1385">
        <v>3000000</v>
      </c>
      <c r="M1073" s="1383">
        <v>42499</v>
      </c>
      <c r="N1073" s="1385">
        <v>3000000</v>
      </c>
      <c r="O1073" s="1383">
        <v>42769</v>
      </c>
      <c r="P1073" s="1385">
        <v>3000000</v>
      </c>
      <c r="Q1073" s="1357">
        <v>42918</v>
      </c>
      <c r="R1073" s="1443">
        <v>3000000</v>
      </c>
      <c r="S1073" s="1357">
        <v>43112</v>
      </c>
      <c r="T1073" s="1382" t="s">
        <v>1080</v>
      </c>
      <c r="U1073" s="1474"/>
      <c r="V1073" s="1363"/>
      <c r="W1073" s="1391"/>
      <c r="X1073" s="1363"/>
      <c r="Y1073" s="1391"/>
      <c r="Z1073" s="1363"/>
      <c r="AA1073" s="1563"/>
      <c r="AB1073" s="1385">
        <v>1000000</v>
      </c>
      <c r="AC1073" s="1357">
        <v>43273</v>
      </c>
      <c r="AD1073" s="1666"/>
      <c r="AE1073" s="1590"/>
      <c r="AF1073" s="2300" t="s">
        <v>1329</v>
      </c>
      <c r="AG1073" s="1612"/>
      <c r="AH1073" s="1625" t="str">
        <f t="shared" si="360"/>
        <v>ES</v>
      </c>
      <c r="AI1073" s="1680">
        <f t="shared" si="365"/>
        <v>14350000</v>
      </c>
      <c r="AJ1073" s="1681">
        <f t="shared" si="362"/>
        <v>14350000</v>
      </c>
      <c r="AK1073" s="1682">
        <f t="shared" si="366"/>
        <v>0</v>
      </c>
      <c r="AL1073" s="1691" t="str">
        <f t="shared" si="367"/>
        <v>Lunas</v>
      </c>
      <c r="AM1073" s="1410"/>
      <c r="AN1073" s="1411"/>
      <c r="AO1073" s="1410"/>
      <c r="AP1073" s="1411"/>
      <c r="AQ1073" s="1128"/>
      <c r="AR1073" s="1173"/>
      <c r="AT1073" s="1173"/>
      <c r="AV1073" s="1173"/>
      <c r="AX1073" s="1173"/>
      <c r="AY1073" s="1176"/>
      <c r="AZ1073" s="1173"/>
    </row>
    <row r="1074" spans="1:52" s="2" customFormat="1" x14ac:dyDescent="0.25">
      <c r="A1074" s="164">
        <v>992</v>
      </c>
      <c r="B1074" s="156">
        <v>14</v>
      </c>
      <c r="C1074" s="159">
        <v>839216014</v>
      </c>
      <c r="D1074" s="211" t="s">
        <v>1560</v>
      </c>
      <c r="E1074" s="179" t="s">
        <v>1195</v>
      </c>
      <c r="F1074" s="213">
        <v>2016</v>
      </c>
      <c r="G1074" s="162" t="s">
        <v>33</v>
      </c>
      <c r="H1074" s="163">
        <f t="shared" si="358"/>
        <v>43775</v>
      </c>
      <c r="I1074" s="163" t="str">
        <f t="shared" si="359"/>
        <v xml:space="preserve">   </v>
      </c>
      <c r="J1074" s="1636">
        <v>1350000</v>
      </c>
      <c r="K1074" s="1637">
        <v>42480</v>
      </c>
      <c r="L1074" s="1480">
        <v>3000000</v>
      </c>
      <c r="M1074" s="1637">
        <v>42480</v>
      </c>
      <c r="N1074" s="1480">
        <v>3000000</v>
      </c>
      <c r="O1074" s="1637">
        <v>42753</v>
      </c>
      <c r="P1074" s="1636">
        <v>3000000</v>
      </c>
      <c r="Q1074" s="1365">
        <v>42923</v>
      </c>
      <c r="R1074" s="1385">
        <v>3000000</v>
      </c>
      <c r="S1074" s="1357">
        <v>43112</v>
      </c>
      <c r="T1074" s="1431">
        <v>3000000</v>
      </c>
      <c r="U1074" s="1365">
        <v>43304</v>
      </c>
      <c r="V1074" s="1385">
        <v>3000000</v>
      </c>
      <c r="W1074" s="1357">
        <v>43150</v>
      </c>
      <c r="X1074" s="1385">
        <v>3000000</v>
      </c>
      <c r="Y1074" s="1357">
        <v>43779</v>
      </c>
      <c r="Z1074" s="1465" t="s">
        <v>1080</v>
      </c>
      <c r="AA1074" s="1563"/>
      <c r="AB1074" s="1480">
        <v>1000000</v>
      </c>
      <c r="AC1074" s="1357">
        <v>43761</v>
      </c>
      <c r="AD1074" s="1666"/>
      <c r="AE1074" s="1590"/>
      <c r="AF1074" s="2300" t="s">
        <v>1329</v>
      </c>
      <c r="AG1074" s="1612"/>
      <c r="AH1074" s="1625" t="str">
        <f t="shared" si="360"/>
        <v>ES</v>
      </c>
      <c r="AI1074" s="1680">
        <f t="shared" si="365"/>
        <v>23350000</v>
      </c>
      <c r="AJ1074" s="1681">
        <f t="shared" si="362"/>
        <v>23350000</v>
      </c>
      <c r="AK1074" s="1682">
        <f t="shared" si="366"/>
        <v>0</v>
      </c>
      <c r="AL1074" s="1691" t="str">
        <f t="shared" si="367"/>
        <v>Lunas</v>
      </c>
      <c r="AM1074" s="1410"/>
      <c r="AN1074" s="1411"/>
      <c r="AO1074" s="1410"/>
      <c r="AP1074" s="1411"/>
      <c r="AQ1074" s="1128"/>
      <c r="AR1074" s="1173"/>
      <c r="AT1074" s="1173"/>
      <c r="AV1074" s="1173"/>
      <c r="AX1074" s="1173"/>
      <c r="AY1074" s="1176"/>
      <c r="AZ1074" s="1173"/>
    </row>
    <row r="1075" spans="1:52" s="2" customFormat="1" x14ac:dyDescent="0.25">
      <c r="A1075" s="156">
        <v>993</v>
      </c>
      <c r="B1075" s="406">
        <v>15</v>
      </c>
      <c r="C1075" s="159">
        <v>839216015</v>
      </c>
      <c r="D1075" s="211" t="s">
        <v>1561</v>
      </c>
      <c r="E1075" s="179" t="s">
        <v>1195</v>
      </c>
      <c r="F1075" s="213">
        <v>2016</v>
      </c>
      <c r="G1075" s="162" t="s">
        <v>33</v>
      </c>
      <c r="H1075" s="163">
        <f t="shared" si="358"/>
        <v>43410</v>
      </c>
      <c r="I1075" s="163">
        <f t="shared" si="359"/>
        <v>43440</v>
      </c>
      <c r="J1075" s="1443">
        <v>1350000</v>
      </c>
      <c r="K1075" s="1383">
        <v>42499</v>
      </c>
      <c r="L1075" s="1385">
        <v>3000000</v>
      </c>
      <c r="M1075" s="1383">
        <v>42499</v>
      </c>
      <c r="N1075" s="1385">
        <v>3000000</v>
      </c>
      <c r="O1075" s="1383">
        <v>42762</v>
      </c>
      <c r="P1075" s="1385">
        <v>3000000</v>
      </c>
      <c r="Q1075" s="1357">
        <v>42936</v>
      </c>
      <c r="R1075" s="1385">
        <v>3000000</v>
      </c>
      <c r="S1075" s="1357">
        <v>43130</v>
      </c>
      <c r="T1075" s="1358">
        <v>3000000</v>
      </c>
      <c r="U1075" s="1547">
        <v>43389</v>
      </c>
      <c r="V1075" s="1465" t="s">
        <v>1080</v>
      </c>
      <c r="W1075" s="1367"/>
      <c r="X1075" s="1714"/>
      <c r="Y1075" s="1563"/>
      <c r="Z1075" s="1714"/>
      <c r="AA1075" s="1563"/>
      <c r="AB1075" s="1385">
        <v>1000000</v>
      </c>
      <c r="AC1075" s="1357">
        <v>43280</v>
      </c>
      <c r="AD1075" s="1666"/>
      <c r="AE1075" s="1590"/>
      <c r="AF1075" s="2300" t="s">
        <v>1329</v>
      </c>
      <c r="AG1075" s="1612"/>
      <c r="AH1075" s="1625" t="str">
        <f t="shared" si="360"/>
        <v>ES</v>
      </c>
      <c r="AI1075" s="1680">
        <f t="shared" si="365"/>
        <v>17350000</v>
      </c>
      <c r="AJ1075" s="1681">
        <f t="shared" si="362"/>
        <v>17350000</v>
      </c>
      <c r="AK1075" s="1682">
        <f t="shared" si="366"/>
        <v>0</v>
      </c>
      <c r="AL1075" s="1691" t="str">
        <f t="shared" si="367"/>
        <v>Lunas</v>
      </c>
      <c r="AM1075" s="1410"/>
      <c r="AN1075" s="1411"/>
      <c r="AO1075" s="1410"/>
      <c r="AP1075" s="1411"/>
      <c r="AQ1075" s="1128"/>
      <c r="AR1075" s="1173"/>
      <c r="AT1075" s="1173"/>
      <c r="AV1075" s="1173"/>
      <c r="AX1075" s="1173"/>
      <c r="AY1075" s="1176"/>
      <c r="AZ1075" s="1173"/>
    </row>
    <row r="1076" spans="1:52" s="2" customFormat="1" x14ac:dyDescent="0.25">
      <c r="A1076" s="156">
        <v>994</v>
      </c>
      <c r="B1076" s="156">
        <v>16</v>
      </c>
      <c r="C1076" s="159">
        <v>839216016</v>
      </c>
      <c r="D1076" s="158" t="s">
        <v>1562</v>
      </c>
      <c r="E1076" s="179" t="s">
        <v>1195</v>
      </c>
      <c r="F1076" s="161">
        <v>2016</v>
      </c>
      <c r="G1076" s="162" t="s">
        <v>33</v>
      </c>
      <c r="H1076" s="163">
        <f t="shared" si="358"/>
        <v>43291</v>
      </c>
      <c r="I1076" s="163">
        <f t="shared" si="359"/>
        <v>43351</v>
      </c>
      <c r="J1076" s="1443">
        <v>1350000</v>
      </c>
      <c r="K1076" s="1383">
        <v>42543</v>
      </c>
      <c r="L1076" s="1385">
        <v>3000000</v>
      </c>
      <c r="M1076" s="1383">
        <v>42543</v>
      </c>
      <c r="N1076" s="1385" t="s">
        <v>1563</v>
      </c>
      <c r="O1076" s="1383">
        <v>42759</v>
      </c>
      <c r="P1076" s="1385">
        <v>3000000</v>
      </c>
      <c r="Q1076" s="1357">
        <v>42923</v>
      </c>
      <c r="R1076" s="1385">
        <v>3000000</v>
      </c>
      <c r="S1076" s="1357">
        <v>43110</v>
      </c>
      <c r="T1076" s="1382" t="s">
        <v>1080</v>
      </c>
      <c r="U1076" s="1474"/>
      <c r="V1076" s="1363"/>
      <c r="W1076" s="1391"/>
      <c r="X1076" s="1363"/>
      <c r="Y1076" s="1391"/>
      <c r="Z1076" s="1363"/>
      <c r="AA1076" s="1563"/>
      <c r="AB1076" s="1385">
        <v>1000000</v>
      </c>
      <c r="AC1076" s="1357">
        <v>43251</v>
      </c>
      <c r="AD1076" s="1666"/>
      <c r="AE1076" s="1590"/>
      <c r="AF1076" s="2300" t="s">
        <v>1329</v>
      </c>
      <c r="AG1076" s="1612"/>
      <c r="AH1076" s="1625" t="str">
        <f t="shared" si="360"/>
        <v>ES</v>
      </c>
      <c r="AI1076" s="1680">
        <f t="shared" si="365"/>
        <v>11350000</v>
      </c>
      <c r="AJ1076" s="1681">
        <f t="shared" si="362"/>
        <v>11350000</v>
      </c>
      <c r="AK1076" s="1682">
        <f t="shared" si="366"/>
        <v>0</v>
      </c>
      <c r="AL1076" s="1691" t="str">
        <f t="shared" si="367"/>
        <v>Lunas</v>
      </c>
      <c r="AM1076" s="1410"/>
      <c r="AN1076" s="1411"/>
      <c r="AO1076" s="1410"/>
      <c r="AP1076" s="1411"/>
      <c r="AQ1076" s="1128"/>
      <c r="AR1076" s="1173"/>
      <c r="AT1076" s="1173"/>
      <c r="AV1076" s="1173"/>
      <c r="AX1076" s="1173"/>
      <c r="AY1076" s="1176"/>
      <c r="AZ1076" s="1173"/>
    </row>
    <row r="1077" spans="1:52" s="2" customFormat="1" x14ac:dyDescent="0.25">
      <c r="A1077" s="156">
        <v>995</v>
      </c>
      <c r="B1077" s="406">
        <v>17</v>
      </c>
      <c r="C1077" s="159">
        <v>839216017</v>
      </c>
      <c r="D1077" s="158" t="s">
        <v>1564</v>
      </c>
      <c r="E1077" s="179" t="s">
        <v>1195</v>
      </c>
      <c r="F1077" s="161">
        <v>2016</v>
      </c>
      <c r="G1077" s="162" t="s">
        <v>33</v>
      </c>
      <c r="H1077" s="163">
        <f t="shared" si="358"/>
        <v>43342</v>
      </c>
      <c r="I1077" s="163">
        <f t="shared" si="359"/>
        <v>43440</v>
      </c>
      <c r="J1077" s="1443">
        <v>1350000</v>
      </c>
      <c r="K1077" s="1383">
        <v>42545</v>
      </c>
      <c r="L1077" s="1385">
        <v>3000000</v>
      </c>
      <c r="M1077" s="1383">
        <v>42545</v>
      </c>
      <c r="N1077" s="1385">
        <v>3000000</v>
      </c>
      <c r="O1077" s="1383">
        <v>42761</v>
      </c>
      <c r="P1077" s="1385">
        <v>3000000</v>
      </c>
      <c r="Q1077" s="1357">
        <v>42934</v>
      </c>
      <c r="R1077" s="1385">
        <v>3000000</v>
      </c>
      <c r="S1077" s="1357">
        <v>43111</v>
      </c>
      <c r="T1077" s="1382" t="s">
        <v>1080</v>
      </c>
      <c r="U1077" s="1474"/>
      <c r="V1077" s="1363"/>
      <c r="W1077" s="1391"/>
      <c r="X1077" s="1363"/>
      <c r="Y1077" s="1391"/>
      <c r="Z1077" s="1363"/>
      <c r="AA1077" s="1563"/>
      <c r="AB1077" s="1385">
        <v>1000000</v>
      </c>
      <c r="AC1077" s="1357">
        <v>43283</v>
      </c>
      <c r="AD1077" s="1666"/>
      <c r="AE1077" s="1590"/>
      <c r="AF1077" s="2300" t="s">
        <v>1329</v>
      </c>
      <c r="AG1077" s="1612"/>
      <c r="AH1077" s="1625" t="str">
        <f t="shared" si="360"/>
        <v>ES</v>
      </c>
      <c r="AI1077" s="1680">
        <f t="shared" si="365"/>
        <v>14350000</v>
      </c>
      <c r="AJ1077" s="1681">
        <f t="shared" si="362"/>
        <v>14350000</v>
      </c>
      <c r="AK1077" s="1682">
        <f t="shared" si="366"/>
        <v>0</v>
      </c>
      <c r="AL1077" s="1691" t="str">
        <f t="shared" si="367"/>
        <v>Lunas</v>
      </c>
      <c r="AM1077" s="1410"/>
      <c r="AN1077" s="1411"/>
      <c r="AO1077" s="1410"/>
      <c r="AP1077" s="1411"/>
      <c r="AQ1077" s="1128"/>
      <c r="AR1077" s="1173"/>
      <c r="AT1077" s="1173"/>
      <c r="AV1077" s="1173"/>
      <c r="AX1077" s="1173"/>
      <c r="AY1077" s="1176"/>
      <c r="AZ1077" s="1173"/>
    </row>
    <row r="1078" spans="1:52" s="2" customFormat="1" x14ac:dyDescent="0.25">
      <c r="A1078" s="164">
        <v>996</v>
      </c>
      <c r="B1078" s="448">
        <v>18</v>
      </c>
      <c r="C1078" s="263">
        <v>839216018</v>
      </c>
      <c r="D1078" s="173" t="s">
        <v>1565</v>
      </c>
      <c r="E1078" s="168" t="s">
        <v>1195</v>
      </c>
      <c r="F1078" s="450">
        <v>2016</v>
      </c>
      <c r="G1078" s="1758" t="s">
        <v>28</v>
      </c>
      <c r="H1078" s="265" t="str">
        <f t="shared" si="358"/>
        <v xml:space="preserve">   </v>
      </c>
      <c r="I1078" s="265" t="str">
        <f t="shared" si="359"/>
        <v xml:space="preserve">   </v>
      </c>
      <c r="J1078" s="1635">
        <v>1350000</v>
      </c>
      <c r="K1078" s="1500">
        <v>42550</v>
      </c>
      <c r="L1078" s="1389">
        <v>3000000</v>
      </c>
      <c r="M1078" s="1500">
        <v>42550</v>
      </c>
      <c r="N1078" s="1389">
        <v>3000000</v>
      </c>
      <c r="O1078" s="1500">
        <v>42760</v>
      </c>
      <c r="P1078" s="1389">
        <v>3000000</v>
      </c>
      <c r="Q1078" s="1360">
        <v>42935</v>
      </c>
      <c r="R1078" s="1186" t="s">
        <v>1078</v>
      </c>
      <c r="S1078" s="1386">
        <v>43129</v>
      </c>
      <c r="T1078" s="1430">
        <v>0</v>
      </c>
      <c r="U1078" s="1360"/>
      <c r="V1078" s="1714">
        <v>0</v>
      </c>
      <c r="W1078" s="1367"/>
      <c r="X1078" s="1714">
        <v>0</v>
      </c>
      <c r="Y1078" s="1367"/>
      <c r="Z1078" s="1731">
        <v>0</v>
      </c>
      <c r="AA1078" s="1367"/>
      <c r="AB1078" s="1389">
        <v>0</v>
      </c>
      <c r="AC1078" s="1367"/>
      <c r="AD1078" s="1666" t="str">
        <f>IFERROR(VLOOKUP(C1078,BSP,3,FALSE),"  ")</f>
        <v xml:space="preserve">  </v>
      </c>
      <c r="AE1078" s="1590" t="str">
        <f>IFERROR((VLOOKUP(C1078,BSP,4,FALSE)),"  ")</f>
        <v xml:space="preserve">  </v>
      </c>
      <c r="AF1078" s="1731" t="str">
        <f>IFERROR(VLOOKUP(C1078,BSP,3,FALSE),"  ")</f>
        <v xml:space="preserve">  </v>
      </c>
      <c r="AG1078" s="1367" t="str">
        <f>IFERROR((VLOOKUP(C1078,BSP,4,FALSE)),"  ")</f>
        <v xml:space="preserve">  </v>
      </c>
      <c r="AH1078" s="1625" t="str">
        <f t="shared" si="360"/>
        <v>ES</v>
      </c>
      <c r="AI1078" s="1680">
        <f t="shared" si="365"/>
        <v>10350000</v>
      </c>
      <c r="AJ1078" s="1681">
        <f t="shared" si="362"/>
        <v>23350000</v>
      </c>
      <c r="AK1078" s="1682">
        <f t="shared" si="366"/>
        <v>13000000</v>
      </c>
      <c r="AL1078" s="1691" t="str">
        <f t="shared" si="367"/>
        <v>Cek</v>
      </c>
      <c r="AM1078" s="1410"/>
      <c r="AN1078" s="1411"/>
      <c r="AO1078" s="1410"/>
      <c r="AP1078" s="1411"/>
      <c r="AQ1078" s="1128"/>
      <c r="AR1078" s="1173"/>
      <c r="AT1078" s="1173"/>
      <c r="AV1078" s="1173"/>
      <c r="AX1078" s="1173"/>
      <c r="AY1078" s="1176"/>
      <c r="AZ1078" s="1173"/>
    </row>
    <row r="1079" spans="1:52" s="2" customFormat="1" x14ac:dyDescent="0.25">
      <c r="A1079" s="156">
        <v>997</v>
      </c>
      <c r="B1079" s="406">
        <v>19</v>
      </c>
      <c r="C1079" s="159">
        <v>839216019</v>
      </c>
      <c r="D1079" s="158" t="s">
        <v>1566</v>
      </c>
      <c r="E1079" s="275" t="s">
        <v>1195</v>
      </c>
      <c r="F1079" s="213">
        <v>2016</v>
      </c>
      <c r="G1079" s="162" t="s">
        <v>33</v>
      </c>
      <c r="H1079" s="163">
        <f t="shared" si="358"/>
        <v>43389</v>
      </c>
      <c r="I1079" s="163">
        <f t="shared" si="359"/>
        <v>43587</v>
      </c>
      <c r="J1079" s="1636">
        <v>1350000</v>
      </c>
      <c r="K1079" s="1637">
        <v>42548</v>
      </c>
      <c r="L1079" s="1480">
        <v>3000000</v>
      </c>
      <c r="M1079" s="1637">
        <v>42548</v>
      </c>
      <c r="N1079" s="1480">
        <v>3000000</v>
      </c>
      <c r="O1079" s="1637">
        <v>42758</v>
      </c>
      <c r="P1079" s="1480">
        <v>3000000</v>
      </c>
      <c r="Q1079" s="1365">
        <v>42930</v>
      </c>
      <c r="R1079" s="1385">
        <v>3000000</v>
      </c>
      <c r="S1079" s="1357">
        <v>43133</v>
      </c>
      <c r="T1079" s="1431">
        <v>3000000</v>
      </c>
      <c r="U1079" s="1365">
        <v>43362</v>
      </c>
      <c r="V1079" s="1465" t="s">
        <v>1080</v>
      </c>
      <c r="W1079" s="1384"/>
      <c r="X1079" s="1363"/>
      <c r="Y1079" s="1391"/>
      <c r="Z1079" s="1363"/>
      <c r="AA1079" s="1563"/>
      <c r="AB1079" s="1385">
        <v>1000000</v>
      </c>
      <c r="AC1079" s="1357">
        <v>43377</v>
      </c>
      <c r="AD1079" s="1666"/>
      <c r="AE1079" s="1590"/>
      <c r="AF1079" s="2300" t="s">
        <v>1329</v>
      </c>
      <c r="AG1079" s="1612"/>
      <c r="AH1079" s="1625" t="str">
        <f t="shared" si="360"/>
        <v>ES</v>
      </c>
      <c r="AI1079" s="1680">
        <f t="shared" si="365"/>
        <v>17350000</v>
      </c>
      <c r="AJ1079" s="1681">
        <f t="shared" si="362"/>
        <v>17350000</v>
      </c>
      <c r="AK1079" s="1682">
        <f t="shared" si="366"/>
        <v>0</v>
      </c>
      <c r="AL1079" s="1691" t="str">
        <f t="shared" si="367"/>
        <v>Lunas</v>
      </c>
      <c r="AM1079" s="1410"/>
      <c r="AN1079" s="1411"/>
      <c r="AO1079" s="1410"/>
      <c r="AP1079" s="1411"/>
      <c r="AQ1079" s="1128"/>
      <c r="AR1079" s="1173"/>
      <c r="AT1079" s="1173"/>
      <c r="AV1079" s="1173"/>
      <c r="AX1079" s="1173"/>
      <c r="AY1079" s="1176"/>
      <c r="AZ1079" s="1173"/>
    </row>
    <row r="1080" spans="1:52" s="2" customFormat="1" x14ac:dyDescent="0.25">
      <c r="A1080" s="156">
        <v>998</v>
      </c>
      <c r="B1080" s="156">
        <v>20</v>
      </c>
      <c r="C1080" s="159">
        <v>839216020</v>
      </c>
      <c r="D1080" s="158" t="s">
        <v>1567</v>
      </c>
      <c r="E1080" s="160" t="s">
        <v>1195</v>
      </c>
      <c r="F1080" s="161">
        <v>2016</v>
      </c>
      <c r="G1080" s="162" t="s">
        <v>33</v>
      </c>
      <c r="H1080" s="163">
        <f t="shared" si="358"/>
        <v>43175</v>
      </c>
      <c r="I1080" s="163">
        <f t="shared" si="359"/>
        <v>43218</v>
      </c>
      <c r="J1080" s="1443">
        <v>1350000</v>
      </c>
      <c r="K1080" s="1383">
        <v>42541</v>
      </c>
      <c r="L1080" s="1385">
        <v>3000000</v>
      </c>
      <c r="M1080" s="1383">
        <v>42541</v>
      </c>
      <c r="N1080" s="1443">
        <v>3000000</v>
      </c>
      <c r="O1080" s="1383">
        <v>42752</v>
      </c>
      <c r="P1080" s="1385">
        <v>3000000</v>
      </c>
      <c r="Q1080" s="1357">
        <v>42933</v>
      </c>
      <c r="R1080" s="1443">
        <v>3000000</v>
      </c>
      <c r="S1080" s="1357">
        <v>43112</v>
      </c>
      <c r="T1080" s="1382" t="s">
        <v>1080</v>
      </c>
      <c r="U1080" s="1474"/>
      <c r="V1080" s="1363"/>
      <c r="W1080" s="1391"/>
      <c r="X1080" s="1363"/>
      <c r="Y1080" s="1391"/>
      <c r="Z1080" s="1363"/>
      <c r="AA1080" s="1563"/>
      <c r="AB1080" s="1385">
        <v>1000000</v>
      </c>
      <c r="AC1080" s="1357">
        <v>43186</v>
      </c>
      <c r="AD1080" s="1666"/>
      <c r="AE1080" s="1590"/>
      <c r="AF1080" s="2300" t="s">
        <v>1329</v>
      </c>
      <c r="AG1080" s="1612"/>
      <c r="AH1080" s="1625" t="str">
        <f t="shared" si="360"/>
        <v>ES</v>
      </c>
      <c r="AI1080" s="1680">
        <f t="shared" si="365"/>
        <v>14350000</v>
      </c>
      <c r="AJ1080" s="1681">
        <f t="shared" si="362"/>
        <v>14350000</v>
      </c>
      <c r="AK1080" s="1682">
        <f t="shared" si="366"/>
        <v>0</v>
      </c>
      <c r="AL1080" s="1691" t="str">
        <f t="shared" si="367"/>
        <v>Lunas</v>
      </c>
      <c r="AM1080" s="1410"/>
      <c r="AN1080" s="1411"/>
      <c r="AO1080" s="1410"/>
      <c r="AP1080" s="1411"/>
      <c r="AQ1080" s="1128"/>
      <c r="AR1080" s="1173"/>
      <c r="AT1080" s="1173"/>
      <c r="AV1080" s="1173"/>
      <c r="AX1080" s="1173"/>
      <c r="AY1080" s="1176"/>
      <c r="AZ1080" s="1173"/>
    </row>
    <row r="1081" spans="1:52" s="2" customFormat="1" x14ac:dyDescent="0.25">
      <c r="A1081" s="156">
        <v>999</v>
      </c>
      <c r="B1081" s="406">
        <v>21</v>
      </c>
      <c r="C1081" s="159">
        <v>839216021</v>
      </c>
      <c r="D1081" s="158" t="s">
        <v>1568</v>
      </c>
      <c r="E1081" s="275" t="s">
        <v>1195</v>
      </c>
      <c r="F1081" s="213">
        <v>2016</v>
      </c>
      <c r="G1081" s="162" t="s">
        <v>33</v>
      </c>
      <c r="H1081" s="163">
        <f t="shared" si="358"/>
        <v>43648</v>
      </c>
      <c r="I1081" s="163">
        <f t="shared" si="359"/>
        <v>43750</v>
      </c>
      <c r="J1081" s="1636">
        <v>1350000</v>
      </c>
      <c r="K1081" s="1637">
        <v>42552</v>
      </c>
      <c r="L1081" s="1480">
        <v>3000000</v>
      </c>
      <c r="M1081" s="1637">
        <v>42552</v>
      </c>
      <c r="N1081" s="1480">
        <v>3000000</v>
      </c>
      <c r="O1081" s="1637">
        <v>42762</v>
      </c>
      <c r="P1081" s="1480">
        <v>3000000</v>
      </c>
      <c r="Q1081" s="1365">
        <v>42937</v>
      </c>
      <c r="R1081" s="1385">
        <v>3000000</v>
      </c>
      <c r="S1081" s="1357">
        <v>43137</v>
      </c>
      <c r="T1081" s="1431">
        <v>3000000</v>
      </c>
      <c r="U1081" s="1365">
        <v>43307</v>
      </c>
      <c r="V1081" s="1385">
        <v>3000000</v>
      </c>
      <c r="W1081" s="1357">
        <v>43595</v>
      </c>
      <c r="X1081" s="1465" t="s">
        <v>1080</v>
      </c>
      <c r="Y1081" s="1391"/>
      <c r="Z1081" s="1363"/>
      <c r="AA1081" s="1563"/>
      <c r="AB1081" s="1480">
        <v>1000000</v>
      </c>
      <c r="AC1081" s="1357">
        <v>43433</v>
      </c>
      <c r="AD1081" s="1666"/>
      <c r="AE1081" s="1590"/>
      <c r="AF1081" s="2300" t="s">
        <v>1329</v>
      </c>
      <c r="AG1081" s="1612"/>
      <c r="AH1081" s="1625" t="str">
        <f t="shared" si="360"/>
        <v>ES</v>
      </c>
      <c r="AI1081" s="1680">
        <f t="shared" si="365"/>
        <v>20350000</v>
      </c>
      <c r="AJ1081" s="1681">
        <f t="shared" si="362"/>
        <v>20350000</v>
      </c>
      <c r="AK1081" s="1682">
        <f t="shared" si="366"/>
        <v>0</v>
      </c>
      <c r="AL1081" s="1691" t="str">
        <f t="shared" si="367"/>
        <v>Lunas</v>
      </c>
      <c r="AM1081" s="1410"/>
      <c r="AN1081" s="1411"/>
      <c r="AO1081" s="1410"/>
      <c r="AP1081" s="1411"/>
      <c r="AQ1081" s="1128"/>
      <c r="AR1081" s="1173"/>
      <c r="AT1081" s="1173"/>
      <c r="AV1081" s="1173"/>
      <c r="AX1081" s="1173"/>
      <c r="AY1081" s="1176"/>
      <c r="AZ1081" s="1173"/>
    </row>
    <row r="1082" spans="1:52" s="2" customFormat="1" x14ac:dyDescent="0.25">
      <c r="A1082" s="164">
        <v>1000</v>
      </c>
      <c r="B1082" s="448">
        <v>22</v>
      </c>
      <c r="C1082" s="263">
        <v>839216022</v>
      </c>
      <c r="D1082" s="173" t="s">
        <v>1569</v>
      </c>
      <c r="E1082" s="449" t="s">
        <v>1195</v>
      </c>
      <c r="F1082" s="450">
        <v>2016</v>
      </c>
      <c r="G1082" s="1758" t="s">
        <v>28</v>
      </c>
      <c r="H1082" s="265" t="str">
        <f t="shared" si="358"/>
        <v xml:space="preserve">   </v>
      </c>
      <c r="I1082" s="265" t="str">
        <f t="shared" si="359"/>
        <v xml:space="preserve">   </v>
      </c>
      <c r="J1082" s="1635">
        <v>1350000</v>
      </c>
      <c r="K1082" s="1500">
        <v>42545</v>
      </c>
      <c r="L1082" s="1389">
        <v>3000000</v>
      </c>
      <c r="M1082" s="1500">
        <v>42545</v>
      </c>
      <c r="N1082" s="1389">
        <v>3000000</v>
      </c>
      <c r="O1082" s="1500">
        <v>42762</v>
      </c>
      <c r="P1082" s="1389">
        <v>3000000</v>
      </c>
      <c r="Q1082" s="1360">
        <v>42941</v>
      </c>
      <c r="R1082" s="1714">
        <v>3000000</v>
      </c>
      <c r="S1082" s="1367">
        <v>43112</v>
      </c>
      <c r="T1082" s="1430">
        <v>0</v>
      </c>
      <c r="U1082" s="1360"/>
      <c r="V1082" s="1714">
        <v>0</v>
      </c>
      <c r="W1082" s="1367"/>
      <c r="X1082" s="1714">
        <v>0</v>
      </c>
      <c r="Y1082" s="1367"/>
      <c r="Z1082" s="1731">
        <v>0</v>
      </c>
      <c r="AA1082" s="1367"/>
      <c r="AB1082" s="1389">
        <v>0</v>
      </c>
      <c r="AC1082" s="1367"/>
      <c r="AD1082" s="1666" t="str">
        <f>IFERROR(VLOOKUP(C1082,BSP,3,FALSE),"  ")</f>
        <v xml:space="preserve">  </v>
      </c>
      <c r="AE1082" s="1590" t="str">
        <f>IFERROR((VLOOKUP(C1082,BSP,4,FALSE)),"  ")</f>
        <v xml:space="preserve">  </v>
      </c>
      <c r="AF1082" s="1731" t="str">
        <f>IFERROR(VLOOKUP(C1082,BSP,3,FALSE),"  ")</f>
        <v xml:space="preserve">  </v>
      </c>
      <c r="AG1082" s="1367" t="str">
        <f>IFERROR((VLOOKUP(C1082,BSP,4,FALSE)),"  ")</f>
        <v xml:space="preserve">  </v>
      </c>
      <c r="AH1082" s="1625" t="str">
        <f t="shared" si="360"/>
        <v>ES</v>
      </c>
      <c r="AI1082" s="1680">
        <f t="shared" si="365"/>
        <v>13350000</v>
      </c>
      <c r="AJ1082" s="1681">
        <f t="shared" si="362"/>
        <v>26350000</v>
      </c>
      <c r="AK1082" s="1682">
        <f t="shared" si="366"/>
        <v>13000000</v>
      </c>
      <c r="AL1082" s="1691" t="str">
        <f t="shared" si="367"/>
        <v>Cek</v>
      </c>
      <c r="AM1082" s="1410"/>
      <c r="AN1082" s="1411"/>
      <c r="AO1082" s="1410"/>
      <c r="AP1082" s="1411"/>
      <c r="AQ1082" s="1128"/>
      <c r="AR1082" s="1173"/>
      <c r="AT1082" s="1173"/>
      <c r="AV1082" s="1173"/>
      <c r="AX1082" s="1173"/>
      <c r="AY1082" s="1176"/>
      <c r="AZ1082" s="1173"/>
    </row>
    <row r="1083" spans="1:52" s="2" customFormat="1" x14ac:dyDescent="0.25">
      <c r="A1083" s="156">
        <v>1001</v>
      </c>
      <c r="B1083" s="406">
        <v>23</v>
      </c>
      <c r="C1083" s="159">
        <v>839216023</v>
      </c>
      <c r="D1083" s="158" t="s">
        <v>1570</v>
      </c>
      <c r="E1083" s="275" t="s">
        <v>1195</v>
      </c>
      <c r="F1083" s="213">
        <v>2016</v>
      </c>
      <c r="G1083" s="162" t="s">
        <v>33</v>
      </c>
      <c r="H1083" s="163">
        <f t="shared" si="358"/>
        <v>43475</v>
      </c>
      <c r="I1083" s="163">
        <f t="shared" si="359"/>
        <v>44058</v>
      </c>
      <c r="J1083" s="1636">
        <v>1350000</v>
      </c>
      <c r="K1083" s="1637">
        <v>42545</v>
      </c>
      <c r="L1083" s="1480">
        <v>3000000</v>
      </c>
      <c r="M1083" s="1637">
        <v>42545</v>
      </c>
      <c r="N1083" s="1480">
        <v>3000000</v>
      </c>
      <c r="O1083" s="1637">
        <v>42782</v>
      </c>
      <c r="P1083" s="1480">
        <v>3000000</v>
      </c>
      <c r="Q1083" s="1637">
        <v>42956</v>
      </c>
      <c r="R1083" s="1385">
        <v>3000000</v>
      </c>
      <c r="S1083" s="1357">
        <v>43130</v>
      </c>
      <c r="T1083" s="1431">
        <v>3000000</v>
      </c>
      <c r="U1083" s="1365">
        <v>43413</v>
      </c>
      <c r="V1083" s="1465" t="s">
        <v>1080</v>
      </c>
      <c r="W1083" s="1384"/>
      <c r="X1083" s="1363"/>
      <c r="Y1083" s="1391"/>
      <c r="Z1083" s="1363"/>
      <c r="AA1083" s="1563"/>
      <c r="AB1083" s="1480">
        <v>1000000</v>
      </c>
      <c r="AC1083" s="1357">
        <v>43420</v>
      </c>
      <c r="AD1083" s="1809">
        <v>500000</v>
      </c>
      <c r="AE1083" s="1440">
        <v>43888</v>
      </c>
      <c r="AF1083" s="2300" t="s">
        <v>1329</v>
      </c>
      <c r="AG1083" s="1612"/>
      <c r="AH1083" s="1625" t="str">
        <f t="shared" si="360"/>
        <v>ES</v>
      </c>
      <c r="AI1083" s="1680">
        <f t="shared" si="365"/>
        <v>17850000</v>
      </c>
      <c r="AJ1083" s="1681">
        <f t="shared" si="362"/>
        <v>17850000</v>
      </c>
      <c r="AK1083" s="1682">
        <f t="shared" si="366"/>
        <v>0</v>
      </c>
      <c r="AL1083" s="1691" t="str">
        <f t="shared" si="367"/>
        <v>Lunas</v>
      </c>
      <c r="AM1083" s="1410"/>
      <c r="AN1083" s="1411"/>
      <c r="AO1083" s="1410"/>
      <c r="AP1083" s="1411"/>
      <c r="AQ1083" s="1128"/>
      <c r="AR1083" s="1173"/>
      <c r="AT1083" s="1173"/>
      <c r="AV1083" s="1173"/>
      <c r="AX1083" s="1173"/>
      <c r="AY1083" s="1176"/>
      <c r="AZ1083" s="1173"/>
    </row>
    <row r="1084" spans="1:52" s="2" customFormat="1" x14ac:dyDescent="0.25">
      <c r="A1084" s="164">
        <v>1002</v>
      </c>
      <c r="B1084" s="448">
        <v>24</v>
      </c>
      <c r="C1084" s="263">
        <v>839216024</v>
      </c>
      <c r="D1084" s="173" t="s">
        <v>1571</v>
      </c>
      <c r="E1084" s="168" t="s">
        <v>1195</v>
      </c>
      <c r="F1084" s="450">
        <v>2016</v>
      </c>
      <c r="G1084" s="1758" t="s">
        <v>28</v>
      </c>
      <c r="H1084" s="265" t="str">
        <f t="shared" si="358"/>
        <v xml:space="preserve">   </v>
      </c>
      <c r="I1084" s="265" t="str">
        <f t="shared" si="359"/>
        <v xml:space="preserve">   </v>
      </c>
      <c r="J1084" s="1635">
        <v>1350000</v>
      </c>
      <c r="K1084" s="1500">
        <v>42544</v>
      </c>
      <c r="L1084" s="1389">
        <v>3000000</v>
      </c>
      <c r="M1084" s="1500">
        <v>42544</v>
      </c>
      <c r="N1084" s="1389">
        <v>3000000</v>
      </c>
      <c r="O1084" s="1500">
        <v>42761</v>
      </c>
      <c r="P1084" s="1635">
        <v>3000000</v>
      </c>
      <c r="Q1084" s="1500">
        <v>42968</v>
      </c>
      <c r="R1084" s="1714">
        <v>0</v>
      </c>
      <c r="S1084" s="1367"/>
      <c r="T1084" s="1430">
        <v>0</v>
      </c>
      <c r="U1084" s="1360"/>
      <c r="V1084" s="1714">
        <v>0</v>
      </c>
      <c r="W1084" s="1367"/>
      <c r="X1084" s="1714">
        <v>0</v>
      </c>
      <c r="Y1084" s="1367"/>
      <c r="Z1084" s="1731">
        <v>0</v>
      </c>
      <c r="AA1084" s="1367"/>
      <c r="AB1084" s="1389">
        <v>0</v>
      </c>
      <c r="AC1084" s="1367"/>
      <c r="AD1084" s="1666" t="str">
        <f>IFERROR(VLOOKUP(C1084,BSP,3,FALSE),"  ")</f>
        <v xml:space="preserve">  </v>
      </c>
      <c r="AE1084" s="1590" t="str">
        <f>IFERROR((VLOOKUP(C1084,BSP,4,FALSE)),"  ")</f>
        <v xml:space="preserve">  </v>
      </c>
      <c r="AF1084" s="1731" t="str">
        <f>IFERROR(VLOOKUP(C1084,BSP,3,FALSE),"  ")</f>
        <v xml:space="preserve">  </v>
      </c>
      <c r="AG1084" s="1367" t="str">
        <f>IFERROR((VLOOKUP(C1084,BSP,4,FALSE)),"  ")</f>
        <v xml:space="preserve">  </v>
      </c>
      <c r="AH1084" s="1625" t="str">
        <f t="shared" si="360"/>
        <v>ES</v>
      </c>
      <c r="AI1084" s="1680">
        <f t="shared" si="365"/>
        <v>10350000</v>
      </c>
      <c r="AJ1084" s="1681">
        <f t="shared" si="362"/>
        <v>26350000</v>
      </c>
      <c r="AK1084" s="1682">
        <f t="shared" si="366"/>
        <v>16000000</v>
      </c>
      <c r="AL1084" s="1691" t="str">
        <f t="shared" si="367"/>
        <v>Cek</v>
      </c>
      <c r="AM1084" s="1410"/>
      <c r="AN1084" s="1411"/>
      <c r="AO1084" s="1410"/>
      <c r="AP1084" s="1411"/>
      <c r="AQ1084" s="1128"/>
      <c r="AR1084" s="1173"/>
      <c r="AT1084" s="1173"/>
      <c r="AV1084" s="1173"/>
      <c r="AX1084" s="1173"/>
      <c r="AY1084" s="1176"/>
      <c r="AZ1084" s="1173"/>
    </row>
    <row r="1085" spans="1:52" s="2" customFormat="1" x14ac:dyDescent="0.25">
      <c r="A1085" s="156">
        <v>1003</v>
      </c>
      <c r="B1085" s="406">
        <v>25</v>
      </c>
      <c r="C1085" s="159">
        <v>839216025</v>
      </c>
      <c r="D1085" s="158" t="s">
        <v>1572</v>
      </c>
      <c r="E1085" s="179" t="s">
        <v>1195</v>
      </c>
      <c r="F1085" s="161">
        <v>2016</v>
      </c>
      <c r="G1085" s="162" t="s">
        <v>33</v>
      </c>
      <c r="H1085" s="163">
        <f t="shared" si="358"/>
        <v>43375</v>
      </c>
      <c r="I1085" s="163">
        <f t="shared" si="359"/>
        <v>43440</v>
      </c>
      <c r="J1085" s="1443">
        <v>1350000</v>
      </c>
      <c r="K1085" s="1383">
        <v>42551</v>
      </c>
      <c r="L1085" s="1385">
        <v>3000000</v>
      </c>
      <c r="M1085" s="1383">
        <v>42551</v>
      </c>
      <c r="N1085" s="1385">
        <v>3000000</v>
      </c>
      <c r="O1085" s="1383"/>
      <c r="P1085" s="1443">
        <v>3000000</v>
      </c>
      <c r="Q1085" s="1383">
        <v>42956</v>
      </c>
      <c r="R1085" s="1385">
        <v>3000000</v>
      </c>
      <c r="S1085" s="1357">
        <v>43123</v>
      </c>
      <c r="T1085" s="1358">
        <v>3000000</v>
      </c>
      <c r="U1085" s="1357">
        <v>43362</v>
      </c>
      <c r="V1085" s="1465" t="s">
        <v>1080</v>
      </c>
      <c r="W1085" s="1384"/>
      <c r="X1085" s="1363"/>
      <c r="Y1085" s="1391"/>
      <c r="Z1085" s="1363"/>
      <c r="AA1085" s="1563"/>
      <c r="AB1085" s="1385">
        <v>1000000</v>
      </c>
      <c r="AC1085" s="1357">
        <v>43362</v>
      </c>
      <c r="AD1085" s="1666"/>
      <c r="AE1085" s="1590"/>
      <c r="AF1085" s="2300" t="s">
        <v>1329</v>
      </c>
      <c r="AG1085" s="1612"/>
      <c r="AH1085" s="1625" t="str">
        <f t="shared" si="360"/>
        <v>ES</v>
      </c>
      <c r="AI1085" s="1680">
        <f t="shared" si="365"/>
        <v>17350000</v>
      </c>
      <c r="AJ1085" s="1681">
        <f t="shared" si="362"/>
        <v>17350000</v>
      </c>
      <c r="AK1085" s="1682">
        <f t="shared" si="366"/>
        <v>0</v>
      </c>
      <c r="AL1085" s="1691" t="str">
        <f t="shared" si="367"/>
        <v>Lunas</v>
      </c>
      <c r="AM1085" s="1410"/>
      <c r="AN1085" s="1411"/>
      <c r="AO1085" s="1410"/>
      <c r="AP1085" s="1411"/>
      <c r="AQ1085" s="1128"/>
      <c r="AR1085" s="1173"/>
      <c r="AT1085" s="1173"/>
      <c r="AV1085" s="1173"/>
      <c r="AX1085" s="1173"/>
      <c r="AY1085" s="1176"/>
      <c r="AZ1085" s="1173"/>
    </row>
    <row r="1086" spans="1:52" s="2" customFormat="1" x14ac:dyDescent="0.25">
      <c r="A1086" s="234">
        <v>1004</v>
      </c>
      <c r="B1086" s="234">
        <v>26</v>
      </c>
      <c r="C1086" s="236">
        <v>839216026</v>
      </c>
      <c r="D1086" s="233" t="s">
        <v>1573</v>
      </c>
      <c r="E1086" s="298" t="s">
        <v>1195</v>
      </c>
      <c r="F1086" s="315">
        <v>2016</v>
      </c>
      <c r="G1086" s="170" t="s">
        <v>1077</v>
      </c>
      <c r="H1086" s="303" t="str">
        <f t="shared" si="358"/>
        <v xml:space="preserve">   </v>
      </c>
      <c r="I1086" s="303" t="str">
        <f t="shared" si="359"/>
        <v xml:space="preserve">   </v>
      </c>
      <c r="J1086" s="1710">
        <v>1350000</v>
      </c>
      <c r="K1086" s="1930">
        <v>42545</v>
      </c>
      <c r="L1086" s="1772">
        <v>3000000</v>
      </c>
      <c r="M1086" s="1930">
        <v>42545</v>
      </c>
      <c r="N1086" s="1931" t="s">
        <v>1542</v>
      </c>
      <c r="O1086" s="1500"/>
      <c r="P1086" s="1653" t="s">
        <v>1542</v>
      </c>
      <c r="Q1086" s="1500"/>
      <c r="R1086" s="1714">
        <v>0</v>
      </c>
      <c r="S1086" s="1367"/>
      <c r="T1086" s="1430">
        <v>0</v>
      </c>
      <c r="U1086" s="1360"/>
      <c r="V1086" s="1714">
        <v>0</v>
      </c>
      <c r="W1086" s="1367"/>
      <c r="X1086" s="1714">
        <v>0</v>
      </c>
      <c r="Y1086" s="1367"/>
      <c r="Z1086" s="1714"/>
      <c r="AA1086" s="1563"/>
      <c r="AB1086" s="1389">
        <v>0</v>
      </c>
      <c r="AC1086" s="1367"/>
      <c r="AD1086" s="1666"/>
      <c r="AE1086" s="1590"/>
      <c r="AF1086" s="2300" t="s">
        <v>1329</v>
      </c>
      <c r="AG1086" s="1612"/>
      <c r="AH1086" s="1625" t="str">
        <f t="shared" si="360"/>
        <v>ES</v>
      </c>
      <c r="AI1086" s="1680">
        <f t="shared" si="365"/>
        <v>4350000</v>
      </c>
      <c r="AJ1086" s="1681">
        <f t="shared" si="362"/>
        <v>17350000</v>
      </c>
      <c r="AK1086" s="1682">
        <f t="shared" si="366"/>
        <v>13000000</v>
      </c>
      <c r="AL1086" s="1691" t="str">
        <f t="shared" si="367"/>
        <v>Cek</v>
      </c>
      <c r="AM1086" s="1410"/>
      <c r="AN1086" s="1411"/>
      <c r="AO1086" s="1410"/>
      <c r="AP1086" s="1411"/>
      <c r="AQ1086" s="1128"/>
      <c r="AR1086" s="1173"/>
      <c r="AT1086" s="1173"/>
      <c r="AV1086" s="1173"/>
      <c r="AX1086" s="1173"/>
      <c r="AY1086" s="1176"/>
      <c r="AZ1086" s="1173"/>
    </row>
    <row r="1087" spans="1:52" s="2" customFormat="1" x14ac:dyDescent="0.25">
      <c r="A1087" s="216">
        <v>1005</v>
      </c>
      <c r="B1087" s="409">
        <v>27</v>
      </c>
      <c r="C1087" s="452">
        <v>839216027</v>
      </c>
      <c r="D1087" s="451" t="s">
        <v>1574</v>
      </c>
      <c r="E1087" s="220" t="s">
        <v>1195</v>
      </c>
      <c r="F1087" s="453">
        <v>2016</v>
      </c>
      <c r="G1087" s="170" t="s">
        <v>1077</v>
      </c>
      <c r="H1087" s="364" t="str">
        <f t="shared" ref="H1087:H1118" si="368">IFERROR(VLOOKUP(C1087,Tlus,3,FALSE),"   ")</f>
        <v xml:space="preserve">   </v>
      </c>
      <c r="I1087" s="364" t="str">
        <f t="shared" ref="I1087:I1119" si="369">IFERROR(VLOOKUP(C1087,Wis,4,FALSE),"   ")</f>
        <v xml:space="preserve">   </v>
      </c>
      <c r="J1087" s="1705">
        <v>1350000</v>
      </c>
      <c r="K1087" s="1447">
        <v>42602</v>
      </c>
      <c r="L1087" s="1724">
        <v>3000000</v>
      </c>
      <c r="M1087" s="1447">
        <v>42602</v>
      </c>
      <c r="N1087" s="1932" t="s">
        <v>1078</v>
      </c>
      <c r="O1087" s="1933">
        <v>42772</v>
      </c>
      <c r="P1087" s="1706">
        <v>3000000</v>
      </c>
      <c r="Q1087" s="1501">
        <v>42996</v>
      </c>
      <c r="R1087" s="1724">
        <v>0</v>
      </c>
      <c r="S1087" s="1445"/>
      <c r="T1087" s="1448">
        <v>0</v>
      </c>
      <c r="U1087" s="1557"/>
      <c r="V1087" s="1724">
        <v>0</v>
      </c>
      <c r="W1087" s="1445"/>
      <c r="X1087" s="1724">
        <v>0</v>
      </c>
      <c r="Y1087" s="1445"/>
      <c r="Z1087" s="1893">
        <v>0</v>
      </c>
      <c r="AA1087" s="1445"/>
      <c r="AB1087" s="1706">
        <v>0</v>
      </c>
      <c r="AC1087" s="1445"/>
      <c r="AD1087" s="1666"/>
      <c r="AE1087" s="1590"/>
      <c r="AF1087" s="2301" t="s">
        <v>1329</v>
      </c>
      <c r="AG1087" s="1616"/>
      <c r="AH1087" s="1625" t="str">
        <f t="shared" si="360"/>
        <v>ES</v>
      </c>
      <c r="AI1087" s="1752">
        <f t="shared" si="365"/>
        <v>7350000</v>
      </c>
      <c r="AJ1087" s="1753">
        <f t="shared" si="362"/>
        <v>23350000</v>
      </c>
      <c r="AK1087" s="1741">
        <f t="shared" si="366"/>
        <v>16000000</v>
      </c>
      <c r="AL1087" s="1742" t="str">
        <f t="shared" si="367"/>
        <v>Cek</v>
      </c>
      <c r="AM1087" s="1410"/>
      <c r="AN1087" s="1411"/>
      <c r="AO1087" s="1410"/>
      <c r="AP1087" s="1411"/>
      <c r="AQ1087" s="1128"/>
      <c r="AR1087" s="1173"/>
      <c r="AT1087" s="1173"/>
      <c r="AV1087" s="1173"/>
      <c r="AX1087" s="1173"/>
      <c r="AY1087" s="1176"/>
      <c r="AZ1087" s="1173"/>
    </row>
    <row r="1088" spans="1:52" s="4" customFormat="1" x14ac:dyDescent="0.25">
      <c r="A1088" s="187"/>
      <c r="B1088" s="454"/>
      <c r="C1088" s="1923"/>
      <c r="D1088" s="268"/>
      <c r="E1088" s="270" t="s">
        <v>61</v>
      </c>
      <c r="F1088" s="267" t="s">
        <v>61</v>
      </c>
      <c r="G1088" s="192" t="s">
        <v>61</v>
      </c>
      <c r="H1088" s="193" t="str">
        <f t="shared" si="368"/>
        <v xml:space="preserve">   </v>
      </c>
      <c r="I1088" s="193" t="str">
        <f t="shared" si="369"/>
        <v xml:space="preserve">   </v>
      </c>
      <c r="J1088" s="187"/>
      <c r="K1088" s="1436"/>
      <c r="L1088" s="1528"/>
      <c r="M1088" s="1719"/>
      <c r="N1088" s="1528"/>
      <c r="O1088" s="1719"/>
      <c r="P1088" s="1528"/>
      <c r="Q1088" s="1719"/>
      <c r="R1088" s="1528"/>
      <c r="S1088" s="1641"/>
      <c r="T1088" s="1528"/>
      <c r="U1088" s="1719"/>
      <c r="V1088" s="1528"/>
      <c r="W1088" s="1719"/>
      <c r="X1088" s="1528"/>
      <c r="Y1088" s="1719"/>
      <c r="Z1088" s="1960"/>
      <c r="AA1088" s="1961"/>
      <c r="AB1088" s="1528"/>
      <c r="AC1088" s="1719"/>
      <c r="AD1088" s="1962"/>
      <c r="AE1088" s="1719"/>
      <c r="AF1088" s="1962"/>
      <c r="AG1088" s="1719"/>
      <c r="AH1088" s="1827"/>
      <c r="AI1088" s="1962"/>
      <c r="AJ1088" s="1409"/>
      <c r="AK1088" s="1409"/>
      <c r="AL1088" s="1510"/>
      <c r="AM1088" s="1510"/>
      <c r="AN1088" s="1511"/>
      <c r="AO1088" s="1510"/>
      <c r="AP1088" s="1511"/>
      <c r="AQ1088" s="1215"/>
      <c r="AR1088" s="1216"/>
      <c r="AT1088" s="1216"/>
      <c r="AV1088" s="1216"/>
      <c r="AX1088" s="1216"/>
      <c r="AY1088" s="1217"/>
      <c r="AZ1088" s="1216"/>
    </row>
    <row r="1089" spans="1:52" s="2" customFormat="1" x14ac:dyDescent="0.25">
      <c r="A1089" s="456" t="s">
        <v>1575</v>
      </c>
      <c r="B1089" s="456"/>
      <c r="C1089" s="366"/>
      <c r="D1089" s="456"/>
      <c r="E1089" s="198" t="s">
        <v>1096</v>
      </c>
      <c r="F1089" s="199" t="s">
        <v>1096</v>
      </c>
      <c r="G1089" s="146">
        <v>3000000</v>
      </c>
      <c r="H1089" s="147" t="str">
        <f t="shared" si="368"/>
        <v xml:space="preserve">   </v>
      </c>
      <c r="I1089" s="147" t="str">
        <f t="shared" si="369"/>
        <v xml:space="preserve">   </v>
      </c>
      <c r="J1089" s="1349">
        <v>1350000</v>
      </c>
      <c r="K1089" s="1529"/>
      <c r="L1089" s="1582" t="s">
        <v>1049</v>
      </c>
      <c r="M1089" s="1502" t="s">
        <v>1062</v>
      </c>
      <c r="N1089" s="1582" t="s">
        <v>1051</v>
      </c>
      <c r="O1089" s="1502" t="s">
        <v>1064</v>
      </c>
      <c r="P1089" s="1582" t="s">
        <v>1053</v>
      </c>
      <c r="Q1089" s="1502" t="s">
        <v>1066</v>
      </c>
      <c r="R1089" s="1582" t="s">
        <v>1055</v>
      </c>
      <c r="S1089" s="1502" t="s">
        <v>1068</v>
      </c>
      <c r="T1089" s="1582" t="s">
        <v>1057</v>
      </c>
      <c r="U1089" s="1502" t="s">
        <v>1141</v>
      </c>
      <c r="V1089" s="1582" t="s">
        <v>1059</v>
      </c>
      <c r="W1089" s="1502" t="s">
        <v>1325</v>
      </c>
      <c r="X1089" s="1582" t="s">
        <v>1061</v>
      </c>
      <c r="Y1089" s="1502" t="s">
        <v>1463</v>
      </c>
      <c r="Z1089" s="1582" t="s">
        <v>1063</v>
      </c>
      <c r="AA1089" s="1502" t="s">
        <v>1464</v>
      </c>
      <c r="AB1089" s="1450">
        <v>1000000</v>
      </c>
      <c r="AC1089" s="1663" t="s">
        <v>1326</v>
      </c>
      <c r="AD1089" s="1450">
        <v>500000</v>
      </c>
      <c r="AE1089" s="1663" t="s">
        <v>22</v>
      </c>
      <c r="AF1089" s="1984"/>
      <c r="AG1089" s="1436"/>
      <c r="AH1089" s="1408"/>
      <c r="AI1089" s="1512"/>
      <c r="AJ1089" s="1409"/>
      <c r="AK1089" s="1409"/>
      <c r="AL1089" s="1513"/>
      <c r="AM1089" s="1513"/>
      <c r="AN1089" s="1514"/>
      <c r="AO1089" s="1513"/>
      <c r="AP1089" s="1514"/>
      <c r="AQ1089" s="1128"/>
      <c r="AR1089" s="1173"/>
      <c r="AT1089" s="1173"/>
      <c r="AV1089" s="1173"/>
      <c r="AX1089" s="1173"/>
      <c r="AY1089" s="1176"/>
      <c r="AZ1089" s="1173"/>
    </row>
    <row r="1090" spans="1:52" s="2" customFormat="1" x14ac:dyDescent="0.25">
      <c r="A1090" s="457">
        <v>1006</v>
      </c>
      <c r="B1090" s="458">
        <v>1</v>
      </c>
      <c r="C1090" s="424">
        <v>839116001</v>
      </c>
      <c r="D1090" s="459" t="s">
        <v>1576</v>
      </c>
      <c r="E1090" s="449" t="s">
        <v>848</v>
      </c>
      <c r="F1090" s="450">
        <v>2016</v>
      </c>
      <c r="G1090" s="360" t="s">
        <v>1483</v>
      </c>
      <c r="H1090" s="408" t="str">
        <f t="shared" si="368"/>
        <v xml:space="preserve">   </v>
      </c>
      <c r="I1090" s="408" t="str">
        <f t="shared" si="369"/>
        <v xml:space="preserve">   </v>
      </c>
      <c r="J1090" s="1969">
        <v>1350000</v>
      </c>
      <c r="K1090" s="1601">
        <v>42494</v>
      </c>
      <c r="L1090" s="1970">
        <v>3000000</v>
      </c>
      <c r="M1090" s="1601">
        <v>42494</v>
      </c>
      <c r="N1090" s="1970">
        <v>3000000</v>
      </c>
      <c r="O1090" s="1601">
        <v>42752</v>
      </c>
      <c r="P1090" s="1970">
        <v>3000000</v>
      </c>
      <c r="Q1090" s="1542">
        <v>42930</v>
      </c>
      <c r="R1090" s="1186" t="s">
        <v>1078</v>
      </c>
      <c r="S1090" s="1979">
        <v>43117</v>
      </c>
      <c r="T1090" s="1192" t="s">
        <v>1078</v>
      </c>
      <c r="U1090" s="1979">
        <v>43353</v>
      </c>
      <c r="V1090" s="1980">
        <v>3000000</v>
      </c>
      <c r="W1090" s="1590">
        <v>43493</v>
      </c>
      <c r="X1090" s="1980">
        <v>3000000</v>
      </c>
      <c r="Y1090" s="1590">
        <v>43643</v>
      </c>
      <c r="Z1090" s="1731">
        <v>3000000</v>
      </c>
      <c r="AA1090" s="1367">
        <v>43860.338645833297</v>
      </c>
      <c r="AB1090" s="1389">
        <v>0</v>
      </c>
      <c r="AC1090" s="1367"/>
      <c r="AD1090" s="1666" t="str">
        <f>IFERROR(VLOOKUP(C1090,BSP,3,FALSE),"  ")</f>
        <v xml:space="preserve">  </v>
      </c>
      <c r="AE1090" s="1590" t="str">
        <f>IFERROR((VLOOKUP(C1090,BSP,4,FALSE)),"  ")</f>
        <v xml:space="preserve">  </v>
      </c>
      <c r="AF1090" s="1731" t="str">
        <f>IFERROR(VLOOKUP(C1090,BSP,3,FALSE),"  ")</f>
        <v xml:space="preserve">  </v>
      </c>
      <c r="AG1090" s="1367" t="str">
        <f>IFERROR((VLOOKUP(C1090,BSP,4,FALSE)),"  ")</f>
        <v xml:space="preserve">  </v>
      </c>
      <c r="AH1090" s="1625" t="str">
        <f t="shared" ref="AH1090:AH1120" si="370">E1090</f>
        <v>HK</v>
      </c>
      <c r="AI1090" s="1678">
        <f t="shared" ref="AI1090" si="371">SUM(J1090,L1090,N1090,P1090,R1090,T1090,V1090,X1090,Z1090,AB1090,AD1090,AF1090)</f>
        <v>19350000</v>
      </c>
      <c r="AJ1090" s="1679">
        <f t="shared" ref="AJ1090:AJ1111" si="372">(COUNT(L1090,N1090,P1090,R1090,T1090,V1090,X1090,Z1090)*$G$1039)+(COUNT(J1090)*$J$1039)+(COUNT(AB1090)*$AB$1039)+(COUNT(AD1090)*$AD$1039)</f>
        <v>20350000</v>
      </c>
      <c r="AK1090" s="1419">
        <f t="shared" ref="AK1090" si="373">AJ1090-AI1090</f>
        <v>1000000</v>
      </c>
      <c r="AL1090" s="1420" t="str">
        <f t="shared" ref="AL1090" si="374">IF(AK1090=0,"Lunas","Cek")</f>
        <v>Cek</v>
      </c>
      <c r="AM1090" s="1410"/>
      <c r="AN1090" s="1411"/>
      <c r="AO1090" s="1410"/>
      <c r="AP1090" s="1411"/>
      <c r="AQ1090" s="1128"/>
      <c r="AR1090" s="1173"/>
      <c r="AT1090" s="1173"/>
      <c r="AV1090" s="1173"/>
      <c r="AX1090" s="1173"/>
      <c r="AY1090" s="1176"/>
      <c r="AZ1090" s="1173"/>
    </row>
    <row r="1091" spans="1:52" s="2" customFormat="1" x14ac:dyDescent="0.25">
      <c r="A1091" s="156">
        <v>1007</v>
      </c>
      <c r="B1091" s="172">
        <v>2</v>
      </c>
      <c r="C1091" s="159">
        <v>839116002</v>
      </c>
      <c r="D1091" s="211" t="s">
        <v>1577</v>
      </c>
      <c r="E1091" s="179" t="s">
        <v>848</v>
      </c>
      <c r="F1091" s="213">
        <v>2016</v>
      </c>
      <c r="G1091" s="162" t="s">
        <v>33</v>
      </c>
      <c r="H1091" s="163">
        <f t="shared" si="368"/>
        <v>43245</v>
      </c>
      <c r="I1091" s="163">
        <f t="shared" si="369"/>
        <v>43351</v>
      </c>
      <c r="J1091" s="1443">
        <v>1350000</v>
      </c>
      <c r="K1091" s="1383">
        <v>42494</v>
      </c>
      <c r="L1091" s="1385">
        <v>3000000</v>
      </c>
      <c r="M1091" s="1383">
        <v>42494</v>
      </c>
      <c r="N1091" s="1385">
        <v>3000000</v>
      </c>
      <c r="O1091" s="1383">
        <v>42752</v>
      </c>
      <c r="P1091" s="1385">
        <v>3000000</v>
      </c>
      <c r="Q1091" s="1357">
        <v>41834</v>
      </c>
      <c r="R1091" s="1385">
        <v>3000000</v>
      </c>
      <c r="S1091" s="1357">
        <v>43112</v>
      </c>
      <c r="T1091" s="1382" t="s">
        <v>1080</v>
      </c>
      <c r="U1091" s="1474"/>
      <c r="V1091" s="1363"/>
      <c r="W1091" s="1391"/>
      <c r="X1091" s="1363"/>
      <c r="Y1091" s="1391"/>
      <c r="Z1091" s="1363"/>
      <c r="AA1091" s="1563"/>
      <c r="AB1091" s="1385">
        <v>1000000</v>
      </c>
      <c r="AC1091" s="1357">
        <v>43237</v>
      </c>
      <c r="AD1091" s="1666"/>
      <c r="AE1091" s="1590"/>
      <c r="AF1091" s="2300" t="s">
        <v>1329</v>
      </c>
      <c r="AG1091" s="1612"/>
      <c r="AH1091" s="1625" t="str">
        <f t="shared" si="370"/>
        <v>HK</v>
      </c>
      <c r="AI1091" s="1680">
        <f t="shared" ref="AI1091:AI1111" si="375">SUM(J1091,L1091,N1091,P1091,R1091,T1091,V1091,X1091,Z1091,AB1091,AD1091,AF1091)</f>
        <v>14350000</v>
      </c>
      <c r="AJ1091" s="1681">
        <f t="shared" si="372"/>
        <v>14350000</v>
      </c>
      <c r="AK1091" s="1682">
        <f t="shared" ref="AK1091:AK1111" si="376">AJ1091-AI1091</f>
        <v>0</v>
      </c>
      <c r="AL1091" s="1691" t="str">
        <f t="shared" ref="AL1091:AL1111" si="377">IF(AK1091=0,"Lunas","Cek")</f>
        <v>Lunas</v>
      </c>
      <c r="AM1091" s="1410"/>
      <c r="AN1091" s="1411"/>
      <c r="AO1091" s="1410"/>
      <c r="AP1091" s="1411"/>
      <c r="AQ1091" s="1128"/>
      <c r="AR1091" s="1173"/>
      <c r="AT1091" s="1173"/>
      <c r="AV1091" s="1173"/>
      <c r="AX1091" s="1173"/>
      <c r="AY1091" s="1176"/>
      <c r="AZ1091" s="1173"/>
    </row>
    <row r="1092" spans="1:52" s="2" customFormat="1" x14ac:dyDescent="0.25">
      <c r="A1092" s="164">
        <v>1008</v>
      </c>
      <c r="B1092" s="345">
        <v>3</v>
      </c>
      <c r="C1092" s="174">
        <v>839116003</v>
      </c>
      <c r="D1092" s="401" t="s">
        <v>1578</v>
      </c>
      <c r="E1092" s="168" t="s">
        <v>848</v>
      </c>
      <c r="F1092" s="450">
        <v>2016</v>
      </c>
      <c r="G1092" s="1758" t="s">
        <v>28</v>
      </c>
      <c r="H1092" s="265" t="str">
        <f t="shared" si="368"/>
        <v xml:space="preserve">   </v>
      </c>
      <c r="I1092" s="265" t="str">
        <f t="shared" si="369"/>
        <v xml:space="preserve">   </v>
      </c>
      <c r="J1092" s="1635">
        <v>1350000</v>
      </c>
      <c r="K1092" s="1500">
        <v>42499</v>
      </c>
      <c r="L1092" s="1389">
        <v>3000000</v>
      </c>
      <c r="M1092" s="1500">
        <v>42499</v>
      </c>
      <c r="N1092" s="1389">
        <v>3000000</v>
      </c>
      <c r="O1092" s="1500">
        <v>42762</v>
      </c>
      <c r="P1092" s="1714">
        <v>0</v>
      </c>
      <c r="Q1092" s="1360"/>
      <c r="R1092" s="1714">
        <v>0</v>
      </c>
      <c r="S1092" s="1367"/>
      <c r="T1092" s="1363">
        <v>0</v>
      </c>
      <c r="U1092" s="1360"/>
      <c r="V1092" s="1714">
        <v>0</v>
      </c>
      <c r="W1092" s="1367"/>
      <c r="X1092" s="1714">
        <v>0</v>
      </c>
      <c r="Y1092" s="1367"/>
      <c r="Z1092" s="1731">
        <v>0</v>
      </c>
      <c r="AA1092" s="1367"/>
      <c r="AB1092" s="1389">
        <v>0</v>
      </c>
      <c r="AC1092" s="1367"/>
      <c r="AD1092" s="1666" t="str">
        <f>IFERROR(VLOOKUP(C1092,BSP,3,FALSE),"  ")</f>
        <v xml:space="preserve">  </v>
      </c>
      <c r="AE1092" s="1590" t="str">
        <f>IFERROR((VLOOKUP(C1092,BSP,4,FALSE)),"  ")</f>
        <v xml:space="preserve">  </v>
      </c>
      <c r="AF1092" s="1731" t="str">
        <f>IFERROR(VLOOKUP(C1092,BSP,3,FALSE),"  ")</f>
        <v xml:space="preserve">  </v>
      </c>
      <c r="AG1092" s="1367" t="str">
        <f>IFERROR((VLOOKUP(C1092,BSP,4,FALSE)),"  ")</f>
        <v xml:space="preserve">  </v>
      </c>
      <c r="AH1092" s="1625" t="str">
        <f t="shared" si="370"/>
        <v>HK</v>
      </c>
      <c r="AI1092" s="1680">
        <f t="shared" si="375"/>
        <v>7350000</v>
      </c>
      <c r="AJ1092" s="1681">
        <f t="shared" si="372"/>
        <v>26350000</v>
      </c>
      <c r="AK1092" s="1682">
        <f t="shared" si="376"/>
        <v>19000000</v>
      </c>
      <c r="AL1092" s="1691" t="str">
        <f t="shared" si="377"/>
        <v>Cek</v>
      </c>
      <c r="AM1092" s="1410"/>
      <c r="AN1092" s="1411"/>
      <c r="AO1092" s="1410"/>
      <c r="AP1092" s="1411"/>
      <c r="AQ1092" s="1128"/>
      <c r="AR1092" s="1173"/>
      <c r="AT1092" s="1173"/>
      <c r="AV1092" s="1173"/>
      <c r="AX1092" s="1173"/>
      <c r="AY1092" s="1176"/>
      <c r="AZ1092" s="1173"/>
    </row>
    <row r="1093" spans="1:52" s="2" customFormat="1" x14ac:dyDescent="0.25">
      <c r="A1093" s="156">
        <v>1009</v>
      </c>
      <c r="B1093" s="344">
        <v>4</v>
      </c>
      <c r="C1093" s="159">
        <v>839116004</v>
      </c>
      <c r="D1093" s="211" t="s">
        <v>1579</v>
      </c>
      <c r="E1093" s="275" t="s">
        <v>848</v>
      </c>
      <c r="F1093" s="213">
        <v>2016</v>
      </c>
      <c r="G1093" s="272" t="s">
        <v>33</v>
      </c>
      <c r="H1093" s="163">
        <f t="shared" si="368"/>
        <v>44016</v>
      </c>
      <c r="I1093" s="163">
        <f t="shared" si="369"/>
        <v>44186</v>
      </c>
      <c r="J1093" s="1636">
        <v>1350000</v>
      </c>
      <c r="K1093" s="1637">
        <v>42513</v>
      </c>
      <c r="L1093" s="1480">
        <v>3000000</v>
      </c>
      <c r="M1093" s="1637">
        <v>42513</v>
      </c>
      <c r="N1093" s="1480">
        <v>3000000</v>
      </c>
      <c r="O1093" s="1637">
        <v>42760</v>
      </c>
      <c r="P1093" s="1480">
        <v>3000000</v>
      </c>
      <c r="Q1093" s="1365">
        <v>42929</v>
      </c>
      <c r="R1093" s="1385">
        <v>3000000</v>
      </c>
      <c r="S1093" s="1357">
        <v>43412</v>
      </c>
      <c r="T1093" s="1431">
        <v>3000000</v>
      </c>
      <c r="U1093" s="1365">
        <v>43412</v>
      </c>
      <c r="V1093" s="1385">
        <v>3000000</v>
      </c>
      <c r="W1093" s="1357">
        <v>43829</v>
      </c>
      <c r="X1093" s="1385">
        <v>3000000</v>
      </c>
      <c r="Y1093" s="1357">
        <v>43829</v>
      </c>
      <c r="Z1093" s="1385">
        <v>3000000</v>
      </c>
      <c r="AA1093" s="1357">
        <v>43922</v>
      </c>
      <c r="AB1093" s="1480">
        <v>1000000</v>
      </c>
      <c r="AC1093" s="1357">
        <v>43829</v>
      </c>
      <c r="AD1093" s="1666"/>
      <c r="AE1093" s="1590"/>
      <c r="AF1093" s="2300" t="s">
        <v>1329</v>
      </c>
      <c r="AG1093" s="1612"/>
      <c r="AH1093" s="1625" t="str">
        <f t="shared" si="370"/>
        <v>HK</v>
      </c>
      <c r="AI1093" s="1680">
        <f t="shared" si="375"/>
        <v>26350000</v>
      </c>
      <c r="AJ1093" s="1681">
        <f t="shared" si="372"/>
        <v>26350000</v>
      </c>
      <c r="AK1093" s="1682">
        <f t="shared" si="376"/>
        <v>0</v>
      </c>
      <c r="AL1093" s="1691" t="str">
        <f t="shared" si="377"/>
        <v>Lunas</v>
      </c>
      <c r="AM1093" s="1410"/>
      <c r="AN1093" s="1411"/>
      <c r="AO1093" s="1410"/>
      <c r="AP1093" s="1411"/>
      <c r="AQ1093" s="1128"/>
      <c r="AR1093" s="1173"/>
      <c r="AT1093" s="1173"/>
      <c r="AV1093" s="1173"/>
      <c r="AX1093" s="1173"/>
      <c r="AY1093" s="1176"/>
      <c r="AZ1093" s="1173"/>
    </row>
    <row r="1094" spans="1:52" s="2" customFormat="1" x14ac:dyDescent="0.25">
      <c r="A1094" s="156">
        <v>1010</v>
      </c>
      <c r="B1094" s="344">
        <v>5</v>
      </c>
      <c r="C1094" s="178">
        <v>839116005</v>
      </c>
      <c r="D1094" s="211" t="s">
        <v>1580</v>
      </c>
      <c r="E1094" s="275" t="s">
        <v>848</v>
      </c>
      <c r="F1094" s="213">
        <v>2016</v>
      </c>
      <c r="G1094" s="272" t="s">
        <v>33</v>
      </c>
      <c r="H1094" s="163">
        <f t="shared" si="368"/>
        <v>43762</v>
      </c>
      <c r="I1094" s="163">
        <f t="shared" si="369"/>
        <v>43818</v>
      </c>
      <c r="J1094" s="1636">
        <v>1350000</v>
      </c>
      <c r="K1094" s="1637">
        <v>42499</v>
      </c>
      <c r="L1094" s="1480">
        <v>3000000</v>
      </c>
      <c r="M1094" s="1637">
        <v>42499</v>
      </c>
      <c r="N1094" s="1480">
        <v>3000000</v>
      </c>
      <c r="O1094" s="1637">
        <v>42762</v>
      </c>
      <c r="P1094" s="1186" t="s">
        <v>1078</v>
      </c>
      <c r="Q1094" s="1386">
        <v>42940</v>
      </c>
      <c r="R1094" s="1186" t="s">
        <v>1078</v>
      </c>
      <c r="S1094" s="1386">
        <v>43118</v>
      </c>
      <c r="T1094" s="1431">
        <v>3000000</v>
      </c>
      <c r="U1094" s="1365">
        <v>43294</v>
      </c>
      <c r="V1094" s="1385">
        <v>3000000</v>
      </c>
      <c r="W1094" s="1357">
        <v>43482</v>
      </c>
      <c r="X1094" s="1385">
        <v>3000000</v>
      </c>
      <c r="Y1094" s="1357">
        <v>43643</v>
      </c>
      <c r="Z1094" s="1465" t="s">
        <v>1080</v>
      </c>
      <c r="AA1094" s="1563"/>
      <c r="AB1094" s="1480">
        <v>1000000</v>
      </c>
      <c r="AC1094" s="1357">
        <v>43748</v>
      </c>
      <c r="AD1094" s="1666"/>
      <c r="AE1094" s="1590"/>
      <c r="AF1094" s="2300" t="s">
        <v>1329</v>
      </c>
      <c r="AG1094" s="1612"/>
      <c r="AH1094" s="1625" t="str">
        <f t="shared" si="370"/>
        <v>HK</v>
      </c>
      <c r="AI1094" s="1680">
        <f t="shared" si="375"/>
        <v>17350000</v>
      </c>
      <c r="AJ1094" s="1681">
        <f t="shared" si="372"/>
        <v>17350000</v>
      </c>
      <c r="AK1094" s="1682">
        <f t="shared" si="376"/>
        <v>0</v>
      </c>
      <c r="AL1094" s="1691" t="str">
        <f t="shared" si="377"/>
        <v>Lunas</v>
      </c>
      <c r="AM1094" s="1410" t="s">
        <v>1581</v>
      </c>
      <c r="AN1094" s="1411"/>
      <c r="AO1094" s="1410" t="s">
        <v>1581</v>
      </c>
      <c r="AP1094" s="1411"/>
      <c r="AQ1094" s="1128"/>
      <c r="AR1094" s="1173"/>
      <c r="AT1094" s="1173"/>
      <c r="AV1094" s="1173"/>
      <c r="AX1094" s="1173"/>
      <c r="AY1094" s="1176"/>
      <c r="AZ1094" s="1173"/>
    </row>
    <row r="1095" spans="1:52" s="2" customFormat="1" x14ac:dyDescent="0.25">
      <c r="A1095" s="156">
        <v>1011</v>
      </c>
      <c r="B1095" s="344">
        <v>6</v>
      </c>
      <c r="C1095" s="178">
        <v>839116006</v>
      </c>
      <c r="D1095" s="211" t="s">
        <v>1582</v>
      </c>
      <c r="E1095" s="275" t="s">
        <v>848</v>
      </c>
      <c r="F1095" s="213">
        <v>2016</v>
      </c>
      <c r="G1095" s="272" t="s">
        <v>33</v>
      </c>
      <c r="H1095" s="163">
        <f t="shared" si="368"/>
        <v>43412</v>
      </c>
      <c r="I1095" s="163">
        <f t="shared" si="369"/>
        <v>43705</v>
      </c>
      <c r="J1095" s="1636">
        <v>1350000</v>
      </c>
      <c r="K1095" s="1637">
        <v>42469</v>
      </c>
      <c r="L1095" s="1480">
        <v>3000000</v>
      </c>
      <c r="M1095" s="1637">
        <v>42469</v>
      </c>
      <c r="N1095" s="1480">
        <v>3000000</v>
      </c>
      <c r="O1095" s="1637">
        <v>42759</v>
      </c>
      <c r="P1095" s="1480">
        <v>3000000</v>
      </c>
      <c r="Q1095" s="1365">
        <v>42937</v>
      </c>
      <c r="R1095" s="1385">
        <v>3000000</v>
      </c>
      <c r="S1095" s="1357">
        <v>43115</v>
      </c>
      <c r="T1095" s="1431">
        <v>3000000</v>
      </c>
      <c r="U1095" s="1365">
        <v>43571</v>
      </c>
      <c r="V1095" s="1465" t="s">
        <v>1080</v>
      </c>
      <c r="W1095" s="1384"/>
      <c r="X1095" s="1363"/>
      <c r="Y1095" s="1391"/>
      <c r="Z1095" s="1363"/>
      <c r="AA1095" s="1563"/>
      <c r="AB1095" s="1480">
        <v>1000000</v>
      </c>
      <c r="AC1095" s="1357">
        <v>43280</v>
      </c>
      <c r="AD1095" s="1666"/>
      <c r="AE1095" s="1590"/>
      <c r="AF1095" s="2300" t="s">
        <v>1329</v>
      </c>
      <c r="AG1095" s="1612"/>
      <c r="AH1095" s="1625" t="str">
        <f t="shared" si="370"/>
        <v>HK</v>
      </c>
      <c r="AI1095" s="1680">
        <f t="shared" si="375"/>
        <v>17350000</v>
      </c>
      <c r="AJ1095" s="1681">
        <f t="shared" si="372"/>
        <v>17350000</v>
      </c>
      <c r="AK1095" s="1682">
        <f t="shared" si="376"/>
        <v>0</v>
      </c>
      <c r="AL1095" s="1691" t="str">
        <f t="shared" si="377"/>
        <v>Lunas</v>
      </c>
      <c r="AM1095" s="1410"/>
      <c r="AN1095" s="1411"/>
      <c r="AO1095" s="1410"/>
      <c r="AP1095" s="1411"/>
      <c r="AQ1095" s="1128"/>
      <c r="AR1095" s="1173"/>
      <c r="AT1095" s="1173"/>
      <c r="AV1095" s="1173"/>
      <c r="AX1095" s="1173"/>
      <c r="AY1095" s="1176"/>
      <c r="AZ1095" s="1173"/>
    </row>
    <row r="1096" spans="1:52" s="2" customFormat="1" x14ac:dyDescent="0.25">
      <c r="A1096" s="156">
        <v>1012</v>
      </c>
      <c r="B1096" s="344">
        <v>7</v>
      </c>
      <c r="C1096" s="178">
        <v>839116007</v>
      </c>
      <c r="D1096" s="211" t="s">
        <v>1583</v>
      </c>
      <c r="E1096" s="179" t="s">
        <v>848</v>
      </c>
      <c r="F1096" s="213">
        <v>2016</v>
      </c>
      <c r="G1096" s="272" t="s">
        <v>33</v>
      </c>
      <c r="H1096" s="163">
        <f t="shared" si="368"/>
        <v>43670</v>
      </c>
      <c r="I1096" s="163">
        <f t="shared" si="369"/>
        <v>43750</v>
      </c>
      <c r="J1096" s="1636">
        <v>1350000</v>
      </c>
      <c r="K1096" s="1637">
        <v>42489</v>
      </c>
      <c r="L1096" s="1480">
        <v>3000000</v>
      </c>
      <c r="M1096" s="1637">
        <v>42489</v>
      </c>
      <c r="N1096" s="1480">
        <v>3000000</v>
      </c>
      <c r="O1096" s="1637">
        <v>42751</v>
      </c>
      <c r="P1096" s="1480">
        <v>3000000</v>
      </c>
      <c r="Q1096" s="1365">
        <v>42930</v>
      </c>
      <c r="R1096" s="1443">
        <v>3000000</v>
      </c>
      <c r="S1096" s="1357">
        <v>43115</v>
      </c>
      <c r="T1096" s="1431">
        <v>3000000</v>
      </c>
      <c r="U1096" s="1365">
        <v>43369</v>
      </c>
      <c r="V1096" s="1465" t="s">
        <v>1080</v>
      </c>
      <c r="W1096" s="1384"/>
      <c r="X1096" s="1363"/>
      <c r="Y1096" s="1391"/>
      <c r="Z1096" s="1363"/>
      <c r="AA1096" s="1563"/>
      <c r="AB1096" s="1480">
        <v>1000000</v>
      </c>
      <c r="AC1096" s="1357">
        <v>43257</v>
      </c>
      <c r="AD1096" s="1666"/>
      <c r="AE1096" s="1590"/>
      <c r="AF1096" s="2300" t="s">
        <v>1329</v>
      </c>
      <c r="AG1096" s="1612"/>
      <c r="AH1096" s="1625" t="str">
        <f t="shared" si="370"/>
        <v>HK</v>
      </c>
      <c r="AI1096" s="1680">
        <f t="shared" si="375"/>
        <v>17350000</v>
      </c>
      <c r="AJ1096" s="1681">
        <f t="shared" si="372"/>
        <v>17350000</v>
      </c>
      <c r="AK1096" s="1682">
        <f t="shared" si="376"/>
        <v>0</v>
      </c>
      <c r="AL1096" s="1691" t="str">
        <f t="shared" si="377"/>
        <v>Lunas</v>
      </c>
      <c r="AM1096" s="1410"/>
      <c r="AN1096" s="1411"/>
      <c r="AO1096" s="1410"/>
      <c r="AP1096" s="1411"/>
      <c r="AQ1096" s="1128"/>
      <c r="AR1096" s="1173"/>
      <c r="AT1096" s="1173"/>
      <c r="AV1096" s="1173"/>
      <c r="AX1096" s="1173"/>
      <c r="AY1096" s="1176"/>
      <c r="AZ1096" s="1173"/>
    </row>
    <row r="1097" spans="1:52" s="2" customFormat="1" x14ac:dyDescent="0.25">
      <c r="A1097" s="164">
        <v>1013</v>
      </c>
      <c r="B1097" s="345">
        <v>8</v>
      </c>
      <c r="C1097" s="174">
        <v>839116008</v>
      </c>
      <c r="D1097" s="401" t="s">
        <v>1584</v>
      </c>
      <c r="E1097" s="449" t="s">
        <v>848</v>
      </c>
      <c r="F1097" s="450">
        <v>2016</v>
      </c>
      <c r="G1097" s="1758" t="s">
        <v>28</v>
      </c>
      <c r="H1097" s="265" t="str">
        <f t="shared" si="368"/>
        <v xml:space="preserve">   </v>
      </c>
      <c r="I1097" s="265" t="str">
        <f t="shared" si="369"/>
        <v xml:space="preserve">   </v>
      </c>
      <c r="J1097" s="1635">
        <v>1350000</v>
      </c>
      <c r="K1097" s="1500">
        <v>42494</v>
      </c>
      <c r="L1097" s="1389">
        <v>3000000</v>
      </c>
      <c r="M1097" s="1500">
        <v>42494</v>
      </c>
      <c r="N1097" s="1389">
        <v>3000000</v>
      </c>
      <c r="O1097" s="1500">
        <v>42767</v>
      </c>
      <c r="P1097" s="1389">
        <v>3000000</v>
      </c>
      <c r="Q1097" s="1360">
        <v>42933</v>
      </c>
      <c r="R1097" s="1714">
        <v>3000000</v>
      </c>
      <c r="S1097" s="1367">
        <v>43112</v>
      </c>
      <c r="T1097" s="1192" t="s">
        <v>1078</v>
      </c>
      <c r="U1097" s="1386">
        <v>43490</v>
      </c>
      <c r="V1097" s="1714">
        <v>3000000</v>
      </c>
      <c r="W1097" s="1367">
        <v>43671</v>
      </c>
      <c r="X1097" s="1714">
        <v>3000000</v>
      </c>
      <c r="Y1097" s="1367">
        <v>43671</v>
      </c>
      <c r="Z1097" s="1731">
        <v>0</v>
      </c>
      <c r="AA1097" s="1367"/>
      <c r="AB1097" s="1389">
        <v>0</v>
      </c>
      <c r="AC1097" s="1367"/>
      <c r="AD1097" s="1666" t="str">
        <f>IFERROR(VLOOKUP(C1097,BSP,3,FALSE),"  ")</f>
        <v xml:space="preserve">  </v>
      </c>
      <c r="AE1097" s="1590" t="str">
        <f>IFERROR((VLOOKUP(C1097,BSP,4,FALSE)),"  ")</f>
        <v xml:space="preserve">  </v>
      </c>
      <c r="AF1097" s="1731" t="str">
        <f>IFERROR(VLOOKUP(C1097,BSP,3,FALSE),"  ")</f>
        <v xml:space="preserve">  </v>
      </c>
      <c r="AG1097" s="1367" t="str">
        <f>IFERROR((VLOOKUP(C1097,BSP,4,FALSE)),"  ")</f>
        <v xml:space="preserve">  </v>
      </c>
      <c r="AH1097" s="1625" t="str">
        <f t="shared" si="370"/>
        <v>HK</v>
      </c>
      <c r="AI1097" s="1680">
        <f t="shared" si="375"/>
        <v>19350000</v>
      </c>
      <c r="AJ1097" s="1681">
        <f t="shared" si="372"/>
        <v>23350000</v>
      </c>
      <c r="AK1097" s="1682">
        <f t="shared" si="376"/>
        <v>4000000</v>
      </c>
      <c r="AL1097" s="1691" t="str">
        <f t="shared" si="377"/>
        <v>Cek</v>
      </c>
      <c r="AM1097" s="1410"/>
      <c r="AN1097" s="1411"/>
      <c r="AO1097" s="1410"/>
      <c r="AP1097" s="1411"/>
      <c r="AQ1097" s="1128"/>
      <c r="AR1097" s="1173"/>
      <c r="AT1097" s="1173"/>
      <c r="AV1097" s="1173"/>
      <c r="AX1097" s="1173"/>
      <c r="AY1097" s="1176"/>
      <c r="AZ1097" s="1173"/>
    </row>
    <row r="1098" spans="1:52" s="2" customFormat="1" x14ac:dyDescent="0.25">
      <c r="A1098" s="156">
        <v>1014</v>
      </c>
      <c r="B1098" s="344">
        <v>9</v>
      </c>
      <c r="C1098" s="178">
        <v>839116009</v>
      </c>
      <c r="D1098" s="211" t="s">
        <v>1585</v>
      </c>
      <c r="E1098" s="179" t="s">
        <v>848</v>
      </c>
      <c r="F1098" s="213">
        <v>2016</v>
      </c>
      <c r="G1098" s="272" t="s">
        <v>33</v>
      </c>
      <c r="H1098" s="163">
        <f t="shared" si="368"/>
        <v>43656</v>
      </c>
      <c r="I1098" s="163">
        <f t="shared" si="369"/>
        <v>43705</v>
      </c>
      <c r="J1098" s="1636">
        <v>1350000</v>
      </c>
      <c r="K1098" s="1637">
        <v>42494</v>
      </c>
      <c r="L1098" s="1480">
        <v>3000000</v>
      </c>
      <c r="M1098" s="1637">
        <v>42494</v>
      </c>
      <c r="N1098" s="1480">
        <v>3000000</v>
      </c>
      <c r="O1098" s="1637">
        <v>42760</v>
      </c>
      <c r="P1098" s="1480">
        <v>3000000</v>
      </c>
      <c r="Q1098" s="1365">
        <v>42937</v>
      </c>
      <c r="R1098" s="1385">
        <v>3000000</v>
      </c>
      <c r="S1098" s="1357">
        <v>43116</v>
      </c>
      <c r="T1098" s="1358">
        <v>3000000</v>
      </c>
      <c r="U1098" s="1365">
        <v>43483</v>
      </c>
      <c r="V1098" s="1465" t="s">
        <v>1080</v>
      </c>
      <c r="W1098" s="1384"/>
      <c r="X1098" s="1363"/>
      <c r="Y1098" s="1391"/>
      <c r="Z1098" s="1363"/>
      <c r="AA1098" s="1563"/>
      <c r="AB1098" s="1480">
        <v>1000000</v>
      </c>
      <c r="AC1098" s="1357">
        <v>43483</v>
      </c>
      <c r="AD1098" s="1666"/>
      <c r="AE1098" s="1590"/>
      <c r="AF1098" s="2300" t="s">
        <v>1329</v>
      </c>
      <c r="AG1098" s="1612"/>
      <c r="AH1098" s="1625" t="str">
        <f t="shared" si="370"/>
        <v>HK</v>
      </c>
      <c r="AI1098" s="1680">
        <f t="shared" si="375"/>
        <v>17350000</v>
      </c>
      <c r="AJ1098" s="1681">
        <f t="shared" si="372"/>
        <v>17350000</v>
      </c>
      <c r="AK1098" s="1682">
        <f t="shared" si="376"/>
        <v>0</v>
      </c>
      <c r="AL1098" s="1691" t="str">
        <f t="shared" si="377"/>
        <v>Lunas</v>
      </c>
      <c r="AM1098" s="1410"/>
      <c r="AN1098" s="1411"/>
      <c r="AO1098" s="1410"/>
      <c r="AP1098" s="1411"/>
      <c r="AQ1098" s="1128"/>
      <c r="AR1098" s="1173"/>
      <c r="AT1098" s="1173"/>
      <c r="AV1098" s="1173"/>
      <c r="AX1098" s="1173"/>
      <c r="AY1098" s="1176"/>
      <c r="AZ1098" s="1173"/>
    </row>
    <row r="1099" spans="1:52" s="2" customFormat="1" x14ac:dyDescent="0.25">
      <c r="A1099" s="164">
        <v>1015</v>
      </c>
      <c r="B1099" s="345">
        <v>10</v>
      </c>
      <c r="C1099" s="174">
        <v>839116010</v>
      </c>
      <c r="D1099" s="401" t="s">
        <v>1586</v>
      </c>
      <c r="E1099" s="168" t="s">
        <v>848</v>
      </c>
      <c r="F1099" s="450">
        <v>2016</v>
      </c>
      <c r="G1099" s="1758" t="s">
        <v>28</v>
      </c>
      <c r="H1099" s="265" t="str">
        <f t="shared" si="368"/>
        <v xml:space="preserve">   </v>
      </c>
      <c r="I1099" s="265" t="str">
        <f t="shared" si="369"/>
        <v xml:space="preserve">   </v>
      </c>
      <c r="J1099" s="1635">
        <v>1350000</v>
      </c>
      <c r="K1099" s="1500">
        <v>42507</v>
      </c>
      <c r="L1099" s="1389">
        <v>3000000</v>
      </c>
      <c r="M1099" s="1500">
        <v>42507</v>
      </c>
      <c r="N1099" s="1389">
        <v>3000000</v>
      </c>
      <c r="O1099" s="1500">
        <v>42761</v>
      </c>
      <c r="P1099" s="1389">
        <v>3000000</v>
      </c>
      <c r="Q1099" s="1360">
        <v>42930</v>
      </c>
      <c r="R1099" s="1981">
        <v>3000000</v>
      </c>
      <c r="S1099" s="1523">
        <v>43116</v>
      </c>
      <c r="T1099" s="1363">
        <v>0</v>
      </c>
      <c r="U1099" s="1360"/>
      <c r="V1099" s="1714">
        <v>0</v>
      </c>
      <c r="W1099" s="1367"/>
      <c r="X1099" s="1714">
        <v>0</v>
      </c>
      <c r="Y1099" s="1367"/>
      <c r="Z1099" s="1731">
        <v>0</v>
      </c>
      <c r="AA1099" s="1367"/>
      <c r="AB1099" s="1389">
        <v>0</v>
      </c>
      <c r="AC1099" s="1367"/>
      <c r="AD1099" s="1666" t="str">
        <f>IFERROR(VLOOKUP(C1099,BSP,3,FALSE),"  ")</f>
        <v xml:space="preserve">  </v>
      </c>
      <c r="AE1099" s="1590" t="str">
        <f>IFERROR((VLOOKUP(C1099,BSP,4,FALSE)),"  ")</f>
        <v xml:space="preserve">  </v>
      </c>
      <c r="AF1099" s="1731" t="str">
        <f>IFERROR(VLOOKUP(C1099,BSP,3,FALSE),"  ")</f>
        <v xml:space="preserve">  </v>
      </c>
      <c r="AG1099" s="1367" t="str">
        <f>IFERROR((VLOOKUP(C1099,BSP,4,FALSE)),"  ")</f>
        <v xml:space="preserve">  </v>
      </c>
      <c r="AH1099" s="1625" t="str">
        <f t="shared" si="370"/>
        <v>HK</v>
      </c>
      <c r="AI1099" s="1680">
        <f t="shared" si="375"/>
        <v>13350000</v>
      </c>
      <c r="AJ1099" s="1681">
        <f t="shared" si="372"/>
        <v>26350000</v>
      </c>
      <c r="AK1099" s="1682">
        <f t="shared" si="376"/>
        <v>13000000</v>
      </c>
      <c r="AL1099" s="1691" t="str">
        <f t="shared" si="377"/>
        <v>Cek</v>
      </c>
      <c r="AM1099" s="1410"/>
      <c r="AN1099" s="1411"/>
      <c r="AO1099" s="1410"/>
      <c r="AP1099" s="1411"/>
      <c r="AQ1099" s="1128"/>
      <c r="AR1099" s="1173"/>
      <c r="AT1099" s="1173"/>
      <c r="AV1099" s="1173"/>
      <c r="AX1099" s="1173"/>
      <c r="AY1099" s="1176"/>
      <c r="AZ1099" s="1173"/>
    </row>
    <row r="1100" spans="1:52" s="2" customFormat="1" x14ac:dyDescent="0.25">
      <c r="A1100" s="156">
        <v>1016</v>
      </c>
      <c r="B1100" s="344">
        <v>11</v>
      </c>
      <c r="C1100" s="178">
        <v>839116011</v>
      </c>
      <c r="D1100" s="211" t="s">
        <v>1587</v>
      </c>
      <c r="E1100" s="275" t="s">
        <v>848</v>
      </c>
      <c r="F1100" s="213">
        <v>2016</v>
      </c>
      <c r="G1100" s="162" t="s">
        <v>33</v>
      </c>
      <c r="H1100" s="163">
        <f t="shared" si="368"/>
        <v>43845</v>
      </c>
      <c r="I1100" s="163">
        <f t="shared" si="369"/>
        <v>44058</v>
      </c>
      <c r="J1100" s="1636">
        <v>1350000</v>
      </c>
      <c r="K1100" s="1637">
        <v>42509</v>
      </c>
      <c r="L1100" s="1713"/>
      <c r="M1100" s="1362" t="s">
        <v>475</v>
      </c>
      <c r="N1100" s="1480">
        <v>3000000</v>
      </c>
      <c r="O1100" s="1383">
        <v>42761</v>
      </c>
      <c r="P1100" s="1480">
        <v>3000000</v>
      </c>
      <c r="Q1100" s="1365">
        <v>42929</v>
      </c>
      <c r="R1100" s="1385">
        <v>3000000</v>
      </c>
      <c r="S1100" s="1357">
        <v>43112</v>
      </c>
      <c r="T1100" s="1431">
        <v>3000000</v>
      </c>
      <c r="U1100" s="1365">
        <v>43304</v>
      </c>
      <c r="V1100" s="1222" t="s">
        <v>1078</v>
      </c>
      <c r="W1100" s="1386">
        <v>43490</v>
      </c>
      <c r="X1100" s="1385">
        <v>3000000</v>
      </c>
      <c r="Y1100" s="1357">
        <v>43651</v>
      </c>
      <c r="Z1100" s="1465" t="s">
        <v>1080</v>
      </c>
      <c r="AA1100" s="1563"/>
      <c r="AB1100" s="1480">
        <v>1000000</v>
      </c>
      <c r="AC1100" s="1357">
        <v>43826</v>
      </c>
      <c r="AD1100" s="1809">
        <v>500000</v>
      </c>
      <c r="AE1100" s="1440">
        <v>43867</v>
      </c>
      <c r="AF1100" s="2300" t="s">
        <v>1329</v>
      </c>
      <c r="AG1100" s="1612"/>
      <c r="AH1100" s="1625" t="str">
        <f t="shared" si="370"/>
        <v>HK</v>
      </c>
      <c r="AI1100" s="1680">
        <f t="shared" si="375"/>
        <v>17850000</v>
      </c>
      <c r="AJ1100" s="1681">
        <f t="shared" si="372"/>
        <v>17850000</v>
      </c>
      <c r="AK1100" s="1682">
        <f t="shared" si="376"/>
        <v>0</v>
      </c>
      <c r="AL1100" s="1691" t="str">
        <f t="shared" si="377"/>
        <v>Lunas</v>
      </c>
      <c r="AM1100" s="1410"/>
      <c r="AN1100" s="1411"/>
      <c r="AO1100" s="1410"/>
      <c r="AP1100" s="1411"/>
      <c r="AQ1100" s="1128"/>
      <c r="AR1100" s="1173"/>
      <c r="AT1100" s="1173"/>
      <c r="AV1100" s="1173"/>
      <c r="AX1100" s="1173"/>
      <c r="AY1100" s="1176"/>
      <c r="AZ1100" s="1173"/>
    </row>
    <row r="1101" spans="1:52" s="2" customFormat="1" x14ac:dyDescent="0.25">
      <c r="A1101" s="156">
        <v>1017</v>
      </c>
      <c r="B1101" s="172">
        <v>12</v>
      </c>
      <c r="C1101" s="159">
        <v>839116012</v>
      </c>
      <c r="D1101" s="158" t="s">
        <v>1588</v>
      </c>
      <c r="E1101" s="179" t="s">
        <v>848</v>
      </c>
      <c r="F1101" s="161">
        <v>2016</v>
      </c>
      <c r="G1101" s="162" t="s">
        <v>33</v>
      </c>
      <c r="H1101" s="163">
        <f t="shared" si="368"/>
        <v>43405</v>
      </c>
      <c r="I1101" s="163">
        <f t="shared" si="369"/>
        <v>43750</v>
      </c>
      <c r="J1101" s="1443">
        <v>1350000</v>
      </c>
      <c r="K1101" s="1383">
        <v>42548</v>
      </c>
      <c r="L1101" s="1385">
        <v>3000000</v>
      </c>
      <c r="M1101" s="1383">
        <v>42548</v>
      </c>
      <c r="N1101" s="1385">
        <v>3000000</v>
      </c>
      <c r="O1101" s="1383">
        <v>42761</v>
      </c>
      <c r="P1101" s="1385">
        <v>3000000</v>
      </c>
      <c r="Q1101" s="1357">
        <v>42933</v>
      </c>
      <c r="R1101" s="1385">
        <v>3000000</v>
      </c>
      <c r="S1101" s="1357">
        <v>43116</v>
      </c>
      <c r="T1101" s="1465" t="s">
        <v>1080</v>
      </c>
      <c r="U1101" s="1474"/>
      <c r="V1101" s="1363"/>
      <c r="W1101" s="1391"/>
      <c r="X1101" s="1363"/>
      <c r="Y1101" s="1391"/>
      <c r="Z1101" s="1363"/>
      <c r="AA1101" s="1563"/>
      <c r="AB1101" s="1480">
        <v>1000000</v>
      </c>
      <c r="AC1101" s="1357">
        <v>43283</v>
      </c>
      <c r="AD1101" s="1666"/>
      <c r="AE1101" s="1590"/>
      <c r="AF1101" s="2300" t="s">
        <v>1329</v>
      </c>
      <c r="AG1101" s="1612"/>
      <c r="AH1101" s="1625" t="str">
        <f t="shared" si="370"/>
        <v>HK</v>
      </c>
      <c r="AI1101" s="1680">
        <f t="shared" si="375"/>
        <v>14350000</v>
      </c>
      <c r="AJ1101" s="1681">
        <f t="shared" si="372"/>
        <v>14350000</v>
      </c>
      <c r="AK1101" s="1682">
        <f t="shared" si="376"/>
        <v>0</v>
      </c>
      <c r="AL1101" s="1691" t="str">
        <f t="shared" si="377"/>
        <v>Lunas</v>
      </c>
      <c r="AM1101" s="1410"/>
      <c r="AN1101" s="1411"/>
      <c r="AO1101" s="1410"/>
      <c r="AP1101" s="1411"/>
      <c r="AQ1101" s="1128"/>
      <c r="AR1101" s="1173"/>
      <c r="AT1101" s="1173"/>
      <c r="AV1101" s="1173"/>
      <c r="AX1101" s="1173"/>
      <c r="AY1101" s="1176"/>
      <c r="AZ1101" s="1173"/>
    </row>
    <row r="1102" spans="1:52" s="2" customFormat="1" x14ac:dyDescent="0.25">
      <c r="A1102" s="156">
        <v>1018</v>
      </c>
      <c r="B1102" s="344">
        <v>13</v>
      </c>
      <c r="C1102" s="174">
        <v>839116013</v>
      </c>
      <c r="D1102" s="158" t="s">
        <v>1589</v>
      </c>
      <c r="E1102" s="346" t="s">
        <v>848</v>
      </c>
      <c r="F1102" s="213">
        <v>2016</v>
      </c>
      <c r="G1102" s="162" t="s">
        <v>33</v>
      </c>
      <c r="H1102" s="163">
        <f t="shared" si="368"/>
        <v>44033</v>
      </c>
      <c r="I1102" s="265" t="str">
        <f t="shared" si="369"/>
        <v xml:space="preserve">   </v>
      </c>
      <c r="J1102" s="1635">
        <v>1350000</v>
      </c>
      <c r="K1102" s="1500">
        <v>42551</v>
      </c>
      <c r="L1102" s="1389">
        <v>3000000</v>
      </c>
      <c r="M1102" s="1500">
        <v>42551</v>
      </c>
      <c r="N1102" s="1389">
        <v>3000000</v>
      </c>
      <c r="O1102" s="1500">
        <v>42762</v>
      </c>
      <c r="P1102" s="1389">
        <v>3000000</v>
      </c>
      <c r="Q1102" s="1360">
        <v>42937</v>
      </c>
      <c r="R1102" s="1186" t="s">
        <v>1078</v>
      </c>
      <c r="S1102" s="1386">
        <v>43122</v>
      </c>
      <c r="T1102" s="1192" t="s">
        <v>1078</v>
      </c>
      <c r="U1102" s="1386">
        <v>43353</v>
      </c>
      <c r="V1102" s="1714">
        <v>3000000</v>
      </c>
      <c r="W1102" s="1367">
        <v>43496</v>
      </c>
      <c r="X1102" s="1714">
        <v>3000000</v>
      </c>
      <c r="Y1102" s="1367">
        <v>43811</v>
      </c>
      <c r="Z1102" s="1731">
        <v>3000000</v>
      </c>
      <c r="AA1102" s="1367">
        <v>43861</v>
      </c>
      <c r="AB1102" s="1389">
        <v>1000000</v>
      </c>
      <c r="AC1102" s="1367">
        <v>44026.459791666697</v>
      </c>
      <c r="AD1102" s="1666"/>
      <c r="AE1102" s="1590"/>
      <c r="AF1102" s="1731">
        <f>IFERROR(VLOOKUP(C1102,BSP,3,FALSE),"  ")</f>
        <v>1000000</v>
      </c>
      <c r="AG1102" s="1367">
        <f>IFERROR((VLOOKUP(C1102,BSP,4,FALSE)),"  ")</f>
        <v>44026.459791666697</v>
      </c>
      <c r="AH1102" s="1625" t="str">
        <f t="shared" si="370"/>
        <v>HK</v>
      </c>
      <c r="AI1102" s="1680">
        <f t="shared" si="375"/>
        <v>21350000</v>
      </c>
      <c r="AJ1102" s="1681">
        <f t="shared" si="372"/>
        <v>20350000</v>
      </c>
      <c r="AK1102" s="1682">
        <f t="shared" si="376"/>
        <v>-1000000</v>
      </c>
      <c r="AL1102" s="1691" t="str">
        <f t="shared" si="377"/>
        <v>Cek</v>
      </c>
      <c r="AM1102" s="1410"/>
      <c r="AN1102" s="1411"/>
      <c r="AO1102" s="1410"/>
      <c r="AP1102" s="1411"/>
      <c r="AQ1102" s="1128"/>
      <c r="AR1102" s="1173"/>
      <c r="AT1102" s="1173"/>
      <c r="AV1102" s="1173"/>
      <c r="AX1102" s="1173"/>
      <c r="AY1102" s="1176"/>
      <c r="AZ1102" s="1173"/>
    </row>
    <row r="1103" spans="1:52" s="2" customFormat="1" x14ac:dyDescent="0.25">
      <c r="A1103" s="164">
        <v>1019</v>
      </c>
      <c r="B1103" s="345">
        <v>14</v>
      </c>
      <c r="C1103" s="174">
        <v>839116014</v>
      </c>
      <c r="D1103" s="166" t="s">
        <v>1590</v>
      </c>
      <c r="E1103" s="168" t="s">
        <v>848</v>
      </c>
      <c r="F1103" s="450">
        <v>2016</v>
      </c>
      <c r="G1103" s="1758" t="s">
        <v>28</v>
      </c>
      <c r="H1103" s="265" t="str">
        <f t="shared" si="368"/>
        <v xml:space="preserve">   </v>
      </c>
      <c r="I1103" s="265" t="str">
        <f t="shared" si="369"/>
        <v xml:space="preserve">   </v>
      </c>
      <c r="J1103" s="1635">
        <v>1350000</v>
      </c>
      <c r="K1103" s="1500">
        <v>42542</v>
      </c>
      <c r="L1103" s="1389">
        <v>3000000</v>
      </c>
      <c r="M1103" s="1500">
        <v>42542</v>
      </c>
      <c r="N1103" s="1389">
        <v>3000000</v>
      </c>
      <c r="O1103" s="1500">
        <v>42761</v>
      </c>
      <c r="P1103" s="1653" t="s">
        <v>1542</v>
      </c>
      <c r="Q1103" s="1360"/>
      <c r="R1103" s="1714">
        <v>0</v>
      </c>
      <c r="S1103" s="1367"/>
      <c r="T1103" s="1363">
        <v>0</v>
      </c>
      <c r="U1103" s="1360"/>
      <c r="V1103" s="1714">
        <v>0</v>
      </c>
      <c r="W1103" s="1367"/>
      <c r="X1103" s="1714">
        <v>0</v>
      </c>
      <c r="Y1103" s="1367"/>
      <c r="Z1103" s="1731">
        <v>0</v>
      </c>
      <c r="AA1103" s="1367"/>
      <c r="AB1103" s="1389">
        <v>0</v>
      </c>
      <c r="AC1103" s="1367"/>
      <c r="AD1103" s="1666"/>
      <c r="AE1103" s="1590"/>
      <c r="AF1103" s="1731" t="str">
        <f>IFERROR(VLOOKUP(C1103,BSP,3,FALSE),"  ")</f>
        <v xml:space="preserve">  </v>
      </c>
      <c r="AG1103" s="1367" t="str">
        <f>IFERROR((VLOOKUP(C1103,BSP,4,FALSE)),"  ")</f>
        <v xml:space="preserve">  </v>
      </c>
      <c r="AH1103" s="1625" t="str">
        <f t="shared" si="370"/>
        <v>HK</v>
      </c>
      <c r="AI1103" s="1680">
        <f t="shared" si="375"/>
        <v>7350000</v>
      </c>
      <c r="AJ1103" s="1681">
        <f t="shared" si="372"/>
        <v>23350000</v>
      </c>
      <c r="AK1103" s="1682">
        <f t="shared" si="376"/>
        <v>16000000</v>
      </c>
      <c r="AL1103" s="1691" t="str">
        <f t="shared" si="377"/>
        <v>Cek</v>
      </c>
      <c r="AM1103" s="1410"/>
      <c r="AN1103" s="1411"/>
      <c r="AO1103" s="1410"/>
      <c r="AP1103" s="1411"/>
      <c r="AQ1103" s="1128"/>
      <c r="AR1103" s="1173"/>
      <c r="AT1103" s="1173"/>
      <c r="AV1103" s="1173"/>
      <c r="AX1103" s="1173"/>
      <c r="AY1103" s="1176"/>
      <c r="AZ1103" s="1173"/>
    </row>
    <row r="1104" spans="1:52" s="2" customFormat="1" x14ac:dyDescent="0.25">
      <c r="A1104" s="156">
        <v>1020</v>
      </c>
      <c r="B1104" s="344">
        <v>15</v>
      </c>
      <c r="C1104" s="178">
        <v>839116015</v>
      </c>
      <c r="D1104" s="177" t="s">
        <v>1591</v>
      </c>
      <c r="E1104" s="275" t="s">
        <v>848</v>
      </c>
      <c r="F1104" s="213">
        <v>2016</v>
      </c>
      <c r="G1104" s="162" t="s">
        <v>33</v>
      </c>
      <c r="H1104" s="163">
        <f t="shared" si="368"/>
        <v>43732</v>
      </c>
      <c r="I1104" s="163">
        <f t="shared" si="369"/>
        <v>43818</v>
      </c>
      <c r="J1104" s="1636">
        <v>1350000</v>
      </c>
      <c r="K1104" s="1637">
        <v>42551</v>
      </c>
      <c r="L1104" s="1480">
        <v>3000000</v>
      </c>
      <c r="M1104" s="1637">
        <v>42551</v>
      </c>
      <c r="N1104" s="1636">
        <v>3000000</v>
      </c>
      <c r="O1104" s="1637">
        <v>42765</v>
      </c>
      <c r="P1104" s="1480">
        <v>3000000</v>
      </c>
      <c r="Q1104" s="1365">
        <v>42936</v>
      </c>
      <c r="R1104" s="1385">
        <v>3000000</v>
      </c>
      <c r="S1104" s="1357">
        <v>43115</v>
      </c>
      <c r="T1104" s="1382" t="s">
        <v>1078</v>
      </c>
      <c r="U1104" s="1357">
        <v>43352</v>
      </c>
      <c r="V1104" s="1385">
        <v>3000000</v>
      </c>
      <c r="W1104" s="1357">
        <v>43671</v>
      </c>
      <c r="X1104" s="1385">
        <v>3000000</v>
      </c>
      <c r="Y1104" s="1357">
        <v>43671</v>
      </c>
      <c r="Z1104" s="1465" t="s">
        <v>1080</v>
      </c>
      <c r="AA1104" s="1563"/>
      <c r="AB1104" s="1480">
        <v>1000000</v>
      </c>
      <c r="AC1104" s="1357">
        <v>43696</v>
      </c>
      <c r="AD1104" s="1666"/>
      <c r="AE1104" s="1590"/>
      <c r="AF1104" s="2300" t="s">
        <v>1329</v>
      </c>
      <c r="AG1104" s="1612"/>
      <c r="AH1104" s="1625" t="str">
        <f t="shared" si="370"/>
        <v>HK</v>
      </c>
      <c r="AI1104" s="1680">
        <f t="shared" si="375"/>
        <v>20350000</v>
      </c>
      <c r="AJ1104" s="1681">
        <f t="shared" si="372"/>
        <v>20350000</v>
      </c>
      <c r="AK1104" s="1682">
        <f t="shared" si="376"/>
        <v>0</v>
      </c>
      <c r="AL1104" s="1691" t="str">
        <f t="shared" si="377"/>
        <v>Lunas</v>
      </c>
      <c r="AM1104" s="1410"/>
      <c r="AN1104" s="1411"/>
      <c r="AO1104" s="1410"/>
      <c r="AP1104" s="1411"/>
      <c r="AQ1104" s="1128"/>
      <c r="AR1104" s="1173"/>
      <c r="AT1104" s="1173"/>
      <c r="AV1104" s="1173"/>
      <c r="AX1104" s="1173"/>
      <c r="AY1104" s="1176"/>
      <c r="AZ1104" s="1173"/>
    </row>
    <row r="1105" spans="1:52" s="2" customFormat="1" x14ac:dyDescent="0.25">
      <c r="A1105" s="164">
        <v>1021</v>
      </c>
      <c r="B1105" s="345">
        <v>16</v>
      </c>
      <c r="C1105" s="174">
        <v>839116016</v>
      </c>
      <c r="D1105" s="166" t="s">
        <v>1592</v>
      </c>
      <c r="E1105" s="449" t="s">
        <v>848</v>
      </c>
      <c r="F1105" s="450">
        <v>2016</v>
      </c>
      <c r="G1105" s="162" t="s">
        <v>33</v>
      </c>
      <c r="H1105" s="163">
        <f t="shared" si="368"/>
        <v>44095</v>
      </c>
      <c r="I1105" s="265" t="str">
        <f t="shared" si="369"/>
        <v xml:space="preserve">   </v>
      </c>
      <c r="J1105" s="1635">
        <v>1350000</v>
      </c>
      <c r="K1105" s="1500">
        <v>42541</v>
      </c>
      <c r="L1105" s="1389">
        <v>3000000</v>
      </c>
      <c r="M1105" s="1500">
        <v>42541</v>
      </c>
      <c r="N1105" s="1389">
        <v>3000000</v>
      </c>
      <c r="O1105" s="1500">
        <v>42751</v>
      </c>
      <c r="P1105" s="1389">
        <v>3000000</v>
      </c>
      <c r="Q1105" s="1360">
        <v>42929</v>
      </c>
      <c r="R1105" s="1981">
        <v>3000000</v>
      </c>
      <c r="S1105" s="1523">
        <v>43115</v>
      </c>
      <c r="T1105" s="1981">
        <v>3000000</v>
      </c>
      <c r="U1105" s="1360">
        <v>43962</v>
      </c>
      <c r="V1105" s="1981">
        <v>3000000</v>
      </c>
      <c r="W1105" s="1360">
        <v>43962</v>
      </c>
      <c r="X1105" s="1981">
        <v>3000000</v>
      </c>
      <c r="Y1105" s="1360">
        <v>43962</v>
      </c>
      <c r="Z1105" s="1981">
        <v>3000000</v>
      </c>
      <c r="AA1105" s="1360">
        <v>43962</v>
      </c>
      <c r="AB1105" s="1389">
        <v>1000000</v>
      </c>
      <c r="AC1105" s="1360">
        <v>43962</v>
      </c>
      <c r="AD1105" s="1666"/>
      <c r="AE1105" s="1590"/>
      <c r="AF1105" s="1731">
        <f>IFERROR(VLOOKUP(C1105,BSP,3,FALSE),"  ")</f>
        <v>3000000</v>
      </c>
      <c r="AG1105" s="1367">
        <f>IFERROR((VLOOKUP(C1105,BSP,4,FALSE)),"  ")</f>
        <v>44081.627604166701</v>
      </c>
      <c r="AH1105" s="1625" t="str">
        <f t="shared" si="370"/>
        <v>HK</v>
      </c>
      <c r="AI1105" s="1680">
        <f t="shared" si="375"/>
        <v>29350000</v>
      </c>
      <c r="AJ1105" s="1681">
        <f t="shared" si="372"/>
        <v>26350000</v>
      </c>
      <c r="AK1105" s="1682">
        <f t="shared" si="376"/>
        <v>-3000000</v>
      </c>
      <c r="AL1105" s="1691" t="str">
        <f t="shared" si="377"/>
        <v>Cek</v>
      </c>
      <c r="AM1105" s="1410"/>
      <c r="AN1105" s="1411"/>
      <c r="AO1105" s="1410"/>
      <c r="AP1105" s="1411"/>
      <c r="AQ1105" s="1128"/>
      <c r="AR1105" s="1173"/>
      <c r="AT1105" s="1173"/>
      <c r="AV1105" s="1173"/>
      <c r="AX1105" s="1173"/>
      <c r="AY1105" s="1176"/>
      <c r="AZ1105" s="1173"/>
    </row>
    <row r="1106" spans="1:52" s="2" customFormat="1" x14ac:dyDescent="0.25">
      <c r="A1106" s="156">
        <v>1022</v>
      </c>
      <c r="B1106" s="172">
        <v>17</v>
      </c>
      <c r="C1106" s="159">
        <v>839116017</v>
      </c>
      <c r="D1106" s="158" t="s">
        <v>1593</v>
      </c>
      <c r="E1106" s="179" t="s">
        <v>848</v>
      </c>
      <c r="F1106" s="161">
        <v>2016</v>
      </c>
      <c r="G1106" s="162" t="s">
        <v>33</v>
      </c>
      <c r="H1106" s="163">
        <f t="shared" si="368"/>
        <v>43307</v>
      </c>
      <c r="I1106" s="163">
        <f t="shared" si="369"/>
        <v>43440</v>
      </c>
      <c r="J1106" s="1443">
        <v>1350000</v>
      </c>
      <c r="K1106" s="1383">
        <v>42536</v>
      </c>
      <c r="L1106" s="1385">
        <v>3000000</v>
      </c>
      <c r="M1106" s="1383">
        <v>42536</v>
      </c>
      <c r="N1106" s="1385">
        <v>3000000</v>
      </c>
      <c r="O1106" s="1383">
        <v>42775</v>
      </c>
      <c r="P1106" s="1385">
        <v>3000000</v>
      </c>
      <c r="Q1106" s="1357">
        <v>42929</v>
      </c>
      <c r="R1106" s="1443">
        <v>3000000</v>
      </c>
      <c r="S1106" s="1357">
        <v>43110</v>
      </c>
      <c r="T1106" s="1382" t="s">
        <v>1080</v>
      </c>
      <c r="U1106" s="1474"/>
      <c r="V1106" s="1363"/>
      <c r="W1106" s="1391"/>
      <c r="X1106" s="1363"/>
      <c r="Y1106" s="1391"/>
      <c r="Z1106" s="1363"/>
      <c r="AA1106" s="1563"/>
      <c r="AB1106" s="1385">
        <v>1000000</v>
      </c>
      <c r="AC1106" s="1357">
        <v>43277</v>
      </c>
      <c r="AD1106" s="1666"/>
      <c r="AE1106" s="1590"/>
      <c r="AF1106" s="2300" t="s">
        <v>1329</v>
      </c>
      <c r="AG1106" s="1612"/>
      <c r="AH1106" s="1625" t="str">
        <f t="shared" si="370"/>
        <v>HK</v>
      </c>
      <c r="AI1106" s="1680">
        <f t="shared" si="375"/>
        <v>14350000</v>
      </c>
      <c r="AJ1106" s="1681">
        <f t="shared" si="372"/>
        <v>14350000</v>
      </c>
      <c r="AK1106" s="1682">
        <f t="shared" si="376"/>
        <v>0</v>
      </c>
      <c r="AL1106" s="1691" t="str">
        <f t="shared" si="377"/>
        <v>Lunas</v>
      </c>
      <c r="AM1106" s="1410"/>
      <c r="AN1106" s="1411"/>
      <c r="AO1106" s="1410"/>
      <c r="AP1106" s="1411"/>
      <c r="AQ1106" s="1128"/>
      <c r="AR1106" s="1173"/>
      <c r="AT1106" s="1173"/>
      <c r="AV1106" s="1173"/>
      <c r="AX1106" s="1173"/>
      <c r="AY1106" s="1176"/>
      <c r="AZ1106" s="1173"/>
    </row>
    <row r="1107" spans="1:52" s="2" customFormat="1" x14ac:dyDescent="0.25">
      <c r="A1107" s="156">
        <v>1023</v>
      </c>
      <c r="B1107" s="172">
        <v>18</v>
      </c>
      <c r="C1107" s="159">
        <v>839116018</v>
      </c>
      <c r="D1107" s="158" t="s">
        <v>1594</v>
      </c>
      <c r="E1107" s="179" t="s">
        <v>848</v>
      </c>
      <c r="F1107" s="161">
        <v>2016</v>
      </c>
      <c r="G1107" s="162" t="s">
        <v>33</v>
      </c>
      <c r="H1107" s="163">
        <f t="shared" si="368"/>
        <v>43314</v>
      </c>
      <c r="I1107" s="163">
        <f t="shared" si="369"/>
        <v>43440</v>
      </c>
      <c r="J1107" s="1443">
        <v>1350000</v>
      </c>
      <c r="K1107" s="1383">
        <v>42499</v>
      </c>
      <c r="L1107" s="1713"/>
      <c r="M1107" s="1362" t="s">
        <v>475</v>
      </c>
      <c r="N1107" s="1385">
        <v>3000000</v>
      </c>
      <c r="O1107" s="1383">
        <v>42762</v>
      </c>
      <c r="P1107" s="1385">
        <v>3000000</v>
      </c>
      <c r="Q1107" s="1357">
        <v>42930</v>
      </c>
      <c r="R1107" s="1385">
        <v>3000000</v>
      </c>
      <c r="S1107" s="1357">
        <v>39459</v>
      </c>
      <c r="T1107" s="1382" t="s">
        <v>1080</v>
      </c>
      <c r="U1107" s="1474"/>
      <c r="V1107" s="1363"/>
      <c r="W1107" s="1391"/>
      <c r="X1107" s="1363"/>
      <c r="Y1107" s="1391"/>
      <c r="Z1107" s="1363"/>
      <c r="AA1107" s="1563"/>
      <c r="AB1107" s="1385">
        <v>1000000</v>
      </c>
      <c r="AC1107" s="1357">
        <v>43256</v>
      </c>
      <c r="AD1107" s="1666"/>
      <c r="AE1107" s="1590"/>
      <c r="AF1107" s="2300" t="s">
        <v>1329</v>
      </c>
      <c r="AG1107" s="1612"/>
      <c r="AH1107" s="1625" t="str">
        <f t="shared" si="370"/>
        <v>HK</v>
      </c>
      <c r="AI1107" s="1680">
        <f t="shared" si="375"/>
        <v>11350000</v>
      </c>
      <c r="AJ1107" s="1681">
        <f t="shared" si="372"/>
        <v>11350000</v>
      </c>
      <c r="AK1107" s="1682">
        <f t="shared" si="376"/>
        <v>0</v>
      </c>
      <c r="AL1107" s="1691" t="str">
        <f t="shared" si="377"/>
        <v>Lunas</v>
      </c>
      <c r="AM1107" s="1410"/>
      <c r="AN1107" s="1411"/>
      <c r="AO1107" s="1410"/>
      <c r="AP1107" s="1411"/>
      <c r="AQ1107" s="1128"/>
      <c r="AR1107" s="1173"/>
      <c r="AT1107" s="1173"/>
      <c r="AV1107" s="1173"/>
      <c r="AX1107" s="1173"/>
      <c r="AY1107" s="1176"/>
      <c r="AZ1107" s="1173"/>
    </row>
    <row r="1108" spans="1:52" s="2" customFormat="1" x14ac:dyDescent="0.25">
      <c r="A1108" s="156">
        <v>1024</v>
      </c>
      <c r="B1108" s="344">
        <v>19</v>
      </c>
      <c r="C1108" s="178">
        <v>839116019</v>
      </c>
      <c r="D1108" s="158" t="s">
        <v>1595</v>
      </c>
      <c r="E1108" s="275" t="s">
        <v>848</v>
      </c>
      <c r="F1108" s="161">
        <v>2016</v>
      </c>
      <c r="G1108" s="162" t="s">
        <v>33</v>
      </c>
      <c r="H1108" s="163">
        <f t="shared" si="368"/>
        <v>43678</v>
      </c>
      <c r="I1108" s="163">
        <f t="shared" si="369"/>
        <v>44058</v>
      </c>
      <c r="J1108" s="1636">
        <v>1350000</v>
      </c>
      <c r="K1108" s="1637">
        <v>42499</v>
      </c>
      <c r="L1108" s="1385"/>
      <c r="M1108" s="1390" t="s">
        <v>475</v>
      </c>
      <c r="N1108" s="1480">
        <v>3000000</v>
      </c>
      <c r="O1108" s="1637">
        <v>42761</v>
      </c>
      <c r="P1108" s="1480">
        <v>3000000</v>
      </c>
      <c r="Q1108" s="1365">
        <v>42930</v>
      </c>
      <c r="R1108" s="1385">
        <v>3000000</v>
      </c>
      <c r="S1108" s="1357">
        <v>43116</v>
      </c>
      <c r="T1108" s="1431">
        <v>3000000</v>
      </c>
      <c r="U1108" s="1365">
        <v>43651</v>
      </c>
      <c r="V1108" s="1222" t="s">
        <v>1078</v>
      </c>
      <c r="W1108" s="1386">
        <v>43490</v>
      </c>
      <c r="X1108" s="1385">
        <v>3000000</v>
      </c>
      <c r="Y1108" s="1357">
        <v>43651</v>
      </c>
      <c r="Z1108" s="1465" t="s">
        <v>1080</v>
      </c>
      <c r="AA1108" s="1563"/>
      <c r="AB1108" s="1480">
        <v>1000000</v>
      </c>
      <c r="AC1108" s="1357">
        <v>43279</v>
      </c>
      <c r="AD1108" s="1809">
        <v>500000</v>
      </c>
      <c r="AE1108" s="1440">
        <v>43804</v>
      </c>
      <c r="AF1108" s="2300" t="s">
        <v>1329</v>
      </c>
      <c r="AG1108" s="1612"/>
      <c r="AH1108" s="1625" t="str">
        <f t="shared" si="370"/>
        <v>HK</v>
      </c>
      <c r="AI1108" s="1680">
        <f t="shared" si="375"/>
        <v>17850000</v>
      </c>
      <c r="AJ1108" s="1681">
        <f t="shared" si="372"/>
        <v>17850000</v>
      </c>
      <c r="AK1108" s="1682">
        <f t="shared" si="376"/>
        <v>0</v>
      </c>
      <c r="AL1108" s="1691" t="str">
        <f t="shared" si="377"/>
        <v>Lunas</v>
      </c>
      <c r="AM1108" s="1410"/>
      <c r="AN1108" s="1411"/>
      <c r="AO1108" s="1410"/>
      <c r="AP1108" s="1411"/>
      <c r="AQ1108" s="1128"/>
      <c r="AR1108" s="1173"/>
      <c r="AT1108" s="1173"/>
      <c r="AV1108" s="1173"/>
      <c r="AX1108" s="1173"/>
      <c r="AY1108" s="1176"/>
      <c r="AZ1108" s="1173"/>
    </row>
    <row r="1109" spans="1:52" s="2" customFormat="1" x14ac:dyDescent="0.25">
      <c r="A1109" s="156">
        <v>1025</v>
      </c>
      <c r="B1109" s="344">
        <v>20</v>
      </c>
      <c r="C1109" s="178">
        <v>839116020</v>
      </c>
      <c r="D1109" s="158" t="s">
        <v>1596</v>
      </c>
      <c r="E1109" s="179" t="s">
        <v>848</v>
      </c>
      <c r="F1109" s="161">
        <v>2016</v>
      </c>
      <c r="G1109" s="272" t="s">
        <v>33</v>
      </c>
      <c r="H1109" s="163">
        <f t="shared" si="368"/>
        <v>43670</v>
      </c>
      <c r="I1109" s="163">
        <f t="shared" si="369"/>
        <v>43750</v>
      </c>
      <c r="J1109" s="1636">
        <v>1350000</v>
      </c>
      <c r="K1109" s="1637">
        <v>42536</v>
      </c>
      <c r="L1109" s="1480">
        <v>3000000</v>
      </c>
      <c r="M1109" s="1637">
        <v>42536</v>
      </c>
      <c r="N1109" s="1480">
        <v>3000000</v>
      </c>
      <c r="O1109" s="1637">
        <v>42745</v>
      </c>
      <c r="P1109" s="1480">
        <v>3000000</v>
      </c>
      <c r="Q1109" s="1365">
        <v>42937</v>
      </c>
      <c r="R1109" s="1385">
        <v>3000000</v>
      </c>
      <c r="S1109" s="1357">
        <v>43115</v>
      </c>
      <c r="T1109" s="1431">
        <v>3000000</v>
      </c>
      <c r="U1109" s="1365">
        <v>43458</v>
      </c>
      <c r="V1109" s="1465" t="s">
        <v>1080</v>
      </c>
      <c r="W1109" s="1384"/>
      <c r="X1109" s="1363"/>
      <c r="Y1109" s="1391"/>
      <c r="Z1109" s="1363"/>
      <c r="AA1109" s="1563"/>
      <c r="AB1109" s="1480">
        <v>1000000</v>
      </c>
      <c r="AC1109" s="1357">
        <v>43460</v>
      </c>
      <c r="AD1109" s="1666"/>
      <c r="AE1109" s="1590"/>
      <c r="AF1109" s="2300" t="s">
        <v>1329</v>
      </c>
      <c r="AG1109" s="1612"/>
      <c r="AH1109" s="1625" t="str">
        <f t="shared" si="370"/>
        <v>HK</v>
      </c>
      <c r="AI1109" s="1680">
        <f t="shared" si="375"/>
        <v>17350000</v>
      </c>
      <c r="AJ1109" s="1681">
        <f t="shared" si="372"/>
        <v>17350000</v>
      </c>
      <c r="AK1109" s="1682">
        <f t="shared" si="376"/>
        <v>0</v>
      </c>
      <c r="AL1109" s="1691" t="str">
        <f t="shared" si="377"/>
        <v>Lunas</v>
      </c>
      <c r="AM1109" s="1410"/>
      <c r="AN1109" s="1411"/>
      <c r="AO1109" s="1410"/>
      <c r="AP1109" s="1411"/>
      <c r="AQ1109" s="1128"/>
      <c r="AR1109" s="1173"/>
      <c r="AT1109" s="1173"/>
      <c r="AV1109" s="1173"/>
      <c r="AX1109" s="1173"/>
      <c r="AY1109" s="1176"/>
      <c r="AZ1109" s="1173"/>
    </row>
    <row r="1110" spans="1:52" s="2" customFormat="1" x14ac:dyDescent="0.25">
      <c r="A1110" s="164">
        <v>1026</v>
      </c>
      <c r="B1110" s="344">
        <v>21</v>
      </c>
      <c r="C1110" s="178">
        <v>839116021</v>
      </c>
      <c r="D1110" s="158" t="s">
        <v>1597</v>
      </c>
      <c r="E1110" s="275" t="s">
        <v>848</v>
      </c>
      <c r="F1110" s="213">
        <v>2016</v>
      </c>
      <c r="G1110" s="272" t="s">
        <v>33</v>
      </c>
      <c r="H1110" s="163">
        <f t="shared" si="368"/>
        <v>43832</v>
      </c>
      <c r="I1110" s="163">
        <f t="shared" si="369"/>
        <v>44058</v>
      </c>
      <c r="J1110" s="1636">
        <v>1350000</v>
      </c>
      <c r="K1110" s="1637">
        <v>42494</v>
      </c>
      <c r="L1110" s="1480">
        <v>3000000</v>
      </c>
      <c r="M1110" s="1637">
        <v>42494</v>
      </c>
      <c r="N1110" s="1480">
        <v>3000000</v>
      </c>
      <c r="O1110" s="1637">
        <v>42741</v>
      </c>
      <c r="P1110" s="1480">
        <v>3000000</v>
      </c>
      <c r="Q1110" s="1365">
        <v>42929</v>
      </c>
      <c r="R1110" s="1385">
        <v>3000000</v>
      </c>
      <c r="S1110" s="1357">
        <v>43111</v>
      </c>
      <c r="T1110" s="1431">
        <v>3000000</v>
      </c>
      <c r="U1110" s="1365">
        <v>43651</v>
      </c>
      <c r="V1110" s="1222" t="s">
        <v>1078</v>
      </c>
      <c r="W1110" s="1386">
        <v>43490</v>
      </c>
      <c r="X1110" s="1385">
        <v>3000000</v>
      </c>
      <c r="Y1110" s="1357">
        <v>43651</v>
      </c>
      <c r="Z1110" s="1465" t="s">
        <v>1080</v>
      </c>
      <c r="AA1110" s="1563"/>
      <c r="AB1110" s="1480">
        <v>1000000</v>
      </c>
      <c r="AC1110" s="1357">
        <v>43817</v>
      </c>
      <c r="AD1110" s="1809">
        <v>500000</v>
      </c>
      <c r="AE1110" s="1440">
        <v>43857</v>
      </c>
      <c r="AF1110" s="2300" t="s">
        <v>1329</v>
      </c>
      <c r="AG1110" s="1612"/>
      <c r="AH1110" s="1625" t="str">
        <f t="shared" si="370"/>
        <v>HK</v>
      </c>
      <c r="AI1110" s="1680">
        <f t="shared" si="375"/>
        <v>20850000</v>
      </c>
      <c r="AJ1110" s="1681">
        <f t="shared" si="372"/>
        <v>20850000</v>
      </c>
      <c r="AK1110" s="1682">
        <f t="shared" si="376"/>
        <v>0</v>
      </c>
      <c r="AL1110" s="1691" t="str">
        <f t="shared" si="377"/>
        <v>Lunas</v>
      </c>
      <c r="AM1110" s="1410"/>
      <c r="AN1110" s="1411"/>
      <c r="AO1110" s="1410"/>
      <c r="AP1110" s="1411"/>
      <c r="AQ1110" s="1128"/>
      <c r="AR1110" s="1173"/>
      <c r="AT1110" s="1173"/>
      <c r="AV1110" s="1173"/>
      <c r="AX1110" s="1173"/>
      <c r="AY1110" s="1176"/>
      <c r="AZ1110" s="1173"/>
    </row>
    <row r="1111" spans="1:52" s="2" customFormat="1" x14ac:dyDescent="0.25">
      <c r="A1111" s="216">
        <v>1027</v>
      </c>
      <c r="B1111" s="361">
        <v>22</v>
      </c>
      <c r="C1111" s="452">
        <v>839116022</v>
      </c>
      <c r="D1111" s="218" t="s">
        <v>1598</v>
      </c>
      <c r="E1111" s="460" t="s">
        <v>848</v>
      </c>
      <c r="F1111" s="453">
        <v>2016</v>
      </c>
      <c r="G1111" s="1758" t="s">
        <v>28</v>
      </c>
      <c r="H1111" s="364" t="str">
        <f t="shared" si="368"/>
        <v xml:space="preserve">   </v>
      </c>
      <c r="I1111" s="364" t="str">
        <f t="shared" si="369"/>
        <v xml:space="preserve">   </v>
      </c>
      <c r="J1111" s="1705">
        <v>1350000</v>
      </c>
      <c r="K1111" s="1447">
        <v>42548</v>
      </c>
      <c r="L1111" s="1724">
        <v>3000000</v>
      </c>
      <c r="M1111" s="1447">
        <v>42548</v>
      </c>
      <c r="N1111" s="1706">
        <v>3000000</v>
      </c>
      <c r="O1111" s="1501">
        <v>42747</v>
      </c>
      <c r="P1111" s="1706">
        <v>3000000</v>
      </c>
      <c r="Q1111" s="1501">
        <v>42937</v>
      </c>
      <c r="R1111" s="1724">
        <v>3000000</v>
      </c>
      <c r="S1111" s="1445">
        <v>43116</v>
      </c>
      <c r="T1111" s="1448">
        <v>3000000</v>
      </c>
      <c r="U1111" s="1557">
        <v>43514</v>
      </c>
      <c r="V1111" s="1724">
        <v>3000000</v>
      </c>
      <c r="W1111" s="1445">
        <v>43514</v>
      </c>
      <c r="X1111" s="1724">
        <v>3000000</v>
      </c>
      <c r="Y1111" s="1445">
        <v>43671</v>
      </c>
      <c r="Z1111" s="1893">
        <v>3000000</v>
      </c>
      <c r="AA1111" s="1445">
        <v>43859</v>
      </c>
      <c r="AB1111" s="1389">
        <v>1000000</v>
      </c>
      <c r="AC1111" s="1445">
        <v>44013</v>
      </c>
      <c r="AD1111" s="1893" t="str">
        <f>IFERROR(VLOOKUP(C1111,BSP,3,FALSE),"  ")</f>
        <v xml:space="preserve">  </v>
      </c>
      <c r="AE1111" s="1445" t="str">
        <f>IFERROR((VLOOKUP(C1111,BSP,4,FALSE)),"  ")</f>
        <v xml:space="preserve">  </v>
      </c>
      <c r="AF1111" s="1731" t="str">
        <f>IFERROR(VLOOKUP(C1111,BSP,3,FALSE),"  ")</f>
        <v xml:space="preserve">  </v>
      </c>
      <c r="AG1111" s="1367" t="str">
        <f>IFERROR((VLOOKUP(C1111,BSP,4,FALSE)),"  ")</f>
        <v xml:space="preserve">  </v>
      </c>
      <c r="AH1111" s="1625" t="str">
        <f t="shared" si="370"/>
        <v>HK</v>
      </c>
      <c r="AI1111" s="1752">
        <f t="shared" si="375"/>
        <v>26350000</v>
      </c>
      <c r="AJ1111" s="1753">
        <f t="shared" si="372"/>
        <v>26350000</v>
      </c>
      <c r="AK1111" s="1741">
        <f t="shared" si="376"/>
        <v>0</v>
      </c>
      <c r="AL1111" s="1742" t="str">
        <f t="shared" si="377"/>
        <v>Lunas</v>
      </c>
      <c r="AM1111" s="1410"/>
      <c r="AN1111" s="1411"/>
      <c r="AO1111" s="1410"/>
      <c r="AP1111" s="1411"/>
      <c r="AQ1111" s="1128"/>
      <c r="AR1111" s="1173"/>
      <c r="AT1111" s="1173"/>
      <c r="AV1111" s="1173"/>
      <c r="AX1111" s="1173"/>
      <c r="AY1111" s="1176"/>
      <c r="AZ1111" s="1173"/>
    </row>
    <row r="1112" spans="1:52" s="4" customFormat="1" x14ac:dyDescent="0.25">
      <c r="A1112" s="187"/>
      <c r="B1112" s="188"/>
      <c r="C1112" s="1923"/>
      <c r="D1112" s="189"/>
      <c r="E1112" s="191" t="s">
        <v>61</v>
      </c>
      <c r="F1112" s="192" t="s">
        <v>61</v>
      </c>
      <c r="G1112" s="192" t="s">
        <v>61</v>
      </c>
      <c r="H1112" s="193" t="str">
        <f t="shared" si="368"/>
        <v xml:space="preserve">   </v>
      </c>
      <c r="I1112" s="193" t="str">
        <f t="shared" si="369"/>
        <v xml:space="preserve">   </v>
      </c>
      <c r="J1112" s="187"/>
      <c r="K1112" s="1436"/>
      <c r="L1112" s="1437"/>
      <c r="M1112" s="1629"/>
      <c r="N1112" s="1437"/>
      <c r="O1112" s="1629"/>
      <c r="P1112" s="1437"/>
      <c r="Q1112" s="1629"/>
      <c r="R1112" s="1437"/>
      <c r="S1112" s="1643"/>
      <c r="T1112" s="1437"/>
      <c r="U1112" s="1629"/>
      <c r="V1112" s="1437"/>
      <c r="W1112" s="1629"/>
      <c r="X1112" s="1437"/>
      <c r="Y1112" s="1629"/>
      <c r="Z1112" s="1985"/>
      <c r="AA1112" s="1959"/>
      <c r="AB1112" s="1985"/>
      <c r="AC1112" s="1959"/>
      <c r="AD1112" s="1629"/>
      <c r="AE1112" s="1629"/>
      <c r="AF1112" s="1629"/>
      <c r="AG1112" s="1629"/>
      <c r="AH1112" s="1625" t="str">
        <f t="shared" si="370"/>
        <v>-</v>
      </c>
      <c r="AI1112" s="1629"/>
      <c r="AJ1112" s="1629"/>
      <c r="AK1112" s="1409"/>
      <c r="AL1112" s="1510"/>
      <c r="AM1112" s="1510"/>
      <c r="AN1112" s="1511"/>
      <c r="AO1112" s="1510"/>
      <c r="AP1112" s="1511"/>
      <c r="AQ1112" s="1215"/>
      <c r="AR1112" s="1216"/>
      <c r="AT1112" s="1216"/>
      <c r="AV1112" s="1216"/>
      <c r="AX1112" s="1216"/>
      <c r="AY1112" s="1217"/>
      <c r="AZ1112" s="1216"/>
    </row>
    <row r="1113" spans="1:52" s="2" customFormat="1" x14ac:dyDescent="0.25">
      <c r="A1113" s="365" t="s">
        <v>1599</v>
      </c>
      <c r="B1113" s="365"/>
      <c r="C1113" s="366"/>
      <c r="D1113" s="365"/>
      <c r="E1113" s="198" t="s">
        <v>1096</v>
      </c>
      <c r="F1113" s="199" t="s">
        <v>1096</v>
      </c>
      <c r="G1113" s="146">
        <v>3000000</v>
      </c>
      <c r="H1113" s="147" t="str">
        <f t="shared" si="368"/>
        <v xml:space="preserve">   </v>
      </c>
      <c r="I1113" s="147" t="str">
        <f t="shared" si="369"/>
        <v xml:space="preserve">   </v>
      </c>
      <c r="J1113" s="1349">
        <v>1350000</v>
      </c>
      <c r="K1113" s="1529"/>
      <c r="L1113" s="1582" t="s">
        <v>1049</v>
      </c>
      <c r="M1113" s="1502" t="s">
        <v>1062</v>
      </c>
      <c r="N1113" s="1582" t="s">
        <v>1051</v>
      </c>
      <c r="O1113" s="1502" t="s">
        <v>1064</v>
      </c>
      <c r="P1113" s="1582" t="s">
        <v>1053</v>
      </c>
      <c r="Q1113" s="1502" t="s">
        <v>1066</v>
      </c>
      <c r="R1113" s="1582" t="s">
        <v>1055</v>
      </c>
      <c r="S1113" s="1502" t="s">
        <v>1068</v>
      </c>
      <c r="T1113" s="1582" t="s">
        <v>1057</v>
      </c>
      <c r="U1113" s="1502" t="s">
        <v>1141</v>
      </c>
      <c r="V1113" s="1582" t="s">
        <v>1059</v>
      </c>
      <c r="W1113" s="1502" t="s">
        <v>1325</v>
      </c>
      <c r="X1113" s="1582" t="s">
        <v>1061</v>
      </c>
      <c r="Y1113" s="1502" t="s">
        <v>1463</v>
      </c>
      <c r="Z1113" s="1582" t="s">
        <v>1063</v>
      </c>
      <c r="AA1113" s="1502" t="s">
        <v>1464</v>
      </c>
      <c r="AB1113" s="1450">
        <v>1000000</v>
      </c>
      <c r="AC1113" s="1663" t="s">
        <v>1326</v>
      </c>
      <c r="AD1113" s="1450">
        <v>500000</v>
      </c>
      <c r="AE1113" s="1663" t="s">
        <v>22</v>
      </c>
      <c r="AF1113" s="1984"/>
      <c r="AG1113" s="1436"/>
      <c r="AH1113" s="1625" t="str">
        <f t="shared" si="370"/>
        <v>#</v>
      </c>
      <c r="AI1113" s="1512"/>
      <c r="AJ1113" s="1409"/>
      <c r="AK1113" s="1409"/>
      <c r="AL1113" s="1513"/>
      <c r="AM1113" s="1513"/>
      <c r="AN1113" s="1514"/>
      <c r="AO1113" s="1513"/>
      <c r="AP1113" s="1514"/>
      <c r="AQ1113" s="1128"/>
      <c r="AR1113" s="1173"/>
      <c r="AT1113" s="1173"/>
      <c r="AV1113" s="1173"/>
      <c r="AX1113" s="1173"/>
      <c r="AY1113" s="1176"/>
      <c r="AZ1113" s="1173"/>
    </row>
    <row r="1114" spans="1:52" s="2" customFormat="1" x14ac:dyDescent="0.25">
      <c r="A1114" s="148">
        <v>1028</v>
      </c>
      <c r="B1114" s="367">
        <v>1</v>
      </c>
      <c r="C1114" s="151">
        <v>829116001</v>
      </c>
      <c r="D1114" s="461" t="s">
        <v>1600</v>
      </c>
      <c r="E1114" s="311" t="s">
        <v>1441</v>
      </c>
      <c r="F1114" s="153">
        <v>2016</v>
      </c>
      <c r="G1114" s="342" t="s">
        <v>33</v>
      </c>
      <c r="H1114" s="163">
        <f t="shared" si="368"/>
        <v>43294</v>
      </c>
      <c r="I1114" s="163">
        <f t="shared" si="369"/>
        <v>43587</v>
      </c>
      <c r="J1114" s="1633">
        <v>1350000</v>
      </c>
      <c r="K1114" s="1479">
        <v>42499</v>
      </c>
      <c r="L1114" s="1634">
        <v>3000000</v>
      </c>
      <c r="M1114" s="1479">
        <v>42499</v>
      </c>
      <c r="N1114" s="1634">
        <v>3000000</v>
      </c>
      <c r="O1114" s="1479">
        <v>42751</v>
      </c>
      <c r="P1114" s="1634">
        <v>3000000</v>
      </c>
      <c r="Q1114" s="1479">
        <v>42926</v>
      </c>
      <c r="R1114" s="1634">
        <v>3000000</v>
      </c>
      <c r="S1114" s="1440">
        <v>43111</v>
      </c>
      <c r="T1114" s="1382" t="s">
        <v>1080</v>
      </c>
      <c r="U1114" s="1474"/>
      <c r="V1114" s="1363"/>
      <c r="W1114" s="1391"/>
      <c r="X1114" s="1363"/>
      <c r="Y1114" s="1391"/>
      <c r="Z1114" s="1363"/>
      <c r="AA1114" s="1563"/>
      <c r="AB1114" s="1956">
        <v>1000000</v>
      </c>
      <c r="AC1114" s="1354">
        <v>43279</v>
      </c>
      <c r="AD1114" s="1666" t="str">
        <f>IFERROR(VLOOKUP(C1114,BSP,3,FALSE),"  ")</f>
        <v xml:space="preserve">  </v>
      </c>
      <c r="AE1114" s="1590" t="str">
        <f>IFERROR((VLOOKUP(C1114,BSP,4,FALSE)),"  ")</f>
        <v xml:space="preserve">  </v>
      </c>
      <c r="AF1114" s="2300" t="s">
        <v>1329</v>
      </c>
      <c r="AG1114" s="1612"/>
      <c r="AH1114" s="1625" t="str">
        <f t="shared" si="370"/>
        <v>KPI</v>
      </c>
      <c r="AI1114" s="1678">
        <f t="shared" ref="AI1114" si="378">SUM(J1114,L1114,N1114,P1114,R1114,T1114,V1114,X1114,Z1114,AB1114,AD1114,AF1114)</f>
        <v>14350000</v>
      </c>
      <c r="AJ1114" s="1679">
        <f t="shared" ref="AJ1114:AJ1119" si="379">(COUNT(L1114,N1114,P1114,R1114,T1114,V1114,X1114,Z1114)*$G$1039)+(COUNT(J1114)*$J$1039)+(COUNT(AB1114)*$AB$1039)+(COUNT(AD1114)*$AD$1039)</f>
        <v>14350000</v>
      </c>
      <c r="AK1114" s="1419">
        <f t="shared" ref="AK1114" si="380">AJ1114-AI1114</f>
        <v>0</v>
      </c>
      <c r="AL1114" s="1420" t="str">
        <f t="shared" ref="AL1114" si="381">IF(AK1114=0,"Lunas","Cek")</f>
        <v>Lunas</v>
      </c>
      <c r="AM1114" s="1410"/>
      <c r="AN1114" s="1411"/>
      <c r="AO1114" s="1410"/>
      <c r="AP1114" s="1411"/>
      <c r="AQ1114" s="1128"/>
      <c r="AR1114" s="1173"/>
      <c r="AT1114" s="1173"/>
      <c r="AV1114" s="1173"/>
      <c r="AX1114" s="1173"/>
      <c r="AY1114" s="1176"/>
      <c r="AZ1114" s="1173"/>
    </row>
    <row r="1115" spans="1:52" s="2" customFormat="1" x14ac:dyDescent="0.25">
      <c r="A1115" s="164">
        <v>1029</v>
      </c>
      <c r="B1115" s="343">
        <v>2</v>
      </c>
      <c r="C1115" s="263">
        <v>829116002</v>
      </c>
      <c r="D1115" s="463" t="s">
        <v>1601</v>
      </c>
      <c r="E1115" s="264" t="s">
        <v>1441</v>
      </c>
      <c r="F1115" s="175">
        <v>2016</v>
      </c>
      <c r="G1115" s="342" t="s">
        <v>33</v>
      </c>
      <c r="H1115" s="163" t="str">
        <f t="shared" si="368"/>
        <v xml:space="preserve">   </v>
      </c>
      <c r="I1115" s="265" t="str">
        <f t="shared" si="369"/>
        <v xml:space="preserve">   </v>
      </c>
      <c r="J1115" s="1635">
        <v>1350000</v>
      </c>
      <c r="K1115" s="1500">
        <v>42499</v>
      </c>
      <c r="L1115" s="1389">
        <v>3000000</v>
      </c>
      <c r="M1115" s="1500">
        <v>42499</v>
      </c>
      <c r="N1115" s="1389">
        <v>3000000</v>
      </c>
      <c r="O1115" s="1500">
        <v>42760</v>
      </c>
      <c r="P1115" s="1971">
        <v>3000000</v>
      </c>
      <c r="Q1115" s="1500">
        <v>44045</v>
      </c>
      <c r="R1115" s="1186" t="s">
        <v>1078</v>
      </c>
      <c r="S1115" s="1386">
        <v>43353</v>
      </c>
      <c r="T1115" s="1192" t="s">
        <v>1078</v>
      </c>
      <c r="U1115" s="1386">
        <v>43353</v>
      </c>
      <c r="V1115" s="1971">
        <v>3000000</v>
      </c>
      <c r="W1115" s="1367">
        <v>44045</v>
      </c>
      <c r="X1115" s="1971">
        <v>3000000</v>
      </c>
      <c r="Y1115" s="1367">
        <v>44045</v>
      </c>
      <c r="Z1115" s="1731">
        <v>3000000</v>
      </c>
      <c r="AA1115" s="1367">
        <v>44045</v>
      </c>
      <c r="AB1115" s="1389">
        <v>1000000</v>
      </c>
      <c r="AC1115" s="1367">
        <v>44060.385486111103</v>
      </c>
      <c r="AD1115" s="1666"/>
      <c r="AE1115" s="1590"/>
      <c r="AF1115" s="1731">
        <f>IFERROR(VLOOKUP(C1115,BSP,3,FALSE),"  ")</f>
        <v>1000000</v>
      </c>
      <c r="AG1115" s="1367">
        <f>IFERROR((VLOOKUP(C1115,BSP,4,FALSE)),"  ")</f>
        <v>44060.385486111103</v>
      </c>
      <c r="AH1115" s="1625" t="str">
        <f t="shared" si="370"/>
        <v>KPI</v>
      </c>
      <c r="AI1115" s="1678">
        <f t="shared" ref="AI1115:AI1120" si="382">SUM(J1115,L1115,N1115,P1115,R1115,T1115,V1115,X1115,Z1115,AB1115,AD1115,AF1115)</f>
        <v>21350000</v>
      </c>
      <c r="AJ1115" s="1679">
        <f t="shared" si="379"/>
        <v>20350000</v>
      </c>
      <c r="AK1115" s="1419">
        <f t="shared" ref="AK1115:AK1120" si="383">AJ1115-AI1115</f>
        <v>-1000000</v>
      </c>
      <c r="AL1115" s="1420" t="str">
        <f t="shared" ref="AL1115:AL1119" si="384">IF(AK1115=0,"Lunas","Cek")</f>
        <v>Cek</v>
      </c>
      <c r="AM1115" s="1410"/>
      <c r="AN1115" s="1411"/>
      <c r="AO1115" s="1410"/>
      <c r="AP1115" s="1411"/>
      <c r="AQ1115" s="1128"/>
      <c r="AR1115" s="1173"/>
      <c r="AT1115" s="1173"/>
      <c r="AV1115" s="1173"/>
      <c r="AX1115" s="1173"/>
      <c r="AY1115" s="1176"/>
      <c r="AZ1115" s="1173"/>
    </row>
    <row r="1116" spans="1:52" s="2" customFormat="1" x14ac:dyDescent="0.25">
      <c r="A1116" s="156">
        <v>1030</v>
      </c>
      <c r="B1116" s="172">
        <v>3</v>
      </c>
      <c r="C1116" s="159">
        <v>829116003</v>
      </c>
      <c r="D1116" s="465" t="s">
        <v>1602</v>
      </c>
      <c r="E1116" s="179" t="s">
        <v>1441</v>
      </c>
      <c r="F1116" s="161">
        <v>2016</v>
      </c>
      <c r="G1116" s="342" t="s">
        <v>33</v>
      </c>
      <c r="H1116" s="163">
        <f t="shared" si="368"/>
        <v>43529</v>
      </c>
      <c r="I1116" s="163">
        <f t="shared" si="369"/>
        <v>43818</v>
      </c>
      <c r="J1116" s="1636">
        <v>1350000</v>
      </c>
      <c r="K1116" s="1637">
        <v>42494</v>
      </c>
      <c r="L1116" s="1480">
        <v>3000000</v>
      </c>
      <c r="M1116" s="1637">
        <v>42494</v>
      </c>
      <c r="N1116" s="1480">
        <v>3000000</v>
      </c>
      <c r="O1116" s="1637">
        <v>42760</v>
      </c>
      <c r="P1116" s="1480">
        <v>3000000</v>
      </c>
      <c r="Q1116" s="1637">
        <v>42934</v>
      </c>
      <c r="R1116" s="1480">
        <v>3000000</v>
      </c>
      <c r="S1116" s="1365">
        <v>43111</v>
      </c>
      <c r="T1116" s="1382" t="s">
        <v>1080</v>
      </c>
      <c r="U1116" s="1474"/>
      <c r="V1116" s="1363"/>
      <c r="W1116" s="1391"/>
      <c r="X1116" s="1363"/>
      <c r="Y1116" s="1391"/>
      <c r="Z1116" s="1363"/>
      <c r="AA1116" s="1563"/>
      <c r="AB1116" s="1480">
        <v>1000000</v>
      </c>
      <c r="AC1116" s="1357">
        <v>43279</v>
      </c>
      <c r="AD1116" s="1666" t="str">
        <f>IFERROR(VLOOKUP(C1116,BSP,3,FALSE),"  ")</f>
        <v xml:space="preserve">  </v>
      </c>
      <c r="AE1116" s="1590" t="str">
        <f>IFERROR((VLOOKUP(C1116,BSP,4,FALSE)),"  ")</f>
        <v xml:space="preserve">  </v>
      </c>
      <c r="AF1116" s="2300" t="s">
        <v>1329</v>
      </c>
      <c r="AG1116" s="1612"/>
      <c r="AH1116" s="1625" t="str">
        <f t="shared" si="370"/>
        <v>KPI</v>
      </c>
      <c r="AI1116" s="1678">
        <f t="shared" si="382"/>
        <v>14350000</v>
      </c>
      <c r="AJ1116" s="1679">
        <f t="shared" si="379"/>
        <v>14350000</v>
      </c>
      <c r="AK1116" s="1419">
        <f t="shared" si="383"/>
        <v>0</v>
      </c>
      <c r="AL1116" s="1420" t="str">
        <f t="shared" si="384"/>
        <v>Lunas</v>
      </c>
      <c r="AM1116" s="1410"/>
      <c r="AN1116" s="1411"/>
      <c r="AO1116" s="1410"/>
      <c r="AP1116" s="1411"/>
      <c r="AQ1116" s="1128"/>
      <c r="AR1116" s="1173"/>
      <c r="AT1116" s="1173"/>
      <c r="AV1116" s="1173"/>
      <c r="AX1116" s="1173"/>
      <c r="AY1116" s="1176"/>
      <c r="AZ1116" s="1173"/>
    </row>
    <row r="1117" spans="1:52" s="2" customFormat="1" x14ac:dyDescent="0.25">
      <c r="A1117" s="164">
        <v>1031</v>
      </c>
      <c r="B1117" s="343">
        <v>4</v>
      </c>
      <c r="C1117" s="263">
        <v>829116004</v>
      </c>
      <c r="D1117" s="463" t="s">
        <v>1603</v>
      </c>
      <c r="E1117" s="441" t="s">
        <v>1441</v>
      </c>
      <c r="F1117" s="175">
        <v>2016</v>
      </c>
      <c r="G1117" s="1758" t="s">
        <v>28</v>
      </c>
      <c r="H1117" s="265" t="str">
        <f t="shared" si="368"/>
        <v xml:space="preserve">   </v>
      </c>
      <c r="I1117" s="265" t="str">
        <f t="shared" si="369"/>
        <v xml:space="preserve">   </v>
      </c>
      <c r="J1117" s="1635">
        <v>1350000</v>
      </c>
      <c r="K1117" s="1500">
        <v>42494</v>
      </c>
      <c r="L1117" s="1389">
        <v>3000000</v>
      </c>
      <c r="M1117" s="1500">
        <v>42494</v>
      </c>
      <c r="N1117" s="1389">
        <v>3000000</v>
      </c>
      <c r="O1117" s="1500"/>
      <c r="P1117" s="1389">
        <v>3000000</v>
      </c>
      <c r="Q1117" s="1500">
        <v>42926</v>
      </c>
      <c r="R1117" s="1522">
        <v>3000000</v>
      </c>
      <c r="S1117" s="1523">
        <v>43110</v>
      </c>
      <c r="T1117" s="1430">
        <v>3000000</v>
      </c>
      <c r="U1117" s="1360">
        <v>43294</v>
      </c>
      <c r="V1117" s="1222" t="s">
        <v>1078</v>
      </c>
      <c r="W1117" s="1386">
        <v>43490</v>
      </c>
      <c r="X1117" s="1389">
        <v>3000000</v>
      </c>
      <c r="Y1117" s="1367">
        <v>43671</v>
      </c>
      <c r="Z1117" s="1731">
        <v>0</v>
      </c>
      <c r="AA1117" s="1367"/>
      <c r="AB1117" s="1389">
        <v>0</v>
      </c>
      <c r="AC1117" s="1367"/>
      <c r="AD1117" s="1666" t="str">
        <f>IFERROR(VLOOKUP(C1117,BSP,3,FALSE),"  ")</f>
        <v xml:space="preserve">  </v>
      </c>
      <c r="AE1117" s="1590" t="str">
        <f>IFERROR((VLOOKUP(C1117,BSP,4,FALSE)),"  ")</f>
        <v xml:space="preserve">  </v>
      </c>
      <c r="AF1117" s="1731" t="str">
        <f>IFERROR(VLOOKUP(C1117,BSP,3,FALSE),"  ")</f>
        <v xml:space="preserve">  </v>
      </c>
      <c r="AG1117" s="1367" t="str">
        <f>IFERROR((VLOOKUP(C1117,BSP,4,FALSE)),"  ")</f>
        <v xml:space="preserve">  </v>
      </c>
      <c r="AH1117" s="1625" t="str">
        <f t="shared" si="370"/>
        <v>KPI</v>
      </c>
      <c r="AI1117" s="1678">
        <f t="shared" si="382"/>
        <v>19350000</v>
      </c>
      <c r="AJ1117" s="1679">
        <f t="shared" si="379"/>
        <v>23350000</v>
      </c>
      <c r="AK1117" s="1419">
        <f t="shared" si="383"/>
        <v>4000000</v>
      </c>
      <c r="AL1117" s="1420" t="str">
        <f t="shared" si="384"/>
        <v>Cek</v>
      </c>
      <c r="AM1117" s="1410"/>
      <c r="AN1117" s="1411"/>
      <c r="AO1117" s="1410"/>
      <c r="AP1117" s="1411"/>
      <c r="AQ1117" s="1128"/>
      <c r="AR1117" s="1173"/>
      <c r="AT1117" s="1173"/>
      <c r="AV1117" s="1173"/>
      <c r="AX1117" s="1173"/>
      <c r="AY1117" s="1176"/>
      <c r="AZ1117" s="1173"/>
    </row>
    <row r="1118" spans="1:52" s="2" customFormat="1" x14ac:dyDescent="0.25">
      <c r="A1118" s="164">
        <v>1032</v>
      </c>
      <c r="B1118" s="343">
        <v>5</v>
      </c>
      <c r="C1118" s="263">
        <v>829116005</v>
      </c>
      <c r="D1118" s="463" t="s">
        <v>1604</v>
      </c>
      <c r="E1118" s="441" t="s">
        <v>1441</v>
      </c>
      <c r="F1118" s="175">
        <v>2016</v>
      </c>
      <c r="G1118" s="360" t="s">
        <v>1483</v>
      </c>
      <c r="H1118" s="265" t="str">
        <f t="shared" si="368"/>
        <v xml:space="preserve">   </v>
      </c>
      <c r="I1118" s="265" t="str">
        <f t="shared" si="369"/>
        <v xml:space="preserve">   </v>
      </c>
      <c r="J1118" s="1635">
        <v>1350000</v>
      </c>
      <c r="K1118" s="1500">
        <v>42551</v>
      </c>
      <c r="L1118" s="1389">
        <v>3000000</v>
      </c>
      <c r="M1118" s="1500">
        <v>42551</v>
      </c>
      <c r="N1118" s="1389">
        <v>3000000</v>
      </c>
      <c r="O1118" s="1500">
        <v>42752</v>
      </c>
      <c r="P1118" s="1389">
        <v>3000000</v>
      </c>
      <c r="Q1118" s="1500">
        <v>42936</v>
      </c>
      <c r="R1118" s="1522">
        <v>3000000</v>
      </c>
      <c r="S1118" s="1523">
        <v>43126</v>
      </c>
      <c r="T1118" s="1430">
        <v>3000000</v>
      </c>
      <c r="U1118" s="1360">
        <v>43899</v>
      </c>
      <c r="V1118" s="1222" t="s">
        <v>1078</v>
      </c>
      <c r="W1118" s="1386">
        <v>43490</v>
      </c>
      <c r="X1118" s="1430">
        <v>3000000</v>
      </c>
      <c r="Y1118" s="1360">
        <v>43899</v>
      </c>
      <c r="Z1118" s="1430">
        <v>3000000</v>
      </c>
      <c r="AA1118" s="1360">
        <v>43899</v>
      </c>
      <c r="AB1118" s="1389">
        <v>0</v>
      </c>
      <c r="AC1118" s="1367"/>
      <c r="AD1118" s="1666" t="str">
        <f>IFERROR(VLOOKUP(C1118,BSP,3,FALSE),"  ")</f>
        <v xml:space="preserve">  </v>
      </c>
      <c r="AE1118" s="1590" t="str">
        <f>IFERROR((VLOOKUP(C1118,BSP,4,FALSE)),"  ")</f>
        <v xml:space="preserve">  </v>
      </c>
      <c r="AF1118" s="1731" t="str">
        <f>IFERROR(VLOOKUP(C1118,BSP,3,FALSE),"  ")</f>
        <v xml:space="preserve">  </v>
      </c>
      <c r="AG1118" s="1367" t="str">
        <f>IFERROR((VLOOKUP(C1118,BSP,4,FALSE)),"  ")</f>
        <v xml:space="preserve">  </v>
      </c>
      <c r="AH1118" s="1625" t="str">
        <f t="shared" si="370"/>
        <v>KPI</v>
      </c>
      <c r="AI1118" s="1678">
        <f t="shared" si="382"/>
        <v>22350000</v>
      </c>
      <c r="AJ1118" s="1679">
        <f t="shared" si="379"/>
        <v>23350000</v>
      </c>
      <c r="AK1118" s="1419">
        <f t="shared" si="383"/>
        <v>1000000</v>
      </c>
      <c r="AL1118" s="1420" t="str">
        <f t="shared" si="384"/>
        <v>Cek</v>
      </c>
      <c r="AM1118" s="1410"/>
      <c r="AN1118" s="1411"/>
      <c r="AO1118" s="1410"/>
      <c r="AP1118" s="1411"/>
      <c r="AQ1118" s="1128"/>
      <c r="AR1118" s="1173"/>
      <c r="AT1118" s="1173"/>
      <c r="AV1118" s="1173"/>
      <c r="AX1118" s="1173"/>
      <c r="AY1118" s="1176"/>
      <c r="AZ1118" s="1173"/>
    </row>
    <row r="1119" spans="1:52" s="2" customFormat="1" x14ac:dyDescent="0.25">
      <c r="A1119" s="156">
        <v>1033</v>
      </c>
      <c r="B1119" s="344">
        <v>6</v>
      </c>
      <c r="C1119" s="178">
        <v>829116006</v>
      </c>
      <c r="D1119" s="1967" t="s">
        <v>1605</v>
      </c>
      <c r="E1119" s="160" t="s">
        <v>1441</v>
      </c>
      <c r="F1119" s="161">
        <v>2016</v>
      </c>
      <c r="G1119" s="342" t="s">
        <v>33</v>
      </c>
      <c r="H1119" s="163">
        <f t="shared" ref="H1119:H1150" si="385">IFERROR(VLOOKUP(C1119,Tlus,3,FALSE),"   ")</f>
        <v>43964</v>
      </c>
      <c r="I1119" s="163">
        <f t="shared" si="369"/>
        <v>44168</v>
      </c>
      <c r="J1119" s="1636">
        <v>1350000</v>
      </c>
      <c r="K1119" s="1637">
        <v>42549</v>
      </c>
      <c r="L1119" s="1480">
        <v>3000000</v>
      </c>
      <c r="M1119" s="1637">
        <v>42549</v>
      </c>
      <c r="N1119" s="1480">
        <v>3000000</v>
      </c>
      <c r="O1119" s="1383">
        <v>42761</v>
      </c>
      <c r="P1119" s="1480">
        <v>3000000</v>
      </c>
      <c r="Q1119" s="1637">
        <v>42937</v>
      </c>
      <c r="R1119" s="1186" t="s">
        <v>1078</v>
      </c>
      <c r="S1119" s="1367"/>
      <c r="T1119" s="1982" t="s">
        <v>1078</v>
      </c>
      <c r="U1119" s="1360"/>
      <c r="V1119" s="1385">
        <v>3000000</v>
      </c>
      <c r="W1119" s="1357">
        <v>43768</v>
      </c>
      <c r="X1119" s="1385">
        <v>3000000</v>
      </c>
      <c r="Y1119" s="1357">
        <v>43768</v>
      </c>
      <c r="Z1119" s="1874">
        <v>3000000</v>
      </c>
      <c r="AA1119" s="1357">
        <v>43859.612800925897</v>
      </c>
      <c r="AB1119" s="1480">
        <v>1000000</v>
      </c>
      <c r="AC1119" s="1357">
        <v>43942</v>
      </c>
      <c r="AD1119" s="1809">
        <v>500000</v>
      </c>
      <c r="AE1119" s="1440">
        <v>44042</v>
      </c>
      <c r="AF1119" s="2300" t="s">
        <v>1329</v>
      </c>
      <c r="AG1119" s="1612"/>
      <c r="AH1119" s="1625" t="str">
        <f t="shared" si="370"/>
        <v>KPI</v>
      </c>
      <c r="AI1119" s="1678">
        <f t="shared" si="382"/>
        <v>20850000</v>
      </c>
      <c r="AJ1119" s="1679">
        <f t="shared" si="379"/>
        <v>20850000</v>
      </c>
      <c r="AK1119" s="1419">
        <f t="shared" si="383"/>
        <v>0</v>
      </c>
      <c r="AL1119" s="1420" t="str">
        <f t="shared" si="384"/>
        <v>Lunas</v>
      </c>
      <c r="AM1119" s="1410" t="s">
        <v>1606</v>
      </c>
      <c r="AN1119" s="1411" t="s">
        <v>1607</v>
      </c>
      <c r="AO1119" s="1410" t="s">
        <v>1606</v>
      </c>
      <c r="AP1119" s="1411" t="s">
        <v>1607</v>
      </c>
      <c r="AQ1119" s="1128"/>
      <c r="AR1119" s="1173"/>
      <c r="AT1119" s="1173"/>
      <c r="AV1119" s="1173"/>
      <c r="AX1119" s="1173"/>
      <c r="AY1119" s="1176"/>
      <c r="AZ1119" s="1173"/>
    </row>
    <row r="1120" spans="1:52" s="2" customFormat="1" x14ac:dyDescent="0.25">
      <c r="A1120" s="240">
        <v>1034</v>
      </c>
      <c r="B1120" s="368">
        <v>7</v>
      </c>
      <c r="C1120" s="243">
        <v>829116007</v>
      </c>
      <c r="D1120" s="469" t="s">
        <v>1608</v>
      </c>
      <c r="E1120" s="244" t="s">
        <v>61</v>
      </c>
      <c r="F1120" s="245" t="s">
        <v>61</v>
      </c>
      <c r="G1120" s="170" t="s">
        <v>1077</v>
      </c>
      <c r="H1120" s="246" t="str">
        <f t="shared" si="385"/>
        <v xml:space="preserve">   </v>
      </c>
      <c r="I1120" s="246" t="str">
        <f t="shared" ref="I1120:I1150" si="386">IFERROR(VLOOKUP(C1120,Wis,4,FALSE),"   ")</f>
        <v xml:space="preserve">   </v>
      </c>
      <c r="J1120" s="1711" t="s">
        <v>1162</v>
      </c>
      <c r="K1120" s="1972" t="s">
        <v>1609</v>
      </c>
      <c r="L1120" s="1973"/>
      <c r="M1120" s="1972"/>
      <c r="N1120" s="1973"/>
      <c r="O1120" s="1972"/>
      <c r="P1120" s="1973"/>
      <c r="Q1120" s="1972"/>
      <c r="R1120" s="1724"/>
      <c r="S1120" s="1445"/>
      <c r="T1120" s="1446"/>
      <c r="U1120" s="1445"/>
      <c r="V1120" s="1724"/>
      <c r="W1120" s="1445"/>
      <c r="X1120" s="1724"/>
      <c r="Y1120" s="1445"/>
      <c r="Z1120" s="1724"/>
      <c r="AA1120" s="1957"/>
      <c r="AB1120" s="1724"/>
      <c r="AC1120" s="1445"/>
      <c r="AD1120" s="1733" t="str">
        <f>IFERROR(VLOOKUP(C1120,BSP,3,FALSE),"  ")</f>
        <v xml:space="preserve">  </v>
      </c>
      <c r="AE1120" s="1734" t="str">
        <f>IFERROR((VLOOKUP(C1120,BSP,4,FALSE)),"  ")</f>
        <v xml:space="preserve">  </v>
      </c>
      <c r="AF1120" s="2301" t="s">
        <v>1329</v>
      </c>
      <c r="AG1120" s="1616"/>
      <c r="AH1120" s="1625" t="str">
        <f t="shared" si="370"/>
        <v>-</v>
      </c>
      <c r="AI1120" s="1746">
        <f t="shared" si="382"/>
        <v>0</v>
      </c>
      <c r="AJ1120" s="1747">
        <f>(COUNT(L1120,N1120,P1120,R1120,T1120,V1120,X1120,Z1120)*$G$868)+(COUNT(J1120)*$J$868)+(COUNT(AB1120)*$AB$868)+(COUNT(AD1120)*$AD$868)</f>
        <v>0</v>
      </c>
      <c r="AK1120" s="1748">
        <f t="shared" si="383"/>
        <v>0</v>
      </c>
      <c r="AL1120" s="1749" t="s">
        <v>1334</v>
      </c>
      <c r="AM1120" s="1410"/>
      <c r="AN1120" s="1411"/>
      <c r="AO1120" s="1410"/>
      <c r="AP1120" s="1411"/>
      <c r="AQ1120" s="1128"/>
      <c r="AR1120" s="1173"/>
      <c r="AT1120" s="1173"/>
      <c r="AV1120" s="1173"/>
      <c r="AX1120" s="1173"/>
      <c r="AY1120" s="1176"/>
      <c r="AZ1120" s="1173"/>
    </row>
    <row r="1121" spans="1:52" s="2" customFormat="1" x14ac:dyDescent="0.25">
      <c r="A1121" s="223"/>
      <c r="B1121" s="224"/>
      <c r="C1121" s="471"/>
      <c r="D1121" s="225"/>
      <c r="E1121" s="227" t="s">
        <v>61</v>
      </c>
      <c r="F1121" s="228" t="s">
        <v>61</v>
      </c>
      <c r="G1121" s="192" t="s">
        <v>61</v>
      </c>
      <c r="H1121" s="36" t="str">
        <f t="shared" si="385"/>
        <v xml:space="preserve">   </v>
      </c>
      <c r="I1121" s="36" t="str">
        <f t="shared" si="386"/>
        <v xml:space="preserve">   </v>
      </c>
      <c r="J1121" s="223"/>
      <c r="K1121" s="1127"/>
      <c r="L1121" s="1769"/>
      <c r="M1121" s="1770"/>
      <c r="N1121" s="1769"/>
      <c r="O1121" s="1770"/>
      <c r="P1121" s="1769"/>
      <c r="Q1121" s="1770"/>
      <c r="R1121" s="1769"/>
      <c r="S1121" s="1783"/>
      <c r="T1121" s="1437"/>
      <c r="U1121" s="1770"/>
      <c r="V1121" s="1437"/>
      <c r="W1121" s="1770"/>
      <c r="X1121" s="1437"/>
      <c r="Y1121" s="1770"/>
      <c r="Z1121" s="1958"/>
      <c r="AA1121" s="1959"/>
      <c r="AB1121" s="1958"/>
      <c r="AC1121" s="1959"/>
      <c r="AD1121" s="414"/>
      <c r="AE1121" s="1629"/>
      <c r="AF1121" s="414"/>
      <c r="AG1121" s="1629"/>
      <c r="AH1121" s="1827"/>
      <c r="AI1121" s="1512"/>
      <c r="AJ1121" s="1409"/>
      <c r="AK1121" s="1409"/>
      <c r="AL1121" s="1513"/>
      <c r="AM1121" s="1513"/>
      <c r="AN1121" s="1514"/>
      <c r="AO1121" s="1513"/>
      <c r="AP1121" s="1514"/>
      <c r="AQ1121" s="1128"/>
      <c r="AR1121" s="1173"/>
      <c r="AT1121" s="1173"/>
      <c r="AV1121" s="1173"/>
      <c r="AX1121" s="1173"/>
      <c r="AY1121" s="1176"/>
      <c r="AZ1121" s="1173"/>
    </row>
    <row r="1122" spans="1:52" s="2" customFormat="1" x14ac:dyDescent="0.25">
      <c r="A1122" s="365" t="s">
        <v>1610</v>
      </c>
      <c r="B1122" s="365"/>
      <c r="C1122" s="366"/>
      <c r="D1122" s="365"/>
      <c r="E1122" s="198" t="s">
        <v>1096</v>
      </c>
      <c r="F1122" s="199" t="s">
        <v>1096</v>
      </c>
      <c r="G1122" s="146">
        <v>3000000</v>
      </c>
      <c r="H1122" s="147" t="str">
        <f t="shared" si="385"/>
        <v xml:space="preserve">   </v>
      </c>
      <c r="I1122" s="147" t="str">
        <f t="shared" si="386"/>
        <v xml:space="preserve">   </v>
      </c>
      <c r="J1122" s="1349">
        <v>1350000</v>
      </c>
      <c r="K1122" s="1529"/>
      <c r="L1122" s="1582" t="s">
        <v>1049</v>
      </c>
      <c r="M1122" s="1502" t="s">
        <v>1062</v>
      </c>
      <c r="N1122" s="1582" t="s">
        <v>1051</v>
      </c>
      <c r="O1122" s="1502" t="s">
        <v>1064</v>
      </c>
      <c r="P1122" s="1582" t="s">
        <v>1053</v>
      </c>
      <c r="Q1122" s="1502" t="s">
        <v>1066</v>
      </c>
      <c r="R1122" s="1582" t="s">
        <v>1055</v>
      </c>
      <c r="S1122" s="1502" t="s">
        <v>1068</v>
      </c>
      <c r="T1122" s="1582" t="s">
        <v>1057</v>
      </c>
      <c r="U1122" s="1502" t="s">
        <v>1141</v>
      </c>
      <c r="V1122" s="1582" t="s">
        <v>1059</v>
      </c>
      <c r="W1122" s="1502" t="s">
        <v>1325</v>
      </c>
      <c r="X1122" s="1582" t="s">
        <v>1061</v>
      </c>
      <c r="Y1122" s="1502" t="s">
        <v>1463</v>
      </c>
      <c r="Z1122" s="1582" t="s">
        <v>1063</v>
      </c>
      <c r="AA1122" s="1502" t="s">
        <v>1464</v>
      </c>
      <c r="AB1122" s="1450">
        <v>1000000</v>
      </c>
      <c r="AC1122" s="1663" t="s">
        <v>1326</v>
      </c>
      <c r="AD1122" s="1450">
        <v>500000</v>
      </c>
      <c r="AE1122" s="1663" t="s">
        <v>22</v>
      </c>
      <c r="AF1122" s="1984"/>
      <c r="AG1122" s="1436"/>
      <c r="AH1122" s="1408"/>
      <c r="AI1122" s="1512"/>
      <c r="AJ1122" s="1409"/>
      <c r="AK1122" s="1409"/>
      <c r="AL1122" s="1513"/>
      <c r="AM1122" s="1513"/>
      <c r="AN1122" s="1514"/>
      <c r="AO1122" s="1513"/>
      <c r="AP1122" s="1514"/>
      <c r="AQ1122" s="1128"/>
      <c r="AR1122" s="1173"/>
      <c r="AT1122" s="1173"/>
      <c r="AV1122" s="1173"/>
      <c r="AX1122" s="1173"/>
      <c r="AY1122" s="1176"/>
      <c r="AZ1122" s="1173"/>
    </row>
    <row r="1123" spans="1:52" s="2" customFormat="1" x14ac:dyDescent="0.25">
      <c r="A1123" s="148">
        <v>1035</v>
      </c>
      <c r="B1123" s="472">
        <v>1</v>
      </c>
      <c r="C1123" s="474">
        <v>849316001</v>
      </c>
      <c r="D1123" s="473" t="s">
        <v>1611</v>
      </c>
      <c r="E1123" s="311" t="s">
        <v>1328</v>
      </c>
      <c r="F1123" s="153">
        <v>2016</v>
      </c>
      <c r="G1123" s="342" t="s">
        <v>33</v>
      </c>
      <c r="H1123" s="163">
        <f t="shared" si="385"/>
        <v>43292</v>
      </c>
      <c r="I1123" s="163">
        <f t="shared" si="386"/>
        <v>43351</v>
      </c>
      <c r="J1123" s="1974">
        <v>1350000</v>
      </c>
      <c r="K1123" s="1440"/>
      <c r="L1123" s="1634">
        <v>3000000</v>
      </c>
      <c r="M1123" s="1479">
        <v>42481</v>
      </c>
      <c r="N1123" s="1634">
        <v>3000000</v>
      </c>
      <c r="O1123" s="1479">
        <v>42762</v>
      </c>
      <c r="P1123" s="1634">
        <v>3000000</v>
      </c>
      <c r="Q1123" s="1440">
        <v>42929</v>
      </c>
      <c r="R1123" s="1634">
        <v>3000000</v>
      </c>
      <c r="S1123" s="1440">
        <v>43115</v>
      </c>
      <c r="T1123" s="1382" t="s">
        <v>1080</v>
      </c>
      <c r="U1123" s="1474"/>
      <c r="V1123" s="1363"/>
      <c r="W1123" s="1391"/>
      <c r="X1123" s="1363"/>
      <c r="Y1123" s="1391"/>
      <c r="Z1123" s="1363"/>
      <c r="AA1123" s="1563"/>
      <c r="AB1123" s="1634">
        <v>1000000</v>
      </c>
      <c r="AC1123" s="1440">
        <v>43256</v>
      </c>
      <c r="AD1123" s="1666" t="str">
        <f>IFERROR(VLOOKUP(C1123,BSP,3,FALSE),"  ")</f>
        <v xml:space="preserve">  </v>
      </c>
      <c r="AE1123" s="1590" t="str">
        <f>IFERROR((VLOOKUP(C1123,BSP,4,FALSE)),"  ")</f>
        <v xml:space="preserve">  </v>
      </c>
      <c r="AF1123" s="2300" t="s">
        <v>1329</v>
      </c>
      <c r="AG1123" s="1612"/>
      <c r="AH1123" s="1625" t="str">
        <f t="shared" ref="AH1123:AH1186" si="387">E1123</f>
        <v>PAI</v>
      </c>
      <c r="AI1123" s="1678">
        <f t="shared" ref="AI1123" si="388">SUM(J1123,L1123,N1123,P1123,R1123,T1123,V1123,X1123,Z1123,AB1123,AD1123,AF1123)</f>
        <v>14350000</v>
      </c>
      <c r="AJ1123" s="1679">
        <f t="shared" ref="AJ1123:AJ1154" si="389">(COUNT(L1123,N1123,P1123,R1123,T1123,V1123,X1123,Z1123)*$G$1039)+(COUNT(J1123)*$J$1039)+(COUNT(AB1123)*$AB$1039)+(COUNT(AD1123)*$AD$1039)</f>
        <v>14350000</v>
      </c>
      <c r="AK1123" s="1419">
        <f t="shared" ref="AK1123" si="390">AJ1123-AI1123</f>
        <v>0</v>
      </c>
      <c r="AL1123" s="1420" t="str">
        <f t="shared" ref="AL1123" si="391">IF(AK1123=0,"Lunas","Cek")</f>
        <v>Lunas</v>
      </c>
      <c r="AM1123" s="1410"/>
      <c r="AN1123" s="1411"/>
      <c r="AO1123" s="1410"/>
      <c r="AP1123" s="1411"/>
      <c r="AQ1123" s="1128"/>
      <c r="AR1123" s="1173"/>
      <c r="AT1123" s="1173"/>
      <c r="AV1123" s="1173"/>
      <c r="AX1123" s="1173"/>
      <c r="AY1123" s="1176"/>
      <c r="AZ1123" s="1173"/>
    </row>
    <row r="1124" spans="1:52" s="2" customFormat="1" x14ac:dyDescent="0.25">
      <c r="A1124" s="156">
        <v>1036</v>
      </c>
      <c r="B1124" s="478">
        <v>2</v>
      </c>
      <c r="C1124" s="480">
        <v>849316002</v>
      </c>
      <c r="D1124" s="479" t="s">
        <v>1612</v>
      </c>
      <c r="E1124" s="179" t="s">
        <v>1328</v>
      </c>
      <c r="F1124" s="161">
        <v>2016</v>
      </c>
      <c r="G1124" s="342" t="s">
        <v>33</v>
      </c>
      <c r="H1124" s="163">
        <f t="shared" si="385"/>
        <v>44093</v>
      </c>
      <c r="I1124" s="163">
        <f t="shared" si="386"/>
        <v>44186</v>
      </c>
      <c r="J1124" s="1975">
        <v>1350000</v>
      </c>
      <c r="K1124" s="1365"/>
      <c r="L1124" s="1480">
        <v>3000000</v>
      </c>
      <c r="M1124" s="1637">
        <v>42500</v>
      </c>
      <c r="N1124" s="1480">
        <v>3000000</v>
      </c>
      <c r="O1124" s="1637">
        <v>42762</v>
      </c>
      <c r="P1124" s="1480">
        <v>3000000</v>
      </c>
      <c r="Q1124" s="1365">
        <v>42936</v>
      </c>
      <c r="R1124" s="1385">
        <v>3000000</v>
      </c>
      <c r="S1124" s="1357">
        <v>43131</v>
      </c>
      <c r="T1124" s="1431">
        <v>3000000</v>
      </c>
      <c r="U1124" s="1365">
        <v>43500</v>
      </c>
      <c r="V1124" s="1480">
        <v>3000000</v>
      </c>
      <c r="W1124" s="1365">
        <v>43500</v>
      </c>
      <c r="X1124" s="1480">
        <v>3000000</v>
      </c>
      <c r="Y1124" s="1357">
        <v>44041</v>
      </c>
      <c r="Z1124" s="1480">
        <v>3000000</v>
      </c>
      <c r="AA1124" s="1357">
        <v>44041</v>
      </c>
      <c r="AB1124" s="1480">
        <v>1000000</v>
      </c>
      <c r="AC1124" s="1357">
        <v>44041</v>
      </c>
      <c r="AD1124" s="1809">
        <v>500000</v>
      </c>
      <c r="AE1124" s="1440">
        <v>44099</v>
      </c>
      <c r="AF1124" s="2300" t="s">
        <v>1329</v>
      </c>
      <c r="AG1124" s="1612"/>
      <c r="AH1124" s="1625" t="str">
        <f t="shared" si="387"/>
        <v>PAI</v>
      </c>
      <c r="AI1124" s="1680">
        <f t="shared" ref="AI1124:AI1172" si="392">SUM(J1124,L1124,N1124,P1124,R1124,T1124,V1124,X1124,Z1124,AB1124,AD1124,AF1124)</f>
        <v>26850000</v>
      </c>
      <c r="AJ1124" s="1681">
        <f t="shared" si="389"/>
        <v>26850000</v>
      </c>
      <c r="AK1124" s="1682">
        <f t="shared" ref="AK1124:AK1172" si="393">AJ1124-AI1124</f>
        <v>0</v>
      </c>
      <c r="AL1124" s="1691" t="str">
        <f t="shared" ref="AL1124:AL1172" si="394">IF(AK1124=0,"Lunas","Cek")</f>
        <v>Lunas</v>
      </c>
      <c r="AM1124" s="1410"/>
      <c r="AN1124" s="1411"/>
      <c r="AO1124" s="1410"/>
      <c r="AP1124" s="1411"/>
      <c r="AQ1124" s="1128"/>
      <c r="AR1124" s="1173"/>
      <c r="AT1124" s="1173"/>
      <c r="AV1124" s="1173"/>
      <c r="AX1124" s="1173"/>
      <c r="AY1124" s="1176"/>
      <c r="AZ1124" s="1173"/>
    </row>
    <row r="1125" spans="1:52" s="2" customFormat="1" x14ac:dyDescent="0.25">
      <c r="A1125" s="156">
        <v>1037</v>
      </c>
      <c r="B1125" s="478">
        <v>3</v>
      </c>
      <c r="C1125" s="480">
        <v>849316003</v>
      </c>
      <c r="D1125" s="479" t="s">
        <v>1613</v>
      </c>
      <c r="E1125" s="179" t="s">
        <v>1328</v>
      </c>
      <c r="F1125" s="161">
        <v>2016</v>
      </c>
      <c r="G1125" s="162" t="s">
        <v>33</v>
      </c>
      <c r="H1125" s="163">
        <f t="shared" si="385"/>
        <v>43894</v>
      </c>
      <c r="I1125" s="163">
        <f t="shared" si="386"/>
        <v>44168</v>
      </c>
      <c r="J1125" s="1975">
        <v>1350000</v>
      </c>
      <c r="K1125" s="1365"/>
      <c r="L1125" s="1480">
        <v>3000000</v>
      </c>
      <c r="M1125" s="1637">
        <v>42494</v>
      </c>
      <c r="N1125" s="1480">
        <v>3000000</v>
      </c>
      <c r="O1125" s="1637">
        <v>42751</v>
      </c>
      <c r="P1125" s="1480">
        <v>3000000</v>
      </c>
      <c r="Q1125" s="1365">
        <v>42929</v>
      </c>
      <c r="R1125" s="1480">
        <v>3000000</v>
      </c>
      <c r="S1125" s="1365">
        <v>43110</v>
      </c>
      <c r="T1125" s="1431">
        <v>3000000</v>
      </c>
      <c r="U1125" s="1365">
        <v>43290</v>
      </c>
      <c r="V1125" s="1385">
        <v>3000000</v>
      </c>
      <c r="W1125" s="1357">
        <v>43530</v>
      </c>
      <c r="X1125" s="1385">
        <v>3000000</v>
      </c>
      <c r="Y1125" s="1357">
        <v>43651</v>
      </c>
      <c r="Z1125" s="1874">
        <v>3000000</v>
      </c>
      <c r="AA1125" s="1357">
        <v>43861.372048611098</v>
      </c>
      <c r="AB1125" s="1480">
        <v>1000000</v>
      </c>
      <c r="AC1125" s="1357">
        <v>43881</v>
      </c>
      <c r="AD1125" s="1809">
        <v>500000</v>
      </c>
      <c r="AE1125" s="1440">
        <v>44006</v>
      </c>
      <c r="AF1125" s="2300" t="s">
        <v>1329</v>
      </c>
      <c r="AG1125" s="1612"/>
      <c r="AH1125" s="1625" t="str">
        <f t="shared" si="387"/>
        <v>PAI</v>
      </c>
      <c r="AI1125" s="1680">
        <f t="shared" si="392"/>
        <v>26850000</v>
      </c>
      <c r="AJ1125" s="1681">
        <f t="shared" si="389"/>
        <v>26850000</v>
      </c>
      <c r="AK1125" s="1682">
        <f t="shared" si="393"/>
        <v>0</v>
      </c>
      <c r="AL1125" s="1691" t="str">
        <f t="shared" si="394"/>
        <v>Lunas</v>
      </c>
      <c r="AM1125" s="1410"/>
      <c r="AN1125" s="1411"/>
      <c r="AO1125" s="1410"/>
      <c r="AP1125" s="1411"/>
      <c r="AQ1125" s="1128"/>
      <c r="AR1125" s="1173"/>
      <c r="AT1125" s="1173"/>
      <c r="AV1125" s="1173"/>
      <c r="AX1125" s="1173"/>
      <c r="AY1125" s="1176"/>
      <c r="AZ1125" s="1173"/>
    </row>
    <row r="1126" spans="1:52" s="2" customFormat="1" x14ac:dyDescent="0.25">
      <c r="A1126" s="156">
        <v>1038</v>
      </c>
      <c r="B1126" s="478">
        <v>4</v>
      </c>
      <c r="C1126" s="480">
        <v>849316004</v>
      </c>
      <c r="D1126" s="479" t="s">
        <v>1614</v>
      </c>
      <c r="E1126" s="179" t="s">
        <v>1328</v>
      </c>
      <c r="F1126" s="161">
        <v>2016</v>
      </c>
      <c r="G1126" s="162" t="s">
        <v>33</v>
      </c>
      <c r="H1126" s="163">
        <f t="shared" si="385"/>
        <v>43844</v>
      </c>
      <c r="I1126" s="163">
        <f t="shared" si="386"/>
        <v>44168</v>
      </c>
      <c r="J1126" s="1975">
        <v>1350000</v>
      </c>
      <c r="K1126" s="1365"/>
      <c r="L1126" s="1480">
        <v>3000000</v>
      </c>
      <c r="M1126" s="1637">
        <v>42492</v>
      </c>
      <c r="N1126" s="1480">
        <v>3000000</v>
      </c>
      <c r="O1126" s="1637">
        <v>42768</v>
      </c>
      <c r="P1126" s="1480">
        <v>3000000</v>
      </c>
      <c r="Q1126" s="1365">
        <v>42929</v>
      </c>
      <c r="R1126" s="1385">
        <v>3000000</v>
      </c>
      <c r="S1126" s="1357">
        <v>43116</v>
      </c>
      <c r="T1126" s="1431">
        <v>3000000</v>
      </c>
      <c r="U1126" s="1365">
        <v>43291</v>
      </c>
      <c r="V1126" s="1385">
        <v>3000000</v>
      </c>
      <c r="W1126" s="1357">
        <v>43483</v>
      </c>
      <c r="X1126" s="1634">
        <v>3000000</v>
      </c>
      <c r="Y1126" s="1357">
        <v>43726</v>
      </c>
      <c r="Z1126" s="1980"/>
      <c r="AA1126" s="1563"/>
      <c r="AB1126" s="1480">
        <v>1000000</v>
      </c>
      <c r="AC1126" s="1357">
        <v>43819</v>
      </c>
      <c r="AD1126" s="1809">
        <v>500000</v>
      </c>
      <c r="AE1126" s="1440">
        <v>43875</v>
      </c>
      <c r="AF1126" s="2300" t="s">
        <v>1329</v>
      </c>
      <c r="AG1126" s="1612"/>
      <c r="AH1126" s="1625" t="str">
        <f t="shared" si="387"/>
        <v>PAI</v>
      </c>
      <c r="AI1126" s="1680">
        <f t="shared" si="392"/>
        <v>23850000</v>
      </c>
      <c r="AJ1126" s="1681">
        <f t="shared" si="389"/>
        <v>23850000</v>
      </c>
      <c r="AK1126" s="1682">
        <f t="shared" si="393"/>
        <v>0</v>
      </c>
      <c r="AL1126" s="1691" t="str">
        <f t="shared" si="394"/>
        <v>Lunas</v>
      </c>
      <c r="AM1126" s="1410"/>
      <c r="AN1126" s="1411"/>
      <c r="AO1126" s="1410"/>
      <c r="AP1126" s="1411"/>
      <c r="AQ1126" s="1128"/>
      <c r="AR1126" s="1173"/>
      <c r="AT1126" s="1173"/>
      <c r="AV1126" s="1173"/>
      <c r="AX1126" s="1173"/>
      <c r="AY1126" s="1176"/>
      <c r="AZ1126" s="1173"/>
    </row>
    <row r="1127" spans="1:52" s="2" customFormat="1" x14ac:dyDescent="0.25">
      <c r="A1127" s="164">
        <v>1039</v>
      </c>
      <c r="B1127" s="478">
        <v>5</v>
      </c>
      <c r="C1127" s="480">
        <v>849316005</v>
      </c>
      <c r="D1127" s="479" t="s">
        <v>1615</v>
      </c>
      <c r="E1127" s="179" t="s">
        <v>1328</v>
      </c>
      <c r="F1127" s="161">
        <v>2016</v>
      </c>
      <c r="G1127" s="162" t="s">
        <v>33</v>
      </c>
      <c r="H1127" s="163">
        <f t="shared" si="385"/>
        <v>43651</v>
      </c>
      <c r="I1127" s="163">
        <f t="shared" si="386"/>
        <v>43705</v>
      </c>
      <c r="J1127" s="1975">
        <v>1350000</v>
      </c>
      <c r="K1127" s="1365"/>
      <c r="L1127" s="1480">
        <v>3000000</v>
      </c>
      <c r="M1127" s="1637">
        <v>42493</v>
      </c>
      <c r="N1127" s="1480">
        <v>3000000</v>
      </c>
      <c r="O1127" s="1637">
        <v>42760</v>
      </c>
      <c r="P1127" s="1480">
        <v>3000000</v>
      </c>
      <c r="Q1127" s="1365">
        <v>42929</v>
      </c>
      <c r="R1127" s="1385">
        <v>3000000</v>
      </c>
      <c r="S1127" s="1357">
        <v>43115</v>
      </c>
      <c r="T1127" s="1431">
        <v>3000000</v>
      </c>
      <c r="U1127" s="1365">
        <v>43293</v>
      </c>
      <c r="V1127" s="1385">
        <v>3000000</v>
      </c>
      <c r="W1127" s="1357">
        <v>43483</v>
      </c>
      <c r="X1127" s="1385">
        <v>3000000</v>
      </c>
      <c r="Y1127" s="1357">
        <v>43649</v>
      </c>
      <c r="Z1127" s="1465" t="s">
        <v>1080</v>
      </c>
      <c r="AA1127" s="1563"/>
      <c r="AB1127" s="1480">
        <v>1000000</v>
      </c>
      <c r="AC1127" s="1357">
        <v>43649</v>
      </c>
      <c r="AD1127" s="1666" t="str">
        <f t="shared" ref="AD1127:AD1132" si="395">IFERROR(VLOOKUP(C1127,BSP,3,FALSE),"  ")</f>
        <v xml:space="preserve">  </v>
      </c>
      <c r="AE1127" s="1590" t="str">
        <f t="shared" ref="AE1127:AE1132" si="396">IFERROR((VLOOKUP(C1127,BSP,4,FALSE)),"  ")</f>
        <v xml:space="preserve">  </v>
      </c>
      <c r="AF1127" s="2300" t="s">
        <v>1329</v>
      </c>
      <c r="AG1127" s="1612"/>
      <c r="AH1127" s="1625" t="str">
        <f t="shared" si="387"/>
        <v>PAI</v>
      </c>
      <c r="AI1127" s="1680">
        <f t="shared" si="392"/>
        <v>23350000</v>
      </c>
      <c r="AJ1127" s="1681">
        <f t="shared" si="389"/>
        <v>23350000</v>
      </c>
      <c r="AK1127" s="1682">
        <f t="shared" si="393"/>
        <v>0</v>
      </c>
      <c r="AL1127" s="1691" t="str">
        <f t="shared" si="394"/>
        <v>Lunas</v>
      </c>
      <c r="AM1127" s="1410"/>
      <c r="AN1127" s="1411"/>
      <c r="AO1127" s="1410"/>
      <c r="AP1127" s="1411"/>
      <c r="AQ1127" s="1128"/>
      <c r="AR1127" s="1173"/>
      <c r="AT1127" s="1173"/>
      <c r="AV1127" s="1173"/>
      <c r="AX1127" s="1173"/>
      <c r="AY1127" s="1176"/>
      <c r="AZ1127" s="1173"/>
    </row>
    <row r="1128" spans="1:52" s="2" customFormat="1" x14ac:dyDescent="0.25">
      <c r="A1128" s="164">
        <v>1040</v>
      </c>
      <c r="B1128" s="478">
        <v>6</v>
      </c>
      <c r="C1128" s="480">
        <v>849316006</v>
      </c>
      <c r="D1128" s="479" t="s">
        <v>1616</v>
      </c>
      <c r="E1128" s="179" t="s">
        <v>1328</v>
      </c>
      <c r="F1128" s="161">
        <v>2016</v>
      </c>
      <c r="G1128" s="162" t="s">
        <v>33</v>
      </c>
      <c r="H1128" s="163">
        <f t="shared" si="385"/>
        <v>43307</v>
      </c>
      <c r="I1128" s="163">
        <f t="shared" si="386"/>
        <v>43440</v>
      </c>
      <c r="J1128" s="1976">
        <v>1350000</v>
      </c>
      <c r="K1128" s="1357"/>
      <c r="L1128" s="1385">
        <v>3000000</v>
      </c>
      <c r="M1128" s="1383">
        <v>42493</v>
      </c>
      <c r="N1128" s="1385">
        <v>3000000</v>
      </c>
      <c r="O1128" s="1383">
        <v>42745</v>
      </c>
      <c r="P1128" s="1385">
        <v>3000000</v>
      </c>
      <c r="Q1128" s="1357">
        <v>42930</v>
      </c>
      <c r="R1128" s="1385">
        <v>3000000</v>
      </c>
      <c r="S1128" s="1357">
        <v>43112</v>
      </c>
      <c r="T1128" s="1382" t="s">
        <v>1080</v>
      </c>
      <c r="U1128" s="1474"/>
      <c r="V1128" s="1363"/>
      <c r="W1128" s="1391"/>
      <c r="X1128" s="1363"/>
      <c r="Y1128" s="1391"/>
      <c r="Z1128" s="1363"/>
      <c r="AA1128" s="1563"/>
      <c r="AB1128" s="1480">
        <v>1000000</v>
      </c>
      <c r="AC1128" s="1357">
        <v>43290</v>
      </c>
      <c r="AD1128" s="1666" t="str">
        <f t="shared" si="395"/>
        <v xml:space="preserve">  </v>
      </c>
      <c r="AE1128" s="1590" t="str">
        <f t="shared" si="396"/>
        <v xml:space="preserve">  </v>
      </c>
      <c r="AF1128" s="2300" t="s">
        <v>1329</v>
      </c>
      <c r="AG1128" s="1612"/>
      <c r="AH1128" s="1625" t="str">
        <f t="shared" si="387"/>
        <v>PAI</v>
      </c>
      <c r="AI1128" s="1680">
        <f t="shared" si="392"/>
        <v>14350000</v>
      </c>
      <c r="AJ1128" s="1681">
        <f t="shared" si="389"/>
        <v>14350000</v>
      </c>
      <c r="AK1128" s="1682">
        <f t="shared" si="393"/>
        <v>0</v>
      </c>
      <c r="AL1128" s="1691" t="str">
        <f t="shared" si="394"/>
        <v>Lunas</v>
      </c>
      <c r="AM1128" s="1410"/>
      <c r="AN1128" s="1411"/>
      <c r="AO1128" s="1410"/>
      <c r="AP1128" s="1411"/>
      <c r="AQ1128" s="1128"/>
      <c r="AR1128" s="1173"/>
      <c r="AT1128" s="1173"/>
      <c r="AV1128" s="1173"/>
      <c r="AX1128" s="1173"/>
      <c r="AY1128" s="1176"/>
      <c r="AZ1128" s="1173"/>
    </row>
    <row r="1129" spans="1:52" s="2" customFormat="1" x14ac:dyDescent="0.25">
      <c r="A1129" s="164">
        <v>1041</v>
      </c>
      <c r="B1129" s="475">
        <v>7</v>
      </c>
      <c r="C1129" s="482">
        <v>849316007</v>
      </c>
      <c r="D1129" s="481" t="s">
        <v>1617</v>
      </c>
      <c r="E1129" s="237" t="s">
        <v>1328</v>
      </c>
      <c r="F1129" s="238">
        <v>2016</v>
      </c>
      <c r="G1129" s="214" t="s">
        <v>1077</v>
      </c>
      <c r="H1129" s="239" t="str">
        <f t="shared" si="385"/>
        <v xml:space="preserve">   </v>
      </c>
      <c r="I1129" s="239" t="str">
        <f t="shared" si="386"/>
        <v xml:space="preserve">   </v>
      </c>
      <c r="J1129" s="1977">
        <v>1350000</v>
      </c>
      <c r="K1129" s="1545"/>
      <c r="L1129" s="1698">
        <v>3000000</v>
      </c>
      <c r="M1129" s="1604">
        <v>42499</v>
      </c>
      <c r="N1129" s="1711" t="s">
        <v>1162</v>
      </c>
      <c r="O1129" s="1699"/>
      <c r="P1129" s="1363"/>
      <c r="Q1129" s="1391"/>
      <c r="R1129" s="1363"/>
      <c r="S1129" s="1391"/>
      <c r="T1129" s="1363"/>
      <c r="U1129" s="1391"/>
      <c r="V1129" s="1363"/>
      <c r="W1129" s="1391"/>
      <c r="X1129" s="1363"/>
      <c r="Y1129" s="1391"/>
      <c r="Z1129" s="1363"/>
      <c r="AA1129" s="1563"/>
      <c r="AB1129" s="1389"/>
      <c r="AC1129" s="1367"/>
      <c r="AD1129" s="1666" t="str">
        <f t="shared" si="395"/>
        <v xml:space="preserve">  </v>
      </c>
      <c r="AE1129" s="1590" t="str">
        <f t="shared" si="396"/>
        <v xml:space="preserve">  </v>
      </c>
      <c r="AF1129" s="2300" t="s">
        <v>1329</v>
      </c>
      <c r="AG1129" s="1612"/>
      <c r="AH1129" s="1625" t="str">
        <f t="shared" si="387"/>
        <v>PAI</v>
      </c>
      <c r="AI1129" s="1688">
        <f t="shared" si="392"/>
        <v>4350000</v>
      </c>
      <c r="AJ1129" s="1685">
        <f t="shared" si="389"/>
        <v>4350000</v>
      </c>
      <c r="AK1129" s="1686">
        <f t="shared" si="393"/>
        <v>0</v>
      </c>
      <c r="AL1129" s="1687" t="s">
        <v>1334</v>
      </c>
      <c r="AM1129" s="1410"/>
      <c r="AN1129" s="1411"/>
      <c r="AO1129" s="1410"/>
      <c r="AP1129" s="1411"/>
      <c r="AQ1129" s="1128"/>
      <c r="AR1129" s="1173"/>
      <c r="AT1129" s="1173"/>
      <c r="AV1129" s="1173"/>
      <c r="AX1129" s="1173"/>
      <c r="AY1129" s="1176"/>
      <c r="AZ1129" s="1173"/>
    </row>
    <row r="1130" spans="1:52" s="2" customFormat="1" x14ac:dyDescent="0.25">
      <c r="A1130" s="156">
        <v>1042</v>
      </c>
      <c r="B1130" s="478">
        <v>8</v>
      </c>
      <c r="C1130" s="480">
        <v>849316008</v>
      </c>
      <c r="D1130" s="479" t="s">
        <v>1618</v>
      </c>
      <c r="E1130" s="179" t="s">
        <v>1328</v>
      </c>
      <c r="F1130" s="161">
        <v>2016</v>
      </c>
      <c r="G1130" s="162" t="s">
        <v>33</v>
      </c>
      <c r="H1130" s="163">
        <f t="shared" si="385"/>
        <v>43511</v>
      </c>
      <c r="I1130" s="163">
        <f t="shared" si="386"/>
        <v>43587</v>
      </c>
      <c r="J1130" s="1975">
        <v>1350000</v>
      </c>
      <c r="K1130" s="1365"/>
      <c r="L1130" s="1480">
        <v>3000000</v>
      </c>
      <c r="M1130" s="1637">
        <v>42499</v>
      </c>
      <c r="N1130" s="1480">
        <v>3000000</v>
      </c>
      <c r="O1130" s="1637">
        <v>42745</v>
      </c>
      <c r="P1130" s="1480">
        <v>3000000</v>
      </c>
      <c r="Q1130" s="1365">
        <v>42930</v>
      </c>
      <c r="R1130" s="1385">
        <v>3000000</v>
      </c>
      <c r="S1130" s="1357">
        <v>43111</v>
      </c>
      <c r="T1130" s="1431">
        <v>3000000</v>
      </c>
      <c r="U1130" s="1365">
        <v>43297</v>
      </c>
      <c r="V1130" s="1465" t="s">
        <v>1080</v>
      </c>
      <c r="W1130" s="1384"/>
      <c r="X1130" s="1363"/>
      <c r="Y1130" s="1391"/>
      <c r="Z1130" s="1363"/>
      <c r="AA1130" s="1563"/>
      <c r="AB1130" s="1480">
        <v>1000000</v>
      </c>
      <c r="AC1130" s="1357">
        <v>43735</v>
      </c>
      <c r="AD1130" s="1666" t="str">
        <f t="shared" si="395"/>
        <v xml:space="preserve">  </v>
      </c>
      <c r="AE1130" s="1590" t="str">
        <f t="shared" si="396"/>
        <v xml:space="preserve">  </v>
      </c>
      <c r="AF1130" s="2300" t="s">
        <v>1329</v>
      </c>
      <c r="AG1130" s="1612"/>
      <c r="AH1130" s="1625" t="str">
        <f t="shared" si="387"/>
        <v>PAI</v>
      </c>
      <c r="AI1130" s="1680">
        <f t="shared" si="392"/>
        <v>17350000</v>
      </c>
      <c r="AJ1130" s="1681">
        <f t="shared" si="389"/>
        <v>17350000</v>
      </c>
      <c r="AK1130" s="1682">
        <f t="shared" si="393"/>
        <v>0</v>
      </c>
      <c r="AL1130" s="1691" t="str">
        <f t="shared" si="394"/>
        <v>Lunas</v>
      </c>
      <c r="AM1130" s="1410"/>
      <c r="AN1130" s="1411"/>
      <c r="AO1130" s="1410"/>
      <c r="AP1130" s="1411"/>
      <c r="AQ1130" s="1128"/>
      <c r="AR1130" s="1173"/>
      <c r="AT1130" s="1173"/>
      <c r="AV1130" s="1173"/>
      <c r="AX1130" s="1173"/>
      <c r="AY1130" s="1176"/>
      <c r="AZ1130" s="1173"/>
    </row>
    <row r="1131" spans="1:52" s="2" customFormat="1" x14ac:dyDescent="0.25">
      <c r="A1131" s="156">
        <v>1043</v>
      </c>
      <c r="B1131" s="478">
        <v>9</v>
      </c>
      <c r="C1131" s="480">
        <v>849316009</v>
      </c>
      <c r="D1131" s="479" t="s">
        <v>1619</v>
      </c>
      <c r="E1131" s="179" t="s">
        <v>1328</v>
      </c>
      <c r="F1131" s="161">
        <v>2016</v>
      </c>
      <c r="G1131" s="162" t="s">
        <v>33</v>
      </c>
      <c r="H1131" s="163">
        <f t="shared" si="385"/>
        <v>43307</v>
      </c>
      <c r="I1131" s="163">
        <f t="shared" si="386"/>
        <v>43440</v>
      </c>
      <c r="J1131" s="1976">
        <v>1350000</v>
      </c>
      <c r="K1131" s="1357"/>
      <c r="L1131" s="1385">
        <v>3000000</v>
      </c>
      <c r="M1131" s="1383">
        <v>42493</v>
      </c>
      <c r="N1131" s="1385">
        <v>3000000</v>
      </c>
      <c r="O1131" s="1383">
        <v>42760</v>
      </c>
      <c r="P1131" s="1385">
        <v>3000000</v>
      </c>
      <c r="Q1131" s="1357">
        <v>42930</v>
      </c>
      <c r="R1131" s="1385">
        <v>3000000</v>
      </c>
      <c r="S1131" s="1357">
        <v>43112</v>
      </c>
      <c r="T1131" s="1382" t="s">
        <v>1080</v>
      </c>
      <c r="U1131" s="1699"/>
      <c r="V1131" s="1363"/>
      <c r="W1131" s="1391"/>
      <c r="X1131" s="1363"/>
      <c r="Y1131" s="1391"/>
      <c r="Z1131" s="1363"/>
      <c r="AA1131" s="1563"/>
      <c r="AB1131" s="1480">
        <v>1000000</v>
      </c>
      <c r="AC1131" s="1357">
        <v>43290</v>
      </c>
      <c r="AD1131" s="1666" t="str">
        <f t="shared" si="395"/>
        <v xml:space="preserve">  </v>
      </c>
      <c r="AE1131" s="1590" t="str">
        <f t="shared" si="396"/>
        <v xml:space="preserve">  </v>
      </c>
      <c r="AF1131" s="2300" t="s">
        <v>1329</v>
      </c>
      <c r="AG1131" s="1612"/>
      <c r="AH1131" s="1625" t="str">
        <f t="shared" si="387"/>
        <v>PAI</v>
      </c>
      <c r="AI1131" s="1680">
        <f t="shared" si="392"/>
        <v>14350000</v>
      </c>
      <c r="AJ1131" s="1681">
        <f t="shared" si="389"/>
        <v>14350000</v>
      </c>
      <c r="AK1131" s="1682">
        <f t="shared" si="393"/>
        <v>0</v>
      </c>
      <c r="AL1131" s="1691" t="str">
        <f t="shared" si="394"/>
        <v>Lunas</v>
      </c>
      <c r="AM1131" s="1410"/>
      <c r="AN1131" s="1411"/>
      <c r="AO1131" s="1410"/>
      <c r="AP1131" s="1411"/>
      <c r="AQ1131" s="1128"/>
      <c r="AR1131" s="1173"/>
      <c r="AT1131" s="1173"/>
      <c r="AV1131" s="1173"/>
      <c r="AX1131" s="1173"/>
      <c r="AY1131" s="1176"/>
      <c r="AZ1131" s="1173"/>
    </row>
    <row r="1132" spans="1:52" s="2" customFormat="1" x14ac:dyDescent="0.25">
      <c r="A1132" s="156">
        <v>1044</v>
      </c>
      <c r="B1132" s="478">
        <v>10</v>
      </c>
      <c r="C1132" s="480">
        <v>849316010</v>
      </c>
      <c r="D1132" s="479" t="s">
        <v>1620</v>
      </c>
      <c r="E1132" s="179" t="s">
        <v>1328</v>
      </c>
      <c r="F1132" s="161">
        <v>2016</v>
      </c>
      <c r="G1132" s="162" t="s">
        <v>33</v>
      </c>
      <c r="H1132" s="163">
        <f t="shared" si="385"/>
        <v>43657</v>
      </c>
      <c r="I1132" s="163">
        <f t="shared" si="386"/>
        <v>43750</v>
      </c>
      <c r="J1132" s="1975">
        <v>1350000</v>
      </c>
      <c r="K1132" s="1365"/>
      <c r="L1132" s="1480">
        <v>3000000</v>
      </c>
      <c r="M1132" s="1637">
        <v>42499</v>
      </c>
      <c r="N1132" s="1480">
        <v>3000000</v>
      </c>
      <c r="O1132" s="1637">
        <v>42745</v>
      </c>
      <c r="P1132" s="1480">
        <v>3000000</v>
      </c>
      <c r="Q1132" s="1365"/>
      <c r="R1132" s="1385">
        <v>3000000</v>
      </c>
      <c r="S1132" s="1357">
        <v>43115</v>
      </c>
      <c r="T1132" s="1431">
        <v>3000000</v>
      </c>
      <c r="U1132" s="1365">
        <v>43396</v>
      </c>
      <c r="V1132" s="1385">
        <v>3000000</v>
      </c>
      <c r="W1132" s="1357">
        <v>43563</v>
      </c>
      <c r="X1132" s="1465" t="s">
        <v>1080</v>
      </c>
      <c r="Y1132" s="1391"/>
      <c r="Z1132" s="1363"/>
      <c r="AA1132" s="1563"/>
      <c r="AB1132" s="1480">
        <v>1000000</v>
      </c>
      <c r="AC1132" s="1357">
        <v>43563</v>
      </c>
      <c r="AD1132" s="1666" t="str">
        <f t="shared" si="395"/>
        <v xml:space="preserve">  </v>
      </c>
      <c r="AE1132" s="1590" t="str">
        <f t="shared" si="396"/>
        <v xml:space="preserve">  </v>
      </c>
      <c r="AF1132" s="2300" t="s">
        <v>1329</v>
      </c>
      <c r="AG1132" s="1612"/>
      <c r="AH1132" s="1625" t="str">
        <f t="shared" si="387"/>
        <v>PAI</v>
      </c>
      <c r="AI1132" s="1680">
        <f t="shared" si="392"/>
        <v>20350000</v>
      </c>
      <c r="AJ1132" s="1681">
        <f t="shared" si="389"/>
        <v>20350000</v>
      </c>
      <c r="AK1132" s="1682">
        <f t="shared" si="393"/>
        <v>0</v>
      </c>
      <c r="AL1132" s="1691" t="str">
        <f t="shared" si="394"/>
        <v>Lunas</v>
      </c>
      <c r="AM1132" s="1410"/>
      <c r="AN1132" s="1411"/>
      <c r="AO1132" s="1410"/>
      <c r="AP1132" s="1411"/>
      <c r="AQ1132" s="1128"/>
      <c r="AR1132" s="1173"/>
      <c r="AT1132" s="1173"/>
      <c r="AV1132" s="1173"/>
      <c r="AX1132" s="1173"/>
      <c r="AY1132" s="1176"/>
      <c r="AZ1132" s="1173"/>
    </row>
    <row r="1133" spans="1:52" s="2" customFormat="1" x14ac:dyDescent="0.25">
      <c r="A1133" s="156">
        <v>1045</v>
      </c>
      <c r="B1133" s="478">
        <v>11</v>
      </c>
      <c r="C1133" s="480">
        <v>849316011</v>
      </c>
      <c r="D1133" s="479" t="s">
        <v>1621</v>
      </c>
      <c r="E1133" s="179" t="s">
        <v>1328</v>
      </c>
      <c r="F1133" s="161">
        <v>2016</v>
      </c>
      <c r="G1133" s="162" t="s">
        <v>33</v>
      </c>
      <c r="H1133" s="163">
        <f t="shared" si="385"/>
        <v>43825</v>
      </c>
      <c r="I1133" s="163">
        <f t="shared" si="386"/>
        <v>44168</v>
      </c>
      <c r="J1133" s="1975">
        <v>1350000</v>
      </c>
      <c r="K1133" s="1365"/>
      <c r="L1133" s="1480">
        <v>3000000</v>
      </c>
      <c r="M1133" s="1637">
        <v>42404</v>
      </c>
      <c r="N1133" s="1480">
        <v>3000000</v>
      </c>
      <c r="O1133" s="1637">
        <v>42752</v>
      </c>
      <c r="P1133" s="1480">
        <v>3000000</v>
      </c>
      <c r="Q1133" s="1365">
        <v>42929</v>
      </c>
      <c r="R1133" s="1385">
        <v>3000000</v>
      </c>
      <c r="S1133" s="1357">
        <v>43132</v>
      </c>
      <c r="T1133" s="1431">
        <v>3000000</v>
      </c>
      <c r="U1133" s="1365">
        <v>43292</v>
      </c>
      <c r="V1133" s="1222" t="s">
        <v>1078</v>
      </c>
      <c r="W1133" s="1386">
        <v>43490</v>
      </c>
      <c r="X1133" s="1634">
        <v>3000000</v>
      </c>
      <c r="Y1133" s="1357">
        <v>43726</v>
      </c>
      <c r="Z1133" s="1465" t="s">
        <v>1080</v>
      </c>
      <c r="AA1133" s="1563"/>
      <c r="AB1133" s="1480">
        <v>1000000</v>
      </c>
      <c r="AC1133" s="1357">
        <v>43801</v>
      </c>
      <c r="AD1133" s="1809">
        <v>500000</v>
      </c>
      <c r="AE1133" s="1440">
        <v>43868</v>
      </c>
      <c r="AF1133" s="2300" t="s">
        <v>1329</v>
      </c>
      <c r="AG1133" s="1612"/>
      <c r="AH1133" s="1625" t="str">
        <f t="shared" si="387"/>
        <v>PAI</v>
      </c>
      <c r="AI1133" s="1680">
        <f t="shared" si="392"/>
        <v>20850000</v>
      </c>
      <c r="AJ1133" s="1681">
        <f t="shared" si="389"/>
        <v>20850000</v>
      </c>
      <c r="AK1133" s="1682">
        <f t="shared" si="393"/>
        <v>0</v>
      </c>
      <c r="AL1133" s="1691" t="str">
        <f t="shared" si="394"/>
        <v>Lunas</v>
      </c>
      <c r="AM1133" s="1410"/>
      <c r="AN1133" s="1411"/>
      <c r="AO1133" s="1410"/>
      <c r="AP1133" s="1411"/>
      <c r="AQ1133" s="1128"/>
      <c r="AR1133" s="1173"/>
      <c r="AT1133" s="1173"/>
      <c r="AV1133" s="1173"/>
      <c r="AX1133" s="1173"/>
      <c r="AY1133" s="1176"/>
      <c r="AZ1133" s="1173"/>
    </row>
    <row r="1134" spans="1:52" s="2" customFormat="1" x14ac:dyDescent="0.25">
      <c r="A1134" s="156">
        <v>1046</v>
      </c>
      <c r="B1134" s="478">
        <v>12</v>
      </c>
      <c r="C1134" s="480">
        <v>849316012</v>
      </c>
      <c r="D1134" s="479" t="s">
        <v>1622</v>
      </c>
      <c r="E1134" s="179" t="s">
        <v>1328</v>
      </c>
      <c r="F1134" s="161">
        <v>2016</v>
      </c>
      <c r="G1134" s="162" t="s">
        <v>33</v>
      </c>
      <c r="H1134" s="163">
        <f t="shared" si="385"/>
        <v>43649</v>
      </c>
      <c r="I1134" s="163">
        <f t="shared" si="386"/>
        <v>43750</v>
      </c>
      <c r="J1134" s="1975">
        <v>1350000</v>
      </c>
      <c r="K1134" s="1365"/>
      <c r="L1134" s="1480">
        <v>3000000</v>
      </c>
      <c r="M1134" s="1637">
        <v>42499</v>
      </c>
      <c r="N1134" s="1480">
        <v>3000000</v>
      </c>
      <c r="O1134" s="1637">
        <v>42759</v>
      </c>
      <c r="P1134" s="1480">
        <v>3000000</v>
      </c>
      <c r="Q1134" s="1365">
        <v>42929</v>
      </c>
      <c r="R1134" s="1480">
        <v>3000000</v>
      </c>
      <c r="S1134" s="1365">
        <v>43112</v>
      </c>
      <c r="T1134" s="1431">
        <v>3000000</v>
      </c>
      <c r="U1134" s="1365">
        <v>43357</v>
      </c>
      <c r="V1134" s="1385">
        <v>3000000</v>
      </c>
      <c r="W1134" s="1357">
        <v>43633</v>
      </c>
      <c r="X1134" s="1465" t="s">
        <v>1080</v>
      </c>
      <c r="Y1134" s="1391"/>
      <c r="Z1134" s="1363"/>
      <c r="AA1134" s="1563"/>
      <c r="AB1134" s="1480">
        <v>1000000</v>
      </c>
      <c r="AC1134" s="1357">
        <v>43633</v>
      </c>
      <c r="AD1134" s="1666" t="str">
        <f>IFERROR(VLOOKUP(C1134,BSP,3,FALSE),"  ")</f>
        <v xml:space="preserve">  </v>
      </c>
      <c r="AE1134" s="1590" t="str">
        <f>IFERROR((VLOOKUP(C1134,BSP,4,FALSE)),"  ")</f>
        <v xml:space="preserve">  </v>
      </c>
      <c r="AF1134" s="2300" t="s">
        <v>1329</v>
      </c>
      <c r="AG1134" s="1612"/>
      <c r="AH1134" s="1625" t="str">
        <f t="shared" si="387"/>
        <v>PAI</v>
      </c>
      <c r="AI1134" s="1680">
        <f t="shared" si="392"/>
        <v>20350000</v>
      </c>
      <c r="AJ1134" s="1681">
        <f t="shared" si="389"/>
        <v>20350000</v>
      </c>
      <c r="AK1134" s="1682">
        <f t="shared" si="393"/>
        <v>0</v>
      </c>
      <c r="AL1134" s="1691" t="str">
        <f t="shared" si="394"/>
        <v>Lunas</v>
      </c>
      <c r="AM1134" s="1410"/>
      <c r="AN1134" s="1411"/>
      <c r="AO1134" s="1410"/>
      <c r="AP1134" s="1411"/>
      <c r="AQ1134" s="1128"/>
      <c r="AR1134" s="1173"/>
      <c r="AT1134" s="1173"/>
      <c r="AV1134" s="1173"/>
      <c r="AX1134" s="1173"/>
      <c r="AY1134" s="1176"/>
      <c r="AZ1134" s="1173"/>
    </row>
    <row r="1135" spans="1:52" s="2" customFormat="1" x14ac:dyDescent="0.25">
      <c r="A1135" s="156">
        <v>1047</v>
      </c>
      <c r="B1135" s="478">
        <v>13</v>
      </c>
      <c r="C1135" s="480">
        <v>849316013</v>
      </c>
      <c r="D1135" s="479" t="s">
        <v>1623</v>
      </c>
      <c r="E1135" s="179" t="s">
        <v>1328</v>
      </c>
      <c r="F1135" s="161">
        <v>2016</v>
      </c>
      <c r="G1135" s="162" t="s">
        <v>33</v>
      </c>
      <c r="H1135" s="163">
        <f t="shared" si="385"/>
        <v>43497</v>
      </c>
      <c r="I1135" s="163">
        <f t="shared" si="386"/>
        <v>43587</v>
      </c>
      <c r="J1135" s="1975">
        <v>1350000</v>
      </c>
      <c r="K1135" s="1365"/>
      <c r="L1135" s="1480">
        <v>3000000</v>
      </c>
      <c r="M1135" s="1637">
        <v>42486</v>
      </c>
      <c r="N1135" s="1480">
        <v>3000000</v>
      </c>
      <c r="O1135" s="1637">
        <v>42751</v>
      </c>
      <c r="P1135" s="1480">
        <v>3000000</v>
      </c>
      <c r="Q1135" s="1365">
        <v>42929</v>
      </c>
      <c r="R1135" s="1480">
        <v>3000000</v>
      </c>
      <c r="S1135" s="1365">
        <v>43112</v>
      </c>
      <c r="T1135" s="1431">
        <v>3000000</v>
      </c>
      <c r="U1135" s="1365">
        <v>43294</v>
      </c>
      <c r="V1135" s="1465" t="s">
        <v>1080</v>
      </c>
      <c r="W1135" s="1384"/>
      <c r="X1135" s="1363"/>
      <c r="Y1135" s="1391"/>
      <c r="Z1135" s="1543"/>
      <c r="AA1135" s="1563"/>
      <c r="AB1135" s="1480">
        <v>1000000</v>
      </c>
      <c r="AC1135" s="1357">
        <v>43430</v>
      </c>
      <c r="AD1135" s="1666" t="str">
        <f>IFERROR(VLOOKUP(C1135,BSP,3,FALSE),"  ")</f>
        <v xml:space="preserve">  </v>
      </c>
      <c r="AE1135" s="1590" t="str">
        <f>IFERROR((VLOOKUP(C1135,BSP,4,FALSE)),"  ")</f>
        <v xml:space="preserve">  </v>
      </c>
      <c r="AF1135" s="2300" t="s">
        <v>1329</v>
      </c>
      <c r="AG1135" s="1612"/>
      <c r="AH1135" s="1625" t="str">
        <f t="shared" si="387"/>
        <v>PAI</v>
      </c>
      <c r="AI1135" s="1680">
        <f t="shared" si="392"/>
        <v>17350000</v>
      </c>
      <c r="AJ1135" s="1681">
        <f t="shared" si="389"/>
        <v>17350000</v>
      </c>
      <c r="AK1135" s="1682">
        <f t="shared" si="393"/>
        <v>0</v>
      </c>
      <c r="AL1135" s="1691" t="str">
        <f t="shared" si="394"/>
        <v>Lunas</v>
      </c>
      <c r="AM1135" s="1410"/>
      <c r="AN1135" s="1411"/>
      <c r="AO1135" s="1410"/>
      <c r="AP1135" s="1411"/>
      <c r="AQ1135" s="1128"/>
      <c r="AR1135" s="1173"/>
      <c r="AT1135" s="1173"/>
      <c r="AV1135" s="1173"/>
      <c r="AX1135" s="1173"/>
      <c r="AY1135" s="1176"/>
      <c r="AZ1135" s="1173"/>
    </row>
    <row r="1136" spans="1:52" s="2" customFormat="1" x14ac:dyDescent="0.25">
      <c r="A1136" s="156">
        <v>1048</v>
      </c>
      <c r="B1136" s="478">
        <v>14</v>
      </c>
      <c r="C1136" s="480">
        <v>849316014</v>
      </c>
      <c r="D1136" s="479" t="s">
        <v>1624</v>
      </c>
      <c r="E1136" s="179" t="s">
        <v>1328</v>
      </c>
      <c r="F1136" s="161">
        <v>2016</v>
      </c>
      <c r="G1136" s="162" t="s">
        <v>33</v>
      </c>
      <c r="H1136" s="163">
        <f t="shared" si="385"/>
        <v>43236</v>
      </c>
      <c r="I1136" s="163">
        <f t="shared" si="386"/>
        <v>43351</v>
      </c>
      <c r="J1136" s="1976">
        <v>1350000</v>
      </c>
      <c r="K1136" s="1357"/>
      <c r="L1136" s="1385">
        <v>3000000</v>
      </c>
      <c r="M1136" s="1383">
        <v>42487</v>
      </c>
      <c r="N1136" s="1385">
        <v>3000000</v>
      </c>
      <c r="O1136" s="1383">
        <v>42751</v>
      </c>
      <c r="P1136" s="1385">
        <v>3000000</v>
      </c>
      <c r="Q1136" s="1357">
        <v>42930</v>
      </c>
      <c r="R1136" s="1385">
        <v>3000000</v>
      </c>
      <c r="S1136" s="1357">
        <v>43112</v>
      </c>
      <c r="T1136" s="1382" t="s">
        <v>1080</v>
      </c>
      <c r="U1136" s="1474"/>
      <c r="V1136" s="1363"/>
      <c r="W1136" s="1391"/>
      <c r="X1136" s="1363"/>
      <c r="Y1136" s="1391"/>
      <c r="Z1136" s="1363"/>
      <c r="AA1136" s="1563"/>
      <c r="AB1136" s="1385">
        <v>1000000</v>
      </c>
      <c r="AC1136" s="1357">
        <v>43227</v>
      </c>
      <c r="AD1136" s="1666" t="str">
        <f>IFERROR(VLOOKUP(C1136,BSP,3,FALSE),"  ")</f>
        <v xml:space="preserve">  </v>
      </c>
      <c r="AE1136" s="1590" t="str">
        <f>IFERROR((VLOOKUP(C1136,BSP,4,FALSE)),"  ")</f>
        <v xml:space="preserve">  </v>
      </c>
      <c r="AF1136" s="2300" t="s">
        <v>1329</v>
      </c>
      <c r="AG1136" s="1612"/>
      <c r="AH1136" s="1625" t="str">
        <f t="shared" si="387"/>
        <v>PAI</v>
      </c>
      <c r="AI1136" s="1680">
        <f t="shared" si="392"/>
        <v>14350000</v>
      </c>
      <c r="AJ1136" s="1681">
        <f t="shared" si="389"/>
        <v>14350000</v>
      </c>
      <c r="AK1136" s="1682">
        <f t="shared" si="393"/>
        <v>0</v>
      </c>
      <c r="AL1136" s="1691" t="str">
        <f t="shared" si="394"/>
        <v>Lunas</v>
      </c>
      <c r="AM1136" s="1410"/>
      <c r="AN1136" s="1411"/>
      <c r="AO1136" s="1410"/>
      <c r="AP1136" s="1411"/>
      <c r="AQ1136" s="1128"/>
      <c r="AR1136" s="1173"/>
      <c r="AT1136" s="1173"/>
      <c r="AV1136" s="1173"/>
      <c r="AX1136" s="1173"/>
      <c r="AY1136" s="1176"/>
      <c r="AZ1136" s="1173"/>
    </row>
    <row r="1137" spans="1:52" s="2" customFormat="1" x14ac:dyDescent="0.25">
      <c r="A1137" s="156">
        <v>1049</v>
      </c>
      <c r="B1137" s="478">
        <v>15</v>
      </c>
      <c r="C1137" s="480">
        <v>849316015</v>
      </c>
      <c r="D1137" s="479" t="s">
        <v>1625</v>
      </c>
      <c r="E1137" s="179" t="s">
        <v>1328</v>
      </c>
      <c r="F1137" s="161">
        <v>2016</v>
      </c>
      <c r="G1137" s="162" t="s">
        <v>33</v>
      </c>
      <c r="H1137" s="163">
        <f t="shared" si="385"/>
        <v>43881</v>
      </c>
      <c r="I1137" s="163">
        <f t="shared" si="386"/>
        <v>44058</v>
      </c>
      <c r="J1137" s="1975">
        <v>1350000</v>
      </c>
      <c r="K1137" s="1365"/>
      <c r="L1137" s="1480">
        <v>3000000</v>
      </c>
      <c r="M1137" s="1637">
        <v>42494</v>
      </c>
      <c r="N1137" s="1480">
        <v>3000000</v>
      </c>
      <c r="O1137" s="1637">
        <v>42751</v>
      </c>
      <c r="P1137" s="1480">
        <v>3000000</v>
      </c>
      <c r="Q1137" s="1365">
        <v>42923</v>
      </c>
      <c r="R1137" s="1385">
        <v>3000000</v>
      </c>
      <c r="S1137" s="1357">
        <v>43143</v>
      </c>
      <c r="T1137" s="1431">
        <v>3000000</v>
      </c>
      <c r="U1137" s="1365">
        <v>43300</v>
      </c>
      <c r="V1137" s="1385">
        <v>3000000</v>
      </c>
      <c r="W1137" s="1357">
        <v>43482</v>
      </c>
      <c r="X1137" s="1385">
        <v>3000000</v>
      </c>
      <c r="Y1137" s="1357">
        <v>43871</v>
      </c>
      <c r="Z1137" s="1385">
        <v>3000000</v>
      </c>
      <c r="AA1137" s="1357">
        <v>43871</v>
      </c>
      <c r="AB1137" s="1480">
        <v>1000000</v>
      </c>
      <c r="AC1137" s="1357">
        <v>43507</v>
      </c>
      <c r="AD1137" s="1809">
        <v>500000</v>
      </c>
      <c r="AE1137" s="1357">
        <v>43871</v>
      </c>
      <c r="AF1137" s="2300" t="s">
        <v>1329</v>
      </c>
      <c r="AG1137" s="1612"/>
      <c r="AH1137" s="1625" t="str">
        <f t="shared" si="387"/>
        <v>PAI</v>
      </c>
      <c r="AI1137" s="1680">
        <f t="shared" si="392"/>
        <v>26850000</v>
      </c>
      <c r="AJ1137" s="1681">
        <f t="shared" si="389"/>
        <v>26850000</v>
      </c>
      <c r="AK1137" s="1682">
        <f t="shared" si="393"/>
        <v>0</v>
      </c>
      <c r="AL1137" s="1691" t="str">
        <f t="shared" si="394"/>
        <v>Lunas</v>
      </c>
      <c r="AM1137" s="1410"/>
      <c r="AN1137" s="1411"/>
      <c r="AO1137" s="1410"/>
      <c r="AP1137" s="1411"/>
      <c r="AQ1137" s="1128"/>
      <c r="AR1137" s="1173"/>
      <c r="AT1137" s="1173"/>
      <c r="AV1137" s="1173"/>
      <c r="AX1137" s="1173"/>
      <c r="AY1137" s="1176"/>
      <c r="AZ1137" s="1173"/>
    </row>
    <row r="1138" spans="1:52" s="2" customFormat="1" x14ac:dyDescent="0.25">
      <c r="A1138" s="156">
        <v>1050</v>
      </c>
      <c r="B1138" s="478">
        <v>16</v>
      </c>
      <c r="C1138" s="480">
        <v>849316016</v>
      </c>
      <c r="D1138" s="479" t="s">
        <v>1626</v>
      </c>
      <c r="E1138" s="179" t="s">
        <v>1328</v>
      </c>
      <c r="F1138" s="161">
        <v>2016</v>
      </c>
      <c r="G1138" s="162" t="s">
        <v>33</v>
      </c>
      <c r="H1138" s="163">
        <f t="shared" si="385"/>
        <v>43735</v>
      </c>
      <c r="I1138" s="163">
        <f t="shared" si="386"/>
        <v>43818</v>
      </c>
      <c r="J1138" s="1975">
        <v>1350000</v>
      </c>
      <c r="K1138" s="1365"/>
      <c r="L1138" s="1443">
        <v>3000000</v>
      </c>
      <c r="M1138" s="1383">
        <v>42506</v>
      </c>
      <c r="N1138" s="1480">
        <v>3000000</v>
      </c>
      <c r="O1138" s="1637">
        <v>42762</v>
      </c>
      <c r="P1138" s="1480">
        <v>3000000</v>
      </c>
      <c r="Q1138" s="1365">
        <v>42962</v>
      </c>
      <c r="R1138" s="1983" t="s">
        <v>1078</v>
      </c>
      <c r="S1138" s="1357">
        <v>43126</v>
      </c>
      <c r="T1138" s="1431">
        <v>3000000</v>
      </c>
      <c r="U1138" s="1365">
        <v>43292</v>
      </c>
      <c r="V1138" s="1385">
        <v>3000000</v>
      </c>
      <c r="W1138" s="1357">
        <v>43493</v>
      </c>
      <c r="X1138" s="1385">
        <v>3000000</v>
      </c>
      <c r="Y1138" s="1357">
        <v>43662</v>
      </c>
      <c r="Z1138" s="1980"/>
      <c r="AA1138" s="1563"/>
      <c r="AB1138" s="1480">
        <v>1000000</v>
      </c>
      <c r="AC1138" s="1357">
        <v>43724</v>
      </c>
      <c r="AD1138" s="1666" t="str">
        <f>IFERROR(VLOOKUP(C1138,BSP,3,FALSE),"  ")</f>
        <v xml:space="preserve">  </v>
      </c>
      <c r="AE1138" s="1590" t="str">
        <f>IFERROR((VLOOKUP(C1138,BSP,4,FALSE)),"  ")</f>
        <v xml:space="preserve">  </v>
      </c>
      <c r="AF1138" s="2300" t="s">
        <v>1329</v>
      </c>
      <c r="AG1138" s="1612"/>
      <c r="AH1138" s="1625" t="str">
        <f t="shared" si="387"/>
        <v>PAI</v>
      </c>
      <c r="AI1138" s="1680">
        <f t="shared" si="392"/>
        <v>20350000</v>
      </c>
      <c r="AJ1138" s="1681">
        <f t="shared" si="389"/>
        <v>20350000</v>
      </c>
      <c r="AK1138" s="1682">
        <f t="shared" si="393"/>
        <v>0</v>
      </c>
      <c r="AL1138" s="1691" t="str">
        <f t="shared" si="394"/>
        <v>Lunas</v>
      </c>
      <c r="AM1138" s="1410"/>
      <c r="AN1138" s="1411"/>
      <c r="AO1138" s="1410"/>
      <c r="AP1138" s="1411"/>
      <c r="AQ1138" s="1128"/>
      <c r="AR1138" s="1173"/>
      <c r="AT1138" s="1173"/>
      <c r="AV1138" s="1173"/>
      <c r="AX1138" s="1173"/>
      <c r="AY1138" s="1176"/>
      <c r="AZ1138" s="1173"/>
    </row>
    <row r="1139" spans="1:52" s="2" customFormat="1" x14ac:dyDescent="0.25">
      <c r="A1139" s="164">
        <v>1051</v>
      </c>
      <c r="B1139" s="475">
        <v>17</v>
      </c>
      <c r="C1139" s="477">
        <v>849316017</v>
      </c>
      <c r="D1139" s="1968" t="s">
        <v>1627</v>
      </c>
      <c r="E1139" s="441" t="s">
        <v>1328</v>
      </c>
      <c r="F1139" s="175">
        <v>2016</v>
      </c>
      <c r="G1139" s="360" t="s">
        <v>1483</v>
      </c>
      <c r="H1139" s="265" t="str">
        <f t="shared" si="385"/>
        <v xml:space="preserve">   </v>
      </c>
      <c r="I1139" s="265" t="str">
        <f t="shared" si="386"/>
        <v xml:space="preserve">   </v>
      </c>
      <c r="J1139" s="1978">
        <v>1350000</v>
      </c>
      <c r="K1139" s="1360"/>
      <c r="L1139" s="1389">
        <v>3000000</v>
      </c>
      <c r="M1139" s="1500">
        <v>42493</v>
      </c>
      <c r="N1139" s="1389">
        <v>3000000</v>
      </c>
      <c r="O1139" s="1500">
        <v>42762</v>
      </c>
      <c r="P1139" s="1389">
        <v>3000000</v>
      </c>
      <c r="Q1139" s="1360">
        <v>42937</v>
      </c>
      <c r="R1139" s="1714">
        <v>3000000</v>
      </c>
      <c r="S1139" s="1367">
        <v>43112</v>
      </c>
      <c r="T1139" s="1192" t="s">
        <v>1078</v>
      </c>
      <c r="U1139" s="1386">
        <v>43285</v>
      </c>
      <c r="V1139" s="1714">
        <v>3000000</v>
      </c>
      <c r="W1139" s="1367">
        <v>43911</v>
      </c>
      <c r="X1139" s="1714">
        <v>3000000</v>
      </c>
      <c r="Y1139" s="1367">
        <v>43911</v>
      </c>
      <c r="Z1139" s="1714">
        <v>3000000</v>
      </c>
      <c r="AA1139" s="1367">
        <v>43911</v>
      </c>
      <c r="AB1139" s="1389">
        <v>0</v>
      </c>
      <c r="AC1139" s="1367"/>
      <c r="AD1139" s="1666">
        <v>0</v>
      </c>
      <c r="AE1139" s="1590"/>
      <c r="AF1139" s="1731"/>
      <c r="AG1139" s="1367"/>
      <c r="AH1139" s="1625" t="str">
        <f t="shared" si="387"/>
        <v>PAI</v>
      </c>
      <c r="AI1139" s="1680">
        <f t="shared" si="392"/>
        <v>22350000</v>
      </c>
      <c r="AJ1139" s="1681">
        <f t="shared" si="389"/>
        <v>23850000</v>
      </c>
      <c r="AK1139" s="1682">
        <f t="shared" si="393"/>
        <v>1500000</v>
      </c>
      <c r="AL1139" s="1691" t="str">
        <f t="shared" si="394"/>
        <v>Cek</v>
      </c>
      <c r="AM1139" s="1410"/>
      <c r="AN1139" s="1411"/>
      <c r="AO1139" s="1410"/>
      <c r="AP1139" s="1411"/>
      <c r="AQ1139" s="1128"/>
      <c r="AR1139" s="1173"/>
      <c r="AT1139" s="1173"/>
      <c r="AV1139" s="1173"/>
      <c r="AX1139" s="1173"/>
      <c r="AY1139" s="1176"/>
      <c r="AZ1139" s="1173"/>
    </row>
    <row r="1140" spans="1:52" s="2" customFormat="1" x14ac:dyDescent="0.25">
      <c r="A1140" s="156">
        <v>1052</v>
      </c>
      <c r="B1140" s="478">
        <v>18</v>
      </c>
      <c r="C1140" s="477">
        <v>849316018</v>
      </c>
      <c r="D1140" s="479" t="s">
        <v>1628</v>
      </c>
      <c r="E1140" s="179" t="s">
        <v>1328</v>
      </c>
      <c r="F1140" s="161">
        <v>2016</v>
      </c>
      <c r="G1140" s="162" t="s">
        <v>33</v>
      </c>
      <c r="H1140" s="163">
        <f t="shared" si="385"/>
        <v>44057</v>
      </c>
      <c r="I1140" s="265">
        <f t="shared" si="386"/>
        <v>44186</v>
      </c>
      <c r="J1140" s="1978">
        <v>1350000</v>
      </c>
      <c r="K1140" s="1360"/>
      <c r="L1140" s="1389">
        <v>3000000</v>
      </c>
      <c r="M1140" s="1500">
        <v>42499</v>
      </c>
      <c r="N1140" s="1389">
        <v>3000000</v>
      </c>
      <c r="O1140" s="1500">
        <v>42762</v>
      </c>
      <c r="P1140" s="1389">
        <v>3000000</v>
      </c>
      <c r="Q1140" s="1360">
        <v>42930</v>
      </c>
      <c r="R1140" s="1522">
        <v>3000000</v>
      </c>
      <c r="S1140" s="1523">
        <v>43112</v>
      </c>
      <c r="T1140" s="1359">
        <v>3000000</v>
      </c>
      <c r="U1140" s="1360">
        <v>43725</v>
      </c>
      <c r="V1140" s="1522">
        <v>3000000</v>
      </c>
      <c r="W1140" s="1360">
        <v>43725</v>
      </c>
      <c r="X1140" s="1522">
        <v>3000000</v>
      </c>
      <c r="Y1140" s="1360">
        <v>43725</v>
      </c>
      <c r="Z1140" s="1731">
        <v>3000000</v>
      </c>
      <c r="AA1140" s="1367">
        <v>43517</v>
      </c>
      <c r="AB1140" s="1389">
        <v>1000000</v>
      </c>
      <c r="AC1140" s="1367">
        <v>43517</v>
      </c>
      <c r="AD1140" s="1666" t="str">
        <f>IFERROR(VLOOKUP(C1140,BSP,3,FALSE),"  ")</f>
        <v xml:space="preserve">  </v>
      </c>
      <c r="AE1140" s="1590" t="str">
        <f>IFERROR((VLOOKUP(C1140,BSP,4,FALSE)),"  ")</f>
        <v xml:space="preserve">  </v>
      </c>
      <c r="AF1140" s="2300" t="s">
        <v>1329</v>
      </c>
      <c r="AG1140" s="1612"/>
      <c r="AH1140" s="1625" t="str">
        <f t="shared" si="387"/>
        <v>PAI</v>
      </c>
      <c r="AI1140" s="1680">
        <f t="shared" si="392"/>
        <v>26350000</v>
      </c>
      <c r="AJ1140" s="1681">
        <f t="shared" si="389"/>
        <v>26350000</v>
      </c>
      <c r="AK1140" s="1682">
        <f t="shared" si="393"/>
        <v>0</v>
      </c>
      <c r="AL1140" s="1691" t="str">
        <f t="shared" si="394"/>
        <v>Lunas</v>
      </c>
      <c r="AM1140" s="1410"/>
      <c r="AN1140" s="1411"/>
      <c r="AO1140" s="1410"/>
      <c r="AP1140" s="1411"/>
      <c r="AQ1140" s="1128"/>
      <c r="AR1140" s="1173"/>
      <c r="AT1140" s="1173"/>
      <c r="AV1140" s="1173"/>
      <c r="AX1140" s="1173"/>
      <c r="AY1140" s="1176"/>
      <c r="AZ1140" s="1173"/>
    </row>
    <row r="1141" spans="1:52" s="2" customFormat="1" x14ac:dyDescent="0.25">
      <c r="A1141" s="156">
        <v>1053</v>
      </c>
      <c r="B1141" s="478">
        <v>19</v>
      </c>
      <c r="C1141" s="480">
        <v>849316019</v>
      </c>
      <c r="D1141" s="479" t="s">
        <v>1629</v>
      </c>
      <c r="E1141" s="179" t="s">
        <v>1328</v>
      </c>
      <c r="F1141" s="161">
        <v>2016</v>
      </c>
      <c r="G1141" s="162" t="s">
        <v>33</v>
      </c>
      <c r="H1141" s="163">
        <f t="shared" si="385"/>
        <v>43313</v>
      </c>
      <c r="I1141" s="163">
        <f t="shared" si="386"/>
        <v>43440</v>
      </c>
      <c r="J1141" s="1976">
        <v>1350000</v>
      </c>
      <c r="K1141" s="1357"/>
      <c r="L1141" s="1385">
        <v>3000000</v>
      </c>
      <c r="M1141" s="1383">
        <v>42493</v>
      </c>
      <c r="N1141" s="1385">
        <v>3000000</v>
      </c>
      <c r="O1141" s="1383">
        <v>42762</v>
      </c>
      <c r="P1141" s="1385">
        <v>3000000</v>
      </c>
      <c r="Q1141" s="1357">
        <v>42930</v>
      </c>
      <c r="R1141" s="1385">
        <v>3000000</v>
      </c>
      <c r="S1141" s="1357">
        <v>43115</v>
      </c>
      <c r="T1141" s="1382" t="s">
        <v>1080</v>
      </c>
      <c r="U1141" s="1474"/>
      <c r="V1141" s="1363"/>
      <c r="W1141" s="1391"/>
      <c r="X1141" s="1363"/>
      <c r="Y1141" s="1391"/>
      <c r="Z1141" s="1363"/>
      <c r="AA1141" s="1563"/>
      <c r="AB1141" s="1714">
        <v>1000000</v>
      </c>
      <c r="AC1141" s="1367">
        <v>43280</v>
      </c>
      <c r="AD1141" s="1666" t="str">
        <f>IFERROR(VLOOKUP(C1141,BSP,3,FALSE),"  ")</f>
        <v xml:space="preserve">  </v>
      </c>
      <c r="AE1141" s="1590" t="str">
        <f>IFERROR((VLOOKUP(C1141,BSP,4,FALSE)),"  ")</f>
        <v xml:space="preserve">  </v>
      </c>
      <c r="AF1141" s="2300" t="s">
        <v>1329</v>
      </c>
      <c r="AG1141" s="1612"/>
      <c r="AH1141" s="1625" t="str">
        <f t="shared" si="387"/>
        <v>PAI</v>
      </c>
      <c r="AI1141" s="1680">
        <f t="shared" si="392"/>
        <v>14350000</v>
      </c>
      <c r="AJ1141" s="1681">
        <f t="shared" si="389"/>
        <v>14350000</v>
      </c>
      <c r="AK1141" s="1682">
        <f t="shared" si="393"/>
        <v>0</v>
      </c>
      <c r="AL1141" s="1691" t="str">
        <f t="shared" si="394"/>
        <v>Lunas</v>
      </c>
      <c r="AM1141" s="1410"/>
      <c r="AN1141" s="1411"/>
      <c r="AO1141" s="1410"/>
      <c r="AP1141" s="1411"/>
      <c r="AQ1141" s="1128"/>
      <c r="AR1141" s="1173"/>
      <c r="AT1141" s="1173"/>
      <c r="AV1141" s="1173"/>
      <c r="AX1141" s="1173"/>
      <c r="AY1141" s="1176"/>
      <c r="AZ1141" s="1173"/>
    </row>
    <row r="1142" spans="1:52" s="2" customFormat="1" x14ac:dyDescent="0.25">
      <c r="A1142" s="156">
        <v>1054</v>
      </c>
      <c r="B1142" s="478">
        <v>20</v>
      </c>
      <c r="C1142" s="477">
        <v>849316020</v>
      </c>
      <c r="D1142" s="479" t="s">
        <v>1630</v>
      </c>
      <c r="E1142" s="179" t="s">
        <v>1328</v>
      </c>
      <c r="F1142" s="161">
        <v>2016</v>
      </c>
      <c r="G1142" s="162" t="s">
        <v>33</v>
      </c>
      <c r="H1142" s="163">
        <f t="shared" si="385"/>
        <v>44096</v>
      </c>
      <c r="I1142" s="265">
        <f t="shared" si="386"/>
        <v>44186</v>
      </c>
      <c r="J1142" s="1978">
        <v>1350000</v>
      </c>
      <c r="K1142" s="1360"/>
      <c r="L1142" s="1389">
        <v>3000000</v>
      </c>
      <c r="M1142" s="1500">
        <v>42487</v>
      </c>
      <c r="N1142" s="1389">
        <v>3000000</v>
      </c>
      <c r="O1142" s="1500">
        <v>42761</v>
      </c>
      <c r="P1142" s="1389">
        <v>3000000</v>
      </c>
      <c r="Q1142" s="1360">
        <v>42943</v>
      </c>
      <c r="R1142" s="1714">
        <v>3000000</v>
      </c>
      <c r="S1142" s="1367">
        <v>43116</v>
      </c>
      <c r="T1142" s="1192" t="s">
        <v>1078</v>
      </c>
      <c r="U1142" s="1386">
        <v>43285</v>
      </c>
      <c r="V1142" s="1222" t="s">
        <v>1078</v>
      </c>
      <c r="W1142" s="1386">
        <v>43490</v>
      </c>
      <c r="X1142" s="1980">
        <v>3000000</v>
      </c>
      <c r="Y1142" s="1367">
        <v>43759</v>
      </c>
      <c r="Z1142" s="1731">
        <v>3000000</v>
      </c>
      <c r="AA1142" s="1367">
        <v>43653</v>
      </c>
      <c r="AB1142" s="1389">
        <v>1000000</v>
      </c>
      <c r="AC1142" s="1367">
        <v>43653</v>
      </c>
      <c r="AD1142" s="1666">
        <v>500000</v>
      </c>
      <c r="AE1142" s="1590">
        <v>44116</v>
      </c>
      <c r="AF1142" s="2300" t="s">
        <v>1329</v>
      </c>
      <c r="AG1142" s="1612"/>
      <c r="AH1142" s="1625" t="str">
        <f t="shared" si="387"/>
        <v>PAI</v>
      </c>
      <c r="AI1142" s="1680">
        <f t="shared" si="392"/>
        <v>20850000</v>
      </c>
      <c r="AJ1142" s="1681">
        <f t="shared" si="389"/>
        <v>20850000</v>
      </c>
      <c r="AK1142" s="1682">
        <f t="shared" si="393"/>
        <v>0</v>
      </c>
      <c r="AL1142" s="1691" t="str">
        <f t="shared" si="394"/>
        <v>Lunas</v>
      </c>
      <c r="AM1142" s="1410"/>
      <c r="AN1142" s="1411" t="s">
        <v>1631</v>
      </c>
      <c r="AO1142" s="1410"/>
      <c r="AP1142" s="1411" t="s">
        <v>1631</v>
      </c>
      <c r="AQ1142" s="1128"/>
      <c r="AR1142" s="1173"/>
      <c r="AT1142" s="1173"/>
      <c r="AV1142" s="1173"/>
      <c r="AX1142" s="1173"/>
      <c r="AY1142" s="1176"/>
      <c r="AZ1142" s="1173"/>
    </row>
    <row r="1143" spans="1:52" s="2" customFormat="1" x14ac:dyDescent="0.25">
      <c r="A1143" s="156">
        <v>1055</v>
      </c>
      <c r="B1143" s="478">
        <v>21</v>
      </c>
      <c r="C1143" s="480">
        <v>849316021</v>
      </c>
      <c r="D1143" s="479" t="s">
        <v>1632</v>
      </c>
      <c r="E1143" s="179" t="s">
        <v>1328</v>
      </c>
      <c r="F1143" s="161">
        <v>2016</v>
      </c>
      <c r="G1143" s="162" t="s">
        <v>33</v>
      </c>
      <c r="H1143" s="163">
        <f t="shared" si="385"/>
        <v>44027</v>
      </c>
      <c r="I1143" s="163">
        <f t="shared" si="386"/>
        <v>44168</v>
      </c>
      <c r="J1143" s="1975">
        <v>1350000</v>
      </c>
      <c r="K1143" s="1365"/>
      <c r="L1143" s="1480">
        <v>3000000</v>
      </c>
      <c r="M1143" s="1637">
        <v>42486</v>
      </c>
      <c r="N1143" s="1480">
        <v>3000000</v>
      </c>
      <c r="O1143" s="1637">
        <v>42934</v>
      </c>
      <c r="P1143" s="1480">
        <v>3000000</v>
      </c>
      <c r="Q1143" s="1365">
        <v>42923</v>
      </c>
      <c r="R1143" s="1385">
        <v>3000000</v>
      </c>
      <c r="S1143" s="1357">
        <v>43115</v>
      </c>
      <c r="T1143" s="1431">
        <v>3000000</v>
      </c>
      <c r="U1143" s="1365">
        <v>43292</v>
      </c>
      <c r="V1143" s="1385">
        <v>3000000</v>
      </c>
      <c r="W1143" s="1357">
        <v>43537</v>
      </c>
      <c r="X1143" s="1634">
        <v>3000000</v>
      </c>
      <c r="Y1143" s="1357">
        <v>43684</v>
      </c>
      <c r="Z1143" s="1874">
        <v>3000000</v>
      </c>
      <c r="AA1143" s="1357">
        <v>43851</v>
      </c>
      <c r="AB1143" s="1385">
        <v>1000000</v>
      </c>
      <c r="AC1143" s="1357">
        <v>43852</v>
      </c>
      <c r="AD1143" s="1809">
        <f>IFERROR(VLOOKUP(C1143,BSP,3,FALSE),"  ")</f>
        <v>500000</v>
      </c>
      <c r="AE1143" s="1440">
        <f>IFERROR((VLOOKUP(C1143,BSP,4,FALSE)),"  ")</f>
        <v>44068.599421296298</v>
      </c>
      <c r="AF1143" s="2300" t="s">
        <v>1329</v>
      </c>
      <c r="AG1143" s="1612"/>
      <c r="AH1143" s="1625" t="str">
        <f t="shared" si="387"/>
        <v>PAI</v>
      </c>
      <c r="AI1143" s="1680">
        <f t="shared" si="392"/>
        <v>26850000</v>
      </c>
      <c r="AJ1143" s="1681">
        <f t="shared" si="389"/>
        <v>26850000</v>
      </c>
      <c r="AK1143" s="1682">
        <f t="shared" si="393"/>
        <v>0</v>
      </c>
      <c r="AL1143" s="1691" t="str">
        <f t="shared" si="394"/>
        <v>Lunas</v>
      </c>
      <c r="AM1143" s="1410"/>
      <c r="AN1143" s="1411"/>
      <c r="AO1143" s="1410"/>
      <c r="AP1143" s="1411"/>
      <c r="AQ1143" s="1128"/>
      <c r="AR1143" s="1173"/>
      <c r="AT1143" s="1173"/>
      <c r="AV1143" s="1173"/>
      <c r="AX1143" s="1173"/>
      <c r="AY1143" s="1176"/>
      <c r="AZ1143" s="1173"/>
    </row>
    <row r="1144" spans="1:52" s="2" customFormat="1" x14ac:dyDescent="0.25">
      <c r="A1144" s="156">
        <v>1056</v>
      </c>
      <c r="B1144" s="478">
        <v>22</v>
      </c>
      <c r="C1144" s="480">
        <v>849316022</v>
      </c>
      <c r="D1144" s="479" t="s">
        <v>1633</v>
      </c>
      <c r="E1144" s="179" t="s">
        <v>1328</v>
      </c>
      <c r="F1144" s="161">
        <v>2016</v>
      </c>
      <c r="G1144" s="162" t="s">
        <v>33</v>
      </c>
      <c r="H1144" s="163">
        <f t="shared" si="385"/>
        <v>43481</v>
      </c>
      <c r="I1144" s="163">
        <f t="shared" si="386"/>
        <v>43587</v>
      </c>
      <c r="J1144" s="1975">
        <v>1350000</v>
      </c>
      <c r="K1144" s="1365"/>
      <c r="L1144" s="1480">
        <v>3000000</v>
      </c>
      <c r="M1144" s="1637">
        <v>42493</v>
      </c>
      <c r="N1144" s="1480">
        <v>3000000</v>
      </c>
      <c r="O1144" s="1637">
        <v>42759</v>
      </c>
      <c r="P1144" s="1480">
        <v>3000000</v>
      </c>
      <c r="Q1144" s="1365">
        <v>42943</v>
      </c>
      <c r="R1144" s="1480">
        <v>3000000</v>
      </c>
      <c r="S1144" s="1365">
        <v>43116</v>
      </c>
      <c r="T1144" s="1431">
        <v>3000000</v>
      </c>
      <c r="U1144" s="1365">
        <v>43294</v>
      </c>
      <c r="V1144" s="1465" t="s">
        <v>1080</v>
      </c>
      <c r="W1144" s="1384"/>
      <c r="X1144" s="1363"/>
      <c r="Y1144" s="1391"/>
      <c r="Z1144" s="1363"/>
      <c r="AA1144" s="1563"/>
      <c r="AB1144" s="1480">
        <v>1000000</v>
      </c>
      <c r="AC1144" s="1357">
        <v>43149</v>
      </c>
      <c r="AD1144" s="1666" t="str">
        <f>IFERROR(VLOOKUP(C1144,BSP,3,FALSE),"  ")</f>
        <v xml:space="preserve">  </v>
      </c>
      <c r="AE1144" s="1590" t="str">
        <f>IFERROR((VLOOKUP(C1144,BSP,4,FALSE)),"  ")</f>
        <v xml:space="preserve">  </v>
      </c>
      <c r="AF1144" s="2300" t="s">
        <v>1329</v>
      </c>
      <c r="AG1144" s="1612"/>
      <c r="AH1144" s="1625" t="str">
        <f t="shared" si="387"/>
        <v>PAI</v>
      </c>
      <c r="AI1144" s="1680">
        <f t="shared" si="392"/>
        <v>17350000</v>
      </c>
      <c r="AJ1144" s="1681">
        <f t="shared" si="389"/>
        <v>17350000</v>
      </c>
      <c r="AK1144" s="1682">
        <f t="shared" si="393"/>
        <v>0</v>
      </c>
      <c r="AL1144" s="1691" t="str">
        <f t="shared" si="394"/>
        <v>Lunas</v>
      </c>
      <c r="AM1144" s="1410"/>
      <c r="AN1144" s="1411"/>
      <c r="AO1144" s="1410"/>
      <c r="AP1144" s="1411"/>
      <c r="AQ1144" s="1128"/>
      <c r="AR1144" s="1173"/>
      <c r="AT1144" s="1173"/>
      <c r="AV1144" s="1173"/>
      <c r="AX1144" s="1173"/>
      <c r="AY1144" s="1176"/>
      <c r="AZ1144" s="1173"/>
    </row>
    <row r="1145" spans="1:52" s="2" customFormat="1" x14ac:dyDescent="0.25">
      <c r="A1145" s="156">
        <v>1057</v>
      </c>
      <c r="B1145" s="478">
        <v>23</v>
      </c>
      <c r="C1145" s="480">
        <v>849316023</v>
      </c>
      <c r="D1145" s="479" t="s">
        <v>1634</v>
      </c>
      <c r="E1145" s="179" t="s">
        <v>1328</v>
      </c>
      <c r="F1145" s="161">
        <v>2016</v>
      </c>
      <c r="G1145" s="272" t="s">
        <v>33</v>
      </c>
      <c r="H1145" s="163">
        <f t="shared" si="385"/>
        <v>43489</v>
      </c>
      <c r="I1145" s="163">
        <f t="shared" si="386"/>
        <v>43750</v>
      </c>
      <c r="J1145" s="1975">
        <v>1350000</v>
      </c>
      <c r="K1145" s="1365"/>
      <c r="L1145" s="1480">
        <v>3000000</v>
      </c>
      <c r="M1145" s="1637">
        <v>42488</v>
      </c>
      <c r="N1145" s="1480">
        <v>3000000</v>
      </c>
      <c r="O1145" s="1637">
        <v>42744</v>
      </c>
      <c r="P1145" s="1480">
        <v>3000000</v>
      </c>
      <c r="Q1145" s="1365">
        <v>42930</v>
      </c>
      <c r="R1145" s="1480">
        <v>3000000</v>
      </c>
      <c r="S1145" s="1365">
        <v>43112</v>
      </c>
      <c r="T1145" s="1431">
        <v>3000000</v>
      </c>
      <c r="U1145" s="1365">
        <v>43293</v>
      </c>
      <c r="V1145" s="1465" t="s">
        <v>1080</v>
      </c>
      <c r="W1145" s="1384"/>
      <c r="X1145" s="1363"/>
      <c r="Y1145" s="1391"/>
      <c r="Z1145" s="1543"/>
      <c r="AA1145" s="1563"/>
      <c r="AB1145" s="1480">
        <v>1000000</v>
      </c>
      <c r="AC1145" s="1357">
        <v>43496</v>
      </c>
      <c r="AD1145" s="1666" t="str">
        <f>IFERROR(VLOOKUP(C1145,BSP,3,FALSE),"  ")</f>
        <v xml:space="preserve">  </v>
      </c>
      <c r="AE1145" s="1590" t="str">
        <f>IFERROR((VLOOKUP(C1145,BSP,4,FALSE)),"  ")</f>
        <v xml:space="preserve">  </v>
      </c>
      <c r="AF1145" s="2300" t="s">
        <v>1329</v>
      </c>
      <c r="AG1145" s="1612"/>
      <c r="AH1145" s="1625" t="str">
        <f t="shared" si="387"/>
        <v>PAI</v>
      </c>
      <c r="AI1145" s="1680">
        <f t="shared" si="392"/>
        <v>17350000</v>
      </c>
      <c r="AJ1145" s="1681">
        <f t="shared" si="389"/>
        <v>17350000</v>
      </c>
      <c r="AK1145" s="1682">
        <f t="shared" si="393"/>
        <v>0</v>
      </c>
      <c r="AL1145" s="1691" t="str">
        <f t="shared" si="394"/>
        <v>Lunas</v>
      </c>
      <c r="AM1145" s="1410"/>
      <c r="AN1145" s="1411"/>
      <c r="AO1145" s="1410"/>
      <c r="AP1145" s="1411"/>
      <c r="AQ1145" s="1128"/>
      <c r="AR1145" s="1173"/>
      <c r="AT1145" s="1173"/>
      <c r="AV1145" s="1173"/>
      <c r="AX1145" s="1173"/>
      <c r="AY1145" s="1176"/>
      <c r="AZ1145" s="1173"/>
    </row>
    <row r="1146" spans="1:52" s="2" customFormat="1" x14ac:dyDescent="0.25">
      <c r="A1146" s="164">
        <v>1058</v>
      </c>
      <c r="B1146" s="475">
        <v>24</v>
      </c>
      <c r="C1146" s="477">
        <v>849316024</v>
      </c>
      <c r="D1146" s="476" t="s">
        <v>1635</v>
      </c>
      <c r="E1146" s="441" t="s">
        <v>1328</v>
      </c>
      <c r="F1146" s="175">
        <v>2016</v>
      </c>
      <c r="G1146" s="1758" t="s">
        <v>28</v>
      </c>
      <c r="H1146" s="265" t="str">
        <f t="shared" si="385"/>
        <v xml:space="preserve">   </v>
      </c>
      <c r="I1146" s="265" t="str">
        <f t="shared" si="386"/>
        <v xml:space="preserve">   </v>
      </c>
      <c r="J1146" s="1978">
        <v>1350000</v>
      </c>
      <c r="K1146" s="1360"/>
      <c r="L1146" s="1389">
        <v>3000000</v>
      </c>
      <c r="M1146" s="1500">
        <v>42499</v>
      </c>
      <c r="N1146" s="1389">
        <v>3000000</v>
      </c>
      <c r="O1146" s="1500">
        <v>42762</v>
      </c>
      <c r="P1146" s="1389">
        <v>3000000</v>
      </c>
      <c r="Q1146" s="1360">
        <v>41834</v>
      </c>
      <c r="R1146" s="1522">
        <v>3000000</v>
      </c>
      <c r="S1146" s="1523">
        <v>43116</v>
      </c>
      <c r="T1146" s="1430">
        <v>0</v>
      </c>
      <c r="U1146" s="1360"/>
      <c r="V1146" s="1714">
        <v>0</v>
      </c>
      <c r="W1146" s="1367"/>
      <c r="X1146" s="1980">
        <v>0</v>
      </c>
      <c r="Y1146" s="1367"/>
      <c r="Z1146" s="1731">
        <v>0</v>
      </c>
      <c r="AA1146" s="1367"/>
      <c r="AB1146" s="1389">
        <v>0</v>
      </c>
      <c r="AC1146" s="1367"/>
      <c r="AD1146" s="1666">
        <v>0</v>
      </c>
      <c r="AE1146" s="1590" t="str">
        <f>IFERROR((VLOOKUP(C1146,BSP,4,FALSE)),"  ")</f>
        <v xml:space="preserve">  </v>
      </c>
      <c r="AF1146" s="1731" t="str">
        <f>IFERROR(VLOOKUP(C1146,BSP,3,FALSE),"  ")</f>
        <v xml:space="preserve">  </v>
      </c>
      <c r="AG1146" s="1367" t="str">
        <f>IFERROR((VLOOKUP(C1146,BSP,4,FALSE)),"  ")</f>
        <v xml:space="preserve">  </v>
      </c>
      <c r="AH1146" s="1625" t="str">
        <f t="shared" si="387"/>
        <v>PAI</v>
      </c>
      <c r="AI1146" s="1680">
        <f t="shared" si="392"/>
        <v>13350000</v>
      </c>
      <c r="AJ1146" s="1681">
        <f t="shared" si="389"/>
        <v>26850000</v>
      </c>
      <c r="AK1146" s="1682">
        <f t="shared" si="393"/>
        <v>13500000</v>
      </c>
      <c r="AL1146" s="1691" t="str">
        <f t="shared" si="394"/>
        <v>Cek</v>
      </c>
      <c r="AM1146" s="1410"/>
      <c r="AN1146" s="1411"/>
      <c r="AO1146" s="1410"/>
      <c r="AP1146" s="1411"/>
      <c r="AQ1146" s="1128"/>
      <c r="AR1146" s="1173"/>
      <c r="AT1146" s="1173"/>
      <c r="AV1146" s="1173"/>
      <c r="AX1146" s="1173"/>
      <c r="AY1146" s="1176"/>
      <c r="AZ1146" s="1173"/>
    </row>
    <row r="1147" spans="1:52" s="2" customFormat="1" x14ac:dyDescent="0.25">
      <c r="A1147" s="164">
        <v>1059</v>
      </c>
      <c r="B1147" s="475">
        <v>25</v>
      </c>
      <c r="C1147" s="477">
        <v>849316025</v>
      </c>
      <c r="D1147" s="476" t="s">
        <v>1636</v>
      </c>
      <c r="E1147" s="441" t="s">
        <v>1328</v>
      </c>
      <c r="F1147" s="175">
        <v>2016</v>
      </c>
      <c r="G1147" s="1758" t="s">
        <v>28</v>
      </c>
      <c r="H1147" s="265" t="str">
        <f t="shared" si="385"/>
        <v xml:space="preserve">   </v>
      </c>
      <c r="I1147" s="265" t="str">
        <f t="shared" si="386"/>
        <v xml:space="preserve">   </v>
      </c>
      <c r="J1147" s="1978">
        <v>1350000</v>
      </c>
      <c r="K1147" s="1360"/>
      <c r="L1147" s="1389">
        <v>3000000</v>
      </c>
      <c r="M1147" s="1500">
        <v>42499</v>
      </c>
      <c r="N1147" s="1389">
        <v>3000000</v>
      </c>
      <c r="O1147" s="1500">
        <v>42762</v>
      </c>
      <c r="P1147" s="1389">
        <v>3000000</v>
      </c>
      <c r="Q1147" s="1360">
        <v>41834</v>
      </c>
      <c r="R1147" s="1522">
        <v>3000000</v>
      </c>
      <c r="S1147" s="1523">
        <v>43116</v>
      </c>
      <c r="T1147" s="1430">
        <v>0</v>
      </c>
      <c r="U1147" s="1360"/>
      <c r="V1147" s="1714">
        <v>0</v>
      </c>
      <c r="W1147" s="1367"/>
      <c r="X1147" s="1980">
        <v>0</v>
      </c>
      <c r="Y1147" s="1367"/>
      <c r="Z1147" s="1731">
        <v>0</v>
      </c>
      <c r="AA1147" s="1367"/>
      <c r="AB1147" s="1389">
        <v>0</v>
      </c>
      <c r="AC1147" s="1367"/>
      <c r="AD1147" s="1666">
        <v>0</v>
      </c>
      <c r="AE1147" s="1590" t="str">
        <f>IFERROR((VLOOKUP(C1147,BSP,4,FALSE)),"  ")</f>
        <v xml:space="preserve">  </v>
      </c>
      <c r="AF1147" s="1731" t="str">
        <f>IFERROR(VLOOKUP(C1147,BSP,3,FALSE),"  ")</f>
        <v xml:space="preserve">  </v>
      </c>
      <c r="AG1147" s="1367" t="str">
        <f>IFERROR((VLOOKUP(C1147,BSP,4,FALSE)),"  ")</f>
        <v xml:space="preserve">  </v>
      </c>
      <c r="AH1147" s="1625" t="str">
        <f t="shared" si="387"/>
        <v>PAI</v>
      </c>
      <c r="AI1147" s="1680">
        <f t="shared" si="392"/>
        <v>13350000</v>
      </c>
      <c r="AJ1147" s="1681">
        <f t="shared" si="389"/>
        <v>26850000</v>
      </c>
      <c r="AK1147" s="1682">
        <f t="shared" si="393"/>
        <v>13500000</v>
      </c>
      <c r="AL1147" s="1691" t="str">
        <f t="shared" si="394"/>
        <v>Cek</v>
      </c>
      <c r="AM1147" s="1410"/>
      <c r="AN1147" s="1411"/>
      <c r="AO1147" s="1410"/>
      <c r="AP1147" s="1411"/>
      <c r="AQ1147" s="1128"/>
      <c r="AR1147" s="1173"/>
      <c r="AT1147" s="1173"/>
      <c r="AV1147" s="1173"/>
      <c r="AX1147" s="1173"/>
      <c r="AY1147" s="1176"/>
      <c r="AZ1147" s="1173"/>
    </row>
    <row r="1148" spans="1:52" s="2" customFormat="1" x14ac:dyDescent="0.25">
      <c r="A1148" s="156">
        <v>1060</v>
      </c>
      <c r="B1148" s="478">
        <v>26</v>
      </c>
      <c r="C1148" s="480">
        <v>849316026</v>
      </c>
      <c r="D1148" s="479" t="s">
        <v>1637</v>
      </c>
      <c r="E1148" s="179" t="s">
        <v>1328</v>
      </c>
      <c r="F1148" s="161">
        <v>2016</v>
      </c>
      <c r="G1148" s="272" t="s">
        <v>33</v>
      </c>
      <c r="H1148" s="163">
        <f t="shared" si="385"/>
        <v>44051</v>
      </c>
      <c r="I1148" s="163">
        <f t="shared" si="386"/>
        <v>44168</v>
      </c>
      <c r="J1148" s="1975">
        <v>1350000</v>
      </c>
      <c r="K1148" s="1365"/>
      <c r="L1148" s="1480">
        <v>3000000</v>
      </c>
      <c r="M1148" s="1637">
        <v>42494</v>
      </c>
      <c r="N1148" s="1480">
        <v>3000000</v>
      </c>
      <c r="O1148" s="1637">
        <v>42760</v>
      </c>
      <c r="P1148" s="1480">
        <v>3000000</v>
      </c>
      <c r="Q1148" s="1365">
        <v>42929</v>
      </c>
      <c r="R1148" s="1385">
        <v>3000000</v>
      </c>
      <c r="S1148" s="1357">
        <v>43116</v>
      </c>
      <c r="T1148" s="1431">
        <v>3000000</v>
      </c>
      <c r="U1148" s="1365">
        <v>43293</v>
      </c>
      <c r="V1148" s="1385">
        <v>3000000</v>
      </c>
      <c r="W1148" s="1357">
        <v>43901</v>
      </c>
      <c r="X1148" s="1634">
        <v>3000000</v>
      </c>
      <c r="Y1148" s="1357">
        <v>43901</v>
      </c>
      <c r="Z1148" s="1874">
        <v>3000000</v>
      </c>
      <c r="AA1148" s="1357">
        <v>43901</v>
      </c>
      <c r="AB1148" s="1480">
        <v>1000000</v>
      </c>
      <c r="AC1148" s="1357">
        <v>44026</v>
      </c>
      <c r="AD1148" s="1809">
        <v>500000</v>
      </c>
      <c r="AE1148" s="1440">
        <v>44082</v>
      </c>
      <c r="AF1148" s="2300" t="s">
        <v>1329</v>
      </c>
      <c r="AG1148" s="1612"/>
      <c r="AH1148" s="1625" t="str">
        <f t="shared" si="387"/>
        <v>PAI</v>
      </c>
      <c r="AI1148" s="1680">
        <f t="shared" si="392"/>
        <v>26850000</v>
      </c>
      <c r="AJ1148" s="1681">
        <f t="shared" si="389"/>
        <v>26850000</v>
      </c>
      <c r="AK1148" s="1682">
        <f t="shared" si="393"/>
        <v>0</v>
      </c>
      <c r="AL1148" s="1691" t="str">
        <f t="shared" si="394"/>
        <v>Lunas</v>
      </c>
      <c r="AM1148" s="1410"/>
      <c r="AN1148" s="1411"/>
      <c r="AO1148" s="1410"/>
      <c r="AP1148" s="1411"/>
      <c r="AQ1148" s="1128"/>
      <c r="AR1148" s="1173"/>
      <c r="AT1148" s="1173"/>
      <c r="AV1148" s="1173"/>
      <c r="AX1148" s="1173"/>
      <c r="AY1148" s="1176"/>
      <c r="AZ1148" s="1173"/>
    </row>
    <row r="1149" spans="1:52" s="2" customFormat="1" x14ac:dyDescent="0.25">
      <c r="A1149" s="164">
        <v>1061</v>
      </c>
      <c r="B1149" s="475">
        <v>27</v>
      </c>
      <c r="C1149" s="477">
        <v>849316027</v>
      </c>
      <c r="D1149" s="476" t="s">
        <v>1638</v>
      </c>
      <c r="E1149" s="441" t="s">
        <v>1328</v>
      </c>
      <c r="F1149" s="175">
        <v>2016</v>
      </c>
      <c r="G1149" s="1758" t="s">
        <v>28</v>
      </c>
      <c r="H1149" s="265" t="str">
        <f t="shared" si="385"/>
        <v xml:space="preserve">   </v>
      </c>
      <c r="I1149" s="265" t="str">
        <f t="shared" si="386"/>
        <v xml:space="preserve">   </v>
      </c>
      <c r="J1149" s="1978">
        <v>1350000</v>
      </c>
      <c r="K1149" s="1360"/>
      <c r="L1149" s="1389">
        <v>3000000</v>
      </c>
      <c r="M1149" s="1500">
        <v>42551</v>
      </c>
      <c r="N1149" s="1714">
        <v>3000000</v>
      </c>
      <c r="O1149" s="1503">
        <v>42759</v>
      </c>
      <c r="P1149" s="1389">
        <v>3000000</v>
      </c>
      <c r="Q1149" s="1360">
        <v>42920</v>
      </c>
      <c r="R1149" s="1714">
        <v>3000000</v>
      </c>
      <c r="S1149" s="1367">
        <v>43116</v>
      </c>
      <c r="T1149" s="1192" t="s">
        <v>1078</v>
      </c>
      <c r="U1149" s="1386">
        <v>43353</v>
      </c>
      <c r="V1149" s="1714">
        <v>0</v>
      </c>
      <c r="W1149" s="1367"/>
      <c r="X1149" s="1980">
        <v>0</v>
      </c>
      <c r="Y1149" s="1367"/>
      <c r="Z1149" s="1731">
        <v>0</v>
      </c>
      <c r="AA1149" s="1367"/>
      <c r="AB1149" s="1389">
        <v>0</v>
      </c>
      <c r="AC1149" s="1367"/>
      <c r="AD1149" s="1666">
        <v>0</v>
      </c>
      <c r="AE1149" s="1590" t="str">
        <f>IFERROR((VLOOKUP(C1149,BSP,4,FALSE)),"  ")</f>
        <v xml:space="preserve">  </v>
      </c>
      <c r="AF1149" s="1731" t="str">
        <f>IFERROR(VLOOKUP(C1149,BSP,3,FALSE),"  ")</f>
        <v xml:space="preserve">  </v>
      </c>
      <c r="AG1149" s="1367" t="str">
        <f>IFERROR((VLOOKUP(C1149,BSP,4,FALSE)),"  ")</f>
        <v xml:space="preserve">  </v>
      </c>
      <c r="AH1149" s="1625" t="str">
        <f t="shared" si="387"/>
        <v>PAI</v>
      </c>
      <c r="AI1149" s="1680">
        <f t="shared" si="392"/>
        <v>13350000</v>
      </c>
      <c r="AJ1149" s="1681">
        <f t="shared" si="389"/>
        <v>23850000</v>
      </c>
      <c r="AK1149" s="1682">
        <f t="shared" si="393"/>
        <v>10500000</v>
      </c>
      <c r="AL1149" s="1691" t="str">
        <f t="shared" si="394"/>
        <v>Cek</v>
      </c>
      <c r="AM1149" s="1410"/>
      <c r="AN1149" s="1411"/>
      <c r="AO1149" s="1410"/>
      <c r="AP1149" s="1411"/>
      <c r="AQ1149" s="1128"/>
      <c r="AR1149" s="1173"/>
      <c r="AT1149" s="1173"/>
      <c r="AV1149" s="1173"/>
      <c r="AX1149" s="1173"/>
      <c r="AY1149" s="1176"/>
      <c r="AZ1149" s="1173"/>
    </row>
    <row r="1150" spans="1:52" s="2" customFormat="1" x14ac:dyDescent="0.25">
      <c r="A1150" s="156">
        <v>1062</v>
      </c>
      <c r="B1150" s="478">
        <v>28</v>
      </c>
      <c r="C1150" s="480">
        <v>849316028</v>
      </c>
      <c r="D1150" s="479" t="s">
        <v>1639</v>
      </c>
      <c r="E1150" s="179" t="s">
        <v>1328</v>
      </c>
      <c r="F1150" s="161">
        <v>2016</v>
      </c>
      <c r="G1150" s="272" t="s">
        <v>33</v>
      </c>
      <c r="H1150" s="163">
        <f t="shared" si="385"/>
        <v>43305</v>
      </c>
      <c r="I1150" s="163">
        <f t="shared" si="386"/>
        <v>43750</v>
      </c>
      <c r="J1150" s="1975">
        <v>1350000</v>
      </c>
      <c r="K1150" s="1365"/>
      <c r="L1150" s="1480">
        <v>3000000</v>
      </c>
      <c r="M1150" s="1637">
        <v>42549</v>
      </c>
      <c r="N1150" s="1480">
        <v>3000000</v>
      </c>
      <c r="O1150" s="1637">
        <v>42753</v>
      </c>
      <c r="P1150" s="1480">
        <v>3000000</v>
      </c>
      <c r="Q1150" s="1365">
        <v>42929</v>
      </c>
      <c r="R1150" s="1385">
        <v>3000000</v>
      </c>
      <c r="S1150" s="1357">
        <v>43109</v>
      </c>
      <c r="T1150" s="1382" t="s">
        <v>1080</v>
      </c>
      <c r="U1150" s="1391"/>
      <c r="V1150" s="1363"/>
      <c r="W1150" s="1391"/>
      <c r="X1150" s="1363"/>
      <c r="Y1150" s="1391"/>
      <c r="Z1150" s="1363"/>
      <c r="AA1150" s="1563"/>
      <c r="AB1150" s="1385">
        <v>1000000</v>
      </c>
      <c r="AC1150" s="1357">
        <v>43276</v>
      </c>
      <c r="AD1150" s="1666" t="str">
        <f>IFERROR(VLOOKUP(C1150,BSP,3,FALSE),"  ")</f>
        <v xml:space="preserve">  </v>
      </c>
      <c r="AE1150" s="1590" t="str">
        <f>IFERROR((VLOOKUP(C1150,BSP,4,FALSE)),"  ")</f>
        <v xml:space="preserve">  </v>
      </c>
      <c r="AF1150" s="2300" t="s">
        <v>1329</v>
      </c>
      <c r="AG1150" s="1612"/>
      <c r="AH1150" s="1625" t="str">
        <f t="shared" si="387"/>
        <v>PAI</v>
      </c>
      <c r="AI1150" s="1680">
        <f t="shared" si="392"/>
        <v>14350000</v>
      </c>
      <c r="AJ1150" s="1681">
        <f t="shared" si="389"/>
        <v>14350000</v>
      </c>
      <c r="AK1150" s="1682">
        <f t="shared" si="393"/>
        <v>0</v>
      </c>
      <c r="AL1150" s="1691" t="str">
        <f t="shared" si="394"/>
        <v>Lunas</v>
      </c>
      <c r="AM1150" s="1410"/>
      <c r="AN1150" s="1411"/>
      <c r="AO1150" s="1410"/>
      <c r="AP1150" s="1411"/>
      <c r="AQ1150" s="1128"/>
      <c r="AR1150" s="1173"/>
      <c r="AT1150" s="1173"/>
      <c r="AV1150" s="1173"/>
      <c r="AX1150" s="1173"/>
      <c r="AY1150" s="1176"/>
      <c r="AZ1150" s="1173"/>
    </row>
    <row r="1151" spans="1:52" s="2" customFormat="1" x14ac:dyDescent="0.25">
      <c r="A1151" s="164">
        <v>1063</v>
      </c>
      <c r="B1151" s="475">
        <v>29</v>
      </c>
      <c r="C1151" s="477">
        <v>849316029</v>
      </c>
      <c r="D1151" s="1968" t="s">
        <v>1640</v>
      </c>
      <c r="E1151" s="441" t="s">
        <v>1328</v>
      </c>
      <c r="F1151" s="175">
        <v>2016</v>
      </c>
      <c r="G1151" s="1758" t="s">
        <v>28</v>
      </c>
      <c r="H1151" s="265" t="str">
        <f t="shared" ref="H1151:H1172" si="397">IFERROR(VLOOKUP(C1151,Tlus,3,FALSE),"   ")</f>
        <v xml:space="preserve">   </v>
      </c>
      <c r="I1151" s="265" t="str">
        <f t="shared" ref="I1151:I1172" si="398">IFERROR(VLOOKUP(C1151,Wis,4,FALSE),"   ")</f>
        <v xml:space="preserve">   </v>
      </c>
      <c r="J1151" s="1978">
        <v>1350000</v>
      </c>
      <c r="K1151" s="1360"/>
      <c r="L1151" s="1389">
        <v>3000000</v>
      </c>
      <c r="M1151" s="1503">
        <v>42562</v>
      </c>
      <c r="N1151" s="1389">
        <v>3000000</v>
      </c>
      <c r="O1151" s="1500">
        <v>42761</v>
      </c>
      <c r="P1151" s="1389">
        <v>3000000</v>
      </c>
      <c r="Q1151" s="1360">
        <v>42926</v>
      </c>
      <c r="R1151" s="1714">
        <v>3000000</v>
      </c>
      <c r="S1151" s="1367">
        <v>43112</v>
      </c>
      <c r="T1151" s="1430">
        <v>3000000</v>
      </c>
      <c r="U1151" s="1360">
        <v>43293</v>
      </c>
      <c r="V1151" s="1714">
        <v>0</v>
      </c>
      <c r="W1151" s="1367"/>
      <c r="X1151" s="1980">
        <v>0</v>
      </c>
      <c r="Y1151" s="1367"/>
      <c r="Z1151" s="1731">
        <v>0</v>
      </c>
      <c r="AA1151" s="1367"/>
      <c r="AB1151" s="1389">
        <v>0</v>
      </c>
      <c r="AC1151" s="1367"/>
      <c r="AD1151" s="1666">
        <v>0</v>
      </c>
      <c r="AE1151" s="1590" t="str">
        <f>IFERROR((VLOOKUP(C1151,BSP,4,FALSE)),"  ")</f>
        <v xml:space="preserve">  </v>
      </c>
      <c r="AF1151" s="1731" t="str">
        <f>IFERROR(VLOOKUP(C1151,BSP,3,FALSE),"  ")</f>
        <v xml:space="preserve">  </v>
      </c>
      <c r="AG1151" s="1367" t="str">
        <f>IFERROR((VLOOKUP(C1151,BSP,4,FALSE)),"  ")</f>
        <v xml:space="preserve">  </v>
      </c>
      <c r="AH1151" s="1625" t="str">
        <f t="shared" si="387"/>
        <v>PAI</v>
      </c>
      <c r="AI1151" s="1680">
        <f t="shared" si="392"/>
        <v>16350000</v>
      </c>
      <c r="AJ1151" s="1681">
        <f t="shared" si="389"/>
        <v>26850000</v>
      </c>
      <c r="AK1151" s="1682">
        <f t="shared" si="393"/>
        <v>10500000</v>
      </c>
      <c r="AL1151" s="1691" t="str">
        <f t="shared" si="394"/>
        <v>Cek</v>
      </c>
      <c r="AM1151" s="1410"/>
      <c r="AN1151" s="1411"/>
      <c r="AO1151" s="1410"/>
      <c r="AP1151" s="1411"/>
      <c r="AQ1151" s="1128"/>
      <c r="AR1151" s="1173"/>
      <c r="AT1151" s="1173"/>
      <c r="AV1151" s="1173"/>
      <c r="AX1151" s="1173"/>
      <c r="AY1151" s="1176"/>
      <c r="AZ1151" s="1173"/>
    </row>
    <row r="1152" spans="1:52" s="2" customFormat="1" x14ac:dyDescent="0.25">
      <c r="A1152" s="156">
        <v>1064</v>
      </c>
      <c r="B1152" s="478">
        <v>30</v>
      </c>
      <c r="C1152" s="477">
        <v>849316030</v>
      </c>
      <c r="D1152" s="479" t="s">
        <v>1641</v>
      </c>
      <c r="E1152" s="179" t="s">
        <v>1328</v>
      </c>
      <c r="F1152" s="161">
        <v>2016</v>
      </c>
      <c r="G1152" s="162" t="s">
        <v>33</v>
      </c>
      <c r="H1152" s="163">
        <f t="shared" si="397"/>
        <v>43837</v>
      </c>
      <c r="I1152" s="265">
        <f t="shared" si="398"/>
        <v>44186</v>
      </c>
      <c r="J1152" s="1978">
        <v>1350000</v>
      </c>
      <c r="K1152" s="1360"/>
      <c r="L1152" s="1389">
        <v>3000000</v>
      </c>
      <c r="M1152" s="1500">
        <v>42550</v>
      </c>
      <c r="N1152" s="1389">
        <v>3000000</v>
      </c>
      <c r="O1152" s="1500">
        <v>42761</v>
      </c>
      <c r="P1152" s="1389">
        <v>3000000</v>
      </c>
      <c r="Q1152" s="1360">
        <v>42930</v>
      </c>
      <c r="R1152" s="1714">
        <v>3000000</v>
      </c>
      <c r="S1152" s="1367">
        <v>43116</v>
      </c>
      <c r="T1152" s="1430">
        <v>3000000</v>
      </c>
      <c r="U1152" s="1360">
        <v>43294</v>
      </c>
      <c r="V1152" s="1714">
        <v>3000000</v>
      </c>
      <c r="W1152" s="1367">
        <v>43779</v>
      </c>
      <c r="X1152" s="1980">
        <v>3000000</v>
      </c>
      <c r="Y1152" s="1367">
        <v>43779</v>
      </c>
      <c r="Z1152" s="1980"/>
      <c r="AA1152" s="1563"/>
      <c r="AB1152" s="1389">
        <v>1000000</v>
      </c>
      <c r="AC1152" s="1367">
        <v>43822</v>
      </c>
      <c r="AD1152" s="1666">
        <v>500000</v>
      </c>
      <c r="AE1152" s="1590">
        <v>44092</v>
      </c>
      <c r="AF1152" s="2300" t="s">
        <v>1329</v>
      </c>
      <c r="AG1152" s="1612"/>
      <c r="AH1152" s="1625" t="str">
        <f t="shared" si="387"/>
        <v>PAI</v>
      </c>
      <c r="AI1152" s="1680">
        <f t="shared" si="392"/>
        <v>23850000</v>
      </c>
      <c r="AJ1152" s="1681">
        <f t="shared" si="389"/>
        <v>23850000</v>
      </c>
      <c r="AK1152" s="1682">
        <f t="shared" si="393"/>
        <v>0</v>
      </c>
      <c r="AL1152" s="1691" t="str">
        <f t="shared" si="394"/>
        <v>Lunas</v>
      </c>
      <c r="AM1152" s="1410"/>
      <c r="AN1152" s="1411"/>
      <c r="AO1152" s="1410"/>
      <c r="AP1152" s="1411"/>
      <c r="AQ1152" s="1128"/>
      <c r="AR1152" s="1173"/>
      <c r="AT1152" s="1173"/>
      <c r="AV1152" s="1173"/>
      <c r="AX1152" s="1173"/>
      <c r="AY1152" s="1176"/>
      <c r="AZ1152" s="1173"/>
    </row>
    <row r="1153" spans="1:52" s="2" customFormat="1" x14ac:dyDescent="0.25">
      <c r="A1153" s="164">
        <v>1065</v>
      </c>
      <c r="B1153" s="475">
        <v>31</v>
      </c>
      <c r="C1153" s="484">
        <v>849316031</v>
      </c>
      <c r="D1153" s="483" t="s">
        <v>1642</v>
      </c>
      <c r="E1153" s="444" t="s">
        <v>1328</v>
      </c>
      <c r="F1153" s="445">
        <v>2016</v>
      </c>
      <c r="G1153" s="1758" t="s">
        <v>1483</v>
      </c>
      <c r="H1153" s="446" t="str">
        <f t="shared" si="397"/>
        <v xml:space="preserve">   </v>
      </c>
      <c r="I1153" s="446" t="str">
        <f t="shared" si="398"/>
        <v xml:space="preserve">   </v>
      </c>
      <c r="J1153" s="1993">
        <v>1350000</v>
      </c>
      <c r="K1153" s="1942"/>
      <c r="L1153" s="1929">
        <v>3000000</v>
      </c>
      <c r="M1153" s="1928">
        <v>42573</v>
      </c>
      <c r="N1153" s="1929">
        <v>3000000</v>
      </c>
      <c r="O1153" s="1928" t="s">
        <v>1543</v>
      </c>
      <c r="P1153" s="1389">
        <v>3000000</v>
      </c>
      <c r="Q1153" s="1928" t="s">
        <v>1543</v>
      </c>
      <c r="R1153" s="1192" t="s">
        <v>1078</v>
      </c>
      <c r="S1153" s="1928" t="s">
        <v>1543</v>
      </c>
      <c r="T1153" s="1714">
        <v>3000000</v>
      </c>
      <c r="U1153" s="1360">
        <v>44168</v>
      </c>
      <c r="V1153" s="1714">
        <v>3000000</v>
      </c>
      <c r="W1153" s="1367">
        <v>44168</v>
      </c>
      <c r="X1153" s="1192" t="s">
        <v>1078</v>
      </c>
      <c r="Y1153" s="1928" t="s">
        <v>1543</v>
      </c>
      <c r="Z1153" s="1731">
        <v>3000000</v>
      </c>
      <c r="AA1153" s="1367">
        <v>44168</v>
      </c>
      <c r="AB1153" s="1389">
        <v>1000000</v>
      </c>
      <c r="AC1153" s="1367">
        <v>44168</v>
      </c>
      <c r="AD1153" s="1666">
        <v>0</v>
      </c>
      <c r="AE1153" s="1590" t="str">
        <f t="shared" ref="AE1153:AE1162" si="399">IFERROR((VLOOKUP(C1153,BSP,4,FALSE)),"  ")</f>
        <v xml:space="preserve">  </v>
      </c>
      <c r="AF1153" s="1731">
        <v>3000000</v>
      </c>
      <c r="AG1153" s="1367">
        <v>44168</v>
      </c>
      <c r="AH1153" s="1625" t="str">
        <f t="shared" si="387"/>
        <v>PAI</v>
      </c>
      <c r="AI1153" s="1680">
        <f t="shared" si="392"/>
        <v>23350000</v>
      </c>
      <c r="AJ1153" s="1681">
        <f t="shared" si="389"/>
        <v>20850000</v>
      </c>
      <c r="AK1153" s="1682">
        <f t="shared" si="393"/>
        <v>-2500000</v>
      </c>
      <c r="AL1153" s="1691" t="str">
        <f t="shared" si="394"/>
        <v>Cek</v>
      </c>
      <c r="AM1153" s="1410"/>
      <c r="AN1153" s="1411"/>
      <c r="AO1153" s="1410"/>
      <c r="AP1153" s="1411"/>
      <c r="AQ1153" s="1128"/>
      <c r="AR1153" s="1173"/>
      <c r="AT1153" s="1173"/>
      <c r="AV1153" s="1173"/>
      <c r="AX1153" s="1173"/>
      <c r="AY1153" s="1176"/>
      <c r="AZ1153" s="1173"/>
    </row>
    <row r="1154" spans="1:52" s="2" customFormat="1" x14ac:dyDescent="0.25">
      <c r="A1154" s="156">
        <v>1066</v>
      </c>
      <c r="B1154" s="478">
        <v>32</v>
      </c>
      <c r="C1154" s="480">
        <v>849316032</v>
      </c>
      <c r="D1154" s="479" t="s">
        <v>1643</v>
      </c>
      <c r="E1154" s="179" t="s">
        <v>1328</v>
      </c>
      <c r="F1154" s="161">
        <v>2016</v>
      </c>
      <c r="G1154" s="272" t="s">
        <v>33</v>
      </c>
      <c r="H1154" s="163">
        <f t="shared" si="397"/>
        <v>43306</v>
      </c>
      <c r="I1154" s="163">
        <f t="shared" si="398"/>
        <v>43587</v>
      </c>
      <c r="J1154" s="1975">
        <v>1350000</v>
      </c>
      <c r="K1154" s="1365"/>
      <c r="L1154" s="1480">
        <v>3000000</v>
      </c>
      <c r="M1154" s="1637">
        <v>42551</v>
      </c>
      <c r="N1154" s="1480">
        <v>3000000</v>
      </c>
      <c r="O1154" s="1637">
        <v>42759</v>
      </c>
      <c r="P1154" s="1480">
        <v>3000000</v>
      </c>
      <c r="Q1154" s="1365" t="s">
        <v>1644</v>
      </c>
      <c r="R1154" s="1385">
        <v>3000000</v>
      </c>
      <c r="S1154" s="1357">
        <v>43112</v>
      </c>
      <c r="T1154" s="1382" t="s">
        <v>1080</v>
      </c>
      <c r="U1154" s="1474"/>
      <c r="V1154" s="1363"/>
      <c r="W1154" s="1391"/>
      <c r="X1154" s="1363"/>
      <c r="Y1154" s="1391"/>
      <c r="Z1154" s="1363"/>
      <c r="AA1154" s="1563"/>
      <c r="AB1154" s="1480">
        <v>1000000</v>
      </c>
      <c r="AC1154" s="1357">
        <v>43280</v>
      </c>
      <c r="AD1154" s="1666" t="str">
        <f>IFERROR(VLOOKUP(C1154,BSP,3,FALSE),"  ")</f>
        <v xml:space="preserve">  </v>
      </c>
      <c r="AE1154" s="1590" t="str">
        <f t="shared" si="399"/>
        <v xml:space="preserve">  </v>
      </c>
      <c r="AF1154" s="2300" t="s">
        <v>1329</v>
      </c>
      <c r="AG1154" s="1612"/>
      <c r="AH1154" s="1625" t="str">
        <f t="shared" si="387"/>
        <v>PAI</v>
      </c>
      <c r="AI1154" s="1680">
        <f t="shared" si="392"/>
        <v>14350000</v>
      </c>
      <c r="AJ1154" s="1681">
        <f t="shared" si="389"/>
        <v>14350000</v>
      </c>
      <c r="AK1154" s="1682">
        <f t="shared" si="393"/>
        <v>0</v>
      </c>
      <c r="AL1154" s="1691" t="str">
        <f t="shared" si="394"/>
        <v>Lunas</v>
      </c>
      <c r="AM1154" s="1410"/>
      <c r="AN1154" s="1411"/>
      <c r="AO1154" s="1410"/>
      <c r="AP1154" s="1411"/>
      <c r="AQ1154" s="1128"/>
      <c r="AR1154" s="1173"/>
      <c r="AT1154" s="1173"/>
      <c r="AV1154" s="1173"/>
      <c r="AX1154" s="1173"/>
      <c r="AY1154" s="1176"/>
      <c r="AZ1154" s="1173"/>
    </row>
    <row r="1155" spans="1:52" s="2" customFormat="1" x14ac:dyDescent="0.25">
      <c r="A1155" s="156">
        <v>1067</v>
      </c>
      <c r="B1155" s="478">
        <v>33</v>
      </c>
      <c r="C1155" s="477">
        <v>849316033</v>
      </c>
      <c r="D1155" s="479" t="s">
        <v>1645</v>
      </c>
      <c r="E1155" s="179" t="s">
        <v>1328</v>
      </c>
      <c r="F1155" s="161">
        <v>2016</v>
      </c>
      <c r="G1155" s="272" t="s">
        <v>33</v>
      </c>
      <c r="H1155" s="163">
        <f t="shared" si="397"/>
        <v>44028</v>
      </c>
      <c r="I1155" s="265" t="str">
        <f t="shared" si="398"/>
        <v xml:space="preserve">   </v>
      </c>
      <c r="J1155" s="1978">
        <v>1350000</v>
      </c>
      <c r="K1155" s="1360"/>
      <c r="L1155" s="1389">
        <v>3000000</v>
      </c>
      <c r="M1155" s="1500">
        <v>42550</v>
      </c>
      <c r="N1155" s="1389">
        <v>3000000</v>
      </c>
      <c r="O1155" s="1500">
        <v>42760</v>
      </c>
      <c r="P1155" s="1389">
        <v>3000000</v>
      </c>
      <c r="Q1155" s="1360">
        <v>42937</v>
      </c>
      <c r="R1155" s="1714">
        <v>3000000</v>
      </c>
      <c r="S1155" s="1367">
        <v>43112</v>
      </c>
      <c r="T1155" s="1430">
        <v>3000000</v>
      </c>
      <c r="U1155" s="1360">
        <v>43307</v>
      </c>
      <c r="V1155" s="1714">
        <v>3000000</v>
      </c>
      <c r="W1155" s="1367">
        <v>43628</v>
      </c>
      <c r="X1155" s="1980">
        <v>3000000</v>
      </c>
      <c r="Y1155" s="1367">
        <v>43725</v>
      </c>
      <c r="Z1155" s="2001">
        <v>44020</v>
      </c>
      <c r="AA1155" s="1367">
        <v>44020</v>
      </c>
      <c r="AB1155" s="1389">
        <v>1000000</v>
      </c>
      <c r="AC1155" s="1367">
        <v>44020</v>
      </c>
      <c r="AD1155" s="1666" t="str">
        <f>IFERROR(VLOOKUP(C1155,BSP,3,FALSE),"  ")</f>
        <v xml:space="preserve">  </v>
      </c>
      <c r="AE1155" s="1590" t="str">
        <f t="shared" si="399"/>
        <v xml:space="preserve">  </v>
      </c>
      <c r="AF1155" s="2300" t="s">
        <v>1329</v>
      </c>
      <c r="AG1155" s="1612"/>
      <c r="AH1155" s="1625" t="str">
        <f t="shared" si="387"/>
        <v>PAI</v>
      </c>
      <c r="AI1155" s="1680">
        <f t="shared" si="392"/>
        <v>23394020</v>
      </c>
      <c r="AJ1155" s="1681">
        <f t="shared" ref="AJ1155:AJ1172" si="400">(COUNT(L1155,N1155,P1155,R1155,T1155,V1155,X1155,Z1155)*$G$1039)+(COUNT(J1155)*$J$1039)+(COUNT(AB1155)*$AB$1039)+(COUNT(AD1155)*$AD$1039)</f>
        <v>26350000</v>
      </c>
      <c r="AK1155" s="1682">
        <f t="shared" si="393"/>
        <v>2955980</v>
      </c>
      <c r="AL1155" s="1691" t="str">
        <f t="shared" si="394"/>
        <v>Cek</v>
      </c>
      <c r="AM1155" s="1410"/>
      <c r="AN1155" s="1411"/>
      <c r="AO1155" s="1410"/>
      <c r="AP1155" s="1411"/>
      <c r="AQ1155" s="1128"/>
      <c r="AR1155" s="1173"/>
      <c r="AT1155" s="1173"/>
      <c r="AV1155" s="1173"/>
      <c r="AX1155" s="1173"/>
      <c r="AY1155" s="1176"/>
      <c r="AZ1155" s="1173"/>
    </row>
    <row r="1156" spans="1:52" s="2" customFormat="1" x14ac:dyDescent="0.25">
      <c r="A1156" s="156">
        <v>1068</v>
      </c>
      <c r="B1156" s="478">
        <v>34</v>
      </c>
      <c r="C1156" s="480">
        <v>849316034</v>
      </c>
      <c r="D1156" s="479" t="s">
        <v>1646</v>
      </c>
      <c r="E1156" s="179" t="s">
        <v>1328</v>
      </c>
      <c r="F1156" s="161">
        <v>2016</v>
      </c>
      <c r="G1156" s="272" t="s">
        <v>33</v>
      </c>
      <c r="H1156" s="163">
        <f t="shared" si="397"/>
        <v>43719</v>
      </c>
      <c r="I1156" s="163">
        <f t="shared" si="398"/>
        <v>43818</v>
      </c>
      <c r="J1156" s="1975">
        <v>1350000</v>
      </c>
      <c r="K1156" s="1365"/>
      <c r="L1156" s="1480">
        <v>3000000</v>
      </c>
      <c r="M1156" s="1637">
        <v>42538</v>
      </c>
      <c r="N1156" s="1480">
        <v>3000000</v>
      </c>
      <c r="O1156" s="1637">
        <v>42751</v>
      </c>
      <c r="P1156" s="1480">
        <v>3000000</v>
      </c>
      <c r="Q1156" s="1365" t="s">
        <v>1644</v>
      </c>
      <c r="R1156" s="1385">
        <v>3000000</v>
      </c>
      <c r="S1156" s="1357">
        <v>43112</v>
      </c>
      <c r="T1156" s="1431">
        <v>3000000</v>
      </c>
      <c r="U1156" s="1365">
        <v>43292</v>
      </c>
      <c r="V1156" s="1385">
        <v>3000000</v>
      </c>
      <c r="W1156" s="1357">
        <v>42146</v>
      </c>
      <c r="X1156" s="1634">
        <v>3000000</v>
      </c>
      <c r="Y1156" s="1357">
        <v>43689</v>
      </c>
      <c r="Z1156" s="1382" t="s">
        <v>1080</v>
      </c>
      <c r="AA1156" s="1563"/>
      <c r="AB1156" s="1480">
        <v>1000000</v>
      </c>
      <c r="AC1156" s="1357">
        <v>43689</v>
      </c>
      <c r="AD1156" s="1666" t="str">
        <f>IFERROR(VLOOKUP(C1156,BSP,3,FALSE),"  ")</f>
        <v xml:space="preserve">  </v>
      </c>
      <c r="AE1156" s="1590" t="str">
        <f t="shared" si="399"/>
        <v xml:space="preserve">  </v>
      </c>
      <c r="AF1156" s="2300" t="s">
        <v>1329</v>
      </c>
      <c r="AG1156" s="1612"/>
      <c r="AH1156" s="1625" t="str">
        <f t="shared" si="387"/>
        <v>PAI</v>
      </c>
      <c r="AI1156" s="1680">
        <f t="shared" si="392"/>
        <v>23350000</v>
      </c>
      <c r="AJ1156" s="1681">
        <f t="shared" si="400"/>
        <v>23350000</v>
      </c>
      <c r="AK1156" s="1682">
        <f t="shared" si="393"/>
        <v>0</v>
      </c>
      <c r="AL1156" s="1691" t="str">
        <f t="shared" si="394"/>
        <v>Lunas</v>
      </c>
      <c r="AM1156" s="1410"/>
      <c r="AN1156" s="1411"/>
      <c r="AO1156" s="1410"/>
      <c r="AP1156" s="1411"/>
      <c r="AQ1156" s="1128"/>
      <c r="AR1156" s="1173"/>
      <c r="AT1156" s="1173"/>
      <c r="AV1156" s="1173"/>
      <c r="AX1156" s="1173"/>
      <c r="AY1156" s="1176"/>
      <c r="AZ1156" s="1173"/>
    </row>
    <row r="1157" spans="1:52" s="2" customFormat="1" x14ac:dyDescent="0.25">
      <c r="A1157" s="156">
        <v>1069</v>
      </c>
      <c r="B1157" s="478">
        <v>35</v>
      </c>
      <c r="C1157" s="477">
        <v>849316035</v>
      </c>
      <c r="D1157" s="479" t="s">
        <v>1647</v>
      </c>
      <c r="E1157" s="179" t="s">
        <v>1328</v>
      </c>
      <c r="F1157" s="161">
        <v>2016</v>
      </c>
      <c r="G1157" s="272" t="s">
        <v>33</v>
      </c>
      <c r="H1157" s="163">
        <f t="shared" si="397"/>
        <v>43997</v>
      </c>
      <c r="I1157" s="265">
        <f t="shared" si="398"/>
        <v>44186</v>
      </c>
      <c r="J1157" s="1978">
        <v>1350000</v>
      </c>
      <c r="K1157" s="1360"/>
      <c r="L1157" s="1389">
        <v>3000000</v>
      </c>
      <c r="M1157" s="1500">
        <v>42550</v>
      </c>
      <c r="N1157" s="1389">
        <v>3000000</v>
      </c>
      <c r="O1157" s="1500">
        <v>42761</v>
      </c>
      <c r="P1157" s="1389">
        <v>3000000</v>
      </c>
      <c r="Q1157" s="1360">
        <v>42930</v>
      </c>
      <c r="R1157" s="1714">
        <v>3000000</v>
      </c>
      <c r="S1157" s="1367">
        <v>43116</v>
      </c>
      <c r="T1157" s="1430">
        <v>3000000</v>
      </c>
      <c r="U1157" s="1360">
        <v>43299</v>
      </c>
      <c r="V1157" s="1430">
        <v>3000000</v>
      </c>
      <c r="W1157" s="1367">
        <v>43927</v>
      </c>
      <c r="X1157" s="1430">
        <v>3000000</v>
      </c>
      <c r="Y1157" s="1367">
        <v>43927</v>
      </c>
      <c r="Z1157" s="1430">
        <v>3000000</v>
      </c>
      <c r="AA1157" s="1367">
        <v>43927</v>
      </c>
      <c r="AB1157" s="1389">
        <v>1000000</v>
      </c>
      <c r="AC1157" s="1360">
        <v>43299</v>
      </c>
      <c r="AD1157" s="1666">
        <f>IFERROR(VLOOKUP(C1157,BSP,3,FALSE),"  ")</f>
        <v>500000</v>
      </c>
      <c r="AE1157" s="1590">
        <f t="shared" si="399"/>
        <v>44050.439629629604</v>
      </c>
      <c r="AF1157" s="2300" t="s">
        <v>1329</v>
      </c>
      <c r="AG1157" s="1612"/>
      <c r="AH1157" s="1625" t="str">
        <f t="shared" si="387"/>
        <v>PAI</v>
      </c>
      <c r="AI1157" s="1680">
        <f t="shared" si="392"/>
        <v>26850000</v>
      </c>
      <c r="AJ1157" s="1681">
        <f t="shared" si="400"/>
        <v>26850000</v>
      </c>
      <c r="AK1157" s="1682">
        <f t="shared" si="393"/>
        <v>0</v>
      </c>
      <c r="AL1157" s="1691" t="str">
        <f t="shared" si="394"/>
        <v>Lunas</v>
      </c>
      <c r="AM1157" s="1410"/>
      <c r="AN1157" s="1411"/>
      <c r="AO1157" s="1410"/>
      <c r="AP1157" s="1411"/>
      <c r="AQ1157" s="1128"/>
      <c r="AR1157" s="1173"/>
      <c r="AT1157" s="1173"/>
      <c r="AV1157" s="1173"/>
      <c r="AX1157" s="1173"/>
      <c r="AY1157" s="1176"/>
      <c r="AZ1157" s="1173"/>
    </row>
    <row r="1158" spans="1:52" s="2" customFormat="1" x14ac:dyDescent="0.25">
      <c r="A1158" s="156">
        <v>1070</v>
      </c>
      <c r="B1158" s="478">
        <v>36</v>
      </c>
      <c r="C1158" s="480">
        <v>849316036</v>
      </c>
      <c r="D1158" s="479" t="s">
        <v>1648</v>
      </c>
      <c r="E1158" s="179" t="s">
        <v>1328</v>
      </c>
      <c r="F1158" s="161">
        <v>2016</v>
      </c>
      <c r="G1158" s="272" t="s">
        <v>33</v>
      </c>
      <c r="H1158" s="163">
        <f t="shared" si="397"/>
        <v>43650</v>
      </c>
      <c r="I1158" s="163">
        <f t="shared" si="398"/>
        <v>43750</v>
      </c>
      <c r="J1158" s="1975">
        <v>1350000</v>
      </c>
      <c r="K1158" s="1365"/>
      <c r="L1158" s="1480">
        <v>3000000</v>
      </c>
      <c r="M1158" s="1637">
        <v>42548</v>
      </c>
      <c r="N1158" s="1480">
        <v>3000000</v>
      </c>
      <c r="O1158" s="1637">
        <v>42759</v>
      </c>
      <c r="P1158" s="1480">
        <v>3000000</v>
      </c>
      <c r="Q1158" s="1365">
        <v>42930</v>
      </c>
      <c r="R1158" s="1385">
        <v>3000000</v>
      </c>
      <c r="S1158" s="1357">
        <v>43116</v>
      </c>
      <c r="T1158" s="1431">
        <v>3000000</v>
      </c>
      <c r="U1158" s="1365">
        <v>43385</v>
      </c>
      <c r="V1158" s="1385">
        <v>3000000</v>
      </c>
      <c r="W1158" s="1357">
        <v>43609</v>
      </c>
      <c r="X1158" s="1382" t="s">
        <v>1080</v>
      </c>
      <c r="Y1158" s="1391"/>
      <c r="Z1158" s="1363"/>
      <c r="AA1158" s="1563"/>
      <c r="AB1158" s="1480">
        <v>1000000</v>
      </c>
      <c r="AC1158" s="1357">
        <v>43609</v>
      </c>
      <c r="AD1158" s="1666" t="str">
        <f>IFERROR(VLOOKUP(C1158,BSP,3,FALSE),"  ")</f>
        <v xml:space="preserve">  </v>
      </c>
      <c r="AE1158" s="1590" t="str">
        <f t="shared" si="399"/>
        <v xml:space="preserve">  </v>
      </c>
      <c r="AF1158" s="2300" t="s">
        <v>1329</v>
      </c>
      <c r="AG1158" s="1612"/>
      <c r="AH1158" s="1625" t="str">
        <f t="shared" si="387"/>
        <v>PAI</v>
      </c>
      <c r="AI1158" s="1680">
        <f t="shared" si="392"/>
        <v>20350000</v>
      </c>
      <c r="AJ1158" s="1681">
        <f t="shared" si="400"/>
        <v>20350000</v>
      </c>
      <c r="AK1158" s="1682">
        <f t="shared" si="393"/>
        <v>0</v>
      </c>
      <c r="AL1158" s="1691" t="str">
        <f t="shared" si="394"/>
        <v>Lunas</v>
      </c>
      <c r="AM1158" s="1410"/>
      <c r="AN1158" s="1411"/>
      <c r="AO1158" s="1410"/>
      <c r="AP1158" s="1411"/>
      <c r="AQ1158" s="1128"/>
      <c r="AR1158" s="1173"/>
      <c r="AT1158" s="1173"/>
      <c r="AV1158" s="1173"/>
      <c r="AX1158" s="1173"/>
      <c r="AY1158" s="1176"/>
      <c r="AZ1158" s="1173"/>
    </row>
    <row r="1159" spans="1:52" s="2" customFormat="1" x14ac:dyDescent="0.25">
      <c r="A1159" s="164">
        <v>1071</v>
      </c>
      <c r="B1159" s="475">
        <v>37</v>
      </c>
      <c r="C1159" s="477">
        <v>849316037</v>
      </c>
      <c r="D1159" s="476" t="s">
        <v>1649</v>
      </c>
      <c r="E1159" s="441" t="s">
        <v>1328</v>
      </c>
      <c r="F1159" s="175">
        <v>2016</v>
      </c>
      <c r="G1159" s="1758" t="s">
        <v>28</v>
      </c>
      <c r="H1159" s="265" t="str">
        <f t="shared" si="397"/>
        <v xml:space="preserve">   </v>
      </c>
      <c r="I1159" s="265" t="str">
        <f t="shared" si="398"/>
        <v xml:space="preserve">   </v>
      </c>
      <c r="J1159" s="1978">
        <v>1350000</v>
      </c>
      <c r="K1159" s="1360"/>
      <c r="L1159" s="1389">
        <v>3000000</v>
      </c>
      <c r="M1159" s="1500">
        <v>42549</v>
      </c>
      <c r="N1159" s="1389">
        <v>3000000</v>
      </c>
      <c r="O1159" s="1500">
        <v>42752</v>
      </c>
      <c r="P1159" s="1389">
        <v>3000000</v>
      </c>
      <c r="Q1159" s="1360">
        <v>42929</v>
      </c>
      <c r="R1159" s="1714">
        <v>3000000</v>
      </c>
      <c r="S1159" s="1367">
        <v>43111</v>
      </c>
      <c r="T1159" s="1192" t="s">
        <v>1078</v>
      </c>
      <c r="U1159" s="1386">
        <v>43285</v>
      </c>
      <c r="V1159" s="1222" t="s">
        <v>1078</v>
      </c>
      <c r="W1159" s="1386">
        <v>43490</v>
      </c>
      <c r="X1159" s="1980">
        <v>0</v>
      </c>
      <c r="Y1159" s="1367"/>
      <c r="Z1159" s="1980">
        <v>0</v>
      </c>
      <c r="AA1159" s="1367"/>
      <c r="AB1159" s="1389">
        <v>0</v>
      </c>
      <c r="AC1159" s="1367"/>
      <c r="AD1159" s="1666">
        <v>0</v>
      </c>
      <c r="AE1159" s="1590" t="str">
        <f t="shared" si="399"/>
        <v xml:space="preserve">  </v>
      </c>
      <c r="AF1159" s="1731" t="str">
        <f>IFERROR(VLOOKUP(C1159,BSP,3,FALSE),"  ")</f>
        <v xml:space="preserve">  </v>
      </c>
      <c r="AG1159" s="1367" t="str">
        <f>IFERROR((VLOOKUP(C1159,BSP,4,FALSE)),"  ")</f>
        <v xml:space="preserve">  </v>
      </c>
      <c r="AH1159" s="1625" t="str">
        <f t="shared" si="387"/>
        <v>PAI</v>
      </c>
      <c r="AI1159" s="1680">
        <f t="shared" si="392"/>
        <v>13350000</v>
      </c>
      <c r="AJ1159" s="1681">
        <f t="shared" si="400"/>
        <v>20850000</v>
      </c>
      <c r="AK1159" s="1682">
        <f t="shared" si="393"/>
        <v>7500000</v>
      </c>
      <c r="AL1159" s="1691" t="str">
        <f t="shared" si="394"/>
        <v>Cek</v>
      </c>
      <c r="AM1159" s="1410"/>
      <c r="AN1159" s="1411"/>
      <c r="AO1159" s="1410"/>
      <c r="AP1159" s="1411"/>
      <c r="AQ1159" s="1128"/>
      <c r="AR1159" s="1173"/>
      <c r="AT1159" s="1173"/>
      <c r="AV1159" s="1173"/>
      <c r="AX1159" s="1173"/>
      <c r="AY1159" s="1176"/>
      <c r="AZ1159" s="1173"/>
    </row>
    <row r="1160" spans="1:52" s="2" customFormat="1" x14ac:dyDescent="0.25">
      <c r="A1160" s="164">
        <v>1072</v>
      </c>
      <c r="B1160" s="475">
        <v>38</v>
      </c>
      <c r="C1160" s="484">
        <v>849316038</v>
      </c>
      <c r="D1160" s="483" t="s">
        <v>1650</v>
      </c>
      <c r="E1160" s="444" t="s">
        <v>1328</v>
      </c>
      <c r="F1160" s="445">
        <v>2016</v>
      </c>
      <c r="G1160" s="485" t="s">
        <v>1077</v>
      </c>
      <c r="H1160" s="446" t="str">
        <f t="shared" si="397"/>
        <v xml:space="preserve">   </v>
      </c>
      <c r="I1160" s="446" t="str">
        <f t="shared" si="398"/>
        <v xml:space="preserve">   </v>
      </c>
      <c r="J1160" s="1993">
        <v>1350000</v>
      </c>
      <c r="K1160" s="1942"/>
      <c r="L1160" s="1929">
        <v>3000000</v>
      </c>
      <c r="M1160" s="1928">
        <v>42573</v>
      </c>
      <c r="N1160" s="1929">
        <v>3000000</v>
      </c>
      <c r="O1160" s="1928" t="s">
        <v>1543</v>
      </c>
      <c r="P1160" s="1389">
        <v>3000000</v>
      </c>
      <c r="Q1160" s="1928" t="s">
        <v>1543</v>
      </c>
      <c r="R1160" s="1929"/>
      <c r="S1160" s="1928" t="s">
        <v>1543</v>
      </c>
      <c r="T1160" s="1430"/>
      <c r="U1160" s="1360"/>
      <c r="V1160" s="1714"/>
      <c r="W1160" s="1367"/>
      <c r="X1160" s="1980"/>
      <c r="Y1160" s="1367"/>
      <c r="Z1160" s="1731"/>
      <c r="AA1160" s="1367"/>
      <c r="AB1160" s="1389"/>
      <c r="AC1160" s="1367"/>
      <c r="AD1160" s="1666"/>
      <c r="AE1160" s="1590" t="str">
        <f t="shared" si="399"/>
        <v xml:space="preserve">  </v>
      </c>
      <c r="AF1160" s="1731" t="str">
        <f>IFERROR(VLOOKUP(C1160,BSP,3,FALSE),"  ")</f>
        <v xml:space="preserve">  </v>
      </c>
      <c r="AG1160" s="1367" t="str">
        <f>IFERROR((VLOOKUP(C1160,BSP,4,FALSE)),"  ")</f>
        <v xml:space="preserve">  </v>
      </c>
      <c r="AH1160" s="1625" t="str">
        <f t="shared" si="387"/>
        <v>PAI</v>
      </c>
      <c r="AI1160" s="1680">
        <f t="shared" si="392"/>
        <v>10350000</v>
      </c>
      <c r="AJ1160" s="1681">
        <f t="shared" si="400"/>
        <v>10350000</v>
      </c>
      <c r="AK1160" s="1682">
        <f t="shared" si="393"/>
        <v>0</v>
      </c>
      <c r="AL1160" s="1691" t="str">
        <f t="shared" si="394"/>
        <v>Lunas</v>
      </c>
      <c r="AM1160" s="1410"/>
      <c r="AN1160" s="1411"/>
      <c r="AO1160" s="1410"/>
      <c r="AP1160" s="1411"/>
      <c r="AQ1160" s="1128"/>
      <c r="AR1160" s="1173"/>
      <c r="AT1160" s="1173"/>
      <c r="AV1160" s="1173"/>
      <c r="AX1160" s="1173"/>
      <c r="AY1160" s="1176"/>
      <c r="AZ1160" s="1173"/>
    </row>
    <row r="1161" spans="1:52" s="2" customFormat="1" x14ac:dyDescent="0.25">
      <c r="A1161" s="234">
        <v>1073</v>
      </c>
      <c r="B1161" s="1986">
        <v>39</v>
      </c>
      <c r="C1161" s="482">
        <v>849316039</v>
      </c>
      <c r="D1161" s="481" t="s">
        <v>1651</v>
      </c>
      <c r="E1161" s="237" t="s">
        <v>1328</v>
      </c>
      <c r="F1161" s="238">
        <v>2016</v>
      </c>
      <c r="G1161" s="485" t="s">
        <v>1077</v>
      </c>
      <c r="H1161" s="265" t="str">
        <f t="shared" si="397"/>
        <v xml:space="preserve">   </v>
      </c>
      <c r="I1161" s="265" t="str">
        <f t="shared" si="398"/>
        <v xml:space="preserve">   </v>
      </c>
      <c r="J1161" s="1978">
        <v>1350000</v>
      </c>
      <c r="K1161" s="1360"/>
      <c r="L1161" s="1389">
        <v>3000000</v>
      </c>
      <c r="M1161" s="1503">
        <v>42550</v>
      </c>
      <c r="N1161" s="1994"/>
      <c r="O1161" s="1604"/>
      <c r="P1161" s="1653"/>
      <c r="Q1161" s="1654"/>
      <c r="R1161" s="1363"/>
      <c r="S1161" s="1391"/>
      <c r="T1161" s="1430"/>
      <c r="U1161" s="1654"/>
      <c r="V1161" s="1363"/>
      <c r="W1161" s="1391"/>
      <c r="X1161" s="1363"/>
      <c r="Y1161" s="1391"/>
      <c r="Z1161" s="1363"/>
      <c r="AA1161" s="1563"/>
      <c r="AB1161" s="1389"/>
      <c r="AC1161" s="1367"/>
      <c r="AD1161" s="1666">
        <v>0</v>
      </c>
      <c r="AE1161" s="1590" t="str">
        <f t="shared" si="399"/>
        <v xml:space="preserve">  </v>
      </c>
      <c r="AF1161" s="2300" t="s">
        <v>1329</v>
      </c>
      <c r="AG1161" s="1612"/>
      <c r="AH1161" s="1625" t="str">
        <f t="shared" si="387"/>
        <v>PAI</v>
      </c>
      <c r="AI1161" s="1688">
        <f t="shared" ref="AI1161" si="401">SUM(J1161,L1161,N1161,P1161,R1161,T1161,V1161,X1161,Z1161,AB1161,AD1161,AF1161)</f>
        <v>4350000</v>
      </c>
      <c r="AJ1161" s="1685">
        <f t="shared" si="400"/>
        <v>4850000</v>
      </c>
      <c r="AK1161" s="1686">
        <f t="shared" ref="AK1161" si="402">AJ1161-AI1161</f>
        <v>500000</v>
      </c>
      <c r="AL1161" s="1687" t="s">
        <v>1334</v>
      </c>
      <c r="AM1161" s="1410"/>
      <c r="AN1161" s="1411"/>
      <c r="AO1161" s="1410"/>
      <c r="AP1161" s="1411"/>
      <c r="AQ1161" s="1128"/>
      <c r="AR1161" s="1173"/>
      <c r="AT1161" s="1173"/>
      <c r="AV1161" s="1173"/>
      <c r="AX1161" s="1173"/>
      <c r="AY1161" s="1176"/>
      <c r="AZ1161" s="1173"/>
    </row>
    <row r="1162" spans="1:52" s="2" customFormat="1" x14ac:dyDescent="0.25">
      <c r="A1162" s="164">
        <v>1074</v>
      </c>
      <c r="B1162" s="475">
        <v>40</v>
      </c>
      <c r="C1162" s="477">
        <v>849316040</v>
      </c>
      <c r="D1162" s="1968" t="s">
        <v>131</v>
      </c>
      <c r="E1162" s="441" t="s">
        <v>1328</v>
      </c>
      <c r="F1162" s="175">
        <v>2016</v>
      </c>
      <c r="G1162" s="1758" t="s">
        <v>28</v>
      </c>
      <c r="H1162" s="265" t="str">
        <f t="shared" si="397"/>
        <v xml:space="preserve">   </v>
      </c>
      <c r="I1162" s="265" t="str">
        <f t="shared" si="398"/>
        <v xml:space="preserve">   </v>
      </c>
      <c r="J1162" s="1978">
        <v>1350000</v>
      </c>
      <c r="K1162" s="1360"/>
      <c r="L1162" s="1389">
        <v>3000000</v>
      </c>
      <c r="M1162" s="1503">
        <v>42569</v>
      </c>
      <c r="N1162" s="1389">
        <v>3000000</v>
      </c>
      <c r="O1162" s="1500">
        <v>42776</v>
      </c>
      <c r="P1162" s="1389">
        <v>3000000</v>
      </c>
      <c r="Q1162" s="1360">
        <v>42937</v>
      </c>
      <c r="R1162" s="1714">
        <v>3000000</v>
      </c>
      <c r="S1162" s="2304" t="s">
        <v>1652</v>
      </c>
      <c r="T1162" s="1192" t="s">
        <v>1078</v>
      </c>
      <c r="U1162" s="1386">
        <v>43285</v>
      </c>
      <c r="V1162" s="1222" t="s">
        <v>1078</v>
      </c>
      <c r="W1162" s="1386">
        <v>43490</v>
      </c>
      <c r="X1162" s="1389">
        <v>3000000</v>
      </c>
      <c r="Y1162" s="1367">
        <v>43643</v>
      </c>
      <c r="Z1162" s="1731">
        <v>0</v>
      </c>
      <c r="AA1162" s="1367"/>
      <c r="AB1162" s="1389">
        <v>0</v>
      </c>
      <c r="AC1162" s="1367"/>
      <c r="AD1162" s="1666">
        <v>0</v>
      </c>
      <c r="AE1162" s="1590" t="str">
        <f t="shared" si="399"/>
        <v xml:space="preserve">  </v>
      </c>
      <c r="AF1162" s="1731" t="str">
        <f>IFERROR(VLOOKUP(C1162,BSP,3,FALSE),"  ")</f>
        <v xml:space="preserve">  </v>
      </c>
      <c r="AG1162" s="1367" t="str">
        <f>IFERROR((VLOOKUP(C1162,BSP,4,FALSE)),"  ")</f>
        <v xml:space="preserve">  </v>
      </c>
      <c r="AH1162" s="1625" t="str">
        <f t="shared" si="387"/>
        <v>PAI</v>
      </c>
      <c r="AI1162" s="1680">
        <f t="shared" si="392"/>
        <v>16350000</v>
      </c>
      <c r="AJ1162" s="1681">
        <f t="shared" si="400"/>
        <v>20850000</v>
      </c>
      <c r="AK1162" s="1682">
        <f t="shared" si="393"/>
        <v>4500000</v>
      </c>
      <c r="AL1162" s="1691" t="str">
        <f t="shared" si="394"/>
        <v>Cek</v>
      </c>
      <c r="AM1162" s="1410"/>
      <c r="AN1162" s="1411"/>
      <c r="AO1162" s="1410"/>
      <c r="AP1162" s="1411"/>
      <c r="AQ1162" s="1128"/>
      <c r="AR1162" s="1173"/>
      <c r="AT1162" s="1173"/>
      <c r="AV1162" s="1173"/>
      <c r="AX1162" s="1173"/>
      <c r="AY1162" s="1176"/>
      <c r="AZ1162" s="1173"/>
    </row>
    <row r="1163" spans="1:52" s="2" customFormat="1" x14ac:dyDescent="0.25">
      <c r="A1163" s="156">
        <v>1075</v>
      </c>
      <c r="B1163" s="478">
        <v>41</v>
      </c>
      <c r="C1163" s="480">
        <v>849316041</v>
      </c>
      <c r="D1163" s="479" t="s">
        <v>1653</v>
      </c>
      <c r="E1163" s="179" t="s">
        <v>1328</v>
      </c>
      <c r="F1163" s="161">
        <v>2016</v>
      </c>
      <c r="G1163" s="162" t="s">
        <v>33</v>
      </c>
      <c r="H1163" s="163">
        <f t="shared" si="397"/>
        <v>44055</v>
      </c>
      <c r="I1163" s="163">
        <f t="shared" si="398"/>
        <v>44168</v>
      </c>
      <c r="J1163" s="1975">
        <v>1350000</v>
      </c>
      <c r="K1163" s="1365"/>
      <c r="L1163" s="1480">
        <v>3000000</v>
      </c>
      <c r="M1163" s="1637">
        <v>42544</v>
      </c>
      <c r="N1163" s="1480">
        <v>3000000</v>
      </c>
      <c r="O1163" s="1637">
        <v>42759</v>
      </c>
      <c r="P1163" s="1480">
        <v>3000000</v>
      </c>
      <c r="Q1163" s="1365">
        <v>42929</v>
      </c>
      <c r="R1163" s="1385">
        <v>3000000</v>
      </c>
      <c r="S1163" s="1357">
        <v>43116</v>
      </c>
      <c r="T1163" s="1431">
        <v>3000000</v>
      </c>
      <c r="U1163" s="1365">
        <v>43293</v>
      </c>
      <c r="V1163" s="1431">
        <v>3000000</v>
      </c>
      <c r="W1163" s="1357">
        <v>43879</v>
      </c>
      <c r="X1163" s="1431">
        <v>3000000</v>
      </c>
      <c r="Y1163" s="1357">
        <v>43879</v>
      </c>
      <c r="Z1163" s="1431">
        <v>3000000</v>
      </c>
      <c r="AA1163" s="1357">
        <v>43879</v>
      </c>
      <c r="AB1163" s="1480">
        <v>1000000</v>
      </c>
      <c r="AC1163" s="1357">
        <v>44028</v>
      </c>
      <c r="AD1163" s="1809">
        <v>500000</v>
      </c>
      <c r="AE1163" s="1440">
        <v>44069</v>
      </c>
      <c r="AF1163" s="1731">
        <f>IFERROR(VLOOKUP(C1163,BSP,3,FALSE),"  ")</f>
        <v>500000</v>
      </c>
      <c r="AG1163" s="1367">
        <f>IFERROR((VLOOKUP(C1163,BSP,4,FALSE)),"  ")</f>
        <v>44069.444803240702</v>
      </c>
      <c r="AH1163" s="1625" t="str">
        <f t="shared" si="387"/>
        <v>PAI</v>
      </c>
      <c r="AI1163" s="1680">
        <f t="shared" si="392"/>
        <v>27350000</v>
      </c>
      <c r="AJ1163" s="1681">
        <f t="shared" si="400"/>
        <v>26850000</v>
      </c>
      <c r="AK1163" s="1682">
        <f t="shared" si="393"/>
        <v>-500000</v>
      </c>
      <c r="AL1163" s="1691" t="str">
        <f t="shared" si="394"/>
        <v>Cek</v>
      </c>
      <c r="AM1163" s="1410"/>
      <c r="AN1163" s="1411"/>
      <c r="AO1163" s="1410"/>
      <c r="AP1163" s="1411"/>
      <c r="AQ1163" s="1128"/>
      <c r="AR1163" s="1173"/>
      <c r="AT1163" s="1173"/>
      <c r="AV1163" s="1173"/>
      <c r="AX1163" s="1173"/>
      <c r="AY1163" s="1176"/>
      <c r="AZ1163" s="1173"/>
    </row>
    <row r="1164" spans="1:52" s="2" customFormat="1" x14ac:dyDescent="0.25">
      <c r="A1164" s="156">
        <v>1076</v>
      </c>
      <c r="B1164" s="478">
        <v>42</v>
      </c>
      <c r="C1164" s="480">
        <v>849316042</v>
      </c>
      <c r="D1164" s="479" t="s">
        <v>1654</v>
      </c>
      <c r="E1164" s="179" t="s">
        <v>1328</v>
      </c>
      <c r="F1164" s="161">
        <v>2016</v>
      </c>
      <c r="G1164" s="162" t="s">
        <v>33</v>
      </c>
      <c r="H1164" s="163">
        <f t="shared" si="397"/>
        <v>43312</v>
      </c>
      <c r="I1164" s="163">
        <f t="shared" si="398"/>
        <v>43440</v>
      </c>
      <c r="J1164" s="1976">
        <v>1350000</v>
      </c>
      <c r="K1164" s="1357"/>
      <c r="L1164" s="1385">
        <v>3000000</v>
      </c>
      <c r="M1164" s="1383">
        <v>42569</v>
      </c>
      <c r="N1164" s="1385">
        <v>3000000</v>
      </c>
      <c r="O1164" s="1383">
        <v>42769</v>
      </c>
      <c r="P1164" s="1385">
        <v>3000000</v>
      </c>
      <c r="Q1164" s="1357">
        <v>42937</v>
      </c>
      <c r="R1164" s="1385">
        <v>3000000</v>
      </c>
      <c r="S1164" s="1357">
        <v>43116</v>
      </c>
      <c r="T1164" s="1382" t="s">
        <v>1080</v>
      </c>
      <c r="U1164" s="1474"/>
      <c r="V1164" s="1363"/>
      <c r="W1164" s="1391"/>
      <c r="X1164" s="1363"/>
      <c r="Y1164" s="1391"/>
      <c r="Z1164" s="1363"/>
      <c r="AA1164" s="1563"/>
      <c r="AB1164" s="1480">
        <v>1000000</v>
      </c>
      <c r="AC1164" s="1357">
        <v>43283</v>
      </c>
      <c r="AD1164" s="1666" t="str">
        <f t="shared" ref="AD1164:AD1172" si="403">IFERROR(VLOOKUP(C1164,BSP,3,FALSE),"  ")</f>
        <v xml:space="preserve">  </v>
      </c>
      <c r="AE1164" s="1590" t="str">
        <f t="shared" ref="AE1164:AE1172" si="404">IFERROR((VLOOKUP(C1164,BSP,4,FALSE)),"  ")</f>
        <v xml:space="preserve">  </v>
      </c>
      <c r="AF1164" s="2300" t="s">
        <v>1329</v>
      </c>
      <c r="AG1164" s="1612"/>
      <c r="AH1164" s="1625" t="str">
        <f t="shared" si="387"/>
        <v>PAI</v>
      </c>
      <c r="AI1164" s="1680">
        <f t="shared" si="392"/>
        <v>14350000</v>
      </c>
      <c r="AJ1164" s="1681">
        <f t="shared" si="400"/>
        <v>14350000</v>
      </c>
      <c r="AK1164" s="1682">
        <f t="shared" si="393"/>
        <v>0</v>
      </c>
      <c r="AL1164" s="1691" t="str">
        <f t="shared" si="394"/>
        <v>Lunas</v>
      </c>
      <c r="AM1164" s="1410"/>
      <c r="AN1164" s="1411"/>
      <c r="AO1164" s="1410"/>
      <c r="AP1164" s="1411"/>
      <c r="AQ1164" s="1128"/>
      <c r="AR1164" s="1173"/>
      <c r="AT1164" s="1173"/>
      <c r="AV1164" s="1173"/>
      <c r="AX1164" s="1173"/>
      <c r="AY1164" s="1176"/>
      <c r="AZ1164" s="1173"/>
    </row>
    <row r="1165" spans="1:52" s="2" customFormat="1" x14ac:dyDescent="0.25">
      <c r="A1165" s="156">
        <v>1077</v>
      </c>
      <c r="B1165" s="478">
        <v>43</v>
      </c>
      <c r="C1165" s="480">
        <v>849316043</v>
      </c>
      <c r="D1165" s="479" t="s">
        <v>1655</v>
      </c>
      <c r="E1165" s="179" t="s">
        <v>1328</v>
      </c>
      <c r="F1165" s="161">
        <v>2016</v>
      </c>
      <c r="G1165" s="162" t="s">
        <v>33</v>
      </c>
      <c r="H1165" s="163">
        <f t="shared" si="397"/>
        <v>44039</v>
      </c>
      <c r="I1165" s="163">
        <f t="shared" si="398"/>
        <v>44168</v>
      </c>
      <c r="J1165" s="1975">
        <v>1350000</v>
      </c>
      <c r="K1165" s="1365"/>
      <c r="L1165" s="1480">
        <v>3000000</v>
      </c>
      <c r="M1165" s="1637">
        <v>42551</v>
      </c>
      <c r="N1165" s="1480">
        <v>3000000</v>
      </c>
      <c r="O1165" s="1637">
        <v>42758</v>
      </c>
      <c r="P1165" s="1480">
        <v>3000000</v>
      </c>
      <c r="Q1165" s="1365">
        <v>42930</v>
      </c>
      <c r="R1165" s="1385">
        <v>3000000</v>
      </c>
      <c r="S1165" s="1357">
        <v>43116</v>
      </c>
      <c r="T1165" s="1431">
        <v>3000000</v>
      </c>
      <c r="U1165" s="1365">
        <v>43293</v>
      </c>
      <c r="V1165" s="1385">
        <v>3000000</v>
      </c>
      <c r="W1165" s="1357">
        <v>43759</v>
      </c>
      <c r="X1165" s="1634">
        <v>3000000</v>
      </c>
      <c r="Y1165" s="1357">
        <v>43759</v>
      </c>
      <c r="Z1165" s="1634">
        <v>3000000</v>
      </c>
      <c r="AA1165" s="1357">
        <v>44014</v>
      </c>
      <c r="AB1165" s="1480">
        <v>1000000</v>
      </c>
      <c r="AC1165" s="1357">
        <v>44014</v>
      </c>
      <c r="AD1165" s="1809">
        <f t="shared" si="403"/>
        <v>500000</v>
      </c>
      <c r="AE1165" s="1440">
        <f t="shared" si="404"/>
        <v>44070.590706018498</v>
      </c>
      <c r="AF1165" s="2300" t="s">
        <v>1329</v>
      </c>
      <c r="AG1165" s="1612"/>
      <c r="AH1165" s="1625" t="str">
        <f t="shared" si="387"/>
        <v>PAI</v>
      </c>
      <c r="AI1165" s="1680">
        <f t="shared" si="392"/>
        <v>26850000</v>
      </c>
      <c r="AJ1165" s="1681">
        <f t="shared" si="400"/>
        <v>26850000</v>
      </c>
      <c r="AK1165" s="1682">
        <f t="shared" si="393"/>
        <v>0</v>
      </c>
      <c r="AL1165" s="1691" t="str">
        <f t="shared" si="394"/>
        <v>Lunas</v>
      </c>
      <c r="AM1165" s="1410"/>
      <c r="AN1165" s="1411"/>
      <c r="AO1165" s="1410"/>
      <c r="AP1165" s="1411"/>
      <c r="AQ1165" s="1128"/>
      <c r="AR1165" s="1173"/>
      <c r="AT1165" s="1173"/>
      <c r="AV1165" s="1173"/>
      <c r="AX1165" s="1173"/>
      <c r="AY1165" s="1176"/>
      <c r="AZ1165" s="1173"/>
    </row>
    <row r="1166" spans="1:52" s="2" customFormat="1" x14ac:dyDescent="0.25">
      <c r="A1166" s="164">
        <v>1078</v>
      </c>
      <c r="B1166" s="475">
        <v>44</v>
      </c>
      <c r="C1166" s="477">
        <v>849316044</v>
      </c>
      <c r="D1166" s="476" t="s">
        <v>1656</v>
      </c>
      <c r="E1166" s="441" t="s">
        <v>1328</v>
      </c>
      <c r="F1166" s="175">
        <v>2016</v>
      </c>
      <c r="G1166" s="1758" t="s">
        <v>28</v>
      </c>
      <c r="H1166" s="265" t="str">
        <f t="shared" si="397"/>
        <v xml:space="preserve">   </v>
      </c>
      <c r="I1166" s="265" t="str">
        <f t="shared" si="398"/>
        <v xml:space="preserve">   </v>
      </c>
      <c r="J1166" s="1978">
        <v>1350000</v>
      </c>
      <c r="K1166" s="1360"/>
      <c r="L1166" s="1389">
        <v>3000000</v>
      </c>
      <c r="M1166" s="1500">
        <v>42551</v>
      </c>
      <c r="N1166" s="1389">
        <v>3000000</v>
      </c>
      <c r="O1166" s="1500">
        <v>42762</v>
      </c>
      <c r="P1166" s="1389">
        <v>3000000</v>
      </c>
      <c r="Q1166" s="1360">
        <v>42930</v>
      </c>
      <c r="R1166" s="1522">
        <v>3000000</v>
      </c>
      <c r="S1166" s="1523">
        <v>43116</v>
      </c>
      <c r="T1166" s="1430">
        <v>3000000</v>
      </c>
      <c r="U1166" s="1360">
        <v>43434</v>
      </c>
      <c r="V1166" s="1714">
        <v>3000000</v>
      </c>
      <c r="W1166" s="1367">
        <v>43494</v>
      </c>
      <c r="X1166" s="1980">
        <v>0</v>
      </c>
      <c r="Y1166" s="1367"/>
      <c r="Z1166" s="1731">
        <v>0</v>
      </c>
      <c r="AA1166" s="1367"/>
      <c r="AB1166" s="1389">
        <v>0</v>
      </c>
      <c r="AC1166" s="1367"/>
      <c r="AD1166" s="1666" t="str">
        <f t="shared" si="403"/>
        <v xml:space="preserve">  </v>
      </c>
      <c r="AE1166" s="1590" t="str">
        <f t="shared" si="404"/>
        <v xml:space="preserve">  </v>
      </c>
      <c r="AF1166" s="1731" t="str">
        <f>IFERROR(VLOOKUP(C1166,BSP,3,FALSE),"  ")</f>
        <v xml:space="preserve">  </v>
      </c>
      <c r="AG1166" s="1367" t="str">
        <f>IFERROR((VLOOKUP(C1166,BSP,4,FALSE)),"  ")</f>
        <v xml:space="preserve">  </v>
      </c>
      <c r="AH1166" s="1625" t="str">
        <f t="shared" si="387"/>
        <v>PAI</v>
      </c>
      <c r="AI1166" s="1680">
        <f t="shared" si="392"/>
        <v>19350000</v>
      </c>
      <c r="AJ1166" s="1681">
        <f t="shared" si="400"/>
        <v>26350000</v>
      </c>
      <c r="AK1166" s="1682">
        <f t="shared" si="393"/>
        <v>7000000</v>
      </c>
      <c r="AL1166" s="1691" t="str">
        <f t="shared" si="394"/>
        <v>Cek</v>
      </c>
      <c r="AM1166" s="1410"/>
      <c r="AN1166" s="1411"/>
      <c r="AO1166" s="1410"/>
      <c r="AP1166" s="1411"/>
      <c r="AQ1166" s="1128"/>
      <c r="AR1166" s="1173"/>
      <c r="AT1166" s="1173"/>
      <c r="AV1166" s="1173"/>
      <c r="AX1166" s="1173"/>
      <c r="AY1166" s="1176"/>
      <c r="AZ1166" s="1173"/>
    </row>
    <row r="1167" spans="1:52" s="2" customFormat="1" x14ac:dyDescent="0.25">
      <c r="A1167" s="164">
        <v>1079</v>
      </c>
      <c r="B1167" s="475">
        <v>45</v>
      </c>
      <c r="C1167" s="477">
        <v>849316045</v>
      </c>
      <c r="D1167" s="1968" t="s">
        <v>1657</v>
      </c>
      <c r="E1167" s="441" t="s">
        <v>1328</v>
      </c>
      <c r="F1167" s="175">
        <v>2016</v>
      </c>
      <c r="G1167" s="1758" t="s">
        <v>28</v>
      </c>
      <c r="H1167" s="265" t="str">
        <f t="shared" si="397"/>
        <v xml:space="preserve">   </v>
      </c>
      <c r="I1167" s="265" t="str">
        <f t="shared" si="398"/>
        <v xml:space="preserve">   </v>
      </c>
      <c r="J1167" s="1978">
        <v>1350000</v>
      </c>
      <c r="K1167" s="1360"/>
      <c r="L1167" s="1389">
        <v>3000000</v>
      </c>
      <c r="M1167" s="1500">
        <v>42549</v>
      </c>
      <c r="N1167" s="1389">
        <v>3000000</v>
      </c>
      <c r="O1167" s="1500">
        <v>42746</v>
      </c>
      <c r="P1167" s="1389">
        <v>3000000</v>
      </c>
      <c r="Q1167" s="1360">
        <v>42934</v>
      </c>
      <c r="R1167" s="1714">
        <v>3000000</v>
      </c>
      <c r="S1167" s="1367">
        <v>43110</v>
      </c>
      <c r="T1167" s="1430">
        <v>3000000</v>
      </c>
      <c r="U1167" s="1360">
        <v>43545</v>
      </c>
      <c r="V1167" s="1389">
        <v>3000000</v>
      </c>
      <c r="W1167" s="1360">
        <v>43545</v>
      </c>
      <c r="X1167" s="1980">
        <v>0</v>
      </c>
      <c r="Y1167" s="1367"/>
      <c r="Z1167" s="1731">
        <v>0</v>
      </c>
      <c r="AA1167" s="1367"/>
      <c r="AB1167" s="1389">
        <v>0</v>
      </c>
      <c r="AC1167" s="1367"/>
      <c r="AD1167" s="1666" t="str">
        <f t="shared" si="403"/>
        <v xml:space="preserve">  </v>
      </c>
      <c r="AE1167" s="1590" t="str">
        <f t="shared" si="404"/>
        <v xml:space="preserve">  </v>
      </c>
      <c r="AF1167" s="1731" t="str">
        <f>IFERROR(VLOOKUP(C1167,BSP,3,FALSE),"  ")</f>
        <v xml:space="preserve">  </v>
      </c>
      <c r="AG1167" s="1367" t="str">
        <f>IFERROR((VLOOKUP(C1167,BSP,4,FALSE)),"  ")</f>
        <v xml:space="preserve">  </v>
      </c>
      <c r="AH1167" s="1625" t="str">
        <f t="shared" si="387"/>
        <v>PAI</v>
      </c>
      <c r="AI1167" s="1680">
        <f t="shared" si="392"/>
        <v>19350000</v>
      </c>
      <c r="AJ1167" s="1681">
        <f t="shared" si="400"/>
        <v>26350000</v>
      </c>
      <c r="AK1167" s="1682">
        <f t="shared" si="393"/>
        <v>7000000</v>
      </c>
      <c r="AL1167" s="1691" t="str">
        <f t="shared" si="394"/>
        <v>Cek</v>
      </c>
      <c r="AM1167" s="1410"/>
      <c r="AN1167" s="1411"/>
      <c r="AO1167" s="1410"/>
      <c r="AP1167" s="1411"/>
      <c r="AQ1167" s="1128"/>
      <c r="AR1167" s="1173"/>
      <c r="AT1167" s="1173"/>
      <c r="AV1167" s="1173"/>
      <c r="AX1167" s="1173"/>
      <c r="AY1167" s="1176"/>
      <c r="AZ1167" s="1173"/>
    </row>
    <row r="1168" spans="1:52" s="2" customFormat="1" x14ac:dyDescent="0.25">
      <c r="A1168" s="156">
        <v>1080</v>
      </c>
      <c r="B1168" s="478">
        <v>46</v>
      </c>
      <c r="C1168" s="480">
        <v>849316046</v>
      </c>
      <c r="D1168" s="479" t="s">
        <v>1658</v>
      </c>
      <c r="E1168" s="179" t="s">
        <v>1328</v>
      </c>
      <c r="F1168" s="161">
        <v>2016</v>
      </c>
      <c r="G1168" s="272" t="s">
        <v>33</v>
      </c>
      <c r="H1168" s="163">
        <f t="shared" si="397"/>
        <v>43244</v>
      </c>
      <c r="I1168" s="163">
        <f t="shared" si="398"/>
        <v>43750</v>
      </c>
      <c r="J1168" s="1975">
        <v>1350000</v>
      </c>
      <c r="K1168" s="1365"/>
      <c r="L1168" s="1480">
        <v>3000000</v>
      </c>
      <c r="M1168" s="1637">
        <v>42914</v>
      </c>
      <c r="N1168" s="1480">
        <v>3000000</v>
      </c>
      <c r="O1168" s="1637">
        <v>42755</v>
      </c>
      <c r="P1168" s="1480">
        <v>3000000</v>
      </c>
      <c r="Q1168" s="1365">
        <v>42930</v>
      </c>
      <c r="R1168" s="1385">
        <v>3000000</v>
      </c>
      <c r="S1168" s="1357">
        <v>43112</v>
      </c>
      <c r="T1168" s="1382" t="s">
        <v>1080</v>
      </c>
      <c r="U1168" s="1474"/>
      <c r="V1168" s="1363"/>
      <c r="W1168" s="1391"/>
      <c r="X1168" s="1363"/>
      <c r="Y1168" s="1391"/>
      <c r="Z1168" s="1363"/>
      <c r="AA1168" s="1563"/>
      <c r="AB1168" s="1385">
        <v>1000000</v>
      </c>
      <c r="AC1168" s="1357">
        <v>43236</v>
      </c>
      <c r="AD1168" s="1666" t="str">
        <f t="shared" si="403"/>
        <v xml:space="preserve">  </v>
      </c>
      <c r="AE1168" s="1590" t="str">
        <f t="shared" si="404"/>
        <v xml:space="preserve">  </v>
      </c>
      <c r="AF1168" s="2300" t="s">
        <v>1329</v>
      </c>
      <c r="AG1168" s="1612"/>
      <c r="AH1168" s="1625" t="str">
        <f t="shared" si="387"/>
        <v>PAI</v>
      </c>
      <c r="AI1168" s="1680">
        <f t="shared" si="392"/>
        <v>14350000</v>
      </c>
      <c r="AJ1168" s="1681">
        <f t="shared" si="400"/>
        <v>14350000</v>
      </c>
      <c r="AK1168" s="1682">
        <f t="shared" si="393"/>
        <v>0</v>
      </c>
      <c r="AL1168" s="1691" t="str">
        <f t="shared" si="394"/>
        <v>Lunas</v>
      </c>
      <c r="AM1168" s="1410"/>
      <c r="AN1168" s="1411"/>
      <c r="AO1168" s="1410"/>
      <c r="AP1168" s="1411"/>
      <c r="AQ1168" s="1128"/>
      <c r="AR1168" s="1173"/>
      <c r="AT1168" s="1173"/>
      <c r="AV1168" s="1173"/>
      <c r="AX1168" s="1173"/>
      <c r="AY1168" s="1176"/>
      <c r="AZ1168" s="1173"/>
    </row>
    <row r="1169" spans="1:52" s="2" customFormat="1" x14ac:dyDescent="0.25">
      <c r="A1169" s="156">
        <v>1081</v>
      </c>
      <c r="B1169" s="478">
        <v>47</v>
      </c>
      <c r="C1169" s="480">
        <v>849316047</v>
      </c>
      <c r="D1169" s="479" t="s">
        <v>1659</v>
      </c>
      <c r="E1169" s="179" t="s">
        <v>1328</v>
      </c>
      <c r="F1169" s="161">
        <v>2016</v>
      </c>
      <c r="G1169" s="162" t="s">
        <v>33</v>
      </c>
      <c r="H1169" s="163">
        <f t="shared" si="397"/>
        <v>43285</v>
      </c>
      <c r="I1169" s="163">
        <f t="shared" si="398"/>
        <v>43351</v>
      </c>
      <c r="J1169" s="1976">
        <v>1350000</v>
      </c>
      <c r="K1169" s="1357"/>
      <c r="L1169" s="1385">
        <v>3000000</v>
      </c>
      <c r="M1169" s="1383">
        <v>42544</v>
      </c>
      <c r="N1169" s="1385">
        <v>3000000</v>
      </c>
      <c r="O1169" s="1383">
        <v>42759</v>
      </c>
      <c r="P1169" s="1385">
        <v>3000000</v>
      </c>
      <c r="Q1169" s="1357">
        <v>42927</v>
      </c>
      <c r="R1169" s="1385">
        <v>3000000</v>
      </c>
      <c r="S1169" s="1357">
        <v>43112</v>
      </c>
      <c r="T1169" s="1382" t="s">
        <v>1080</v>
      </c>
      <c r="U1169" s="1474"/>
      <c r="V1169" s="1363"/>
      <c r="W1169" s="1391"/>
      <c r="X1169" s="1363"/>
      <c r="Y1169" s="1391"/>
      <c r="Z1169" s="1363"/>
      <c r="AA1169" s="1563"/>
      <c r="AB1169" s="1385">
        <v>1000000</v>
      </c>
      <c r="AC1169" s="1357">
        <v>43231</v>
      </c>
      <c r="AD1169" s="1666" t="str">
        <f t="shared" si="403"/>
        <v xml:space="preserve">  </v>
      </c>
      <c r="AE1169" s="1590" t="str">
        <f t="shared" si="404"/>
        <v xml:space="preserve">  </v>
      </c>
      <c r="AF1169" s="2300" t="s">
        <v>1329</v>
      </c>
      <c r="AG1169" s="1612"/>
      <c r="AH1169" s="1625" t="str">
        <f t="shared" si="387"/>
        <v>PAI</v>
      </c>
      <c r="AI1169" s="1680">
        <f t="shared" si="392"/>
        <v>14350000</v>
      </c>
      <c r="AJ1169" s="1681">
        <f t="shared" si="400"/>
        <v>14350000</v>
      </c>
      <c r="AK1169" s="1682">
        <f t="shared" si="393"/>
        <v>0</v>
      </c>
      <c r="AL1169" s="1691" t="str">
        <f t="shared" si="394"/>
        <v>Lunas</v>
      </c>
      <c r="AM1169" s="1410"/>
      <c r="AN1169" s="1411"/>
      <c r="AO1169" s="1410"/>
      <c r="AP1169" s="1411"/>
      <c r="AQ1169" s="1128"/>
      <c r="AR1169" s="1173"/>
      <c r="AT1169" s="1173"/>
      <c r="AV1169" s="1173"/>
      <c r="AX1169" s="1173"/>
      <c r="AY1169" s="1176"/>
      <c r="AZ1169" s="1173"/>
    </row>
    <row r="1170" spans="1:52" s="2" customFormat="1" x14ac:dyDescent="0.25">
      <c r="A1170" s="156">
        <v>1082</v>
      </c>
      <c r="B1170" s="478">
        <v>48</v>
      </c>
      <c r="C1170" s="480">
        <v>849316048</v>
      </c>
      <c r="D1170" s="479" t="s">
        <v>1660</v>
      </c>
      <c r="E1170" s="179" t="s">
        <v>1328</v>
      </c>
      <c r="F1170" s="161">
        <v>2016</v>
      </c>
      <c r="G1170" s="162" t="s">
        <v>33</v>
      </c>
      <c r="H1170" s="163">
        <f t="shared" si="397"/>
        <v>44027</v>
      </c>
      <c r="I1170" s="163">
        <f t="shared" si="398"/>
        <v>44168</v>
      </c>
      <c r="J1170" s="1975">
        <v>1350000</v>
      </c>
      <c r="K1170" s="1365"/>
      <c r="L1170" s="1385">
        <v>3000000</v>
      </c>
      <c r="M1170" s="1383">
        <v>42543</v>
      </c>
      <c r="N1170" s="1480">
        <v>3000000</v>
      </c>
      <c r="O1170" s="1637">
        <v>42759</v>
      </c>
      <c r="P1170" s="1480">
        <v>3000000</v>
      </c>
      <c r="Q1170" s="1365">
        <v>42923</v>
      </c>
      <c r="R1170" s="1385">
        <v>3000000</v>
      </c>
      <c r="S1170" s="1357">
        <v>43115</v>
      </c>
      <c r="T1170" s="1431">
        <v>3000000</v>
      </c>
      <c r="U1170" s="1365">
        <v>43292</v>
      </c>
      <c r="V1170" s="1385">
        <v>3000000</v>
      </c>
      <c r="W1170" s="1357">
        <v>43537</v>
      </c>
      <c r="X1170" s="1634">
        <v>3000000</v>
      </c>
      <c r="Y1170" s="1357">
        <v>43724</v>
      </c>
      <c r="Z1170" s="1874">
        <v>3000000</v>
      </c>
      <c r="AA1170" s="1357">
        <v>43852.545787037001</v>
      </c>
      <c r="AB1170" s="1385">
        <v>1000000</v>
      </c>
      <c r="AC1170" s="1357">
        <v>43852</v>
      </c>
      <c r="AD1170" s="1809">
        <f t="shared" si="403"/>
        <v>500000</v>
      </c>
      <c r="AE1170" s="1440">
        <f t="shared" si="404"/>
        <v>44068.599756944401</v>
      </c>
      <c r="AF1170" s="2300" t="s">
        <v>1329</v>
      </c>
      <c r="AG1170" s="1612"/>
      <c r="AH1170" s="1625" t="str">
        <f t="shared" si="387"/>
        <v>PAI</v>
      </c>
      <c r="AI1170" s="1680">
        <f t="shared" si="392"/>
        <v>26850000</v>
      </c>
      <c r="AJ1170" s="1681">
        <f t="shared" si="400"/>
        <v>26850000</v>
      </c>
      <c r="AK1170" s="1682">
        <f t="shared" si="393"/>
        <v>0</v>
      </c>
      <c r="AL1170" s="1691" t="str">
        <f t="shared" si="394"/>
        <v>Lunas</v>
      </c>
      <c r="AM1170" s="1410"/>
      <c r="AN1170" s="1411"/>
      <c r="AO1170" s="1410"/>
      <c r="AP1170" s="1411"/>
      <c r="AQ1170" s="1128"/>
      <c r="AR1170" s="1173"/>
      <c r="AT1170" s="1173"/>
      <c r="AV1170" s="1173"/>
      <c r="AX1170" s="1173"/>
      <c r="AY1170" s="1176"/>
      <c r="AZ1170" s="1173"/>
    </row>
    <row r="1171" spans="1:52" s="2" customFormat="1" x14ac:dyDescent="0.25">
      <c r="A1171" s="234">
        <v>1083</v>
      </c>
      <c r="B1171" s="1986">
        <v>49</v>
      </c>
      <c r="C1171" s="482">
        <v>849316049</v>
      </c>
      <c r="D1171" s="481" t="s">
        <v>1661</v>
      </c>
      <c r="E1171" s="237" t="s">
        <v>1328</v>
      </c>
      <c r="F1171" s="238">
        <v>2016</v>
      </c>
      <c r="G1171" s="485" t="s">
        <v>1077</v>
      </c>
      <c r="H1171" s="265" t="str">
        <f t="shared" si="397"/>
        <v xml:space="preserve">   </v>
      </c>
      <c r="I1171" s="265" t="str">
        <f t="shared" si="398"/>
        <v xml:space="preserve">   </v>
      </c>
      <c r="J1171" s="1978">
        <v>1350000</v>
      </c>
      <c r="K1171" s="1360"/>
      <c r="L1171" s="1714">
        <v>3000000</v>
      </c>
      <c r="M1171" s="1503">
        <v>42580</v>
      </c>
      <c r="N1171" s="1389">
        <v>3000000</v>
      </c>
      <c r="O1171" s="1500">
        <v>42790</v>
      </c>
      <c r="P1171" s="1653"/>
      <c r="Q1171" s="1654"/>
      <c r="R1171" s="1363"/>
      <c r="S1171" s="1391"/>
      <c r="T1171" s="1430"/>
      <c r="U1171" s="1654"/>
      <c r="V1171" s="1363"/>
      <c r="W1171" s="1391"/>
      <c r="X1171" s="1363"/>
      <c r="Y1171" s="1391"/>
      <c r="Z1171" s="1363"/>
      <c r="AA1171" s="1563"/>
      <c r="AB1171" s="1389"/>
      <c r="AC1171" s="1367"/>
      <c r="AD1171" s="1666" t="str">
        <f t="shared" si="403"/>
        <v xml:space="preserve">  </v>
      </c>
      <c r="AE1171" s="1590" t="str">
        <f t="shared" si="404"/>
        <v xml:space="preserve">  </v>
      </c>
      <c r="AF1171" s="2300" t="s">
        <v>1329</v>
      </c>
      <c r="AG1171" s="1612"/>
      <c r="AH1171" s="1625" t="str">
        <f t="shared" si="387"/>
        <v>PAI</v>
      </c>
      <c r="AI1171" s="1680">
        <f t="shared" si="392"/>
        <v>7350000</v>
      </c>
      <c r="AJ1171" s="1681">
        <f t="shared" si="400"/>
        <v>7350000</v>
      </c>
      <c r="AK1171" s="1682">
        <f t="shared" si="393"/>
        <v>0</v>
      </c>
      <c r="AL1171" s="1691" t="str">
        <f t="shared" si="394"/>
        <v>Lunas</v>
      </c>
      <c r="AM1171" s="1410"/>
      <c r="AN1171" s="1411"/>
      <c r="AO1171" s="1410"/>
      <c r="AP1171" s="1411"/>
      <c r="AQ1171" s="1128"/>
      <c r="AR1171" s="1173"/>
      <c r="AT1171" s="1173"/>
      <c r="AV1171" s="1173"/>
      <c r="AX1171" s="1173"/>
      <c r="AY1171" s="1176"/>
      <c r="AZ1171" s="1173"/>
    </row>
    <row r="1172" spans="1:52" s="2" customFormat="1" x14ac:dyDescent="0.25">
      <c r="A1172" s="240">
        <v>1084</v>
      </c>
      <c r="B1172" s="1987">
        <v>50</v>
      </c>
      <c r="C1172" s="1988">
        <v>849316050</v>
      </c>
      <c r="D1172" s="1989" t="s">
        <v>1662</v>
      </c>
      <c r="E1172" s="1990" t="s">
        <v>1328</v>
      </c>
      <c r="F1172" s="245">
        <v>2016</v>
      </c>
      <c r="G1172" s="485" t="s">
        <v>1077</v>
      </c>
      <c r="H1172" s="364" t="str">
        <f t="shared" si="397"/>
        <v xml:space="preserve">   </v>
      </c>
      <c r="I1172" s="364" t="str">
        <f t="shared" si="398"/>
        <v xml:space="preserve">   </v>
      </c>
      <c r="J1172" s="1995">
        <v>1350000</v>
      </c>
      <c r="K1172" s="1557"/>
      <c r="L1172" s="1724">
        <v>3000000</v>
      </c>
      <c r="M1172" s="1447">
        <v>42549</v>
      </c>
      <c r="N1172" s="1706">
        <v>3000000</v>
      </c>
      <c r="O1172" s="1501">
        <v>42761</v>
      </c>
      <c r="P1172" s="1706">
        <v>3000000</v>
      </c>
      <c r="Q1172" s="1557">
        <v>42937</v>
      </c>
      <c r="R1172" s="1973">
        <v>3000000</v>
      </c>
      <c r="S1172" s="1996">
        <v>43116</v>
      </c>
      <c r="T1172" s="1706"/>
      <c r="U1172" s="1728"/>
      <c r="V1172" s="1446"/>
      <c r="W1172" s="1944"/>
      <c r="X1172" s="1446"/>
      <c r="Y1172" s="1944"/>
      <c r="Z1172" s="1446"/>
      <c r="AA1172" s="1957"/>
      <c r="AB1172" s="1706"/>
      <c r="AC1172" s="1445"/>
      <c r="AD1172" s="1666" t="str">
        <f t="shared" si="403"/>
        <v xml:space="preserve">  </v>
      </c>
      <c r="AE1172" s="1590" t="str">
        <f t="shared" si="404"/>
        <v xml:space="preserve">  </v>
      </c>
      <c r="AF1172" s="2300" t="s">
        <v>1329</v>
      </c>
      <c r="AG1172" s="1612"/>
      <c r="AH1172" s="1626" t="str">
        <f t="shared" si="387"/>
        <v>PAI</v>
      </c>
      <c r="AI1172" s="1752">
        <f t="shared" si="392"/>
        <v>13350000</v>
      </c>
      <c r="AJ1172" s="1753">
        <f t="shared" si="400"/>
        <v>13350000</v>
      </c>
      <c r="AK1172" s="1741">
        <f t="shared" si="393"/>
        <v>0</v>
      </c>
      <c r="AL1172" s="1742" t="str">
        <f t="shared" si="394"/>
        <v>Lunas</v>
      </c>
      <c r="AM1172" s="1410"/>
      <c r="AN1172" s="1411"/>
      <c r="AO1172" s="1410"/>
      <c r="AP1172" s="1411"/>
      <c r="AQ1172" s="1128"/>
      <c r="AR1172" s="1173"/>
      <c r="AT1172" s="1173"/>
      <c r="AV1172" s="1173"/>
      <c r="AX1172" s="1173"/>
      <c r="AY1172" s="1176"/>
      <c r="AZ1172" s="1173"/>
    </row>
    <row r="1173" spans="1:52" s="2" customFormat="1" x14ac:dyDescent="0.25">
      <c r="A1173" s="223"/>
      <c r="B1173" s="224"/>
      <c r="C1173" s="471"/>
      <c r="D1173" s="225"/>
      <c r="E1173" s="225"/>
      <c r="F1173" s="225"/>
      <c r="G1173" s="225"/>
      <c r="H1173" s="225"/>
      <c r="I1173" s="225"/>
      <c r="J1173" s="225"/>
      <c r="K1173" s="225"/>
      <c r="L1173" s="225"/>
      <c r="M1173" s="225"/>
      <c r="N1173" s="225"/>
      <c r="O1173" s="225"/>
      <c r="P1173" s="225"/>
      <c r="Q1173" s="225"/>
      <c r="R1173" s="225"/>
      <c r="S1173" s="225"/>
      <c r="T1173" s="225"/>
      <c r="U1173" s="225"/>
      <c r="V1173" s="225"/>
      <c r="W1173" s="225"/>
      <c r="X1173" s="225"/>
      <c r="Y1173" s="225"/>
      <c r="Z1173" s="225"/>
      <c r="AA1173" s="225"/>
      <c r="AB1173" s="225"/>
      <c r="AC1173" s="1959"/>
      <c r="AD1173" s="414"/>
      <c r="AE1173" s="1629"/>
      <c r="AF1173" s="414"/>
      <c r="AG1173" s="1629"/>
      <c r="AH1173" s="1827">
        <f t="shared" si="387"/>
        <v>0</v>
      </c>
      <c r="AI1173" s="1512"/>
      <c r="AJ1173" s="1409"/>
      <c r="AK1173" s="1409"/>
      <c r="AL1173" s="1513"/>
      <c r="AM1173" s="1513"/>
      <c r="AN1173" s="1514"/>
      <c r="AO1173" s="1513"/>
      <c r="AP1173" s="1514"/>
      <c r="AQ1173" s="1128"/>
      <c r="AR1173" s="1173"/>
      <c r="AT1173" s="1173"/>
      <c r="AV1173" s="1173"/>
      <c r="AX1173" s="1173"/>
      <c r="AY1173" s="1176"/>
      <c r="AZ1173" s="1173"/>
    </row>
    <row r="1174" spans="1:52" s="2" customFormat="1" x14ac:dyDescent="0.25">
      <c r="A1174" s="491" t="s">
        <v>1663</v>
      </c>
      <c r="B1174" s="491"/>
      <c r="C1174" s="366"/>
      <c r="D1174" s="491"/>
      <c r="E1174" s="198" t="s">
        <v>1096</v>
      </c>
      <c r="F1174" s="199" t="s">
        <v>1096</v>
      </c>
      <c r="G1174" s="146">
        <v>3000000</v>
      </c>
      <c r="H1174" s="147" t="str">
        <f t="shared" ref="H1174:H1237" si="405">IFERROR(VLOOKUP(C1174,Tlus,3,FALSE),"   ")</f>
        <v xml:space="preserve">   </v>
      </c>
      <c r="I1174" s="147" t="str">
        <f t="shared" ref="I1174:I1237" si="406">IFERROR(VLOOKUP(C1174,Wis,4,FALSE),"   ")</f>
        <v xml:space="preserve">   </v>
      </c>
      <c r="J1174" s="1349">
        <v>1350000</v>
      </c>
      <c r="K1174" s="1529"/>
      <c r="L1174" s="1582" t="s">
        <v>1049</v>
      </c>
      <c r="M1174" s="1502" t="s">
        <v>1062</v>
      </c>
      <c r="N1174" s="1582" t="s">
        <v>1051</v>
      </c>
      <c r="O1174" s="1502" t="s">
        <v>1064</v>
      </c>
      <c r="P1174" s="1582" t="s">
        <v>1053</v>
      </c>
      <c r="Q1174" s="1502" t="s">
        <v>1066</v>
      </c>
      <c r="R1174" s="1582" t="s">
        <v>1055</v>
      </c>
      <c r="S1174" s="1502" t="s">
        <v>1068</v>
      </c>
      <c r="T1174" s="1582" t="s">
        <v>1057</v>
      </c>
      <c r="U1174" s="1502" t="s">
        <v>1141</v>
      </c>
      <c r="V1174" s="1582" t="s">
        <v>1059</v>
      </c>
      <c r="W1174" s="1502" t="s">
        <v>1325</v>
      </c>
      <c r="X1174" s="1582" t="s">
        <v>1061</v>
      </c>
      <c r="Y1174" s="1502" t="s">
        <v>1463</v>
      </c>
      <c r="Z1174" s="1582" t="s">
        <v>1063</v>
      </c>
      <c r="AA1174" s="1502" t="s">
        <v>1464</v>
      </c>
      <c r="AB1174" s="1450">
        <v>1000000</v>
      </c>
      <c r="AC1174" s="1663" t="s">
        <v>1326</v>
      </c>
      <c r="AD1174" s="1450">
        <v>500000</v>
      </c>
      <c r="AE1174" s="1663" t="s">
        <v>22</v>
      </c>
      <c r="AF1174" s="1984"/>
      <c r="AG1174" s="1436"/>
      <c r="AH1174" s="1408" t="str">
        <f t="shared" si="387"/>
        <v>#</v>
      </c>
      <c r="AI1174" s="1512"/>
      <c r="AJ1174" s="1409"/>
      <c r="AK1174" s="1409"/>
      <c r="AL1174" s="1513"/>
      <c r="AM1174" s="1513"/>
      <c r="AN1174" s="1514"/>
      <c r="AO1174" s="1513"/>
      <c r="AP1174" s="1514"/>
      <c r="AQ1174" s="1128"/>
      <c r="AR1174" s="1173"/>
      <c r="AT1174" s="1173"/>
      <c r="AV1174" s="1173"/>
      <c r="AX1174" s="1173"/>
      <c r="AY1174" s="1176"/>
      <c r="AZ1174" s="1173"/>
    </row>
    <row r="1175" spans="1:52" s="2" customFormat="1" x14ac:dyDescent="0.25">
      <c r="A1175" s="148">
        <v>1085</v>
      </c>
      <c r="B1175" s="367">
        <v>1</v>
      </c>
      <c r="C1175" s="151">
        <v>849416001</v>
      </c>
      <c r="D1175" s="150" t="s">
        <v>1664</v>
      </c>
      <c r="E1175" s="311" t="s">
        <v>1665</v>
      </c>
      <c r="F1175" s="153">
        <v>2016</v>
      </c>
      <c r="G1175" s="342" t="s">
        <v>33</v>
      </c>
      <c r="H1175" s="163">
        <f t="shared" si="405"/>
        <v>43255</v>
      </c>
      <c r="I1175" s="163">
        <f t="shared" si="406"/>
        <v>43440</v>
      </c>
      <c r="J1175" s="1633">
        <v>1350000</v>
      </c>
      <c r="K1175" s="1440"/>
      <c r="L1175" s="1634">
        <v>3000000</v>
      </c>
      <c r="M1175" s="1479">
        <v>42499</v>
      </c>
      <c r="N1175" s="1633">
        <v>3000000</v>
      </c>
      <c r="O1175" s="1479">
        <v>42748</v>
      </c>
      <c r="P1175" s="1633">
        <v>3000000</v>
      </c>
      <c r="Q1175" s="1440">
        <v>42929</v>
      </c>
      <c r="R1175" s="1634">
        <v>3000000</v>
      </c>
      <c r="S1175" s="1440">
        <v>43111</v>
      </c>
      <c r="T1175" s="1470" t="s">
        <v>1080</v>
      </c>
      <c r="U1175" s="1940"/>
      <c r="V1175" s="1363"/>
      <c r="W1175" s="1391"/>
      <c r="X1175" s="1363"/>
      <c r="Y1175" s="1391"/>
      <c r="Z1175" s="1941"/>
      <c r="AA1175" s="1955"/>
      <c r="AB1175" s="1381">
        <v>1000000</v>
      </c>
      <c r="AC1175" s="1354">
        <v>43241</v>
      </c>
      <c r="AD1175" s="1666"/>
      <c r="AE1175" s="1590"/>
      <c r="AF1175" s="2300" t="s">
        <v>1329</v>
      </c>
      <c r="AG1175" s="1612"/>
      <c r="AH1175" s="1625" t="str">
        <f t="shared" si="387"/>
        <v>PGMI</v>
      </c>
      <c r="AI1175" s="1678">
        <f t="shared" ref="AI1175" si="407">SUM(J1175,L1175,N1175,P1175,R1175,T1175,V1175,X1175,Z1175,AB1175,AD1175,AF1175)</f>
        <v>14350000</v>
      </c>
      <c r="AJ1175" s="1679">
        <f t="shared" ref="AJ1175:AJ1190" si="408">(COUNT(L1175,N1175,P1175,R1175,T1175,V1175,X1175,Z1175)*$G$1039)+(COUNT(J1175)*$J$1039)+(COUNT(AB1175)*$AB$1039)+(COUNT(AD1175)*$AD$1039)</f>
        <v>14350000</v>
      </c>
      <c r="AK1175" s="1419">
        <f t="shared" ref="AK1175" si="409">AJ1175-AI1175</f>
        <v>0</v>
      </c>
      <c r="AL1175" s="1420" t="str">
        <f t="shared" ref="AL1175" si="410">IF(AK1175=0,"Lunas","Cek")</f>
        <v>Lunas</v>
      </c>
      <c r="AM1175" s="1410"/>
      <c r="AN1175" s="1411"/>
      <c r="AO1175" s="1410"/>
      <c r="AP1175" s="1411"/>
      <c r="AQ1175" s="1128"/>
      <c r="AR1175" s="1173"/>
      <c r="AT1175" s="1173"/>
      <c r="AV1175" s="1173"/>
      <c r="AX1175" s="1173"/>
      <c r="AY1175" s="1176"/>
      <c r="AZ1175" s="1173"/>
    </row>
    <row r="1176" spans="1:52" s="2" customFormat="1" x14ac:dyDescent="0.25">
      <c r="A1176" s="156">
        <v>1086</v>
      </c>
      <c r="B1176" s="344">
        <v>2</v>
      </c>
      <c r="C1176" s="178">
        <v>849416002</v>
      </c>
      <c r="D1176" s="158" t="s">
        <v>1666</v>
      </c>
      <c r="E1176" s="275" t="s">
        <v>1665</v>
      </c>
      <c r="F1176" s="161">
        <v>2016</v>
      </c>
      <c r="G1176" s="342" t="s">
        <v>33</v>
      </c>
      <c r="H1176" s="163">
        <f t="shared" si="405"/>
        <v>43633</v>
      </c>
      <c r="I1176" s="163">
        <f t="shared" si="406"/>
        <v>43705</v>
      </c>
      <c r="J1176" s="1636">
        <v>1350000</v>
      </c>
      <c r="K1176" s="1365"/>
      <c r="L1176" s="1480">
        <v>3000000</v>
      </c>
      <c r="M1176" s="1637">
        <v>42506</v>
      </c>
      <c r="N1176" s="1480">
        <v>3000000</v>
      </c>
      <c r="O1176" s="1637">
        <v>42762</v>
      </c>
      <c r="P1176" s="1480">
        <v>3000000</v>
      </c>
      <c r="Q1176" s="1365">
        <v>42934</v>
      </c>
      <c r="R1176" s="1385">
        <v>3000000</v>
      </c>
      <c r="S1176" s="1357">
        <v>43161</v>
      </c>
      <c r="T1176" s="1997">
        <v>3000000</v>
      </c>
      <c r="U1176" s="1365">
        <v>43413</v>
      </c>
      <c r="V1176" s="1385">
        <v>3000000</v>
      </c>
      <c r="W1176" s="1357">
        <v>43616</v>
      </c>
      <c r="X1176" s="1465" t="s">
        <v>1080</v>
      </c>
      <c r="Y1176" s="1384"/>
      <c r="Z1176" s="1363"/>
      <c r="AA1176" s="1563"/>
      <c r="AB1176" s="1480">
        <v>1000000</v>
      </c>
      <c r="AC1176" s="1357">
        <v>43413</v>
      </c>
      <c r="AD1176" s="1731"/>
      <c r="AE1176" s="1367"/>
      <c r="AF1176" s="2300" t="s">
        <v>1329</v>
      </c>
      <c r="AG1176" s="1612"/>
      <c r="AH1176" s="1625" t="str">
        <f t="shared" si="387"/>
        <v>PGMI</v>
      </c>
      <c r="AI1176" s="1680">
        <f t="shared" ref="AI1176:AI1186" si="411">SUM(J1176,L1176,N1176,P1176,R1176,T1176,V1176,X1176,Z1176,AB1176,AD1176,AF1176)</f>
        <v>20350000</v>
      </c>
      <c r="AJ1176" s="1681">
        <f t="shared" si="408"/>
        <v>20350000</v>
      </c>
      <c r="AK1176" s="1682">
        <f t="shared" ref="AK1176:AK1186" si="412">AJ1176-AI1176</f>
        <v>0</v>
      </c>
      <c r="AL1176" s="1691" t="str">
        <f t="shared" ref="AL1176:AL1185" si="413">IF(AK1176=0,"Lunas","Cek")</f>
        <v>Lunas</v>
      </c>
      <c r="AM1176" s="1410"/>
      <c r="AN1176" s="1411"/>
      <c r="AO1176" s="1410"/>
      <c r="AP1176" s="1411"/>
      <c r="AQ1176" s="1128"/>
      <c r="AR1176" s="1173"/>
      <c r="AT1176" s="1173"/>
      <c r="AV1176" s="1173"/>
      <c r="AX1176" s="1173"/>
      <c r="AY1176" s="1176"/>
      <c r="AZ1176" s="1173"/>
    </row>
    <row r="1177" spans="1:52" s="2" customFormat="1" x14ac:dyDescent="0.25">
      <c r="A1177" s="156">
        <v>1087</v>
      </c>
      <c r="B1177" s="172">
        <v>3</v>
      </c>
      <c r="C1177" s="159">
        <v>849416003</v>
      </c>
      <c r="D1177" s="158" t="s">
        <v>1667</v>
      </c>
      <c r="E1177" s="179" t="s">
        <v>1665</v>
      </c>
      <c r="F1177" s="161">
        <v>2016</v>
      </c>
      <c r="G1177" s="162" t="s">
        <v>33</v>
      </c>
      <c r="H1177" s="163">
        <f t="shared" si="405"/>
        <v>43328</v>
      </c>
      <c r="I1177" s="163">
        <f t="shared" si="406"/>
        <v>43440</v>
      </c>
      <c r="J1177" s="1443">
        <v>1350000</v>
      </c>
      <c r="K1177" s="1357"/>
      <c r="L1177" s="1385">
        <v>3000000</v>
      </c>
      <c r="M1177" s="1383">
        <v>42499</v>
      </c>
      <c r="N1177" s="1385">
        <v>3000000</v>
      </c>
      <c r="O1177" s="1383">
        <v>42751</v>
      </c>
      <c r="P1177" s="1443">
        <v>3000000</v>
      </c>
      <c r="Q1177" s="1357">
        <v>42930</v>
      </c>
      <c r="R1177" s="1385">
        <v>3000000</v>
      </c>
      <c r="S1177" s="1357">
        <v>43111</v>
      </c>
      <c r="T1177" s="1998" t="s">
        <v>1080</v>
      </c>
      <c r="U1177" s="1474"/>
      <c r="V1177" s="1363"/>
      <c r="W1177" s="1391"/>
      <c r="X1177" s="1363"/>
      <c r="Y1177" s="1391"/>
      <c r="Z1177" s="1363"/>
      <c r="AA1177" s="1563"/>
      <c r="AB1177" s="1385">
        <v>1000000</v>
      </c>
      <c r="AC1177" s="1357">
        <v>43279</v>
      </c>
      <c r="AD1177" s="1666"/>
      <c r="AE1177" s="1590"/>
      <c r="AF1177" s="2300" t="s">
        <v>1329</v>
      </c>
      <c r="AG1177" s="1612"/>
      <c r="AH1177" s="1625" t="str">
        <f t="shared" si="387"/>
        <v>PGMI</v>
      </c>
      <c r="AI1177" s="1680">
        <f t="shared" si="411"/>
        <v>14350000</v>
      </c>
      <c r="AJ1177" s="1681">
        <f t="shared" si="408"/>
        <v>14350000</v>
      </c>
      <c r="AK1177" s="1682">
        <f t="shared" si="412"/>
        <v>0</v>
      </c>
      <c r="AL1177" s="1691" t="str">
        <f t="shared" si="413"/>
        <v>Lunas</v>
      </c>
      <c r="AM1177" s="1410"/>
      <c r="AN1177" s="1411"/>
      <c r="AO1177" s="1410"/>
      <c r="AP1177" s="1411"/>
      <c r="AQ1177" s="1128"/>
      <c r="AR1177" s="1173"/>
      <c r="AT1177" s="1173"/>
      <c r="AV1177" s="1173"/>
      <c r="AX1177" s="1173"/>
      <c r="AY1177" s="1176"/>
      <c r="AZ1177" s="1173"/>
    </row>
    <row r="1178" spans="1:52" s="2" customFormat="1" x14ac:dyDescent="0.25">
      <c r="A1178" s="156">
        <v>1088</v>
      </c>
      <c r="B1178" s="344">
        <v>4</v>
      </c>
      <c r="C1178" s="178">
        <v>849416004</v>
      </c>
      <c r="D1178" s="158" t="s">
        <v>1668</v>
      </c>
      <c r="E1178" s="275" t="s">
        <v>1665</v>
      </c>
      <c r="F1178" s="161">
        <v>2016</v>
      </c>
      <c r="G1178" s="272" t="s">
        <v>33</v>
      </c>
      <c r="H1178" s="163">
        <f t="shared" si="405"/>
        <v>43423</v>
      </c>
      <c r="I1178" s="163">
        <f t="shared" si="406"/>
        <v>43587</v>
      </c>
      <c r="J1178" s="1636">
        <v>1350000</v>
      </c>
      <c r="K1178" s="1365"/>
      <c r="L1178" s="1480">
        <v>3000000</v>
      </c>
      <c r="M1178" s="1637">
        <v>42493</v>
      </c>
      <c r="N1178" s="1480">
        <v>3000000</v>
      </c>
      <c r="O1178" s="1637">
        <v>42762</v>
      </c>
      <c r="P1178" s="1480">
        <v>3000000</v>
      </c>
      <c r="Q1178" s="1365">
        <v>42937</v>
      </c>
      <c r="R1178" s="1385">
        <v>3000000</v>
      </c>
      <c r="S1178" s="1357">
        <v>43112</v>
      </c>
      <c r="T1178" s="1431">
        <v>3000000</v>
      </c>
      <c r="U1178" s="1365">
        <v>43293</v>
      </c>
      <c r="V1178" s="1465" t="s">
        <v>1080</v>
      </c>
      <c r="W1178" s="1384"/>
      <c r="X1178" s="1363"/>
      <c r="Y1178" s="1391"/>
      <c r="Z1178" s="1363"/>
      <c r="AA1178" s="1563"/>
      <c r="AB1178" s="1480">
        <v>1000000</v>
      </c>
      <c r="AC1178" s="1357">
        <v>43406</v>
      </c>
      <c r="AD1178" s="1666"/>
      <c r="AE1178" s="1590"/>
      <c r="AF1178" s="2300" t="s">
        <v>1329</v>
      </c>
      <c r="AG1178" s="1612"/>
      <c r="AH1178" s="1625" t="str">
        <f t="shared" si="387"/>
        <v>PGMI</v>
      </c>
      <c r="AI1178" s="1680">
        <f t="shared" si="411"/>
        <v>17350000</v>
      </c>
      <c r="AJ1178" s="1681">
        <f t="shared" si="408"/>
        <v>17350000</v>
      </c>
      <c r="AK1178" s="1682">
        <f t="shared" si="412"/>
        <v>0</v>
      </c>
      <c r="AL1178" s="1691" t="str">
        <f t="shared" si="413"/>
        <v>Lunas</v>
      </c>
      <c r="AM1178" s="1410"/>
      <c r="AN1178" s="1411"/>
      <c r="AO1178" s="1410"/>
      <c r="AP1178" s="1411"/>
      <c r="AQ1178" s="1128"/>
      <c r="AR1178" s="1173"/>
      <c r="AT1178" s="1173"/>
      <c r="AV1178" s="1173"/>
      <c r="AX1178" s="1173"/>
      <c r="AY1178" s="1176"/>
      <c r="AZ1178" s="1173"/>
    </row>
    <row r="1179" spans="1:52" s="2" customFormat="1" x14ac:dyDescent="0.25">
      <c r="A1179" s="156">
        <v>1089</v>
      </c>
      <c r="B1179" s="344">
        <v>5</v>
      </c>
      <c r="C1179" s="178">
        <v>849416005</v>
      </c>
      <c r="D1179" s="158" t="s">
        <v>1669</v>
      </c>
      <c r="E1179" s="275" t="s">
        <v>1665</v>
      </c>
      <c r="F1179" s="161">
        <v>2016</v>
      </c>
      <c r="G1179" s="272" t="s">
        <v>33</v>
      </c>
      <c r="H1179" s="163">
        <f t="shared" si="405"/>
        <v>43840</v>
      </c>
      <c r="I1179" s="163">
        <f t="shared" si="406"/>
        <v>44058</v>
      </c>
      <c r="J1179" s="1636">
        <v>1350000</v>
      </c>
      <c r="K1179" s="1365"/>
      <c r="L1179" s="1480">
        <v>3000000</v>
      </c>
      <c r="M1179" s="1637">
        <v>42499</v>
      </c>
      <c r="N1179" s="1480">
        <v>3000000</v>
      </c>
      <c r="O1179" s="1637">
        <v>42761</v>
      </c>
      <c r="P1179" s="1636">
        <v>3000000</v>
      </c>
      <c r="Q1179" s="1365">
        <v>42919</v>
      </c>
      <c r="R1179" s="1385">
        <v>3000000</v>
      </c>
      <c r="S1179" s="1357">
        <v>43115</v>
      </c>
      <c r="T1179" s="1431">
        <v>3000000</v>
      </c>
      <c r="U1179" s="1365">
        <v>43536</v>
      </c>
      <c r="V1179" s="1480">
        <v>3000000</v>
      </c>
      <c r="W1179" s="1365">
        <v>43536</v>
      </c>
      <c r="X1179" s="1385">
        <v>3000000</v>
      </c>
      <c r="Y1179" s="1357">
        <v>43684</v>
      </c>
      <c r="Z1179" s="1465" t="s">
        <v>1080</v>
      </c>
      <c r="AA1179" s="1563"/>
      <c r="AB1179" s="1480">
        <v>1000000</v>
      </c>
      <c r="AC1179" s="1357">
        <v>43826</v>
      </c>
      <c r="AD1179" s="1809">
        <v>500000</v>
      </c>
      <c r="AE1179" s="1440">
        <v>43875</v>
      </c>
      <c r="AF1179" s="2300" t="s">
        <v>1329</v>
      </c>
      <c r="AG1179" s="1612"/>
      <c r="AH1179" s="1625" t="str">
        <f t="shared" si="387"/>
        <v>PGMI</v>
      </c>
      <c r="AI1179" s="1680">
        <f t="shared" si="411"/>
        <v>23850000</v>
      </c>
      <c r="AJ1179" s="1681">
        <f t="shared" si="408"/>
        <v>23850000</v>
      </c>
      <c r="AK1179" s="1682">
        <f t="shared" si="412"/>
        <v>0</v>
      </c>
      <c r="AL1179" s="1691" t="str">
        <f t="shared" si="413"/>
        <v>Lunas</v>
      </c>
      <c r="AM1179" s="1410"/>
      <c r="AN1179" s="1411"/>
      <c r="AO1179" s="1410"/>
      <c r="AP1179" s="1411"/>
      <c r="AQ1179" s="1128"/>
      <c r="AR1179" s="1173"/>
      <c r="AT1179" s="1173"/>
      <c r="AV1179" s="1173"/>
      <c r="AX1179" s="1173"/>
      <c r="AY1179" s="1176"/>
      <c r="AZ1179" s="1173"/>
    </row>
    <row r="1180" spans="1:52" s="2" customFormat="1" x14ac:dyDescent="0.25">
      <c r="A1180" s="156">
        <v>1090</v>
      </c>
      <c r="B1180" s="172">
        <v>6</v>
      </c>
      <c r="C1180" s="159">
        <v>849416006</v>
      </c>
      <c r="D1180" s="158" t="s">
        <v>1670</v>
      </c>
      <c r="E1180" s="179" t="s">
        <v>1665</v>
      </c>
      <c r="F1180" s="161">
        <v>2016</v>
      </c>
      <c r="G1180" s="162" t="s">
        <v>33</v>
      </c>
      <c r="H1180" s="163">
        <f t="shared" si="405"/>
        <v>43327</v>
      </c>
      <c r="I1180" s="163">
        <f t="shared" si="406"/>
        <v>43440</v>
      </c>
      <c r="J1180" s="1443">
        <v>1350000</v>
      </c>
      <c r="K1180" s="1357"/>
      <c r="L1180" s="1385">
        <v>3000000</v>
      </c>
      <c r="M1180" s="1383">
        <v>42133</v>
      </c>
      <c r="N1180" s="1385">
        <v>3000000</v>
      </c>
      <c r="O1180" s="1383">
        <v>42754</v>
      </c>
      <c r="P1180" s="1385">
        <v>3000000</v>
      </c>
      <c r="Q1180" s="1357">
        <v>42926</v>
      </c>
      <c r="R1180" s="1385">
        <v>3000000</v>
      </c>
      <c r="S1180" s="1357">
        <v>43111</v>
      </c>
      <c r="T1180" s="1382" t="s">
        <v>1080</v>
      </c>
      <c r="U1180" s="1384"/>
      <c r="V1180" s="1363"/>
      <c r="W1180" s="1391"/>
      <c r="X1180" s="1363"/>
      <c r="Y1180" s="1391"/>
      <c r="Z1180" s="1363"/>
      <c r="AA1180" s="1563"/>
      <c r="AB1180" s="1385">
        <v>1000000</v>
      </c>
      <c r="AC1180" s="1357">
        <v>43280</v>
      </c>
      <c r="AD1180" s="1666"/>
      <c r="AE1180" s="1590"/>
      <c r="AF1180" s="2300" t="s">
        <v>1329</v>
      </c>
      <c r="AG1180" s="1612"/>
      <c r="AH1180" s="1625" t="str">
        <f t="shared" si="387"/>
        <v>PGMI</v>
      </c>
      <c r="AI1180" s="1680">
        <f t="shared" si="411"/>
        <v>14350000</v>
      </c>
      <c r="AJ1180" s="1681">
        <f t="shared" si="408"/>
        <v>14350000</v>
      </c>
      <c r="AK1180" s="1682">
        <f t="shared" si="412"/>
        <v>0</v>
      </c>
      <c r="AL1180" s="1691" t="str">
        <f t="shared" si="413"/>
        <v>Lunas</v>
      </c>
      <c r="AM1180" s="1410"/>
      <c r="AN1180" s="1411"/>
      <c r="AO1180" s="1410"/>
      <c r="AP1180" s="1411"/>
      <c r="AQ1180" s="1128"/>
      <c r="AR1180" s="1173"/>
      <c r="AT1180" s="1173"/>
      <c r="AV1180" s="1173"/>
      <c r="AX1180" s="1173"/>
      <c r="AY1180" s="1176"/>
      <c r="AZ1180" s="1173"/>
    </row>
    <row r="1181" spans="1:52" s="2" customFormat="1" x14ac:dyDescent="0.25">
      <c r="A1181" s="164">
        <v>1091</v>
      </c>
      <c r="B1181" s="345">
        <v>7</v>
      </c>
      <c r="C1181" s="174">
        <v>849416007</v>
      </c>
      <c r="D1181" s="173" t="s">
        <v>1671</v>
      </c>
      <c r="E1181" s="449" t="s">
        <v>1665</v>
      </c>
      <c r="F1181" s="175">
        <v>2016</v>
      </c>
      <c r="G1181" s="1758" t="s">
        <v>28</v>
      </c>
      <c r="H1181" s="265" t="str">
        <f t="shared" si="405"/>
        <v xml:space="preserve">   </v>
      </c>
      <c r="I1181" s="265" t="str">
        <f t="shared" si="406"/>
        <v xml:space="preserve">   </v>
      </c>
      <c r="J1181" s="1635">
        <v>1350000</v>
      </c>
      <c r="K1181" s="1360"/>
      <c r="L1181" s="1389">
        <v>3000000</v>
      </c>
      <c r="M1181" s="1500">
        <v>42486</v>
      </c>
      <c r="N1181" s="1389">
        <v>3000000</v>
      </c>
      <c r="O1181" s="1500">
        <v>42758</v>
      </c>
      <c r="P1181" s="1389">
        <v>3000000</v>
      </c>
      <c r="Q1181" s="1360">
        <v>42930</v>
      </c>
      <c r="R1181" s="1714">
        <v>3000000</v>
      </c>
      <c r="S1181" s="1367">
        <v>43115</v>
      </c>
      <c r="T1181" s="1192" t="s">
        <v>1078</v>
      </c>
      <c r="U1181" s="1386">
        <v>43285</v>
      </c>
      <c r="V1181" s="1714">
        <v>3000000</v>
      </c>
      <c r="W1181" s="1367">
        <v>43483</v>
      </c>
      <c r="X1181" s="1714">
        <v>3000000</v>
      </c>
      <c r="Y1181" s="1367">
        <v>43644</v>
      </c>
      <c r="Z1181" s="1731">
        <v>0</v>
      </c>
      <c r="AA1181" s="1367"/>
      <c r="AB1181" s="1389">
        <v>0</v>
      </c>
      <c r="AC1181" s="1367"/>
      <c r="AD1181" s="1666" t="str">
        <f>IFERROR(VLOOKUP(C1181,BSP,3,FALSE),"  ")</f>
        <v xml:space="preserve">  </v>
      </c>
      <c r="AE1181" s="1590" t="str">
        <f>IFERROR((VLOOKUP(C1181,BSP,4,FALSE)),"  ")</f>
        <v xml:space="preserve">  </v>
      </c>
      <c r="AF1181" s="1731" t="str">
        <f>IFERROR(VLOOKUP(C1181,BSP,3,FALSE),"  ")</f>
        <v xml:space="preserve">  </v>
      </c>
      <c r="AG1181" s="1367" t="str">
        <f>IFERROR((VLOOKUP(C1181,BSP,4,FALSE)),"  ")</f>
        <v xml:space="preserve">  </v>
      </c>
      <c r="AH1181" s="1625" t="str">
        <f t="shared" si="387"/>
        <v>PGMI</v>
      </c>
      <c r="AI1181" s="1680">
        <f t="shared" si="411"/>
        <v>19350000</v>
      </c>
      <c r="AJ1181" s="1681">
        <f t="shared" si="408"/>
        <v>23350000</v>
      </c>
      <c r="AK1181" s="1682">
        <f t="shared" si="412"/>
        <v>4000000</v>
      </c>
      <c r="AL1181" s="1691" t="str">
        <f t="shared" si="413"/>
        <v>Cek</v>
      </c>
      <c r="AM1181" s="1410"/>
      <c r="AN1181" s="1411"/>
      <c r="AO1181" s="1410"/>
      <c r="AP1181" s="1411"/>
      <c r="AQ1181" s="1128"/>
      <c r="AR1181" s="1173"/>
      <c r="AT1181" s="1173"/>
      <c r="AV1181" s="1173"/>
      <c r="AX1181" s="1173"/>
      <c r="AY1181" s="1176"/>
      <c r="AZ1181" s="1173"/>
    </row>
    <row r="1182" spans="1:52" s="2" customFormat="1" x14ac:dyDescent="0.25">
      <c r="A1182" s="156">
        <v>1092</v>
      </c>
      <c r="B1182" s="344">
        <v>8</v>
      </c>
      <c r="C1182" s="178">
        <v>849416008</v>
      </c>
      <c r="D1182" s="158" t="s">
        <v>1672</v>
      </c>
      <c r="E1182" s="275" t="s">
        <v>1665</v>
      </c>
      <c r="F1182" s="161">
        <v>2016</v>
      </c>
      <c r="G1182" s="162" t="s">
        <v>33</v>
      </c>
      <c r="H1182" s="163">
        <f t="shared" si="405"/>
        <v>43649</v>
      </c>
      <c r="I1182" s="163">
        <f t="shared" si="406"/>
        <v>43750</v>
      </c>
      <c r="J1182" s="1636">
        <v>1350000</v>
      </c>
      <c r="K1182" s="1365"/>
      <c r="L1182" s="1480">
        <v>3000000</v>
      </c>
      <c r="M1182" s="1637">
        <v>42542</v>
      </c>
      <c r="N1182" s="1480">
        <v>3000000</v>
      </c>
      <c r="O1182" s="1637">
        <v>42763</v>
      </c>
      <c r="P1182" s="1480">
        <v>3000000</v>
      </c>
      <c r="Q1182" s="1365">
        <v>42937</v>
      </c>
      <c r="R1182" s="1480">
        <v>3000000</v>
      </c>
      <c r="S1182" s="1365">
        <v>43112</v>
      </c>
      <c r="T1182" s="1431">
        <v>3000000</v>
      </c>
      <c r="U1182" s="1365">
        <v>43294</v>
      </c>
      <c r="V1182" s="1385">
        <v>3000000</v>
      </c>
      <c r="W1182" s="1357">
        <v>43496</v>
      </c>
      <c r="X1182" s="1465" t="s">
        <v>1080</v>
      </c>
      <c r="Y1182" s="1384"/>
      <c r="Z1182" s="1363"/>
      <c r="AA1182" s="1563"/>
      <c r="AB1182" s="1480">
        <v>1000000</v>
      </c>
      <c r="AC1182" s="1357">
        <v>43607</v>
      </c>
      <c r="AD1182" s="1666" t="str">
        <f>IFERROR(VLOOKUP(C1182,BSP,3,FALSE),"  ")</f>
        <v xml:space="preserve">  </v>
      </c>
      <c r="AE1182" s="1590" t="str">
        <f>IFERROR((VLOOKUP(C1182,BSP,4,FALSE)),"  ")</f>
        <v xml:space="preserve">  </v>
      </c>
      <c r="AF1182" s="2300" t="s">
        <v>1329</v>
      </c>
      <c r="AG1182" s="1612"/>
      <c r="AH1182" s="1625" t="str">
        <f t="shared" si="387"/>
        <v>PGMI</v>
      </c>
      <c r="AI1182" s="1680">
        <f t="shared" si="411"/>
        <v>20350000</v>
      </c>
      <c r="AJ1182" s="1681">
        <f t="shared" si="408"/>
        <v>20350000</v>
      </c>
      <c r="AK1182" s="1682">
        <f t="shared" si="412"/>
        <v>0</v>
      </c>
      <c r="AL1182" s="1691" t="str">
        <f t="shared" si="413"/>
        <v>Lunas</v>
      </c>
      <c r="AM1182" s="1410"/>
      <c r="AN1182" s="1411"/>
      <c r="AO1182" s="1410"/>
      <c r="AP1182" s="1411"/>
      <c r="AQ1182" s="1128"/>
      <c r="AR1182" s="1173"/>
      <c r="AT1182" s="1173"/>
      <c r="AV1182" s="1173"/>
      <c r="AX1182" s="1173"/>
      <c r="AY1182" s="1176"/>
      <c r="AZ1182" s="1173"/>
    </row>
    <row r="1183" spans="1:52" s="2" customFormat="1" x14ac:dyDescent="0.25">
      <c r="A1183" s="164">
        <v>1093</v>
      </c>
      <c r="B1183" s="345">
        <v>9</v>
      </c>
      <c r="C1183" s="174">
        <v>849416009</v>
      </c>
      <c r="D1183" s="166" t="s">
        <v>1673</v>
      </c>
      <c r="E1183" s="168" t="s">
        <v>1665</v>
      </c>
      <c r="F1183" s="175">
        <v>2016</v>
      </c>
      <c r="G1183" s="1758" t="s">
        <v>28</v>
      </c>
      <c r="H1183" s="265" t="str">
        <f t="shared" si="405"/>
        <v xml:space="preserve">   </v>
      </c>
      <c r="I1183" s="265" t="str">
        <f t="shared" si="406"/>
        <v xml:space="preserve">   </v>
      </c>
      <c r="J1183" s="1635">
        <v>1350000</v>
      </c>
      <c r="K1183" s="1360"/>
      <c r="L1183" s="1389">
        <v>3000000</v>
      </c>
      <c r="M1183" s="1500">
        <v>42551</v>
      </c>
      <c r="N1183" s="1389">
        <v>3000000</v>
      </c>
      <c r="O1183" s="1500">
        <v>42747</v>
      </c>
      <c r="P1183" s="1186" t="s">
        <v>1078</v>
      </c>
      <c r="Q1183" s="1386">
        <v>42940</v>
      </c>
      <c r="R1183" s="1714">
        <v>0</v>
      </c>
      <c r="S1183" s="1367"/>
      <c r="T1183" s="1430">
        <v>0</v>
      </c>
      <c r="U1183" s="1360"/>
      <c r="V1183" s="1714">
        <v>0</v>
      </c>
      <c r="W1183" s="1367"/>
      <c r="X1183" s="1714">
        <v>0</v>
      </c>
      <c r="Y1183" s="1367"/>
      <c r="Z1183" s="1731">
        <v>0</v>
      </c>
      <c r="AA1183" s="1367"/>
      <c r="AB1183" s="1389">
        <v>0</v>
      </c>
      <c r="AC1183" s="1367"/>
      <c r="AD1183" s="1666" t="str">
        <f>IFERROR(VLOOKUP(C1183,BSP,3,FALSE),"  ")</f>
        <v xml:space="preserve">  </v>
      </c>
      <c r="AE1183" s="1590" t="str">
        <f>IFERROR((VLOOKUP(C1183,BSP,4,FALSE)),"  ")</f>
        <v xml:space="preserve">  </v>
      </c>
      <c r="AF1183" s="1731" t="str">
        <f>IFERROR(VLOOKUP(C1183,BSP,3,FALSE),"  ")</f>
        <v xml:space="preserve">  </v>
      </c>
      <c r="AG1183" s="1367" t="str">
        <f>IFERROR((VLOOKUP(C1183,BSP,4,FALSE)),"  ")</f>
        <v xml:space="preserve">  </v>
      </c>
      <c r="AH1183" s="1625" t="str">
        <f t="shared" si="387"/>
        <v>PGMI</v>
      </c>
      <c r="AI1183" s="1680">
        <f t="shared" si="411"/>
        <v>7350000</v>
      </c>
      <c r="AJ1183" s="1681">
        <f t="shared" si="408"/>
        <v>23350000</v>
      </c>
      <c r="AK1183" s="1682">
        <f t="shared" si="412"/>
        <v>16000000</v>
      </c>
      <c r="AL1183" s="1691" t="str">
        <f t="shared" si="413"/>
        <v>Cek</v>
      </c>
      <c r="AM1183" s="1410"/>
      <c r="AN1183" s="1411"/>
      <c r="AO1183" s="1410"/>
      <c r="AP1183" s="1411"/>
      <c r="AQ1183" s="1128"/>
      <c r="AR1183" s="1173"/>
      <c r="AT1183" s="1173"/>
      <c r="AV1183" s="1173"/>
      <c r="AX1183" s="1173"/>
      <c r="AY1183" s="1176"/>
      <c r="AZ1183" s="1173"/>
    </row>
    <row r="1184" spans="1:52" s="2" customFormat="1" x14ac:dyDescent="0.25">
      <c r="A1184" s="156">
        <v>1094</v>
      </c>
      <c r="B1184" s="344">
        <v>10</v>
      </c>
      <c r="C1184" s="178">
        <v>849416010</v>
      </c>
      <c r="D1184" s="177" t="s">
        <v>1674</v>
      </c>
      <c r="E1184" s="275" t="s">
        <v>1665</v>
      </c>
      <c r="F1184" s="161">
        <v>2016</v>
      </c>
      <c r="G1184" s="162" t="s">
        <v>33</v>
      </c>
      <c r="H1184" s="163">
        <f t="shared" si="405"/>
        <v>43607</v>
      </c>
      <c r="I1184" s="163">
        <f t="shared" si="406"/>
        <v>43705</v>
      </c>
      <c r="J1184" s="1636">
        <v>1350000</v>
      </c>
      <c r="K1184" s="1365"/>
      <c r="L1184" s="1480">
        <v>3000000</v>
      </c>
      <c r="M1184" s="1637">
        <v>42541</v>
      </c>
      <c r="N1184" s="1480">
        <v>3000000</v>
      </c>
      <c r="O1184" s="1637">
        <v>42748</v>
      </c>
      <c r="P1184" s="1480">
        <v>3000000</v>
      </c>
      <c r="Q1184" s="1365">
        <v>42930</v>
      </c>
      <c r="R1184" s="1385">
        <v>3000000</v>
      </c>
      <c r="S1184" s="1357">
        <v>43110</v>
      </c>
      <c r="T1184" s="1431">
        <v>3000000</v>
      </c>
      <c r="U1184" s="1365">
        <v>43294</v>
      </c>
      <c r="V1184" s="1385">
        <v>3000000</v>
      </c>
      <c r="W1184" s="1357">
        <v>43510</v>
      </c>
      <c r="X1184" s="1465" t="s">
        <v>1080</v>
      </c>
      <c r="Y1184" s="1384"/>
      <c r="Z1184" s="1363"/>
      <c r="AA1184" s="1563"/>
      <c r="AB1184" s="1480">
        <v>1000000</v>
      </c>
      <c r="AC1184" s="1357">
        <v>43522</v>
      </c>
      <c r="AD1184" s="1666" t="str">
        <f>IFERROR(VLOOKUP(C1184,BSP,3,FALSE),"  ")</f>
        <v xml:space="preserve">  </v>
      </c>
      <c r="AE1184" s="1590" t="str">
        <f>IFERROR((VLOOKUP(C1184,BSP,4,FALSE)),"  ")</f>
        <v xml:space="preserve">  </v>
      </c>
      <c r="AF1184" s="2300" t="s">
        <v>1329</v>
      </c>
      <c r="AG1184" s="1612"/>
      <c r="AH1184" s="1625" t="str">
        <f t="shared" si="387"/>
        <v>PGMI</v>
      </c>
      <c r="AI1184" s="1680">
        <f t="shared" si="411"/>
        <v>20350000</v>
      </c>
      <c r="AJ1184" s="1681">
        <f t="shared" si="408"/>
        <v>20350000</v>
      </c>
      <c r="AK1184" s="1682">
        <f t="shared" si="412"/>
        <v>0</v>
      </c>
      <c r="AL1184" s="1691" t="str">
        <f t="shared" si="413"/>
        <v>Lunas</v>
      </c>
      <c r="AM1184" s="1410"/>
      <c r="AN1184" s="1411"/>
      <c r="AO1184" s="1410"/>
      <c r="AP1184" s="1411"/>
      <c r="AQ1184" s="1128"/>
      <c r="AR1184" s="1173"/>
      <c r="AT1184" s="1173"/>
      <c r="AV1184" s="1173"/>
      <c r="AX1184" s="1173"/>
      <c r="AY1184" s="1176"/>
      <c r="AZ1184" s="1173"/>
    </row>
    <row r="1185" spans="1:52" s="2" customFormat="1" x14ac:dyDescent="0.25">
      <c r="A1185" s="164">
        <v>1095</v>
      </c>
      <c r="B1185" s="345">
        <v>11</v>
      </c>
      <c r="C1185" s="174">
        <v>849416011</v>
      </c>
      <c r="D1185" s="166" t="s">
        <v>1675</v>
      </c>
      <c r="E1185" s="449" t="s">
        <v>1665</v>
      </c>
      <c r="F1185" s="175">
        <v>2016</v>
      </c>
      <c r="G1185" s="162" t="s">
        <v>33</v>
      </c>
      <c r="H1185" s="163">
        <f t="shared" si="405"/>
        <v>44106</v>
      </c>
      <c r="I1185" s="265" t="str">
        <f t="shared" si="406"/>
        <v xml:space="preserve">   </v>
      </c>
      <c r="J1185" s="1635">
        <v>1350000</v>
      </c>
      <c r="K1185" s="1360"/>
      <c r="L1185" s="1389">
        <v>3000000</v>
      </c>
      <c r="M1185" s="1500">
        <v>42551</v>
      </c>
      <c r="N1185" s="1389">
        <v>3000000</v>
      </c>
      <c r="O1185" s="1500">
        <v>42747</v>
      </c>
      <c r="P1185" s="1635">
        <v>3000000</v>
      </c>
      <c r="Q1185" s="1360">
        <v>42926</v>
      </c>
      <c r="R1185" s="1522">
        <v>3000000</v>
      </c>
      <c r="S1185" s="1523">
        <v>43112</v>
      </c>
      <c r="T1185" s="1430">
        <v>3000000</v>
      </c>
      <c r="U1185" s="1360">
        <v>43291</v>
      </c>
      <c r="V1185" s="1430">
        <v>3000000</v>
      </c>
      <c r="W1185" s="1367">
        <v>43724</v>
      </c>
      <c r="X1185" s="1430">
        <v>3000000</v>
      </c>
      <c r="Y1185" s="1367">
        <v>43724</v>
      </c>
      <c r="Z1185" s="1430">
        <v>3000000</v>
      </c>
      <c r="AA1185" s="1367">
        <v>43909</v>
      </c>
      <c r="AB1185" s="1480">
        <v>1000000</v>
      </c>
      <c r="AC1185" s="1357">
        <v>44106</v>
      </c>
      <c r="AD1185" s="1809">
        <v>500000</v>
      </c>
      <c r="AE1185" s="1357">
        <v>44106</v>
      </c>
      <c r="AF1185" s="1731" t="str">
        <f>IFERROR(VLOOKUP(C1185,BSP,3,FALSE),"  ")</f>
        <v xml:space="preserve">  </v>
      </c>
      <c r="AG1185" s="1367" t="str">
        <f>IFERROR((VLOOKUP(C1185,BSP,4,FALSE)),"  ")</f>
        <v xml:space="preserve">  </v>
      </c>
      <c r="AH1185" s="1625" t="str">
        <f t="shared" si="387"/>
        <v>PGMI</v>
      </c>
      <c r="AI1185" s="1680">
        <f t="shared" si="411"/>
        <v>26850000</v>
      </c>
      <c r="AJ1185" s="1681">
        <f t="shared" si="408"/>
        <v>26850000</v>
      </c>
      <c r="AK1185" s="1682">
        <f t="shared" si="412"/>
        <v>0</v>
      </c>
      <c r="AL1185" s="1691" t="str">
        <f t="shared" si="413"/>
        <v>Lunas</v>
      </c>
      <c r="AM1185" s="1410"/>
      <c r="AN1185" s="1411"/>
      <c r="AO1185" s="1410"/>
      <c r="AP1185" s="1411"/>
      <c r="AQ1185" s="1128"/>
      <c r="AR1185" s="1173"/>
      <c r="AT1185" s="1173"/>
      <c r="AV1185" s="1173"/>
      <c r="AX1185" s="1173"/>
      <c r="AY1185" s="1176"/>
      <c r="AZ1185" s="1173"/>
    </row>
    <row r="1186" spans="1:52" s="2" customFormat="1" x14ac:dyDescent="0.25">
      <c r="A1186" s="164">
        <v>1096</v>
      </c>
      <c r="B1186" s="492">
        <v>12</v>
      </c>
      <c r="C1186" s="494">
        <v>849416012</v>
      </c>
      <c r="D1186" s="493" t="s">
        <v>1676</v>
      </c>
      <c r="E1186" s="329" t="s">
        <v>1665</v>
      </c>
      <c r="F1186" s="330">
        <v>2016</v>
      </c>
      <c r="G1186" s="485" t="s">
        <v>1077</v>
      </c>
      <c r="H1186" s="495" t="str">
        <f t="shared" si="405"/>
        <v xml:space="preserve">   </v>
      </c>
      <c r="I1186" s="495" t="str">
        <f t="shared" si="406"/>
        <v xml:space="preserve">   </v>
      </c>
      <c r="J1186" s="1710">
        <v>1350000</v>
      </c>
      <c r="K1186" s="1545"/>
      <c r="L1186" s="1772">
        <v>3000000</v>
      </c>
      <c r="M1186" s="1930">
        <v>42548</v>
      </c>
      <c r="N1186" s="1772">
        <v>3000000</v>
      </c>
      <c r="O1186" s="1930">
        <v>42755</v>
      </c>
      <c r="P1186" s="1772">
        <v>3000000</v>
      </c>
      <c r="Q1186" s="1545">
        <v>42929</v>
      </c>
      <c r="R1186" s="1714"/>
      <c r="S1186" s="1367"/>
      <c r="T1186" s="1430"/>
      <c r="U1186" s="1360"/>
      <c r="V1186" s="1714"/>
      <c r="W1186" s="1367"/>
      <c r="X1186" s="1714"/>
      <c r="Y1186" s="1367"/>
      <c r="Z1186" s="1714"/>
      <c r="AA1186" s="1563"/>
      <c r="AB1186" s="1389"/>
      <c r="AC1186" s="1367"/>
      <c r="AD1186" s="1666" t="str">
        <f>IFERROR(VLOOKUP(C1186,BSP,3,FALSE),"  ")</f>
        <v xml:space="preserve">  </v>
      </c>
      <c r="AE1186" s="1590" t="str">
        <f>IFERROR((VLOOKUP(C1186,BSP,4,FALSE)),"  ")</f>
        <v xml:space="preserve">  </v>
      </c>
      <c r="AF1186" s="2300" t="s">
        <v>1329</v>
      </c>
      <c r="AG1186" s="1612"/>
      <c r="AH1186" s="1625" t="str">
        <f t="shared" si="387"/>
        <v>PGMI</v>
      </c>
      <c r="AI1186" s="1688">
        <f t="shared" si="411"/>
        <v>10350000</v>
      </c>
      <c r="AJ1186" s="1685">
        <f t="shared" si="408"/>
        <v>10350000</v>
      </c>
      <c r="AK1186" s="1686">
        <f t="shared" si="412"/>
        <v>0</v>
      </c>
      <c r="AL1186" s="1687" t="s">
        <v>1334</v>
      </c>
      <c r="AM1186" s="1410"/>
      <c r="AN1186" s="1411"/>
      <c r="AO1186" s="1410"/>
      <c r="AP1186" s="1411"/>
      <c r="AQ1186" s="1128"/>
      <c r="AR1186" s="1173"/>
      <c r="AT1186" s="1173"/>
      <c r="AV1186" s="1173"/>
      <c r="AX1186" s="1173"/>
      <c r="AY1186" s="1176"/>
      <c r="AZ1186" s="1173"/>
    </row>
    <row r="1187" spans="1:52" s="2" customFormat="1" x14ac:dyDescent="0.25">
      <c r="A1187" s="164">
        <v>1097</v>
      </c>
      <c r="B1187" s="345">
        <v>13</v>
      </c>
      <c r="C1187" s="174">
        <v>849416013</v>
      </c>
      <c r="D1187" s="166" t="s">
        <v>1642</v>
      </c>
      <c r="E1187" s="449" t="s">
        <v>1665</v>
      </c>
      <c r="F1187" s="175">
        <v>2016</v>
      </c>
      <c r="G1187" s="162" t="s">
        <v>33</v>
      </c>
      <c r="H1187" s="163">
        <f t="shared" si="405"/>
        <v>44106</v>
      </c>
      <c r="I1187" s="265" t="str">
        <f t="shared" si="406"/>
        <v xml:space="preserve">   </v>
      </c>
      <c r="J1187" s="1635">
        <v>1350000</v>
      </c>
      <c r="K1187" s="1360"/>
      <c r="L1187" s="1389">
        <v>3000000</v>
      </c>
      <c r="M1187" s="1500">
        <v>42548</v>
      </c>
      <c r="N1187" s="1389">
        <v>3000000</v>
      </c>
      <c r="O1187" s="1500">
        <v>42755</v>
      </c>
      <c r="P1187" s="1389">
        <v>3000000</v>
      </c>
      <c r="Q1187" s="1360">
        <v>42930</v>
      </c>
      <c r="R1187" s="1714">
        <v>3000000</v>
      </c>
      <c r="S1187" s="1367">
        <v>43112</v>
      </c>
      <c r="T1187" s="1430">
        <v>3000000</v>
      </c>
      <c r="U1187" s="1360">
        <v>43293</v>
      </c>
      <c r="V1187" s="1714">
        <v>3000000</v>
      </c>
      <c r="W1187" s="1367">
        <v>43854</v>
      </c>
      <c r="X1187" s="1714">
        <v>3000000</v>
      </c>
      <c r="Y1187" s="1367">
        <v>43854</v>
      </c>
      <c r="Z1187" s="1731">
        <v>3000000</v>
      </c>
      <c r="AA1187" s="1367">
        <v>43854</v>
      </c>
      <c r="AB1187" s="1389">
        <v>1000000</v>
      </c>
      <c r="AC1187" s="1367">
        <v>43854</v>
      </c>
      <c r="AD1187" s="1666"/>
      <c r="AE1187" s="1590"/>
      <c r="AF1187" s="1731" t="str">
        <f>IFERROR(VLOOKUP(C1187,BSP,3,FALSE),"  ")</f>
        <v xml:space="preserve">  </v>
      </c>
      <c r="AG1187" s="1367" t="str">
        <f>IFERROR((VLOOKUP(C1187,BSP,4,FALSE)),"  ")</f>
        <v xml:space="preserve">  </v>
      </c>
      <c r="AH1187" s="1625" t="str">
        <f t="shared" ref="AH1187:AH1250" si="414">E1187</f>
        <v>PGMI</v>
      </c>
      <c r="AI1187" s="1680">
        <f t="shared" ref="AI1187:AI1190" si="415">SUM(J1187,L1187,N1187,P1187,R1187,T1187,V1187,X1187,Z1187,AB1187,AD1187,AF1187)</f>
        <v>26350000</v>
      </c>
      <c r="AJ1187" s="1681">
        <f t="shared" si="408"/>
        <v>26350000</v>
      </c>
      <c r="AK1187" s="1682">
        <f t="shared" ref="AK1187:AK1190" si="416">AJ1187-AI1187</f>
        <v>0</v>
      </c>
      <c r="AL1187" s="1691" t="str">
        <f t="shared" ref="AL1187:AL1190" si="417">IF(AK1187=0,"Lunas","Cek")</f>
        <v>Lunas</v>
      </c>
      <c r="AM1187" s="1410"/>
      <c r="AN1187" s="1411"/>
      <c r="AO1187" s="1410"/>
      <c r="AP1187" s="1411"/>
      <c r="AQ1187" s="1128"/>
      <c r="AR1187" s="1173"/>
      <c r="AT1187" s="1173"/>
      <c r="AV1187" s="1173"/>
      <c r="AX1187" s="1173"/>
      <c r="AY1187" s="1176"/>
      <c r="AZ1187" s="1173"/>
    </row>
    <row r="1188" spans="1:52" s="2" customFormat="1" x14ac:dyDescent="0.25">
      <c r="A1188" s="156">
        <v>1098</v>
      </c>
      <c r="B1188" s="344">
        <v>14</v>
      </c>
      <c r="C1188" s="178">
        <v>849416014</v>
      </c>
      <c r="D1188" s="177" t="s">
        <v>1677</v>
      </c>
      <c r="E1188" s="275" t="s">
        <v>1665</v>
      </c>
      <c r="F1188" s="161">
        <v>2016</v>
      </c>
      <c r="G1188" s="162" t="s">
        <v>33</v>
      </c>
      <c r="H1188" s="163">
        <f t="shared" si="405"/>
        <v>44020</v>
      </c>
      <c r="I1188" s="265" t="str">
        <f t="shared" si="406"/>
        <v xml:space="preserve">   </v>
      </c>
      <c r="J1188" s="1635">
        <v>1350000</v>
      </c>
      <c r="K1188" s="1360"/>
      <c r="L1188" s="1389">
        <v>3000000</v>
      </c>
      <c r="M1188" s="1500">
        <v>42550</v>
      </c>
      <c r="N1188" s="1389">
        <v>3000000</v>
      </c>
      <c r="O1188" s="1500">
        <v>42754</v>
      </c>
      <c r="P1188" s="1389">
        <v>3000000</v>
      </c>
      <c r="Q1188" s="1360">
        <v>42929</v>
      </c>
      <c r="R1188" s="1714">
        <v>3000000</v>
      </c>
      <c r="S1188" s="1367">
        <v>43110</v>
      </c>
      <c r="T1188" s="1430">
        <v>3000000</v>
      </c>
      <c r="U1188" s="1360">
        <v>43291</v>
      </c>
      <c r="V1188" s="1714">
        <v>3000000</v>
      </c>
      <c r="W1188" s="1367">
        <v>43483</v>
      </c>
      <c r="X1188" s="1714">
        <v>3000000</v>
      </c>
      <c r="Y1188" s="1367">
        <v>43642</v>
      </c>
      <c r="Z1188" s="1731">
        <v>3000000</v>
      </c>
      <c r="AA1188" s="1367">
        <v>43853</v>
      </c>
      <c r="AB1188" s="1389">
        <v>1000000</v>
      </c>
      <c r="AC1188" s="1367">
        <v>43853</v>
      </c>
      <c r="AD1188" s="1666"/>
      <c r="AE1188" s="1590"/>
      <c r="AF1188" s="2300" t="s">
        <v>1329</v>
      </c>
      <c r="AG1188" s="1612"/>
      <c r="AH1188" s="1625" t="str">
        <f t="shared" si="414"/>
        <v>PGMI</v>
      </c>
      <c r="AI1188" s="1680">
        <f t="shared" si="415"/>
        <v>26350000</v>
      </c>
      <c r="AJ1188" s="1681">
        <f t="shared" si="408"/>
        <v>26350000</v>
      </c>
      <c r="AK1188" s="1682">
        <f t="shared" si="416"/>
        <v>0</v>
      </c>
      <c r="AL1188" s="1691" t="str">
        <f t="shared" si="417"/>
        <v>Lunas</v>
      </c>
      <c r="AM1188" s="1410"/>
      <c r="AN1188" s="1411"/>
      <c r="AO1188" s="1410"/>
      <c r="AP1188" s="1411"/>
      <c r="AQ1188" s="1128"/>
      <c r="AR1188" s="1173"/>
      <c r="AT1188" s="1173"/>
      <c r="AV1188" s="1173"/>
      <c r="AX1188" s="1173"/>
      <c r="AY1188" s="1176"/>
      <c r="AZ1188" s="1173"/>
    </row>
    <row r="1189" spans="1:52" s="2" customFormat="1" x14ac:dyDescent="0.25">
      <c r="A1189" s="156">
        <v>1099</v>
      </c>
      <c r="B1189" s="344">
        <v>15</v>
      </c>
      <c r="C1189" s="178">
        <v>849416015</v>
      </c>
      <c r="D1189" s="177" t="s">
        <v>1678</v>
      </c>
      <c r="E1189" s="275" t="s">
        <v>1665</v>
      </c>
      <c r="F1189" s="161">
        <v>2016</v>
      </c>
      <c r="G1189" s="162" t="s">
        <v>33</v>
      </c>
      <c r="H1189" s="163">
        <f t="shared" si="405"/>
        <v>43985</v>
      </c>
      <c r="I1189" s="163">
        <f t="shared" si="406"/>
        <v>44186</v>
      </c>
      <c r="J1189" s="1635">
        <v>1350000</v>
      </c>
      <c r="K1189" s="1360"/>
      <c r="L1189" s="1480">
        <v>3000000</v>
      </c>
      <c r="M1189" s="1637"/>
      <c r="N1189" s="1480">
        <v>3000000</v>
      </c>
      <c r="O1189" s="1637">
        <v>42769</v>
      </c>
      <c r="P1189" s="1480">
        <v>3000000</v>
      </c>
      <c r="Q1189" s="1365">
        <v>42937</v>
      </c>
      <c r="R1189" s="1385">
        <v>3000000</v>
      </c>
      <c r="S1189" s="1357">
        <v>43115</v>
      </c>
      <c r="T1189" s="1192" t="s">
        <v>1078</v>
      </c>
      <c r="U1189" s="1386">
        <v>43353</v>
      </c>
      <c r="V1189" s="1385">
        <v>3000000</v>
      </c>
      <c r="W1189" s="1357">
        <v>43852</v>
      </c>
      <c r="X1189" s="1385">
        <v>3000000</v>
      </c>
      <c r="Y1189" s="1357">
        <v>43852</v>
      </c>
      <c r="Z1189" s="1874">
        <v>3000000</v>
      </c>
      <c r="AA1189" s="1357">
        <v>43852</v>
      </c>
      <c r="AB1189" s="1480">
        <v>1000000</v>
      </c>
      <c r="AC1189" s="1357">
        <v>43962</v>
      </c>
      <c r="AD1189" s="1809">
        <v>500000</v>
      </c>
      <c r="AE1189" s="1440">
        <v>44139</v>
      </c>
      <c r="AF1189" s="2300" t="s">
        <v>1329</v>
      </c>
      <c r="AG1189" s="1612"/>
      <c r="AH1189" s="1625" t="str">
        <f t="shared" si="414"/>
        <v>PGMI</v>
      </c>
      <c r="AI1189" s="1680">
        <f t="shared" si="415"/>
        <v>23850000</v>
      </c>
      <c r="AJ1189" s="1681">
        <f t="shared" si="408"/>
        <v>23850000</v>
      </c>
      <c r="AK1189" s="1682">
        <f t="shared" si="416"/>
        <v>0</v>
      </c>
      <c r="AL1189" s="1691" t="str">
        <f t="shared" si="417"/>
        <v>Lunas</v>
      </c>
      <c r="AM1189" s="1410"/>
      <c r="AN1189" s="1411"/>
      <c r="AO1189" s="1410"/>
      <c r="AP1189" s="1411"/>
      <c r="AQ1189" s="1128"/>
      <c r="AR1189" s="1173"/>
      <c r="AT1189" s="1173"/>
      <c r="AV1189" s="1173"/>
      <c r="AX1189" s="1173"/>
      <c r="AY1189" s="1176"/>
      <c r="AZ1189" s="1173"/>
    </row>
    <row r="1190" spans="1:52" s="2" customFormat="1" x14ac:dyDescent="0.25">
      <c r="A1190" s="180">
        <v>1100</v>
      </c>
      <c r="B1190" s="1991">
        <v>16</v>
      </c>
      <c r="C1190" s="183">
        <v>849416016</v>
      </c>
      <c r="D1190" s="182" t="s">
        <v>1679</v>
      </c>
      <c r="E1190" s="308" t="s">
        <v>1665</v>
      </c>
      <c r="F1190" s="185">
        <v>2016</v>
      </c>
      <c r="G1190" s="162" t="s">
        <v>33</v>
      </c>
      <c r="H1190" s="163">
        <f t="shared" si="405"/>
        <v>43970</v>
      </c>
      <c r="I1190" s="163">
        <f t="shared" si="406"/>
        <v>44058</v>
      </c>
      <c r="J1190" s="1705">
        <v>1350000</v>
      </c>
      <c r="K1190" s="1557"/>
      <c r="L1190" s="1484">
        <v>3000000</v>
      </c>
      <c r="M1190" s="1463">
        <v>42551</v>
      </c>
      <c r="N1190" s="1778">
        <v>3000000</v>
      </c>
      <c r="O1190" s="1777">
        <v>42748</v>
      </c>
      <c r="P1190" s="1778">
        <v>3000000</v>
      </c>
      <c r="Q1190" s="1433">
        <v>42929</v>
      </c>
      <c r="R1190" s="1484">
        <v>3000000</v>
      </c>
      <c r="S1190" s="1435">
        <v>43112</v>
      </c>
      <c r="T1190" s="1587">
        <v>3000000</v>
      </c>
      <c r="U1190" s="1433">
        <v>43294</v>
      </c>
      <c r="V1190" s="1999" t="s">
        <v>1078</v>
      </c>
      <c r="W1190" s="2000">
        <v>43490</v>
      </c>
      <c r="X1190" s="1484">
        <v>3000000</v>
      </c>
      <c r="Y1190" s="1435">
        <v>43644</v>
      </c>
      <c r="Z1190" s="2002">
        <v>3000000</v>
      </c>
      <c r="AA1190" s="1435">
        <v>43852</v>
      </c>
      <c r="AB1190" s="1480">
        <v>1000000</v>
      </c>
      <c r="AC1190" s="1435">
        <v>43955</v>
      </c>
      <c r="AD1190" s="2003">
        <v>500000</v>
      </c>
      <c r="AE1190" s="2004">
        <v>43998</v>
      </c>
      <c r="AF1190" s="2301" t="s">
        <v>1329</v>
      </c>
      <c r="AG1190" s="1616"/>
      <c r="AH1190" s="1626" t="str">
        <f t="shared" si="414"/>
        <v>PGMI</v>
      </c>
      <c r="AI1190" s="1752">
        <f t="shared" si="415"/>
        <v>23850000</v>
      </c>
      <c r="AJ1190" s="1753">
        <f t="shared" si="408"/>
        <v>23850000</v>
      </c>
      <c r="AK1190" s="1741">
        <f t="shared" si="416"/>
        <v>0</v>
      </c>
      <c r="AL1190" s="1742" t="str">
        <f t="shared" si="417"/>
        <v>Lunas</v>
      </c>
      <c r="AM1190" s="1410"/>
      <c r="AN1190" s="1411"/>
      <c r="AO1190" s="1410"/>
      <c r="AP1190" s="1411"/>
      <c r="AQ1190" s="1128"/>
      <c r="AR1190" s="1173"/>
      <c r="AT1190" s="1173"/>
      <c r="AV1190" s="1173"/>
      <c r="AX1190" s="1173"/>
      <c r="AY1190" s="1176"/>
      <c r="AZ1190" s="1173"/>
    </row>
    <row r="1191" spans="1:52" s="2" customFormat="1" x14ac:dyDescent="0.25">
      <c r="A1191" s="223"/>
      <c r="B1191" s="224"/>
      <c r="C1191" s="471"/>
      <c r="D1191" s="225"/>
      <c r="E1191" s="227" t="s">
        <v>61</v>
      </c>
      <c r="F1191" s="228" t="s">
        <v>61</v>
      </c>
      <c r="G1191" s="192" t="s">
        <v>61</v>
      </c>
      <c r="H1191" s="36" t="str">
        <f t="shared" si="405"/>
        <v xml:space="preserve">   </v>
      </c>
      <c r="I1191" s="36" t="str">
        <f t="shared" si="406"/>
        <v xml:space="preserve">   </v>
      </c>
      <c r="J1191" s="223"/>
      <c r="K1191" s="1127"/>
      <c r="L1191" s="1769"/>
      <c r="M1191" s="1770"/>
      <c r="N1191" s="1769"/>
      <c r="O1191" s="1770"/>
      <c r="P1191" s="1769"/>
      <c r="Q1191" s="1770"/>
      <c r="R1191" s="1769"/>
      <c r="S1191" s="1783"/>
      <c r="T1191" s="1437"/>
      <c r="U1191" s="1770"/>
      <c r="V1191" s="1437"/>
      <c r="W1191" s="1770"/>
      <c r="X1191" s="1437"/>
      <c r="Y1191" s="1770"/>
      <c r="Z1191" s="1958"/>
      <c r="AA1191" s="1959"/>
      <c r="AB1191" s="1958"/>
      <c r="AC1191" s="1959"/>
      <c r="AD1191" s="1409"/>
      <c r="AE1191" s="1629"/>
      <c r="AF1191" s="1409"/>
      <c r="AG1191" s="1629"/>
      <c r="AH1191" s="1674" t="str">
        <f t="shared" si="414"/>
        <v>-</v>
      </c>
      <c r="AI1191" s="1409"/>
      <c r="AJ1191" s="1409"/>
      <c r="AK1191" s="1409"/>
      <c r="AL1191" s="1513"/>
      <c r="AM1191" s="1513"/>
      <c r="AN1191" s="1514"/>
      <c r="AO1191" s="1513"/>
      <c r="AP1191" s="1514"/>
      <c r="AQ1191" s="1128"/>
      <c r="AR1191" s="1173"/>
      <c r="AT1191" s="1173"/>
      <c r="AV1191" s="1173"/>
      <c r="AX1191" s="1173"/>
      <c r="AY1191" s="1176"/>
      <c r="AZ1191" s="1173"/>
    </row>
    <row r="1192" spans="1:52" s="2" customFormat="1" x14ac:dyDescent="0.25">
      <c r="A1192" s="365" t="s">
        <v>1680</v>
      </c>
      <c r="B1192" s="365"/>
      <c r="C1192" s="366"/>
      <c r="D1192" s="365"/>
      <c r="E1192" s="198" t="s">
        <v>1096</v>
      </c>
      <c r="F1192" s="199" t="s">
        <v>1096</v>
      </c>
      <c r="G1192" s="146">
        <v>3000000</v>
      </c>
      <c r="H1192" s="147" t="str">
        <f t="shared" si="405"/>
        <v xml:space="preserve">   </v>
      </c>
      <c r="I1192" s="147" t="str">
        <f t="shared" si="406"/>
        <v xml:space="preserve">   </v>
      </c>
      <c r="J1192" s="1349">
        <v>1350000</v>
      </c>
      <c r="K1192" s="1529"/>
      <c r="L1192" s="1582" t="s">
        <v>1049</v>
      </c>
      <c r="M1192" s="1502" t="s">
        <v>1062</v>
      </c>
      <c r="N1192" s="1582" t="s">
        <v>1051</v>
      </c>
      <c r="O1192" s="1502" t="s">
        <v>1064</v>
      </c>
      <c r="P1192" s="1582" t="s">
        <v>1053</v>
      </c>
      <c r="Q1192" s="1502" t="s">
        <v>1066</v>
      </c>
      <c r="R1192" s="1582" t="s">
        <v>1055</v>
      </c>
      <c r="S1192" s="1502" t="s">
        <v>1068</v>
      </c>
      <c r="T1192" s="1582" t="s">
        <v>1057</v>
      </c>
      <c r="U1192" s="1502" t="s">
        <v>1141</v>
      </c>
      <c r="V1192" s="1582" t="s">
        <v>1059</v>
      </c>
      <c r="W1192" s="1502" t="s">
        <v>1325</v>
      </c>
      <c r="X1192" s="1582" t="s">
        <v>1061</v>
      </c>
      <c r="Y1192" s="1502" t="s">
        <v>1463</v>
      </c>
      <c r="Z1192" s="1582" t="s">
        <v>1063</v>
      </c>
      <c r="AA1192" s="1502" t="s">
        <v>1464</v>
      </c>
      <c r="AB1192" s="1450">
        <v>1000000</v>
      </c>
      <c r="AC1192" s="1663" t="s">
        <v>1326</v>
      </c>
      <c r="AD1192" s="1450">
        <v>500000</v>
      </c>
      <c r="AE1192" s="2005" t="s">
        <v>22</v>
      </c>
      <c r="AF1192" s="1984"/>
      <c r="AG1192" s="1436"/>
      <c r="AH1192" s="1408" t="str">
        <f t="shared" si="414"/>
        <v>#</v>
      </c>
      <c r="AI1192" s="1512"/>
      <c r="AJ1192" s="1409"/>
      <c r="AK1192" s="1409"/>
      <c r="AL1192" s="1513"/>
      <c r="AM1192" s="1513"/>
      <c r="AN1192" s="1514"/>
      <c r="AO1192" s="1513"/>
      <c r="AP1192" s="1514"/>
      <c r="AQ1192" s="1128"/>
      <c r="AR1192" s="1173"/>
      <c r="AT1192" s="1173"/>
      <c r="AV1192" s="1173"/>
      <c r="AX1192" s="1173"/>
      <c r="AY1192" s="1176"/>
      <c r="AZ1192" s="1173"/>
    </row>
    <row r="1193" spans="1:52" s="2" customFormat="1" x14ac:dyDescent="0.25">
      <c r="A1193" s="148">
        <v>1101</v>
      </c>
      <c r="B1193" s="367">
        <v>1</v>
      </c>
      <c r="C1193" s="151">
        <v>849116001</v>
      </c>
      <c r="D1193" s="150" t="s">
        <v>1681</v>
      </c>
      <c r="E1193" s="311" t="s">
        <v>1070</v>
      </c>
      <c r="F1193" s="153">
        <v>2016</v>
      </c>
      <c r="G1193" s="342" t="s">
        <v>33</v>
      </c>
      <c r="H1193" s="163">
        <f t="shared" si="405"/>
        <v>43286</v>
      </c>
      <c r="I1193" s="163">
        <f t="shared" si="406"/>
        <v>43351</v>
      </c>
      <c r="J1193" s="1633">
        <v>1350000</v>
      </c>
      <c r="K1193" s="1479">
        <v>42499</v>
      </c>
      <c r="L1193" s="1634">
        <v>3000000</v>
      </c>
      <c r="M1193" s="1479">
        <v>42499</v>
      </c>
      <c r="N1193" s="1634">
        <v>3000000</v>
      </c>
      <c r="O1193" s="1479">
        <v>42759</v>
      </c>
      <c r="P1193" s="1634">
        <v>3000000</v>
      </c>
      <c r="Q1193" s="1440">
        <v>42937</v>
      </c>
      <c r="R1193" s="1634">
        <v>3000000</v>
      </c>
      <c r="S1193" s="1440">
        <v>43116</v>
      </c>
      <c r="T1193" s="1382" t="s">
        <v>1080</v>
      </c>
      <c r="U1193" s="1384"/>
      <c r="V1193" s="1363"/>
      <c r="W1193" s="1391"/>
      <c r="X1193" s="1363"/>
      <c r="Y1193" s="1391"/>
      <c r="Z1193" s="1363"/>
      <c r="AA1193" s="1563"/>
      <c r="AB1193" s="1381">
        <v>1000000</v>
      </c>
      <c r="AC1193" s="1354">
        <v>43277</v>
      </c>
      <c r="AD1193" s="1666" t="str">
        <f t="shared" ref="AD1193:AD1202" si="418">IFERROR(VLOOKUP(C1193,BSP,3,FALSE),"  ")</f>
        <v xml:space="preserve">  </v>
      </c>
      <c r="AE1193" s="1590" t="str">
        <f t="shared" ref="AE1193:AE1202" si="419">IFERROR((VLOOKUP(C1193,BSP,4,FALSE)),"  ")</f>
        <v xml:space="preserve">  </v>
      </c>
      <c r="AF1193" s="2300" t="s">
        <v>1329</v>
      </c>
      <c r="AG1193" s="1612"/>
      <c r="AH1193" s="1625" t="str">
        <f t="shared" si="414"/>
        <v>MPI-S2</v>
      </c>
      <c r="AI1193" s="1678">
        <f t="shared" ref="AI1193" si="420">SUM(J1193,L1193,N1193,P1193,R1193,T1193,V1193,X1193,Z1193,AB1193,AD1193,AF1193)</f>
        <v>14350000</v>
      </c>
      <c r="AJ1193" s="1679">
        <f t="shared" ref="AJ1193:AJ1228" si="421">(COUNT(L1193,N1193,P1193,R1193,T1193,V1193,X1193,Z1193)*$G$1039)+(COUNT(J1193)*$J$1039)+(COUNT(AB1193)*$AB$1039)+(COUNT(AD1193)*$AD$1039)</f>
        <v>14350000</v>
      </c>
      <c r="AK1193" s="1419">
        <f t="shared" ref="AK1193" si="422">AJ1193-AI1193</f>
        <v>0</v>
      </c>
      <c r="AL1193" s="1420" t="str">
        <f t="shared" ref="AL1193" si="423">IF(AK1193=0,"Lunas","Cek")</f>
        <v>Lunas</v>
      </c>
      <c r="AM1193" s="1410"/>
      <c r="AN1193" s="1411"/>
      <c r="AO1193" s="1410"/>
      <c r="AP1193" s="1411"/>
      <c r="AQ1193" s="1128"/>
      <c r="AR1193" s="1173"/>
      <c r="AT1193" s="1173"/>
      <c r="AV1193" s="1173"/>
      <c r="AX1193" s="1173"/>
      <c r="AY1193" s="1176"/>
      <c r="AZ1193" s="1173"/>
    </row>
    <row r="1194" spans="1:52" s="2" customFormat="1" x14ac:dyDescent="0.25">
      <c r="A1194" s="156">
        <v>1102</v>
      </c>
      <c r="B1194" s="172">
        <v>2</v>
      </c>
      <c r="C1194" s="159">
        <v>849116002</v>
      </c>
      <c r="D1194" s="158" t="s">
        <v>1682</v>
      </c>
      <c r="E1194" s="179" t="s">
        <v>1070</v>
      </c>
      <c r="F1194" s="161">
        <v>2016</v>
      </c>
      <c r="G1194" s="162" t="s">
        <v>33</v>
      </c>
      <c r="H1194" s="163">
        <f t="shared" si="405"/>
        <v>43391</v>
      </c>
      <c r="I1194" s="163">
        <f t="shared" si="406"/>
        <v>43440</v>
      </c>
      <c r="J1194" s="1443">
        <v>1350000</v>
      </c>
      <c r="K1194" s="1383">
        <v>42486</v>
      </c>
      <c r="L1194" s="1385">
        <v>3000000</v>
      </c>
      <c r="M1194" s="1383">
        <v>42486</v>
      </c>
      <c r="N1194" s="1385">
        <v>3000000</v>
      </c>
      <c r="O1194" s="1383">
        <v>42753</v>
      </c>
      <c r="P1194" s="1385">
        <v>3000000</v>
      </c>
      <c r="Q1194" s="1357">
        <v>42929</v>
      </c>
      <c r="R1194" s="1385">
        <v>3000000</v>
      </c>
      <c r="S1194" s="1357">
        <v>43112</v>
      </c>
      <c r="T1194" s="1358">
        <v>3000000</v>
      </c>
      <c r="U1194" s="1357">
        <v>43292</v>
      </c>
      <c r="V1194" s="1465" t="s">
        <v>1080</v>
      </c>
      <c r="W1194" s="1384"/>
      <c r="X1194" s="1363"/>
      <c r="Y1194" s="1391"/>
      <c r="Z1194" s="1363"/>
      <c r="AA1194" s="1563"/>
      <c r="AB1194" s="1385">
        <v>1000000</v>
      </c>
      <c r="AC1194" s="1357">
        <v>43376</v>
      </c>
      <c r="AD1194" s="1666" t="str">
        <f t="shared" si="418"/>
        <v xml:space="preserve">  </v>
      </c>
      <c r="AE1194" s="1590" t="str">
        <f t="shared" si="419"/>
        <v xml:space="preserve">  </v>
      </c>
      <c r="AF1194" s="2300" t="s">
        <v>1329</v>
      </c>
      <c r="AG1194" s="1612"/>
      <c r="AH1194" s="1625" t="str">
        <f t="shared" si="414"/>
        <v>MPI-S2</v>
      </c>
      <c r="AI1194" s="1678">
        <f t="shared" ref="AI1194:AI1227" si="424">SUM(J1194,L1194,N1194,P1194,R1194,T1194,V1194,X1194,Z1194,AB1194,AD1194,AF1194)</f>
        <v>17350000</v>
      </c>
      <c r="AJ1194" s="1679">
        <f t="shared" si="421"/>
        <v>17350000</v>
      </c>
      <c r="AK1194" s="1419">
        <f t="shared" ref="AK1194:AK1227" si="425">AJ1194-AI1194</f>
        <v>0</v>
      </c>
      <c r="AL1194" s="1420" t="str">
        <f t="shared" ref="AL1194:AL1226" si="426">IF(AK1194=0,"Lunas","Cek")</f>
        <v>Lunas</v>
      </c>
      <c r="AM1194" s="1410"/>
      <c r="AN1194" s="1411"/>
      <c r="AO1194" s="1410"/>
      <c r="AP1194" s="1411"/>
      <c r="AQ1194" s="1128"/>
      <c r="AR1194" s="1173"/>
      <c r="AT1194" s="1173"/>
      <c r="AV1194" s="1173"/>
      <c r="AX1194" s="1173"/>
      <c r="AY1194" s="1176"/>
      <c r="AZ1194" s="1173"/>
    </row>
    <row r="1195" spans="1:52" s="2" customFormat="1" x14ac:dyDescent="0.25">
      <c r="A1195" s="164">
        <v>1103</v>
      </c>
      <c r="B1195" s="343">
        <v>3</v>
      </c>
      <c r="C1195" s="263">
        <v>849116003</v>
      </c>
      <c r="D1195" s="173" t="s">
        <v>1683</v>
      </c>
      <c r="E1195" s="441" t="s">
        <v>1070</v>
      </c>
      <c r="F1195" s="175">
        <v>2016</v>
      </c>
      <c r="G1195" s="1758" t="s">
        <v>28</v>
      </c>
      <c r="H1195" s="265" t="str">
        <f t="shared" si="405"/>
        <v xml:space="preserve">   </v>
      </c>
      <c r="I1195" s="265" t="str">
        <f t="shared" si="406"/>
        <v xml:space="preserve">   </v>
      </c>
      <c r="J1195" s="1635">
        <v>1350000</v>
      </c>
      <c r="K1195" s="1500">
        <v>42487</v>
      </c>
      <c r="L1195" s="1389">
        <v>3000000</v>
      </c>
      <c r="M1195" s="1500">
        <v>42487</v>
      </c>
      <c r="N1195" s="1389">
        <v>3000000</v>
      </c>
      <c r="O1195" s="1500">
        <v>42752</v>
      </c>
      <c r="P1195" s="1389">
        <v>3000000</v>
      </c>
      <c r="Q1195" s="1360">
        <v>42928</v>
      </c>
      <c r="R1195" s="1714">
        <v>3000000</v>
      </c>
      <c r="S1195" s="1367">
        <v>43115</v>
      </c>
      <c r="T1195" s="1430">
        <v>3000000</v>
      </c>
      <c r="U1195" s="1360">
        <v>43301</v>
      </c>
      <c r="V1195" s="1714">
        <v>0</v>
      </c>
      <c r="W1195" s="1367"/>
      <c r="X1195" s="1389">
        <v>0</v>
      </c>
      <c r="Y1195" s="1367"/>
      <c r="Z1195" s="1731">
        <v>0</v>
      </c>
      <c r="AA1195" s="1367"/>
      <c r="AB1195" s="1389">
        <v>0</v>
      </c>
      <c r="AC1195" s="1367"/>
      <c r="AD1195" s="1666" t="str">
        <f t="shared" si="418"/>
        <v xml:space="preserve">  </v>
      </c>
      <c r="AE1195" s="1590" t="str">
        <f t="shared" si="419"/>
        <v xml:space="preserve">  </v>
      </c>
      <c r="AF1195" s="1731" t="str">
        <f>IFERROR(VLOOKUP(C1195,BSP,3,FALSE),"  ")</f>
        <v xml:space="preserve">  </v>
      </c>
      <c r="AG1195" s="1367" t="str">
        <f>IFERROR((VLOOKUP(C1195,BSP,4,FALSE)),"  ")</f>
        <v xml:space="preserve">  </v>
      </c>
      <c r="AH1195" s="1625" t="str">
        <f t="shared" si="414"/>
        <v>MPI-S2</v>
      </c>
      <c r="AI1195" s="1678">
        <f t="shared" si="424"/>
        <v>16350000</v>
      </c>
      <c r="AJ1195" s="1679">
        <f t="shared" si="421"/>
        <v>26350000</v>
      </c>
      <c r="AK1195" s="1419">
        <f t="shared" si="425"/>
        <v>10000000</v>
      </c>
      <c r="AL1195" s="1420" t="str">
        <f t="shared" si="426"/>
        <v>Cek</v>
      </c>
      <c r="AM1195" s="1410"/>
      <c r="AN1195" s="1411"/>
      <c r="AO1195" s="1410"/>
      <c r="AP1195" s="1411"/>
      <c r="AQ1195" s="1128"/>
      <c r="AR1195" s="1173"/>
      <c r="AT1195" s="1173"/>
      <c r="AV1195" s="1173"/>
      <c r="AX1195" s="1173"/>
      <c r="AY1195" s="1176"/>
      <c r="AZ1195" s="1173"/>
    </row>
    <row r="1196" spans="1:52" s="2" customFormat="1" x14ac:dyDescent="0.25">
      <c r="A1196" s="156">
        <v>1104</v>
      </c>
      <c r="B1196" s="172">
        <v>4</v>
      </c>
      <c r="C1196" s="159">
        <v>849116004</v>
      </c>
      <c r="D1196" s="158" t="s">
        <v>1684</v>
      </c>
      <c r="E1196" s="179" t="s">
        <v>1070</v>
      </c>
      <c r="F1196" s="161">
        <v>2016</v>
      </c>
      <c r="G1196" s="162" t="s">
        <v>33</v>
      </c>
      <c r="H1196" s="163">
        <f t="shared" si="405"/>
        <v>43391</v>
      </c>
      <c r="I1196" s="163">
        <f t="shared" si="406"/>
        <v>43440</v>
      </c>
      <c r="J1196" s="1443">
        <v>1350000</v>
      </c>
      <c r="K1196" s="1383">
        <v>42499</v>
      </c>
      <c r="L1196" s="1385">
        <v>3000000</v>
      </c>
      <c r="M1196" s="1383">
        <v>42499</v>
      </c>
      <c r="N1196" s="1385">
        <v>3000000</v>
      </c>
      <c r="O1196" s="1383">
        <v>42760</v>
      </c>
      <c r="P1196" s="1385">
        <v>3000000</v>
      </c>
      <c r="Q1196" s="1357">
        <v>42929</v>
      </c>
      <c r="R1196" s="1385">
        <v>3000000</v>
      </c>
      <c r="S1196" s="1357">
        <v>43116</v>
      </c>
      <c r="T1196" s="1358">
        <v>3000000</v>
      </c>
      <c r="U1196" s="1357">
        <v>43375</v>
      </c>
      <c r="V1196" s="1465" t="s">
        <v>1080</v>
      </c>
      <c r="W1196" s="1384"/>
      <c r="X1196" s="1363"/>
      <c r="Y1196" s="1391"/>
      <c r="Z1196" s="1363"/>
      <c r="AA1196" s="1563"/>
      <c r="AB1196" s="1385">
        <v>1000000</v>
      </c>
      <c r="AC1196" s="1357">
        <v>43375</v>
      </c>
      <c r="AD1196" s="1666" t="str">
        <f t="shared" si="418"/>
        <v xml:space="preserve">  </v>
      </c>
      <c r="AE1196" s="1590" t="str">
        <f t="shared" si="419"/>
        <v xml:space="preserve">  </v>
      </c>
      <c r="AF1196" s="2300" t="s">
        <v>1329</v>
      </c>
      <c r="AG1196" s="1612"/>
      <c r="AH1196" s="1625" t="str">
        <f t="shared" si="414"/>
        <v>MPI-S2</v>
      </c>
      <c r="AI1196" s="1678">
        <f t="shared" si="424"/>
        <v>17350000</v>
      </c>
      <c r="AJ1196" s="1679">
        <f t="shared" si="421"/>
        <v>17350000</v>
      </c>
      <c r="AK1196" s="1419">
        <f t="shared" si="425"/>
        <v>0</v>
      </c>
      <c r="AL1196" s="1420" t="str">
        <f t="shared" si="426"/>
        <v>Lunas</v>
      </c>
      <c r="AM1196" s="1410"/>
      <c r="AN1196" s="1411"/>
      <c r="AO1196" s="1410"/>
      <c r="AP1196" s="1411"/>
      <c r="AQ1196" s="1128"/>
      <c r="AR1196" s="1173"/>
      <c r="AT1196" s="1173"/>
      <c r="AV1196" s="1173"/>
      <c r="AX1196" s="1173"/>
      <c r="AY1196" s="1176"/>
      <c r="AZ1196" s="1173"/>
    </row>
    <row r="1197" spans="1:52" s="2" customFormat="1" x14ac:dyDescent="0.25">
      <c r="A1197" s="164">
        <v>1105</v>
      </c>
      <c r="B1197" s="343">
        <v>5</v>
      </c>
      <c r="C1197" s="263">
        <v>849116005</v>
      </c>
      <c r="D1197" s="1992" t="s">
        <v>1685</v>
      </c>
      <c r="E1197" s="449" t="s">
        <v>1070</v>
      </c>
      <c r="F1197" s="169">
        <v>2016</v>
      </c>
      <c r="G1197" s="1758" t="s">
        <v>28</v>
      </c>
      <c r="H1197" s="265" t="str">
        <f t="shared" si="405"/>
        <v xml:space="preserve">   </v>
      </c>
      <c r="I1197" s="265" t="str">
        <f t="shared" si="406"/>
        <v xml:space="preserve">   </v>
      </c>
      <c r="J1197" s="1635">
        <v>1350000</v>
      </c>
      <c r="K1197" s="1500">
        <v>42499</v>
      </c>
      <c r="L1197" s="1389">
        <v>3000000</v>
      </c>
      <c r="M1197" s="1500">
        <v>42499</v>
      </c>
      <c r="N1197" s="1714">
        <v>3000000</v>
      </c>
      <c r="O1197" s="1500">
        <v>42759</v>
      </c>
      <c r="P1197" s="1389">
        <v>3000000</v>
      </c>
      <c r="Q1197" s="1360">
        <v>42929</v>
      </c>
      <c r="R1197" s="1714">
        <v>3000000</v>
      </c>
      <c r="S1197" s="1367">
        <v>43116</v>
      </c>
      <c r="T1197" s="1430">
        <v>3000000</v>
      </c>
      <c r="U1197" s="1360">
        <v>43294</v>
      </c>
      <c r="V1197" s="1222" t="s">
        <v>1078</v>
      </c>
      <c r="W1197" s="1386">
        <v>43490</v>
      </c>
      <c r="X1197" s="1714">
        <v>3000000</v>
      </c>
      <c r="Y1197" s="1367">
        <v>43670</v>
      </c>
      <c r="Z1197" s="1714">
        <v>3000000</v>
      </c>
      <c r="AA1197" s="1367">
        <v>44162</v>
      </c>
      <c r="AB1197" s="1385">
        <v>1000000</v>
      </c>
      <c r="AC1197" s="1367">
        <v>44162</v>
      </c>
      <c r="AD1197" s="1666" t="str">
        <f t="shared" si="418"/>
        <v xml:space="preserve">  </v>
      </c>
      <c r="AE1197" s="1590" t="str">
        <f t="shared" si="419"/>
        <v xml:space="preserve">  </v>
      </c>
      <c r="AF1197" s="1731" t="str">
        <f>IFERROR(VLOOKUP(C1197,BSP,3,FALSE),"  ")</f>
        <v xml:space="preserve">  </v>
      </c>
      <c r="AG1197" s="1367" t="str">
        <f>IFERROR((VLOOKUP(C1197,BSP,4,FALSE)),"  ")</f>
        <v xml:space="preserve">  </v>
      </c>
      <c r="AH1197" s="1625" t="str">
        <f t="shared" si="414"/>
        <v>MPI-S2</v>
      </c>
      <c r="AI1197" s="1678">
        <f t="shared" si="424"/>
        <v>23350000</v>
      </c>
      <c r="AJ1197" s="1679">
        <f t="shared" si="421"/>
        <v>23350000</v>
      </c>
      <c r="AK1197" s="1419">
        <f t="shared" si="425"/>
        <v>0</v>
      </c>
      <c r="AL1197" s="1420" t="str">
        <f t="shared" si="426"/>
        <v>Lunas</v>
      </c>
      <c r="AM1197" s="1410"/>
      <c r="AN1197" s="1411"/>
      <c r="AO1197" s="1410"/>
      <c r="AP1197" s="1411"/>
      <c r="AQ1197" s="1128"/>
      <c r="AR1197" s="1173"/>
      <c r="AT1197" s="1173"/>
      <c r="AV1197" s="1173"/>
      <c r="AX1197" s="1173"/>
      <c r="AY1197" s="1176"/>
      <c r="AZ1197" s="1173"/>
    </row>
    <row r="1198" spans="1:52" s="2" customFormat="1" x14ac:dyDescent="0.25">
      <c r="A1198" s="156">
        <v>1106</v>
      </c>
      <c r="B1198" s="172">
        <v>6</v>
      </c>
      <c r="C1198" s="159">
        <v>849116006</v>
      </c>
      <c r="D1198" s="158" t="s">
        <v>1686</v>
      </c>
      <c r="E1198" s="275" t="s">
        <v>1070</v>
      </c>
      <c r="F1198" s="317">
        <v>2016</v>
      </c>
      <c r="G1198" s="272" t="s">
        <v>33</v>
      </c>
      <c r="H1198" s="163">
        <f t="shared" si="405"/>
        <v>43489</v>
      </c>
      <c r="I1198" s="163">
        <f t="shared" si="406"/>
        <v>43587</v>
      </c>
      <c r="J1198" s="1636">
        <v>1350000</v>
      </c>
      <c r="K1198" s="1637">
        <v>42499</v>
      </c>
      <c r="L1198" s="1480">
        <v>3000000</v>
      </c>
      <c r="M1198" s="1637">
        <v>42499</v>
      </c>
      <c r="N1198" s="1480">
        <v>3000000</v>
      </c>
      <c r="O1198" s="1637">
        <v>42760</v>
      </c>
      <c r="P1198" s="1480">
        <v>3000000</v>
      </c>
      <c r="Q1198" s="1365">
        <v>42930</v>
      </c>
      <c r="R1198" s="1385">
        <v>3000000</v>
      </c>
      <c r="S1198" s="1357">
        <v>43112</v>
      </c>
      <c r="T1198" s="1431">
        <v>3000000</v>
      </c>
      <c r="U1198" s="1365">
        <v>43319</v>
      </c>
      <c r="V1198" s="1465" t="s">
        <v>1080</v>
      </c>
      <c r="W1198" s="1384"/>
      <c r="X1198" s="1363"/>
      <c r="Y1198" s="1391"/>
      <c r="Z1198" s="1363"/>
      <c r="AA1198" s="1563"/>
      <c r="AB1198" s="1480">
        <v>1000000</v>
      </c>
      <c r="AC1198" s="1357">
        <v>43483</v>
      </c>
      <c r="AD1198" s="1666" t="str">
        <f t="shared" si="418"/>
        <v xml:space="preserve">  </v>
      </c>
      <c r="AE1198" s="1590" t="str">
        <f t="shared" si="419"/>
        <v xml:space="preserve">  </v>
      </c>
      <c r="AF1198" s="2300" t="s">
        <v>1329</v>
      </c>
      <c r="AG1198" s="1612"/>
      <c r="AH1198" s="1625" t="str">
        <f t="shared" si="414"/>
        <v>MPI-S2</v>
      </c>
      <c r="AI1198" s="1678">
        <f t="shared" si="424"/>
        <v>17350000</v>
      </c>
      <c r="AJ1198" s="1679">
        <f t="shared" si="421"/>
        <v>17350000</v>
      </c>
      <c r="AK1198" s="1419">
        <f t="shared" si="425"/>
        <v>0</v>
      </c>
      <c r="AL1198" s="1420" t="str">
        <f t="shared" si="426"/>
        <v>Lunas</v>
      </c>
      <c r="AM1198" s="1410"/>
      <c r="AN1198" s="1411"/>
      <c r="AO1198" s="1410"/>
      <c r="AP1198" s="1411"/>
      <c r="AQ1198" s="1128"/>
      <c r="AR1198" s="1173"/>
      <c r="AT1198" s="1173"/>
      <c r="AV1198" s="1173"/>
      <c r="AX1198" s="1173"/>
      <c r="AY1198" s="1176"/>
      <c r="AZ1198" s="1173"/>
    </row>
    <row r="1199" spans="1:52" s="2" customFormat="1" x14ac:dyDescent="0.25">
      <c r="A1199" s="234">
        <v>1107</v>
      </c>
      <c r="B1199" s="347">
        <v>7</v>
      </c>
      <c r="C1199" s="236">
        <v>849116007</v>
      </c>
      <c r="D1199" s="233" t="s">
        <v>1687</v>
      </c>
      <c r="E1199" s="298" t="s">
        <v>1070</v>
      </c>
      <c r="F1199" s="299">
        <v>2016</v>
      </c>
      <c r="G1199" s="485" t="s">
        <v>1077</v>
      </c>
      <c r="H1199" s="303" t="str">
        <f t="shared" si="405"/>
        <v xml:space="preserve">   </v>
      </c>
      <c r="I1199" s="303" t="str">
        <f t="shared" si="406"/>
        <v xml:space="preserve">   </v>
      </c>
      <c r="J1199" s="1710">
        <v>1350000</v>
      </c>
      <c r="K1199" s="1930">
        <v>42499</v>
      </c>
      <c r="L1199" s="1772">
        <v>3000000</v>
      </c>
      <c r="M1199" s="1930">
        <v>42499</v>
      </c>
      <c r="N1199" s="1714"/>
      <c r="O1199" s="1391"/>
      <c r="P1199" s="1363"/>
      <c r="Q1199" s="1391"/>
      <c r="R1199" s="1363"/>
      <c r="S1199" s="1391"/>
      <c r="T1199" s="1363"/>
      <c r="U1199" s="1654"/>
      <c r="V1199" s="1363"/>
      <c r="W1199" s="1391"/>
      <c r="X1199" s="1363"/>
      <c r="Y1199" s="1391"/>
      <c r="Z1199" s="1363"/>
      <c r="AA1199" s="1563"/>
      <c r="AB1199" s="1389"/>
      <c r="AC1199" s="1367"/>
      <c r="AD1199" s="1666" t="str">
        <f t="shared" si="418"/>
        <v xml:space="preserve">  </v>
      </c>
      <c r="AE1199" s="1590" t="str">
        <f t="shared" si="419"/>
        <v xml:space="preserve">  </v>
      </c>
      <c r="AF1199" s="2300" t="s">
        <v>1329</v>
      </c>
      <c r="AG1199" s="1612"/>
      <c r="AH1199" s="1625" t="str">
        <f t="shared" si="414"/>
        <v>MPI-S2</v>
      </c>
      <c r="AI1199" s="1688">
        <f t="shared" ref="AI1199" si="427">SUM(J1199,L1199,N1199,P1199,R1199,T1199,V1199,X1199,Z1199,AB1199,AD1199,AF1199)</f>
        <v>4350000</v>
      </c>
      <c r="AJ1199" s="1685">
        <f t="shared" si="421"/>
        <v>4350000</v>
      </c>
      <c r="AK1199" s="1686">
        <f t="shared" ref="AK1199" si="428">AJ1199-AI1199</f>
        <v>0</v>
      </c>
      <c r="AL1199" s="1687" t="s">
        <v>1334</v>
      </c>
      <c r="AM1199" s="1410"/>
      <c r="AN1199" s="1411"/>
      <c r="AO1199" s="1410"/>
      <c r="AP1199" s="1411"/>
      <c r="AQ1199" s="1128"/>
      <c r="AR1199" s="1173"/>
      <c r="AT1199" s="1173"/>
      <c r="AV1199" s="1173"/>
      <c r="AX1199" s="1173"/>
      <c r="AY1199" s="1176"/>
      <c r="AZ1199" s="1173"/>
    </row>
    <row r="1200" spans="1:52" s="2" customFormat="1" x14ac:dyDescent="0.25">
      <c r="A1200" s="156">
        <v>1108</v>
      </c>
      <c r="B1200" s="172">
        <v>8</v>
      </c>
      <c r="C1200" s="159">
        <v>849116008</v>
      </c>
      <c r="D1200" s="158" t="s">
        <v>1688</v>
      </c>
      <c r="E1200" s="179" t="s">
        <v>1070</v>
      </c>
      <c r="F1200" s="161">
        <v>2016</v>
      </c>
      <c r="G1200" s="162" t="s">
        <v>33</v>
      </c>
      <c r="H1200" s="163">
        <f t="shared" si="405"/>
        <v>43391</v>
      </c>
      <c r="I1200" s="163">
        <f t="shared" si="406"/>
        <v>43440</v>
      </c>
      <c r="J1200" s="1443">
        <v>1350000</v>
      </c>
      <c r="K1200" s="1383">
        <v>42481</v>
      </c>
      <c r="L1200" s="1385">
        <v>3000000</v>
      </c>
      <c r="M1200" s="1383">
        <v>42481</v>
      </c>
      <c r="N1200" s="1385">
        <v>3000000</v>
      </c>
      <c r="O1200" s="1383">
        <v>42745</v>
      </c>
      <c r="P1200" s="1385">
        <v>3000000</v>
      </c>
      <c r="Q1200" s="1357">
        <v>42929</v>
      </c>
      <c r="R1200" s="1385">
        <v>3000000</v>
      </c>
      <c r="S1200" s="1357">
        <v>43111</v>
      </c>
      <c r="T1200" s="1358">
        <v>3000000</v>
      </c>
      <c r="U1200" s="1357">
        <v>43292</v>
      </c>
      <c r="V1200" s="1465" t="s">
        <v>1080</v>
      </c>
      <c r="W1200" s="1384"/>
      <c r="X1200" s="1363"/>
      <c r="Y1200" s="1391"/>
      <c r="Z1200" s="1363"/>
      <c r="AA1200" s="1563"/>
      <c r="AB1200" s="1385">
        <v>1000000</v>
      </c>
      <c r="AC1200" s="1357">
        <v>43292</v>
      </c>
      <c r="AD1200" s="1666" t="str">
        <f t="shared" si="418"/>
        <v xml:space="preserve">  </v>
      </c>
      <c r="AE1200" s="1590" t="str">
        <f t="shared" si="419"/>
        <v xml:space="preserve">  </v>
      </c>
      <c r="AF1200" s="2300" t="s">
        <v>1329</v>
      </c>
      <c r="AG1200" s="1612"/>
      <c r="AH1200" s="1625" t="str">
        <f t="shared" si="414"/>
        <v>MPI-S2</v>
      </c>
      <c r="AI1200" s="1678">
        <f t="shared" si="424"/>
        <v>17350000</v>
      </c>
      <c r="AJ1200" s="1679">
        <f t="shared" si="421"/>
        <v>17350000</v>
      </c>
      <c r="AK1200" s="1419">
        <f t="shared" si="425"/>
        <v>0</v>
      </c>
      <c r="AL1200" s="1420" t="str">
        <f t="shared" si="426"/>
        <v>Lunas</v>
      </c>
      <c r="AM1200" s="1410"/>
      <c r="AN1200" s="1411"/>
      <c r="AO1200" s="1410"/>
      <c r="AP1200" s="1411"/>
      <c r="AQ1200" s="1128"/>
      <c r="AR1200" s="1173"/>
      <c r="AT1200" s="1173"/>
      <c r="AV1200" s="1173"/>
      <c r="AX1200" s="1173"/>
      <c r="AY1200" s="1176"/>
      <c r="AZ1200" s="1173"/>
    </row>
    <row r="1201" spans="1:52" s="2" customFormat="1" x14ac:dyDescent="0.25">
      <c r="A1201" s="156">
        <v>1109</v>
      </c>
      <c r="B1201" s="172">
        <v>9</v>
      </c>
      <c r="C1201" s="159">
        <v>849116009</v>
      </c>
      <c r="D1201" s="158" t="s">
        <v>1689</v>
      </c>
      <c r="E1201" s="275" t="s">
        <v>1070</v>
      </c>
      <c r="F1201" s="317">
        <v>2016</v>
      </c>
      <c r="G1201" s="162" t="s">
        <v>33</v>
      </c>
      <c r="H1201" s="163">
        <f t="shared" si="405"/>
        <v>43991</v>
      </c>
      <c r="I1201" s="265" t="str">
        <f t="shared" si="406"/>
        <v xml:space="preserve">   </v>
      </c>
      <c r="J1201" s="1636">
        <v>1350000</v>
      </c>
      <c r="K1201" s="1637">
        <v>42486</v>
      </c>
      <c r="L1201" s="1480">
        <v>3000000</v>
      </c>
      <c r="M1201" s="1637">
        <v>42486</v>
      </c>
      <c r="N1201" s="1480">
        <v>3000000</v>
      </c>
      <c r="O1201" s="1637">
        <v>42754</v>
      </c>
      <c r="P1201" s="1480">
        <v>3000000</v>
      </c>
      <c r="Q1201" s="1365">
        <v>42930</v>
      </c>
      <c r="R1201" s="1385">
        <v>3000000</v>
      </c>
      <c r="S1201" s="1357">
        <v>43115</v>
      </c>
      <c r="T1201" s="1431">
        <v>3000000</v>
      </c>
      <c r="U1201" s="1365">
        <v>43304</v>
      </c>
      <c r="V1201" s="1222" t="s">
        <v>1078</v>
      </c>
      <c r="W1201" s="1386">
        <v>43490</v>
      </c>
      <c r="X1201" s="1385">
        <v>3000000</v>
      </c>
      <c r="Y1201" s="1357">
        <v>43875</v>
      </c>
      <c r="Z1201" s="1385">
        <v>3000000</v>
      </c>
      <c r="AA1201" s="1357">
        <v>43875</v>
      </c>
      <c r="AB1201" s="1389">
        <v>0</v>
      </c>
      <c r="AC1201" s="1367"/>
      <c r="AD1201" s="1666" t="str">
        <f t="shared" si="418"/>
        <v xml:space="preserve">  </v>
      </c>
      <c r="AE1201" s="1590" t="str">
        <f t="shared" si="419"/>
        <v xml:space="preserve">  </v>
      </c>
      <c r="AF1201" s="2300" t="s">
        <v>1329</v>
      </c>
      <c r="AG1201" s="1612"/>
      <c r="AH1201" s="1625" t="str">
        <f t="shared" si="414"/>
        <v>MPI-S2</v>
      </c>
      <c r="AI1201" s="1678">
        <f t="shared" si="424"/>
        <v>22350000</v>
      </c>
      <c r="AJ1201" s="1679">
        <f t="shared" si="421"/>
        <v>23350000</v>
      </c>
      <c r="AK1201" s="1419">
        <f t="shared" si="425"/>
        <v>1000000</v>
      </c>
      <c r="AL1201" s="1420" t="str">
        <f t="shared" si="426"/>
        <v>Cek</v>
      </c>
      <c r="AM1201" s="1410"/>
      <c r="AN1201" s="1411"/>
      <c r="AO1201" s="1410"/>
      <c r="AP1201" s="1411"/>
      <c r="AQ1201" s="1128"/>
      <c r="AR1201" s="1173"/>
      <c r="AT1201" s="1173"/>
      <c r="AV1201" s="1173"/>
      <c r="AX1201" s="1173"/>
      <c r="AY1201" s="1176"/>
      <c r="AZ1201" s="1173"/>
    </row>
    <row r="1202" spans="1:52" s="2" customFormat="1" x14ac:dyDescent="0.25">
      <c r="A1202" s="156">
        <v>1110</v>
      </c>
      <c r="B1202" s="172">
        <v>10</v>
      </c>
      <c r="C1202" s="159">
        <v>849116010</v>
      </c>
      <c r="D1202" s="158" t="s">
        <v>1690</v>
      </c>
      <c r="E1202" s="275" t="s">
        <v>1070</v>
      </c>
      <c r="F1202" s="317">
        <v>2016</v>
      </c>
      <c r="G1202" s="162" t="s">
        <v>33</v>
      </c>
      <c r="H1202" s="163">
        <f t="shared" si="405"/>
        <v>43635</v>
      </c>
      <c r="I1202" s="163">
        <f t="shared" si="406"/>
        <v>43705</v>
      </c>
      <c r="J1202" s="1636">
        <v>1350000</v>
      </c>
      <c r="K1202" s="1637">
        <v>42499</v>
      </c>
      <c r="L1202" s="1480">
        <v>3000000</v>
      </c>
      <c r="M1202" s="1637">
        <v>42499</v>
      </c>
      <c r="N1202" s="1480">
        <v>3000000</v>
      </c>
      <c r="O1202" s="1637">
        <v>42760</v>
      </c>
      <c r="P1202" s="1480">
        <v>3000000</v>
      </c>
      <c r="Q1202" s="1365">
        <v>42929</v>
      </c>
      <c r="R1202" s="1480">
        <v>3000000</v>
      </c>
      <c r="S1202" s="1365">
        <v>43112</v>
      </c>
      <c r="T1202" s="1431">
        <v>3000000</v>
      </c>
      <c r="U1202" s="1365">
        <v>43290</v>
      </c>
      <c r="V1202" s="1385">
        <v>3000000</v>
      </c>
      <c r="W1202" s="1357">
        <v>43480</v>
      </c>
      <c r="X1202" s="1465" t="s">
        <v>1080</v>
      </c>
      <c r="Y1202" s="1367"/>
      <c r="Z1202" s="1714"/>
      <c r="AA1202" s="1563"/>
      <c r="AB1202" s="1480">
        <v>1000000</v>
      </c>
      <c r="AC1202" s="1357">
        <v>43605</v>
      </c>
      <c r="AD1202" s="1666" t="str">
        <f t="shared" si="418"/>
        <v xml:space="preserve">  </v>
      </c>
      <c r="AE1202" s="1590" t="str">
        <f t="shared" si="419"/>
        <v xml:space="preserve">  </v>
      </c>
      <c r="AF1202" s="2300" t="s">
        <v>1329</v>
      </c>
      <c r="AG1202" s="1612"/>
      <c r="AH1202" s="1625" t="str">
        <f t="shared" si="414"/>
        <v>MPI-S2</v>
      </c>
      <c r="AI1202" s="1678">
        <f t="shared" si="424"/>
        <v>20350000</v>
      </c>
      <c r="AJ1202" s="1679">
        <f t="shared" si="421"/>
        <v>20350000</v>
      </c>
      <c r="AK1202" s="1419">
        <f t="shared" si="425"/>
        <v>0</v>
      </c>
      <c r="AL1202" s="1420" t="str">
        <f t="shared" si="426"/>
        <v>Lunas</v>
      </c>
      <c r="AM1202" s="1410"/>
      <c r="AN1202" s="1411"/>
      <c r="AO1202" s="1410"/>
      <c r="AP1202" s="1411"/>
      <c r="AQ1202" s="1128"/>
      <c r="AR1202" s="1173"/>
      <c r="AT1202" s="1173"/>
      <c r="AV1202" s="1173"/>
      <c r="AX1202" s="1173"/>
      <c r="AY1202" s="1176"/>
      <c r="AZ1202" s="1173"/>
    </row>
    <row r="1203" spans="1:52" s="2" customFormat="1" x14ac:dyDescent="0.25">
      <c r="A1203" s="156">
        <v>1111</v>
      </c>
      <c r="B1203" s="172">
        <v>11</v>
      </c>
      <c r="C1203" s="159">
        <v>849116011</v>
      </c>
      <c r="D1203" s="158" t="s">
        <v>1691</v>
      </c>
      <c r="E1203" s="275" t="s">
        <v>1070</v>
      </c>
      <c r="F1203" s="317">
        <v>2016</v>
      </c>
      <c r="G1203" s="162" t="s">
        <v>33</v>
      </c>
      <c r="H1203" s="163">
        <f t="shared" si="405"/>
        <v>43845</v>
      </c>
      <c r="I1203" s="163">
        <f t="shared" si="406"/>
        <v>44186</v>
      </c>
      <c r="J1203" s="1636">
        <v>1350000</v>
      </c>
      <c r="K1203" s="1637">
        <v>42761</v>
      </c>
      <c r="L1203" s="1480">
        <v>3000000</v>
      </c>
      <c r="M1203" s="1637">
        <v>42761</v>
      </c>
      <c r="N1203" s="1480">
        <v>3000000</v>
      </c>
      <c r="O1203" s="1637">
        <v>42759</v>
      </c>
      <c r="P1203" s="1480">
        <v>3000000</v>
      </c>
      <c r="Q1203" s="1365">
        <v>42937</v>
      </c>
      <c r="R1203" s="1480">
        <v>3000000</v>
      </c>
      <c r="S1203" s="1365">
        <v>43111</v>
      </c>
      <c r="T1203" s="1431">
        <v>3000000</v>
      </c>
      <c r="U1203" s="1365">
        <v>43294</v>
      </c>
      <c r="V1203" s="1385">
        <v>3000000</v>
      </c>
      <c r="W1203" s="1357">
        <v>43797</v>
      </c>
      <c r="X1203" s="1385">
        <v>3000000</v>
      </c>
      <c r="Y1203" s="1357">
        <v>43797</v>
      </c>
      <c r="Z1203" s="1714"/>
      <c r="AA1203" s="1563"/>
      <c r="AB1203" s="1480">
        <v>1000000</v>
      </c>
      <c r="AC1203" s="1357">
        <v>43852.543981481504</v>
      </c>
      <c r="AD1203" s="1666">
        <v>500000</v>
      </c>
      <c r="AE1203" s="1590">
        <v>44092</v>
      </c>
      <c r="AF1203" s="2300" t="s">
        <v>1329</v>
      </c>
      <c r="AG1203" s="1612"/>
      <c r="AH1203" s="1625" t="str">
        <f t="shared" si="414"/>
        <v>MPI-S2</v>
      </c>
      <c r="AI1203" s="1678">
        <f t="shared" si="424"/>
        <v>23850000</v>
      </c>
      <c r="AJ1203" s="1679">
        <f t="shared" si="421"/>
        <v>23850000</v>
      </c>
      <c r="AK1203" s="1419">
        <f t="shared" si="425"/>
        <v>0</v>
      </c>
      <c r="AL1203" s="1420" t="str">
        <f t="shared" si="426"/>
        <v>Lunas</v>
      </c>
      <c r="AM1203" s="1410"/>
      <c r="AN1203" s="1411"/>
      <c r="AO1203" s="1410"/>
      <c r="AP1203" s="1411"/>
      <c r="AQ1203" s="1128"/>
      <c r="AR1203" s="1173"/>
      <c r="AT1203" s="1173"/>
      <c r="AV1203" s="1173"/>
      <c r="AX1203" s="1173"/>
      <c r="AY1203" s="1176"/>
      <c r="AZ1203" s="1173"/>
    </row>
    <row r="1204" spans="1:52" s="2" customFormat="1" x14ac:dyDescent="0.25">
      <c r="A1204" s="156">
        <v>1112</v>
      </c>
      <c r="B1204" s="172">
        <v>12</v>
      </c>
      <c r="C1204" s="159">
        <v>849116012</v>
      </c>
      <c r="D1204" s="158" t="s">
        <v>1692</v>
      </c>
      <c r="E1204" s="275" t="s">
        <v>1070</v>
      </c>
      <c r="F1204" s="317">
        <v>2016</v>
      </c>
      <c r="G1204" s="272" t="s">
        <v>33</v>
      </c>
      <c r="H1204" s="163">
        <f t="shared" si="405"/>
        <v>43635</v>
      </c>
      <c r="I1204" s="163">
        <f t="shared" si="406"/>
        <v>43705</v>
      </c>
      <c r="J1204" s="1636">
        <v>1350000</v>
      </c>
      <c r="K1204" s="1637">
        <v>42487</v>
      </c>
      <c r="L1204" s="1480">
        <v>3000000</v>
      </c>
      <c r="M1204" s="1637">
        <v>42487</v>
      </c>
      <c r="N1204" s="1480">
        <v>3000000</v>
      </c>
      <c r="O1204" s="1637">
        <v>42755</v>
      </c>
      <c r="P1204" s="1480">
        <v>3000000</v>
      </c>
      <c r="Q1204" s="1365">
        <v>42930</v>
      </c>
      <c r="R1204" s="1480">
        <v>3000000</v>
      </c>
      <c r="S1204" s="1365">
        <v>43111</v>
      </c>
      <c r="T1204" s="1431">
        <v>3000000</v>
      </c>
      <c r="U1204" s="1365">
        <v>43293</v>
      </c>
      <c r="V1204" s="1385">
        <v>3000000</v>
      </c>
      <c r="W1204" s="1357">
        <v>43578</v>
      </c>
      <c r="X1204" s="1465" t="s">
        <v>1080</v>
      </c>
      <c r="Y1204" s="1367"/>
      <c r="Z1204" s="1714"/>
      <c r="AA1204" s="1563"/>
      <c r="AB1204" s="1480">
        <v>1000000</v>
      </c>
      <c r="AC1204" s="1357">
        <v>43592</v>
      </c>
      <c r="AD1204" s="1666" t="str">
        <f t="shared" ref="AD1204:AD1213" si="429">IFERROR(VLOOKUP(C1204,BSP,3,FALSE),"  ")</f>
        <v xml:space="preserve">  </v>
      </c>
      <c r="AE1204" s="1590" t="str">
        <f t="shared" ref="AE1204:AE1213" si="430">IFERROR((VLOOKUP(C1204,BSP,4,FALSE)),"  ")</f>
        <v xml:space="preserve">  </v>
      </c>
      <c r="AF1204" s="2300" t="s">
        <v>1329</v>
      </c>
      <c r="AG1204" s="1612"/>
      <c r="AH1204" s="1625" t="str">
        <f t="shared" si="414"/>
        <v>MPI-S2</v>
      </c>
      <c r="AI1204" s="1678">
        <f t="shared" si="424"/>
        <v>20350000</v>
      </c>
      <c r="AJ1204" s="1679">
        <f t="shared" si="421"/>
        <v>20350000</v>
      </c>
      <c r="AK1204" s="1419">
        <f t="shared" si="425"/>
        <v>0</v>
      </c>
      <c r="AL1204" s="1420" t="str">
        <f t="shared" si="426"/>
        <v>Lunas</v>
      </c>
      <c r="AM1204" s="1410"/>
      <c r="AN1204" s="1411"/>
      <c r="AO1204" s="1410"/>
      <c r="AP1204" s="1411"/>
      <c r="AQ1204" s="1128"/>
      <c r="AR1204" s="1173"/>
      <c r="AT1204" s="1173"/>
      <c r="AV1204" s="1173"/>
      <c r="AX1204" s="1173"/>
      <c r="AY1204" s="1176"/>
      <c r="AZ1204" s="1173"/>
    </row>
    <row r="1205" spans="1:52" s="2" customFormat="1" x14ac:dyDescent="0.25">
      <c r="A1205" s="234">
        <v>1113</v>
      </c>
      <c r="B1205" s="347">
        <v>13</v>
      </c>
      <c r="C1205" s="236">
        <v>849116013</v>
      </c>
      <c r="D1205" s="233" t="s">
        <v>1693</v>
      </c>
      <c r="E1205" s="298" t="s">
        <v>1070</v>
      </c>
      <c r="F1205" s="299">
        <v>2016</v>
      </c>
      <c r="G1205" s="485" t="s">
        <v>1077</v>
      </c>
      <c r="H1205" s="303" t="str">
        <f t="shared" si="405"/>
        <v xml:space="preserve">   </v>
      </c>
      <c r="I1205" s="303" t="str">
        <f t="shared" si="406"/>
        <v xml:space="preserve">   </v>
      </c>
      <c r="J1205" s="1710">
        <v>1350000</v>
      </c>
      <c r="K1205" s="1930">
        <v>42499</v>
      </c>
      <c r="L1205" s="1772">
        <v>3000000</v>
      </c>
      <c r="M1205" s="1930">
        <v>42499</v>
      </c>
      <c r="N1205" s="1714"/>
      <c r="O1205" s="1391"/>
      <c r="P1205" s="1363"/>
      <c r="Q1205" s="1391"/>
      <c r="R1205" s="1363"/>
      <c r="S1205" s="1391"/>
      <c r="T1205" s="1363"/>
      <c r="U1205" s="1654"/>
      <c r="V1205" s="1363"/>
      <c r="W1205" s="1391"/>
      <c r="X1205" s="1363"/>
      <c r="Y1205" s="1391"/>
      <c r="Z1205" s="1363"/>
      <c r="AA1205" s="1563"/>
      <c r="AB1205" s="1389"/>
      <c r="AC1205" s="1367"/>
      <c r="AD1205" s="1666" t="str">
        <f t="shared" si="429"/>
        <v xml:space="preserve">  </v>
      </c>
      <c r="AE1205" s="1590" t="str">
        <f t="shared" si="430"/>
        <v xml:space="preserve">  </v>
      </c>
      <c r="AF1205" s="2300" t="s">
        <v>1329</v>
      </c>
      <c r="AG1205" s="1612"/>
      <c r="AH1205" s="1625" t="str">
        <f t="shared" si="414"/>
        <v>MPI-S2</v>
      </c>
      <c r="AI1205" s="1688">
        <f t="shared" ref="AI1205" si="431">SUM(J1205,L1205,N1205,P1205,R1205,T1205,V1205,X1205,Z1205,AB1205,AD1205,AF1205)</f>
        <v>4350000</v>
      </c>
      <c r="AJ1205" s="1685">
        <f t="shared" si="421"/>
        <v>4350000</v>
      </c>
      <c r="AK1205" s="1686">
        <f t="shared" ref="AK1205" si="432">AJ1205-AI1205</f>
        <v>0</v>
      </c>
      <c r="AL1205" s="1687" t="s">
        <v>1334</v>
      </c>
      <c r="AM1205" s="1410"/>
      <c r="AN1205" s="1411"/>
      <c r="AO1205" s="1410"/>
      <c r="AP1205" s="1411"/>
      <c r="AQ1205" s="1128"/>
      <c r="AR1205" s="1173"/>
      <c r="AT1205" s="1173"/>
      <c r="AV1205" s="1173"/>
      <c r="AX1205" s="1173"/>
      <c r="AY1205" s="1176"/>
      <c r="AZ1205" s="1173"/>
    </row>
    <row r="1206" spans="1:52" s="2" customFormat="1" x14ac:dyDescent="0.25">
      <c r="A1206" s="164">
        <v>1114</v>
      </c>
      <c r="B1206" s="343">
        <v>14</v>
      </c>
      <c r="C1206" s="263">
        <v>849116014</v>
      </c>
      <c r="D1206" s="1992" t="s">
        <v>1694</v>
      </c>
      <c r="E1206" s="168" t="s">
        <v>1070</v>
      </c>
      <c r="F1206" s="169">
        <v>2016</v>
      </c>
      <c r="G1206" s="485" t="s">
        <v>1077</v>
      </c>
      <c r="H1206" s="265" t="str">
        <f t="shared" si="405"/>
        <v xml:space="preserve">   </v>
      </c>
      <c r="I1206" s="265" t="str">
        <f t="shared" si="406"/>
        <v xml:space="preserve">   </v>
      </c>
      <c r="J1206" s="1635">
        <v>1350000</v>
      </c>
      <c r="K1206" s="1500">
        <v>42499</v>
      </c>
      <c r="L1206" s="1389">
        <v>3000000</v>
      </c>
      <c r="M1206" s="1500">
        <v>42499</v>
      </c>
      <c r="N1206" s="1389">
        <v>3000000</v>
      </c>
      <c r="O1206" s="1500">
        <v>42772</v>
      </c>
      <c r="P1206" s="1363"/>
      <c r="Q1206" s="1391"/>
      <c r="R1206" s="1363"/>
      <c r="S1206" s="1391"/>
      <c r="T1206" s="1363"/>
      <c r="U1206" s="1654"/>
      <c r="V1206" s="1363"/>
      <c r="W1206" s="1391"/>
      <c r="X1206" s="1363"/>
      <c r="Y1206" s="1391"/>
      <c r="Z1206" s="1363"/>
      <c r="AA1206" s="1563"/>
      <c r="AB1206" s="1389"/>
      <c r="AC1206" s="1367"/>
      <c r="AD1206" s="1666" t="str">
        <f t="shared" si="429"/>
        <v xml:space="preserve">  </v>
      </c>
      <c r="AE1206" s="1590" t="str">
        <f t="shared" si="430"/>
        <v xml:space="preserve">  </v>
      </c>
      <c r="AF1206" s="2300" t="s">
        <v>1329</v>
      </c>
      <c r="AG1206" s="1612"/>
      <c r="AH1206" s="1625" t="str">
        <f t="shared" si="414"/>
        <v>MPI-S2</v>
      </c>
      <c r="AI1206" s="1678">
        <f t="shared" si="424"/>
        <v>7350000</v>
      </c>
      <c r="AJ1206" s="1679">
        <f t="shared" si="421"/>
        <v>7350000</v>
      </c>
      <c r="AK1206" s="1419">
        <f t="shared" si="425"/>
        <v>0</v>
      </c>
      <c r="AL1206" s="1420" t="str">
        <f t="shared" si="426"/>
        <v>Lunas</v>
      </c>
      <c r="AM1206" s="1410"/>
      <c r="AN1206" s="1411"/>
      <c r="AO1206" s="1410"/>
      <c r="AP1206" s="1411"/>
      <c r="AQ1206" s="1128"/>
      <c r="AR1206" s="1173"/>
      <c r="AT1206" s="1173"/>
      <c r="AV1206" s="1173"/>
      <c r="AX1206" s="1173"/>
      <c r="AY1206" s="1176"/>
      <c r="AZ1206" s="1173"/>
    </row>
    <row r="1207" spans="1:52" s="2" customFormat="1" x14ac:dyDescent="0.25">
      <c r="A1207" s="164">
        <v>1115</v>
      </c>
      <c r="B1207" s="343">
        <v>15</v>
      </c>
      <c r="C1207" s="263">
        <v>849116015</v>
      </c>
      <c r="D1207" s="173" t="s">
        <v>1695</v>
      </c>
      <c r="E1207" s="168" t="s">
        <v>1070</v>
      </c>
      <c r="F1207" s="169">
        <v>2016</v>
      </c>
      <c r="G1207" s="485" t="s">
        <v>1077</v>
      </c>
      <c r="H1207" s="265" t="str">
        <f t="shared" si="405"/>
        <v xml:space="preserve">   </v>
      </c>
      <c r="I1207" s="265" t="str">
        <f t="shared" si="406"/>
        <v xml:space="preserve">   </v>
      </c>
      <c r="J1207" s="1635">
        <v>1350000</v>
      </c>
      <c r="K1207" s="1500">
        <v>42552</v>
      </c>
      <c r="L1207" s="1389">
        <v>3000000</v>
      </c>
      <c r="M1207" s="1500">
        <v>42552</v>
      </c>
      <c r="N1207" s="1389">
        <v>3000000</v>
      </c>
      <c r="O1207" s="1500">
        <v>42761</v>
      </c>
      <c r="P1207" s="1363"/>
      <c r="Q1207" s="1391"/>
      <c r="R1207" s="1363"/>
      <c r="S1207" s="1391"/>
      <c r="T1207" s="1363"/>
      <c r="U1207" s="1654"/>
      <c r="V1207" s="1363"/>
      <c r="W1207" s="1391"/>
      <c r="X1207" s="1363"/>
      <c r="Y1207" s="1391"/>
      <c r="Z1207" s="1363"/>
      <c r="AA1207" s="1563"/>
      <c r="AB1207" s="1389"/>
      <c r="AC1207" s="1367"/>
      <c r="AD1207" s="1666" t="str">
        <f t="shared" si="429"/>
        <v xml:space="preserve">  </v>
      </c>
      <c r="AE1207" s="1590" t="str">
        <f t="shared" si="430"/>
        <v xml:space="preserve">  </v>
      </c>
      <c r="AF1207" s="2300" t="s">
        <v>1329</v>
      </c>
      <c r="AG1207" s="1612"/>
      <c r="AH1207" s="1625" t="str">
        <f t="shared" si="414"/>
        <v>MPI-S2</v>
      </c>
      <c r="AI1207" s="1678">
        <f t="shared" si="424"/>
        <v>7350000</v>
      </c>
      <c r="AJ1207" s="1679">
        <f t="shared" si="421"/>
        <v>7350000</v>
      </c>
      <c r="AK1207" s="1419">
        <f t="shared" si="425"/>
        <v>0</v>
      </c>
      <c r="AL1207" s="1420" t="str">
        <f t="shared" si="426"/>
        <v>Lunas</v>
      </c>
      <c r="AM1207" s="1410"/>
      <c r="AN1207" s="1411"/>
      <c r="AO1207" s="1410"/>
      <c r="AP1207" s="1411"/>
      <c r="AQ1207" s="1128"/>
      <c r="AR1207" s="1173"/>
      <c r="AT1207" s="1173"/>
      <c r="AV1207" s="1173"/>
      <c r="AX1207" s="1173"/>
      <c r="AY1207" s="1176"/>
      <c r="AZ1207" s="1173"/>
    </row>
    <row r="1208" spans="1:52" s="2" customFormat="1" x14ac:dyDescent="0.25">
      <c r="A1208" s="156">
        <v>1116</v>
      </c>
      <c r="B1208" s="172">
        <v>16</v>
      </c>
      <c r="C1208" s="159">
        <v>849116016</v>
      </c>
      <c r="D1208" s="158" t="s">
        <v>1696</v>
      </c>
      <c r="E1208" s="275" t="s">
        <v>1070</v>
      </c>
      <c r="F1208" s="317">
        <v>2016</v>
      </c>
      <c r="G1208" s="272" t="s">
        <v>33</v>
      </c>
      <c r="H1208" s="163">
        <f t="shared" si="405"/>
        <v>43563</v>
      </c>
      <c r="I1208" s="163">
        <f t="shared" si="406"/>
        <v>43587</v>
      </c>
      <c r="J1208" s="1636">
        <v>1350000</v>
      </c>
      <c r="K1208" s="1637">
        <v>42551</v>
      </c>
      <c r="L1208" s="1480">
        <v>3000000</v>
      </c>
      <c r="M1208" s="1637">
        <v>42551</v>
      </c>
      <c r="N1208" s="1480">
        <v>3000000</v>
      </c>
      <c r="O1208" s="1637">
        <v>42760</v>
      </c>
      <c r="P1208" s="1480">
        <v>3000000</v>
      </c>
      <c r="Q1208" s="1365">
        <v>42930</v>
      </c>
      <c r="R1208" s="1385">
        <v>3000000</v>
      </c>
      <c r="S1208" s="1357">
        <v>43116</v>
      </c>
      <c r="T1208" s="1431">
        <v>3000000</v>
      </c>
      <c r="U1208" s="1365">
        <v>43294</v>
      </c>
      <c r="V1208" s="1465" t="s">
        <v>1080</v>
      </c>
      <c r="W1208" s="1384"/>
      <c r="X1208" s="1363"/>
      <c r="Y1208" s="1391"/>
      <c r="Z1208" s="1363"/>
      <c r="AA1208" s="1563"/>
      <c r="AB1208" s="1480">
        <v>1000000</v>
      </c>
      <c r="AC1208" s="1357">
        <v>43376</v>
      </c>
      <c r="AD1208" s="1666" t="str">
        <f t="shared" si="429"/>
        <v xml:space="preserve">  </v>
      </c>
      <c r="AE1208" s="1590" t="str">
        <f t="shared" si="430"/>
        <v xml:space="preserve">  </v>
      </c>
      <c r="AF1208" s="2300" t="s">
        <v>1329</v>
      </c>
      <c r="AG1208" s="1612"/>
      <c r="AH1208" s="1625" t="str">
        <f t="shared" si="414"/>
        <v>MPI-S2</v>
      </c>
      <c r="AI1208" s="1678">
        <f t="shared" si="424"/>
        <v>17350000</v>
      </c>
      <c r="AJ1208" s="1679">
        <f t="shared" si="421"/>
        <v>17350000</v>
      </c>
      <c r="AK1208" s="1419">
        <f t="shared" si="425"/>
        <v>0</v>
      </c>
      <c r="AL1208" s="1420" t="str">
        <f t="shared" si="426"/>
        <v>Lunas</v>
      </c>
      <c r="AM1208" s="1410"/>
      <c r="AN1208" s="1411"/>
      <c r="AO1208" s="1410"/>
      <c r="AP1208" s="1411"/>
      <c r="AQ1208" s="1128"/>
      <c r="AR1208" s="1173"/>
      <c r="AT1208" s="1173"/>
      <c r="AV1208" s="1173"/>
      <c r="AX1208" s="1173"/>
      <c r="AY1208" s="1176"/>
      <c r="AZ1208" s="1173"/>
    </row>
    <row r="1209" spans="1:52" s="2" customFormat="1" x14ac:dyDescent="0.25">
      <c r="A1209" s="164">
        <v>1117</v>
      </c>
      <c r="B1209" s="343">
        <v>17</v>
      </c>
      <c r="C1209" s="263">
        <v>849116017</v>
      </c>
      <c r="D1209" s="1992" t="s">
        <v>1697</v>
      </c>
      <c r="E1209" s="449" t="s">
        <v>1070</v>
      </c>
      <c r="F1209" s="169">
        <v>2016</v>
      </c>
      <c r="G1209" s="360" t="s">
        <v>1483</v>
      </c>
      <c r="H1209" s="265" t="str">
        <f t="shared" si="405"/>
        <v xml:space="preserve">   </v>
      </c>
      <c r="I1209" s="265" t="str">
        <f t="shared" si="406"/>
        <v xml:space="preserve">   </v>
      </c>
      <c r="J1209" s="1635">
        <v>1350000</v>
      </c>
      <c r="K1209" s="1500">
        <v>42548</v>
      </c>
      <c r="L1209" s="1389">
        <v>3000000</v>
      </c>
      <c r="M1209" s="1500">
        <v>42548</v>
      </c>
      <c r="N1209" s="1389">
        <v>3000000</v>
      </c>
      <c r="O1209" s="1500">
        <v>42765</v>
      </c>
      <c r="P1209" s="1389">
        <v>3000000</v>
      </c>
      <c r="Q1209" s="1360">
        <v>43011</v>
      </c>
      <c r="R1209" s="1714">
        <v>3000000</v>
      </c>
      <c r="S1209" s="1367">
        <v>43116</v>
      </c>
      <c r="T1209" s="1430">
        <v>3000000</v>
      </c>
      <c r="U1209" s="1360">
        <v>43306</v>
      </c>
      <c r="V1209" s="1714">
        <v>3000000</v>
      </c>
      <c r="W1209" s="1367">
        <v>43752</v>
      </c>
      <c r="X1209" s="1714">
        <v>3000000</v>
      </c>
      <c r="Y1209" s="1367">
        <v>43752</v>
      </c>
      <c r="Z1209" s="1714">
        <v>3000000</v>
      </c>
      <c r="AA1209" s="1367">
        <v>43999</v>
      </c>
      <c r="AB1209" s="1389">
        <v>1000000</v>
      </c>
      <c r="AC1209" s="1367">
        <v>44155</v>
      </c>
      <c r="AD1209" s="1666">
        <v>500000</v>
      </c>
      <c r="AE1209" s="1590">
        <v>44208</v>
      </c>
      <c r="AF1209" s="1731">
        <v>3000000</v>
      </c>
      <c r="AG1209" s="1367">
        <v>44155</v>
      </c>
      <c r="AH1209" s="1625" t="str">
        <f t="shared" si="414"/>
        <v>MPI-S2</v>
      </c>
      <c r="AI1209" s="1678">
        <f t="shared" si="424"/>
        <v>29850000</v>
      </c>
      <c r="AJ1209" s="1679">
        <f t="shared" si="421"/>
        <v>26850000</v>
      </c>
      <c r="AK1209" s="1419">
        <f t="shared" si="425"/>
        <v>-3000000</v>
      </c>
      <c r="AL1209" s="1420" t="str">
        <f t="shared" si="426"/>
        <v>Cek</v>
      </c>
      <c r="AM1209" s="1410"/>
      <c r="AN1209" s="1411"/>
      <c r="AO1209" s="1410"/>
      <c r="AP1209" s="1411"/>
      <c r="AQ1209" s="1128"/>
      <c r="AR1209" s="1173"/>
      <c r="AT1209" s="1173"/>
      <c r="AV1209" s="1173"/>
      <c r="AX1209" s="1173"/>
      <c r="AY1209" s="1176"/>
      <c r="AZ1209" s="1173"/>
    </row>
    <row r="1210" spans="1:52" s="2" customFormat="1" x14ac:dyDescent="0.25">
      <c r="A1210" s="164">
        <v>1118</v>
      </c>
      <c r="B1210" s="343">
        <v>18</v>
      </c>
      <c r="C1210" s="263">
        <v>849116018</v>
      </c>
      <c r="D1210" s="173" t="s">
        <v>1698</v>
      </c>
      <c r="E1210" s="449" t="s">
        <v>1070</v>
      </c>
      <c r="F1210" s="169">
        <v>2016</v>
      </c>
      <c r="G1210" s="1758" t="s">
        <v>28</v>
      </c>
      <c r="H1210" s="265" t="str">
        <f t="shared" si="405"/>
        <v xml:space="preserve">   </v>
      </c>
      <c r="I1210" s="265" t="str">
        <f t="shared" si="406"/>
        <v xml:space="preserve">   </v>
      </c>
      <c r="J1210" s="1635">
        <v>1350000</v>
      </c>
      <c r="K1210" s="1500">
        <v>42548</v>
      </c>
      <c r="L1210" s="1389">
        <v>3000000</v>
      </c>
      <c r="M1210" s="1500">
        <v>42548</v>
      </c>
      <c r="N1210" s="1389">
        <v>3000000</v>
      </c>
      <c r="O1210" s="1500">
        <v>42768</v>
      </c>
      <c r="P1210" s="1389">
        <v>3000000</v>
      </c>
      <c r="Q1210" s="1360">
        <v>43011</v>
      </c>
      <c r="R1210" s="1714">
        <v>3000000</v>
      </c>
      <c r="S1210" s="1367">
        <v>43115</v>
      </c>
      <c r="T1210" s="1363"/>
      <c r="U1210" s="1360"/>
      <c r="V1210" s="1714"/>
      <c r="W1210" s="1367"/>
      <c r="X1210" s="1714"/>
      <c r="Y1210" s="1367"/>
      <c r="Z1210" s="1731"/>
      <c r="AA1210" s="1367"/>
      <c r="AB1210" s="1389"/>
      <c r="AC1210" s="1367"/>
      <c r="AD1210" s="1666" t="str">
        <f t="shared" si="429"/>
        <v xml:space="preserve">  </v>
      </c>
      <c r="AE1210" s="1590" t="str">
        <f t="shared" si="430"/>
        <v xml:space="preserve">  </v>
      </c>
      <c r="AF1210" s="1731" t="str">
        <f>IFERROR(VLOOKUP(C1210,BSP,3,FALSE),"  ")</f>
        <v xml:space="preserve">  </v>
      </c>
      <c r="AG1210" s="1367" t="str">
        <f>IFERROR((VLOOKUP(C1210,BSP,4,FALSE)),"  ")</f>
        <v xml:space="preserve">  </v>
      </c>
      <c r="AH1210" s="1625" t="str">
        <f t="shared" si="414"/>
        <v>MPI-S2</v>
      </c>
      <c r="AI1210" s="1678">
        <f t="shared" si="424"/>
        <v>13350000</v>
      </c>
      <c r="AJ1210" s="1679">
        <f t="shared" si="421"/>
        <v>13350000</v>
      </c>
      <c r="AK1210" s="1419">
        <f t="shared" si="425"/>
        <v>0</v>
      </c>
      <c r="AL1210" s="1420" t="str">
        <f t="shared" si="426"/>
        <v>Lunas</v>
      </c>
      <c r="AM1210" s="1410"/>
      <c r="AN1210" s="1411"/>
      <c r="AO1210" s="1410"/>
      <c r="AP1210" s="1411"/>
      <c r="AQ1210" s="1128"/>
      <c r="AR1210" s="1173"/>
      <c r="AT1210" s="1173"/>
      <c r="AV1210" s="1173"/>
      <c r="AX1210" s="1173"/>
      <c r="AY1210" s="1176"/>
      <c r="AZ1210" s="1173"/>
    </row>
    <row r="1211" spans="1:52" s="2" customFormat="1" x14ac:dyDescent="0.25">
      <c r="A1211" s="156">
        <v>1119</v>
      </c>
      <c r="B1211" s="172">
        <v>19</v>
      </c>
      <c r="C1211" s="159">
        <v>849116019</v>
      </c>
      <c r="D1211" s="158" t="s">
        <v>1699</v>
      </c>
      <c r="E1211" s="275" t="s">
        <v>1070</v>
      </c>
      <c r="F1211" s="317">
        <v>2016</v>
      </c>
      <c r="G1211" s="272" t="s">
        <v>33</v>
      </c>
      <c r="H1211" s="163">
        <f t="shared" si="405"/>
        <v>43482</v>
      </c>
      <c r="I1211" s="163">
        <f t="shared" si="406"/>
        <v>43587</v>
      </c>
      <c r="J1211" s="1636">
        <v>1350000</v>
      </c>
      <c r="K1211" s="1637">
        <v>42551</v>
      </c>
      <c r="L1211" s="1480">
        <v>3000000</v>
      </c>
      <c r="M1211" s="1637">
        <v>42551</v>
      </c>
      <c r="N1211" s="1480">
        <v>3000000</v>
      </c>
      <c r="O1211" s="1637">
        <v>42760</v>
      </c>
      <c r="P1211" s="1480">
        <v>3000000</v>
      </c>
      <c r="Q1211" s="1365">
        <v>42930</v>
      </c>
      <c r="R1211" s="1385">
        <v>3000000</v>
      </c>
      <c r="S1211" s="1357">
        <v>43116</v>
      </c>
      <c r="T1211" s="1431">
        <v>3000000</v>
      </c>
      <c r="U1211" s="1365">
        <v>43293</v>
      </c>
      <c r="V1211" s="1465" t="s">
        <v>1080</v>
      </c>
      <c r="W1211" s="1384"/>
      <c r="X1211" s="1363"/>
      <c r="Y1211" s="1391"/>
      <c r="Z1211" s="1363"/>
      <c r="AA1211" s="1563"/>
      <c r="AB1211" s="1480">
        <v>1000000</v>
      </c>
      <c r="AC1211" s="1357">
        <v>43482</v>
      </c>
      <c r="AD1211" s="1666" t="str">
        <f t="shared" si="429"/>
        <v xml:space="preserve">  </v>
      </c>
      <c r="AE1211" s="1590" t="str">
        <f t="shared" si="430"/>
        <v xml:space="preserve">  </v>
      </c>
      <c r="AF1211" s="2300" t="s">
        <v>1329</v>
      </c>
      <c r="AG1211" s="1612"/>
      <c r="AH1211" s="1625" t="str">
        <f t="shared" si="414"/>
        <v>MPI-S2</v>
      </c>
      <c r="AI1211" s="1678">
        <f t="shared" si="424"/>
        <v>17350000</v>
      </c>
      <c r="AJ1211" s="1679">
        <f t="shared" si="421"/>
        <v>17350000</v>
      </c>
      <c r="AK1211" s="1419">
        <f t="shared" si="425"/>
        <v>0</v>
      </c>
      <c r="AL1211" s="1420" t="str">
        <f t="shared" si="426"/>
        <v>Lunas</v>
      </c>
      <c r="AM1211" s="1410"/>
      <c r="AN1211" s="1411"/>
      <c r="AO1211" s="1410"/>
      <c r="AP1211" s="1411"/>
      <c r="AQ1211" s="1128"/>
      <c r="AR1211" s="1173"/>
      <c r="AT1211" s="1173"/>
      <c r="AV1211" s="1173"/>
      <c r="AX1211" s="1173"/>
      <c r="AY1211" s="1176"/>
      <c r="AZ1211" s="1173"/>
    </row>
    <row r="1212" spans="1:52" s="2" customFormat="1" x14ac:dyDescent="0.25">
      <c r="A1212" s="156">
        <v>1120</v>
      </c>
      <c r="B1212" s="172">
        <v>20</v>
      </c>
      <c r="C1212" s="159">
        <v>849116020</v>
      </c>
      <c r="D1212" s="158" t="s">
        <v>1700</v>
      </c>
      <c r="E1212" s="275" t="s">
        <v>1070</v>
      </c>
      <c r="F1212" s="317">
        <v>2016</v>
      </c>
      <c r="G1212" s="272" t="s">
        <v>33</v>
      </c>
      <c r="H1212" s="163">
        <f t="shared" si="405"/>
        <v>43481</v>
      </c>
      <c r="I1212" s="163">
        <f t="shared" si="406"/>
        <v>43587</v>
      </c>
      <c r="J1212" s="1636">
        <v>1350000</v>
      </c>
      <c r="K1212" s="1637">
        <v>42552</v>
      </c>
      <c r="L1212" s="1480">
        <v>3000000</v>
      </c>
      <c r="M1212" s="1637">
        <v>42552</v>
      </c>
      <c r="N1212" s="1480">
        <v>3000000</v>
      </c>
      <c r="O1212" s="1637" t="s">
        <v>1701</v>
      </c>
      <c r="P1212" s="1480">
        <v>3000000</v>
      </c>
      <c r="Q1212" s="1365">
        <v>42930</v>
      </c>
      <c r="R1212" s="1385">
        <v>3000000</v>
      </c>
      <c r="S1212" s="1357">
        <v>43115</v>
      </c>
      <c r="T1212" s="1431">
        <v>3000000</v>
      </c>
      <c r="U1212" s="1365">
        <v>43441</v>
      </c>
      <c r="V1212" s="1465" t="s">
        <v>1080</v>
      </c>
      <c r="W1212" s="1384"/>
      <c r="X1212" s="1363"/>
      <c r="Y1212" s="1391"/>
      <c r="Z1212" s="1363"/>
      <c r="AA1212" s="1563"/>
      <c r="AB1212" s="1480">
        <v>1000000</v>
      </c>
      <c r="AC1212" s="1357">
        <v>43446</v>
      </c>
      <c r="AD1212" s="1666" t="str">
        <f t="shared" si="429"/>
        <v xml:space="preserve">  </v>
      </c>
      <c r="AE1212" s="1590" t="str">
        <f t="shared" si="430"/>
        <v xml:space="preserve">  </v>
      </c>
      <c r="AF1212" s="2300" t="s">
        <v>1329</v>
      </c>
      <c r="AG1212" s="1612"/>
      <c r="AH1212" s="1625" t="str">
        <f t="shared" si="414"/>
        <v>MPI-S2</v>
      </c>
      <c r="AI1212" s="1678">
        <f t="shared" si="424"/>
        <v>17350000</v>
      </c>
      <c r="AJ1212" s="1679">
        <f t="shared" si="421"/>
        <v>17350000</v>
      </c>
      <c r="AK1212" s="1419">
        <f t="shared" si="425"/>
        <v>0</v>
      </c>
      <c r="AL1212" s="1420" t="str">
        <f t="shared" si="426"/>
        <v>Lunas</v>
      </c>
      <c r="AM1212" s="1410"/>
      <c r="AN1212" s="1411"/>
      <c r="AO1212" s="1410"/>
      <c r="AP1212" s="1411"/>
      <c r="AQ1212" s="1128"/>
      <c r="AR1212" s="1173"/>
      <c r="AT1212" s="1173"/>
      <c r="AV1212" s="1173"/>
      <c r="AX1212" s="1173"/>
      <c r="AY1212" s="1176"/>
      <c r="AZ1212" s="1173"/>
    </row>
    <row r="1213" spans="1:52" s="2" customFormat="1" x14ac:dyDescent="0.25">
      <c r="A1213" s="156">
        <v>1121</v>
      </c>
      <c r="B1213" s="172">
        <v>21</v>
      </c>
      <c r="C1213" s="159">
        <v>849116021</v>
      </c>
      <c r="D1213" s="158" t="s">
        <v>1702</v>
      </c>
      <c r="E1213" s="179" t="s">
        <v>1070</v>
      </c>
      <c r="F1213" s="161">
        <v>2016</v>
      </c>
      <c r="G1213" s="162" t="s">
        <v>33</v>
      </c>
      <c r="H1213" s="163">
        <f t="shared" si="405"/>
        <v>43300</v>
      </c>
      <c r="I1213" s="163">
        <f t="shared" si="406"/>
        <v>43351</v>
      </c>
      <c r="J1213" s="1443">
        <v>1350000</v>
      </c>
      <c r="K1213" s="1383">
        <v>42552</v>
      </c>
      <c r="L1213" s="1385">
        <v>3000000</v>
      </c>
      <c r="M1213" s="1383">
        <v>42552</v>
      </c>
      <c r="N1213" s="1385">
        <v>3000000</v>
      </c>
      <c r="O1213" s="1383">
        <v>42755</v>
      </c>
      <c r="P1213" s="1385">
        <v>3000000</v>
      </c>
      <c r="Q1213" s="1357">
        <v>42926</v>
      </c>
      <c r="R1213" s="1385">
        <v>3000000</v>
      </c>
      <c r="S1213" s="1357">
        <v>43112</v>
      </c>
      <c r="T1213" s="1382" t="s">
        <v>1080</v>
      </c>
      <c r="U1213" s="1474"/>
      <c r="V1213" s="1363"/>
      <c r="W1213" s="1391"/>
      <c r="X1213" s="1363"/>
      <c r="Y1213" s="1391"/>
      <c r="Z1213" s="1363"/>
      <c r="AA1213" s="1563"/>
      <c r="AB1213" s="1385">
        <v>1000000</v>
      </c>
      <c r="AC1213" s="1357">
        <v>43279</v>
      </c>
      <c r="AD1213" s="1666" t="str">
        <f t="shared" si="429"/>
        <v xml:space="preserve">  </v>
      </c>
      <c r="AE1213" s="1590" t="str">
        <f t="shared" si="430"/>
        <v xml:space="preserve">  </v>
      </c>
      <c r="AF1213" s="2300" t="s">
        <v>1329</v>
      </c>
      <c r="AG1213" s="1612"/>
      <c r="AH1213" s="1625" t="str">
        <f t="shared" si="414"/>
        <v>MPI-S2</v>
      </c>
      <c r="AI1213" s="1678">
        <f t="shared" si="424"/>
        <v>14350000</v>
      </c>
      <c r="AJ1213" s="1679">
        <f t="shared" si="421"/>
        <v>14350000</v>
      </c>
      <c r="AK1213" s="1419">
        <f t="shared" si="425"/>
        <v>0</v>
      </c>
      <c r="AL1213" s="1420" t="str">
        <f t="shared" si="426"/>
        <v>Lunas</v>
      </c>
      <c r="AM1213" s="1410"/>
      <c r="AN1213" s="1411"/>
      <c r="AO1213" s="1410"/>
      <c r="AP1213" s="1411"/>
      <c r="AQ1213" s="1128"/>
      <c r="AR1213" s="1173"/>
      <c r="AT1213" s="1173"/>
      <c r="AV1213" s="1173"/>
      <c r="AX1213" s="1173"/>
      <c r="AY1213" s="1176"/>
      <c r="AZ1213" s="1173"/>
    </row>
    <row r="1214" spans="1:52" s="2" customFormat="1" x14ac:dyDescent="0.25">
      <c r="A1214" s="164">
        <v>1122</v>
      </c>
      <c r="B1214" s="343">
        <v>22</v>
      </c>
      <c r="C1214" s="263">
        <v>849116022</v>
      </c>
      <c r="D1214" s="173" t="s">
        <v>1703</v>
      </c>
      <c r="E1214" s="449" t="s">
        <v>1070</v>
      </c>
      <c r="F1214" s="169">
        <v>2016</v>
      </c>
      <c r="G1214" s="360" t="s">
        <v>1483</v>
      </c>
      <c r="H1214" s="265" t="str">
        <f t="shared" si="405"/>
        <v xml:space="preserve">   </v>
      </c>
      <c r="I1214" s="265" t="str">
        <f t="shared" si="406"/>
        <v xml:space="preserve">   </v>
      </c>
      <c r="J1214" s="1635">
        <v>1350000</v>
      </c>
      <c r="K1214" s="1500">
        <v>42551</v>
      </c>
      <c r="L1214" s="1389">
        <v>3000000</v>
      </c>
      <c r="M1214" s="1500">
        <v>42551</v>
      </c>
      <c r="N1214" s="1389">
        <v>3000000</v>
      </c>
      <c r="O1214" s="1500">
        <v>42760</v>
      </c>
      <c r="P1214" s="1389">
        <v>3000000</v>
      </c>
      <c r="Q1214" s="1360">
        <v>42930</v>
      </c>
      <c r="R1214" s="1714">
        <v>3000000</v>
      </c>
      <c r="S1214" s="1367">
        <v>43116</v>
      </c>
      <c r="T1214" s="1363">
        <v>3000000</v>
      </c>
      <c r="U1214" s="1360">
        <v>43748</v>
      </c>
      <c r="V1214" s="1363">
        <v>3000000</v>
      </c>
      <c r="W1214" s="1360">
        <v>43748</v>
      </c>
      <c r="X1214" s="1363">
        <v>3000000</v>
      </c>
      <c r="Y1214" s="1360">
        <v>43748</v>
      </c>
      <c r="Z1214" s="1363">
        <v>3000000</v>
      </c>
      <c r="AA1214" s="1367">
        <v>43854</v>
      </c>
      <c r="AB1214" s="1389">
        <v>0</v>
      </c>
      <c r="AC1214" s="1367"/>
      <c r="AD1214" s="1666"/>
      <c r="AE1214" s="1590"/>
      <c r="AF1214" s="1731" t="str">
        <f>IFERROR(VLOOKUP(C1214,BSP,3,FALSE),"  ")</f>
        <v xml:space="preserve">  </v>
      </c>
      <c r="AG1214" s="1367" t="str">
        <f>IFERROR((VLOOKUP(C1214,BSP,4,FALSE)),"  ")</f>
        <v xml:space="preserve">  </v>
      </c>
      <c r="AH1214" s="1625" t="str">
        <f t="shared" si="414"/>
        <v>MPI-S2</v>
      </c>
      <c r="AI1214" s="1678">
        <f t="shared" si="424"/>
        <v>25350000</v>
      </c>
      <c r="AJ1214" s="1679">
        <f t="shared" si="421"/>
        <v>26350000</v>
      </c>
      <c r="AK1214" s="1419">
        <f t="shared" si="425"/>
        <v>1000000</v>
      </c>
      <c r="AL1214" s="1420" t="str">
        <f t="shared" si="426"/>
        <v>Cek</v>
      </c>
      <c r="AM1214" s="1410"/>
      <c r="AN1214" s="1411"/>
      <c r="AO1214" s="1410"/>
      <c r="AP1214" s="1411"/>
      <c r="AQ1214" s="1128"/>
      <c r="AR1214" s="1173"/>
      <c r="AT1214" s="1173"/>
      <c r="AV1214" s="1173"/>
      <c r="AX1214" s="1173"/>
      <c r="AY1214" s="1176"/>
      <c r="AZ1214" s="1173"/>
    </row>
    <row r="1215" spans="1:52" s="2" customFormat="1" x14ac:dyDescent="0.25">
      <c r="A1215" s="164">
        <v>1123</v>
      </c>
      <c r="B1215" s="343">
        <v>23</v>
      </c>
      <c r="C1215" s="263">
        <v>849116023</v>
      </c>
      <c r="D1215" s="173" t="s">
        <v>1704</v>
      </c>
      <c r="E1215" s="168" t="s">
        <v>1070</v>
      </c>
      <c r="F1215" s="169">
        <v>2016</v>
      </c>
      <c r="G1215" s="1758" t="s">
        <v>28</v>
      </c>
      <c r="H1215" s="265" t="str">
        <f t="shared" si="405"/>
        <v xml:space="preserve">   </v>
      </c>
      <c r="I1215" s="265" t="str">
        <f t="shared" si="406"/>
        <v xml:space="preserve">   </v>
      </c>
      <c r="J1215" s="1635">
        <v>1350000</v>
      </c>
      <c r="K1215" s="1500">
        <v>42552</v>
      </c>
      <c r="L1215" s="1389">
        <v>3000000</v>
      </c>
      <c r="M1215" s="1500">
        <v>42552</v>
      </c>
      <c r="N1215" s="1389">
        <v>3000000</v>
      </c>
      <c r="O1215" s="1500">
        <v>42769</v>
      </c>
      <c r="P1215" s="1635">
        <v>3000000</v>
      </c>
      <c r="Q1215" s="1360">
        <v>42975</v>
      </c>
      <c r="R1215" s="1363"/>
      <c r="S1215" s="1391"/>
      <c r="T1215" s="1363"/>
      <c r="U1215" s="1654"/>
      <c r="V1215" s="1363"/>
      <c r="W1215" s="1391"/>
      <c r="X1215" s="1363"/>
      <c r="Y1215" s="1391"/>
      <c r="Z1215" s="1363"/>
      <c r="AA1215" s="1563"/>
      <c r="AB1215" s="1389"/>
      <c r="AC1215" s="1367"/>
      <c r="AD1215" s="1666" t="str">
        <f>IFERROR(VLOOKUP(C1215,BSP,3,FALSE),"  ")</f>
        <v xml:space="preserve">  </v>
      </c>
      <c r="AE1215" s="1590" t="str">
        <f>IFERROR((VLOOKUP(C1215,BSP,4,FALSE)),"  ")</f>
        <v xml:space="preserve">  </v>
      </c>
      <c r="AF1215" s="1731" t="str">
        <f>IFERROR(VLOOKUP(C1215,BSP,3,FALSE),"  ")</f>
        <v xml:space="preserve">  </v>
      </c>
      <c r="AG1215" s="1367" t="str">
        <f>IFERROR((VLOOKUP(C1215,BSP,4,FALSE)),"  ")</f>
        <v xml:space="preserve">  </v>
      </c>
      <c r="AH1215" s="1625" t="str">
        <f t="shared" si="414"/>
        <v>MPI-S2</v>
      </c>
      <c r="AI1215" s="1678">
        <f t="shared" si="424"/>
        <v>10350000</v>
      </c>
      <c r="AJ1215" s="1679">
        <f t="shared" si="421"/>
        <v>10350000</v>
      </c>
      <c r="AK1215" s="1419">
        <f t="shared" si="425"/>
        <v>0</v>
      </c>
      <c r="AL1215" s="1420" t="str">
        <f t="shared" si="426"/>
        <v>Lunas</v>
      </c>
      <c r="AM1215" s="1410"/>
      <c r="AN1215" s="1411"/>
      <c r="AO1215" s="1410"/>
      <c r="AP1215" s="1411"/>
      <c r="AQ1215" s="1128"/>
      <c r="AR1215" s="1173"/>
      <c r="AT1215" s="1173"/>
      <c r="AV1215" s="1173"/>
      <c r="AX1215" s="1173"/>
      <c r="AY1215" s="1176"/>
      <c r="AZ1215" s="1173"/>
    </row>
    <row r="1216" spans="1:52" s="2" customFormat="1" x14ac:dyDescent="0.25">
      <c r="A1216" s="156">
        <v>1124</v>
      </c>
      <c r="B1216" s="172">
        <v>24</v>
      </c>
      <c r="C1216" s="159">
        <v>849116024</v>
      </c>
      <c r="D1216" s="158" t="s">
        <v>1705</v>
      </c>
      <c r="E1216" s="275" t="s">
        <v>1070</v>
      </c>
      <c r="F1216" s="317">
        <v>2016</v>
      </c>
      <c r="G1216" s="162" t="s">
        <v>33</v>
      </c>
      <c r="H1216" s="163">
        <f t="shared" si="405"/>
        <v>43489</v>
      </c>
      <c r="I1216" s="163">
        <f t="shared" si="406"/>
        <v>43587</v>
      </c>
      <c r="J1216" s="1636">
        <v>1350000</v>
      </c>
      <c r="K1216" s="1637">
        <v>42544</v>
      </c>
      <c r="L1216" s="1480">
        <v>3000000</v>
      </c>
      <c r="M1216" s="1637">
        <v>42544</v>
      </c>
      <c r="N1216" s="1480">
        <v>3000000</v>
      </c>
      <c r="O1216" s="1637">
        <v>42754</v>
      </c>
      <c r="P1216" s="1480">
        <v>3000000</v>
      </c>
      <c r="Q1216" s="1365">
        <v>42930</v>
      </c>
      <c r="R1216" s="1385">
        <v>3000000</v>
      </c>
      <c r="S1216" s="1357">
        <v>43110</v>
      </c>
      <c r="T1216" s="1431">
        <v>3000000</v>
      </c>
      <c r="U1216" s="1365">
        <v>43294</v>
      </c>
      <c r="V1216" s="1465" t="s">
        <v>1080</v>
      </c>
      <c r="W1216" s="1384"/>
      <c r="X1216" s="1363"/>
      <c r="Y1216" s="1391"/>
      <c r="Z1216" s="1363"/>
      <c r="AA1216" s="1563"/>
      <c r="AB1216" s="1480">
        <v>1000000</v>
      </c>
      <c r="AC1216" s="1357">
        <v>43494</v>
      </c>
      <c r="AD1216" s="1666" t="str">
        <f>IFERROR(VLOOKUP(C1216,BSP,3,FALSE),"  ")</f>
        <v xml:space="preserve">  </v>
      </c>
      <c r="AE1216" s="1590" t="str">
        <f>IFERROR((VLOOKUP(C1216,BSP,4,FALSE)),"  ")</f>
        <v xml:space="preserve">  </v>
      </c>
      <c r="AF1216" s="2300" t="s">
        <v>1329</v>
      </c>
      <c r="AG1216" s="1612"/>
      <c r="AH1216" s="1625" t="str">
        <f t="shared" si="414"/>
        <v>MPI-S2</v>
      </c>
      <c r="AI1216" s="1678">
        <f t="shared" si="424"/>
        <v>17350000</v>
      </c>
      <c r="AJ1216" s="1679">
        <f t="shared" si="421"/>
        <v>17350000</v>
      </c>
      <c r="AK1216" s="1419">
        <f t="shared" si="425"/>
        <v>0</v>
      </c>
      <c r="AL1216" s="1420" t="str">
        <f t="shared" si="426"/>
        <v>Lunas</v>
      </c>
      <c r="AM1216" s="1410"/>
      <c r="AN1216" s="1411"/>
      <c r="AO1216" s="1410"/>
      <c r="AP1216" s="1411"/>
      <c r="AQ1216" s="1128"/>
      <c r="AR1216" s="1173"/>
      <c r="AT1216" s="1173"/>
      <c r="AV1216" s="1173"/>
      <c r="AX1216" s="1173"/>
      <c r="AY1216" s="1176"/>
      <c r="AZ1216" s="1173"/>
    </row>
    <row r="1217" spans="1:54" s="2" customFormat="1" x14ac:dyDescent="0.25">
      <c r="A1217" s="164">
        <v>1125</v>
      </c>
      <c r="B1217" s="343">
        <v>25</v>
      </c>
      <c r="C1217" s="263">
        <v>849116025</v>
      </c>
      <c r="D1217" s="173" t="s">
        <v>1706</v>
      </c>
      <c r="E1217" s="449" t="s">
        <v>1070</v>
      </c>
      <c r="F1217" s="169">
        <v>2016</v>
      </c>
      <c r="G1217" s="1758" t="s">
        <v>28</v>
      </c>
      <c r="H1217" s="265" t="str">
        <f t="shared" si="405"/>
        <v xml:space="preserve">   </v>
      </c>
      <c r="I1217" s="265" t="str">
        <f t="shared" si="406"/>
        <v xml:space="preserve">   </v>
      </c>
      <c r="J1217" s="1635">
        <v>1350000</v>
      </c>
      <c r="K1217" s="1500">
        <v>42542</v>
      </c>
      <c r="L1217" s="1389">
        <v>3000000</v>
      </c>
      <c r="M1217" s="1500">
        <v>42542</v>
      </c>
      <c r="N1217" s="1389">
        <v>3000000</v>
      </c>
      <c r="O1217" s="1500">
        <v>42762</v>
      </c>
      <c r="P1217" s="1389">
        <v>3000000</v>
      </c>
      <c r="Q1217" s="1360">
        <v>42930</v>
      </c>
      <c r="R1217" s="1714">
        <v>3000000</v>
      </c>
      <c r="S1217" s="1367">
        <v>43110</v>
      </c>
      <c r="T1217" s="1430">
        <v>3000000</v>
      </c>
      <c r="U1217" s="1360">
        <v>43294</v>
      </c>
      <c r="V1217" s="1363"/>
      <c r="W1217" s="1391"/>
      <c r="X1217" s="1363"/>
      <c r="Y1217" s="1391"/>
      <c r="Z1217" s="1363"/>
      <c r="AA1217" s="1563"/>
      <c r="AB1217" s="1389"/>
      <c r="AC1217" s="1367"/>
      <c r="AD1217" s="1666"/>
      <c r="AE1217" s="1590" t="str">
        <f>IFERROR((VLOOKUP(C1217,BSP,4,FALSE)),"  ")</f>
        <v xml:space="preserve">  </v>
      </c>
      <c r="AF1217" s="2300" t="s">
        <v>1329</v>
      </c>
      <c r="AG1217" s="1612"/>
      <c r="AH1217" s="1625" t="str">
        <f t="shared" si="414"/>
        <v>MPI-S2</v>
      </c>
      <c r="AI1217" s="1678">
        <f t="shared" si="424"/>
        <v>16350000</v>
      </c>
      <c r="AJ1217" s="1679">
        <f t="shared" si="421"/>
        <v>16350000</v>
      </c>
      <c r="AK1217" s="1419">
        <f t="shared" si="425"/>
        <v>0</v>
      </c>
      <c r="AL1217" s="1420" t="str">
        <f t="shared" si="426"/>
        <v>Lunas</v>
      </c>
      <c r="AM1217" s="1410"/>
      <c r="AN1217" s="1411"/>
      <c r="AO1217" s="1410"/>
      <c r="AP1217" s="1411"/>
      <c r="AQ1217" s="1128"/>
      <c r="AR1217" s="1173"/>
      <c r="AT1217" s="1173"/>
      <c r="AV1217" s="1173"/>
      <c r="AX1217" s="1173"/>
      <c r="AY1217" s="1176"/>
      <c r="AZ1217" s="1173"/>
    </row>
    <row r="1218" spans="1:54" s="2" customFormat="1" x14ac:dyDescent="0.25">
      <c r="A1218" s="156">
        <v>1126</v>
      </c>
      <c r="B1218" s="172">
        <v>26</v>
      </c>
      <c r="C1218" s="159">
        <v>849116026</v>
      </c>
      <c r="D1218" s="158" t="s">
        <v>1707</v>
      </c>
      <c r="E1218" s="275" t="s">
        <v>1070</v>
      </c>
      <c r="F1218" s="317">
        <v>2016</v>
      </c>
      <c r="G1218" s="162" t="s">
        <v>33</v>
      </c>
      <c r="H1218" s="163">
        <f t="shared" si="405"/>
        <v>43805</v>
      </c>
      <c r="I1218" s="163">
        <f t="shared" si="406"/>
        <v>44058</v>
      </c>
      <c r="J1218" s="1636">
        <v>1350000</v>
      </c>
      <c r="K1218" s="1637">
        <v>42545</v>
      </c>
      <c r="L1218" s="1480">
        <v>3000000</v>
      </c>
      <c r="M1218" s="1637">
        <v>42545</v>
      </c>
      <c r="N1218" s="1480">
        <v>3000000</v>
      </c>
      <c r="O1218" s="1637">
        <v>42762</v>
      </c>
      <c r="P1218" s="1480">
        <v>3000000</v>
      </c>
      <c r="Q1218" s="1365">
        <v>42930</v>
      </c>
      <c r="R1218" s="1385">
        <v>3000000</v>
      </c>
      <c r="S1218" s="1357">
        <v>43116</v>
      </c>
      <c r="T1218" s="1431">
        <v>3000000</v>
      </c>
      <c r="U1218" s="1365">
        <v>43290</v>
      </c>
      <c r="V1218" s="1385">
        <v>3000000</v>
      </c>
      <c r="W1218" s="1357">
        <v>43483</v>
      </c>
      <c r="X1218" s="1385">
        <v>3000000</v>
      </c>
      <c r="Y1218" s="1357">
        <v>43665</v>
      </c>
      <c r="Z1218" s="1465" t="s">
        <v>1080</v>
      </c>
      <c r="AA1218" s="1367"/>
      <c r="AB1218" s="1480">
        <v>1000000</v>
      </c>
      <c r="AC1218" s="1357">
        <v>43754</v>
      </c>
      <c r="AD1218" s="1809">
        <v>500000</v>
      </c>
      <c r="AE1218" s="1440">
        <v>43878</v>
      </c>
      <c r="AF1218" s="2300" t="s">
        <v>1329</v>
      </c>
      <c r="AG1218" s="1612"/>
      <c r="AH1218" s="1625" t="str">
        <f t="shared" si="414"/>
        <v>MPI-S2</v>
      </c>
      <c r="AI1218" s="1678">
        <f t="shared" si="424"/>
        <v>23850000</v>
      </c>
      <c r="AJ1218" s="1679">
        <f t="shared" si="421"/>
        <v>23850000</v>
      </c>
      <c r="AK1218" s="1419">
        <f t="shared" si="425"/>
        <v>0</v>
      </c>
      <c r="AL1218" s="1420" t="str">
        <f t="shared" si="426"/>
        <v>Lunas</v>
      </c>
      <c r="AM1218" s="1410"/>
      <c r="AN1218" s="1411"/>
      <c r="AO1218" s="1410"/>
      <c r="AP1218" s="1411"/>
      <c r="AQ1218" s="1128"/>
      <c r="AR1218" s="1173"/>
      <c r="AT1218" s="1173"/>
      <c r="AV1218" s="1173"/>
      <c r="AX1218" s="1173"/>
      <c r="AY1218" s="1176"/>
      <c r="AZ1218" s="1173"/>
    </row>
    <row r="1219" spans="1:54" s="2" customFormat="1" x14ac:dyDescent="0.25">
      <c r="A1219" s="164">
        <v>1127</v>
      </c>
      <c r="B1219" s="343">
        <v>27</v>
      </c>
      <c r="C1219" s="263">
        <v>849116027</v>
      </c>
      <c r="D1219" s="173" t="s">
        <v>1708</v>
      </c>
      <c r="E1219" s="449" t="s">
        <v>1070</v>
      </c>
      <c r="F1219" s="169">
        <v>2016</v>
      </c>
      <c r="G1219" s="1758" t="s">
        <v>28</v>
      </c>
      <c r="H1219" s="265" t="str">
        <f t="shared" si="405"/>
        <v xml:space="preserve">   </v>
      </c>
      <c r="I1219" s="265" t="str">
        <f t="shared" si="406"/>
        <v xml:space="preserve">   </v>
      </c>
      <c r="J1219" s="1635">
        <v>1350000</v>
      </c>
      <c r="K1219" s="1500">
        <v>42551</v>
      </c>
      <c r="L1219" s="1389">
        <v>3000000</v>
      </c>
      <c r="M1219" s="1500">
        <v>42551</v>
      </c>
      <c r="N1219" s="1635">
        <v>3000000</v>
      </c>
      <c r="O1219" s="1500">
        <v>42765</v>
      </c>
      <c r="P1219" s="1389">
        <v>3000000</v>
      </c>
      <c r="Q1219" s="1360">
        <v>42937</v>
      </c>
      <c r="R1219" s="1714">
        <v>3000000</v>
      </c>
      <c r="S1219" s="1367">
        <v>43111</v>
      </c>
      <c r="T1219" s="1430">
        <v>3000000</v>
      </c>
      <c r="U1219" s="1360">
        <v>43294</v>
      </c>
      <c r="V1219" s="1363"/>
      <c r="W1219" s="1391"/>
      <c r="X1219" s="1363"/>
      <c r="Y1219" s="1391"/>
      <c r="Z1219" s="1363"/>
      <c r="AA1219" s="1563"/>
      <c r="AB1219" s="1389"/>
      <c r="AC1219" s="1367"/>
      <c r="AD1219" s="1666" t="str">
        <f>IFERROR(VLOOKUP(C1219,BSP,3,FALSE),"  ")</f>
        <v xml:space="preserve">  </v>
      </c>
      <c r="AE1219" s="1590" t="str">
        <f>IFERROR((VLOOKUP(C1219,BSP,4,FALSE)),"  ")</f>
        <v xml:space="preserve">  </v>
      </c>
      <c r="AF1219" s="1731" t="str">
        <f>IFERROR(VLOOKUP(C1219,BSP,3,FALSE),"  ")</f>
        <v xml:space="preserve">  </v>
      </c>
      <c r="AG1219" s="1367" t="str">
        <f>IFERROR((VLOOKUP(C1219,BSP,4,FALSE)),"  ")</f>
        <v xml:space="preserve">  </v>
      </c>
      <c r="AH1219" s="1625" t="str">
        <f t="shared" si="414"/>
        <v>MPI-S2</v>
      </c>
      <c r="AI1219" s="1678">
        <f t="shared" si="424"/>
        <v>16350000</v>
      </c>
      <c r="AJ1219" s="1679">
        <f t="shared" si="421"/>
        <v>16350000</v>
      </c>
      <c r="AK1219" s="1419">
        <f t="shared" si="425"/>
        <v>0</v>
      </c>
      <c r="AL1219" s="1420" t="str">
        <f t="shared" si="426"/>
        <v>Lunas</v>
      </c>
      <c r="AM1219" s="1410"/>
      <c r="AN1219" s="1411"/>
      <c r="AO1219" s="1410"/>
      <c r="AP1219" s="1411"/>
      <c r="AQ1219" s="1128"/>
      <c r="AR1219" s="1173"/>
      <c r="AT1219" s="1173"/>
      <c r="AV1219" s="1173"/>
      <c r="AX1219" s="1173"/>
      <c r="AY1219" s="1176"/>
      <c r="AZ1219" s="1173"/>
    </row>
    <row r="1220" spans="1:54" s="2" customFormat="1" x14ac:dyDescent="0.25">
      <c r="A1220" s="156">
        <v>1128</v>
      </c>
      <c r="B1220" s="172">
        <v>28</v>
      </c>
      <c r="C1220" s="159">
        <v>849116028</v>
      </c>
      <c r="D1220" s="158" t="s">
        <v>1709</v>
      </c>
      <c r="E1220" s="275" t="s">
        <v>1070</v>
      </c>
      <c r="F1220" s="317">
        <v>2016</v>
      </c>
      <c r="G1220" s="272" t="s">
        <v>33</v>
      </c>
      <c r="H1220" s="163">
        <f t="shared" si="405"/>
        <v>44083</v>
      </c>
      <c r="I1220" s="163">
        <f t="shared" si="406"/>
        <v>44186</v>
      </c>
      <c r="J1220" s="1636">
        <v>1350000</v>
      </c>
      <c r="K1220" s="1637">
        <v>42551</v>
      </c>
      <c r="L1220" s="1480">
        <v>3000000</v>
      </c>
      <c r="M1220" s="1637">
        <v>42551</v>
      </c>
      <c r="N1220" s="1480">
        <v>3000000</v>
      </c>
      <c r="O1220" s="1637">
        <v>42755</v>
      </c>
      <c r="P1220" s="1480">
        <v>3000000</v>
      </c>
      <c r="Q1220" s="1365">
        <v>42930</v>
      </c>
      <c r="R1220" s="1385">
        <v>3000000</v>
      </c>
      <c r="S1220" s="1357">
        <v>43115</v>
      </c>
      <c r="T1220" s="1431">
        <v>3000000</v>
      </c>
      <c r="U1220" s="1365">
        <v>43293</v>
      </c>
      <c r="V1220" s="1385">
        <v>3000000</v>
      </c>
      <c r="W1220" s="1357">
        <v>43483</v>
      </c>
      <c r="X1220" s="1385">
        <v>3000000</v>
      </c>
      <c r="Y1220" s="1357">
        <v>43644</v>
      </c>
      <c r="Z1220" s="1874">
        <v>3000000</v>
      </c>
      <c r="AA1220" s="1357">
        <v>43861</v>
      </c>
      <c r="AB1220" s="1480">
        <v>1000000</v>
      </c>
      <c r="AC1220" s="1357">
        <v>44039</v>
      </c>
      <c r="AD1220" s="1809">
        <v>500000</v>
      </c>
      <c r="AE1220" s="1440">
        <v>44092</v>
      </c>
      <c r="AF1220" s="1731"/>
      <c r="AG1220" s="1367"/>
      <c r="AH1220" s="1625" t="str">
        <f t="shared" si="414"/>
        <v>MPI-S2</v>
      </c>
      <c r="AI1220" s="1678">
        <f t="shared" si="424"/>
        <v>26850000</v>
      </c>
      <c r="AJ1220" s="1679">
        <f t="shared" si="421"/>
        <v>26850000</v>
      </c>
      <c r="AK1220" s="1419">
        <f t="shared" si="425"/>
        <v>0</v>
      </c>
      <c r="AL1220" s="1420" t="str">
        <f t="shared" si="426"/>
        <v>Lunas</v>
      </c>
      <c r="AM1220" s="1410"/>
      <c r="AN1220" s="1411"/>
      <c r="AO1220" s="1410"/>
      <c r="AP1220" s="1411"/>
      <c r="AQ1220" s="1128"/>
      <c r="AR1220" s="1173"/>
      <c r="AT1220" s="1173"/>
      <c r="AV1220" s="1173"/>
      <c r="AX1220" s="1173"/>
      <c r="AY1220" s="1176"/>
      <c r="AZ1220" s="1173"/>
    </row>
    <row r="1221" spans="1:54" s="2" customFormat="1" x14ac:dyDescent="0.25">
      <c r="A1221" s="156">
        <v>1129</v>
      </c>
      <c r="B1221" s="172">
        <v>29</v>
      </c>
      <c r="C1221" s="159">
        <v>849116029</v>
      </c>
      <c r="D1221" s="158" t="s">
        <v>1710</v>
      </c>
      <c r="E1221" s="275" t="s">
        <v>1070</v>
      </c>
      <c r="F1221" s="317">
        <v>2016</v>
      </c>
      <c r="G1221" s="272" t="s">
        <v>33</v>
      </c>
      <c r="H1221" s="163">
        <f t="shared" si="405"/>
        <v>44083</v>
      </c>
      <c r="I1221" s="163">
        <f t="shared" si="406"/>
        <v>44186</v>
      </c>
      <c r="J1221" s="1636">
        <v>1350000</v>
      </c>
      <c r="K1221" s="1637">
        <v>42550</v>
      </c>
      <c r="L1221" s="1480">
        <v>3000000</v>
      </c>
      <c r="M1221" s="1637">
        <v>42550</v>
      </c>
      <c r="N1221" s="1480">
        <v>3000000</v>
      </c>
      <c r="O1221" s="1637">
        <v>42761</v>
      </c>
      <c r="P1221" s="1480">
        <v>3000000</v>
      </c>
      <c r="Q1221" s="1365">
        <v>42930</v>
      </c>
      <c r="R1221" s="1385">
        <v>3000000</v>
      </c>
      <c r="S1221" s="1357">
        <v>43116</v>
      </c>
      <c r="T1221" s="1431">
        <v>3000000</v>
      </c>
      <c r="U1221" s="1365">
        <v>43294</v>
      </c>
      <c r="V1221" s="1385">
        <v>3000000</v>
      </c>
      <c r="W1221" s="1357">
        <v>43779</v>
      </c>
      <c r="X1221" s="1385">
        <v>3000000</v>
      </c>
      <c r="Y1221" s="1357">
        <v>43779</v>
      </c>
      <c r="Z1221" s="1874">
        <v>3000000</v>
      </c>
      <c r="AA1221" s="1357">
        <v>43861</v>
      </c>
      <c r="AB1221" s="1480">
        <v>1000000</v>
      </c>
      <c r="AC1221" s="1357">
        <v>44053.5464699074</v>
      </c>
      <c r="AD1221" s="1809">
        <v>500000</v>
      </c>
      <c r="AE1221" s="1440">
        <v>44092</v>
      </c>
      <c r="AF1221" s="1731"/>
      <c r="AG1221" s="1367"/>
      <c r="AH1221" s="1625" t="str">
        <f t="shared" si="414"/>
        <v>MPI-S2</v>
      </c>
      <c r="AI1221" s="1678">
        <f t="shared" si="424"/>
        <v>26850000</v>
      </c>
      <c r="AJ1221" s="1679">
        <f t="shared" si="421"/>
        <v>26850000</v>
      </c>
      <c r="AK1221" s="1419">
        <f t="shared" si="425"/>
        <v>0</v>
      </c>
      <c r="AL1221" s="1420" t="str">
        <f t="shared" si="426"/>
        <v>Lunas</v>
      </c>
      <c r="AM1221" s="1410"/>
      <c r="AN1221" s="1411"/>
      <c r="AO1221" s="1410"/>
      <c r="AP1221" s="1411"/>
      <c r="AQ1221" s="1128"/>
      <c r="AR1221" s="1173"/>
      <c r="AT1221" s="1173"/>
      <c r="AV1221" s="1173"/>
      <c r="AX1221" s="1173"/>
      <c r="AY1221" s="1176"/>
      <c r="AZ1221" s="1173"/>
    </row>
    <row r="1222" spans="1:54" s="2" customFormat="1" x14ac:dyDescent="0.25">
      <c r="A1222" s="164">
        <v>1130</v>
      </c>
      <c r="B1222" s="343">
        <v>30</v>
      </c>
      <c r="C1222" s="263">
        <v>849116030</v>
      </c>
      <c r="D1222" s="173" t="s">
        <v>158</v>
      </c>
      <c r="E1222" s="168" t="s">
        <v>1070</v>
      </c>
      <c r="F1222" s="169">
        <v>2016</v>
      </c>
      <c r="G1222" s="1758" t="s">
        <v>28</v>
      </c>
      <c r="H1222" s="265" t="str">
        <f t="shared" si="405"/>
        <v xml:space="preserve">   </v>
      </c>
      <c r="I1222" s="265" t="str">
        <f t="shared" si="406"/>
        <v xml:space="preserve">   </v>
      </c>
      <c r="J1222" s="1635">
        <v>1350000</v>
      </c>
      <c r="K1222" s="1500">
        <v>42570</v>
      </c>
      <c r="L1222" s="1389">
        <v>3000000</v>
      </c>
      <c r="M1222" s="1500">
        <v>42570</v>
      </c>
      <c r="N1222" s="1714">
        <v>3000000</v>
      </c>
      <c r="O1222" s="1503">
        <v>42936</v>
      </c>
      <c r="P1222" s="1714">
        <v>0</v>
      </c>
      <c r="Q1222" s="1360"/>
      <c r="R1222" s="1714">
        <v>0</v>
      </c>
      <c r="S1222" s="1367"/>
      <c r="T1222" s="1363">
        <v>0</v>
      </c>
      <c r="U1222" s="1360"/>
      <c r="V1222" s="1714">
        <v>0</v>
      </c>
      <c r="W1222" s="1367"/>
      <c r="X1222" s="1714">
        <v>0</v>
      </c>
      <c r="Y1222" s="1367"/>
      <c r="Z1222" s="1731">
        <v>0</v>
      </c>
      <c r="AA1222" s="1367"/>
      <c r="AB1222" s="1389">
        <v>0</v>
      </c>
      <c r="AC1222" s="1367"/>
      <c r="AD1222" s="1666" t="str">
        <f t="shared" ref="AD1222:AD1228" si="433">IFERROR(VLOOKUP(C1222,BSP,3,FALSE),"  ")</f>
        <v xml:space="preserve">  </v>
      </c>
      <c r="AE1222" s="1590" t="str">
        <f t="shared" ref="AE1222:AE1228" si="434">IFERROR((VLOOKUP(C1222,BSP,4,FALSE)),"  ")</f>
        <v xml:space="preserve">  </v>
      </c>
      <c r="AF1222" s="1731" t="str">
        <f>IFERROR(VLOOKUP(C1222,BSP,3,FALSE),"  ")</f>
        <v xml:space="preserve">  </v>
      </c>
      <c r="AG1222" s="1367" t="str">
        <f>IFERROR((VLOOKUP(C1222,BSP,4,FALSE)),"  ")</f>
        <v xml:space="preserve">  </v>
      </c>
      <c r="AH1222" s="1625" t="str">
        <f t="shared" si="414"/>
        <v>MPI-S2</v>
      </c>
      <c r="AI1222" s="1678">
        <f t="shared" si="424"/>
        <v>7350000</v>
      </c>
      <c r="AJ1222" s="1679">
        <f t="shared" si="421"/>
        <v>26350000</v>
      </c>
      <c r="AK1222" s="1419">
        <f t="shared" si="425"/>
        <v>19000000</v>
      </c>
      <c r="AL1222" s="1420" t="str">
        <f t="shared" si="426"/>
        <v>Cek</v>
      </c>
      <c r="AM1222" s="1410"/>
      <c r="AN1222" s="1411"/>
      <c r="AO1222" s="1410"/>
      <c r="AP1222" s="1411"/>
      <c r="AQ1222" s="1128"/>
      <c r="AR1222" s="1173"/>
      <c r="AT1222" s="1173"/>
      <c r="AV1222" s="1173"/>
      <c r="AX1222" s="1173"/>
      <c r="AY1222" s="1176"/>
      <c r="AZ1222" s="1173"/>
    </row>
    <row r="1223" spans="1:54" s="2" customFormat="1" x14ac:dyDescent="0.25">
      <c r="A1223" s="164">
        <v>1131</v>
      </c>
      <c r="B1223" s="343">
        <v>31</v>
      </c>
      <c r="C1223" s="263">
        <v>849116031</v>
      </c>
      <c r="D1223" s="173" t="s">
        <v>1711</v>
      </c>
      <c r="E1223" s="449" t="s">
        <v>1070</v>
      </c>
      <c r="F1223" s="169">
        <v>2016</v>
      </c>
      <c r="G1223" s="1758" t="s">
        <v>28</v>
      </c>
      <c r="H1223" s="265" t="str">
        <f t="shared" si="405"/>
        <v xml:space="preserve">   </v>
      </c>
      <c r="I1223" s="265" t="str">
        <f t="shared" si="406"/>
        <v xml:space="preserve">   </v>
      </c>
      <c r="J1223" s="1635">
        <v>1350000</v>
      </c>
      <c r="K1223" s="1500">
        <v>42541</v>
      </c>
      <c r="L1223" s="1389">
        <v>3000000</v>
      </c>
      <c r="M1223" s="1500">
        <v>42541</v>
      </c>
      <c r="N1223" s="1775">
        <v>3000000</v>
      </c>
      <c r="O1223" s="1503">
        <v>42762</v>
      </c>
      <c r="P1223" s="1389">
        <v>3000000</v>
      </c>
      <c r="Q1223" s="1360">
        <v>42930</v>
      </c>
      <c r="R1223" s="1522">
        <v>3000000</v>
      </c>
      <c r="S1223" s="1523">
        <v>43112</v>
      </c>
      <c r="T1223" s="1430">
        <v>3000000</v>
      </c>
      <c r="U1223" s="1360">
        <v>43292</v>
      </c>
      <c r="V1223" s="1714">
        <v>0</v>
      </c>
      <c r="W1223" s="1367"/>
      <c r="X1223" s="1714">
        <v>3000000</v>
      </c>
      <c r="Y1223" s="1367">
        <v>43644</v>
      </c>
      <c r="Z1223" s="1731">
        <v>0</v>
      </c>
      <c r="AA1223" s="1367"/>
      <c r="AB1223" s="1389">
        <v>0</v>
      </c>
      <c r="AC1223" s="1367"/>
      <c r="AD1223" s="1666" t="str">
        <f t="shared" si="433"/>
        <v xml:space="preserve">  </v>
      </c>
      <c r="AE1223" s="1590" t="str">
        <f t="shared" si="434"/>
        <v xml:space="preserve">  </v>
      </c>
      <c r="AF1223" s="1731" t="str">
        <f>IFERROR(VLOOKUP(C1223,BSP,3,FALSE),"  ")</f>
        <v xml:space="preserve">  </v>
      </c>
      <c r="AG1223" s="1367" t="str">
        <f>IFERROR((VLOOKUP(C1223,BSP,4,FALSE)),"  ")</f>
        <v xml:space="preserve">  </v>
      </c>
      <c r="AH1223" s="1625" t="str">
        <f t="shared" si="414"/>
        <v>MPI-S2</v>
      </c>
      <c r="AI1223" s="1678">
        <f t="shared" si="424"/>
        <v>19350000</v>
      </c>
      <c r="AJ1223" s="1679">
        <f t="shared" si="421"/>
        <v>26350000</v>
      </c>
      <c r="AK1223" s="1419">
        <f t="shared" si="425"/>
        <v>7000000</v>
      </c>
      <c r="AL1223" s="1420" t="str">
        <f t="shared" si="426"/>
        <v>Cek</v>
      </c>
      <c r="AM1223" s="1410"/>
      <c r="AN1223" s="1411"/>
      <c r="AO1223" s="1410"/>
      <c r="AP1223" s="1411"/>
      <c r="AQ1223" s="1128"/>
      <c r="AR1223" s="1173"/>
      <c r="AT1223" s="1173"/>
      <c r="AV1223" s="1173"/>
      <c r="AX1223" s="1173"/>
      <c r="AY1223" s="1176"/>
      <c r="AZ1223" s="1173"/>
    </row>
    <row r="1224" spans="1:54" s="2" customFormat="1" x14ac:dyDescent="0.25">
      <c r="A1224" s="156">
        <v>1132</v>
      </c>
      <c r="B1224" s="172">
        <v>32</v>
      </c>
      <c r="C1224" s="159">
        <v>849116032</v>
      </c>
      <c r="D1224" s="158" t="s">
        <v>1712</v>
      </c>
      <c r="E1224" s="275" t="s">
        <v>1070</v>
      </c>
      <c r="F1224" s="317">
        <v>2016</v>
      </c>
      <c r="G1224" s="272" t="s">
        <v>33</v>
      </c>
      <c r="H1224" s="163">
        <f t="shared" si="405"/>
        <v>43635</v>
      </c>
      <c r="I1224" s="163">
        <f t="shared" si="406"/>
        <v>43705</v>
      </c>
      <c r="J1224" s="1636">
        <v>1350000</v>
      </c>
      <c r="K1224" s="1637">
        <v>42541</v>
      </c>
      <c r="L1224" s="1480">
        <v>3000000</v>
      </c>
      <c r="M1224" s="1637">
        <v>42541</v>
      </c>
      <c r="N1224" s="1480">
        <v>3000000</v>
      </c>
      <c r="O1224" s="1637">
        <v>42755</v>
      </c>
      <c r="P1224" s="1480">
        <v>3000000</v>
      </c>
      <c r="Q1224" s="1365">
        <v>42930</v>
      </c>
      <c r="R1224" s="1385">
        <v>3000000</v>
      </c>
      <c r="S1224" s="1357">
        <v>43108</v>
      </c>
      <c r="T1224" s="1192" t="s">
        <v>1078</v>
      </c>
      <c r="U1224" s="1360">
        <v>43285</v>
      </c>
      <c r="V1224" s="1385">
        <v>3000000</v>
      </c>
      <c r="W1224" s="1357">
        <v>43493</v>
      </c>
      <c r="X1224" s="1714"/>
      <c r="Y1224" s="1563"/>
      <c r="Z1224" s="1714"/>
      <c r="AA1224" s="1563"/>
      <c r="AB1224" s="1480">
        <v>1000000</v>
      </c>
      <c r="AC1224" s="1357">
        <v>43587</v>
      </c>
      <c r="AD1224" s="1666" t="str">
        <f t="shared" si="433"/>
        <v xml:space="preserve">  </v>
      </c>
      <c r="AE1224" s="1590" t="str">
        <f t="shared" si="434"/>
        <v xml:space="preserve">  </v>
      </c>
      <c r="AF1224" s="2300" t="s">
        <v>1329</v>
      </c>
      <c r="AG1224" s="1612"/>
      <c r="AH1224" s="1625" t="str">
        <f t="shared" si="414"/>
        <v>MPI-S2</v>
      </c>
      <c r="AI1224" s="1678">
        <f t="shared" si="424"/>
        <v>17350000</v>
      </c>
      <c r="AJ1224" s="1679">
        <f t="shared" si="421"/>
        <v>17350000</v>
      </c>
      <c r="AK1224" s="1419">
        <f t="shared" si="425"/>
        <v>0</v>
      </c>
      <c r="AL1224" s="1420" t="str">
        <f t="shared" si="426"/>
        <v>Lunas</v>
      </c>
      <c r="AM1224" s="1410"/>
      <c r="AN1224" s="1411"/>
      <c r="AO1224" s="1410"/>
      <c r="AP1224" s="1411"/>
      <c r="AQ1224" s="1128"/>
      <c r="AR1224" s="1173"/>
      <c r="AT1224" s="1173"/>
      <c r="AV1224" s="1173"/>
      <c r="AX1224" s="1173"/>
      <c r="AY1224" s="1176"/>
      <c r="AZ1224" s="1173"/>
    </row>
    <row r="1225" spans="1:54" s="2" customFormat="1" x14ac:dyDescent="0.25">
      <c r="A1225" s="156">
        <v>1133</v>
      </c>
      <c r="B1225" s="172">
        <v>33</v>
      </c>
      <c r="C1225" s="159">
        <v>849116033</v>
      </c>
      <c r="D1225" s="158" t="s">
        <v>1713</v>
      </c>
      <c r="E1225" s="179" t="s">
        <v>1070</v>
      </c>
      <c r="F1225" s="161">
        <v>2016</v>
      </c>
      <c r="G1225" s="272" t="s">
        <v>33</v>
      </c>
      <c r="H1225" s="163">
        <f t="shared" si="405"/>
        <v>43116</v>
      </c>
      <c r="I1225" s="163">
        <f t="shared" si="406"/>
        <v>43587</v>
      </c>
      <c r="J1225" s="1636">
        <v>1350000</v>
      </c>
      <c r="K1225" s="1383">
        <v>42488</v>
      </c>
      <c r="L1225" s="1385">
        <v>3000000</v>
      </c>
      <c r="M1225" s="1383">
        <v>42488</v>
      </c>
      <c r="N1225" s="1480">
        <v>3000000</v>
      </c>
      <c r="O1225" s="1637">
        <v>42748</v>
      </c>
      <c r="P1225" s="1480">
        <v>3000000</v>
      </c>
      <c r="Q1225" s="1365">
        <v>42930</v>
      </c>
      <c r="R1225" s="1385">
        <v>3000000</v>
      </c>
      <c r="S1225" s="1357">
        <v>43112</v>
      </c>
      <c r="T1225" s="1431">
        <v>3000000</v>
      </c>
      <c r="U1225" s="1365">
        <v>43293</v>
      </c>
      <c r="V1225" s="1465" t="s">
        <v>1080</v>
      </c>
      <c r="W1225" s="1384"/>
      <c r="X1225" s="1363"/>
      <c r="Y1225" s="1391"/>
      <c r="Z1225" s="1363"/>
      <c r="AA1225" s="1563"/>
      <c r="AB1225" s="1480">
        <v>1000000</v>
      </c>
      <c r="AC1225" s="1357">
        <v>43455</v>
      </c>
      <c r="AD1225" s="1666" t="str">
        <f t="shared" si="433"/>
        <v xml:space="preserve">  </v>
      </c>
      <c r="AE1225" s="1590" t="str">
        <f t="shared" si="434"/>
        <v xml:space="preserve">  </v>
      </c>
      <c r="AF1225" s="2300" t="s">
        <v>1329</v>
      </c>
      <c r="AG1225" s="1612"/>
      <c r="AH1225" s="1625" t="str">
        <f t="shared" si="414"/>
        <v>MPI-S2</v>
      </c>
      <c r="AI1225" s="1678">
        <f t="shared" si="424"/>
        <v>17350000</v>
      </c>
      <c r="AJ1225" s="1679">
        <f t="shared" si="421"/>
        <v>17350000</v>
      </c>
      <c r="AK1225" s="1419">
        <f t="shared" si="425"/>
        <v>0</v>
      </c>
      <c r="AL1225" s="1420" t="str">
        <f t="shared" si="426"/>
        <v>Lunas</v>
      </c>
      <c r="AM1225" s="1410"/>
      <c r="AN1225" s="1411"/>
      <c r="AO1225" s="1410"/>
      <c r="AP1225" s="1411"/>
      <c r="AQ1225" s="1128"/>
      <c r="AR1225" s="1173"/>
      <c r="AT1225" s="1173"/>
      <c r="AV1225" s="1173"/>
      <c r="AX1225" s="1173"/>
      <c r="AY1225" s="1176"/>
      <c r="AZ1225" s="1173"/>
    </row>
    <row r="1226" spans="1:54" s="2" customFormat="1" x14ac:dyDescent="0.25">
      <c r="A1226" s="156">
        <v>1134</v>
      </c>
      <c r="B1226" s="172">
        <v>34</v>
      </c>
      <c r="C1226" s="159">
        <v>849116034</v>
      </c>
      <c r="D1226" s="158" t="s">
        <v>1714</v>
      </c>
      <c r="E1226" s="179" t="s">
        <v>1070</v>
      </c>
      <c r="F1226" s="161">
        <v>2016</v>
      </c>
      <c r="G1226" s="162" t="s">
        <v>33</v>
      </c>
      <c r="H1226" s="163">
        <f t="shared" si="405"/>
        <v>43475</v>
      </c>
      <c r="I1226" s="163">
        <f t="shared" si="406"/>
        <v>43587</v>
      </c>
      <c r="J1226" s="1636">
        <v>1350000</v>
      </c>
      <c r="K1226" s="1383">
        <v>42586</v>
      </c>
      <c r="L1226" s="1385">
        <v>3000000</v>
      </c>
      <c r="M1226" s="1383">
        <v>42586</v>
      </c>
      <c r="N1226" s="1480">
        <v>3000000</v>
      </c>
      <c r="O1226" s="1637">
        <v>42766</v>
      </c>
      <c r="P1226" s="1480">
        <v>3000000</v>
      </c>
      <c r="Q1226" s="1365">
        <v>42935</v>
      </c>
      <c r="R1226" s="1385">
        <v>3000000</v>
      </c>
      <c r="S1226" s="1357">
        <v>43116</v>
      </c>
      <c r="T1226" s="1431">
        <v>3000000</v>
      </c>
      <c r="U1226" s="1365">
        <v>43291</v>
      </c>
      <c r="V1226" s="1465" t="s">
        <v>1080</v>
      </c>
      <c r="W1226" s="1384"/>
      <c r="X1226" s="1363"/>
      <c r="Y1226" s="1391"/>
      <c r="Z1226" s="1363"/>
      <c r="AA1226" s="1563"/>
      <c r="AB1226" s="1480">
        <v>1000000</v>
      </c>
      <c r="AC1226" s="1357">
        <v>43454</v>
      </c>
      <c r="AD1226" s="1666" t="str">
        <f t="shared" si="433"/>
        <v xml:space="preserve">  </v>
      </c>
      <c r="AE1226" s="1590" t="str">
        <f t="shared" si="434"/>
        <v xml:space="preserve">  </v>
      </c>
      <c r="AF1226" s="2300" t="s">
        <v>1329</v>
      </c>
      <c r="AG1226" s="1612"/>
      <c r="AH1226" s="1625" t="str">
        <f t="shared" si="414"/>
        <v>MPI-S2</v>
      </c>
      <c r="AI1226" s="1678">
        <f t="shared" si="424"/>
        <v>17350000</v>
      </c>
      <c r="AJ1226" s="1679">
        <f t="shared" si="421"/>
        <v>17350000</v>
      </c>
      <c r="AK1226" s="1419">
        <f t="shared" si="425"/>
        <v>0</v>
      </c>
      <c r="AL1226" s="1420" t="str">
        <f t="shared" si="426"/>
        <v>Lunas</v>
      </c>
      <c r="AM1226" s="1410"/>
      <c r="AN1226" s="1411"/>
      <c r="AO1226" s="1410"/>
      <c r="AP1226" s="1411"/>
      <c r="AQ1226" s="1128"/>
      <c r="AR1226" s="1173"/>
      <c r="AT1226" s="1173"/>
      <c r="AV1226" s="1173"/>
      <c r="AX1226" s="1173"/>
      <c r="AY1226" s="1176"/>
      <c r="AZ1226" s="1173"/>
    </row>
    <row r="1227" spans="1:54" s="2" customFormat="1" x14ac:dyDescent="0.25">
      <c r="A1227" s="234">
        <v>1135</v>
      </c>
      <c r="B1227" s="347">
        <v>35</v>
      </c>
      <c r="C1227" s="236">
        <v>849116035</v>
      </c>
      <c r="D1227" s="233" t="s">
        <v>1715</v>
      </c>
      <c r="E1227" s="237" t="s">
        <v>1070</v>
      </c>
      <c r="F1227" s="238">
        <v>2016</v>
      </c>
      <c r="G1227" s="214" t="s">
        <v>1077</v>
      </c>
      <c r="H1227" s="239" t="str">
        <f t="shared" si="405"/>
        <v xml:space="preserve">   </v>
      </c>
      <c r="I1227" s="239" t="str">
        <f t="shared" si="406"/>
        <v xml:space="preserve">   </v>
      </c>
      <c r="J1227" s="1711" t="s">
        <v>1162</v>
      </c>
      <c r="K1227" s="1367"/>
      <c r="L1227" s="1714"/>
      <c r="M1227" s="1563"/>
      <c r="N1227" s="1714"/>
      <c r="O1227" s="1563"/>
      <c r="P1227" s="1714"/>
      <c r="Q1227" s="1563"/>
      <c r="R1227" s="1714"/>
      <c r="S1227" s="1563"/>
      <c r="T1227" s="1363"/>
      <c r="U1227" s="1563"/>
      <c r="V1227" s="1714"/>
      <c r="W1227" s="1563"/>
      <c r="X1227" s="1714"/>
      <c r="Y1227" s="1563"/>
      <c r="Z1227" s="1714"/>
      <c r="AA1227" s="1563"/>
      <c r="AB1227" s="1714"/>
      <c r="AC1227" s="1367"/>
      <c r="AD1227" s="1666" t="str">
        <f t="shared" si="433"/>
        <v xml:space="preserve">  </v>
      </c>
      <c r="AE1227" s="1590" t="str">
        <f t="shared" si="434"/>
        <v xml:space="preserve">  </v>
      </c>
      <c r="AF1227" s="2300" t="s">
        <v>1329</v>
      </c>
      <c r="AG1227" s="1612"/>
      <c r="AH1227" s="1625" t="str">
        <f t="shared" si="414"/>
        <v>MPI-S2</v>
      </c>
      <c r="AI1227" s="1688">
        <f t="shared" si="424"/>
        <v>0</v>
      </c>
      <c r="AJ1227" s="1685">
        <f t="shared" si="421"/>
        <v>0</v>
      </c>
      <c r="AK1227" s="1686">
        <f t="shared" si="425"/>
        <v>0</v>
      </c>
      <c r="AL1227" s="1687" t="s">
        <v>1334</v>
      </c>
      <c r="AM1227" s="1410"/>
      <c r="AN1227" s="1411"/>
      <c r="AO1227" s="1410"/>
      <c r="AP1227" s="1411"/>
      <c r="AQ1227" s="1128"/>
      <c r="AR1227" s="1173"/>
      <c r="AT1227" s="1173"/>
      <c r="AV1227" s="1173"/>
      <c r="AX1227" s="1173"/>
      <c r="AY1227" s="1176"/>
      <c r="AZ1227" s="1173"/>
    </row>
    <row r="1228" spans="1:54" s="2" customFormat="1" x14ac:dyDescent="0.25">
      <c r="A1228" s="156">
        <v>1136</v>
      </c>
      <c r="B1228" s="172">
        <v>36</v>
      </c>
      <c r="C1228" s="159">
        <v>849116036</v>
      </c>
      <c r="D1228" s="158" t="s">
        <v>1716</v>
      </c>
      <c r="E1228" s="179" t="s">
        <v>1070</v>
      </c>
      <c r="F1228" s="161">
        <v>2016</v>
      </c>
      <c r="G1228" s="162" t="s">
        <v>33</v>
      </c>
      <c r="H1228" s="163">
        <f t="shared" si="405"/>
        <v>43398</v>
      </c>
      <c r="I1228" s="163">
        <f t="shared" si="406"/>
        <v>43440</v>
      </c>
      <c r="J1228" s="1443">
        <v>1350000</v>
      </c>
      <c r="K1228" s="1383">
        <v>42481</v>
      </c>
      <c r="L1228" s="1443">
        <v>3000000</v>
      </c>
      <c r="M1228" s="1383">
        <v>42481</v>
      </c>
      <c r="N1228" s="1385">
        <v>3000000</v>
      </c>
      <c r="O1228" s="1383">
        <v>42754</v>
      </c>
      <c r="P1228" s="1385">
        <v>3000000</v>
      </c>
      <c r="Q1228" s="1357">
        <v>42930</v>
      </c>
      <c r="R1228" s="1385">
        <v>3000000</v>
      </c>
      <c r="S1228" s="1357">
        <v>43111</v>
      </c>
      <c r="T1228" s="1358">
        <v>3000000</v>
      </c>
      <c r="U1228" s="1357">
        <v>43389</v>
      </c>
      <c r="V1228" s="1465" t="s">
        <v>1080</v>
      </c>
      <c r="W1228" s="1384"/>
      <c r="X1228" s="1363"/>
      <c r="Y1228" s="1391"/>
      <c r="Z1228" s="1363"/>
      <c r="AA1228" s="1563"/>
      <c r="AB1228" s="1385">
        <v>1000000</v>
      </c>
      <c r="AC1228" s="1357">
        <v>43242</v>
      </c>
      <c r="AD1228" s="1666" t="str">
        <f t="shared" si="433"/>
        <v xml:space="preserve">  </v>
      </c>
      <c r="AE1228" s="1590" t="str">
        <f t="shared" si="434"/>
        <v xml:space="preserve">  </v>
      </c>
      <c r="AF1228" s="2300" t="s">
        <v>1329</v>
      </c>
      <c r="AG1228" s="1612"/>
      <c r="AH1228" s="1625" t="str">
        <f t="shared" si="414"/>
        <v>MPI-S2</v>
      </c>
      <c r="AI1228" s="1678">
        <f t="shared" ref="AI1228" si="435">SUM(J1228,L1228,N1228,P1228,R1228,T1228,V1228,X1228,Z1228,AB1228,AD1228,AF1228)</f>
        <v>17350000</v>
      </c>
      <c r="AJ1228" s="1679">
        <f t="shared" si="421"/>
        <v>17350000</v>
      </c>
      <c r="AK1228" s="1419">
        <f t="shared" ref="AK1228" si="436">AJ1228-AI1228</f>
        <v>0</v>
      </c>
      <c r="AL1228" s="1420" t="str">
        <f t="shared" ref="AL1228" si="437">IF(AK1228=0,"Lunas","Cek")</f>
        <v>Lunas</v>
      </c>
      <c r="AM1228" s="1410"/>
      <c r="AN1228" s="1411"/>
      <c r="AO1228" s="1410"/>
      <c r="AP1228" s="1411"/>
      <c r="AQ1228" s="1128"/>
      <c r="AR1228" s="1173"/>
      <c r="AT1228" s="1173"/>
      <c r="AV1228" s="1173"/>
      <c r="AX1228" s="1173"/>
      <c r="AY1228" s="1176"/>
      <c r="AZ1228" s="1173"/>
    </row>
    <row r="1229" spans="1:54" s="2" customFormat="1" x14ac:dyDescent="0.25">
      <c r="A1229" s="223"/>
      <c r="B1229" s="224"/>
      <c r="C1229" s="471"/>
      <c r="D1229" s="225"/>
      <c r="E1229" s="227" t="s">
        <v>61</v>
      </c>
      <c r="F1229" s="228" t="s">
        <v>61</v>
      </c>
      <c r="G1229" s="192" t="s">
        <v>61</v>
      </c>
      <c r="H1229" s="36" t="str">
        <f t="shared" si="405"/>
        <v xml:space="preserve">   </v>
      </c>
      <c r="I1229" s="36" t="str">
        <f t="shared" si="406"/>
        <v xml:space="preserve">   </v>
      </c>
      <c r="J1229" s="223"/>
      <c r="K1229" s="1127"/>
      <c r="L1229" s="1769"/>
      <c r="M1229" s="1770"/>
      <c r="N1229" s="1769"/>
      <c r="O1229" s="1770"/>
      <c r="P1229" s="1769"/>
      <c r="Q1229" s="1770"/>
      <c r="R1229" s="1769"/>
      <c r="S1229" s="1783"/>
      <c r="T1229" s="1437"/>
      <c r="U1229" s="1770"/>
      <c r="V1229" s="1437"/>
      <c r="W1229" s="1770"/>
      <c r="X1229" s="1437"/>
      <c r="Y1229" s="1770"/>
      <c r="Z1229" s="1437"/>
      <c r="AA1229" s="1770"/>
      <c r="AB1229" s="1437"/>
      <c r="AC1229" s="1770"/>
      <c r="AD1229" s="414"/>
      <c r="AE1229" s="1629"/>
      <c r="AF1229" s="414"/>
      <c r="AG1229" s="1629"/>
      <c r="AH1229" s="1827" t="str">
        <f t="shared" si="414"/>
        <v>-</v>
      </c>
      <c r="AI1229" s="414"/>
      <c r="AJ1229" s="1409"/>
      <c r="AK1229" s="1409"/>
      <c r="AL1229" s="1513"/>
      <c r="AM1229" s="1513"/>
      <c r="AN1229" s="1514"/>
      <c r="AO1229" s="1513"/>
      <c r="AP1229" s="1514"/>
      <c r="AQ1229" s="1857"/>
      <c r="AR1229" s="1858"/>
      <c r="AS1229" s="1859"/>
      <c r="AT1229" s="1860"/>
      <c r="AU1229" s="1861"/>
      <c r="AV1229" s="1862"/>
      <c r="AW1229" s="1898"/>
      <c r="AX1229" s="1899"/>
      <c r="AY1229" s="1900"/>
      <c r="AZ1229" s="1901"/>
    </row>
    <row r="1230" spans="1:54" s="2" customFormat="1" x14ac:dyDescent="0.25">
      <c r="A1230" s="497" t="s">
        <v>1717</v>
      </c>
      <c r="B1230" s="497"/>
      <c r="C1230" s="2006"/>
      <c r="D1230" s="497"/>
      <c r="E1230" s="499" t="s">
        <v>1096</v>
      </c>
      <c r="F1230" s="500" t="s">
        <v>1096</v>
      </c>
      <c r="G1230" s="192" t="s">
        <v>61</v>
      </c>
      <c r="H1230" s="439" t="str">
        <f t="shared" si="405"/>
        <v xml:space="preserve">   </v>
      </c>
      <c r="I1230" s="439" t="str">
        <f t="shared" si="406"/>
        <v xml:space="preserve">   </v>
      </c>
      <c r="J1230" s="1349">
        <v>0</v>
      </c>
      <c r="K1230" s="1529"/>
      <c r="L1230" s="1450">
        <v>6000000</v>
      </c>
      <c r="M1230" s="1438" t="s">
        <v>1062</v>
      </c>
      <c r="N1230" s="2016"/>
      <c r="O1230" s="1438" t="s">
        <v>1064</v>
      </c>
      <c r="P1230" s="2016"/>
      <c r="Q1230" s="1438" t="s">
        <v>1066</v>
      </c>
      <c r="R1230" s="2016"/>
      <c r="S1230" s="1438" t="s">
        <v>1068</v>
      </c>
      <c r="T1230" s="2016"/>
      <c r="U1230" s="1438" t="s">
        <v>1141</v>
      </c>
      <c r="V1230" s="2016"/>
      <c r="W1230" s="1438" t="s">
        <v>1325</v>
      </c>
      <c r="X1230" s="1771" t="s">
        <v>1061</v>
      </c>
      <c r="Y1230" s="1438" t="s">
        <v>1463</v>
      </c>
      <c r="Z1230" s="1771" t="s">
        <v>1063</v>
      </c>
      <c r="AA1230" s="1438" t="s">
        <v>1464</v>
      </c>
      <c r="AB1230" s="1813" t="s">
        <v>1065</v>
      </c>
      <c r="AC1230" s="1814" t="s">
        <v>1466</v>
      </c>
      <c r="AD1230" s="1815" t="s">
        <v>1067</v>
      </c>
      <c r="AE1230" s="1814" t="s">
        <v>1468</v>
      </c>
      <c r="AF1230" s="1815" t="s">
        <v>1465</v>
      </c>
      <c r="AG1230" s="1814" t="s">
        <v>1470</v>
      </c>
      <c r="AH1230" s="1828" t="str">
        <f t="shared" si="414"/>
        <v>#</v>
      </c>
      <c r="AI1230" s="1512"/>
      <c r="AJ1230" s="1409"/>
      <c r="AK1230" s="1409"/>
      <c r="AL1230" s="1513"/>
      <c r="AM1230" s="1815" t="s">
        <v>1467</v>
      </c>
      <c r="AN1230" s="1814" t="s">
        <v>1718</v>
      </c>
      <c r="AO1230" s="1815" t="s">
        <v>1469</v>
      </c>
      <c r="AP1230" s="1814" t="s">
        <v>1719</v>
      </c>
      <c r="AQ1230" s="1450" t="s">
        <v>1471</v>
      </c>
      <c r="AR1230" s="1863">
        <v>2000000</v>
      </c>
      <c r="AS1230" s="1450" t="s">
        <v>1472</v>
      </c>
      <c r="AT1230" s="1863">
        <v>1500000</v>
      </c>
      <c r="AU1230" s="1450" t="s">
        <v>1473</v>
      </c>
      <c r="AV1230" s="1863">
        <v>2000000</v>
      </c>
      <c r="AW1230" s="1450" t="s">
        <v>1474</v>
      </c>
      <c r="AX1230" s="1863">
        <v>4000000</v>
      </c>
      <c r="AY1230" s="1450" t="s">
        <v>1475</v>
      </c>
      <c r="AZ1230" s="1863">
        <v>10000000</v>
      </c>
      <c r="BA1230" s="1450" t="s">
        <v>22</v>
      </c>
      <c r="BB1230" s="1902">
        <v>500000</v>
      </c>
    </row>
    <row r="1231" spans="1:54" s="2" customFormat="1" x14ac:dyDescent="0.25">
      <c r="A1231" s="457">
        <v>1137</v>
      </c>
      <c r="B1231" s="501">
        <v>1</v>
      </c>
      <c r="C1231" s="503">
        <v>841916001</v>
      </c>
      <c r="D1231" s="502" t="s">
        <v>1720</v>
      </c>
      <c r="E1231" s="504" t="s">
        <v>1506</v>
      </c>
      <c r="F1231" s="505">
        <v>2016</v>
      </c>
      <c r="G1231" s="2007" t="s">
        <v>28</v>
      </c>
      <c r="H1231" s="507" t="str">
        <f t="shared" si="405"/>
        <v xml:space="preserve">   </v>
      </c>
      <c r="I1231" s="507" t="str">
        <f t="shared" si="406"/>
        <v xml:space="preserve">   </v>
      </c>
      <c r="J1231" s="1558"/>
      <c r="K1231" s="1542"/>
      <c r="L1231" s="2017"/>
      <c r="M1231" s="1709" t="s">
        <v>475</v>
      </c>
      <c r="N1231" s="2018"/>
      <c r="O1231" s="1709" t="s">
        <v>475</v>
      </c>
      <c r="P1231" s="2019"/>
      <c r="Q1231" s="1709" t="s">
        <v>475</v>
      </c>
      <c r="R1231" s="2019"/>
      <c r="S1231" s="1709" t="s">
        <v>475</v>
      </c>
      <c r="T1231" s="2019"/>
      <c r="U1231" s="1709" t="s">
        <v>475</v>
      </c>
      <c r="V1231" s="2019"/>
      <c r="W1231" s="1709" t="s">
        <v>475</v>
      </c>
      <c r="X1231" s="2043">
        <v>6000000</v>
      </c>
      <c r="Y1231" s="2049">
        <v>43809</v>
      </c>
      <c r="Z1231" s="1731">
        <v>0</v>
      </c>
      <c r="AA1231" s="1367"/>
      <c r="AB1231" s="1731">
        <v>0</v>
      </c>
      <c r="AC1231" s="1367"/>
      <c r="AD1231" s="1714" t="str">
        <f t="shared" ref="AD1231:AD1244" si="438">IFERROR(VLOOKUP(C1231,BSP,3,FALSE),"  ")</f>
        <v xml:space="preserve">  </v>
      </c>
      <c r="AE1231" s="1563" t="str">
        <f t="shared" ref="AE1231:AE1244" si="439">IFERROR((VLOOKUP(C1231,BSP,4,FALSE)),"  ")</f>
        <v xml:space="preserve">  </v>
      </c>
      <c r="AF1231" s="1714"/>
      <c r="AG1231" s="1563"/>
      <c r="AH1231" s="2062" t="str">
        <f t="shared" si="414"/>
        <v>5000 Dok</v>
      </c>
      <c r="AI1231" s="1963">
        <f>SUM(J1231,L1231,N1231,P1231,R1231,T1231,V1231,X1231,Z1231,AB1231,AD1231,AF1231,AM1231,AO1231,AQ1231,AS1231,AU1231,AW1231,AY1231,BA1231)</f>
        <v>6000000</v>
      </c>
      <c r="AJ1231" s="2063">
        <f t="shared" ref="AJ1231:AJ1245" si="440">(COUNT(L1231,N1231,P1231,R1231,T1231,V1231,X1231,Z1231,AB1231,AD1231,AF1231,AM1231,AO1231)*$G$1247)+(COUNT(J1231)*$J$1247)+(COUNT(AQ1231)*$AR$1247)+(COUNT(AS1231)*$AT$1247)+(COUNT(AU1231)*$AV$1247)++(COUNT(AW1231)*$AX$1247)+(COUNT(AY1231)*$AZ$1247)+(COUNT(BA1231)*$BB$1247)</f>
        <v>18000000</v>
      </c>
      <c r="AK1231" s="1836">
        <f t="shared" ref="AK1231" si="441">AJ1231-AI1231</f>
        <v>12000000</v>
      </c>
      <c r="AL1231" s="1855" t="str">
        <f t="shared" ref="AL1231" si="442">IF(AK1231=0,"Lunas","Cek")</f>
        <v>Cek</v>
      </c>
      <c r="AM1231" s="1410"/>
      <c r="AN1231" s="1411"/>
      <c r="AO1231" s="1410"/>
      <c r="AP1231" s="1411"/>
      <c r="AQ1231" s="1731"/>
      <c r="AR1231" s="1870"/>
      <c r="AS1231" s="1731"/>
      <c r="AT1231" s="1871"/>
      <c r="AU1231" s="1731"/>
      <c r="AV1231" s="1870"/>
      <c r="AW1231" s="1731"/>
      <c r="AX1231" s="1870"/>
      <c r="AY1231" s="1906"/>
      <c r="AZ1231" s="1870"/>
      <c r="BA1231" s="1906"/>
    </row>
    <row r="1232" spans="1:54" s="2" customFormat="1" x14ac:dyDescent="0.25">
      <c r="A1232" s="164">
        <v>1138</v>
      </c>
      <c r="B1232" s="508">
        <v>2</v>
      </c>
      <c r="C1232" s="510">
        <v>841916002</v>
      </c>
      <c r="D1232" s="509" t="s">
        <v>1721</v>
      </c>
      <c r="E1232" s="511" t="s">
        <v>1506</v>
      </c>
      <c r="F1232" s="512">
        <v>2016</v>
      </c>
      <c r="G1232" s="514" t="s">
        <v>1483</v>
      </c>
      <c r="H1232" s="513" t="str">
        <f t="shared" si="405"/>
        <v xml:space="preserve">   </v>
      </c>
      <c r="I1232" s="513" t="str">
        <f t="shared" si="406"/>
        <v xml:space="preserve">   </v>
      </c>
      <c r="J1232" s="1366"/>
      <c r="K1232" s="1360"/>
      <c r="L1232" s="2020"/>
      <c r="M1232" s="1362" t="s">
        <v>475</v>
      </c>
      <c r="N1232" s="1935"/>
      <c r="O1232" s="1362" t="s">
        <v>475</v>
      </c>
      <c r="P1232" s="1924"/>
      <c r="Q1232" s="1362" t="s">
        <v>475</v>
      </c>
      <c r="R1232" s="1924"/>
      <c r="S1232" s="1362" t="s">
        <v>475</v>
      </c>
      <c r="T1232" s="1924"/>
      <c r="U1232" s="1362" t="s">
        <v>475</v>
      </c>
      <c r="V1232" s="1924"/>
      <c r="W1232" s="1362" t="s">
        <v>475</v>
      </c>
      <c r="X1232" s="2043">
        <v>6000000</v>
      </c>
      <c r="Y1232" s="1822">
        <v>43815.483078703699</v>
      </c>
      <c r="Z1232" s="1880">
        <v>6000000</v>
      </c>
      <c r="AA1232" s="2055">
        <v>44097</v>
      </c>
      <c r="AB1232" s="2043">
        <v>6000000</v>
      </c>
      <c r="AC1232" s="2055">
        <v>44095</v>
      </c>
      <c r="AD1232" s="1714" t="str">
        <f t="shared" si="438"/>
        <v xml:space="preserve">  </v>
      </c>
      <c r="AE1232" s="1563" t="str">
        <f t="shared" si="439"/>
        <v xml:space="preserve">  </v>
      </c>
      <c r="AF1232" s="1714"/>
      <c r="AG1232" s="1563"/>
      <c r="AH1232" s="2064" t="str">
        <f t="shared" si="414"/>
        <v>5000 Dok</v>
      </c>
      <c r="AI1232" s="1963">
        <f t="shared" ref="AI1232:AI1245" si="443">SUM(J1232,L1232,N1232,P1232,R1232,T1232,V1232,X1232,Z1232,AB1232,AD1232,AF1232,AM1232,AO1232,AQ1232,AS1232,AU1232,AW1232,AY1232,BA1232)</f>
        <v>20000000</v>
      </c>
      <c r="AJ1232" s="2063">
        <f t="shared" si="440"/>
        <v>20000000</v>
      </c>
      <c r="AK1232" s="1836">
        <f t="shared" ref="AK1232:AK1245" si="444">AJ1232-AI1232</f>
        <v>0</v>
      </c>
      <c r="AL1232" s="1855" t="str">
        <f t="shared" ref="AL1232:AL1245" si="445">IF(AK1232=0,"Lunas","Cek")</f>
        <v>Lunas</v>
      </c>
      <c r="AM1232" s="1410"/>
      <c r="AN1232" s="1411"/>
      <c r="AO1232" s="1410"/>
      <c r="AP1232" s="1411"/>
      <c r="AQ1232" s="1731" t="s">
        <v>1722</v>
      </c>
      <c r="AR1232" s="1870"/>
      <c r="AS1232" s="1731" t="s">
        <v>1723</v>
      </c>
      <c r="AT1232" s="1871"/>
      <c r="AU1232" s="1889">
        <v>2000000</v>
      </c>
      <c r="AV1232" s="1891">
        <v>44097</v>
      </c>
      <c r="AW1232" s="1731"/>
      <c r="AX1232" s="1870"/>
      <c r="AY1232" s="1906"/>
      <c r="AZ1232" s="1870"/>
      <c r="BA1232" s="1906"/>
    </row>
    <row r="1233" spans="1:54" s="2" customFormat="1" x14ac:dyDescent="0.25">
      <c r="A1233" s="164">
        <v>1139</v>
      </c>
      <c r="B1233" s="508">
        <v>3</v>
      </c>
      <c r="C1233" s="510">
        <v>841916003</v>
      </c>
      <c r="D1233" s="509" t="s">
        <v>1724</v>
      </c>
      <c r="E1233" s="511" t="s">
        <v>1506</v>
      </c>
      <c r="F1233" s="512">
        <v>2016</v>
      </c>
      <c r="G1233" s="2007" t="s">
        <v>28</v>
      </c>
      <c r="H1233" s="513" t="str">
        <f t="shared" si="405"/>
        <v xml:space="preserve">   </v>
      </c>
      <c r="I1233" s="513" t="str">
        <f t="shared" si="406"/>
        <v xml:space="preserve">   </v>
      </c>
      <c r="J1233" s="1366"/>
      <c r="K1233" s="1360"/>
      <c r="L1233" s="2020"/>
      <c r="M1233" s="1362" t="s">
        <v>475</v>
      </c>
      <c r="N1233" s="1935"/>
      <c r="O1233" s="1362" t="s">
        <v>475</v>
      </c>
      <c r="P1233" s="1924"/>
      <c r="Q1233" s="1362" t="s">
        <v>475</v>
      </c>
      <c r="R1233" s="1924"/>
      <c r="S1233" s="1362" t="s">
        <v>475</v>
      </c>
      <c r="T1233" s="1924"/>
      <c r="U1233" s="1362" t="s">
        <v>475</v>
      </c>
      <c r="V1233" s="1924"/>
      <c r="W1233" s="1362" t="s">
        <v>475</v>
      </c>
      <c r="X1233" s="1430">
        <v>6000000</v>
      </c>
      <c r="Y1233" s="1360">
        <v>44161</v>
      </c>
      <c r="Z1233" s="1731">
        <v>6000000</v>
      </c>
      <c r="AA1233" s="1367">
        <v>44161</v>
      </c>
      <c r="AB1233" s="1731">
        <v>6000000</v>
      </c>
      <c r="AC1233" s="1367">
        <v>44161</v>
      </c>
      <c r="AD1233" s="1714" t="str">
        <f t="shared" si="438"/>
        <v xml:space="preserve">  </v>
      </c>
      <c r="AE1233" s="1563" t="str">
        <f t="shared" si="439"/>
        <v xml:space="preserve">  </v>
      </c>
      <c r="AF1233" s="1714"/>
      <c r="AG1233" s="1563"/>
      <c r="AH1233" s="2064" t="str">
        <f t="shared" si="414"/>
        <v>5000 Dok</v>
      </c>
      <c r="AI1233" s="1963">
        <f t="shared" si="443"/>
        <v>24000000</v>
      </c>
      <c r="AJ1233" s="2063">
        <f t="shared" si="440"/>
        <v>24000000</v>
      </c>
      <c r="AK1233" s="1836">
        <f t="shared" si="444"/>
        <v>0</v>
      </c>
      <c r="AL1233" s="1855" t="str">
        <f t="shared" si="445"/>
        <v>Lunas</v>
      </c>
      <c r="AM1233" s="1410"/>
      <c r="AN1233" s="1411"/>
      <c r="AO1233" s="1410"/>
      <c r="AP1233" s="1411"/>
      <c r="AQ1233" s="1731"/>
      <c r="AR1233" s="1870"/>
      <c r="AS1233" s="1731"/>
      <c r="AT1233" s="1871"/>
      <c r="AU1233" s="1731">
        <v>2000000</v>
      </c>
      <c r="AV1233" s="1870">
        <v>44161</v>
      </c>
      <c r="AW1233" s="1731">
        <v>4000000</v>
      </c>
      <c r="AX1233" s="1870">
        <v>44204</v>
      </c>
      <c r="AY1233" s="1906"/>
      <c r="AZ1233" s="1870"/>
      <c r="BA1233" s="1906"/>
    </row>
    <row r="1234" spans="1:54" s="2" customFormat="1" x14ac:dyDescent="0.25">
      <c r="A1234" s="164">
        <v>1140</v>
      </c>
      <c r="B1234" s="508">
        <v>4</v>
      </c>
      <c r="C1234" s="510">
        <v>841916004</v>
      </c>
      <c r="D1234" s="509" t="s">
        <v>1725</v>
      </c>
      <c r="E1234" s="511" t="s">
        <v>1506</v>
      </c>
      <c r="F1234" s="512">
        <v>2016</v>
      </c>
      <c r="G1234" s="2007" t="s">
        <v>28</v>
      </c>
      <c r="H1234" s="513" t="str">
        <f t="shared" si="405"/>
        <v xml:space="preserve">   </v>
      </c>
      <c r="I1234" s="513" t="str">
        <f t="shared" si="406"/>
        <v xml:space="preserve">   </v>
      </c>
      <c r="J1234" s="1366"/>
      <c r="K1234" s="1360"/>
      <c r="L1234" s="2020"/>
      <c r="M1234" s="1362" t="s">
        <v>475</v>
      </c>
      <c r="N1234" s="1935"/>
      <c r="O1234" s="1362" t="s">
        <v>475</v>
      </c>
      <c r="P1234" s="1924"/>
      <c r="Q1234" s="1362" t="s">
        <v>475</v>
      </c>
      <c r="R1234" s="1924"/>
      <c r="S1234" s="1362" t="s">
        <v>475</v>
      </c>
      <c r="T1234" s="1924"/>
      <c r="U1234" s="1362" t="s">
        <v>475</v>
      </c>
      <c r="V1234" s="1924"/>
      <c r="W1234" s="1362" t="s">
        <v>475</v>
      </c>
      <c r="X1234" s="1794">
        <v>6000000</v>
      </c>
      <c r="Y1234" s="1822">
        <v>43809</v>
      </c>
      <c r="Z1234" s="1731">
        <v>0</v>
      </c>
      <c r="AA1234" s="1367"/>
      <c r="AB1234" s="1731">
        <v>0</v>
      </c>
      <c r="AC1234" s="1367"/>
      <c r="AD1234" s="1714" t="str">
        <f t="shared" si="438"/>
        <v xml:space="preserve">  </v>
      </c>
      <c r="AE1234" s="1563" t="str">
        <f t="shared" si="439"/>
        <v xml:space="preserve">  </v>
      </c>
      <c r="AF1234" s="1714"/>
      <c r="AG1234" s="1563"/>
      <c r="AH1234" s="2064" t="str">
        <f t="shared" si="414"/>
        <v>5000 Dok</v>
      </c>
      <c r="AI1234" s="1963">
        <f t="shared" si="443"/>
        <v>6000000</v>
      </c>
      <c r="AJ1234" s="2063">
        <f t="shared" si="440"/>
        <v>18000000</v>
      </c>
      <c r="AK1234" s="1836">
        <f t="shared" si="444"/>
        <v>12000000</v>
      </c>
      <c r="AL1234" s="1855" t="str">
        <f t="shared" si="445"/>
        <v>Cek</v>
      </c>
      <c r="AM1234" s="1410"/>
      <c r="AN1234" s="1411"/>
      <c r="AO1234" s="1410"/>
      <c r="AP1234" s="1411"/>
      <c r="AQ1234" s="1731"/>
      <c r="AR1234" s="1870"/>
      <c r="AS1234" s="1731"/>
      <c r="AT1234" s="1871"/>
      <c r="AU1234" s="1731"/>
      <c r="AV1234" s="1870"/>
      <c r="AW1234" s="1731"/>
      <c r="AX1234" s="1870"/>
      <c r="AY1234" s="1906"/>
      <c r="AZ1234" s="1870"/>
      <c r="BA1234" s="1906"/>
    </row>
    <row r="1235" spans="1:54" s="2" customFormat="1" x14ac:dyDescent="0.25">
      <c r="A1235" s="164">
        <v>1141</v>
      </c>
      <c r="B1235" s="508">
        <v>5</v>
      </c>
      <c r="C1235" s="510">
        <v>841916005</v>
      </c>
      <c r="D1235" s="509" t="s">
        <v>1726</v>
      </c>
      <c r="E1235" s="511" t="s">
        <v>1506</v>
      </c>
      <c r="F1235" s="512">
        <v>2016</v>
      </c>
      <c r="G1235" s="514" t="s">
        <v>1483</v>
      </c>
      <c r="H1235" s="513" t="str">
        <f t="shared" si="405"/>
        <v xml:space="preserve">   </v>
      </c>
      <c r="I1235" s="513" t="str">
        <f t="shared" si="406"/>
        <v xml:space="preserve">   </v>
      </c>
      <c r="J1235" s="1366"/>
      <c r="K1235" s="1360"/>
      <c r="L1235" s="2020"/>
      <c r="M1235" s="1362" t="s">
        <v>475</v>
      </c>
      <c r="N1235" s="1935"/>
      <c r="O1235" s="1362" t="s">
        <v>475</v>
      </c>
      <c r="P1235" s="1924"/>
      <c r="Q1235" s="1362" t="s">
        <v>475</v>
      </c>
      <c r="R1235" s="1924"/>
      <c r="S1235" s="1362" t="s">
        <v>475</v>
      </c>
      <c r="T1235" s="1924"/>
      <c r="U1235" s="1362" t="s">
        <v>475</v>
      </c>
      <c r="V1235" s="1924"/>
      <c r="W1235" s="1362" t="s">
        <v>475</v>
      </c>
      <c r="X1235" s="1794">
        <v>6000000</v>
      </c>
      <c r="Y1235" s="1822">
        <v>43852</v>
      </c>
      <c r="Z1235" s="1880">
        <v>6000000</v>
      </c>
      <c r="AA1235" s="2051">
        <v>43852</v>
      </c>
      <c r="AB1235" s="1731">
        <v>0</v>
      </c>
      <c r="AC1235" s="1367"/>
      <c r="AD1235" s="1714" t="str">
        <f t="shared" si="438"/>
        <v xml:space="preserve">  </v>
      </c>
      <c r="AE1235" s="1563" t="str">
        <f t="shared" si="439"/>
        <v xml:space="preserve">  </v>
      </c>
      <c r="AF1235" s="1714"/>
      <c r="AG1235" s="1563"/>
      <c r="AH1235" s="2064" t="str">
        <f t="shared" si="414"/>
        <v>5000 Dok</v>
      </c>
      <c r="AI1235" s="1963">
        <f t="shared" si="443"/>
        <v>12000000</v>
      </c>
      <c r="AJ1235" s="2063">
        <f t="shared" si="440"/>
        <v>18000000</v>
      </c>
      <c r="AK1235" s="1836">
        <f t="shared" si="444"/>
        <v>6000000</v>
      </c>
      <c r="AL1235" s="1855" t="str">
        <f t="shared" si="445"/>
        <v>Cek</v>
      </c>
      <c r="AM1235" s="1410"/>
      <c r="AN1235" s="1411"/>
      <c r="AO1235" s="1410"/>
      <c r="AP1235" s="1411"/>
      <c r="AQ1235" s="1731"/>
      <c r="AR1235" s="1870"/>
      <c r="AS1235" s="1731"/>
      <c r="AT1235" s="1871"/>
      <c r="AU1235" s="1731"/>
      <c r="AV1235" s="1870"/>
      <c r="AW1235" s="1731"/>
      <c r="AX1235" s="1870"/>
      <c r="AY1235" s="1906"/>
      <c r="AZ1235" s="1870"/>
      <c r="BA1235" s="1906"/>
    </row>
    <row r="1236" spans="1:54" s="2" customFormat="1" x14ac:dyDescent="0.25">
      <c r="A1236" s="164">
        <v>1142</v>
      </c>
      <c r="B1236" s="508">
        <v>6</v>
      </c>
      <c r="C1236" s="510">
        <v>841916006</v>
      </c>
      <c r="D1236" s="509" t="s">
        <v>1727</v>
      </c>
      <c r="E1236" s="511" t="s">
        <v>1506</v>
      </c>
      <c r="F1236" s="512">
        <v>2016</v>
      </c>
      <c r="G1236" s="2007" t="s">
        <v>28</v>
      </c>
      <c r="H1236" s="513" t="str">
        <f t="shared" si="405"/>
        <v xml:space="preserve">   </v>
      </c>
      <c r="I1236" s="513" t="str">
        <f t="shared" si="406"/>
        <v xml:space="preserve">   </v>
      </c>
      <c r="J1236" s="1366"/>
      <c r="K1236" s="1360"/>
      <c r="L1236" s="2020"/>
      <c r="M1236" s="1362" t="s">
        <v>475</v>
      </c>
      <c r="N1236" s="1935"/>
      <c r="O1236" s="1362" t="s">
        <v>475</v>
      </c>
      <c r="P1236" s="1924"/>
      <c r="Q1236" s="1362" t="s">
        <v>475</v>
      </c>
      <c r="R1236" s="1924"/>
      <c r="S1236" s="1362" t="s">
        <v>475</v>
      </c>
      <c r="T1236" s="1924"/>
      <c r="U1236" s="1362" t="s">
        <v>475</v>
      </c>
      <c r="V1236" s="1924"/>
      <c r="W1236" s="1362" t="s">
        <v>475</v>
      </c>
      <c r="X1236" s="1430">
        <v>0</v>
      </c>
      <c r="Y1236" s="1360"/>
      <c r="Z1236" s="1731">
        <v>0</v>
      </c>
      <c r="AA1236" s="1367"/>
      <c r="AB1236" s="1731">
        <v>0</v>
      </c>
      <c r="AC1236" s="1367"/>
      <c r="AD1236" s="1714" t="str">
        <f t="shared" si="438"/>
        <v xml:space="preserve">  </v>
      </c>
      <c r="AE1236" s="1563" t="str">
        <f t="shared" si="439"/>
        <v xml:space="preserve">  </v>
      </c>
      <c r="AF1236" s="1714"/>
      <c r="AG1236" s="1563"/>
      <c r="AH1236" s="2064" t="str">
        <f t="shared" si="414"/>
        <v>5000 Dok</v>
      </c>
      <c r="AI1236" s="1963">
        <f t="shared" si="443"/>
        <v>0</v>
      </c>
      <c r="AJ1236" s="2063">
        <f t="shared" si="440"/>
        <v>18000000</v>
      </c>
      <c r="AK1236" s="1836">
        <f t="shared" si="444"/>
        <v>18000000</v>
      </c>
      <c r="AL1236" s="1855" t="str">
        <f t="shared" si="445"/>
        <v>Cek</v>
      </c>
      <c r="AM1236" s="1410"/>
      <c r="AN1236" s="1411"/>
      <c r="AO1236" s="1410"/>
      <c r="AP1236" s="1411"/>
      <c r="AQ1236" s="1731"/>
      <c r="AR1236" s="1870"/>
      <c r="AS1236" s="1731"/>
      <c r="AT1236" s="1871"/>
      <c r="AU1236" s="1731"/>
      <c r="AV1236" s="1870"/>
      <c r="AW1236" s="1731"/>
      <c r="AX1236" s="1870"/>
      <c r="AY1236" s="1906"/>
      <c r="AZ1236" s="1870"/>
      <c r="BA1236" s="1906"/>
    </row>
    <row r="1237" spans="1:54" s="2" customFormat="1" x14ac:dyDescent="0.25">
      <c r="A1237" s="164">
        <v>1143</v>
      </c>
      <c r="B1237" s="508">
        <v>7</v>
      </c>
      <c r="C1237" s="510">
        <v>841916007</v>
      </c>
      <c r="D1237" s="509" t="s">
        <v>1728</v>
      </c>
      <c r="E1237" s="511" t="s">
        <v>1506</v>
      </c>
      <c r="F1237" s="512">
        <v>2016</v>
      </c>
      <c r="G1237" s="520" t="s">
        <v>33</v>
      </c>
      <c r="H1237" s="513" t="str">
        <f t="shared" si="405"/>
        <v xml:space="preserve">   </v>
      </c>
      <c r="I1237" s="513" t="str">
        <f t="shared" si="406"/>
        <v xml:space="preserve">   </v>
      </c>
      <c r="J1237" s="1366"/>
      <c r="K1237" s="1360"/>
      <c r="L1237" s="2020"/>
      <c r="M1237" s="1362" t="s">
        <v>475</v>
      </c>
      <c r="N1237" s="1935"/>
      <c r="O1237" s="1362" t="s">
        <v>475</v>
      </c>
      <c r="P1237" s="1924"/>
      <c r="Q1237" s="1362" t="s">
        <v>475</v>
      </c>
      <c r="R1237" s="1924"/>
      <c r="S1237" s="1362" t="s">
        <v>475</v>
      </c>
      <c r="T1237" s="1924"/>
      <c r="U1237" s="1362" t="s">
        <v>475</v>
      </c>
      <c r="V1237" s="1924"/>
      <c r="W1237" s="1362" t="s">
        <v>475</v>
      </c>
      <c r="X1237" s="1794">
        <v>6000000</v>
      </c>
      <c r="Y1237" s="1822">
        <v>43812</v>
      </c>
      <c r="Z1237" s="1794">
        <v>6000000</v>
      </c>
      <c r="AA1237" s="1367">
        <v>44112</v>
      </c>
      <c r="AB1237" s="1794">
        <v>6000000</v>
      </c>
      <c r="AC1237" s="1367">
        <v>44112</v>
      </c>
      <c r="AD1237" s="1714" t="str">
        <f t="shared" si="438"/>
        <v xml:space="preserve">  </v>
      </c>
      <c r="AE1237" s="1563" t="str">
        <f t="shared" si="439"/>
        <v xml:space="preserve">  </v>
      </c>
      <c r="AF1237" s="1714"/>
      <c r="AG1237" s="1563"/>
      <c r="AH1237" s="2064" t="str">
        <f t="shared" si="414"/>
        <v>5000 Dok</v>
      </c>
      <c r="AI1237" s="1963">
        <f t="shared" si="443"/>
        <v>22000000</v>
      </c>
      <c r="AJ1237" s="2063">
        <f t="shared" si="440"/>
        <v>22000000</v>
      </c>
      <c r="AK1237" s="1836">
        <f t="shared" si="444"/>
        <v>0</v>
      </c>
      <c r="AL1237" s="1855" t="str">
        <f t="shared" si="445"/>
        <v>Lunas</v>
      </c>
      <c r="AM1237" s="1410"/>
      <c r="AN1237" s="1411"/>
      <c r="AO1237" s="1410"/>
      <c r="AP1237" s="1411"/>
      <c r="AQ1237" s="1731"/>
      <c r="AR1237" s="1870"/>
      <c r="AS1237" s="1731"/>
      <c r="AT1237" s="1871"/>
      <c r="AU1237" s="1731"/>
      <c r="AV1237" s="1870"/>
      <c r="AW1237" s="1880">
        <v>4000000</v>
      </c>
      <c r="AX1237" s="1367">
        <v>44112</v>
      </c>
      <c r="AY1237" s="1906"/>
      <c r="AZ1237" s="1870"/>
      <c r="BA1237" s="1906"/>
    </row>
    <row r="1238" spans="1:54" s="2" customFormat="1" x14ac:dyDescent="0.25">
      <c r="A1238" s="164">
        <v>1144</v>
      </c>
      <c r="B1238" s="508">
        <v>8</v>
      </c>
      <c r="C1238" s="510">
        <v>841916008</v>
      </c>
      <c r="D1238" s="509" t="s">
        <v>1729</v>
      </c>
      <c r="E1238" s="511" t="s">
        <v>1506</v>
      </c>
      <c r="F1238" s="512">
        <v>2016</v>
      </c>
      <c r="G1238" s="514" t="s">
        <v>1483</v>
      </c>
      <c r="H1238" s="513" t="str">
        <f t="shared" ref="H1238:H1301" si="446">IFERROR(VLOOKUP(C1238,Tlus,3,FALSE),"   ")</f>
        <v xml:space="preserve">   </v>
      </c>
      <c r="I1238" s="513" t="str">
        <f t="shared" ref="I1238:I1301" si="447">IFERROR(VLOOKUP(C1238,Wis,4,FALSE),"   ")</f>
        <v xml:space="preserve">   </v>
      </c>
      <c r="J1238" s="1366"/>
      <c r="K1238" s="1360"/>
      <c r="L1238" s="2020"/>
      <c r="M1238" s="1362" t="s">
        <v>475</v>
      </c>
      <c r="N1238" s="1935"/>
      <c r="O1238" s="1362" t="s">
        <v>475</v>
      </c>
      <c r="P1238" s="1924"/>
      <c r="Q1238" s="1362" t="s">
        <v>475</v>
      </c>
      <c r="R1238" s="1924"/>
      <c r="S1238" s="1362" t="s">
        <v>475</v>
      </c>
      <c r="T1238" s="1924"/>
      <c r="U1238" s="1362" t="s">
        <v>475</v>
      </c>
      <c r="V1238" s="1924"/>
      <c r="W1238" s="1362" t="s">
        <v>475</v>
      </c>
      <c r="X1238" s="1794">
        <v>6000000</v>
      </c>
      <c r="Y1238" s="1360">
        <v>44112</v>
      </c>
      <c r="Z1238" s="1794">
        <v>6000000</v>
      </c>
      <c r="AA1238" s="1360">
        <v>44112</v>
      </c>
      <c r="AB1238" s="1794">
        <v>6000000</v>
      </c>
      <c r="AC1238" s="1360">
        <v>44112</v>
      </c>
      <c r="AD1238" s="1714" t="str">
        <f t="shared" si="438"/>
        <v xml:space="preserve">  </v>
      </c>
      <c r="AE1238" s="1563" t="str">
        <f t="shared" si="439"/>
        <v xml:space="preserve">  </v>
      </c>
      <c r="AF1238" s="1714"/>
      <c r="AG1238" s="1563"/>
      <c r="AH1238" s="2064" t="str">
        <f t="shared" si="414"/>
        <v>5000 Dok</v>
      </c>
      <c r="AI1238" s="1963">
        <f t="shared" si="443"/>
        <v>21500000</v>
      </c>
      <c r="AJ1238" s="2063">
        <f t="shared" si="440"/>
        <v>21500000</v>
      </c>
      <c r="AK1238" s="1836">
        <f t="shared" si="444"/>
        <v>0</v>
      </c>
      <c r="AL1238" s="1855" t="str">
        <f t="shared" si="445"/>
        <v>Lunas</v>
      </c>
      <c r="AM1238" s="1410"/>
      <c r="AN1238" s="1411"/>
      <c r="AO1238" s="1410"/>
      <c r="AP1238" s="1411"/>
      <c r="AQ1238" s="1880">
        <v>2000000</v>
      </c>
      <c r="AR1238" s="1891">
        <v>44113</v>
      </c>
      <c r="AS1238" s="1889">
        <v>1500000</v>
      </c>
      <c r="AT1238" s="1890">
        <v>44132</v>
      </c>
      <c r="AU1238" s="1731"/>
      <c r="AV1238" s="1870"/>
      <c r="AW1238" s="1731"/>
      <c r="AX1238" s="1870"/>
      <c r="AY1238" s="1906"/>
      <c r="AZ1238" s="1870"/>
      <c r="BA1238" s="1906"/>
    </row>
    <row r="1239" spans="1:54" s="2" customFormat="1" x14ac:dyDescent="0.25">
      <c r="A1239" s="156">
        <v>1145</v>
      </c>
      <c r="B1239" s="515">
        <v>9</v>
      </c>
      <c r="C1239" s="510">
        <v>841916009</v>
      </c>
      <c r="D1239" s="516" t="s">
        <v>1730</v>
      </c>
      <c r="E1239" s="518" t="s">
        <v>1506</v>
      </c>
      <c r="F1239" s="519">
        <v>2016</v>
      </c>
      <c r="G1239" s="520" t="s">
        <v>33</v>
      </c>
      <c r="H1239" s="521">
        <f t="shared" si="446"/>
        <v>43942</v>
      </c>
      <c r="I1239" s="163">
        <f t="shared" si="447"/>
        <v>44058</v>
      </c>
      <c r="J1239" s="1366"/>
      <c r="K1239" s="1360"/>
      <c r="L1239" s="2021"/>
      <c r="M1239" s="1390" t="s">
        <v>475</v>
      </c>
      <c r="N1239" s="1472"/>
      <c r="O1239" s="1390" t="s">
        <v>475</v>
      </c>
      <c r="P1239" s="1358"/>
      <c r="Q1239" s="1390" t="s">
        <v>475</v>
      </c>
      <c r="R1239" s="1358"/>
      <c r="S1239" s="1390" t="s">
        <v>475</v>
      </c>
      <c r="T1239" s="1358"/>
      <c r="U1239" s="1390" t="s">
        <v>475</v>
      </c>
      <c r="V1239" s="1358"/>
      <c r="W1239" s="1390" t="s">
        <v>475</v>
      </c>
      <c r="X1239" s="1801">
        <v>6000000</v>
      </c>
      <c r="Y1239" s="1799">
        <v>43815</v>
      </c>
      <c r="Z1239" s="1801">
        <v>6000000</v>
      </c>
      <c r="AA1239" s="2056">
        <v>43900</v>
      </c>
      <c r="AB1239" s="1714"/>
      <c r="AC1239" s="1563"/>
      <c r="AD1239" s="1714" t="str">
        <f t="shared" si="438"/>
        <v xml:space="preserve">  </v>
      </c>
      <c r="AE1239" s="1563" t="str">
        <f t="shared" si="439"/>
        <v xml:space="preserve">  </v>
      </c>
      <c r="AF1239" s="1714"/>
      <c r="AG1239" s="1563"/>
      <c r="AH1239" s="2064" t="str">
        <f t="shared" si="414"/>
        <v>5000 Dok</v>
      </c>
      <c r="AI1239" s="1963">
        <f t="shared" si="443"/>
        <v>12000000</v>
      </c>
      <c r="AJ1239" s="2063">
        <f t="shared" si="440"/>
        <v>12000000</v>
      </c>
      <c r="AK1239" s="1836">
        <f t="shared" si="444"/>
        <v>0</v>
      </c>
      <c r="AL1239" s="1855" t="str">
        <f t="shared" si="445"/>
        <v>Lunas</v>
      </c>
      <c r="AM1239" s="1410"/>
      <c r="AN1239" s="1411"/>
      <c r="AO1239" s="1410"/>
      <c r="AP1239" s="1411"/>
      <c r="AQ1239" s="1731" t="s">
        <v>1507</v>
      </c>
      <c r="AR1239" s="1870"/>
      <c r="AS1239" s="1731" t="s">
        <v>1507</v>
      </c>
      <c r="AT1239" s="1871"/>
      <c r="AU1239" s="1731" t="s">
        <v>1507</v>
      </c>
      <c r="AV1239" s="1870"/>
      <c r="AW1239" s="1731"/>
      <c r="AX1239" s="1870"/>
      <c r="AY1239" s="1906"/>
      <c r="AZ1239" s="1870"/>
      <c r="BA1239" s="1906"/>
    </row>
    <row r="1240" spans="1:54" s="2" customFormat="1" x14ac:dyDescent="0.25">
      <c r="A1240" s="164">
        <v>1146</v>
      </c>
      <c r="B1240" s="508">
        <v>10</v>
      </c>
      <c r="C1240" s="510">
        <v>841916010</v>
      </c>
      <c r="D1240" s="509" t="s">
        <v>1731</v>
      </c>
      <c r="E1240" s="511" t="s">
        <v>1506</v>
      </c>
      <c r="F1240" s="512">
        <v>2016</v>
      </c>
      <c r="G1240" s="514" t="s">
        <v>1483</v>
      </c>
      <c r="H1240" s="513" t="str">
        <f t="shared" si="446"/>
        <v xml:space="preserve">   </v>
      </c>
      <c r="I1240" s="513" t="str">
        <f t="shared" si="447"/>
        <v xml:space="preserve">   </v>
      </c>
      <c r="J1240" s="1366"/>
      <c r="K1240" s="1360"/>
      <c r="L1240" s="2020"/>
      <c r="M1240" s="1362" t="s">
        <v>475</v>
      </c>
      <c r="N1240" s="1935"/>
      <c r="O1240" s="1362" t="s">
        <v>475</v>
      </c>
      <c r="P1240" s="1924"/>
      <c r="Q1240" s="1362" t="s">
        <v>475</v>
      </c>
      <c r="R1240" s="1924"/>
      <c r="S1240" s="1362" t="s">
        <v>475</v>
      </c>
      <c r="T1240" s="1924"/>
      <c r="U1240" s="1362" t="s">
        <v>475</v>
      </c>
      <c r="V1240" s="1924"/>
      <c r="W1240" s="1362" t="s">
        <v>475</v>
      </c>
      <c r="X1240" s="1794">
        <v>6000000</v>
      </c>
      <c r="Y1240" s="1822">
        <v>43817</v>
      </c>
      <c r="Z1240" s="1794">
        <v>6000000</v>
      </c>
      <c r="AA1240" s="2055">
        <v>43900</v>
      </c>
      <c r="AB1240" s="1731">
        <v>0</v>
      </c>
      <c r="AC1240" s="1367"/>
      <c r="AD1240" s="1714" t="str">
        <f t="shared" si="438"/>
        <v xml:space="preserve">  </v>
      </c>
      <c r="AE1240" s="1563" t="str">
        <f t="shared" si="439"/>
        <v xml:space="preserve">  </v>
      </c>
      <c r="AF1240" s="1714"/>
      <c r="AG1240" s="1563"/>
      <c r="AH1240" s="2064" t="str">
        <f t="shared" si="414"/>
        <v>5000 Dok</v>
      </c>
      <c r="AI1240" s="1963">
        <f t="shared" si="443"/>
        <v>12000000</v>
      </c>
      <c r="AJ1240" s="2063">
        <f t="shared" si="440"/>
        <v>18000000</v>
      </c>
      <c r="AK1240" s="1836">
        <f t="shared" si="444"/>
        <v>6000000</v>
      </c>
      <c r="AL1240" s="1855" t="str">
        <f t="shared" si="445"/>
        <v>Cek</v>
      </c>
      <c r="AM1240" s="1410"/>
      <c r="AN1240" s="1411"/>
      <c r="AO1240" s="1410"/>
      <c r="AP1240" s="1411"/>
      <c r="AQ1240" s="1731"/>
      <c r="AR1240" s="1870"/>
      <c r="AS1240" s="1731"/>
      <c r="AT1240" s="1871"/>
      <c r="AU1240" s="1731"/>
      <c r="AV1240" s="1870"/>
      <c r="AW1240" s="1731"/>
      <c r="AX1240" s="1870"/>
      <c r="AY1240" s="1906"/>
      <c r="AZ1240" s="1870"/>
      <c r="BA1240" s="1906"/>
    </row>
    <row r="1241" spans="1:54" s="2" customFormat="1" x14ac:dyDescent="0.25">
      <c r="A1241" s="156">
        <v>1147</v>
      </c>
      <c r="B1241" s="515">
        <v>11</v>
      </c>
      <c r="C1241" s="517">
        <v>841916011</v>
      </c>
      <c r="D1241" s="516" t="s">
        <v>1732</v>
      </c>
      <c r="E1241" s="518" t="s">
        <v>1506</v>
      </c>
      <c r="F1241" s="519">
        <v>2016</v>
      </c>
      <c r="G1241" s="520" t="s">
        <v>33</v>
      </c>
      <c r="H1241" s="521">
        <f t="shared" si="446"/>
        <v>43734</v>
      </c>
      <c r="I1241" s="163">
        <f t="shared" si="447"/>
        <v>43818</v>
      </c>
      <c r="J1241" s="1366"/>
      <c r="K1241" s="1360"/>
      <c r="L1241" s="1472"/>
      <c r="M1241" s="1390" t="s">
        <v>475</v>
      </c>
      <c r="N1241" s="1472"/>
      <c r="O1241" s="1390" t="s">
        <v>475</v>
      </c>
      <c r="P1241" s="1358"/>
      <c r="Q1241" s="1390" t="s">
        <v>475</v>
      </c>
      <c r="R1241" s="1358"/>
      <c r="S1241" s="1390" t="s">
        <v>475</v>
      </c>
      <c r="T1241" s="1358"/>
      <c r="U1241" s="1390" t="s">
        <v>475</v>
      </c>
      <c r="V1241" s="1358"/>
      <c r="W1241" s="1390" t="s">
        <v>475</v>
      </c>
      <c r="X1241" s="1389"/>
      <c r="Y1241" s="1654"/>
      <c r="Z1241" s="1430"/>
      <c r="AA1241" s="1654"/>
      <c r="AB1241" s="1363"/>
      <c r="AC1241" s="1391"/>
      <c r="AD1241" s="1363" t="str">
        <f t="shared" si="438"/>
        <v xml:space="preserve">  </v>
      </c>
      <c r="AE1241" s="1391" t="str">
        <f t="shared" si="439"/>
        <v xml:space="preserve">  </v>
      </c>
      <c r="AF1241" s="1363"/>
      <c r="AG1241" s="1563"/>
      <c r="AH1241" s="2064" t="str">
        <f t="shared" si="414"/>
        <v>5000 Dok</v>
      </c>
      <c r="AI1241" s="1963">
        <f t="shared" si="443"/>
        <v>500000</v>
      </c>
      <c r="AJ1241" s="2063">
        <f t="shared" si="440"/>
        <v>500000</v>
      </c>
      <c r="AK1241" s="1836">
        <f t="shared" si="444"/>
        <v>0</v>
      </c>
      <c r="AL1241" s="1855" t="str">
        <f t="shared" si="445"/>
        <v>Lunas</v>
      </c>
      <c r="AM1241" s="1410"/>
      <c r="AN1241" s="1411"/>
      <c r="AO1241" s="1410"/>
      <c r="AP1241" s="1411"/>
      <c r="AQ1241" s="1731"/>
      <c r="AR1241" s="1870"/>
      <c r="AS1241" s="1731"/>
      <c r="AT1241" s="1871"/>
      <c r="AU1241" s="1731"/>
      <c r="AV1241" s="1870"/>
      <c r="AW1241" s="1731"/>
      <c r="AX1241" s="1870"/>
      <c r="AY1241" s="1906"/>
      <c r="AZ1241" s="1870"/>
      <c r="BA1241" s="1966">
        <v>500000</v>
      </c>
      <c r="BB1241" s="1882">
        <v>43794</v>
      </c>
    </row>
    <row r="1242" spans="1:54" s="2" customFormat="1" x14ac:dyDescent="0.25">
      <c r="A1242" s="156">
        <v>1148</v>
      </c>
      <c r="B1242" s="515">
        <v>12</v>
      </c>
      <c r="C1242" s="517">
        <v>841916012</v>
      </c>
      <c r="D1242" s="516" t="s">
        <v>1733</v>
      </c>
      <c r="E1242" s="518" t="s">
        <v>1506</v>
      </c>
      <c r="F1242" s="519">
        <v>2016</v>
      </c>
      <c r="G1242" s="520" t="s">
        <v>33</v>
      </c>
      <c r="H1242" s="521">
        <f t="shared" si="446"/>
        <v>43943</v>
      </c>
      <c r="I1242" s="163" t="str">
        <f t="shared" si="447"/>
        <v xml:space="preserve">   </v>
      </c>
      <c r="J1242" s="1366"/>
      <c r="K1242" s="1360"/>
      <c r="L1242" s="2021"/>
      <c r="M1242" s="1390" t="s">
        <v>475</v>
      </c>
      <c r="N1242" s="1472"/>
      <c r="O1242" s="1390" t="s">
        <v>475</v>
      </c>
      <c r="P1242" s="1358"/>
      <c r="Q1242" s="1390" t="s">
        <v>475</v>
      </c>
      <c r="R1242" s="1358"/>
      <c r="S1242" s="1390" t="s">
        <v>475</v>
      </c>
      <c r="T1242" s="1358"/>
      <c r="U1242" s="1390" t="s">
        <v>475</v>
      </c>
      <c r="V1242" s="1358"/>
      <c r="W1242" s="1390" t="s">
        <v>475</v>
      </c>
      <c r="X1242" s="1801">
        <v>6000000</v>
      </c>
      <c r="Y1242" s="1799">
        <v>43815.497638888897</v>
      </c>
      <c r="Z1242" s="1801">
        <v>6000000</v>
      </c>
      <c r="AA1242" s="1799">
        <v>43899</v>
      </c>
      <c r="AB1242" s="1363"/>
      <c r="AC1242" s="1391"/>
      <c r="AD1242" s="1363" t="str">
        <f t="shared" si="438"/>
        <v xml:space="preserve">  </v>
      </c>
      <c r="AE1242" s="1391" t="str">
        <f t="shared" si="439"/>
        <v xml:space="preserve">  </v>
      </c>
      <c r="AF1242" s="1363"/>
      <c r="AG1242" s="1563"/>
      <c r="AH1242" s="2064" t="str">
        <f t="shared" si="414"/>
        <v>5000 Dok</v>
      </c>
      <c r="AI1242" s="1963">
        <f t="shared" si="443"/>
        <v>12000000</v>
      </c>
      <c r="AJ1242" s="2063">
        <f t="shared" si="440"/>
        <v>12000000</v>
      </c>
      <c r="AK1242" s="1836">
        <f t="shared" si="444"/>
        <v>0</v>
      </c>
      <c r="AL1242" s="1855" t="str">
        <f t="shared" si="445"/>
        <v>Lunas</v>
      </c>
      <c r="AM1242" s="1410"/>
      <c r="AN1242" s="1411"/>
      <c r="AO1242" s="1410"/>
      <c r="AP1242" s="1411"/>
      <c r="AQ1242" s="1731" t="s">
        <v>1507</v>
      </c>
      <c r="AR1242" s="1870" t="s">
        <v>1325</v>
      </c>
      <c r="AS1242" s="1731" t="s">
        <v>1734</v>
      </c>
      <c r="AT1242" s="1871" t="s">
        <v>1463</v>
      </c>
      <c r="AU1242" s="1731" t="s">
        <v>1507</v>
      </c>
      <c r="AV1242" s="1870" t="s">
        <v>1463</v>
      </c>
      <c r="AW1242" s="1731"/>
      <c r="AX1242" s="1870"/>
      <c r="AY1242" s="1906"/>
      <c r="AZ1242" s="1870"/>
      <c r="BA1242" s="1906"/>
    </row>
    <row r="1243" spans="1:54" s="2" customFormat="1" x14ac:dyDescent="0.25">
      <c r="A1243" s="164">
        <v>1149</v>
      </c>
      <c r="B1243" s="508">
        <v>13</v>
      </c>
      <c r="C1243" s="510">
        <v>841916013</v>
      </c>
      <c r="D1243" s="509" t="s">
        <v>1735</v>
      </c>
      <c r="E1243" s="511" t="s">
        <v>1506</v>
      </c>
      <c r="F1243" s="512">
        <v>2016</v>
      </c>
      <c r="G1243" s="520" t="s">
        <v>33</v>
      </c>
      <c r="H1243" s="513" t="str">
        <f t="shared" si="446"/>
        <v xml:space="preserve">   </v>
      </c>
      <c r="I1243" s="513" t="str">
        <f t="shared" si="447"/>
        <v xml:space="preserve">   </v>
      </c>
      <c r="J1243" s="1366"/>
      <c r="K1243" s="1360"/>
      <c r="L1243" s="2020"/>
      <c r="M1243" s="1362" t="s">
        <v>475</v>
      </c>
      <c r="N1243" s="1935"/>
      <c r="O1243" s="1362" t="s">
        <v>475</v>
      </c>
      <c r="P1243" s="1924"/>
      <c r="Q1243" s="1362" t="s">
        <v>475</v>
      </c>
      <c r="R1243" s="1924"/>
      <c r="S1243" s="1362" t="s">
        <v>475</v>
      </c>
      <c r="T1243" s="1924"/>
      <c r="U1243" s="1362" t="s">
        <v>475</v>
      </c>
      <c r="V1243" s="1924"/>
      <c r="W1243" s="1362" t="s">
        <v>475</v>
      </c>
      <c r="X1243" s="1794">
        <v>6000000</v>
      </c>
      <c r="Y1243" s="1822">
        <v>44112</v>
      </c>
      <c r="Z1243" s="1794">
        <v>6000000</v>
      </c>
      <c r="AA1243" s="1822">
        <v>44112</v>
      </c>
      <c r="AB1243" s="1794">
        <v>6000000</v>
      </c>
      <c r="AC1243" s="1822">
        <v>44112</v>
      </c>
      <c r="AD1243" s="1714" t="str">
        <f t="shared" si="438"/>
        <v xml:space="preserve">  </v>
      </c>
      <c r="AE1243" s="1563" t="str">
        <f t="shared" si="439"/>
        <v xml:space="preserve">  </v>
      </c>
      <c r="AF1243" s="1714"/>
      <c r="AG1243" s="1563"/>
      <c r="AH1243" s="2064" t="str">
        <f t="shared" si="414"/>
        <v>5000 Dok</v>
      </c>
      <c r="AI1243" s="1963">
        <f t="shared" si="443"/>
        <v>20000000</v>
      </c>
      <c r="AJ1243" s="2063">
        <f t="shared" si="440"/>
        <v>20000000</v>
      </c>
      <c r="AK1243" s="1836">
        <f t="shared" si="444"/>
        <v>0</v>
      </c>
      <c r="AL1243" s="1855" t="str">
        <f t="shared" si="445"/>
        <v>Lunas</v>
      </c>
      <c r="AM1243" s="1410"/>
      <c r="AN1243" s="1411"/>
      <c r="AO1243" s="1410"/>
      <c r="AP1243" s="1411"/>
      <c r="AQ1243" s="1731"/>
      <c r="AR1243" s="1870"/>
      <c r="AS1243" s="1731"/>
      <c r="AT1243" s="1871"/>
      <c r="AU1243" s="1731">
        <v>2000000</v>
      </c>
      <c r="AV1243" s="1870">
        <v>44116</v>
      </c>
      <c r="AW1243" s="1731"/>
      <c r="AX1243" s="1870"/>
      <c r="AY1243" s="1906"/>
      <c r="AZ1243" s="1870"/>
      <c r="BA1243" s="1906"/>
    </row>
    <row r="1244" spans="1:54" s="2" customFormat="1" x14ac:dyDescent="0.25">
      <c r="A1244" s="164">
        <v>1150</v>
      </c>
      <c r="B1244" s="508">
        <v>14</v>
      </c>
      <c r="C1244" s="510">
        <v>841916014</v>
      </c>
      <c r="D1244" s="509" t="s">
        <v>1736</v>
      </c>
      <c r="E1244" s="511" t="s">
        <v>1506</v>
      </c>
      <c r="F1244" s="512">
        <v>2016</v>
      </c>
      <c r="G1244" s="514" t="s">
        <v>1483</v>
      </c>
      <c r="H1244" s="513" t="str">
        <f t="shared" si="446"/>
        <v xml:space="preserve">   </v>
      </c>
      <c r="I1244" s="513" t="str">
        <f t="shared" si="447"/>
        <v xml:space="preserve">   </v>
      </c>
      <c r="J1244" s="1366"/>
      <c r="K1244" s="1360"/>
      <c r="L1244" s="2020"/>
      <c r="M1244" s="1362" t="s">
        <v>475</v>
      </c>
      <c r="N1244" s="1935"/>
      <c r="O1244" s="1362" t="s">
        <v>475</v>
      </c>
      <c r="P1244" s="1924"/>
      <c r="Q1244" s="1362" t="s">
        <v>475</v>
      </c>
      <c r="R1244" s="1924"/>
      <c r="S1244" s="1362" t="s">
        <v>475</v>
      </c>
      <c r="T1244" s="1924"/>
      <c r="U1244" s="1362" t="s">
        <v>475</v>
      </c>
      <c r="V1244" s="1924"/>
      <c r="W1244" s="1362" t="s">
        <v>475</v>
      </c>
      <c r="X1244" s="1794">
        <v>6000000</v>
      </c>
      <c r="Y1244" s="1822">
        <v>43812</v>
      </c>
      <c r="Z1244" s="1794">
        <v>6000000</v>
      </c>
      <c r="AA1244" s="2055">
        <v>43907</v>
      </c>
      <c r="AB1244" s="1794">
        <v>6000000</v>
      </c>
      <c r="AC1244" s="2055">
        <v>44077</v>
      </c>
      <c r="AD1244" s="1714" t="str">
        <f t="shared" si="438"/>
        <v xml:space="preserve">  </v>
      </c>
      <c r="AE1244" s="1563" t="str">
        <f t="shared" si="439"/>
        <v xml:space="preserve">  </v>
      </c>
      <c r="AF1244" s="1714"/>
      <c r="AG1244" s="1563"/>
      <c r="AH1244" s="2064" t="str">
        <f t="shared" si="414"/>
        <v>5000 Dok</v>
      </c>
      <c r="AI1244" s="1963">
        <f t="shared" si="443"/>
        <v>19500000</v>
      </c>
      <c r="AJ1244" s="2063">
        <f t="shared" si="440"/>
        <v>19500000</v>
      </c>
      <c r="AK1244" s="1836">
        <f t="shared" si="444"/>
        <v>0</v>
      </c>
      <c r="AL1244" s="1855" t="str">
        <f t="shared" si="445"/>
        <v>Lunas</v>
      </c>
      <c r="AM1244" s="1410"/>
      <c r="AN1244" s="1411"/>
      <c r="AO1244" s="1410"/>
      <c r="AP1244" s="1411"/>
      <c r="AQ1244" s="1731" t="s">
        <v>1507</v>
      </c>
      <c r="AR1244" s="1870" t="s">
        <v>1464</v>
      </c>
      <c r="AS1244" s="1880">
        <v>1500000</v>
      </c>
      <c r="AT1244" s="2055">
        <v>44077</v>
      </c>
      <c r="AU1244" s="1731"/>
      <c r="AV1244" s="1870"/>
      <c r="AW1244" s="1731"/>
      <c r="AX1244" s="1870"/>
      <c r="AY1244" s="1906"/>
      <c r="AZ1244" s="1870"/>
      <c r="BA1244" s="1906"/>
    </row>
    <row r="1245" spans="1:54" s="2" customFormat="1" x14ac:dyDescent="0.25">
      <c r="A1245" s="180">
        <v>1151</v>
      </c>
      <c r="B1245" s="2008">
        <v>15</v>
      </c>
      <c r="C1245" s="524">
        <v>841916015</v>
      </c>
      <c r="D1245" s="2009" t="s">
        <v>1737</v>
      </c>
      <c r="E1245" s="2010" t="s">
        <v>1506</v>
      </c>
      <c r="F1245" s="2011">
        <v>2016</v>
      </c>
      <c r="G1245" s="520" t="s">
        <v>33</v>
      </c>
      <c r="H1245" s="521">
        <f t="shared" si="446"/>
        <v>43979</v>
      </c>
      <c r="I1245" s="163">
        <f t="shared" si="447"/>
        <v>44168</v>
      </c>
      <c r="J1245" s="1444"/>
      <c r="K1245" s="1557"/>
      <c r="L1245" s="2022"/>
      <c r="M1245" s="1926" t="s">
        <v>475</v>
      </c>
      <c r="N1245" s="1937"/>
      <c r="O1245" s="1926" t="s">
        <v>475</v>
      </c>
      <c r="P1245" s="1925"/>
      <c r="Q1245" s="1926" t="s">
        <v>475</v>
      </c>
      <c r="R1245" s="1925"/>
      <c r="S1245" s="1926" t="s">
        <v>475</v>
      </c>
      <c r="T1245" s="1925"/>
      <c r="U1245" s="1926" t="s">
        <v>475</v>
      </c>
      <c r="V1245" s="1925"/>
      <c r="W1245" s="1926" t="s">
        <v>475</v>
      </c>
      <c r="X1245" s="1801">
        <v>6000000</v>
      </c>
      <c r="Y1245" s="1433">
        <v>43905</v>
      </c>
      <c r="Z1245" s="1801">
        <v>6000000</v>
      </c>
      <c r="AA1245" s="1433">
        <v>43905</v>
      </c>
      <c r="AB1245" s="1714"/>
      <c r="AC1245" s="1563"/>
      <c r="AD1245" s="1714"/>
      <c r="AE1245" s="1563"/>
      <c r="AF1245" s="1714"/>
      <c r="AG1245" s="1563"/>
      <c r="AH1245" s="2065" t="str">
        <f t="shared" si="414"/>
        <v>5000 Dok</v>
      </c>
      <c r="AI1245" s="1963">
        <f t="shared" si="443"/>
        <v>12500000</v>
      </c>
      <c r="AJ1245" s="2063">
        <f t="shared" si="440"/>
        <v>12500000</v>
      </c>
      <c r="AK1245" s="1836">
        <f t="shared" si="444"/>
        <v>0</v>
      </c>
      <c r="AL1245" s="1855" t="str">
        <f t="shared" si="445"/>
        <v>Lunas</v>
      </c>
      <c r="AM1245" s="1410"/>
      <c r="AN1245" s="1411"/>
      <c r="AO1245" s="1410"/>
      <c r="AP1245" s="1411"/>
      <c r="AQ1245" s="1731" t="s">
        <v>1507</v>
      </c>
      <c r="AR1245" s="1870" t="s">
        <v>1141</v>
      </c>
      <c r="AS1245" s="1731" t="s">
        <v>1507</v>
      </c>
      <c r="AT1245" s="1871" t="s">
        <v>1325</v>
      </c>
      <c r="AU1245" s="1731"/>
      <c r="AV1245" s="1870"/>
      <c r="AW1245" s="1731"/>
      <c r="AX1245" s="1870"/>
      <c r="AY1245" s="1906"/>
      <c r="AZ1245" s="1870"/>
      <c r="BA1245" s="1966">
        <v>500000</v>
      </c>
      <c r="BB1245" s="1882">
        <v>44069.316296296303</v>
      </c>
    </row>
    <row r="1246" spans="1:54" s="2" customFormat="1" x14ac:dyDescent="0.25">
      <c r="A1246" s="528"/>
      <c r="B1246" s="528"/>
      <c r="C1246" s="530"/>
      <c r="D1246" s="529"/>
      <c r="E1246" s="529" t="s">
        <v>1121</v>
      </c>
      <c r="F1246" s="531" t="s">
        <v>61</v>
      </c>
      <c r="G1246" s="192" t="s">
        <v>61</v>
      </c>
      <c r="H1246" s="532" t="str">
        <f t="shared" si="446"/>
        <v xml:space="preserve">   </v>
      </c>
      <c r="I1246" s="532" t="str">
        <f t="shared" si="447"/>
        <v xml:space="preserve">   </v>
      </c>
      <c r="J1246" s="1528"/>
      <c r="K1246" s="2023"/>
      <c r="L1246" s="1528"/>
      <c r="M1246" s="2023"/>
      <c r="N1246" s="2024"/>
      <c r="O1246" s="2023"/>
      <c r="P1246" s="2024"/>
      <c r="Q1246" s="2023"/>
      <c r="R1246" s="2024"/>
      <c r="S1246" s="1378"/>
      <c r="T1246" s="2024"/>
      <c r="U1246" s="1348"/>
      <c r="V1246" s="2024"/>
      <c r="W1246" s="1348"/>
      <c r="X1246" s="2024"/>
      <c r="Y1246" s="1348"/>
      <c r="Z1246" s="1960"/>
      <c r="AA1246" s="2057"/>
      <c r="AB1246" s="2024"/>
      <c r="AC1246" s="1348"/>
      <c r="AD1246" s="223"/>
      <c r="AE1246" s="1658"/>
      <c r="AF1246" s="223"/>
      <c r="AG1246" s="1629"/>
      <c r="AH1246" s="1674" t="str">
        <f t="shared" si="414"/>
        <v xml:space="preserve"> - </v>
      </c>
      <c r="AI1246" s="1512"/>
      <c r="AJ1246" s="1409"/>
      <c r="AK1246" s="1409"/>
      <c r="AL1246" s="1513"/>
      <c r="AM1246" s="1513"/>
      <c r="AN1246" s="1514"/>
      <c r="AO1246" s="1513"/>
      <c r="AP1246" s="1514"/>
      <c r="AQ1246" s="1857"/>
      <c r="AR1246" s="1858"/>
      <c r="AS1246" s="1859"/>
      <c r="AT1246" s="1860"/>
      <c r="AU1246" s="1861"/>
      <c r="AV1246" s="1862"/>
      <c r="AW1246" s="1898"/>
      <c r="AX1246" s="1899"/>
      <c r="AY1246" s="1900"/>
      <c r="AZ1246" s="1901"/>
    </row>
    <row r="1247" spans="1:54" s="2" customFormat="1" x14ac:dyDescent="0.25">
      <c r="A1247" s="533" t="s">
        <v>1738</v>
      </c>
      <c r="B1247" s="534"/>
      <c r="C1247" s="391"/>
      <c r="D1247" s="535"/>
      <c r="E1247" s="536" t="s">
        <v>1096</v>
      </c>
      <c r="F1247" s="537" t="s">
        <v>1096</v>
      </c>
      <c r="G1247" s="394">
        <v>6000000</v>
      </c>
      <c r="H1247" s="371" t="str">
        <f t="shared" si="446"/>
        <v xml:space="preserve">   </v>
      </c>
      <c r="I1247" s="371" t="str">
        <f t="shared" si="447"/>
        <v xml:space="preserve">   </v>
      </c>
      <c r="J1247" s="1450">
        <v>600000</v>
      </c>
      <c r="K1247" s="1194"/>
      <c r="L1247" s="1771" t="s">
        <v>1049</v>
      </c>
      <c r="M1247" s="1438" t="s">
        <v>1062</v>
      </c>
      <c r="N1247" s="1771" t="s">
        <v>1739</v>
      </c>
      <c r="O1247" s="1438" t="s">
        <v>1064</v>
      </c>
      <c r="P1247" s="1771" t="s">
        <v>1740</v>
      </c>
      <c r="Q1247" s="1438" t="s">
        <v>1066</v>
      </c>
      <c r="R1247" s="1771" t="s">
        <v>1741</v>
      </c>
      <c r="S1247" s="1438" t="s">
        <v>1068</v>
      </c>
      <c r="T1247" s="1771" t="s">
        <v>1742</v>
      </c>
      <c r="U1247" s="1438" t="s">
        <v>1141</v>
      </c>
      <c r="V1247" s="1771" t="s">
        <v>1743</v>
      </c>
      <c r="W1247" s="1438" t="s">
        <v>1325</v>
      </c>
      <c r="X1247" s="1771" t="s">
        <v>1061</v>
      </c>
      <c r="Y1247" s="1438" t="s">
        <v>1463</v>
      </c>
      <c r="Z1247" s="1771" t="s">
        <v>1063</v>
      </c>
      <c r="AA1247" s="1438" t="s">
        <v>1464</v>
      </c>
      <c r="AB1247" s="1813" t="s">
        <v>1065</v>
      </c>
      <c r="AC1247" s="1814" t="s">
        <v>1466</v>
      </c>
      <c r="AD1247" s="1815" t="s">
        <v>1067</v>
      </c>
      <c r="AE1247" s="1814" t="s">
        <v>1468</v>
      </c>
      <c r="AF1247" s="1815" t="s">
        <v>1465</v>
      </c>
      <c r="AG1247" s="1814" t="s">
        <v>1470</v>
      </c>
      <c r="AH1247" s="1828" t="str">
        <f t="shared" si="414"/>
        <v>#</v>
      </c>
      <c r="AI1247" s="1512"/>
      <c r="AJ1247" s="1409"/>
      <c r="AK1247" s="1409"/>
      <c r="AL1247" s="1513"/>
      <c r="AM1247" s="1815" t="s">
        <v>1467</v>
      </c>
      <c r="AN1247" s="1814" t="s">
        <v>1718</v>
      </c>
      <c r="AO1247" s="1815" t="s">
        <v>1469</v>
      </c>
      <c r="AP1247" s="1814" t="s">
        <v>1719</v>
      </c>
      <c r="AQ1247" s="1450" t="s">
        <v>1471</v>
      </c>
      <c r="AR1247" s="1863">
        <v>2000000</v>
      </c>
      <c r="AS1247" s="1450" t="s">
        <v>1472</v>
      </c>
      <c r="AT1247" s="1863">
        <v>1500000</v>
      </c>
      <c r="AU1247" s="1450" t="s">
        <v>1473</v>
      </c>
      <c r="AV1247" s="1863">
        <v>2000000</v>
      </c>
      <c r="AW1247" s="1450" t="s">
        <v>1474</v>
      </c>
      <c r="AX1247" s="1863">
        <v>4000000</v>
      </c>
      <c r="AY1247" s="1450" t="s">
        <v>1475</v>
      </c>
      <c r="AZ1247" s="1863">
        <v>10000000</v>
      </c>
      <c r="BA1247" s="1450" t="s">
        <v>22</v>
      </c>
      <c r="BB1247" s="1902">
        <v>500000</v>
      </c>
    </row>
    <row r="1248" spans="1:54" s="2" customFormat="1" x14ac:dyDescent="0.25">
      <c r="A1248" s="322">
        <v>1152</v>
      </c>
      <c r="B1248" s="538">
        <v>16</v>
      </c>
      <c r="C1248" s="540">
        <v>841916016</v>
      </c>
      <c r="D1248" s="539" t="s">
        <v>1744</v>
      </c>
      <c r="E1248" s="541" t="s">
        <v>1477</v>
      </c>
      <c r="F1248" s="542">
        <v>2016</v>
      </c>
      <c r="G1248" s="360" t="s">
        <v>1483</v>
      </c>
      <c r="H1248" s="543" t="str">
        <f t="shared" si="446"/>
        <v xml:space="preserve">   </v>
      </c>
      <c r="I1248" s="543" t="str">
        <f t="shared" si="447"/>
        <v xml:space="preserve">   </v>
      </c>
      <c r="J1248" s="1969">
        <v>600000</v>
      </c>
      <c r="K1248" s="2025"/>
      <c r="L1248" s="2026">
        <v>6000000</v>
      </c>
      <c r="M1248" s="2025">
        <v>43699</v>
      </c>
      <c r="N1248" s="2026">
        <v>6000000</v>
      </c>
      <c r="O1248" s="1542">
        <v>42762</v>
      </c>
      <c r="P1248" s="2026">
        <v>6000000</v>
      </c>
      <c r="Q1248" s="1542">
        <v>42937</v>
      </c>
      <c r="R1248" s="2044">
        <v>6000000</v>
      </c>
      <c r="S1248" s="2045">
        <v>43112</v>
      </c>
      <c r="T1248" s="2046">
        <v>6000000</v>
      </c>
      <c r="U1248" s="2047">
        <v>43293</v>
      </c>
      <c r="V1248" s="2048">
        <v>6000000</v>
      </c>
      <c r="W1248" s="2049">
        <v>43818</v>
      </c>
      <c r="X1248" s="2044">
        <v>6000000</v>
      </c>
      <c r="Y1248" s="2045">
        <v>43818</v>
      </c>
      <c r="Z1248" s="1889">
        <v>6000000</v>
      </c>
      <c r="AA1248" s="2055">
        <v>43902</v>
      </c>
      <c r="AB1248" s="1889">
        <v>6000000</v>
      </c>
      <c r="AC1248" s="2055">
        <v>44084</v>
      </c>
      <c r="AD1248" s="1818" t="str">
        <f>IFERROR(VLOOKUP(C1248,BSP,3,FALSE),"  ")</f>
        <v xml:space="preserve">  </v>
      </c>
      <c r="AE1248" s="1817" t="str">
        <f>IFERROR((VLOOKUP(C1248,BSP,4,FALSE)),"  ")</f>
        <v xml:space="preserve">  </v>
      </c>
      <c r="AF1248" s="1818"/>
      <c r="AG1248" s="1829"/>
      <c r="AH1248" s="2066" t="str">
        <f t="shared" si="414"/>
        <v>MPI-S3</v>
      </c>
      <c r="AI1248" s="1963">
        <f>SUM(J1248,L1248,N1248,P1248,R1248,T1248,V1248,X1248,Z1248,AB1248,AD1248,AF1248,AM1248,AO1248,AQ1248,AS1248,AU1248,AW1248,AY1248,BA1248)</f>
        <v>58100000</v>
      </c>
      <c r="AJ1248" s="2063">
        <f t="shared" ref="AJ1248:AJ1254" si="448">(COUNT(L1248,N1248,P1248,R1248,T1248,V1248,X1248,Z1248,AB1248,AD1248,AF1248,AM1248,AO1248)*$G$1247)+(COUNT(J1248)*$J$1247)+(COUNT(AQ1248)*$AR$1247)+(COUNT(AS1248)*$AT$1247)+(COUNT(AU1248)*$AV$1247)++(COUNT(AW1248)*$AX$1247)+(COUNT(AY1248)*$AZ$1247)+(COUNT(BA1248)*$BB$1247)</f>
        <v>58100000</v>
      </c>
      <c r="AK1248" s="1836">
        <f t="shared" ref="AK1248" si="449">AJ1248-AI1248</f>
        <v>0</v>
      </c>
      <c r="AL1248" s="1855" t="str">
        <f t="shared" ref="AL1248" si="450">IF(AK1248=0,"Lunas","Cek")</f>
        <v>Lunas</v>
      </c>
      <c r="AM1248" s="1410"/>
      <c r="AN1248" s="1411"/>
      <c r="AO1248" s="1410"/>
      <c r="AP1248" s="1411"/>
      <c r="AQ1248" s="1889">
        <v>2000000</v>
      </c>
      <c r="AR1248" s="1891">
        <v>43182</v>
      </c>
      <c r="AS1248" s="1889">
        <v>1500000</v>
      </c>
      <c r="AT1248" s="1890">
        <v>44084</v>
      </c>
      <c r="AU1248" s="1731"/>
      <c r="AV1248" s="1870"/>
      <c r="AW1248" s="1731"/>
      <c r="AX1248" s="1870"/>
      <c r="AY1248" s="1906"/>
      <c r="AZ1248" s="1870"/>
      <c r="BA1248" s="1906"/>
      <c r="BB1248" s="1870"/>
    </row>
    <row r="1249" spans="1:54" s="2" customFormat="1" x14ac:dyDescent="0.25">
      <c r="A1249" s="164">
        <v>1153</v>
      </c>
      <c r="B1249" s="544">
        <v>17</v>
      </c>
      <c r="C1249" s="546">
        <v>841916017</v>
      </c>
      <c r="D1249" s="545" t="s">
        <v>1745</v>
      </c>
      <c r="E1249" s="547" t="s">
        <v>1477</v>
      </c>
      <c r="F1249" s="548">
        <v>2016</v>
      </c>
      <c r="G1249" s="214" t="s">
        <v>1077</v>
      </c>
      <c r="H1249" s="549" t="str">
        <f t="shared" si="446"/>
        <v xml:space="preserve">   </v>
      </c>
      <c r="I1249" s="549" t="str">
        <f t="shared" si="447"/>
        <v xml:space="preserve">   </v>
      </c>
      <c r="J1249" s="1653">
        <v>600000</v>
      </c>
      <c r="K1249" s="2027"/>
      <c r="L1249" s="2028">
        <v>6000000</v>
      </c>
      <c r="M1249" s="2029">
        <v>42604</v>
      </c>
      <c r="N1249" s="1714"/>
      <c r="O1249" s="1391"/>
      <c r="P1249" s="1363"/>
      <c r="Q1249" s="1391"/>
      <c r="R1249" s="1363"/>
      <c r="S1249" s="1391"/>
      <c r="T1249" s="1363"/>
      <c r="U1249" s="1391"/>
      <c r="V1249" s="1363"/>
      <c r="W1249" s="1391"/>
      <c r="X1249" s="1363"/>
      <c r="Y1249" s="1391"/>
      <c r="Z1249" s="1363"/>
      <c r="AA1249" s="1391"/>
      <c r="AB1249" s="1430"/>
      <c r="AC1249" s="1654"/>
      <c r="AD1249" s="1430" t="str">
        <f>IFERROR(VLOOKUP(C1249,BSP,3,FALSE),"  ")</f>
        <v xml:space="preserve">  </v>
      </c>
      <c r="AE1249" s="1654" t="str">
        <f>IFERROR((VLOOKUP(C1249,BSP,4,FALSE)),"  ")</f>
        <v xml:space="preserve">  </v>
      </c>
      <c r="AF1249" s="1430"/>
      <c r="AG1249" s="1796"/>
      <c r="AH1249" s="2066" t="str">
        <f t="shared" si="414"/>
        <v>MPI-S3</v>
      </c>
      <c r="AI1249" s="1963">
        <f t="shared" ref="AI1249:AI1254" si="451">SUM(J1249,L1249,N1249,P1249,R1249,T1249,V1249,X1249,Z1249,AB1249,AD1249,AF1249,AM1249,AO1249,AQ1249,AS1249,AU1249,AW1249,AY1249,BA1249)</f>
        <v>6600000</v>
      </c>
      <c r="AJ1249" s="2063">
        <f t="shared" si="448"/>
        <v>6600000</v>
      </c>
      <c r="AK1249" s="1836">
        <f t="shared" ref="AK1249:AK1254" si="452">AJ1249-AI1249</f>
        <v>0</v>
      </c>
      <c r="AL1249" s="1855" t="str">
        <f t="shared" ref="AL1249:AL1254" si="453">IF(AK1249=0,"Lunas","Cek")</f>
        <v>Lunas</v>
      </c>
      <c r="AM1249" s="1410"/>
      <c r="AN1249" s="1411"/>
      <c r="AO1249" s="1410"/>
      <c r="AP1249" s="1411"/>
      <c r="AQ1249" s="1731"/>
      <c r="AR1249" s="1870"/>
      <c r="AS1249" s="1731"/>
      <c r="AT1249" s="1871"/>
      <c r="AU1249" s="1731"/>
      <c r="AV1249" s="1870"/>
      <c r="AW1249" s="1731"/>
      <c r="AX1249" s="1870"/>
      <c r="AY1249" s="1906"/>
      <c r="AZ1249" s="1870"/>
      <c r="BA1249" s="1906"/>
      <c r="BB1249" s="1870"/>
    </row>
    <row r="1250" spans="1:54" s="2" customFormat="1" x14ac:dyDescent="0.25">
      <c r="A1250" s="164">
        <v>1154</v>
      </c>
      <c r="B1250" s="544">
        <v>18</v>
      </c>
      <c r="C1250" s="510">
        <v>841916018</v>
      </c>
      <c r="D1250" s="550" t="s">
        <v>1746</v>
      </c>
      <c r="E1250" s="551" t="s">
        <v>1477</v>
      </c>
      <c r="F1250" s="552">
        <v>2016</v>
      </c>
      <c r="G1250" s="360" t="s">
        <v>1483</v>
      </c>
      <c r="H1250" s="553" t="str">
        <f t="shared" si="446"/>
        <v xml:space="preserve">   </v>
      </c>
      <c r="I1250" s="553" t="str">
        <f t="shared" si="447"/>
        <v xml:space="preserve">   </v>
      </c>
      <c r="J1250" s="1635">
        <v>600000</v>
      </c>
      <c r="K1250" s="1360"/>
      <c r="L1250" s="2030">
        <v>6000000</v>
      </c>
      <c r="M1250" s="2029">
        <v>42604</v>
      </c>
      <c r="N1250" s="2030">
        <v>6000000</v>
      </c>
      <c r="O1250" s="1360">
        <v>42762</v>
      </c>
      <c r="P1250" s="2030">
        <v>6000000</v>
      </c>
      <c r="Q1250" s="1360">
        <v>42934</v>
      </c>
      <c r="R1250" s="2050">
        <v>6000000</v>
      </c>
      <c r="S1250" s="2051">
        <v>43605</v>
      </c>
      <c r="T1250" s="2052">
        <v>6000000</v>
      </c>
      <c r="U1250" s="2051">
        <v>43605</v>
      </c>
      <c r="V1250" s="2052">
        <v>6000000</v>
      </c>
      <c r="W1250" s="1820">
        <v>43911</v>
      </c>
      <c r="X1250" s="2052">
        <v>6000000</v>
      </c>
      <c r="Y1250" s="1820">
        <v>43911</v>
      </c>
      <c r="Z1250" s="2052">
        <v>6000000</v>
      </c>
      <c r="AA1250" s="1820">
        <v>43911</v>
      </c>
      <c r="AB1250" s="2052">
        <v>6000000</v>
      </c>
      <c r="AC1250" s="2055">
        <v>44123</v>
      </c>
      <c r="AD1250" s="1430"/>
      <c r="AE1250" s="1654"/>
      <c r="AF1250" s="1430"/>
      <c r="AG1250" s="1796"/>
      <c r="AH1250" s="2066" t="str">
        <f t="shared" si="414"/>
        <v>MPI-S3</v>
      </c>
      <c r="AI1250" s="1963">
        <f t="shared" si="451"/>
        <v>74100000</v>
      </c>
      <c r="AJ1250" s="2063">
        <f t="shared" si="448"/>
        <v>74100000</v>
      </c>
      <c r="AK1250" s="1836">
        <f t="shared" si="452"/>
        <v>0</v>
      </c>
      <c r="AL1250" s="1855" t="str">
        <f t="shared" si="453"/>
        <v>Lunas</v>
      </c>
      <c r="AM1250" s="1410"/>
      <c r="AN1250" s="1411"/>
      <c r="AO1250" s="1410"/>
      <c r="AP1250" s="1411"/>
      <c r="AQ1250" s="2050">
        <v>2000000</v>
      </c>
      <c r="AR1250" s="2051">
        <v>43605</v>
      </c>
      <c r="AS1250" s="2050">
        <v>1500000</v>
      </c>
      <c r="AT1250" s="2051">
        <v>43911</v>
      </c>
      <c r="AU1250" s="2050">
        <v>2000000</v>
      </c>
      <c r="AV1250" s="2051">
        <v>44057.621655092596</v>
      </c>
      <c r="AW1250" s="1880">
        <v>4000000</v>
      </c>
      <c r="AX1250" s="1885">
        <v>44124</v>
      </c>
      <c r="AY1250" s="1913">
        <v>10000000</v>
      </c>
      <c r="AZ1250" s="1885">
        <v>44145</v>
      </c>
      <c r="BA1250" s="1906"/>
      <c r="BB1250" s="1870"/>
    </row>
    <row r="1251" spans="1:54" s="2" customFormat="1" x14ac:dyDescent="0.25">
      <c r="A1251" s="164">
        <v>1155</v>
      </c>
      <c r="B1251" s="544">
        <v>19</v>
      </c>
      <c r="C1251" s="546">
        <v>841916019</v>
      </c>
      <c r="D1251" s="545" t="s">
        <v>1747</v>
      </c>
      <c r="E1251" s="547" t="s">
        <v>1477</v>
      </c>
      <c r="F1251" s="548">
        <v>2016</v>
      </c>
      <c r="G1251" s="214" t="s">
        <v>1077</v>
      </c>
      <c r="H1251" s="549" t="str">
        <f t="shared" si="446"/>
        <v xml:space="preserve">   </v>
      </c>
      <c r="I1251" s="549" t="str">
        <f t="shared" si="447"/>
        <v xml:space="preserve">   </v>
      </c>
      <c r="J1251" s="1653">
        <v>600000</v>
      </c>
      <c r="K1251" s="2027"/>
      <c r="L1251" s="2028">
        <v>6000000</v>
      </c>
      <c r="M1251" s="2029">
        <v>42604</v>
      </c>
      <c r="N1251" s="2028"/>
      <c r="O1251" s="1360"/>
      <c r="P1251" s="1653"/>
      <c r="Q1251" s="1360"/>
      <c r="R1251" s="1714"/>
      <c r="S1251" s="1367"/>
      <c r="T1251" s="1430"/>
      <c r="U1251" s="1360"/>
      <c r="V1251" s="1389"/>
      <c r="W1251" s="1360"/>
      <c r="X1251" s="1714"/>
      <c r="Y1251" s="1367"/>
      <c r="Z1251" s="1731"/>
      <c r="AA1251" s="1367"/>
      <c r="AB1251" s="1389"/>
      <c r="AC1251" s="1654"/>
      <c r="AD1251" s="1430" t="str">
        <f>IFERROR(VLOOKUP(C1251,BSP,3,FALSE),"  ")</f>
        <v xml:space="preserve">  </v>
      </c>
      <c r="AE1251" s="1654" t="str">
        <f>IFERROR((VLOOKUP(C1251,BSP,4,FALSE)),"  ")</f>
        <v xml:space="preserve">  </v>
      </c>
      <c r="AF1251" s="1430"/>
      <c r="AG1251" s="1796"/>
      <c r="AH1251" s="2066" t="str">
        <f t="shared" ref="AH1251:AH1314" si="454">E1251</f>
        <v>MPI-S3</v>
      </c>
      <c r="AI1251" s="1963">
        <f t="shared" si="451"/>
        <v>6600000</v>
      </c>
      <c r="AJ1251" s="2063">
        <f t="shared" si="448"/>
        <v>6600000</v>
      </c>
      <c r="AK1251" s="1836">
        <f t="shared" si="452"/>
        <v>0</v>
      </c>
      <c r="AL1251" s="1855" t="str">
        <f t="shared" si="453"/>
        <v>Lunas</v>
      </c>
      <c r="AM1251" s="1410"/>
      <c r="AN1251" s="1411"/>
      <c r="AO1251" s="1410"/>
      <c r="AP1251" s="1411"/>
      <c r="AQ1251" s="1731"/>
      <c r="AR1251" s="1870"/>
      <c r="AS1251" s="1731"/>
      <c r="AT1251" s="1871"/>
      <c r="AU1251" s="1731"/>
      <c r="AV1251" s="1870"/>
      <c r="AW1251" s="1731"/>
      <c r="AX1251" s="1870"/>
      <c r="AY1251" s="1906"/>
      <c r="AZ1251" s="1870"/>
      <c r="BA1251" s="1906"/>
      <c r="BB1251" s="1870"/>
    </row>
    <row r="1252" spans="1:54" s="2" customFormat="1" x14ac:dyDescent="0.25">
      <c r="A1252" s="164">
        <v>1156</v>
      </c>
      <c r="B1252" s="544">
        <v>20</v>
      </c>
      <c r="C1252" s="510">
        <v>841916020</v>
      </c>
      <c r="D1252" s="2012" t="s">
        <v>1748</v>
      </c>
      <c r="E1252" s="547" t="s">
        <v>1477</v>
      </c>
      <c r="F1252" s="2013">
        <v>2016</v>
      </c>
      <c r="G1252" s="214" t="s">
        <v>1077</v>
      </c>
      <c r="H1252" s="553" t="str">
        <f t="shared" si="446"/>
        <v xml:space="preserve">   </v>
      </c>
      <c r="I1252" s="553" t="str">
        <f t="shared" si="447"/>
        <v xml:space="preserve">   </v>
      </c>
      <c r="J1252" s="1635">
        <v>600000</v>
      </c>
      <c r="K1252" s="1360"/>
      <c r="L1252" s="2030">
        <v>6000000</v>
      </c>
      <c r="M1252" s="2029">
        <v>42604</v>
      </c>
      <c r="N1252" s="2030">
        <v>6000000</v>
      </c>
      <c r="O1252" s="1360">
        <v>42761</v>
      </c>
      <c r="P1252" s="1389">
        <v>6000000</v>
      </c>
      <c r="Q1252" s="1360">
        <v>42929</v>
      </c>
      <c r="R1252" s="2050">
        <v>6000000</v>
      </c>
      <c r="S1252" s="2051">
        <v>43112</v>
      </c>
      <c r="T1252" s="1794">
        <v>6000000</v>
      </c>
      <c r="U1252" s="1822">
        <v>43293</v>
      </c>
      <c r="V1252" s="2053">
        <v>6000000</v>
      </c>
      <c r="W1252" s="1820">
        <v>43552</v>
      </c>
      <c r="X1252" s="1714"/>
      <c r="Y1252" s="1367"/>
      <c r="Z1252" s="1731"/>
      <c r="AA1252" s="1367"/>
      <c r="AB1252" s="1731"/>
      <c r="AC1252" s="1367"/>
      <c r="AD1252" s="1430" t="str">
        <f>IFERROR(VLOOKUP(C1252,BSP,3,FALSE),"  ")</f>
        <v xml:space="preserve">  </v>
      </c>
      <c r="AE1252" s="1654" t="str">
        <f>IFERROR((VLOOKUP(C1252,BSP,4,FALSE)),"  ")</f>
        <v xml:space="preserve">  </v>
      </c>
      <c r="AF1252" s="1430"/>
      <c r="AG1252" s="1796"/>
      <c r="AH1252" s="2066" t="str">
        <f t="shared" si="454"/>
        <v>MPI-S3</v>
      </c>
      <c r="AI1252" s="1963">
        <f t="shared" si="451"/>
        <v>38600000</v>
      </c>
      <c r="AJ1252" s="2063">
        <f t="shared" si="448"/>
        <v>38600000</v>
      </c>
      <c r="AK1252" s="1836">
        <f t="shared" si="452"/>
        <v>0</v>
      </c>
      <c r="AL1252" s="1855" t="str">
        <f t="shared" si="453"/>
        <v>Lunas</v>
      </c>
      <c r="AM1252" s="1410"/>
      <c r="AN1252" s="1411"/>
      <c r="AO1252" s="1410"/>
      <c r="AP1252" s="1411"/>
      <c r="AQ1252" s="1880">
        <v>2000000</v>
      </c>
      <c r="AR1252" s="1885">
        <v>43187</v>
      </c>
      <c r="AS1252" s="1731"/>
      <c r="AT1252" s="1871"/>
      <c r="AU1252" s="1731"/>
      <c r="AV1252" s="1870"/>
      <c r="AW1252" s="1731"/>
      <c r="AX1252" s="1870"/>
      <c r="AY1252" s="1906"/>
      <c r="AZ1252" s="1870"/>
      <c r="BA1252" s="1906"/>
      <c r="BB1252" s="1870"/>
    </row>
    <row r="1253" spans="1:54" s="2" customFormat="1" x14ac:dyDescent="0.25">
      <c r="A1253" s="164">
        <v>1157</v>
      </c>
      <c r="B1253" s="544">
        <v>21</v>
      </c>
      <c r="C1253" s="510">
        <v>841916021</v>
      </c>
      <c r="D1253" s="557" t="s">
        <v>1749</v>
      </c>
      <c r="E1253" s="551" t="s">
        <v>1477</v>
      </c>
      <c r="F1253" s="552">
        <v>2016</v>
      </c>
      <c r="G1253" s="360" t="s">
        <v>1483</v>
      </c>
      <c r="H1253" s="553" t="str">
        <f t="shared" si="446"/>
        <v xml:space="preserve">   </v>
      </c>
      <c r="I1253" s="553" t="str">
        <f t="shared" si="447"/>
        <v xml:space="preserve">   </v>
      </c>
      <c r="J1253" s="1635">
        <v>600000</v>
      </c>
      <c r="K1253" s="1360"/>
      <c r="L1253" s="2030">
        <v>6000000</v>
      </c>
      <c r="M1253" s="2029">
        <v>42604</v>
      </c>
      <c r="N1253" s="2030">
        <v>6000000</v>
      </c>
      <c r="O1253" s="1360">
        <v>42753</v>
      </c>
      <c r="P1253" s="1389">
        <v>6000000</v>
      </c>
      <c r="Q1253" s="1360">
        <v>42929</v>
      </c>
      <c r="R1253" s="2050">
        <v>6000000</v>
      </c>
      <c r="S1253" s="2051">
        <v>43112</v>
      </c>
      <c r="T1253" s="1794">
        <v>6000000</v>
      </c>
      <c r="U1253" s="1822">
        <v>43293</v>
      </c>
      <c r="V1253" s="1773">
        <v>6000000</v>
      </c>
      <c r="W1253" s="1822">
        <v>43599</v>
      </c>
      <c r="X1253" s="2050">
        <v>6000000</v>
      </c>
      <c r="Y1253" s="2051">
        <v>43720.470567129603</v>
      </c>
      <c r="Z1253" s="2050">
        <v>6000000</v>
      </c>
      <c r="AA1253" s="2051">
        <v>43936</v>
      </c>
      <c r="AB1253" s="2050">
        <v>6000000</v>
      </c>
      <c r="AC1253" s="2051">
        <v>44091</v>
      </c>
      <c r="AD1253" s="1430" t="str">
        <f>IFERROR(VLOOKUP(C1253,BSP,3,FALSE),"  ")</f>
        <v xml:space="preserve">  </v>
      </c>
      <c r="AE1253" s="1654" t="str">
        <f>IFERROR((VLOOKUP(C1253,BSP,4,FALSE)),"  ")</f>
        <v xml:space="preserve">  </v>
      </c>
      <c r="AF1253" s="1430"/>
      <c r="AG1253" s="1796"/>
      <c r="AH1253" s="2066" t="str">
        <f t="shared" si="454"/>
        <v>MPI-S3</v>
      </c>
      <c r="AI1253" s="1963">
        <f t="shared" si="451"/>
        <v>58100000</v>
      </c>
      <c r="AJ1253" s="2063">
        <f t="shared" si="448"/>
        <v>58100000</v>
      </c>
      <c r="AK1253" s="1836">
        <f t="shared" si="452"/>
        <v>0</v>
      </c>
      <c r="AL1253" s="1855" t="str">
        <f t="shared" si="453"/>
        <v>Lunas</v>
      </c>
      <c r="AM1253" s="1410"/>
      <c r="AN1253" s="1411"/>
      <c r="AO1253" s="1410"/>
      <c r="AP1253" s="1411"/>
      <c r="AQ1253" s="1889">
        <v>2000000</v>
      </c>
      <c r="AR1253" s="1891">
        <v>43943</v>
      </c>
      <c r="AS1253" s="2050">
        <v>1500000</v>
      </c>
      <c r="AT1253" s="2051">
        <v>44091</v>
      </c>
      <c r="AU1253" s="1731"/>
      <c r="AV1253" s="1870"/>
      <c r="AW1253" s="1731"/>
      <c r="AX1253" s="1870"/>
      <c r="AY1253" s="1906"/>
      <c r="AZ1253" s="1870"/>
      <c r="BA1253" s="1906"/>
      <c r="BB1253" s="1870"/>
    </row>
    <row r="1254" spans="1:54" s="2" customFormat="1" x14ac:dyDescent="0.25">
      <c r="A1254" s="216">
        <v>1158</v>
      </c>
      <c r="B1254" s="558">
        <v>22</v>
      </c>
      <c r="C1254" s="560">
        <v>841916022</v>
      </c>
      <c r="D1254" s="559" t="s">
        <v>1750</v>
      </c>
      <c r="E1254" s="561" t="s">
        <v>1477</v>
      </c>
      <c r="F1254" s="562">
        <v>2016</v>
      </c>
      <c r="G1254" s="214" t="s">
        <v>1077</v>
      </c>
      <c r="H1254" s="563" t="str">
        <f t="shared" si="446"/>
        <v xml:space="preserve">   </v>
      </c>
      <c r="I1254" s="563" t="str">
        <f t="shared" si="447"/>
        <v xml:space="preserve">   </v>
      </c>
      <c r="J1254" s="2031">
        <v>600000</v>
      </c>
      <c r="K1254" s="2032"/>
      <c r="L1254" s="2033">
        <v>6000000</v>
      </c>
      <c r="M1254" s="2034">
        <v>42604</v>
      </c>
      <c r="N1254" s="1714"/>
      <c r="O1254" s="1391"/>
      <c r="P1254" s="1363"/>
      <c r="Q1254" s="1391"/>
      <c r="R1254" s="1363"/>
      <c r="S1254" s="1391"/>
      <c r="T1254" s="1363"/>
      <c r="U1254" s="1391"/>
      <c r="V1254" s="1363"/>
      <c r="W1254" s="1391"/>
      <c r="X1254" s="1363"/>
      <c r="Y1254" s="1391"/>
      <c r="Z1254" s="1363"/>
      <c r="AA1254" s="1391"/>
      <c r="AB1254" s="1430"/>
      <c r="AC1254" s="1654"/>
      <c r="AD1254" s="1430"/>
      <c r="AE1254" s="1654"/>
      <c r="AF1254" s="1430"/>
      <c r="AG1254" s="1796"/>
      <c r="AH1254" s="2066" t="str">
        <f t="shared" si="454"/>
        <v>MPI-S3</v>
      </c>
      <c r="AI1254" s="1963">
        <f t="shared" si="451"/>
        <v>6600000</v>
      </c>
      <c r="AJ1254" s="2063">
        <f t="shared" si="448"/>
        <v>6600000</v>
      </c>
      <c r="AK1254" s="1836">
        <f t="shared" si="452"/>
        <v>0</v>
      </c>
      <c r="AL1254" s="1855" t="str">
        <f t="shared" si="453"/>
        <v>Lunas</v>
      </c>
      <c r="AM1254" s="1410"/>
      <c r="AN1254" s="1411"/>
      <c r="AO1254" s="1410"/>
      <c r="AP1254" s="1411"/>
      <c r="AQ1254" s="1731"/>
      <c r="AR1254" s="1870"/>
      <c r="AS1254" s="1731"/>
      <c r="AT1254" s="1871"/>
      <c r="AU1254" s="1731"/>
      <c r="AV1254" s="1870"/>
      <c r="AW1254" s="1731"/>
      <c r="AX1254" s="1870"/>
      <c r="AY1254" s="1906"/>
      <c r="AZ1254" s="1870"/>
      <c r="BA1254" s="1906"/>
      <c r="BB1254" s="1870"/>
    </row>
    <row r="1255" spans="1:54" s="2" customFormat="1" x14ac:dyDescent="0.25">
      <c r="A1255" s="440" t="s">
        <v>1751</v>
      </c>
      <c r="B1255" s="224"/>
      <c r="C1255" s="436"/>
      <c r="D1255" s="223"/>
      <c r="E1255" s="437" t="s">
        <v>61</v>
      </c>
      <c r="F1255" s="438" t="s">
        <v>61</v>
      </c>
      <c r="G1255" s="192" t="s">
        <v>61</v>
      </c>
      <c r="H1255" s="439" t="str">
        <f t="shared" si="446"/>
        <v xml:space="preserve">   </v>
      </c>
      <c r="I1255" s="439" t="str">
        <f t="shared" si="447"/>
        <v xml:space="preserve">   </v>
      </c>
      <c r="J1255" s="2024"/>
      <c r="K1255" s="1348"/>
      <c r="L1255" s="2024"/>
      <c r="M1255" s="1348"/>
      <c r="N1255" s="2024"/>
      <c r="O1255" s="1348"/>
      <c r="P1255" s="2024"/>
      <c r="Q1255" s="1348"/>
      <c r="R1255" s="2024"/>
      <c r="S1255" s="1378"/>
      <c r="T1255" s="2024"/>
      <c r="U1255" s="1348"/>
      <c r="V1255" s="2024"/>
      <c r="W1255" s="1348"/>
      <c r="X1255" s="2024"/>
      <c r="Y1255" s="1348"/>
      <c r="Z1255" s="1960"/>
      <c r="AA1255" s="2057"/>
      <c r="AB1255" s="2024"/>
      <c r="AC1255" s="1348"/>
      <c r="AD1255" s="2058"/>
      <c r="AE1255" s="2058"/>
      <c r="AF1255" s="1769"/>
      <c r="AG1255" s="1155"/>
      <c r="AH1255" s="1408" t="str">
        <f t="shared" si="454"/>
        <v>-</v>
      </c>
      <c r="AI1255" s="1512"/>
      <c r="AJ1255" s="1409"/>
      <c r="AK1255" s="1409"/>
      <c r="AL1255" s="1513"/>
      <c r="AM1255" s="1513"/>
      <c r="AN1255" s="1514"/>
      <c r="AO1255" s="1513"/>
      <c r="AP1255" s="1514"/>
      <c r="AQ1255" s="1128"/>
      <c r="AR1255" s="1173"/>
      <c r="AT1255" s="1173"/>
      <c r="AV1255" s="1173"/>
      <c r="AX1255" s="1173"/>
      <c r="AY1255" s="1176"/>
      <c r="AZ1255" s="1173"/>
    </row>
    <row r="1256" spans="1:54" s="2" customFormat="1" x14ac:dyDescent="0.25">
      <c r="A1256" s="564" t="s">
        <v>1752</v>
      </c>
      <c r="B1256" s="564"/>
      <c r="C1256" s="366"/>
      <c r="D1256" s="564"/>
      <c r="E1256" s="198" t="s">
        <v>1096</v>
      </c>
      <c r="F1256" s="199" t="s">
        <v>1096</v>
      </c>
      <c r="G1256" s="565">
        <v>3000000</v>
      </c>
      <c r="H1256" s="147" t="str">
        <f t="shared" si="446"/>
        <v xml:space="preserve">   </v>
      </c>
      <c r="I1256" s="147" t="str">
        <f t="shared" si="447"/>
        <v xml:space="preserve">   </v>
      </c>
      <c r="J1256" s="2035">
        <v>600000</v>
      </c>
      <c r="K1256" s="2036"/>
      <c r="L1256" s="1582" t="s">
        <v>1049</v>
      </c>
      <c r="M1256" s="1502" t="s">
        <v>1066</v>
      </c>
      <c r="N1256" s="1582" t="s">
        <v>1051</v>
      </c>
      <c r="O1256" s="1502" t="s">
        <v>1068</v>
      </c>
      <c r="P1256" s="1582" t="s">
        <v>1053</v>
      </c>
      <c r="Q1256" s="1502" t="s">
        <v>1141</v>
      </c>
      <c r="R1256" s="1582" t="s">
        <v>1055</v>
      </c>
      <c r="S1256" s="1502" t="s">
        <v>1325</v>
      </c>
      <c r="T1256" s="1582" t="s">
        <v>1057</v>
      </c>
      <c r="U1256" s="1502" t="s">
        <v>1463</v>
      </c>
      <c r="V1256" s="1582" t="s">
        <v>1059</v>
      </c>
      <c r="W1256" s="1502" t="s">
        <v>1464</v>
      </c>
      <c r="X1256" s="1582" t="s">
        <v>1061</v>
      </c>
      <c r="Y1256" s="1502" t="s">
        <v>1466</v>
      </c>
      <c r="Z1256" s="1582" t="s">
        <v>1063</v>
      </c>
      <c r="AA1256" s="1502" t="s">
        <v>1468</v>
      </c>
      <c r="AB1256" s="1450">
        <v>1000000</v>
      </c>
      <c r="AC1256" s="1663" t="s">
        <v>1326</v>
      </c>
      <c r="AD1256" s="1450">
        <v>500000</v>
      </c>
      <c r="AE1256" s="2005" t="s">
        <v>22</v>
      </c>
      <c r="AF1256" s="2059" t="s">
        <v>1753</v>
      </c>
      <c r="AG1256" s="2005" t="s">
        <v>1754</v>
      </c>
      <c r="AH1256" s="2058" t="str">
        <f t="shared" si="454"/>
        <v>#</v>
      </c>
      <c r="AI1256" s="1512"/>
      <c r="AJ1256" s="1409"/>
      <c r="AK1256" s="1409"/>
      <c r="AL1256" s="1513"/>
      <c r="AM1256" s="1513"/>
      <c r="AN1256" s="1514"/>
      <c r="AO1256" s="1513"/>
      <c r="AP1256" s="1514"/>
      <c r="AQ1256" s="1128"/>
      <c r="AR1256" s="1173"/>
      <c r="AT1256" s="1173"/>
      <c r="AV1256" s="1173"/>
      <c r="AX1256" s="1173"/>
      <c r="AY1256" s="1176"/>
      <c r="AZ1256" s="1173"/>
    </row>
    <row r="1257" spans="1:54" s="2" customFormat="1" x14ac:dyDescent="0.25">
      <c r="A1257" s="457">
        <v>1159</v>
      </c>
      <c r="B1257" s="458">
        <v>1</v>
      </c>
      <c r="C1257" s="659">
        <v>849317001</v>
      </c>
      <c r="D1257" s="566" t="s">
        <v>1755</v>
      </c>
      <c r="E1257" s="567" t="s">
        <v>1328</v>
      </c>
      <c r="F1257" s="568">
        <v>2017</v>
      </c>
      <c r="G1257" s="360" t="s">
        <v>1483</v>
      </c>
      <c r="H1257" s="570" t="str">
        <f t="shared" si="446"/>
        <v xml:space="preserve">   </v>
      </c>
      <c r="I1257" s="570" t="str">
        <f t="shared" si="447"/>
        <v xml:space="preserve">   </v>
      </c>
      <c r="J1257" s="2037">
        <v>600000</v>
      </c>
      <c r="K1257" s="1727"/>
      <c r="L1257" s="1970">
        <v>3000000</v>
      </c>
      <c r="M1257" s="1542">
        <v>42951</v>
      </c>
      <c r="N1257" s="2038">
        <v>2750000</v>
      </c>
      <c r="O1257" s="1590">
        <v>43111</v>
      </c>
      <c r="P1257" s="1970">
        <v>3000000</v>
      </c>
      <c r="Q1257" s="1542">
        <v>43294</v>
      </c>
      <c r="R1257" s="1980">
        <v>3000000</v>
      </c>
      <c r="S1257" s="1590">
        <v>43482</v>
      </c>
      <c r="T1257" s="1941">
        <v>3000000</v>
      </c>
      <c r="U1257" s="2054">
        <v>43670</v>
      </c>
      <c r="V1257" s="1714">
        <v>3000000</v>
      </c>
      <c r="W1257" s="1367">
        <v>43859.5946064815</v>
      </c>
      <c r="X1257" s="1714">
        <v>3000000</v>
      </c>
      <c r="Y1257" s="1367">
        <v>44053.440451388902</v>
      </c>
      <c r="Z1257" s="1941"/>
      <c r="AA1257" s="1955"/>
      <c r="AB1257" s="1980"/>
      <c r="AC1257" s="1940"/>
      <c r="AD1257" s="1666"/>
      <c r="AE1257" s="1590"/>
      <c r="AF1257" s="1551">
        <v>500000</v>
      </c>
      <c r="AG1257" s="2067">
        <v>42972</v>
      </c>
      <c r="AH1257" s="2068" t="str">
        <f t="shared" si="454"/>
        <v>PAI</v>
      </c>
      <c r="AI1257" s="1678">
        <f>SUM(J1257,L1257,N1257,P1257,R1257,T1257,V1257,X1257,Z1257,AB1257,AD1257,AF1257)</f>
        <v>21850000</v>
      </c>
      <c r="AJ1257" s="1679" t="e">
        <f t="shared" ref="AJ1257:AJ1288" si="455">(COUNT(L1257,N1257,P1257,R1257,T1257,V1257,X1257,Z1257)*$G$1256)+(COUNT(J1257)*$J$1256)+(COUNT(AB1257)*$AB$1256)+(COUNT(AD1257)*$AD$1256)+(COUNT(AF1257)*AH1257)</f>
        <v>#VALUE!</v>
      </c>
      <c r="AK1257" s="1419" t="e">
        <f t="shared" ref="AK1257" si="456">AJ1257-AI1257</f>
        <v>#VALUE!</v>
      </c>
      <c r="AL1257" s="1420" t="e">
        <f t="shared" ref="AL1257" si="457">IF(AK1257=0,"Lunas","Cek")</f>
        <v>#VALUE!</v>
      </c>
      <c r="AM1257" s="1410"/>
      <c r="AN1257" s="1411"/>
      <c r="AO1257" s="1410"/>
      <c r="AP1257" s="1411"/>
      <c r="AQ1257" s="1128"/>
      <c r="AR1257" s="1173"/>
      <c r="AT1257" s="1173"/>
      <c r="AV1257" s="1173"/>
      <c r="AX1257" s="1173"/>
      <c r="AY1257" s="1176"/>
      <c r="AZ1257" s="1173"/>
    </row>
    <row r="1258" spans="1:54" s="2" customFormat="1" x14ac:dyDescent="0.25">
      <c r="A1258" s="156">
        <v>1160</v>
      </c>
      <c r="B1258" s="344">
        <v>2</v>
      </c>
      <c r="C1258" s="2014">
        <v>849317002</v>
      </c>
      <c r="D1258" s="575" t="s">
        <v>1756</v>
      </c>
      <c r="E1258" s="576" t="s">
        <v>1328</v>
      </c>
      <c r="F1258" s="577">
        <v>2017</v>
      </c>
      <c r="G1258" s="272" t="s">
        <v>33</v>
      </c>
      <c r="H1258" s="163">
        <f t="shared" si="446"/>
        <v>43852</v>
      </c>
      <c r="I1258" s="163">
        <f t="shared" si="447"/>
        <v>44168</v>
      </c>
      <c r="J1258" s="1636">
        <v>600000</v>
      </c>
      <c r="K1258" s="1365">
        <v>42937</v>
      </c>
      <c r="L1258" s="1480">
        <v>3000000</v>
      </c>
      <c r="M1258" s="1365">
        <v>42937</v>
      </c>
      <c r="N1258" s="1385">
        <v>3000000</v>
      </c>
      <c r="O1258" s="1357">
        <v>43146</v>
      </c>
      <c r="P1258" s="1480">
        <v>3000000</v>
      </c>
      <c r="Q1258" s="1365">
        <v>43308</v>
      </c>
      <c r="R1258" s="1385">
        <v>3000000</v>
      </c>
      <c r="S1258" s="1357">
        <v>43503</v>
      </c>
      <c r="T1258" s="1358">
        <v>3000000</v>
      </c>
      <c r="U1258" s="1357">
        <v>43692</v>
      </c>
      <c r="V1258" s="1465" t="s">
        <v>1080</v>
      </c>
      <c r="W1258" s="1384"/>
      <c r="X1258" s="1363"/>
      <c r="Y1258" s="1391"/>
      <c r="Z1258" s="1363" t="str">
        <f>IFERROR(VLOOKUP(C1258,BSP,3,FALSE),"  ")</f>
        <v xml:space="preserve">  </v>
      </c>
      <c r="AA1258" s="1563" t="str">
        <f>IFERROR((VLOOKUP(C1258,BSP,4,FALSE)),"  ")</f>
        <v xml:space="preserve">  </v>
      </c>
      <c r="AB1258" s="1385">
        <v>1000000</v>
      </c>
      <c r="AC1258" s="2060">
        <v>43822</v>
      </c>
      <c r="AD1258" s="1809">
        <v>500000</v>
      </c>
      <c r="AE1258" s="1440">
        <v>43867</v>
      </c>
      <c r="AF1258" s="2061">
        <v>500000</v>
      </c>
      <c r="AG1258" s="2069"/>
      <c r="AH1258" s="2070" t="str">
        <f t="shared" si="454"/>
        <v>PAI</v>
      </c>
      <c r="AI1258" s="1678">
        <f t="shared" ref="AI1258:AI1309" si="458">SUM(J1258,L1258,N1258,P1258,R1258,T1258,V1258,X1258,Z1258,AB1258,AD1258,AF1258)</f>
        <v>17600000</v>
      </c>
      <c r="AJ1258" s="1679" t="e">
        <f t="shared" si="455"/>
        <v>#VALUE!</v>
      </c>
      <c r="AK1258" s="1419" t="e">
        <f t="shared" ref="AK1258:AK1309" si="459">AJ1258-AI1258</f>
        <v>#VALUE!</v>
      </c>
      <c r="AL1258" s="1420" t="e">
        <f t="shared" ref="AL1258:AL1309" si="460">IF(AK1258=0,"Lunas","Cek")</f>
        <v>#VALUE!</v>
      </c>
      <c r="AM1258" s="1410"/>
      <c r="AN1258" s="1411"/>
      <c r="AO1258" s="1410"/>
      <c r="AP1258" s="1411"/>
      <c r="AQ1258" s="1128"/>
      <c r="AR1258" s="1173"/>
      <c r="AT1258" s="1173"/>
      <c r="AV1258" s="1173"/>
      <c r="AX1258" s="1173"/>
      <c r="AY1258" s="1176"/>
      <c r="AZ1258" s="1173"/>
    </row>
    <row r="1259" spans="1:54" s="2" customFormat="1" x14ac:dyDescent="0.25">
      <c r="A1259" s="164">
        <v>1161</v>
      </c>
      <c r="B1259" s="345">
        <v>3</v>
      </c>
      <c r="C1259" s="660">
        <v>849317003</v>
      </c>
      <c r="D1259" s="571" t="s">
        <v>1757</v>
      </c>
      <c r="E1259" s="572" t="s">
        <v>1328</v>
      </c>
      <c r="F1259" s="573">
        <v>2017</v>
      </c>
      <c r="G1259" s="1758" t="s">
        <v>28</v>
      </c>
      <c r="H1259" s="574" t="str">
        <f t="shared" si="446"/>
        <v xml:space="preserve">   </v>
      </c>
      <c r="I1259" s="574" t="str">
        <f t="shared" si="447"/>
        <v xml:space="preserve">   </v>
      </c>
      <c r="J1259" s="1635">
        <v>600000</v>
      </c>
      <c r="K1259" s="1360">
        <v>42941</v>
      </c>
      <c r="L1259" s="1389">
        <v>3000000</v>
      </c>
      <c r="M1259" s="1360">
        <v>42941</v>
      </c>
      <c r="N1259" s="2039">
        <v>3000000</v>
      </c>
      <c r="O1259" s="2040">
        <v>43110</v>
      </c>
      <c r="P1259" s="1389">
        <v>3000000</v>
      </c>
      <c r="Q1259" s="1360">
        <v>43293</v>
      </c>
      <c r="R1259" s="1714">
        <v>3000000</v>
      </c>
      <c r="S1259" s="1367">
        <v>43494</v>
      </c>
      <c r="T1259" s="1363">
        <v>0</v>
      </c>
      <c r="U1259" s="1367"/>
      <c r="V1259" s="1714">
        <v>0</v>
      </c>
      <c r="W1259" s="1367" t="s">
        <v>783</v>
      </c>
      <c r="X1259" s="1714">
        <v>0</v>
      </c>
      <c r="Y1259" s="1367" t="s">
        <v>783</v>
      </c>
      <c r="Z1259" s="1363" t="str">
        <f>IFERROR(VLOOKUP(C1259,BSP,3,FALSE),"  ")</f>
        <v xml:space="preserve">  </v>
      </c>
      <c r="AA1259" s="1563" t="str">
        <f>IFERROR((VLOOKUP(C1259,BSP,4,FALSE)),"  ")</f>
        <v xml:space="preserve">  </v>
      </c>
      <c r="AB1259" s="1714">
        <v>0</v>
      </c>
      <c r="AC1259" s="1384"/>
      <c r="AD1259" s="1666"/>
      <c r="AE1259" s="1590"/>
      <c r="AF1259" s="2061">
        <v>750000</v>
      </c>
      <c r="AG1259" s="2069"/>
      <c r="AH1259" s="2070" t="str">
        <f t="shared" si="454"/>
        <v>PAI</v>
      </c>
      <c r="AI1259" s="1678">
        <f t="shared" si="458"/>
        <v>13350000</v>
      </c>
      <c r="AJ1259" s="1679" t="e">
        <f t="shared" si="455"/>
        <v>#VALUE!</v>
      </c>
      <c r="AK1259" s="1419" t="e">
        <f t="shared" si="459"/>
        <v>#VALUE!</v>
      </c>
      <c r="AL1259" s="1420" t="e">
        <f t="shared" si="460"/>
        <v>#VALUE!</v>
      </c>
      <c r="AM1259" s="1410"/>
      <c r="AN1259" s="1411"/>
      <c r="AO1259" s="1410"/>
      <c r="AP1259" s="1411"/>
      <c r="AQ1259" s="1128"/>
      <c r="AR1259" s="1173"/>
      <c r="AT1259" s="1173"/>
      <c r="AV1259" s="1173"/>
      <c r="AX1259" s="1173"/>
      <c r="AY1259" s="1176"/>
      <c r="AZ1259" s="1173"/>
    </row>
    <row r="1260" spans="1:54" s="2" customFormat="1" x14ac:dyDescent="0.25">
      <c r="A1260" s="164">
        <v>1162</v>
      </c>
      <c r="B1260" s="345">
        <v>4</v>
      </c>
      <c r="C1260" s="660">
        <v>849317004</v>
      </c>
      <c r="D1260" s="571" t="s">
        <v>1758</v>
      </c>
      <c r="E1260" s="572" t="s">
        <v>1328</v>
      </c>
      <c r="F1260" s="573">
        <v>2017</v>
      </c>
      <c r="G1260" s="360" t="s">
        <v>1483</v>
      </c>
      <c r="H1260" s="574" t="str">
        <f t="shared" si="446"/>
        <v xml:space="preserve">   </v>
      </c>
      <c r="I1260" s="574" t="str">
        <f t="shared" si="447"/>
        <v xml:space="preserve">   </v>
      </c>
      <c r="J1260" s="1635">
        <v>600000</v>
      </c>
      <c r="K1260" s="1360">
        <v>42941</v>
      </c>
      <c r="L1260" s="1389">
        <v>3000000</v>
      </c>
      <c r="M1260" s="1360">
        <v>42941</v>
      </c>
      <c r="N1260" s="2039">
        <v>3000000</v>
      </c>
      <c r="O1260" s="2040">
        <v>43116</v>
      </c>
      <c r="P1260" s="1389">
        <v>3000000</v>
      </c>
      <c r="Q1260" s="1360">
        <v>43294</v>
      </c>
      <c r="R1260" s="1714">
        <v>3000000</v>
      </c>
      <c r="S1260" s="1367">
        <v>43483</v>
      </c>
      <c r="T1260" s="1363">
        <v>3000000</v>
      </c>
      <c r="U1260" s="1367">
        <v>43642</v>
      </c>
      <c r="V1260" s="1714">
        <v>3000000</v>
      </c>
      <c r="W1260" s="1367">
        <v>43864</v>
      </c>
      <c r="X1260" s="1714">
        <v>3000000</v>
      </c>
      <c r="Y1260" s="1367">
        <v>44071.558807870402</v>
      </c>
      <c r="Z1260" s="1363"/>
      <c r="AA1260" s="1563"/>
      <c r="AB1260" s="1714">
        <v>0</v>
      </c>
      <c r="AC1260" s="1384"/>
      <c r="AD1260" s="1666"/>
      <c r="AE1260" s="1590"/>
      <c r="AF1260" s="2061">
        <v>750000</v>
      </c>
      <c r="AG1260" s="2069"/>
      <c r="AH1260" s="2070" t="str">
        <f t="shared" si="454"/>
        <v>PAI</v>
      </c>
      <c r="AI1260" s="1678">
        <f t="shared" si="458"/>
        <v>22350000</v>
      </c>
      <c r="AJ1260" s="1679" t="e">
        <f t="shared" si="455"/>
        <v>#VALUE!</v>
      </c>
      <c r="AK1260" s="1419" t="e">
        <f t="shared" si="459"/>
        <v>#VALUE!</v>
      </c>
      <c r="AL1260" s="1420" t="e">
        <f t="shared" si="460"/>
        <v>#VALUE!</v>
      </c>
      <c r="AM1260" s="1410"/>
      <c r="AN1260" s="1411"/>
      <c r="AO1260" s="1410"/>
      <c r="AP1260" s="1411"/>
      <c r="AQ1260" s="1128"/>
      <c r="AR1260" s="1173"/>
      <c r="AT1260" s="1173"/>
      <c r="AV1260" s="1173"/>
      <c r="AX1260" s="1173"/>
      <c r="AY1260" s="1176"/>
      <c r="AZ1260" s="1173"/>
    </row>
    <row r="1261" spans="1:54" s="2" customFormat="1" x14ac:dyDescent="0.25">
      <c r="A1261" s="156">
        <v>1163</v>
      </c>
      <c r="B1261" s="344">
        <v>5</v>
      </c>
      <c r="C1261" s="2014">
        <v>849317005</v>
      </c>
      <c r="D1261" s="575" t="s">
        <v>1759</v>
      </c>
      <c r="E1261" s="576" t="s">
        <v>1328</v>
      </c>
      <c r="F1261" s="577">
        <v>2017</v>
      </c>
      <c r="G1261" s="272" t="s">
        <v>33</v>
      </c>
      <c r="H1261" s="163">
        <f t="shared" si="446"/>
        <v>43613</v>
      </c>
      <c r="I1261" s="163">
        <f t="shared" si="447"/>
        <v>43705</v>
      </c>
      <c r="J1261" s="1636">
        <v>600000</v>
      </c>
      <c r="K1261" s="1365">
        <v>42943</v>
      </c>
      <c r="L1261" s="1480">
        <v>3000000</v>
      </c>
      <c r="M1261" s="1365">
        <v>42943</v>
      </c>
      <c r="N1261" s="2041">
        <v>3000000</v>
      </c>
      <c r="O1261" s="2042">
        <v>43110</v>
      </c>
      <c r="P1261" s="1480">
        <v>3000000</v>
      </c>
      <c r="Q1261" s="1365">
        <v>43291</v>
      </c>
      <c r="R1261" s="1385">
        <v>3000000</v>
      </c>
      <c r="S1261" s="1357">
        <v>43481</v>
      </c>
      <c r="T1261" s="1465" t="s">
        <v>1080</v>
      </c>
      <c r="U1261" s="1391"/>
      <c r="V1261" s="1363"/>
      <c r="W1261" s="1391"/>
      <c r="X1261" s="1363" t="str">
        <f>IFERROR(VLOOKUP(C1261,BSP,3,FALSE),"  ")</f>
        <v xml:space="preserve">  </v>
      </c>
      <c r="Y1261" s="1391" t="str">
        <f>IFERROR((VLOOKUP(C1261,BSP,4,FALSE)),"  ")</f>
        <v xml:space="preserve">  </v>
      </c>
      <c r="Z1261" s="1363" t="str">
        <f t="shared" ref="Z1261:Z1267" si="461">IFERROR(VLOOKUP(C1261,BSP,3,FALSE),"  ")</f>
        <v xml:space="preserve">  </v>
      </c>
      <c r="AA1261" s="1563" t="str">
        <f t="shared" ref="AA1261:AA1267" si="462">IFERROR((VLOOKUP(C1261,BSP,4,FALSE)),"  ")</f>
        <v xml:space="preserve">  </v>
      </c>
      <c r="AB1261" s="1385">
        <v>1000000</v>
      </c>
      <c r="AC1261" s="2060">
        <v>43608</v>
      </c>
      <c r="AD1261" s="1666"/>
      <c r="AE1261" s="1590"/>
      <c r="AF1261" s="1430">
        <v>500000</v>
      </c>
      <c r="AG1261" s="2069">
        <v>42971</v>
      </c>
      <c r="AH1261" s="2070" t="str">
        <f t="shared" si="454"/>
        <v>PAI</v>
      </c>
      <c r="AI1261" s="1678">
        <f t="shared" si="458"/>
        <v>14100000</v>
      </c>
      <c r="AJ1261" s="1679" t="e">
        <f t="shared" si="455"/>
        <v>#VALUE!</v>
      </c>
      <c r="AK1261" s="1419" t="e">
        <f t="shared" si="459"/>
        <v>#VALUE!</v>
      </c>
      <c r="AL1261" s="1420" t="e">
        <f t="shared" si="460"/>
        <v>#VALUE!</v>
      </c>
      <c r="AM1261" s="1410"/>
      <c r="AN1261" s="1411"/>
      <c r="AO1261" s="1410"/>
      <c r="AP1261" s="1411"/>
      <c r="AQ1261" s="1128"/>
      <c r="AR1261" s="1173"/>
      <c r="AT1261" s="1173"/>
      <c r="AV1261" s="1173"/>
      <c r="AX1261" s="1173"/>
      <c r="AY1261" s="1176"/>
      <c r="AZ1261" s="1173"/>
    </row>
    <row r="1262" spans="1:54" s="2" customFormat="1" x14ac:dyDescent="0.25">
      <c r="A1262" s="164">
        <v>1164</v>
      </c>
      <c r="B1262" s="345">
        <v>6</v>
      </c>
      <c r="C1262" s="660">
        <v>849317006</v>
      </c>
      <c r="D1262" s="571" t="s">
        <v>1760</v>
      </c>
      <c r="E1262" s="572" t="s">
        <v>1328</v>
      </c>
      <c r="F1262" s="573">
        <v>2017</v>
      </c>
      <c r="G1262" s="1758" t="s">
        <v>28</v>
      </c>
      <c r="H1262" s="574" t="str">
        <f t="shared" si="446"/>
        <v xml:space="preserve">   </v>
      </c>
      <c r="I1262" s="574" t="str">
        <f t="shared" si="447"/>
        <v xml:space="preserve">   </v>
      </c>
      <c r="J1262" s="1635">
        <v>600000</v>
      </c>
      <c r="K1262" s="1360">
        <v>42943</v>
      </c>
      <c r="L1262" s="1389">
        <v>3000000</v>
      </c>
      <c r="M1262" s="1360">
        <v>42943</v>
      </c>
      <c r="N1262" s="1714">
        <v>3000000</v>
      </c>
      <c r="O1262" s="1367">
        <v>43110</v>
      </c>
      <c r="P1262" s="1389">
        <v>3000000</v>
      </c>
      <c r="Q1262" s="1360">
        <v>43292</v>
      </c>
      <c r="R1262" s="1714">
        <v>3000000</v>
      </c>
      <c r="S1262" s="1367">
        <v>43481</v>
      </c>
      <c r="T1262" s="1363">
        <v>3000000</v>
      </c>
      <c r="U1262" s="1367">
        <v>43644</v>
      </c>
      <c r="V1262" s="1714">
        <v>3000000</v>
      </c>
      <c r="W1262" s="1367">
        <v>43860.4941666667</v>
      </c>
      <c r="X1262" s="1714">
        <v>0</v>
      </c>
      <c r="Y1262" s="1367" t="s">
        <v>783</v>
      </c>
      <c r="Z1262" s="1363" t="str">
        <f t="shared" si="461"/>
        <v xml:space="preserve">  </v>
      </c>
      <c r="AA1262" s="1563" t="str">
        <f t="shared" si="462"/>
        <v xml:space="preserve">  </v>
      </c>
      <c r="AB1262" s="1714">
        <v>0</v>
      </c>
      <c r="AC1262" s="1384"/>
      <c r="AD1262" s="1666"/>
      <c r="AE1262" s="1590"/>
      <c r="AF1262" s="1430">
        <v>500000</v>
      </c>
      <c r="AG1262" s="2069">
        <v>42972</v>
      </c>
      <c r="AH1262" s="2070" t="str">
        <f t="shared" si="454"/>
        <v>PAI</v>
      </c>
      <c r="AI1262" s="1678">
        <f t="shared" si="458"/>
        <v>19100000</v>
      </c>
      <c r="AJ1262" s="1679" t="e">
        <f t="shared" si="455"/>
        <v>#VALUE!</v>
      </c>
      <c r="AK1262" s="1419" t="e">
        <f t="shared" si="459"/>
        <v>#VALUE!</v>
      </c>
      <c r="AL1262" s="1420" t="e">
        <f t="shared" si="460"/>
        <v>#VALUE!</v>
      </c>
      <c r="AM1262" s="1410"/>
      <c r="AN1262" s="1411"/>
      <c r="AO1262" s="1410"/>
      <c r="AP1262" s="1411"/>
      <c r="AQ1262" s="1128"/>
      <c r="AR1262" s="1173"/>
      <c r="AT1262" s="1173"/>
      <c r="AV1262" s="1173"/>
      <c r="AX1262" s="1173"/>
      <c r="AY1262" s="1176"/>
      <c r="AZ1262" s="1173"/>
    </row>
    <row r="1263" spans="1:54" s="2" customFormat="1" x14ac:dyDescent="0.25">
      <c r="A1263" s="164">
        <v>1165</v>
      </c>
      <c r="B1263" s="345">
        <v>7</v>
      </c>
      <c r="C1263" s="660">
        <v>849317007</v>
      </c>
      <c r="D1263" s="571" t="s">
        <v>1761</v>
      </c>
      <c r="E1263" s="572" t="s">
        <v>1328</v>
      </c>
      <c r="F1263" s="573">
        <v>2018</v>
      </c>
      <c r="G1263" s="360" t="s">
        <v>1483</v>
      </c>
      <c r="H1263" s="574" t="str">
        <f t="shared" si="446"/>
        <v xml:space="preserve">   </v>
      </c>
      <c r="I1263" s="574" t="str">
        <f t="shared" si="447"/>
        <v xml:space="preserve">   </v>
      </c>
      <c r="J1263" s="1635">
        <v>600000</v>
      </c>
      <c r="K1263" s="1360">
        <v>42938</v>
      </c>
      <c r="L1263" s="1389">
        <v>3000000</v>
      </c>
      <c r="M1263" s="1360">
        <v>42938</v>
      </c>
      <c r="N1263" s="2039">
        <v>3000000</v>
      </c>
      <c r="O1263" s="2040">
        <v>43112</v>
      </c>
      <c r="P1263" s="1389">
        <v>3000000</v>
      </c>
      <c r="Q1263" s="1360">
        <v>43308</v>
      </c>
      <c r="R1263" s="1714">
        <v>3000000</v>
      </c>
      <c r="S1263" s="1367">
        <v>43483</v>
      </c>
      <c r="T1263" s="1363">
        <v>3000000</v>
      </c>
      <c r="U1263" s="1367">
        <v>43671</v>
      </c>
      <c r="V1263" s="1714">
        <v>3000000</v>
      </c>
      <c r="W1263" s="1367">
        <v>43861.574247685203</v>
      </c>
      <c r="X1263" s="1714">
        <v>3000000</v>
      </c>
      <c r="Y1263" s="1367">
        <v>44072</v>
      </c>
      <c r="Z1263" s="1363" t="str">
        <f t="shared" si="461"/>
        <v xml:space="preserve">  </v>
      </c>
      <c r="AA1263" s="1563" t="str">
        <f t="shared" si="462"/>
        <v xml:space="preserve">  </v>
      </c>
      <c r="AB1263" s="1714">
        <v>0</v>
      </c>
      <c r="AC1263" s="1384"/>
      <c r="AD1263" s="1666"/>
      <c r="AE1263" s="1590"/>
      <c r="AF1263" s="2061">
        <v>750000</v>
      </c>
      <c r="AG1263" s="2069"/>
      <c r="AH1263" s="2070" t="str">
        <f t="shared" si="454"/>
        <v>PAI</v>
      </c>
      <c r="AI1263" s="1678">
        <f t="shared" si="458"/>
        <v>22350000</v>
      </c>
      <c r="AJ1263" s="1679" t="e">
        <f t="shared" si="455"/>
        <v>#VALUE!</v>
      </c>
      <c r="AK1263" s="1419" t="e">
        <f t="shared" si="459"/>
        <v>#VALUE!</v>
      </c>
      <c r="AL1263" s="1420" t="e">
        <f t="shared" si="460"/>
        <v>#VALUE!</v>
      </c>
      <c r="AM1263" s="1410"/>
      <c r="AN1263" s="1411"/>
      <c r="AO1263" s="1410"/>
      <c r="AP1263" s="1411"/>
      <c r="AQ1263" s="1128"/>
      <c r="AR1263" s="1173"/>
      <c r="AT1263" s="1173"/>
      <c r="AV1263" s="1173"/>
      <c r="AX1263" s="1173"/>
      <c r="AY1263" s="1176"/>
      <c r="AZ1263" s="1173"/>
    </row>
    <row r="1264" spans="1:54" s="2" customFormat="1" x14ac:dyDescent="0.25">
      <c r="A1264" s="164">
        <v>1166</v>
      </c>
      <c r="B1264" s="345">
        <v>8</v>
      </c>
      <c r="C1264" s="660">
        <v>849317008</v>
      </c>
      <c r="D1264" s="571" t="s">
        <v>1762</v>
      </c>
      <c r="E1264" s="572" t="s">
        <v>1328</v>
      </c>
      <c r="F1264" s="573">
        <v>2019</v>
      </c>
      <c r="G1264" s="1758" t="s">
        <v>28</v>
      </c>
      <c r="H1264" s="574" t="str">
        <f t="shared" si="446"/>
        <v xml:space="preserve">   </v>
      </c>
      <c r="I1264" s="574" t="str">
        <f t="shared" si="447"/>
        <v xml:space="preserve">   </v>
      </c>
      <c r="J1264" s="1635">
        <v>600000</v>
      </c>
      <c r="K1264" s="1360">
        <v>42944</v>
      </c>
      <c r="L1264" s="1389">
        <v>3000000</v>
      </c>
      <c r="M1264" s="1360">
        <v>42944</v>
      </c>
      <c r="N1264" s="1714">
        <v>3000000</v>
      </c>
      <c r="O1264" s="1367">
        <v>43116</v>
      </c>
      <c r="P1264" s="1389">
        <v>3000000</v>
      </c>
      <c r="Q1264" s="1360">
        <v>43314</v>
      </c>
      <c r="R1264" s="1714">
        <v>3000000</v>
      </c>
      <c r="S1264" s="1367">
        <v>43508</v>
      </c>
      <c r="T1264" s="1363">
        <v>3000000</v>
      </c>
      <c r="U1264" s="1367">
        <v>43910</v>
      </c>
      <c r="V1264" s="1363">
        <v>3000000</v>
      </c>
      <c r="W1264" s="1367">
        <v>43910</v>
      </c>
      <c r="X1264" s="1714">
        <v>0</v>
      </c>
      <c r="Y1264" s="1367" t="s">
        <v>783</v>
      </c>
      <c r="Z1264" s="1363" t="str">
        <f t="shared" si="461"/>
        <v xml:space="preserve">  </v>
      </c>
      <c r="AA1264" s="1563" t="str">
        <f t="shared" si="462"/>
        <v xml:space="preserve">  </v>
      </c>
      <c r="AB1264" s="1714">
        <v>0</v>
      </c>
      <c r="AC1264" s="1384"/>
      <c r="AD1264" s="1666"/>
      <c r="AE1264" s="1590"/>
      <c r="AF1264" s="2061">
        <v>750000</v>
      </c>
      <c r="AG1264" s="2069"/>
      <c r="AH1264" s="2070" t="str">
        <f t="shared" si="454"/>
        <v>PAI</v>
      </c>
      <c r="AI1264" s="1678">
        <f t="shared" si="458"/>
        <v>19350000</v>
      </c>
      <c r="AJ1264" s="1679" t="e">
        <f t="shared" si="455"/>
        <v>#VALUE!</v>
      </c>
      <c r="AK1264" s="1419" t="e">
        <f t="shared" si="459"/>
        <v>#VALUE!</v>
      </c>
      <c r="AL1264" s="1420" t="e">
        <f t="shared" si="460"/>
        <v>#VALUE!</v>
      </c>
      <c r="AM1264" s="1410"/>
      <c r="AN1264" s="1411"/>
      <c r="AO1264" s="1410"/>
      <c r="AP1264" s="1411"/>
      <c r="AQ1264" s="1128"/>
      <c r="AR1264" s="1173"/>
      <c r="AT1264" s="1173"/>
      <c r="AV1264" s="1173"/>
      <c r="AX1264" s="1173"/>
      <c r="AY1264" s="1176"/>
      <c r="AZ1264" s="1173"/>
    </row>
    <row r="1265" spans="1:52" s="2" customFormat="1" x14ac:dyDescent="0.25">
      <c r="A1265" s="156">
        <v>1167</v>
      </c>
      <c r="B1265" s="344">
        <v>9</v>
      </c>
      <c r="C1265" s="2014">
        <v>849317009</v>
      </c>
      <c r="D1265" s="575" t="s">
        <v>1763</v>
      </c>
      <c r="E1265" s="576" t="s">
        <v>1328</v>
      </c>
      <c r="F1265" s="577">
        <v>2017</v>
      </c>
      <c r="G1265" s="272" t="s">
        <v>33</v>
      </c>
      <c r="H1265" s="163">
        <f t="shared" si="446"/>
        <v>43819</v>
      </c>
      <c r="I1265" s="163">
        <f t="shared" si="447"/>
        <v>44058</v>
      </c>
      <c r="J1265" s="1636">
        <v>600000</v>
      </c>
      <c r="K1265" s="1365">
        <v>42936</v>
      </c>
      <c r="L1265" s="1480">
        <v>3000000</v>
      </c>
      <c r="M1265" s="1365">
        <v>42936</v>
      </c>
      <c r="N1265" s="1385">
        <v>3000000</v>
      </c>
      <c r="O1265" s="1357">
        <v>43110</v>
      </c>
      <c r="P1265" s="1480">
        <v>3000000</v>
      </c>
      <c r="Q1265" s="1365">
        <v>43291</v>
      </c>
      <c r="R1265" s="1385">
        <v>3000000</v>
      </c>
      <c r="S1265" s="1357">
        <v>43482</v>
      </c>
      <c r="T1265" s="1358">
        <v>3000000</v>
      </c>
      <c r="U1265" s="1357">
        <v>43779</v>
      </c>
      <c r="V1265" s="1465" t="s">
        <v>1080</v>
      </c>
      <c r="W1265" s="1384"/>
      <c r="X1265" s="1363"/>
      <c r="Y1265" s="1391"/>
      <c r="Z1265" s="1363" t="str">
        <f t="shared" si="461"/>
        <v xml:space="preserve">  </v>
      </c>
      <c r="AA1265" s="1563" t="str">
        <f t="shared" si="462"/>
        <v xml:space="preserve">  </v>
      </c>
      <c r="AB1265" s="1385">
        <v>1000000</v>
      </c>
      <c r="AC1265" s="2060">
        <v>43809</v>
      </c>
      <c r="AD1265" s="1809">
        <v>500000</v>
      </c>
      <c r="AE1265" s="1440">
        <v>43867</v>
      </c>
      <c r="AF1265" s="1430">
        <v>750000</v>
      </c>
      <c r="AG1265" s="2069">
        <v>42971</v>
      </c>
      <c r="AH1265" s="2070" t="str">
        <f t="shared" si="454"/>
        <v>PAI</v>
      </c>
      <c r="AI1265" s="1678">
        <f t="shared" si="458"/>
        <v>17850000</v>
      </c>
      <c r="AJ1265" s="1679" t="e">
        <f t="shared" si="455"/>
        <v>#VALUE!</v>
      </c>
      <c r="AK1265" s="1419" t="e">
        <f t="shared" si="459"/>
        <v>#VALUE!</v>
      </c>
      <c r="AL1265" s="1420" t="e">
        <f t="shared" si="460"/>
        <v>#VALUE!</v>
      </c>
      <c r="AM1265" s="1410"/>
      <c r="AN1265" s="1411"/>
      <c r="AO1265" s="1410"/>
      <c r="AP1265" s="1411"/>
      <c r="AQ1265" s="1128"/>
      <c r="AR1265" s="1173"/>
      <c r="AT1265" s="1173"/>
      <c r="AV1265" s="1173"/>
      <c r="AX1265" s="1173"/>
      <c r="AY1265" s="1176"/>
      <c r="AZ1265" s="1173"/>
    </row>
    <row r="1266" spans="1:52" s="2" customFormat="1" x14ac:dyDescent="0.25">
      <c r="A1266" s="164">
        <v>1168</v>
      </c>
      <c r="B1266" s="345">
        <v>10</v>
      </c>
      <c r="C1266" s="660">
        <v>849317010</v>
      </c>
      <c r="D1266" s="571" t="s">
        <v>1764</v>
      </c>
      <c r="E1266" s="572" t="s">
        <v>1328</v>
      </c>
      <c r="F1266" s="573">
        <v>2017</v>
      </c>
      <c r="G1266" s="360" t="s">
        <v>1483</v>
      </c>
      <c r="H1266" s="574" t="str">
        <f t="shared" si="446"/>
        <v xml:space="preserve">   </v>
      </c>
      <c r="I1266" s="574" t="str">
        <f t="shared" si="447"/>
        <v xml:space="preserve">   </v>
      </c>
      <c r="J1266" s="1635">
        <v>600000</v>
      </c>
      <c r="K1266" s="1360">
        <v>42940</v>
      </c>
      <c r="L1266" s="1389">
        <v>3000000</v>
      </c>
      <c r="M1266" s="1360">
        <v>42940</v>
      </c>
      <c r="N1266" s="2039">
        <v>3000000</v>
      </c>
      <c r="O1266" s="2040">
        <v>43112</v>
      </c>
      <c r="P1266" s="1389">
        <v>3000000</v>
      </c>
      <c r="Q1266" s="1360">
        <v>43293</v>
      </c>
      <c r="R1266" s="1714">
        <v>3000000</v>
      </c>
      <c r="S1266" s="1367">
        <v>43853</v>
      </c>
      <c r="T1266" s="1363">
        <v>3000000</v>
      </c>
      <c r="U1266" s="1367">
        <v>43853</v>
      </c>
      <c r="V1266" s="1714">
        <v>3000000</v>
      </c>
      <c r="W1266" s="1367">
        <v>43853</v>
      </c>
      <c r="X1266" s="1714">
        <v>0</v>
      </c>
      <c r="Y1266" s="1367" t="s">
        <v>783</v>
      </c>
      <c r="Z1266" s="1363" t="str">
        <f t="shared" si="461"/>
        <v xml:space="preserve">  </v>
      </c>
      <c r="AA1266" s="1563" t="str">
        <f t="shared" si="462"/>
        <v xml:space="preserve">  </v>
      </c>
      <c r="AB1266" s="1714">
        <v>0</v>
      </c>
      <c r="AC1266" s="1384"/>
      <c r="AD1266" s="1666"/>
      <c r="AE1266" s="1590"/>
      <c r="AF1266" s="2061">
        <v>750000</v>
      </c>
      <c r="AG1266" s="2069"/>
      <c r="AH1266" s="2070" t="str">
        <f t="shared" si="454"/>
        <v>PAI</v>
      </c>
      <c r="AI1266" s="1678">
        <f t="shared" si="458"/>
        <v>19350000</v>
      </c>
      <c r="AJ1266" s="1679" t="e">
        <f t="shared" si="455"/>
        <v>#VALUE!</v>
      </c>
      <c r="AK1266" s="1419" t="e">
        <f t="shared" si="459"/>
        <v>#VALUE!</v>
      </c>
      <c r="AL1266" s="1420" t="e">
        <f t="shared" si="460"/>
        <v>#VALUE!</v>
      </c>
      <c r="AM1266" s="1410"/>
      <c r="AN1266" s="1411"/>
      <c r="AO1266" s="1410"/>
      <c r="AP1266" s="1411"/>
      <c r="AQ1266" s="1128"/>
      <c r="AR1266" s="1173"/>
      <c r="AT1266" s="1173"/>
      <c r="AV1266" s="1173"/>
      <c r="AX1266" s="1173"/>
      <c r="AY1266" s="1176"/>
      <c r="AZ1266" s="1173"/>
    </row>
    <row r="1267" spans="1:52" s="2" customFormat="1" x14ac:dyDescent="0.25">
      <c r="A1267" s="156">
        <v>1169</v>
      </c>
      <c r="B1267" s="344">
        <v>11</v>
      </c>
      <c r="C1267" s="2014">
        <v>849317011</v>
      </c>
      <c r="D1267" s="575" t="s">
        <v>1765</v>
      </c>
      <c r="E1267" s="593" t="s">
        <v>1328</v>
      </c>
      <c r="F1267" s="594">
        <v>2017</v>
      </c>
      <c r="G1267" s="272" t="s">
        <v>33</v>
      </c>
      <c r="H1267" s="163">
        <f t="shared" si="446"/>
        <v>43944</v>
      </c>
      <c r="I1267" s="163">
        <f t="shared" si="447"/>
        <v>44058</v>
      </c>
      <c r="J1267" s="1636">
        <v>600000</v>
      </c>
      <c r="K1267" s="1365">
        <v>42936</v>
      </c>
      <c r="L1267" s="1480">
        <v>3000000</v>
      </c>
      <c r="M1267" s="1365">
        <v>42936</v>
      </c>
      <c r="N1267" s="1385">
        <v>3000000</v>
      </c>
      <c r="O1267" s="1357">
        <v>43115</v>
      </c>
      <c r="P1267" s="1480">
        <v>3000000</v>
      </c>
      <c r="Q1267" s="1365">
        <v>43292</v>
      </c>
      <c r="R1267" s="1385">
        <v>3000000</v>
      </c>
      <c r="S1267" s="1357">
        <v>43482</v>
      </c>
      <c r="T1267" s="1358">
        <v>3000000</v>
      </c>
      <c r="U1267" s="1357">
        <v>43644</v>
      </c>
      <c r="V1267" s="1385">
        <v>3000000</v>
      </c>
      <c r="W1267" s="1357">
        <v>43860.536087963003</v>
      </c>
      <c r="X1267" s="1465" t="s">
        <v>1080</v>
      </c>
      <c r="Y1267" s="1391"/>
      <c r="Z1267" s="1363" t="str">
        <f t="shared" si="461"/>
        <v xml:space="preserve">  </v>
      </c>
      <c r="AA1267" s="1563" t="str">
        <f t="shared" si="462"/>
        <v xml:space="preserve">  </v>
      </c>
      <c r="AB1267" s="1385">
        <v>1000000</v>
      </c>
      <c r="AC1267" s="2060">
        <v>43860.536087963003</v>
      </c>
      <c r="AD1267" s="1809">
        <v>500000</v>
      </c>
      <c r="AE1267" s="1440">
        <v>44044</v>
      </c>
      <c r="AF1267" s="1430">
        <v>750000</v>
      </c>
      <c r="AG1267" s="2069">
        <v>42971</v>
      </c>
      <c r="AH1267" s="2070" t="str">
        <f t="shared" si="454"/>
        <v>PAI</v>
      </c>
      <c r="AI1267" s="1678">
        <f t="shared" si="458"/>
        <v>20850000</v>
      </c>
      <c r="AJ1267" s="1679" t="e">
        <f t="shared" si="455"/>
        <v>#VALUE!</v>
      </c>
      <c r="AK1267" s="1419" t="e">
        <f t="shared" si="459"/>
        <v>#VALUE!</v>
      </c>
      <c r="AL1267" s="1420" t="e">
        <f t="shared" si="460"/>
        <v>#VALUE!</v>
      </c>
      <c r="AM1267" s="1410"/>
      <c r="AN1267" s="1411"/>
      <c r="AO1267" s="1410"/>
      <c r="AP1267" s="1411"/>
      <c r="AQ1267" s="1128"/>
      <c r="AR1267" s="1173"/>
      <c r="AT1267" s="1173"/>
      <c r="AV1267" s="1173"/>
      <c r="AX1267" s="1173"/>
      <c r="AY1267" s="1176"/>
      <c r="AZ1267" s="1173"/>
    </row>
    <row r="1268" spans="1:52" s="2" customFormat="1" x14ac:dyDescent="0.25">
      <c r="A1268" s="164">
        <v>1170</v>
      </c>
      <c r="B1268" s="345">
        <v>12</v>
      </c>
      <c r="C1268" s="660">
        <v>849317012</v>
      </c>
      <c r="D1268" s="571" t="s">
        <v>1766</v>
      </c>
      <c r="E1268" s="578" t="s">
        <v>1328</v>
      </c>
      <c r="F1268" s="579">
        <v>2017</v>
      </c>
      <c r="G1268" s="360" t="s">
        <v>1483</v>
      </c>
      <c r="H1268" s="580" t="str">
        <f t="shared" si="446"/>
        <v xml:space="preserve">   </v>
      </c>
      <c r="I1268" s="580" t="str">
        <f t="shared" si="447"/>
        <v xml:space="preserve">   </v>
      </c>
      <c r="J1268" s="1635">
        <v>600000</v>
      </c>
      <c r="K1268" s="1360">
        <v>42936</v>
      </c>
      <c r="L1268" s="1389">
        <v>3000000</v>
      </c>
      <c r="M1268" s="1360">
        <v>42936</v>
      </c>
      <c r="N1268" s="1714">
        <v>3000000</v>
      </c>
      <c r="O1268" s="1367">
        <v>43112</v>
      </c>
      <c r="P1268" s="1389">
        <v>3000000</v>
      </c>
      <c r="Q1268" s="1360">
        <v>43293</v>
      </c>
      <c r="R1268" s="1714">
        <v>3000000</v>
      </c>
      <c r="S1268" s="1367">
        <v>43483</v>
      </c>
      <c r="T1268" s="1363">
        <v>3000000</v>
      </c>
      <c r="U1268" s="1367">
        <v>43671</v>
      </c>
      <c r="V1268" s="1186" t="s">
        <v>1078</v>
      </c>
      <c r="W1268" s="1386">
        <v>43861</v>
      </c>
      <c r="X1268" s="1714">
        <v>3000000</v>
      </c>
      <c r="Y1268" s="1367">
        <v>44070.559768518498</v>
      </c>
      <c r="Z1268" s="1363"/>
      <c r="AA1268" s="1563"/>
      <c r="AB1268" s="1714">
        <v>0</v>
      </c>
      <c r="AC1268" s="1384"/>
      <c r="AD1268" s="1666"/>
      <c r="AE1268" s="1590"/>
      <c r="AF1268" s="1430">
        <v>500000</v>
      </c>
      <c r="AG1268" s="2069">
        <v>42971</v>
      </c>
      <c r="AH1268" s="2070" t="str">
        <f t="shared" si="454"/>
        <v>PAI</v>
      </c>
      <c r="AI1268" s="1678">
        <f t="shared" si="458"/>
        <v>19100000</v>
      </c>
      <c r="AJ1268" s="1679" t="e">
        <f t="shared" si="455"/>
        <v>#VALUE!</v>
      </c>
      <c r="AK1268" s="1419" t="e">
        <f t="shared" si="459"/>
        <v>#VALUE!</v>
      </c>
      <c r="AL1268" s="1420" t="e">
        <f t="shared" si="460"/>
        <v>#VALUE!</v>
      </c>
      <c r="AM1268" s="1410"/>
      <c r="AN1268" s="1411"/>
      <c r="AO1268" s="1410"/>
      <c r="AP1268" s="1411"/>
      <c r="AQ1268" s="1128"/>
      <c r="AR1268" s="1173"/>
      <c r="AT1268" s="1173"/>
      <c r="AV1268" s="1173"/>
      <c r="AX1268" s="1173"/>
      <c r="AY1268" s="1176"/>
      <c r="AZ1268" s="1173"/>
    </row>
    <row r="1269" spans="1:52" s="2" customFormat="1" x14ac:dyDescent="0.25">
      <c r="A1269" s="164">
        <v>1171</v>
      </c>
      <c r="B1269" s="345">
        <v>13</v>
      </c>
      <c r="C1269" s="660">
        <v>849317013</v>
      </c>
      <c r="D1269" s="571" t="s">
        <v>1767</v>
      </c>
      <c r="E1269" s="578" t="s">
        <v>1328</v>
      </c>
      <c r="F1269" s="579">
        <v>2017</v>
      </c>
      <c r="G1269" s="1758" t="s">
        <v>28</v>
      </c>
      <c r="H1269" s="580" t="str">
        <f t="shared" si="446"/>
        <v xml:space="preserve">   </v>
      </c>
      <c r="I1269" s="580" t="str">
        <f t="shared" si="447"/>
        <v xml:space="preserve">   </v>
      </c>
      <c r="J1269" s="1635">
        <v>600000</v>
      </c>
      <c r="K1269" s="1360">
        <v>42937</v>
      </c>
      <c r="L1269" s="1389">
        <v>3000000</v>
      </c>
      <c r="M1269" s="1360">
        <v>42937</v>
      </c>
      <c r="N1269" s="1714">
        <v>3000000</v>
      </c>
      <c r="O1269" s="1367">
        <v>43110</v>
      </c>
      <c r="P1269" s="1389">
        <v>3000000</v>
      </c>
      <c r="Q1269" s="1360">
        <v>43291</v>
      </c>
      <c r="R1269" s="1714">
        <v>3000000</v>
      </c>
      <c r="S1269" s="1367">
        <v>43483</v>
      </c>
      <c r="T1269" s="1363">
        <v>3000000</v>
      </c>
      <c r="U1269" s="1367">
        <v>43671</v>
      </c>
      <c r="V1269" s="1714">
        <v>0</v>
      </c>
      <c r="W1269" s="1367" t="s">
        <v>783</v>
      </c>
      <c r="X1269" s="1714">
        <v>0</v>
      </c>
      <c r="Y1269" s="1367" t="s">
        <v>783</v>
      </c>
      <c r="Z1269" s="1363" t="str">
        <f>IFERROR(VLOOKUP(C1269,BSP,3,FALSE),"  ")</f>
        <v xml:space="preserve">  </v>
      </c>
      <c r="AA1269" s="1563" t="str">
        <f>IFERROR((VLOOKUP(C1269,BSP,4,FALSE)),"  ")</f>
        <v xml:space="preserve">  </v>
      </c>
      <c r="AB1269" s="1714">
        <v>0</v>
      </c>
      <c r="AC1269" s="1384"/>
      <c r="AD1269" s="1666"/>
      <c r="AE1269" s="1590"/>
      <c r="AF1269" s="1430">
        <v>750000</v>
      </c>
      <c r="AG1269" s="2069">
        <v>42969</v>
      </c>
      <c r="AH1269" s="2070" t="str">
        <f t="shared" si="454"/>
        <v>PAI</v>
      </c>
      <c r="AI1269" s="1678">
        <f t="shared" si="458"/>
        <v>16350000</v>
      </c>
      <c r="AJ1269" s="1679" t="e">
        <f t="shared" si="455"/>
        <v>#VALUE!</v>
      </c>
      <c r="AK1269" s="1419" t="e">
        <f t="shared" si="459"/>
        <v>#VALUE!</v>
      </c>
      <c r="AL1269" s="1420" t="e">
        <f t="shared" si="460"/>
        <v>#VALUE!</v>
      </c>
      <c r="AM1269" s="1410"/>
      <c r="AN1269" s="1411"/>
      <c r="AO1269" s="1410"/>
      <c r="AP1269" s="1411"/>
      <c r="AQ1269" s="1128"/>
      <c r="AR1269" s="1173"/>
      <c r="AT1269" s="1173"/>
      <c r="AV1269" s="1173"/>
      <c r="AX1269" s="1173"/>
      <c r="AY1269" s="1176"/>
      <c r="AZ1269" s="1173"/>
    </row>
    <row r="1270" spans="1:52" s="2" customFormat="1" x14ac:dyDescent="0.25">
      <c r="A1270" s="156">
        <v>1172</v>
      </c>
      <c r="B1270" s="344">
        <v>14</v>
      </c>
      <c r="C1270" s="2014">
        <v>849317014</v>
      </c>
      <c r="D1270" s="575" t="s">
        <v>1768</v>
      </c>
      <c r="E1270" s="593" t="s">
        <v>1328</v>
      </c>
      <c r="F1270" s="594">
        <v>2017</v>
      </c>
      <c r="G1270" s="272" t="s">
        <v>33</v>
      </c>
      <c r="H1270" s="163">
        <f t="shared" si="446"/>
        <v>43836</v>
      </c>
      <c r="I1270" s="163">
        <f t="shared" si="447"/>
        <v>44058</v>
      </c>
      <c r="J1270" s="1636">
        <v>600000</v>
      </c>
      <c r="K1270" s="1365">
        <v>42941</v>
      </c>
      <c r="L1270" s="1480">
        <v>3000000</v>
      </c>
      <c r="M1270" s="1365">
        <v>42941</v>
      </c>
      <c r="N1270" s="2041">
        <v>3000000</v>
      </c>
      <c r="O1270" s="2042">
        <v>43111</v>
      </c>
      <c r="P1270" s="1480">
        <v>3000000</v>
      </c>
      <c r="Q1270" s="1365">
        <v>43292</v>
      </c>
      <c r="R1270" s="1385">
        <v>3000000</v>
      </c>
      <c r="S1270" s="1357">
        <v>43482</v>
      </c>
      <c r="T1270" s="1358">
        <v>3000000</v>
      </c>
      <c r="U1270" s="1357">
        <v>43748</v>
      </c>
      <c r="V1270" s="1465" t="s">
        <v>1080</v>
      </c>
      <c r="W1270" s="1384"/>
      <c r="X1270" s="1363"/>
      <c r="Y1270" s="1391"/>
      <c r="Z1270" s="1363" t="str">
        <f>IFERROR(VLOOKUP(C1270,BSP,3,FALSE),"  ")</f>
        <v xml:space="preserve">  </v>
      </c>
      <c r="AA1270" s="1563" t="str">
        <f>IFERROR((VLOOKUP(C1270,BSP,4,FALSE)),"  ")</f>
        <v xml:space="preserve">  </v>
      </c>
      <c r="AB1270" s="1385">
        <v>1000000</v>
      </c>
      <c r="AC1270" s="2060">
        <v>43801</v>
      </c>
      <c r="AD1270" s="1809">
        <v>500000</v>
      </c>
      <c r="AE1270" s="1440">
        <v>43882</v>
      </c>
      <c r="AF1270" s="1430">
        <v>500000</v>
      </c>
      <c r="AG1270" s="2069">
        <v>42970</v>
      </c>
      <c r="AH1270" s="2070" t="str">
        <f t="shared" si="454"/>
        <v>PAI</v>
      </c>
      <c r="AI1270" s="1678">
        <f t="shared" si="458"/>
        <v>17600000</v>
      </c>
      <c r="AJ1270" s="1679" t="e">
        <f t="shared" si="455"/>
        <v>#VALUE!</v>
      </c>
      <c r="AK1270" s="1419" t="e">
        <f t="shared" si="459"/>
        <v>#VALUE!</v>
      </c>
      <c r="AL1270" s="1420" t="e">
        <f t="shared" si="460"/>
        <v>#VALUE!</v>
      </c>
      <c r="AM1270" s="1410"/>
      <c r="AN1270" s="1411"/>
      <c r="AO1270" s="1410"/>
      <c r="AP1270" s="1411"/>
      <c r="AQ1270" s="1128"/>
      <c r="AR1270" s="1173"/>
      <c r="AT1270" s="1173"/>
      <c r="AV1270" s="1173"/>
      <c r="AX1270" s="1173"/>
      <c r="AY1270" s="1176"/>
      <c r="AZ1270" s="1173"/>
    </row>
    <row r="1271" spans="1:52" s="2" customFormat="1" x14ac:dyDescent="0.25">
      <c r="A1271" s="164">
        <v>1173</v>
      </c>
      <c r="B1271" s="345">
        <v>15</v>
      </c>
      <c r="C1271" s="660">
        <v>849317015</v>
      </c>
      <c r="D1271" s="571" t="s">
        <v>1769</v>
      </c>
      <c r="E1271" s="578" t="s">
        <v>1328</v>
      </c>
      <c r="F1271" s="579">
        <v>2017</v>
      </c>
      <c r="G1271" s="1758" t="s">
        <v>28</v>
      </c>
      <c r="H1271" s="580" t="str">
        <f t="shared" si="446"/>
        <v xml:space="preserve">   </v>
      </c>
      <c r="I1271" s="580" t="str">
        <f t="shared" si="447"/>
        <v xml:space="preserve">   </v>
      </c>
      <c r="J1271" s="1635">
        <v>600000</v>
      </c>
      <c r="K1271" s="1360">
        <v>42942</v>
      </c>
      <c r="L1271" s="1389">
        <v>3000000</v>
      </c>
      <c r="M1271" s="1360">
        <v>42942</v>
      </c>
      <c r="N1271" s="2039">
        <v>3000000</v>
      </c>
      <c r="O1271" s="2040">
        <v>43110</v>
      </c>
      <c r="P1271" s="1714">
        <v>0</v>
      </c>
      <c r="Q1271" s="1360"/>
      <c r="R1271" s="1714">
        <v>0</v>
      </c>
      <c r="S1271" s="1367"/>
      <c r="T1271" s="1363">
        <v>0</v>
      </c>
      <c r="U1271" s="1367"/>
      <c r="V1271" s="1714">
        <v>0</v>
      </c>
      <c r="W1271" s="1367" t="s">
        <v>783</v>
      </c>
      <c r="X1271" s="1714">
        <v>0</v>
      </c>
      <c r="Y1271" s="1367" t="s">
        <v>783</v>
      </c>
      <c r="Z1271" s="1363" t="str">
        <f>IFERROR(VLOOKUP(C1271,BSP,3,FALSE),"  ")</f>
        <v xml:space="preserve">  </v>
      </c>
      <c r="AA1271" s="1563" t="str">
        <f>IFERROR((VLOOKUP(C1271,BSP,4,FALSE)),"  ")</f>
        <v xml:space="preserve">  </v>
      </c>
      <c r="AB1271" s="1714">
        <v>0</v>
      </c>
      <c r="AC1271" s="1384"/>
      <c r="AD1271" s="1666"/>
      <c r="AE1271" s="1590"/>
      <c r="AF1271" s="2061">
        <v>750000</v>
      </c>
      <c r="AG1271" s="2069"/>
      <c r="AH1271" s="2070" t="str">
        <f t="shared" si="454"/>
        <v>PAI</v>
      </c>
      <c r="AI1271" s="1678">
        <f t="shared" si="458"/>
        <v>7350000</v>
      </c>
      <c r="AJ1271" s="1679" t="e">
        <f t="shared" si="455"/>
        <v>#VALUE!</v>
      </c>
      <c r="AK1271" s="1419" t="e">
        <f t="shared" si="459"/>
        <v>#VALUE!</v>
      </c>
      <c r="AL1271" s="1420" t="e">
        <f t="shared" si="460"/>
        <v>#VALUE!</v>
      </c>
      <c r="AM1271" s="1410"/>
      <c r="AN1271" s="1411"/>
      <c r="AO1271" s="1410"/>
      <c r="AP1271" s="1411"/>
      <c r="AQ1271" s="1128"/>
      <c r="AR1271" s="1173"/>
      <c r="AT1271" s="1173"/>
      <c r="AV1271" s="1173"/>
      <c r="AX1271" s="1173"/>
      <c r="AY1271" s="1176"/>
      <c r="AZ1271" s="1173"/>
    </row>
    <row r="1272" spans="1:52" s="2" customFormat="1" x14ac:dyDescent="0.25">
      <c r="A1272" s="164">
        <v>1174</v>
      </c>
      <c r="B1272" s="345">
        <v>16</v>
      </c>
      <c r="C1272" s="660">
        <v>849317016</v>
      </c>
      <c r="D1272" s="571" t="s">
        <v>1770</v>
      </c>
      <c r="E1272" s="578" t="s">
        <v>1328</v>
      </c>
      <c r="F1272" s="579">
        <v>2017</v>
      </c>
      <c r="G1272" s="1758" t="s">
        <v>28</v>
      </c>
      <c r="H1272" s="580" t="str">
        <f t="shared" si="446"/>
        <v xml:space="preserve">   </v>
      </c>
      <c r="I1272" s="580" t="str">
        <f t="shared" si="447"/>
        <v xml:space="preserve">   </v>
      </c>
      <c r="J1272" s="1635">
        <v>600000</v>
      </c>
      <c r="K1272" s="1360">
        <v>42942</v>
      </c>
      <c r="L1272" s="1389">
        <v>3000000</v>
      </c>
      <c r="M1272" s="1360">
        <v>42942</v>
      </c>
      <c r="N1272" s="1714">
        <v>3000000</v>
      </c>
      <c r="O1272" s="1367">
        <v>43123</v>
      </c>
      <c r="P1272" s="1389">
        <v>3000000</v>
      </c>
      <c r="Q1272" s="1360">
        <v>43292</v>
      </c>
      <c r="R1272" s="1714">
        <v>0</v>
      </c>
      <c r="S1272" s="1367"/>
      <c r="T1272" s="1363">
        <v>0</v>
      </c>
      <c r="U1272" s="1367"/>
      <c r="V1272" s="1714">
        <v>0</v>
      </c>
      <c r="W1272" s="1367" t="s">
        <v>783</v>
      </c>
      <c r="X1272" s="1714">
        <v>0</v>
      </c>
      <c r="Y1272" s="1367" t="s">
        <v>783</v>
      </c>
      <c r="Z1272" s="1363" t="str">
        <f>IFERROR(VLOOKUP(C1272,BSP,3,FALSE),"  ")</f>
        <v xml:space="preserve">  </v>
      </c>
      <c r="AA1272" s="1563" t="str">
        <f>IFERROR((VLOOKUP(C1272,BSP,4,FALSE)),"  ")</f>
        <v xml:space="preserve">  </v>
      </c>
      <c r="AB1272" s="1714">
        <v>0</v>
      </c>
      <c r="AC1272" s="1384"/>
      <c r="AD1272" s="1666"/>
      <c r="AE1272" s="1590"/>
      <c r="AF1272" s="2061">
        <v>750000</v>
      </c>
      <c r="AG1272" s="2069"/>
      <c r="AH1272" s="2070" t="str">
        <f t="shared" si="454"/>
        <v>PAI</v>
      </c>
      <c r="AI1272" s="1678">
        <f t="shared" si="458"/>
        <v>10350000</v>
      </c>
      <c r="AJ1272" s="1679" t="e">
        <f t="shared" si="455"/>
        <v>#VALUE!</v>
      </c>
      <c r="AK1272" s="1419" t="e">
        <f t="shared" si="459"/>
        <v>#VALUE!</v>
      </c>
      <c r="AL1272" s="1420" t="e">
        <f t="shared" si="460"/>
        <v>#VALUE!</v>
      </c>
      <c r="AM1272" s="1410"/>
      <c r="AN1272" s="1411"/>
      <c r="AO1272" s="1410"/>
      <c r="AP1272" s="1411"/>
      <c r="AQ1272" s="1128"/>
      <c r="AR1272" s="1173"/>
      <c r="AT1272" s="1173"/>
      <c r="AV1272" s="1173"/>
      <c r="AX1272" s="1173"/>
      <c r="AY1272" s="1176"/>
      <c r="AZ1272" s="1173"/>
    </row>
    <row r="1273" spans="1:52" s="2" customFormat="1" x14ac:dyDescent="0.25">
      <c r="A1273" s="164">
        <v>1175</v>
      </c>
      <c r="B1273" s="345">
        <v>17</v>
      </c>
      <c r="C1273" s="660">
        <v>849317017</v>
      </c>
      <c r="D1273" s="571" t="s">
        <v>1771</v>
      </c>
      <c r="E1273" s="578" t="s">
        <v>1328</v>
      </c>
      <c r="F1273" s="579">
        <v>2017</v>
      </c>
      <c r="G1273" s="360" t="s">
        <v>1483</v>
      </c>
      <c r="H1273" s="580" t="str">
        <f t="shared" si="446"/>
        <v xml:space="preserve">   </v>
      </c>
      <c r="I1273" s="580" t="str">
        <f t="shared" si="447"/>
        <v xml:space="preserve">   </v>
      </c>
      <c r="J1273" s="1635">
        <v>600000</v>
      </c>
      <c r="K1273" s="1360">
        <v>42942</v>
      </c>
      <c r="L1273" s="1389">
        <v>3000000</v>
      </c>
      <c r="M1273" s="1360">
        <v>42942</v>
      </c>
      <c r="N1273" s="2039">
        <v>3000000</v>
      </c>
      <c r="O1273" s="2040">
        <v>43111</v>
      </c>
      <c r="P1273" s="1389">
        <v>3000000</v>
      </c>
      <c r="Q1273" s="1360">
        <v>43292</v>
      </c>
      <c r="R1273" s="1714">
        <v>3000000</v>
      </c>
      <c r="S1273" s="1367">
        <v>43482</v>
      </c>
      <c r="T1273" s="1363">
        <v>3000000</v>
      </c>
      <c r="U1273" s="1367">
        <v>43643</v>
      </c>
      <c r="V1273" s="1714">
        <v>3000000</v>
      </c>
      <c r="W1273" s="1367">
        <v>43858.610312500001</v>
      </c>
      <c r="X1273" s="1714">
        <v>3000000</v>
      </c>
      <c r="Y1273" s="1367">
        <v>44067.5087152778</v>
      </c>
      <c r="Z1273" s="1363"/>
      <c r="AA1273" s="1563"/>
      <c r="AB1273" s="1714">
        <v>0</v>
      </c>
      <c r="AC1273" s="1384"/>
      <c r="AD1273" s="1666"/>
      <c r="AE1273" s="1590"/>
      <c r="AF1273" s="1430">
        <v>750000</v>
      </c>
      <c r="AG1273" s="2069">
        <v>42971</v>
      </c>
      <c r="AH1273" s="2070" t="str">
        <f t="shared" si="454"/>
        <v>PAI</v>
      </c>
      <c r="AI1273" s="1678">
        <f t="shared" si="458"/>
        <v>22350000</v>
      </c>
      <c r="AJ1273" s="1679" t="e">
        <f t="shared" si="455"/>
        <v>#VALUE!</v>
      </c>
      <c r="AK1273" s="1419" t="e">
        <f t="shared" si="459"/>
        <v>#VALUE!</v>
      </c>
      <c r="AL1273" s="1420" t="e">
        <f t="shared" si="460"/>
        <v>#VALUE!</v>
      </c>
      <c r="AM1273" s="1410"/>
      <c r="AN1273" s="1411"/>
      <c r="AO1273" s="1410"/>
      <c r="AP1273" s="1411"/>
      <c r="AQ1273" s="1128"/>
      <c r="AR1273" s="1173"/>
      <c r="AT1273" s="1173"/>
      <c r="AV1273" s="1173"/>
      <c r="AX1273" s="1173"/>
      <c r="AY1273" s="1176"/>
      <c r="AZ1273" s="1173"/>
    </row>
    <row r="1274" spans="1:52" s="2" customFormat="1" x14ac:dyDescent="0.25">
      <c r="A1274" s="164">
        <v>1176</v>
      </c>
      <c r="B1274" s="345">
        <v>18</v>
      </c>
      <c r="C1274" s="660">
        <v>849317018</v>
      </c>
      <c r="D1274" s="571" t="s">
        <v>1772</v>
      </c>
      <c r="E1274" s="578" t="s">
        <v>1328</v>
      </c>
      <c r="F1274" s="579">
        <v>2017</v>
      </c>
      <c r="G1274" s="360" t="s">
        <v>1483</v>
      </c>
      <c r="H1274" s="580" t="str">
        <f t="shared" si="446"/>
        <v xml:space="preserve">   </v>
      </c>
      <c r="I1274" s="580" t="str">
        <f t="shared" si="447"/>
        <v xml:space="preserve">   </v>
      </c>
      <c r="J1274" s="1635">
        <v>600000</v>
      </c>
      <c r="K1274" s="1360">
        <v>42942</v>
      </c>
      <c r="L1274" s="1389">
        <v>3000000</v>
      </c>
      <c r="M1274" s="1360">
        <v>42942</v>
      </c>
      <c r="N1274" s="2039">
        <v>3000000</v>
      </c>
      <c r="O1274" s="2040">
        <v>43111</v>
      </c>
      <c r="P1274" s="1389">
        <v>3000000</v>
      </c>
      <c r="Q1274" s="1360">
        <v>43294</v>
      </c>
      <c r="R1274" s="1714">
        <v>3000000</v>
      </c>
      <c r="S1274" s="1367">
        <v>43483</v>
      </c>
      <c r="T1274" s="1363">
        <v>3000000</v>
      </c>
      <c r="U1274" s="1367">
        <v>43641</v>
      </c>
      <c r="V1274" s="1714">
        <v>3000000</v>
      </c>
      <c r="W1274" s="1367">
        <v>43859.573425925897</v>
      </c>
      <c r="X1274" s="1714">
        <v>3000000</v>
      </c>
      <c r="Y1274" s="1367">
        <v>44056.479317129597</v>
      </c>
      <c r="Z1274" s="1363"/>
      <c r="AA1274" s="1563"/>
      <c r="AB1274" s="1714">
        <v>0</v>
      </c>
      <c r="AC1274" s="1384"/>
      <c r="AD1274" s="1666"/>
      <c r="AE1274" s="1590"/>
      <c r="AF1274" s="1430">
        <v>750000</v>
      </c>
      <c r="AG1274" s="2069">
        <v>42970</v>
      </c>
      <c r="AH1274" s="2070" t="str">
        <f t="shared" si="454"/>
        <v>PAI</v>
      </c>
      <c r="AI1274" s="1678">
        <f t="shared" si="458"/>
        <v>22350000</v>
      </c>
      <c r="AJ1274" s="1679" t="e">
        <f t="shared" si="455"/>
        <v>#VALUE!</v>
      </c>
      <c r="AK1274" s="1419" t="e">
        <f t="shared" si="459"/>
        <v>#VALUE!</v>
      </c>
      <c r="AL1274" s="1420" t="e">
        <f t="shared" si="460"/>
        <v>#VALUE!</v>
      </c>
      <c r="AM1274" s="1410"/>
      <c r="AN1274" s="1411"/>
      <c r="AO1274" s="1410"/>
      <c r="AP1274" s="1411"/>
      <c r="AQ1274" s="1128"/>
      <c r="AR1274" s="1173"/>
      <c r="AT1274" s="1173"/>
      <c r="AV1274" s="1173"/>
      <c r="AX1274" s="1173"/>
      <c r="AY1274" s="1176"/>
      <c r="AZ1274" s="1173"/>
    </row>
    <row r="1275" spans="1:52" s="2" customFormat="1" x14ac:dyDescent="0.25">
      <c r="A1275" s="164">
        <v>1177</v>
      </c>
      <c r="B1275" s="345">
        <v>19</v>
      </c>
      <c r="C1275" s="660">
        <v>849317019</v>
      </c>
      <c r="D1275" s="571" t="s">
        <v>1773</v>
      </c>
      <c r="E1275" s="578" t="s">
        <v>1328</v>
      </c>
      <c r="F1275" s="579">
        <v>2017</v>
      </c>
      <c r="G1275" s="1758" t="s">
        <v>28</v>
      </c>
      <c r="H1275" s="580" t="str">
        <f t="shared" si="446"/>
        <v xml:space="preserve">   </v>
      </c>
      <c r="I1275" s="580" t="str">
        <f t="shared" si="447"/>
        <v xml:space="preserve">   </v>
      </c>
      <c r="J1275" s="1635">
        <v>600000</v>
      </c>
      <c r="K1275" s="1360">
        <v>42937</v>
      </c>
      <c r="L1275" s="1389">
        <v>3000000</v>
      </c>
      <c r="M1275" s="1360">
        <v>42937</v>
      </c>
      <c r="N1275" s="2039">
        <v>3000000</v>
      </c>
      <c r="O1275" s="2040">
        <v>43116</v>
      </c>
      <c r="P1275" s="1389">
        <v>3000000</v>
      </c>
      <c r="Q1275" s="1360">
        <v>43293</v>
      </c>
      <c r="R1275" s="1714">
        <v>3000000</v>
      </c>
      <c r="S1275" s="1367">
        <v>43483</v>
      </c>
      <c r="T1275" s="1363">
        <v>0</v>
      </c>
      <c r="U1275" s="1367"/>
      <c r="V1275" s="1714">
        <v>0</v>
      </c>
      <c r="W1275" s="1367" t="s">
        <v>783</v>
      </c>
      <c r="X1275" s="1714">
        <v>0</v>
      </c>
      <c r="Y1275" s="1367" t="s">
        <v>783</v>
      </c>
      <c r="Z1275" s="1363" t="str">
        <f>IFERROR(VLOOKUP(C1275,BSP,3,FALSE),"  ")</f>
        <v xml:space="preserve">  </v>
      </c>
      <c r="AA1275" s="1563" t="str">
        <f>IFERROR((VLOOKUP(C1275,BSP,4,FALSE)),"  ")</f>
        <v xml:space="preserve">  </v>
      </c>
      <c r="AB1275" s="1714">
        <v>0</v>
      </c>
      <c r="AC1275" s="1384"/>
      <c r="AD1275" s="1666"/>
      <c r="AE1275" s="1590"/>
      <c r="AF1275" s="1430">
        <v>750000</v>
      </c>
      <c r="AG1275" s="2069">
        <v>42972</v>
      </c>
      <c r="AH1275" s="2070" t="str">
        <f t="shared" si="454"/>
        <v>PAI</v>
      </c>
      <c r="AI1275" s="1678">
        <f t="shared" si="458"/>
        <v>13350000</v>
      </c>
      <c r="AJ1275" s="1679" t="e">
        <f t="shared" si="455"/>
        <v>#VALUE!</v>
      </c>
      <c r="AK1275" s="1419" t="e">
        <f t="shared" si="459"/>
        <v>#VALUE!</v>
      </c>
      <c r="AL1275" s="1420" t="e">
        <f t="shared" si="460"/>
        <v>#VALUE!</v>
      </c>
      <c r="AM1275" s="1410"/>
      <c r="AN1275" s="1411"/>
      <c r="AO1275" s="1410"/>
      <c r="AP1275" s="1411"/>
      <c r="AQ1275" s="1128"/>
      <c r="AR1275" s="1173"/>
      <c r="AT1275" s="1173"/>
      <c r="AV1275" s="1173"/>
      <c r="AX1275" s="1173"/>
      <c r="AY1275" s="1176"/>
      <c r="AZ1275" s="1173"/>
    </row>
    <row r="1276" spans="1:52" s="2" customFormat="1" x14ac:dyDescent="0.25">
      <c r="A1276" s="164">
        <v>1178</v>
      </c>
      <c r="B1276" s="345">
        <v>20</v>
      </c>
      <c r="C1276" s="660">
        <v>849317020</v>
      </c>
      <c r="D1276" s="571" t="s">
        <v>1774</v>
      </c>
      <c r="E1276" s="578" t="s">
        <v>1328</v>
      </c>
      <c r="F1276" s="579">
        <v>2017</v>
      </c>
      <c r="G1276" s="360" t="s">
        <v>1483</v>
      </c>
      <c r="H1276" s="580" t="str">
        <f t="shared" si="446"/>
        <v xml:space="preserve">   </v>
      </c>
      <c r="I1276" s="580" t="str">
        <f t="shared" si="447"/>
        <v xml:space="preserve">   </v>
      </c>
      <c r="J1276" s="1635">
        <v>600000</v>
      </c>
      <c r="K1276" s="1360">
        <v>42940</v>
      </c>
      <c r="L1276" s="1389">
        <v>3000000</v>
      </c>
      <c r="M1276" s="1360">
        <v>42940</v>
      </c>
      <c r="N1276" s="2039">
        <v>3000000</v>
      </c>
      <c r="O1276" s="2040">
        <v>43110</v>
      </c>
      <c r="P1276" s="1389">
        <v>3000000</v>
      </c>
      <c r="Q1276" s="1360">
        <v>43290</v>
      </c>
      <c r="R1276" s="1714">
        <v>3000000</v>
      </c>
      <c r="S1276" s="1367">
        <v>43483</v>
      </c>
      <c r="T1276" s="1363">
        <v>3000000</v>
      </c>
      <c r="U1276" s="1367">
        <v>43644</v>
      </c>
      <c r="V1276" s="1714">
        <v>3000000</v>
      </c>
      <c r="W1276" s="1367">
        <v>43910</v>
      </c>
      <c r="X1276" s="1363">
        <v>3000000</v>
      </c>
      <c r="Y1276" s="1563">
        <v>44071.555601851898</v>
      </c>
      <c r="Z1276" s="1363"/>
      <c r="AA1276" s="1563"/>
      <c r="AB1276" s="1714">
        <v>0</v>
      </c>
      <c r="AC1276" s="1384"/>
      <c r="AD1276" s="1666"/>
      <c r="AE1276" s="1590"/>
      <c r="AF1276" s="1430">
        <v>500000</v>
      </c>
      <c r="AG1276" s="2069">
        <v>42969</v>
      </c>
      <c r="AH1276" s="2070" t="str">
        <f t="shared" si="454"/>
        <v>PAI</v>
      </c>
      <c r="AI1276" s="1678">
        <f t="shared" si="458"/>
        <v>22100000</v>
      </c>
      <c r="AJ1276" s="1679" t="e">
        <f t="shared" si="455"/>
        <v>#VALUE!</v>
      </c>
      <c r="AK1276" s="1419" t="e">
        <f t="shared" si="459"/>
        <v>#VALUE!</v>
      </c>
      <c r="AL1276" s="1420" t="e">
        <f t="shared" si="460"/>
        <v>#VALUE!</v>
      </c>
      <c r="AM1276" s="1410"/>
      <c r="AN1276" s="1411"/>
      <c r="AO1276" s="1410"/>
      <c r="AP1276" s="1411"/>
      <c r="AQ1276" s="1128"/>
      <c r="AR1276" s="1173"/>
      <c r="AT1276" s="1173"/>
      <c r="AV1276" s="1173"/>
      <c r="AX1276" s="1173"/>
      <c r="AY1276" s="1176"/>
      <c r="AZ1276" s="1173"/>
    </row>
    <row r="1277" spans="1:52" s="2" customFormat="1" x14ac:dyDescent="0.25">
      <c r="A1277" s="164">
        <v>1179</v>
      </c>
      <c r="B1277" s="345">
        <v>21</v>
      </c>
      <c r="C1277" s="660">
        <v>849317021</v>
      </c>
      <c r="D1277" s="571" t="s">
        <v>1775</v>
      </c>
      <c r="E1277" s="578" t="s">
        <v>1328</v>
      </c>
      <c r="F1277" s="579">
        <v>2017</v>
      </c>
      <c r="G1277" s="360" t="s">
        <v>1483</v>
      </c>
      <c r="H1277" s="580" t="str">
        <f t="shared" si="446"/>
        <v xml:space="preserve">   </v>
      </c>
      <c r="I1277" s="580" t="str">
        <f t="shared" si="447"/>
        <v xml:space="preserve">   </v>
      </c>
      <c r="J1277" s="1635">
        <v>600000</v>
      </c>
      <c r="K1277" s="1360">
        <v>42940</v>
      </c>
      <c r="L1277" s="1389">
        <v>3000000</v>
      </c>
      <c r="M1277" s="1360">
        <v>42940</v>
      </c>
      <c r="N1277" s="1714">
        <v>3000000</v>
      </c>
      <c r="O1277" s="1367">
        <v>43115</v>
      </c>
      <c r="P1277" s="1389">
        <v>3000000</v>
      </c>
      <c r="Q1277" s="1360">
        <v>43291</v>
      </c>
      <c r="R1277" s="1714">
        <v>3000000</v>
      </c>
      <c r="S1277" s="1367">
        <v>43483</v>
      </c>
      <c r="T1277" s="1363">
        <v>3000000</v>
      </c>
      <c r="U1277" s="1367">
        <v>43644</v>
      </c>
      <c r="V1277" s="1714">
        <v>3000000</v>
      </c>
      <c r="W1277" s="1367">
        <v>43860.622824074097</v>
      </c>
      <c r="X1277" s="1714">
        <v>3000000</v>
      </c>
      <c r="Y1277" s="1367">
        <v>44090</v>
      </c>
      <c r="Z1277" s="1363" t="str">
        <f>IFERROR(VLOOKUP(C1277,BSP,3,FALSE),"  ")</f>
        <v xml:space="preserve">  </v>
      </c>
      <c r="AA1277" s="1563" t="str">
        <f>IFERROR((VLOOKUP(C1277,BSP,4,FALSE)),"  ")</f>
        <v xml:space="preserve">  </v>
      </c>
      <c r="AB1277" s="1714">
        <v>0</v>
      </c>
      <c r="AC1277" s="1384"/>
      <c r="AD1277" s="1666"/>
      <c r="AE1277" s="1590"/>
      <c r="AF1277" s="1430">
        <v>750000</v>
      </c>
      <c r="AG1277" s="2069">
        <v>42971</v>
      </c>
      <c r="AH1277" s="2070" t="str">
        <f t="shared" si="454"/>
        <v>PAI</v>
      </c>
      <c r="AI1277" s="1678">
        <f t="shared" si="458"/>
        <v>22350000</v>
      </c>
      <c r="AJ1277" s="1679" t="e">
        <f t="shared" si="455"/>
        <v>#VALUE!</v>
      </c>
      <c r="AK1277" s="1419" t="e">
        <f t="shared" si="459"/>
        <v>#VALUE!</v>
      </c>
      <c r="AL1277" s="1420" t="e">
        <f t="shared" si="460"/>
        <v>#VALUE!</v>
      </c>
      <c r="AM1277" s="1410"/>
      <c r="AN1277" s="1411"/>
      <c r="AO1277" s="1410"/>
      <c r="AP1277" s="1411"/>
      <c r="AQ1277" s="1128"/>
      <c r="AR1277" s="1173"/>
      <c r="AT1277" s="1173"/>
      <c r="AV1277" s="1173"/>
      <c r="AX1277" s="1173"/>
      <c r="AY1277" s="1176"/>
      <c r="AZ1277" s="1173"/>
    </row>
    <row r="1278" spans="1:52" s="2" customFormat="1" x14ac:dyDescent="0.25">
      <c r="A1278" s="164">
        <v>1180</v>
      </c>
      <c r="B1278" s="345">
        <v>22</v>
      </c>
      <c r="C1278" s="660">
        <v>849317022</v>
      </c>
      <c r="D1278" s="571" t="s">
        <v>1776</v>
      </c>
      <c r="E1278" s="578" t="s">
        <v>1328</v>
      </c>
      <c r="F1278" s="579">
        <v>2017</v>
      </c>
      <c r="G1278" s="1758" t="s">
        <v>28</v>
      </c>
      <c r="H1278" s="580" t="str">
        <f t="shared" si="446"/>
        <v xml:space="preserve">   </v>
      </c>
      <c r="I1278" s="580" t="str">
        <f t="shared" si="447"/>
        <v xml:space="preserve">   </v>
      </c>
      <c r="J1278" s="1635">
        <v>600000</v>
      </c>
      <c r="K1278" s="1360">
        <v>42941</v>
      </c>
      <c r="L1278" s="1389">
        <v>3000000</v>
      </c>
      <c r="M1278" s="1360">
        <v>42941</v>
      </c>
      <c r="N1278" s="2039">
        <v>3000000</v>
      </c>
      <c r="O1278" s="2040">
        <v>43111</v>
      </c>
      <c r="P1278" s="1389">
        <v>3000000</v>
      </c>
      <c r="Q1278" s="1360">
        <v>43361</v>
      </c>
      <c r="R1278" s="1714">
        <v>3000000</v>
      </c>
      <c r="S1278" s="1367">
        <v>43483</v>
      </c>
      <c r="T1278" s="1363">
        <v>3000000</v>
      </c>
      <c r="U1278" s="1367">
        <v>43670</v>
      </c>
      <c r="V1278" s="1714">
        <v>3000000</v>
      </c>
      <c r="W1278" s="1367">
        <v>43916</v>
      </c>
      <c r="X1278" s="1714">
        <v>0</v>
      </c>
      <c r="Y1278" s="1367" t="s">
        <v>783</v>
      </c>
      <c r="Z1278" s="1363" t="str">
        <f>IFERROR(VLOOKUP(C1278,BSP,3,FALSE),"  ")</f>
        <v xml:space="preserve">  </v>
      </c>
      <c r="AA1278" s="1563" t="str">
        <f>IFERROR((VLOOKUP(C1278,BSP,4,FALSE)),"  ")</f>
        <v xml:space="preserve">  </v>
      </c>
      <c r="AB1278" s="1714">
        <v>0</v>
      </c>
      <c r="AC1278" s="1384"/>
      <c r="AD1278" s="1666"/>
      <c r="AE1278" s="1590"/>
      <c r="AF1278" s="1430">
        <v>750000</v>
      </c>
      <c r="AG1278" s="2069">
        <v>42972</v>
      </c>
      <c r="AH1278" s="2070" t="str">
        <f t="shared" si="454"/>
        <v>PAI</v>
      </c>
      <c r="AI1278" s="1678">
        <f t="shared" si="458"/>
        <v>19350000</v>
      </c>
      <c r="AJ1278" s="1679" t="e">
        <f t="shared" si="455"/>
        <v>#VALUE!</v>
      </c>
      <c r="AK1278" s="1419" t="e">
        <f t="shared" si="459"/>
        <v>#VALUE!</v>
      </c>
      <c r="AL1278" s="1420" t="e">
        <f t="shared" si="460"/>
        <v>#VALUE!</v>
      </c>
      <c r="AM1278" s="1410"/>
      <c r="AN1278" s="1411"/>
      <c r="AO1278" s="1410"/>
      <c r="AP1278" s="1411"/>
      <c r="AQ1278" s="1128"/>
      <c r="AR1278" s="1173"/>
      <c r="AT1278" s="1173"/>
      <c r="AV1278" s="1173"/>
      <c r="AX1278" s="1173"/>
      <c r="AY1278" s="1176"/>
      <c r="AZ1278" s="1173"/>
    </row>
    <row r="1279" spans="1:52" s="2" customFormat="1" x14ac:dyDescent="0.25">
      <c r="A1279" s="156">
        <v>1181</v>
      </c>
      <c r="B1279" s="344">
        <v>23</v>
      </c>
      <c r="C1279" s="2015">
        <v>849317023</v>
      </c>
      <c r="D1279" s="582" t="s">
        <v>1777</v>
      </c>
      <c r="E1279" s="179" t="s">
        <v>1328</v>
      </c>
      <c r="F1279" s="584">
        <v>2017</v>
      </c>
      <c r="G1279" s="162" t="s">
        <v>33</v>
      </c>
      <c r="H1279" s="163">
        <f t="shared" si="446"/>
        <v>43530</v>
      </c>
      <c r="I1279" s="163">
        <f t="shared" si="447"/>
        <v>43587</v>
      </c>
      <c r="J1279" s="1636">
        <v>600000</v>
      </c>
      <c r="K1279" s="1365">
        <v>42940</v>
      </c>
      <c r="L1279" s="1713"/>
      <c r="M1279" s="1362" t="s">
        <v>475</v>
      </c>
      <c r="N1279" s="1713"/>
      <c r="O1279" s="1362" t="s">
        <v>475</v>
      </c>
      <c r="P1279" s="1713"/>
      <c r="Q1279" s="1362" t="s">
        <v>475</v>
      </c>
      <c r="R1279" s="1713"/>
      <c r="S1279" s="1362" t="s">
        <v>475</v>
      </c>
      <c r="T1279" s="1465" t="s">
        <v>1080</v>
      </c>
      <c r="U1279" s="1391"/>
      <c r="V1279" s="1363"/>
      <c r="W1279" s="1391"/>
      <c r="X1279" s="1363" t="str">
        <f>IFERROR(VLOOKUP(C1279,BSP,3,FALSE),"  ")</f>
        <v xml:space="preserve">  </v>
      </c>
      <c r="Y1279" s="1391" t="str">
        <f>IFERROR((VLOOKUP(C1279,BSP,4,FALSE)),"  ")</f>
        <v xml:space="preserve">  </v>
      </c>
      <c r="Z1279" s="1363" t="str">
        <f>IFERROR(VLOOKUP(C1279,BSP,3,FALSE),"  ")</f>
        <v xml:space="preserve">  </v>
      </c>
      <c r="AA1279" s="1563" t="str">
        <f>IFERROR((VLOOKUP(C1279,BSP,4,FALSE)),"  ")</f>
        <v xml:space="preserve">  </v>
      </c>
      <c r="AB1279" s="1385">
        <v>1000000</v>
      </c>
      <c r="AC1279" s="2060">
        <v>43496</v>
      </c>
      <c r="AD1279" s="1666"/>
      <c r="AE1279" s="1590"/>
      <c r="AF1279" s="1430">
        <v>500000</v>
      </c>
      <c r="AG1279" s="2069">
        <v>42971</v>
      </c>
      <c r="AH1279" s="2070" t="str">
        <f t="shared" si="454"/>
        <v>PAI</v>
      </c>
      <c r="AI1279" s="1678">
        <f t="shared" si="458"/>
        <v>2100000</v>
      </c>
      <c r="AJ1279" s="1679" t="e">
        <f t="shared" si="455"/>
        <v>#VALUE!</v>
      </c>
      <c r="AK1279" s="1419" t="e">
        <f t="shared" si="459"/>
        <v>#VALUE!</v>
      </c>
      <c r="AL1279" s="1420" t="e">
        <f t="shared" si="460"/>
        <v>#VALUE!</v>
      </c>
      <c r="AM1279" s="1410"/>
      <c r="AN1279" s="1411"/>
      <c r="AO1279" s="1410"/>
      <c r="AP1279" s="1411"/>
      <c r="AQ1279" s="1128"/>
      <c r="AR1279" s="1173"/>
      <c r="AT1279" s="1173"/>
      <c r="AV1279" s="1173"/>
      <c r="AX1279" s="1173"/>
      <c r="AY1279" s="1176"/>
      <c r="AZ1279" s="1173"/>
    </row>
    <row r="1280" spans="1:52" s="2" customFormat="1" x14ac:dyDescent="0.25">
      <c r="A1280" s="164">
        <v>1182</v>
      </c>
      <c r="B1280" s="345">
        <v>24</v>
      </c>
      <c r="C1280" s="660">
        <v>849317024</v>
      </c>
      <c r="D1280" s="571" t="s">
        <v>1778</v>
      </c>
      <c r="E1280" s="585" t="s">
        <v>1328</v>
      </c>
      <c r="F1280" s="579">
        <v>2017</v>
      </c>
      <c r="G1280" s="360" t="s">
        <v>1483</v>
      </c>
      <c r="H1280" s="574" t="str">
        <f t="shared" si="446"/>
        <v xml:space="preserve">   </v>
      </c>
      <c r="I1280" s="574" t="str">
        <f t="shared" si="447"/>
        <v xml:space="preserve">   </v>
      </c>
      <c r="J1280" s="1635">
        <v>600000</v>
      </c>
      <c r="K1280" s="1360">
        <v>42957</v>
      </c>
      <c r="L1280" s="1389">
        <v>3000000</v>
      </c>
      <c r="M1280" s="1360">
        <v>42957</v>
      </c>
      <c r="N1280" s="2039">
        <v>3000000</v>
      </c>
      <c r="O1280" s="2040">
        <v>43116</v>
      </c>
      <c r="P1280" s="1389">
        <v>3000000</v>
      </c>
      <c r="Q1280" s="1360">
        <v>43294</v>
      </c>
      <c r="R1280" s="1714">
        <v>3000000</v>
      </c>
      <c r="S1280" s="1367">
        <v>43482</v>
      </c>
      <c r="T1280" s="1363">
        <v>3000000</v>
      </c>
      <c r="U1280" s="1367">
        <v>43748</v>
      </c>
      <c r="V1280" s="1714">
        <v>3000000</v>
      </c>
      <c r="W1280" s="1367">
        <v>43910</v>
      </c>
      <c r="X1280" s="1714">
        <v>3000000</v>
      </c>
      <c r="Y1280" s="1367">
        <v>44071.443865740701</v>
      </c>
      <c r="Z1280" s="1363"/>
      <c r="AA1280" s="1563"/>
      <c r="AB1280" s="1714">
        <v>0</v>
      </c>
      <c r="AC1280" s="1384"/>
      <c r="AD1280" s="1666"/>
      <c r="AE1280" s="1590"/>
      <c r="AF1280" s="2061">
        <v>500000</v>
      </c>
      <c r="AG1280" s="2069"/>
      <c r="AH1280" s="2070" t="str">
        <f t="shared" si="454"/>
        <v>PAI</v>
      </c>
      <c r="AI1280" s="1678">
        <f t="shared" si="458"/>
        <v>22100000</v>
      </c>
      <c r="AJ1280" s="1679" t="e">
        <f t="shared" si="455"/>
        <v>#VALUE!</v>
      </c>
      <c r="AK1280" s="1419" t="e">
        <f t="shared" si="459"/>
        <v>#VALUE!</v>
      </c>
      <c r="AL1280" s="1420" t="e">
        <f t="shared" si="460"/>
        <v>#VALUE!</v>
      </c>
      <c r="AM1280" s="1410"/>
      <c r="AN1280" s="1411"/>
      <c r="AO1280" s="1410"/>
      <c r="AP1280" s="1411"/>
      <c r="AQ1280" s="1128"/>
      <c r="AR1280" s="1173"/>
      <c r="AT1280" s="1173"/>
      <c r="AV1280" s="1173"/>
      <c r="AX1280" s="1173"/>
      <c r="AY1280" s="1176"/>
      <c r="AZ1280" s="1173"/>
    </row>
    <row r="1281" spans="1:52" s="2" customFormat="1" x14ac:dyDescent="0.25">
      <c r="A1281" s="234">
        <v>1183</v>
      </c>
      <c r="B1281" s="586">
        <v>25</v>
      </c>
      <c r="C1281" s="2071">
        <v>849317025</v>
      </c>
      <c r="D1281" s="587" t="s">
        <v>1779</v>
      </c>
      <c r="E1281" s="589" t="s">
        <v>1328</v>
      </c>
      <c r="F1281" s="590">
        <v>2017</v>
      </c>
      <c r="G1281" s="214" t="s">
        <v>1077</v>
      </c>
      <c r="H1281" s="592" t="str">
        <f t="shared" si="446"/>
        <v xml:space="preserve">   </v>
      </c>
      <c r="I1281" s="592" t="str">
        <f t="shared" si="447"/>
        <v xml:space="preserve">   </v>
      </c>
      <c r="J1281" s="1710">
        <v>600000</v>
      </c>
      <c r="K1281" s="1545">
        <v>42940</v>
      </c>
      <c r="L1281" s="1772">
        <v>3000000</v>
      </c>
      <c r="M1281" s="1545">
        <v>42940</v>
      </c>
      <c r="N1281" s="1714"/>
      <c r="O1281" s="1367"/>
      <c r="P1281" s="1389"/>
      <c r="Q1281" s="1360"/>
      <c r="R1281" s="1714"/>
      <c r="S1281" s="1367"/>
      <c r="T1281" s="1363"/>
      <c r="U1281" s="1367"/>
      <c r="V1281" s="1714"/>
      <c r="W1281" s="1391"/>
      <c r="X1281" s="1363" t="str">
        <f>IFERROR(VLOOKUP(C1281,BSP,3,FALSE),"  ")</f>
        <v xml:space="preserve">  </v>
      </c>
      <c r="Y1281" s="1391" t="str">
        <f>IFERROR((VLOOKUP(C1281,BSP,4,FALSE)),"  ")</f>
        <v xml:space="preserve">  </v>
      </c>
      <c r="Z1281" s="1363" t="str">
        <f>IFERROR(VLOOKUP(C1281,BSP,3,FALSE),"  ")</f>
        <v xml:space="preserve">  </v>
      </c>
      <c r="AA1281" s="1563" t="str">
        <f>IFERROR((VLOOKUP(C1281,BSP,4,FALSE)),"  ")</f>
        <v xml:space="preserve">  </v>
      </c>
      <c r="AB1281" s="1714"/>
      <c r="AC1281" s="1384"/>
      <c r="AD1281" s="1666"/>
      <c r="AE1281" s="1590"/>
      <c r="AF1281" s="1430">
        <v>750000</v>
      </c>
      <c r="AG1281" s="2069">
        <v>42971</v>
      </c>
      <c r="AH1281" s="2070" t="str">
        <f t="shared" si="454"/>
        <v>PAI</v>
      </c>
      <c r="AI1281" s="1678">
        <f t="shared" si="458"/>
        <v>4350000</v>
      </c>
      <c r="AJ1281" s="1679" t="e">
        <f t="shared" si="455"/>
        <v>#VALUE!</v>
      </c>
      <c r="AK1281" s="1419" t="e">
        <f t="shared" si="459"/>
        <v>#VALUE!</v>
      </c>
      <c r="AL1281" s="1420" t="e">
        <f t="shared" si="460"/>
        <v>#VALUE!</v>
      </c>
      <c r="AM1281" s="1410"/>
      <c r="AN1281" s="1411"/>
      <c r="AO1281" s="1410"/>
      <c r="AP1281" s="1411"/>
      <c r="AQ1281" s="1128"/>
      <c r="AR1281" s="1173"/>
      <c r="AT1281" s="1173"/>
      <c r="AV1281" s="1173"/>
      <c r="AX1281" s="1173"/>
      <c r="AY1281" s="1176"/>
      <c r="AZ1281" s="1173"/>
    </row>
    <row r="1282" spans="1:52" s="2" customFormat="1" x14ac:dyDescent="0.25">
      <c r="A1282" s="164">
        <v>1184</v>
      </c>
      <c r="B1282" s="345">
        <v>26</v>
      </c>
      <c r="C1282" s="660">
        <v>849317026</v>
      </c>
      <c r="D1282" s="571" t="s">
        <v>1780</v>
      </c>
      <c r="E1282" s="578" t="s">
        <v>1328</v>
      </c>
      <c r="F1282" s="579">
        <v>2017</v>
      </c>
      <c r="G1282" s="360" t="s">
        <v>1483</v>
      </c>
      <c r="H1282" s="574" t="str">
        <f t="shared" si="446"/>
        <v xml:space="preserve">   </v>
      </c>
      <c r="I1282" s="574" t="str">
        <f t="shared" si="447"/>
        <v xml:space="preserve">   </v>
      </c>
      <c r="J1282" s="1635">
        <v>600000</v>
      </c>
      <c r="K1282" s="1360">
        <v>42943</v>
      </c>
      <c r="L1282" s="1389">
        <v>3000000</v>
      </c>
      <c r="M1282" s="1360">
        <v>42943</v>
      </c>
      <c r="N1282" s="2039">
        <v>3000000</v>
      </c>
      <c r="O1282" s="2040">
        <v>43112</v>
      </c>
      <c r="P1282" s="1186" t="s">
        <v>1078</v>
      </c>
      <c r="Q1282" s="1386">
        <v>43353</v>
      </c>
      <c r="R1282" s="1186" t="s">
        <v>1078</v>
      </c>
      <c r="S1282" s="1386">
        <v>43489</v>
      </c>
      <c r="T1282" s="1363">
        <v>3000000</v>
      </c>
      <c r="U1282" s="1367">
        <v>43671</v>
      </c>
      <c r="V1282" s="1714">
        <v>0</v>
      </c>
      <c r="W1282" s="1367" t="s">
        <v>783</v>
      </c>
      <c r="X1282" s="1714">
        <v>0</v>
      </c>
      <c r="Y1282" s="1367" t="s">
        <v>783</v>
      </c>
      <c r="Z1282" s="1363" t="str">
        <f>IFERROR(VLOOKUP(C1282,BSP,3,FALSE),"  ")</f>
        <v xml:space="preserve">  </v>
      </c>
      <c r="AA1282" s="1563" t="str">
        <f>IFERROR((VLOOKUP(C1282,BSP,4,FALSE)),"  ")</f>
        <v xml:space="preserve">  </v>
      </c>
      <c r="AB1282" s="1714">
        <v>0</v>
      </c>
      <c r="AC1282" s="1384"/>
      <c r="AD1282" s="1666"/>
      <c r="AE1282" s="1590"/>
      <c r="AF1282" s="1430">
        <v>750000</v>
      </c>
      <c r="AG1282" s="2069">
        <v>42972</v>
      </c>
      <c r="AH1282" s="2070" t="str">
        <f t="shared" si="454"/>
        <v>PAI</v>
      </c>
      <c r="AI1282" s="1678">
        <f t="shared" si="458"/>
        <v>10350000</v>
      </c>
      <c r="AJ1282" s="1679" t="e">
        <f t="shared" si="455"/>
        <v>#VALUE!</v>
      </c>
      <c r="AK1282" s="1419" t="e">
        <f t="shared" si="459"/>
        <v>#VALUE!</v>
      </c>
      <c r="AL1282" s="1420" t="e">
        <f t="shared" si="460"/>
        <v>#VALUE!</v>
      </c>
      <c r="AM1282" s="1410" t="s">
        <v>1781</v>
      </c>
      <c r="AN1282" s="1411"/>
      <c r="AO1282" s="1410" t="s">
        <v>1781</v>
      </c>
      <c r="AP1282" s="1411"/>
      <c r="AQ1282" s="1128"/>
      <c r="AR1282" s="1173"/>
      <c r="AT1282" s="1173"/>
      <c r="AV1282" s="1173"/>
      <c r="AX1282" s="1173"/>
      <c r="AY1282" s="1176"/>
      <c r="AZ1282" s="1173"/>
    </row>
    <row r="1283" spans="1:52" s="2" customFormat="1" x14ac:dyDescent="0.25">
      <c r="A1283" s="156">
        <v>1185</v>
      </c>
      <c r="B1283" s="344">
        <v>27</v>
      </c>
      <c r="C1283" s="2014">
        <v>849317027</v>
      </c>
      <c r="D1283" s="575" t="s">
        <v>1782</v>
      </c>
      <c r="E1283" s="593" t="s">
        <v>1328</v>
      </c>
      <c r="F1283" s="594">
        <v>2017</v>
      </c>
      <c r="G1283" s="272" t="s">
        <v>33</v>
      </c>
      <c r="H1283" s="163">
        <f t="shared" si="446"/>
        <v>43770</v>
      </c>
      <c r="I1283" s="163">
        <f t="shared" si="447"/>
        <v>43818</v>
      </c>
      <c r="J1283" s="1636">
        <v>600000</v>
      </c>
      <c r="K1283" s="1365">
        <v>42942</v>
      </c>
      <c r="L1283" s="1480">
        <v>3000000</v>
      </c>
      <c r="M1283" s="1365">
        <v>42942</v>
      </c>
      <c r="N1283" s="2041">
        <v>3000000</v>
      </c>
      <c r="O1283" s="2042">
        <v>43111</v>
      </c>
      <c r="P1283" s="1480">
        <v>3000000</v>
      </c>
      <c r="Q1283" s="1365">
        <v>43294</v>
      </c>
      <c r="R1283" s="1385">
        <v>3000000</v>
      </c>
      <c r="S1283" s="1357">
        <v>43483</v>
      </c>
      <c r="T1283" s="1358">
        <v>3000000</v>
      </c>
      <c r="U1283" s="1357">
        <v>43748</v>
      </c>
      <c r="V1283" s="1465" t="s">
        <v>1080</v>
      </c>
      <c r="W1283" s="1384"/>
      <c r="X1283" s="1363"/>
      <c r="Y1283" s="1391"/>
      <c r="Z1283" s="1363" t="str">
        <f>IFERROR(VLOOKUP(C1283,BSP,3,FALSE),"  ")</f>
        <v xml:space="preserve">  </v>
      </c>
      <c r="AA1283" s="1563" t="str">
        <f>IFERROR((VLOOKUP(C1283,BSP,4,FALSE)),"  ")</f>
        <v xml:space="preserve">  </v>
      </c>
      <c r="AB1283" s="1385">
        <v>1000000</v>
      </c>
      <c r="AC1283" s="2060">
        <v>43763</v>
      </c>
      <c r="AD1283" s="1666"/>
      <c r="AE1283" s="1590"/>
      <c r="AF1283" s="1430">
        <v>750000</v>
      </c>
      <c r="AG1283" s="2069">
        <v>42970</v>
      </c>
      <c r="AH1283" s="2070" t="str">
        <f t="shared" si="454"/>
        <v>PAI</v>
      </c>
      <c r="AI1283" s="1678">
        <f t="shared" si="458"/>
        <v>17350000</v>
      </c>
      <c r="AJ1283" s="1679" t="e">
        <f t="shared" si="455"/>
        <v>#VALUE!</v>
      </c>
      <c r="AK1283" s="1419" t="e">
        <f t="shared" si="459"/>
        <v>#VALUE!</v>
      </c>
      <c r="AL1283" s="1420" t="e">
        <f t="shared" si="460"/>
        <v>#VALUE!</v>
      </c>
      <c r="AM1283" s="1410"/>
      <c r="AN1283" s="1411"/>
      <c r="AO1283" s="1410"/>
      <c r="AP1283" s="1411"/>
      <c r="AQ1283" s="1128"/>
      <c r="AR1283" s="1173"/>
      <c r="AT1283" s="1173"/>
      <c r="AV1283" s="1173"/>
      <c r="AX1283" s="1173"/>
      <c r="AY1283" s="1176"/>
      <c r="AZ1283" s="1173"/>
    </row>
    <row r="1284" spans="1:52" s="2" customFormat="1" x14ac:dyDescent="0.25">
      <c r="A1284" s="164">
        <v>1186</v>
      </c>
      <c r="B1284" s="345">
        <v>28</v>
      </c>
      <c r="C1284" s="660">
        <v>849317028</v>
      </c>
      <c r="D1284" s="571" t="s">
        <v>1783</v>
      </c>
      <c r="E1284" s="578" t="s">
        <v>1328</v>
      </c>
      <c r="F1284" s="579">
        <v>2017</v>
      </c>
      <c r="G1284" s="360" t="s">
        <v>1483</v>
      </c>
      <c r="H1284" s="574" t="str">
        <f t="shared" si="446"/>
        <v xml:space="preserve">   </v>
      </c>
      <c r="I1284" s="574" t="str">
        <f t="shared" si="447"/>
        <v xml:space="preserve">   </v>
      </c>
      <c r="J1284" s="1635">
        <v>600000</v>
      </c>
      <c r="K1284" s="1360">
        <v>42938</v>
      </c>
      <c r="L1284" s="1389">
        <v>3000000</v>
      </c>
      <c r="M1284" s="1360">
        <v>42938</v>
      </c>
      <c r="N1284" s="2039">
        <v>3000000</v>
      </c>
      <c r="O1284" s="2040">
        <v>43111</v>
      </c>
      <c r="P1284" s="1389">
        <v>3000000</v>
      </c>
      <c r="Q1284" s="1360">
        <v>43292</v>
      </c>
      <c r="R1284" s="1714">
        <v>3000000</v>
      </c>
      <c r="S1284" s="1367">
        <v>43482</v>
      </c>
      <c r="T1284" s="1363">
        <v>3000000</v>
      </c>
      <c r="U1284" s="1367">
        <v>43643</v>
      </c>
      <c r="V1284" s="1714">
        <v>3000000</v>
      </c>
      <c r="W1284" s="1367">
        <v>43858.608668981498</v>
      </c>
      <c r="X1284" s="1714">
        <v>3000000</v>
      </c>
      <c r="Y1284" s="1367">
        <v>44067.507650462998</v>
      </c>
      <c r="Z1284" s="1363"/>
      <c r="AA1284" s="1563"/>
      <c r="AB1284" s="1714"/>
      <c r="AC1284" s="1384"/>
      <c r="AD1284" s="1666"/>
      <c r="AE1284" s="1590"/>
      <c r="AF1284" s="1430">
        <v>750000</v>
      </c>
      <c r="AG1284" s="2069">
        <v>42971</v>
      </c>
      <c r="AH1284" s="2070" t="str">
        <f t="shared" si="454"/>
        <v>PAI</v>
      </c>
      <c r="AI1284" s="1678">
        <f t="shared" si="458"/>
        <v>22350000</v>
      </c>
      <c r="AJ1284" s="1679" t="e">
        <f t="shared" si="455"/>
        <v>#VALUE!</v>
      </c>
      <c r="AK1284" s="1419" t="e">
        <f t="shared" si="459"/>
        <v>#VALUE!</v>
      </c>
      <c r="AL1284" s="1420" t="e">
        <f t="shared" si="460"/>
        <v>#VALUE!</v>
      </c>
      <c r="AM1284" s="1410"/>
      <c r="AN1284" s="1411"/>
      <c r="AO1284" s="1410"/>
      <c r="AP1284" s="1411"/>
      <c r="AQ1284" s="1128"/>
      <c r="AR1284" s="1173"/>
      <c r="AT1284" s="1173"/>
      <c r="AV1284" s="1173"/>
      <c r="AX1284" s="1173"/>
      <c r="AY1284" s="1176"/>
      <c r="AZ1284" s="1173"/>
    </row>
    <row r="1285" spans="1:52" s="2" customFormat="1" x14ac:dyDescent="0.25">
      <c r="A1285" s="156">
        <v>1187</v>
      </c>
      <c r="B1285" s="344">
        <v>29</v>
      </c>
      <c r="C1285" s="660">
        <v>849317029</v>
      </c>
      <c r="D1285" s="575" t="s">
        <v>1784</v>
      </c>
      <c r="E1285" s="576" t="s">
        <v>1328</v>
      </c>
      <c r="F1285" s="577">
        <v>2017</v>
      </c>
      <c r="G1285" s="272" t="s">
        <v>33</v>
      </c>
      <c r="H1285" s="163">
        <f t="shared" si="446"/>
        <v>0</v>
      </c>
      <c r="I1285" s="574" t="str">
        <f t="shared" si="447"/>
        <v xml:space="preserve">   </v>
      </c>
      <c r="J1285" s="1636">
        <v>600000</v>
      </c>
      <c r="K1285" s="1365">
        <v>42942</v>
      </c>
      <c r="L1285" s="1480">
        <v>3000000</v>
      </c>
      <c r="M1285" s="1365">
        <v>42942</v>
      </c>
      <c r="N1285" s="2041">
        <v>3000000</v>
      </c>
      <c r="O1285" s="2042">
        <v>43112</v>
      </c>
      <c r="P1285" s="1480">
        <v>3000000</v>
      </c>
      <c r="Q1285" s="1365">
        <v>43293</v>
      </c>
      <c r="R1285" s="1385">
        <v>3000000</v>
      </c>
      <c r="S1285" s="1357">
        <v>43483</v>
      </c>
      <c r="T1285" s="1358">
        <v>3000000</v>
      </c>
      <c r="U1285" s="1357">
        <v>43644</v>
      </c>
      <c r="V1285" s="1385">
        <v>3000000</v>
      </c>
      <c r="W1285" s="1357">
        <v>43899</v>
      </c>
      <c r="X1285" s="1363"/>
      <c r="Y1285" s="1391"/>
      <c r="Z1285" s="1363" t="str">
        <f>IFERROR(VLOOKUP(C1285,BSP,3,FALSE),"  ")</f>
        <v xml:space="preserve">  </v>
      </c>
      <c r="AA1285" s="1563" t="str">
        <f>IFERROR((VLOOKUP(C1285,BSP,4,FALSE)),"  ")</f>
        <v xml:space="preserve">  </v>
      </c>
      <c r="AB1285" s="1385">
        <v>1000000</v>
      </c>
      <c r="AC1285" s="2060">
        <v>43483</v>
      </c>
      <c r="AD1285" s="1809">
        <v>500000</v>
      </c>
      <c r="AE1285" s="1357">
        <v>43899</v>
      </c>
      <c r="AF1285" s="1430">
        <v>750000</v>
      </c>
      <c r="AG1285" s="2069">
        <v>42972</v>
      </c>
      <c r="AH1285" s="2070" t="str">
        <f t="shared" si="454"/>
        <v>PAI</v>
      </c>
      <c r="AI1285" s="1678">
        <f t="shared" si="458"/>
        <v>20850000</v>
      </c>
      <c r="AJ1285" s="1679" t="e">
        <f t="shared" si="455"/>
        <v>#VALUE!</v>
      </c>
      <c r="AK1285" s="1419" t="e">
        <f t="shared" si="459"/>
        <v>#VALUE!</v>
      </c>
      <c r="AL1285" s="1420" t="e">
        <f t="shared" si="460"/>
        <v>#VALUE!</v>
      </c>
      <c r="AM1285" s="1410"/>
      <c r="AN1285" s="1411"/>
      <c r="AO1285" s="1410"/>
      <c r="AP1285" s="1411"/>
      <c r="AQ1285" s="1128"/>
      <c r="AR1285" s="1173"/>
      <c r="AT1285" s="1173"/>
      <c r="AV1285" s="1173"/>
      <c r="AX1285" s="1173"/>
      <c r="AY1285" s="1176"/>
      <c r="AZ1285" s="1173"/>
    </row>
    <row r="1286" spans="1:52" s="2" customFormat="1" x14ac:dyDescent="0.25">
      <c r="A1286" s="164">
        <v>1188</v>
      </c>
      <c r="B1286" s="345">
        <v>30</v>
      </c>
      <c r="C1286" s="660">
        <v>849317030</v>
      </c>
      <c r="D1286" s="571" t="s">
        <v>1785</v>
      </c>
      <c r="E1286" s="572" t="s">
        <v>1328</v>
      </c>
      <c r="F1286" s="573">
        <v>2017</v>
      </c>
      <c r="G1286" s="272" t="s">
        <v>33</v>
      </c>
      <c r="H1286" s="163">
        <f t="shared" si="446"/>
        <v>44090</v>
      </c>
      <c r="I1286" s="574">
        <f t="shared" si="447"/>
        <v>44186</v>
      </c>
      <c r="J1286" s="1635">
        <v>600000</v>
      </c>
      <c r="K1286" s="1360">
        <v>42942</v>
      </c>
      <c r="L1286" s="1389">
        <v>3000000</v>
      </c>
      <c r="M1286" s="1360">
        <v>42942</v>
      </c>
      <c r="N1286" s="1714">
        <v>3000000</v>
      </c>
      <c r="O1286" s="1367">
        <v>43116</v>
      </c>
      <c r="P1286" s="1389">
        <v>3000000</v>
      </c>
      <c r="Q1286" s="1360">
        <v>43294</v>
      </c>
      <c r="R1286" s="1714">
        <v>3000000</v>
      </c>
      <c r="S1286" s="1367">
        <v>43495</v>
      </c>
      <c r="T1286" s="1363">
        <v>3000000</v>
      </c>
      <c r="U1286" s="1367">
        <v>43747</v>
      </c>
      <c r="V1286" s="1714">
        <v>3000000</v>
      </c>
      <c r="W1286" s="1367">
        <v>43861.513726851903</v>
      </c>
      <c r="X1286" s="1363"/>
      <c r="Y1286" s="1391"/>
      <c r="Z1286" s="1363">
        <f>IFERROR(VLOOKUP(C1286,BSP,3,FALSE),"  ")</f>
        <v>1000000</v>
      </c>
      <c r="AA1286" s="1563">
        <f>IFERROR((VLOOKUP(C1286,BSP,4,FALSE)),"  ")</f>
        <v>44057.466909722199</v>
      </c>
      <c r="AB1286" s="1714">
        <v>1000000</v>
      </c>
      <c r="AC1286" s="1384">
        <v>44057.466909722199</v>
      </c>
      <c r="AD1286" s="1666">
        <v>500000</v>
      </c>
      <c r="AE1286" s="1590">
        <v>44096</v>
      </c>
      <c r="AF1286" s="1430">
        <v>750000</v>
      </c>
      <c r="AG1286" s="2069">
        <v>42972</v>
      </c>
      <c r="AH1286" s="2070" t="str">
        <f t="shared" si="454"/>
        <v>PAI</v>
      </c>
      <c r="AI1286" s="1678">
        <f t="shared" si="458"/>
        <v>21850000</v>
      </c>
      <c r="AJ1286" s="1679" t="e">
        <f t="shared" si="455"/>
        <v>#VALUE!</v>
      </c>
      <c r="AK1286" s="1419" t="e">
        <f t="shared" si="459"/>
        <v>#VALUE!</v>
      </c>
      <c r="AL1286" s="1420" t="e">
        <f t="shared" si="460"/>
        <v>#VALUE!</v>
      </c>
      <c r="AM1286" s="1410"/>
      <c r="AN1286" s="1411"/>
      <c r="AO1286" s="1410"/>
      <c r="AP1286" s="1411"/>
      <c r="AQ1286" s="1128"/>
      <c r="AR1286" s="1173"/>
      <c r="AT1286" s="1173"/>
      <c r="AV1286" s="1173"/>
      <c r="AX1286" s="1173"/>
      <c r="AY1286" s="1176"/>
      <c r="AZ1286" s="1173"/>
    </row>
    <row r="1287" spans="1:52" s="2" customFormat="1" x14ac:dyDescent="0.25">
      <c r="A1287" s="164">
        <v>1189</v>
      </c>
      <c r="B1287" s="345">
        <v>31</v>
      </c>
      <c r="C1287" s="660">
        <v>849317031</v>
      </c>
      <c r="D1287" s="571" t="s">
        <v>1786</v>
      </c>
      <c r="E1287" s="572" t="s">
        <v>1328</v>
      </c>
      <c r="F1287" s="573">
        <v>2017</v>
      </c>
      <c r="G1287" s="360" t="s">
        <v>1483</v>
      </c>
      <c r="H1287" s="574" t="str">
        <f t="shared" si="446"/>
        <v xml:space="preserve">   </v>
      </c>
      <c r="I1287" s="574" t="str">
        <f t="shared" si="447"/>
        <v xml:space="preserve">   </v>
      </c>
      <c r="J1287" s="1635">
        <v>600000</v>
      </c>
      <c r="K1287" s="1360">
        <v>42941</v>
      </c>
      <c r="L1287" s="1389">
        <v>3000000</v>
      </c>
      <c r="M1287" s="1360">
        <v>42941</v>
      </c>
      <c r="N1287" s="2039">
        <v>3000000</v>
      </c>
      <c r="O1287" s="2040">
        <v>43115</v>
      </c>
      <c r="P1287" s="1389">
        <v>3000000</v>
      </c>
      <c r="Q1287" s="1360">
        <v>43294</v>
      </c>
      <c r="R1287" s="1714">
        <v>3000000</v>
      </c>
      <c r="S1287" s="1367">
        <v>43482</v>
      </c>
      <c r="T1287" s="1363">
        <v>3000000</v>
      </c>
      <c r="U1287" s="1367">
        <v>43749</v>
      </c>
      <c r="V1287" s="1714">
        <v>3000000</v>
      </c>
      <c r="W1287" s="1367">
        <v>43861.560671296298</v>
      </c>
      <c r="X1287" s="1714">
        <v>0</v>
      </c>
      <c r="Y1287" s="1367" t="s">
        <v>783</v>
      </c>
      <c r="Z1287" s="1363" t="str">
        <f>IFERROR(VLOOKUP(C1287,BSP,3,FALSE),"  ")</f>
        <v xml:space="preserve">  </v>
      </c>
      <c r="AA1287" s="1563" t="str">
        <f>IFERROR((VLOOKUP(C1287,BSP,4,FALSE)),"  ")</f>
        <v xml:space="preserve">  </v>
      </c>
      <c r="AB1287" s="1714"/>
      <c r="AC1287" s="1384"/>
      <c r="AD1287" s="1666"/>
      <c r="AE1287" s="1590"/>
      <c r="AF1287" s="1430">
        <v>750000</v>
      </c>
      <c r="AG1287" s="2069">
        <v>42972</v>
      </c>
      <c r="AH1287" s="2070" t="str">
        <f t="shared" si="454"/>
        <v>PAI</v>
      </c>
      <c r="AI1287" s="1678">
        <f t="shared" si="458"/>
        <v>19350000</v>
      </c>
      <c r="AJ1287" s="1679" t="e">
        <f t="shared" si="455"/>
        <v>#VALUE!</v>
      </c>
      <c r="AK1287" s="1419" t="e">
        <f t="shared" si="459"/>
        <v>#VALUE!</v>
      </c>
      <c r="AL1287" s="1420" t="e">
        <f t="shared" si="460"/>
        <v>#VALUE!</v>
      </c>
      <c r="AM1287" s="1410"/>
      <c r="AN1287" s="1411"/>
      <c r="AO1287" s="1410"/>
      <c r="AP1287" s="1411"/>
      <c r="AQ1287" s="1128"/>
      <c r="AR1287" s="1173"/>
      <c r="AT1287" s="1173"/>
      <c r="AV1287" s="1173"/>
      <c r="AX1287" s="1173"/>
      <c r="AY1287" s="1176"/>
      <c r="AZ1287" s="1173"/>
    </row>
    <row r="1288" spans="1:52" s="2" customFormat="1" x14ac:dyDescent="0.25">
      <c r="A1288" s="156">
        <v>1190</v>
      </c>
      <c r="B1288" s="344">
        <v>32</v>
      </c>
      <c r="C1288" s="2014">
        <v>849317032</v>
      </c>
      <c r="D1288" s="575" t="s">
        <v>1787</v>
      </c>
      <c r="E1288" s="576" t="s">
        <v>1328</v>
      </c>
      <c r="F1288" s="577">
        <v>2017</v>
      </c>
      <c r="G1288" s="272" t="s">
        <v>33</v>
      </c>
      <c r="H1288" s="163">
        <f t="shared" si="446"/>
        <v>43612</v>
      </c>
      <c r="I1288" s="163">
        <f t="shared" si="447"/>
        <v>43705</v>
      </c>
      <c r="J1288" s="1636">
        <v>600000</v>
      </c>
      <c r="K1288" s="1365">
        <v>42941</v>
      </c>
      <c r="L1288" s="1480">
        <v>3000000</v>
      </c>
      <c r="M1288" s="1365">
        <v>42941</v>
      </c>
      <c r="N1288" s="1385">
        <v>3000000</v>
      </c>
      <c r="O1288" s="1357">
        <v>43111</v>
      </c>
      <c r="P1288" s="1480">
        <v>3000000</v>
      </c>
      <c r="Q1288" s="1365">
        <v>43291</v>
      </c>
      <c r="R1288" s="1385">
        <v>3000000</v>
      </c>
      <c r="S1288" s="1357">
        <v>43483</v>
      </c>
      <c r="T1288" s="1465" t="s">
        <v>1080</v>
      </c>
      <c r="U1288" s="1391"/>
      <c r="V1288" s="1363" t="s">
        <v>783</v>
      </c>
      <c r="W1288" s="1391" t="s">
        <v>783</v>
      </c>
      <c r="X1288" s="1363"/>
      <c r="Y1288" s="1391"/>
      <c r="Z1288" s="1363" t="str">
        <f>IFERROR(VLOOKUP(C1288,BSP,3,FALSE),"  ")</f>
        <v xml:space="preserve">  </v>
      </c>
      <c r="AA1288" s="1563" t="str">
        <f>IFERROR((VLOOKUP(C1288,BSP,4,FALSE)),"  ")</f>
        <v xml:space="preserve">  </v>
      </c>
      <c r="AB1288" s="1385">
        <v>1000000</v>
      </c>
      <c r="AC1288" s="2060">
        <v>43600</v>
      </c>
      <c r="AD1288" s="1666"/>
      <c r="AE1288" s="1590"/>
      <c r="AF1288" s="1430">
        <v>750000</v>
      </c>
      <c r="AG1288" s="2069">
        <v>42968</v>
      </c>
      <c r="AH1288" s="2070" t="str">
        <f t="shared" si="454"/>
        <v>PAI</v>
      </c>
      <c r="AI1288" s="1678">
        <f t="shared" si="458"/>
        <v>14350000</v>
      </c>
      <c r="AJ1288" s="1679" t="e">
        <f t="shared" si="455"/>
        <v>#VALUE!</v>
      </c>
      <c r="AK1288" s="1419" t="e">
        <f t="shared" si="459"/>
        <v>#VALUE!</v>
      </c>
      <c r="AL1288" s="1420" t="e">
        <f t="shared" si="460"/>
        <v>#VALUE!</v>
      </c>
      <c r="AM1288" s="1410"/>
      <c r="AN1288" s="1411"/>
      <c r="AO1288" s="1410"/>
      <c r="AP1288" s="1411"/>
      <c r="AQ1288" s="1128"/>
      <c r="AR1288" s="1173"/>
      <c r="AT1288" s="1173"/>
      <c r="AV1288" s="1173"/>
      <c r="AX1288" s="1173"/>
      <c r="AY1288" s="1176"/>
      <c r="AZ1288" s="1173"/>
    </row>
    <row r="1289" spans="1:52" s="2" customFormat="1" x14ac:dyDescent="0.25">
      <c r="A1289" s="156">
        <v>1191</v>
      </c>
      <c r="B1289" s="344">
        <v>33</v>
      </c>
      <c r="C1289" s="660">
        <v>849317033</v>
      </c>
      <c r="D1289" s="575" t="s">
        <v>1788</v>
      </c>
      <c r="E1289" s="576" t="s">
        <v>1328</v>
      </c>
      <c r="F1289" s="577">
        <v>2017</v>
      </c>
      <c r="G1289" s="272" t="s">
        <v>33</v>
      </c>
      <c r="H1289" s="163">
        <f t="shared" si="446"/>
        <v>43851</v>
      </c>
      <c r="I1289" s="574">
        <f t="shared" si="447"/>
        <v>44168</v>
      </c>
      <c r="J1289" s="1636">
        <v>600000</v>
      </c>
      <c r="K1289" s="1365">
        <v>42943</v>
      </c>
      <c r="L1289" s="1480">
        <v>3000000</v>
      </c>
      <c r="M1289" s="1365">
        <v>42943</v>
      </c>
      <c r="N1289" s="1385">
        <v>3000000</v>
      </c>
      <c r="O1289" s="1357">
        <v>43115</v>
      </c>
      <c r="P1289" s="1480">
        <v>3000000</v>
      </c>
      <c r="Q1289" s="1365">
        <v>43294</v>
      </c>
      <c r="R1289" s="1385">
        <v>3000000</v>
      </c>
      <c r="S1289" s="1357">
        <v>43482</v>
      </c>
      <c r="T1289" s="1358">
        <v>3000000</v>
      </c>
      <c r="U1289" s="1357">
        <v>43644</v>
      </c>
      <c r="V1289" s="1465" t="s">
        <v>1080</v>
      </c>
      <c r="W1289" s="1391" t="s">
        <v>783</v>
      </c>
      <c r="X1289" s="1363"/>
      <c r="Y1289" s="1391"/>
      <c r="Z1289" s="1363" t="str">
        <f>IFERROR(VLOOKUP(C1289,BSP,3,FALSE),"  ")</f>
        <v xml:space="preserve">  </v>
      </c>
      <c r="AA1289" s="1563" t="str">
        <f>IFERROR((VLOOKUP(C1289,BSP,4,FALSE)),"  ")</f>
        <v xml:space="preserve">  </v>
      </c>
      <c r="AB1289" s="1385">
        <v>1000000</v>
      </c>
      <c r="AC1289" s="2060">
        <v>44188</v>
      </c>
      <c r="AD1289" s="1809">
        <v>500000</v>
      </c>
      <c r="AE1289" s="1440">
        <v>44005</v>
      </c>
      <c r="AF1289" s="2061">
        <v>750000</v>
      </c>
      <c r="AG1289" s="2069"/>
      <c r="AH1289" s="2070" t="str">
        <f t="shared" si="454"/>
        <v>PAI</v>
      </c>
      <c r="AI1289" s="1678">
        <f t="shared" si="458"/>
        <v>17850000</v>
      </c>
      <c r="AJ1289" s="1679" t="e">
        <f t="shared" ref="AJ1289:AJ1309" si="463">(COUNT(L1289,N1289,P1289,R1289,T1289,V1289,X1289,Z1289)*$G$1256)+(COUNT(J1289)*$J$1256)+(COUNT(AB1289)*$AB$1256)+(COUNT(AD1289)*$AD$1256)+(COUNT(AF1289)*AH1289)</f>
        <v>#VALUE!</v>
      </c>
      <c r="AK1289" s="1419" t="e">
        <f t="shared" si="459"/>
        <v>#VALUE!</v>
      </c>
      <c r="AL1289" s="1420" t="e">
        <f t="shared" si="460"/>
        <v>#VALUE!</v>
      </c>
      <c r="AM1289" s="1410"/>
      <c r="AN1289" s="1411"/>
      <c r="AO1289" s="1410"/>
      <c r="AP1289" s="1411"/>
      <c r="AQ1289" s="1128"/>
      <c r="AR1289" s="1173"/>
      <c r="AT1289" s="1173"/>
      <c r="AV1289" s="1173"/>
      <c r="AX1289" s="1173"/>
      <c r="AY1289" s="1176"/>
      <c r="AZ1289" s="1173"/>
    </row>
    <row r="1290" spans="1:52" s="2" customFormat="1" x14ac:dyDescent="0.25">
      <c r="A1290" s="164">
        <v>1192</v>
      </c>
      <c r="B1290" s="345">
        <v>34</v>
      </c>
      <c r="C1290" s="660">
        <v>849317034</v>
      </c>
      <c r="D1290" s="571" t="s">
        <v>1789</v>
      </c>
      <c r="E1290" s="572" t="s">
        <v>1328</v>
      </c>
      <c r="F1290" s="573">
        <v>2017</v>
      </c>
      <c r="G1290" s="360" t="s">
        <v>1483</v>
      </c>
      <c r="H1290" s="574" t="str">
        <f t="shared" si="446"/>
        <v xml:space="preserve">   </v>
      </c>
      <c r="I1290" s="574" t="str">
        <f t="shared" si="447"/>
        <v xml:space="preserve">   </v>
      </c>
      <c r="J1290" s="1635">
        <v>600000</v>
      </c>
      <c r="K1290" s="1360">
        <v>42937</v>
      </c>
      <c r="L1290" s="1389">
        <v>3000000</v>
      </c>
      <c r="M1290" s="1360">
        <v>42937</v>
      </c>
      <c r="N1290" s="1714">
        <v>3000000</v>
      </c>
      <c r="O1290" s="1367">
        <v>43123</v>
      </c>
      <c r="P1290" s="1389">
        <v>3000000</v>
      </c>
      <c r="Q1290" s="1360">
        <v>43293</v>
      </c>
      <c r="R1290" s="1714">
        <v>3000000</v>
      </c>
      <c r="S1290" s="1367">
        <v>43483</v>
      </c>
      <c r="T1290" s="1192" t="s">
        <v>1078</v>
      </c>
      <c r="U1290" s="1386">
        <v>43635</v>
      </c>
      <c r="V1290" s="1714">
        <v>3000000</v>
      </c>
      <c r="W1290" s="1367">
        <v>43859.529259259303</v>
      </c>
      <c r="X1290" s="1714">
        <v>3000000</v>
      </c>
      <c r="Y1290" s="1367">
        <v>44056.534259259301</v>
      </c>
      <c r="Z1290" s="1363"/>
      <c r="AA1290" s="1563"/>
      <c r="AB1290" s="1714"/>
      <c r="AC1290" s="1384"/>
      <c r="AD1290" s="1666"/>
      <c r="AE1290" s="1590"/>
      <c r="AF1290" s="1430">
        <v>750000</v>
      </c>
      <c r="AG1290" s="2069">
        <v>42965</v>
      </c>
      <c r="AH1290" s="2070" t="str">
        <f t="shared" si="454"/>
        <v>PAI</v>
      </c>
      <c r="AI1290" s="1678">
        <f t="shared" si="458"/>
        <v>19350000</v>
      </c>
      <c r="AJ1290" s="1679" t="e">
        <f t="shared" si="463"/>
        <v>#VALUE!</v>
      </c>
      <c r="AK1290" s="1419" t="e">
        <f t="shared" si="459"/>
        <v>#VALUE!</v>
      </c>
      <c r="AL1290" s="1420" t="e">
        <f t="shared" si="460"/>
        <v>#VALUE!</v>
      </c>
      <c r="AM1290" s="1410"/>
      <c r="AN1290" s="1411"/>
      <c r="AO1290" s="1410"/>
      <c r="AP1290" s="1411"/>
      <c r="AQ1290" s="1128"/>
      <c r="AR1290" s="1173"/>
      <c r="AT1290" s="1173"/>
      <c r="AV1290" s="1173"/>
      <c r="AX1290" s="1173"/>
      <c r="AY1290" s="1176"/>
      <c r="AZ1290" s="1173"/>
    </row>
    <row r="1291" spans="1:52" s="2" customFormat="1" x14ac:dyDescent="0.25">
      <c r="A1291" s="156">
        <v>1193</v>
      </c>
      <c r="B1291" s="344">
        <v>35</v>
      </c>
      <c r="C1291" s="660">
        <v>849317035</v>
      </c>
      <c r="D1291" s="575" t="s">
        <v>1790</v>
      </c>
      <c r="E1291" s="576" t="s">
        <v>1328</v>
      </c>
      <c r="F1291" s="577">
        <v>2017</v>
      </c>
      <c r="G1291" s="162" t="s">
        <v>33</v>
      </c>
      <c r="H1291" s="163">
        <f t="shared" si="446"/>
        <v>43844</v>
      </c>
      <c r="I1291" s="163">
        <f t="shared" si="447"/>
        <v>44168</v>
      </c>
      <c r="J1291" s="1636">
        <v>600000</v>
      </c>
      <c r="K1291" s="1365">
        <v>42943</v>
      </c>
      <c r="L1291" s="1480">
        <v>3000000</v>
      </c>
      <c r="M1291" s="1365">
        <v>42943</v>
      </c>
      <c r="N1291" s="1385">
        <v>3000000</v>
      </c>
      <c r="O1291" s="1357">
        <v>43115</v>
      </c>
      <c r="P1291" s="1480">
        <v>3000000</v>
      </c>
      <c r="Q1291" s="1365">
        <v>43293</v>
      </c>
      <c r="R1291" s="1385">
        <v>3000000</v>
      </c>
      <c r="S1291" s="1357">
        <v>43493</v>
      </c>
      <c r="T1291" s="1358">
        <v>3000000</v>
      </c>
      <c r="U1291" s="1357">
        <v>43644</v>
      </c>
      <c r="V1291" s="1714" t="s">
        <v>783</v>
      </c>
      <c r="W1291" s="1391" t="s">
        <v>783</v>
      </c>
      <c r="X1291" s="1363"/>
      <c r="Y1291" s="1391"/>
      <c r="Z1291" s="1363" t="str">
        <f t="shared" ref="Z1291:Z1301" si="464">IFERROR(VLOOKUP(C1291,BSP,3,FALSE),"  ")</f>
        <v xml:space="preserve">  </v>
      </c>
      <c r="AA1291" s="1563" t="str">
        <f t="shared" ref="AA1291:AA1301" si="465">IFERROR((VLOOKUP(C1291,BSP,4,FALSE)),"  ")</f>
        <v xml:space="preserve">  </v>
      </c>
      <c r="AB1291" s="1385">
        <v>1000000</v>
      </c>
      <c r="AC1291" s="2060">
        <v>43815</v>
      </c>
      <c r="AD1291" s="1809">
        <v>500000</v>
      </c>
      <c r="AE1291" s="1440">
        <v>43868</v>
      </c>
      <c r="AF1291" s="1430">
        <v>750000</v>
      </c>
      <c r="AG1291" s="2069">
        <v>42972</v>
      </c>
      <c r="AH1291" s="2070" t="str">
        <f t="shared" si="454"/>
        <v>PAI</v>
      </c>
      <c r="AI1291" s="1678">
        <f t="shared" si="458"/>
        <v>17850000</v>
      </c>
      <c r="AJ1291" s="1679" t="e">
        <f t="shared" si="463"/>
        <v>#VALUE!</v>
      </c>
      <c r="AK1291" s="1419" t="e">
        <f t="shared" si="459"/>
        <v>#VALUE!</v>
      </c>
      <c r="AL1291" s="1420" t="e">
        <f t="shared" si="460"/>
        <v>#VALUE!</v>
      </c>
      <c r="AM1291" s="1410"/>
      <c r="AN1291" s="1411"/>
      <c r="AO1291" s="1410"/>
      <c r="AP1291" s="1411"/>
      <c r="AQ1291" s="1128"/>
      <c r="AR1291" s="1173"/>
      <c r="AT1291" s="1173"/>
      <c r="AV1291" s="1173"/>
      <c r="AX1291" s="1173"/>
      <c r="AY1291" s="1176"/>
      <c r="AZ1291" s="1173"/>
    </row>
    <row r="1292" spans="1:52" s="2" customFormat="1" x14ac:dyDescent="0.25">
      <c r="A1292" s="156">
        <v>1194</v>
      </c>
      <c r="B1292" s="344">
        <v>36</v>
      </c>
      <c r="C1292" s="2014">
        <v>849317036</v>
      </c>
      <c r="D1292" s="575" t="s">
        <v>1791</v>
      </c>
      <c r="E1292" s="576" t="s">
        <v>1328</v>
      </c>
      <c r="F1292" s="577">
        <v>2017</v>
      </c>
      <c r="G1292" s="162" t="s">
        <v>33</v>
      </c>
      <c r="H1292" s="163">
        <f t="shared" si="446"/>
        <v>43649</v>
      </c>
      <c r="I1292" s="163">
        <f t="shared" si="447"/>
        <v>43750</v>
      </c>
      <c r="J1292" s="1636">
        <v>600000</v>
      </c>
      <c r="K1292" s="1365">
        <v>42943</v>
      </c>
      <c r="L1292" s="1480">
        <v>3000000</v>
      </c>
      <c r="M1292" s="1365">
        <v>42943</v>
      </c>
      <c r="N1292" s="1385">
        <v>3000000</v>
      </c>
      <c r="O1292" s="1357">
        <v>43110</v>
      </c>
      <c r="P1292" s="1480">
        <v>3000000</v>
      </c>
      <c r="Q1292" s="1365">
        <v>43291</v>
      </c>
      <c r="R1292" s="1385">
        <v>3000000</v>
      </c>
      <c r="S1292" s="1357">
        <v>43483</v>
      </c>
      <c r="T1292" s="1465" t="s">
        <v>1080</v>
      </c>
      <c r="U1292" s="1391"/>
      <c r="V1292" s="1363" t="s">
        <v>783</v>
      </c>
      <c r="W1292" s="1391" t="s">
        <v>783</v>
      </c>
      <c r="X1292" s="1363"/>
      <c r="Y1292" s="1391"/>
      <c r="Z1292" s="1363" t="str">
        <f t="shared" si="464"/>
        <v xml:space="preserve">  </v>
      </c>
      <c r="AA1292" s="1563" t="str">
        <f t="shared" si="465"/>
        <v xml:space="preserve">  </v>
      </c>
      <c r="AB1292" s="1385">
        <v>1000000</v>
      </c>
      <c r="AC1292" s="2060">
        <v>43627</v>
      </c>
      <c r="AD1292" s="1666"/>
      <c r="AE1292" s="1590"/>
      <c r="AF1292" s="1430">
        <v>750000</v>
      </c>
      <c r="AG1292" s="2069">
        <v>42969</v>
      </c>
      <c r="AH1292" s="2070" t="str">
        <f t="shared" si="454"/>
        <v>PAI</v>
      </c>
      <c r="AI1292" s="1678">
        <f t="shared" si="458"/>
        <v>14350000</v>
      </c>
      <c r="AJ1292" s="1679" t="e">
        <f t="shared" si="463"/>
        <v>#VALUE!</v>
      </c>
      <c r="AK1292" s="1419" t="e">
        <f t="shared" si="459"/>
        <v>#VALUE!</v>
      </c>
      <c r="AL1292" s="1420" t="e">
        <f t="shared" si="460"/>
        <v>#VALUE!</v>
      </c>
      <c r="AM1292" s="1410"/>
      <c r="AN1292" s="1411"/>
      <c r="AO1292" s="1410"/>
      <c r="AP1292" s="1411"/>
      <c r="AQ1292" s="1128"/>
      <c r="AR1292" s="1173"/>
      <c r="AT1292" s="1173"/>
      <c r="AV1292" s="1173"/>
      <c r="AX1292" s="1173"/>
      <c r="AY1292" s="1176"/>
      <c r="AZ1292" s="1173"/>
    </row>
    <row r="1293" spans="1:52" s="2" customFormat="1" x14ac:dyDescent="0.25">
      <c r="A1293" s="156">
        <v>1195</v>
      </c>
      <c r="B1293" s="344">
        <v>37</v>
      </c>
      <c r="C1293" s="2014">
        <v>849317037</v>
      </c>
      <c r="D1293" s="575" t="s">
        <v>1792</v>
      </c>
      <c r="E1293" s="576" t="s">
        <v>1328</v>
      </c>
      <c r="F1293" s="577">
        <v>2017</v>
      </c>
      <c r="G1293" s="162" t="s">
        <v>33</v>
      </c>
      <c r="H1293" s="163">
        <f t="shared" si="446"/>
        <v>43755</v>
      </c>
      <c r="I1293" s="163">
        <f t="shared" si="447"/>
        <v>43818</v>
      </c>
      <c r="J1293" s="1636">
        <v>600000</v>
      </c>
      <c r="K1293" s="1365">
        <v>42940</v>
      </c>
      <c r="L1293" s="1480">
        <v>3000000</v>
      </c>
      <c r="M1293" s="1365">
        <v>42940</v>
      </c>
      <c r="N1293" s="2041">
        <v>3000000</v>
      </c>
      <c r="O1293" s="2042">
        <v>43112</v>
      </c>
      <c r="P1293" s="1480">
        <v>3000000</v>
      </c>
      <c r="Q1293" s="1365">
        <v>43291</v>
      </c>
      <c r="R1293" s="1385">
        <v>3000000</v>
      </c>
      <c r="S1293" s="1357">
        <v>43483</v>
      </c>
      <c r="T1293" s="1358">
        <v>3000000</v>
      </c>
      <c r="U1293" s="1357">
        <v>43642</v>
      </c>
      <c r="V1293" s="1465" t="s">
        <v>1080</v>
      </c>
      <c r="W1293" s="1384"/>
      <c r="X1293" s="1363"/>
      <c r="Y1293" s="1391"/>
      <c r="Z1293" s="1363" t="str">
        <f t="shared" si="464"/>
        <v xml:space="preserve">  </v>
      </c>
      <c r="AA1293" s="1563" t="str">
        <f t="shared" si="465"/>
        <v xml:space="preserve">  </v>
      </c>
      <c r="AB1293" s="1385">
        <v>1000000</v>
      </c>
      <c r="AC1293" s="2060">
        <v>43748</v>
      </c>
      <c r="AD1293" s="1809">
        <v>500000</v>
      </c>
      <c r="AE1293" s="1440">
        <v>43773</v>
      </c>
      <c r="AF1293" s="1430">
        <v>500000</v>
      </c>
      <c r="AG1293" s="2069">
        <v>42972</v>
      </c>
      <c r="AH1293" s="2070" t="str">
        <f t="shared" si="454"/>
        <v>PAI</v>
      </c>
      <c r="AI1293" s="1678">
        <f t="shared" si="458"/>
        <v>17600000</v>
      </c>
      <c r="AJ1293" s="1679" t="e">
        <f t="shared" si="463"/>
        <v>#VALUE!</v>
      </c>
      <c r="AK1293" s="1419" t="e">
        <f t="shared" si="459"/>
        <v>#VALUE!</v>
      </c>
      <c r="AL1293" s="1420" t="e">
        <f t="shared" si="460"/>
        <v>#VALUE!</v>
      </c>
      <c r="AM1293" s="1410"/>
      <c r="AN1293" s="1411"/>
      <c r="AO1293" s="1410"/>
      <c r="AP1293" s="1411"/>
      <c r="AQ1293" s="1128"/>
      <c r="AR1293" s="1173"/>
      <c r="AT1293" s="1173"/>
      <c r="AV1293" s="1173"/>
      <c r="AX1293" s="1173"/>
      <c r="AY1293" s="1176"/>
      <c r="AZ1293" s="1173"/>
    </row>
    <row r="1294" spans="1:52" s="2" customFormat="1" x14ac:dyDescent="0.25">
      <c r="A1294" s="156">
        <v>1196</v>
      </c>
      <c r="B1294" s="344">
        <v>38</v>
      </c>
      <c r="C1294" s="2014">
        <v>849317038</v>
      </c>
      <c r="D1294" s="575" t="s">
        <v>1793</v>
      </c>
      <c r="E1294" s="576" t="s">
        <v>1328</v>
      </c>
      <c r="F1294" s="577">
        <v>2017</v>
      </c>
      <c r="G1294" s="162" t="s">
        <v>33</v>
      </c>
      <c r="H1294" s="163">
        <f t="shared" si="446"/>
        <v>43950</v>
      </c>
      <c r="I1294" s="163">
        <f t="shared" si="447"/>
        <v>44058</v>
      </c>
      <c r="J1294" s="1636">
        <v>600000</v>
      </c>
      <c r="K1294" s="1365">
        <v>42940</v>
      </c>
      <c r="L1294" s="1480">
        <v>3000000</v>
      </c>
      <c r="M1294" s="1365">
        <v>42940</v>
      </c>
      <c r="N1294" s="1385">
        <v>3000000</v>
      </c>
      <c r="O1294" s="1357">
        <v>43111</v>
      </c>
      <c r="P1294" s="1480">
        <v>3000000</v>
      </c>
      <c r="Q1294" s="1365">
        <v>43292</v>
      </c>
      <c r="R1294" s="1385">
        <v>3000000</v>
      </c>
      <c r="S1294" s="1357">
        <v>43482</v>
      </c>
      <c r="T1294" s="1358">
        <v>3000000</v>
      </c>
      <c r="U1294" s="1357">
        <v>43644</v>
      </c>
      <c r="V1294" s="1385">
        <v>3000000</v>
      </c>
      <c r="W1294" s="1357">
        <v>43860.3661111111</v>
      </c>
      <c r="X1294" s="1465" t="s">
        <v>1080</v>
      </c>
      <c r="Y1294" s="1391"/>
      <c r="Z1294" s="1363" t="str">
        <f t="shared" si="464"/>
        <v xml:space="preserve">  </v>
      </c>
      <c r="AA1294" s="1563" t="str">
        <f t="shared" si="465"/>
        <v xml:space="preserve">  </v>
      </c>
      <c r="AB1294" s="1385">
        <v>1000000</v>
      </c>
      <c r="AC1294" s="2060">
        <v>43943</v>
      </c>
      <c r="AD1294" s="1809">
        <v>500000</v>
      </c>
      <c r="AE1294" s="1440">
        <v>43998</v>
      </c>
      <c r="AF1294" s="1430">
        <v>750000</v>
      </c>
      <c r="AG1294" s="2069">
        <v>42970</v>
      </c>
      <c r="AH1294" s="2070" t="str">
        <f t="shared" si="454"/>
        <v>PAI</v>
      </c>
      <c r="AI1294" s="1678">
        <f t="shared" si="458"/>
        <v>20850000</v>
      </c>
      <c r="AJ1294" s="1679" t="e">
        <f t="shared" si="463"/>
        <v>#VALUE!</v>
      </c>
      <c r="AK1294" s="1419" t="e">
        <f t="shared" si="459"/>
        <v>#VALUE!</v>
      </c>
      <c r="AL1294" s="1420" t="e">
        <f t="shared" si="460"/>
        <v>#VALUE!</v>
      </c>
      <c r="AM1294" s="1410"/>
      <c r="AN1294" s="1411"/>
      <c r="AO1294" s="1410"/>
      <c r="AP1294" s="1411"/>
      <c r="AQ1294" s="1128"/>
      <c r="AR1294" s="1173"/>
      <c r="AT1294" s="1173"/>
      <c r="AV1294" s="1173"/>
      <c r="AX1294" s="1173"/>
      <c r="AY1294" s="1176"/>
      <c r="AZ1294" s="1173"/>
    </row>
    <row r="1295" spans="1:52" s="2" customFormat="1" x14ac:dyDescent="0.25">
      <c r="A1295" s="156">
        <v>1197</v>
      </c>
      <c r="B1295" s="344">
        <v>39</v>
      </c>
      <c r="C1295" s="2014">
        <v>849317039</v>
      </c>
      <c r="D1295" s="575" t="s">
        <v>1794</v>
      </c>
      <c r="E1295" s="593" t="s">
        <v>1328</v>
      </c>
      <c r="F1295" s="594">
        <v>2017</v>
      </c>
      <c r="G1295" s="162" t="s">
        <v>33</v>
      </c>
      <c r="H1295" s="163">
        <f t="shared" si="446"/>
        <v>43838</v>
      </c>
      <c r="I1295" s="163">
        <f t="shared" si="447"/>
        <v>44058</v>
      </c>
      <c r="J1295" s="1636">
        <v>600000</v>
      </c>
      <c r="K1295" s="1365">
        <v>42942</v>
      </c>
      <c r="L1295" s="1480">
        <v>3000000</v>
      </c>
      <c r="M1295" s="1365">
        <v>42942</v>
      </c>
      <c r="N1295" s="2041">
        <v>3000000</v>
      </c>
      <c r="O1295" s="2042">
        <v>43112</v>
      </c>
      <c r="P1295" s="1480">
        <v>3000000</v>
      </c>
      <c r="Q1295" s="1365">
        <v>43293</v>
      </c>
      <c r="R1295" s="1385">
        <v>3000000</v>
      </c>
      <c r="S1295" s="1357">
        <v>43483</v>
      </c>
      <c r="T1295" s="1358">
        <v>3000000</v>
      </c>
      <c r="U1295" s="1357">
        <v>43644</v>
      </c>
      <c r="V1295" s="1465" t="s">
        <v>1080</v>
      </c>
      <c r="W1295" s="1384"/>
      <c r="X1295" s="1363"/>
      <c r="Y1295" s="1391"/>
      <c r="Z1295" s="1363" t="str">
        <f t="shared" si="464"/>
        <v xml:space="preserve">  </v>
      </c>
      <c r="AA1295" s="1563" t="str">
        <f t="shared" si="465"/>
        <v xml:space="preserve">  </v>
      </c>
      <c r="AB1295" s="1385">
        <v>1000000</v>
      </c>
      <c r="AC1295" s="2060">
        <v>43822</v>
      </c>
      <c r="AD1295" s="1809">
        <v>500000</v>
      </c>
      <c r="AE1295" s="1440">
        <v>43859.6187615741</v>
      </c>
      <c r="AF1295" s="1430">
        <v>500000</v>
      </c>
      <c r="AG1295" s="2069">
        <v>42971</v>
      </c>
      <c r="AH1295" s="2070" t="str">
        <f t="shared" si="454"/>
        <v>PAI</v>
      </c>
      <c r="AI1295" s="1678">
        <f t="shared" si="458"/>
        <v>17600000</v>
      </c>
      <c r="AJ1295" s="1679" t="e">
        <f t="shared" si="463"/>
        <v>#VALUE!</v>
      </c>
      <c r="AK1295" s="1419" t="e">
        <f t="shared" si="459"/>
        <v>#VALUE!</v>
      </c>
      <c r="AL1295" s="1420" t="e">
        <f t="shared" si="460"/>
        <v>#VALUE!</v>
      </c>
      <c r="AM1295" s="1410"/>
      <c r="AN1295" s="1411"/>
      <c r="AO1295" s="1410"/>
      <c r="AP1295" s="1411"/>
      <c r="AQ1295" s="1128"/>
      <c r="AR1295" s="1173"/>
      <c r="AT1295" s="1173"/>
      <c r="AV1295" s="1173"/>
      <c r="AX1295" s="1173"/>
      <c r="AY1295" s="1176"/>
      <c r="AZ1295" s="1173"/>
    </row>
    <row r="1296" spans="1:52" s="2" customFormat="1" x14ac:dyDescent="0.25">
      <c r="A1296" s="164">
        <v>1198</v>
      </c>
      <c r="B1296" s="345">
        <v>40</v>
      </c>
      <c r="C1296" s="660">
        <v>849317040</v>
      </c>
      <c r="D1296" s="571" t="s">
        <v>1795</v>
      </c>
      <c r="E1296" s="578" t="s">
        <v>1328</v>
      </c>
      <c r="F1296" s="579">
        <v>2017</v>
      </c>
      <c r="G1296" s="1758" t="s">
        <v>28</v>
      </c>
      <c r="H1296" s="580" t="str">
        <f t="shared" si="446"/>
        <v xml:space="preserve">   </v>
      </c>
      <c r="I1296" s="580" t="str">
        <f t="shared" si="447"/>
        <v xml:space="preserve">   </v>
      </c>
      <c r="J1296" s="1635">
        <v>600000</v>
      </c>
      <c r="K1296" s="1360">
        <v>42940</v>
      </c>
      <c r="L1296" s="1389">
        <v>3000000</v>
      </c>
      <c r="M1296" s="1360">
        <v>42940</v>
      </c>
      <c r="N1296" s="2039">
        <v>3000000</v>
      </c>
      <c r="O1296" s="2040">
        <v>43112</v>
      </c>
      <c r="P1296" s="1389">
        <v>3000000</v>
      </c>
      <c r="Q1296" s="1360">
        <v>43291</v>
      </c>
      <c r="R1296" s="1714">
        <v>3000000</v>
      </c>
      <c r="S1296" s="1367">
        <v>43502</v>
      </c>
      <c r="T1296" s="1363">
        <v>0</v>
      </c>
      <c r="U1296" s="1367"/>
      <c r="V1296" s="1714">
        <v>0</v>
      </c>
      <c r="W1296" s="1367" t="s">
        <v>783</v>
      </c>
      <c r="X1296" s="1714">
        <v>0</v>
      </c>
      <c r="Y1296" s="1367" t="s">
        <v>783</v>
      </c>
      <c r="Z1296" s="1363" t="str">
        <f t="shared" si="464"/>
        <v xml:space="preserve">  </v>
      </c>
      <c r="AA1296" s="1563" t="str">
        <f t="shared" si="465"/>
        <v xml:space="preserve">  </v>
      </c>
      <c r="AB1296" s="1714">
        <v>0</v>
      </c>
      <c r="AC1296" s="1384"/>
      <c r="AD1296" s="1666" t="s">
        <v>69</v>
      </c>
      <c r="AE1296" s="1590" t="s">
        <v>69</v>
      </c>
      <c r="AF1296" s="1430">
        <v>750000</v>
      </c>
      <c r="AG1296" s="2069">
        <v>42971</v>
      </c>
      <c r="AH1296" s="2070" t="str">
        <f t="shared" si="454"/>
        <v>PAI</v>
      </c>
      <c r="AI1296" s="1678">
        <f t="shared" si="458"/>
        <v>13350000</v>
      </c>
      <c r="AJ1296" s="1679" t="e">
        <f t="shared" si="463"/>
        <v>#VALUE!</v>
      </c>
      <c r="AK1296" s="1419" t="e">
        <f t="shared" si="459"/>
        <v>#VALUE!</v>
      </c>
      <c r="AL1296" s="1420" t="e">
        <f t="shared" si="460"/>
        <v>#VALUE!</v>
      </c>
      <c r="AM1296" s="1410"/>
      <c r="AN1296" s="1411"/>
      <c r="AO1296" s="1410"/>
      <c r="AP1296" s="1411"/>
      <c r="AQ1296" s="1128"/>
      <c r="AR1296" s="1173"/>
      <c r="AT1296" s="1173"/>
      <c r="AV1296" s="1173"/>
      <c r="AX1296" s="1173"/>
      <c r="AY1296" s="1176"/>
      <c r="AZ1296" s="1173"/>
    </row>
    <row r="1297" spans="1:52" s="2" customFormat="1" x14ac:dyDescent="0.25">
      <c r="A1297" s="156">
        <v>1199</v>
      </c>
      <c r="B1297" s="344">
        <v>41</v>
      </c>
      <c r="C1297" s="2014">
        <v>849317041</v>
      </c>
      <c r="D1297" s="575" t="s">
        <v>1796</v>
      </c>
      <c r="E1297" s="593" t="s">
        <v>1328</v>
      </c>
      <c r="F1297" s="594">
        <v>2017</v>
      </c>
      <c r="G1297" s="162" t="s">
        <v>33</v>
      </c>
      <c r="H1297" s="163">
        <f t="shared" si="446"/>
        <v>43550</v>
      </c>
      <c r="I1297" s="163">
        <f t="shared" si="447"/>
        <v>43587</v>
      </c>
      <c r="J1297" s="1636">
        <v>600000</v>
      </c>
      <c r="K1297" s="1365">
        <v>42942</v>
      </c>
      <c r="L1297" s="1480">
        <v>3000000</v>
      </c>
      <c r="M1297" s="1365">
        <v>42942</v>
      </c>
      <c r="N1297" s="1385">
        <v>3000000</v>
      </c>
      <c r="O1297" s="1357">
        <v>43111</v>
      </c>
      <c r="P1297" s="1480">
        <v>3000000</v>
      </c>
      <c r="Q1297" s="1365">
        <v>43292</v>
      </c>
      <c r="R1297" s="1385">
        <v>3000000</v>
      </c>
      <c r="S1297" s="1357">
        <v>43482</v>
      </c>
      <c r="T1297" s="1382" t="s">
        <v>1080</v>
      </c>
      <c r="U1297" s="1367"/>
      <c r="V1297" s="1714"/>
      <c r="W1297" s="1391"/>
      <c r="X1297" s="1363"/>
      <c r="Y1297" s="1391"/>
      <c r="Z1297" s="1363" t="str">
        <f t="shared" si="464"/>
        <v xml:space="preserve">  </v>
      </c>
      <c r="AA1297" s="1563" t="str">
        <f t="shared" si="465"/>
        <v xml:space="preserve">  </v>
      </c>
      <c r="AB1297" s="1385">
        <v>1000000</v>
      </c>
      <c r="AC1297" s="1357">
        <v>43482</v>
      </c>
      <c r="AD1297" s="1666" t="s">
        <v>69</v>
      </c>
      <c r="AE1297" s="1590" t="s">
        <v>69</v>
      </c>
      <c r="AF1297" s="1430">
        <v>750000</v>
      </c>
      <c r="AG1297" s="2069">
        <v>42972</v>
      </c>
      <c r="AH1297" s="2070" t="str">
        <f t="shared" si="454"/>
        <v>PAI</v>
      </c>
      <c r="AI1297" s="1678">
        <f t="shared" si="458"/>
        <v>14350000</v>
      </c>
      <c r="AJ1297" s="1679" t="e">
        <f t="shared" si="463"/>
        <v>#VALUE!</v>
      </c>
      <c r="AK1297" s="1419" t="e">
        <f t="shared" si="459"/>
        <v>#VALUE!</v>
      </c>
      <c r="AL1297" s="1420" t="e">
        <f t="shared" si="460"/>
        <v>#VALUE!</v>
      </c>
      <c r="AM1297" s="1410"/>
      <c r="AN1297" s="1411"/>
      <c r="AO1297" s="1410"/>
      <c r="AP1297" s="1411"/>
      <c r="AQ1297" s="1128"/>
      <c r="AR1297" s="1173"/>
      <c r="AT1297" s="1173"/>
      <c r="AV1297" s="1173"/>
      <c r="AX1297" s="1173"/>
      <c r="AY1297" s="1176"/>
      <c r="AZ1297" s="1173"/>
    </row>
    <row r="1298" spans="1:52" s="2" customFormat="1" x14ac:dyDescent="0.25">
      <c r="A1298" s="156">
        <v>1200</v>
      </c>
      <c r="B1298" s="344">
        <v>42</v>
      </c>
      <c r="C1298" s="660">
        <v>849317042</v>
      </c>
      <c r="D1298" s="575" t="s">
        <v>1797</v>
      </c>
      <c r="E1298" s="593" t="s">
        <v>1328</v>
      </c>
      <c r="F1298" s="594">
        <v>2017</v>
      </c>
      <c r="G1298" s="162" t="s">
        <v>33</v>
      </c>
      <c r="H1298" s="163">
        <f t="shared" si="446"/>
        <v>43837</v>
      </c>
      <c r="I1298" s="580">
        <f t="shared" si="447"/>
        <v>44168</v>
      </c>
      <c r="J1298" s="1636">
        <v>600000</v>
      </c>
      <c r="K1298" s="1365">
        <v>42942</v>
      </c>
      <c r="L1298" s="1480">
        <v>3000000</v>
      </c>
      <c r="M1298" s="1365">
        <v>42942</v>
      </c>
      <c r="N1298" s="1385">
        <v>3000000</v>
      </c>
      <c r="O1298" s="1357">
        <v>43112</v>
      </c>
      <c r="P1298" s="1480">
        <v>3000000</v>
      </c>
      <c r="Q1298" s="1365">
        <v>43293</v>
      </c>
      <c r="R1298" s="1385">
        <v>3000000</v>
      </c>
      <c r="S1298" s="1357">
        <v>43482</v>
      </c>
      <c r="T1298" s="1358">
        <v>3000000</v>
      </c>
      <c r="U1298" s="1357">
        <v>43642</v>
      </c>
      <c r="V1298" s="1465" t="s">
        <v>1080</v>
      </c>
      <c r="W1298" s="1391"/>
      <c r="X1298" s="1363"/>
      <c r="Y1298" s="1391"/>
      <c r="Z1298" s="1363" t="str">
        <f t="shared" si="464"/>
        <v xml:space="preserve">  </v>
      </c>
      <c r="AA1298" s="1563" t="str">
        <f t="shared" si="465"/>
        <v xml:space="preserve">  </v>
      </c>
      <c r="AB1298" s="1385">
        <v>1000000</v>
      </c>
      <c r="AC1298" s="2060">
        <v>43822</v>
      </c>
      <c r="AD1298" s="1809">
        <v>500000</v>
      </c>
      <c r="AE1298" s="1440">
        <v>43857.407361111102</v>
      </c>
      <c r="AF1298" s="2061">
        <v>750000</v>
      </c>
      <c r="AG1298" s="2069"/>
      <c r="AH1298" s="2070" t="str">
        <f t="shared" si="454"/>
        <v>PAI</v>
      </c>
      <c r="AI1298" s="1678">
        <f t="shared" si="458"/>
        <v>17850000</v>
      </c>
      <c r="AJ1298" s="1679" t="e">
        <f t="shared" si="463"/>
        <v>#VALUE!</v>
      </c>
      <c r="AK1298" s="1419" t="e">
        <f t="shared" si="459"/>
        <v>#VALUE!</v>
      </c>
      <c r="AL1298" s="1420" t="e">
        <f t="shared" si="460"/>
        <v>#VALUE!</v>
      </c>
      <c r="AM1298" s="1410"/>
      <c r="AN1298" s="1411"/>
      <c r="AO1298" s="1410"/>
      <c r="AP1298" s="1411"/>
      <c r="AQ1298" s="1128"/>
      <c r="AR1298" s="1173"/>
      <c r="AT1298" s="1173"/>
      <c r="AV1298" s="1173"/>
      <c r="AX1298" s="1173"/>
      <c r="AY1298" s="1176"/>
      <c r="AZ1298" s="1173"/>
    </row>
    <row r="1299" spans="1:52" s="2" customFormat="1" x14ac:dyDescent="0.25">
      <c r="A1299" s="156">
        <v>1201</v>
      </c>
      <c r="B1299" s="344">
        <v>43</v>
      </c>
      <c r="C1299" s="2014">
        <v>849317043</v>
      </c>
      <c r="D1299" s="575" t="s">
        <v>1798</v>
      </c>
      <c r="E1299" s="593" t="s">
        <v>1328</v>
      </c>
      <c r="F1299" s="594">
        <v>2017</v>
      </c>
      <c r="G1299" s="272" t="s">
        <v>33</v>
      </c>
      <c r="H1299" s="163">
        <f t="shared" si="446"/>
        <v>43822</v>
      </c>
      <c r="I1299" s="163">
        <f t="shared" si="447"/>
        <v>44058</v>
      </c>
      <c r="J1299" s="1636">
        <v>600000</v>
      </c>
      <c r="K1299" s="1365">
        <v>42943</v>
      </c>
      <c r="L1299" s="1480">
        <v>3000000</v>
      </c>
      <c r="M1299" s="1365">
        <v>42943</v>
      </c>
      <c r="N1299" s="1385">
        <v>3000000</v>
      </c>
      <c r="O1299" s="1357">
        <v>43111</v>
      </c>
      <c r="P1299" s="1480">
        <v>3000000</v>
      </c>
      <c r="Q1299" s="1365">
        <v>43291</v>
      </c>
      <c r="R1299" s="1385">
        <v>3000000</v>
      </c>
      <c r="S1299" s="1357">
        <v>43483</v>
      </c>
      <c r="T1299" s="1358">
        <v>3000000</v>
      </c>
      <c r="U1299" s="1357">
        <v>43643</v>
      </c>
      <c r="V1299" s="1465" t="s">
        <v>1080</v>
      </c>
      <c r="W1299" s="1384"/>
      <c r="X1299" s="1363"/>
      <c r="Y1299" s="1391"/>
      <c r="Z1299" s="1363" t="str">
        <f t="shared" si="464"/>
        <v xml:space="preserve">  </v>
      </c>
      <c r="AA1299" s="1563" t="str">
        <f t="shared" si="465"/>
        <v xml:space="preserve">  </v>
      </c>
      <c r="AB1299" s="1385">
        <v>1000000</v>
      </c>
      <c r="AC1299" s="2060">
        <v>43815</v>
      </c>
      <c r="AD1299" s="1809">
        <v>500000</v>
      </c>
      <c r="AE1299" s="1440">
        <v>43882</v>
      </c>
      <c r="AF1299" s="1430">
        <v>750000</v>
      </c>
      <c r="AG1299" s="2069">
        <v>42971</v>
      </c>
      <c r="AH1299" s="2070" t="str">
        <f t="shared" si="454"/>
        <v>PAI</v>
      </c>
      <c r="AI1299" s="1678">
        <f t="shared" si="458"/>
        <v>17850000</v>
      </c>
      <c r="AJ1299" s="1679" t="e">
        <f t="shared" si="463"/>
        <v>#VALUE!</v>
      </c>
      <c r="AK1299" s="1419" t="e">
        <f t="shared" si="459"/>
        <v>#VALUE!</v>
      </c>
      <c r="AL1299" s="1420" t="e">
        <f t="shared" si="460"/>
        <v>#VALUE!</v>
      </c>
      <c r="AM1299" s="1410"/>
      <c r="AN1299" s="1411"/>
      <c r="AO1299" s="1410"/>
      <c r="AP1299" s="1411"/>
      <c r="AQ1299" s="1128"/>
      <c r="AR1299" s="1173"/>
      <c r="AT1299" s="1173"/>
      <c r="AV1299" s="1173"/>
      <c r="AX1299" s="1173"/>
      <c r="AY1299" s="1176"/>
      <c r="AZ1299" s="1173"/>
    </row>
    <row r="1300" spans="1:52" s="2" customFormat="1" x14ac:dyDescent="0.25">
      <c r="A1300" s="156">
        <v>1202</v>
      </c>
      <c r="B1300" s="344">
        <v>44</v>
      </c>
      <c r="C1300" s="2014">
        <v>849317044</v>
      </c>
      <c r="D1300" s="575" t="s">
        <v>1799</v>
      </c>
      <c r="E1300" s="593" t="s">
        <v>1328</v>
      </c>
      <c r="F1300" s="594">
        <v>2017</v>
      </c>
      <c r="G1300" s="272" t="s">
        <v>33</v>
      </c>
      <c r="H1300" s="163">
        <f t="shared" si="446"/>
        <v>43650</v>
      </c>
      <c r="I1300" s="163">
        <f t="shared" si="447"/>
        <v>43750</v>
      </c>
      <c r="J1300" s="1636">
        <v>600000</v>
      </c>
      <c r="K1300" s="1365">
        <v>42943</v>
      </c>
      <c r="L1300" s="1480">
        <v>3000000</v>
      </c>
      <c r="M1300" s="1365">
        <v>42943</v>
      </c>
      <c r="N1300" s="1385">
        <v>3000000</v>
      </c>
      <c r="O1300" s="1357">
        <v>43112</v>
      </c>
      <c r="P1300" s="1480">
        <v>3000000</v>
      </c>
      <c r="Q1300" s="1365">
        <v>43293</v>
      </c>
      <c r="R1300" s="1385">
        <v>3000000</v>
      </c>
      <c r="S1300" s="1357">
        <v>43483</v>
      </c>
      <c r="T1300" s="1382" t="s">
        <v>1080</v>
      </c>
      <c r="U1300" s="1367"/>
      <c r="V1300" s="1714"/>
      <c r="W1300" s="1391"/>
      <c r="X1300" s="1363" t="str">
        <f>IFERROR(VLOOKUP(C1300,BSP,3,FALSE),"  ")</f>
        <v xml:space="preserve">  </v>
      </c>
      <c r="Y1300" s="1391" t="str">
        <f>IFERROR((VLOOKUP(C1300,BSP,4,FALSE)),"  ")</f>
        <v xml:space="preserve">  </v>
      </c>
      <c r="Z1300" s="1363" t="str">
        <f t="shared" si="464"/>
        <v xml:space="preserve">  </v>
      </c>
      <c r="AA1300" s="1563" t="str">
        <f t="shared" si="465"/>
        <v xml:space="preserve">  </v>
      </c>
      <c r="AB1300" s="1385">
        <v>1000000</v>
      </c>
      <c r="AC1300" s="2060">
        <v>43570</v>
      </c>
      <c r="AD1300" s="1666"/>
      <c r="AE1300" s="1590"/>
      <c r="AF1300" s="2061">
        <v>750000</v>
      </c>
      <c r="AG1300" s="2069"/>
      <c r="AH1300" s="2070" t="str">
        <f t="shared" si="454"/>
        <v>PAI</v>
      </c>
      <c r="AI1300" s="1678">
        <f t="shared" si="458"/>
        <v>14350000</v>
      </c>
      <c r="AJ1300" s="1679" t="e">
        <f t="shared" si="463"/>
        <v>#VALUE!</v>
      </c>
      <c r="AK1300" s="1419" t="e">
        <f t="shared" si="459"/>
        <v>#VALUE!</v>
      </c>
      <c r="AL1300" s="1420" t="e">
        <f t="shared" si="460"/>
        <v>#VALUE!</v>
      </c>
      <c r="AM1300" s="1410"/>
      <c r="AN1300" s="1411"/>
      <c r="AO1300" s="1410"/>
      <c r="AP1300" s="1411"/>
      <c r="AQ1300" s="1128"/>
      <c r="AR1300" s="1173"/>
      <c r="AT1300" s="1173"/>
      <c r="AV1300" s="1173"/>
      <c r="AX1300" s="1173"/>
      <c r="AY1300" s="1176"/>
      <c r="AZ1300" s="1173"/>
    </row>
    <row r="1301" spans="1:52" s="2" customFormat="1" x14ac:dyDescent="0.25">
      <c r="A1301" s="234">
        <v>1203</v>
      </c>
      <c r="B1301" s="586">
        <v>45</v>
      </c>
      <c r="C1301" s="2072">
        <v>849317045</v>
      </c>
      <c r="D1301" s="595" t="s">
        <v>1800</v>
      </c>
      <c r="E1301" s="597" t="s">
        <v>1328</v>
      </c>
      <c r="F1301" s="598">
        <v>2017</v>
      </c>
      <c r="G1301" s="214" t="s">
        <v>1077</v>
      </c>
      <c r="H1301" s="600" t="str">
        <f t="shared" si="446"/>
        <v xml:space="preserve">   </v>
      </c>
      <c r="I1301" s="600" t="str">
        <f t="shared" si="447"/>
        <v xml:space="preserve">   </v>
      </c>
      <c r="J1301" s="1710">
        <v>600000</v>
      </c>
      <c r="K1301" s="1545">
        <v>42575</v>
      </c>
      <c r="L1301" s="1772">
        <v>3000000</v>
      </c>
      <c r="M1301" s="1545">
        <v>42575</v>
      </c>
      <c r="N1301" s="1714"/>
      <c r="O1301" s="1367"/>
      <c r="P1301" s="1389"/>
      <c r="Q1301" s="1360"/>
      <c r="R1301" s="1714"/>
      <c r="S1301" s="1367"/>
      <c r="T1301" s="1363"/>
      <c r="U1301" s="1367"/>
      <c r="V1301" s="1714"/>
      <c r="W1301" s="1391"/>
      <c r="X1301" s="1363" t="str">
        <f>IFERROR(VLOOKUP(C1301,BSP,3,FALSE),"  ")</f>
        <v xml:space="preserve">  </v>
      </c>
      <c r="Y1301" s="1391" t="str">
        <f>IFERROR((VLOOKUP(C1301,BSP,4,FALSE)),"  ")</f>
        <v xml:space="preserve">  </v>
      </c>
      <c r="Z1301" s="1363" t="str">
        <f t="shared" si="464"/>
        <v xml:space="preserve">  </v>
      </c>
      <c r="AA1301" s="1563" t="str">
        <f t="shared" si="465"/>
        <v xml:space="preserve">  </v>
      </c>
      <c r="AB1301" s="1714"/>
      <c r="AC1301" s="1384"/>
      <c r="AD1301" s="1666"/>
      <c r="AE1301" s="1590"/>
      <c r="AF1301" s="1430">
        <v>750000</v>
      </c>
      <c r="AG1301" s="2069">
        <v>42971</v>
      </c>
      <c r="AH1301" s="2070" t="str">
        <f t="shared" si="454"/>
        <v>PAI</v>
      </c>
      <c r="AI1301" s="1678">
        <f t="shared" si="458"/>
        <v>4350000</v>
      </c>
      <c r="AJ1301" s="1679" t="e">
        <f t="shared" si="463"/>
        <v>#VALUE!</v>
      </c>
      <c r="AK1301" s="1419" t="e">
        <f t="shared" si="459"/>
        <v>#VALUE!</v>
      </c>
      <c r="AL1301" s="1420" t="e">
        <f t="shared" si="460"/>
        <v>#VALUE!</v>
      </c>
      <c r="AM1301" s="1410"/>
      <c r="AN1301" s="1411"/>
      <c r="AO1301" s="1410"/>
      <c r="AP1301" s="1411"/>
      <c r="AQ1301" s="1128"/>
      <c r="AR1301" s="1173"/>
      <c r="AT1301" s="1173"/>
      <c r="AV1301" s="1173"/>
      <c r="AX1301" s="1173"/>
      <c r="AY1301" s="1176"/>
      <c r="AZ1301" s="1173"/>
    </row>
    <row r="1302" spans="1:52" s="2" customFormat="1" x14ac:dyDescent="0.25">
      <c r="A1302" s="156">
        <v>1204</v>
      </c>
      <c r="B1302" s="344">
        <v>46</v>
      </c>
      <c r="C1302" s="2014">
        <v>849317046</v>
      </c>
      <c r="D1302" s="575" t="s">
        <v>1801</v>
      </c>
      <c r="E1302" s="593" t="s">
        <v>1328</v>
      </c>
      <c r="F1302" s="594">
        <v>2016</v>
      </c>
      <c r="G1302" s="272" t="s">
        <v>33</v>
      </c>
      <c r="H1302" s="163">
        <f t="shared" ref="H1302:H1365" si="466">IFERROR(VLOOKUP(C1302,Tlus,3,FALSE),"   ")</f>
        <v>43935</v>
      </c>
      <c r="I1302" s="580">
        <f t="shared" ref="I1302:I1364" si="467">IFERROR(VLOOKUP(C1302,Wis,4,FALSE),"   ")</f>
        <v>44168</v>
      </c>
      <c r="J1302" s="1636">
        <v>600000</v>
      </c>
      <c r="K1302" s="1357">
        <v>42943</v>
      </c>
      <c r="L1302" s="1480">
        <v>3000000</v>
      </c>
      <c r="M1302" s="1357">
        <v>42943</v>
      </c>
      <c r="N1302" s="2041">
        <v>3000000</v>
      </c>
      <c r="O1302" s="2042">
        <v>43112</v>
      </c>
      <c r="P1302" s="1480">
        <v>3000000</v>
      </c>
      <c r="Q1302" s="1365">
        <v>43308</v>
      </c>
      <c r="R1302" s="1385">
        <v>3000000</v>
      </c>
      <c r="S1302" s="1357">
        <v>43543</v>
      </c>
      <c r="T1302" s="1358">
        <v>3000000</v>
      </c>
      <c r="U1302" s="1357">
        <v>43956</v>
      </c>
      <c r="V1302" s="1358">
        <v>3000000</v>
      </c>
      <c r="W1302" s="1357" t="s">
        <v>1802</v>
      </c>
      <c r="X1302" s="1465" t="s">
        <v>1080</v>
      </c>
      <c r="Y1302" s="1391"/>
      <c r="Z1302" s="1363"/>
      <c r="AA1302" s="1563"/>
      <c r="AB1302" s="1385">
        <v>1000000</v>
      </c>
      <c r="AC1302" s="1357" t="s">
        <v>1802</v>
      </c>
      <c r="AD1302" s="1809">
        <v>500000</v>
      </c>
      <c r="AE1302" s="1440">
        <v>44047</v>
      </c>
      <c r="AF1302" s="1430">
        <v>750000</v>
      </c>
      <c r="AG1302" s="2069">
        <v>42970</v>
      </c>
      <c r="AH1302" s="2070" t="str">
        <f t="shared" si="454"/>
        <v>PAI</v>
      </c>
      <c r="AI1302" s="1678">
        <f t="shared" si="458"/>
        <v>20850000</v>
      </c>
      <c r="AJ1302" s="1679" t="e">
        <f t="shared" si="463"/>
        <v>#VALUE!</v>
      </c>
      <c r="AK1302" s="1419" t="e">
        <f t="shared" si="459"/>
        <v>#VALUE!</v>
      </c>
      <c r="AL1302" s="1420" t="e">
        <f t="shared" si="460"/>
        <v>#VALUE!</v>
      </c>
      <c r="AM1302" s="1410"/>
      <c r="AN1302" s="1411"/>
      <c r="AO1302" s="1410"/>
      <c r="AP1302" s="1411"/>
      <c r="AQ1302" s="1128"/>
      <c r="AR1302" s="1173"/>
      <c r="AT1302" s="1173"/>
      <c r="AV1302" s="1173"/>
      <c r="AX1302" s="1173"/>
      <c r="AY1302" s="1176"/>
      <c r="AZ1302" s="1173"/>
    </row>
    <row r="1303" spans="1:52" s="2" customFormat="1" x14ac:dyDescent="0.25">
      <c r="A1303" s="156">
        <v>1205</v>
      </c>
      <c r="B1303" s="344">
        <v>47</v>
      </c>
      <c r="C1303" s="2014">
        <v>849317047</v>
      </c>
      <c r="D1303" s="575" t="s">
        <v>1803</v>
      </c>
      <c r="E1303" s="593" t="s">
        <v>1328</v>
      </c>
      <c r="F1303" s="594">
        <v>2017</v>
      </c>
      <c r="G1303" s="272" t="s">
        <v>33</v>
      </c>
      <c r="H1303" s="163">
        <f t="shared" si="466"/>
        <v>43656</v>
      </c>
      <c r="I1303" s="163">
        <f t="shared" si="467"/>
        <v>43750</v>
      </c>
      <c r="J1303" s="1636">
        <v>600000</v>
      </c>
      <c r="K1303" s="1365">
        <v>42937</v>
      </c>
      <c r="L1303" s="1480">
        <v>3000000</v>
      </c>
      <c r="M1303" s="1365">
        <v>42937</v>
      </c>
      <c r="N1303" s="1385">
        <v>3000000</v>
      </c>
      <c r="O1303" s="1357">
        <v>43110</v>
      </c>
      <c r="P1303" s="1480">
        <v>3000000</v>
      </c>
      <c r="Q1303" s="1365">
        <v>43292</v>
      </c>
      <c r="R1303" s="1385">
        <v>3000000</v>
      </c>
      <c r="S1303" s="1357">
        <v>43482</v>
      </c>
      <c r="T1303" s="1358">
        <v>3000000</v>
      </c>
      <c r="U1303" s="1357">
        <v>43651</v>
      </c>
      <c r="V1303" s="1465" t="s">
        <v>1080</v>
      </c>
      <c r="W1303" s="1391"/>
      <c r="X1303" s="1363" t="str">
        <f>IFERROR(VLOOKUP(C1303,BSP,3,FALSE),"  ")</f>
        <v xml:space="preserve">  </v>
      </c>
      <c r="Y1303" s="1391" t="str">
        <f>IFERROR((VLOOKUP(C1303,BSP,4,FALSE)),"  ")</f>
        <v xml:space="preserve">  </v>
      </c>
      <c r="Z1303" s="1363" t="str">
        <f>IFERROR(VLOOKUP(C1303,BSP,3,FALSE),"  ")</f>
        <v xml:space="preserve">  </v>
      </c>
      <c r="AA1303" s="1563" t="str">
        <f>IFERROR((VLOOKUP(C1303,BSP,4,FALSE)),"  ")</f>
        <v xml:space="preserve">  </v>
      </c>
      <c r="AB1303" s="1385">
        <v>1000000</v>
      </c>
      <c r="AC1303" s="2060">
        <v>43630</v>
      </c>
      <c r="AD1303" s="1666"/>
      <c r="AE1303" s="1590"/>
      <c r="AF1303" s="1430">
        <v>500000</v>
      </c>
      <c r="AG1303" s="2069">
        <v>42971</v>
      </c>
      <c r="AH1303" s="2070" t="str">
        <f t="shared" si="454"/>
        <v>PAI</v>
      </c>
      <c r="AI1303" s="1678">
        <f t="shared" si="458"/>
        <v>17100000</v>
      </c>
      <c r="AJ1303" s="1679" t="e">
        <f t="shared" si="463"/>
        <v>#VALUE!</v>
      </c>
      <c r="AK1303" s="1419" t="e">
        <f t="shared" si="459"/>
        <v>#VALUE!</v>
      </c>
      <c r="AL1303" s="1420" t="e">
        <f t="shared" si="460"/>
        <v>#VALUE!</v>
      </c>
      <c r="AM1303" s="1410"/>
      <c r="AN1303" s="1411"/>
      <c r="AO1303" s="1410"/>
      <c r="AP1303" s="1411"/>
      <c r="AQ1303" s="1128"/>
      <c r="AR1303" s="1173"/>
      <c r="AT1303" s="1173"/>
      <c r="AV1303" s="1173"/>
      <c r="AX1303" s="1173"/>
      <c r="AY1303" s="1176"/>
      <c r="AZ1303" s="1173"/>
    </row>
    <row r="1304" spans="1:52" s="2" customFormat="1" x14ac:dyDescent="0.25">
      <c r="A1304" s="164">
        <v>1206</v>
      </c>
      <c r="B1304" s="345">
        <v>48</v>
      </c>
      <c r="C1304" s="660">
        <v>849317048</v>
      </c>
      <c r="D1304" s="571" t="s">
        <v>1804</v>
      </c>
      <c r="E1304" s="578" t="s">
        <v>1328</v>
      </c>
      <c r="F1304" s="579">
        <v>2017</v>
      </c>
      <c r="G1304" s="360" t="s">
        <v>1483</v>
      </c>
      <c r="H1304" s="580" t="str">
        <f t="shared" si="466"/>
        <v xml:space="preserve">   </v>
      </c>
      <c r="I1304" s="580" t="str">
        <f t="shared" si="467"/>
        <v xml:space="preserve">   </v>
      </c>
      <c r="J1304" s="1635">
        <v>600000</v>
      </c>
      <c r="K1304" s="1360">
        <v>42942</v>
      </c>
      <c r="L1304" s="1389">
        <v>3000000</v>
      </c>
      <c r="M1304" s="1360">
        <v>42942</v>
      </c>
      <c r="N1304" s="2039">
        <v>3000000</v>
      </c>
      <c r="O1304" s="2040">
        <v>43126</v>
      </c>
      <c r="P1304" s="1389">
        <v>3000000</v>
      </c>
      <c r="Q1304" s="1360">
        <v>43294</v>
      </c>
      <c r="R1304" s="1714">
        <v>0</v>
      </c>
      <c r="S1304" s="1186" t="s">
        <v>1078</v>
      </c>
      <c r="T1304" s="1363">
        <v>0</v>
      </c>
      <c r="U1304" s="1186" t="s">
        <v>1078</v>
      </c>
      <c r="V1304" s="1714">
        <v>3000000</v>
      </c>
      <c r="W1304" s="1367">
        <v>44130</v>
      </c>
      <c r="X1304" s="1714">
        <v>3000000</v>
      </c>
      <c r="Y1304" s="1367">
        <v>44130</v>
      </c>
      <c r="Z1304" s="1363" t="str">
        <f>IFERROR(VLOOKUP(C1304,BSP,3,FALSE),"  ")</f>
        <v xml:space="preserve">  </v>
      </c>
      <c r="AA1304" s="1563" t="str">
        <f>IFERROR((VLOOKUP(C1304,BSP,4,FALSE)),"  ")</f>
        <v xml:space="preserve">  </v>
      </c>
      <c r="AB1304" s="1714"/>
      <c r="AC1304" s="1384"/>
      <c r="AD1304" s="1666"/>
      <c r="AE1304" s="1590"/>
      <c r="AF1304" s="2061">
        <v>750000</v>
      </c>
      <c r="AG1304" s="2069"/>
      <c r="AH1304" s="2070" t="str">
        <f t="shared" si="454"/>
        <v>PAI</v>
      </c>
      <c r="AI1304" s="1678">
        <f t="shared" si="458"/>
        <v>16350000</v>
      </c>
      <c r="AJ1304" s="1679" t="e">
        <f t="shared" si="463"/>
        <v>#VALUE!</v>
      </c>
      <c r="AK1304" s="1419" t="e">
        <f t="shared" si="459"/>
        <v>#VALUE!</v>
      </c>
      <c r="AL1304" s="1420" t="e">
        <f t="shared" si="460"/>
        <v>#VALUE!</v>
      </c>
      <c r="AM1304" s="1410"/>
      <c r="AN1304" s="1411"/>
      <c r="AO1304" s="1410"/>
      <c r="AP1304" s="1411"/>
      <c r="AQ1304" s="1128"/>
      <c r="AR1304" s="1173"/>
      <c r="AT1304" s="1173"/>
      <c r="AV1304" s="1173"/>
      <c r="AX1304" s="1173"/>
      <c r="AY1304" s="1176"/>
      <c r="AZ1304" s="1173"/>
    </row>
    <row r="1305" spans="1:52" s="2" customFormat="1" x14ac:dyDescent="0.25">
      <c r="A1305" s="156">
        <v>1207</v>
      </c>
      <c r="B1305" s="344">
        <v>49</v>
      </c>
      <c r="C1305" s="2014">
        <v>849317049</v>
      </c>
      <c r="D1305" s="575" t="s">
        <v>1805</v>
      </c>
      <c r="E1305" s="593" t="s">
        <v>1328</v>
      </c>
      <c r="F1305" s="594">
        <v>2017</v>
      </c>
      <c r="G1305" s="272" t="s">
        <v>33</v>
      </c>
      <c r="H1305" s="163">
        <f t="shared" si="466"/>
        <v>43872</v>
      </c>
      <c r="I1305" s="163">
        <f t="shared" si="467"/>
        <v>44058</v>
      </c>
      <c r="J1305" s="1636">
        <v>600000</v>
      </c>
      <c r="K1305" s="1365">
        <v>42937</v>
      </c>
      <c r="L1305" s="1480">
        <v>3000000</v>
      </c>
      <c r="M1305" s="1365">
        <v>42937</v>
      </c>
      <c r="N1305" s="1385">
        <v>3000000</v>
      </c>
      <c r="O1305" s="1357">
        <v>43111</v>
      </c>
      <c r="P1305" s="1480">
        <v>3000000</v>
      </c>
      <c r="Q1305" s="1365">
        <v>43291</v>
      </c>
      <c r="R1305" s="1385">
        <v>3000000</v>
      </c>
      <c r="S1305" s="1357">
        <v>43482</v>
      </c>
      <c r="T1305" s="1358">
        <v>3000000</v>
      </c>
      <c r="U1305" s="1357">
        <v>43643</v>
      </c>
      <c r="V1305" s="1385">
        <v>3000000</v>
      </c>
      <c r="W1305" s="1357">
        <v>43858</v>
      </c>
      <c r="X1305" s="1465" t="s">
        <v>1080</v>
      </c>
      <c r="Y1305" s="1391"/>
      <c r="Z1305" s="1363" t="str">
        <f>IFERROR(VLOOKUP(C1305,BSP,3,FALSE),"  ")</f>
        <v xml:space="preserve">  </v>
      </c>
      <c r="AA1305" s="1563" t="str">
        <f>IFERROR((VLOOKUP(C1305,BSP,4,FALSE)),"  ")</f>
        <v xml:space="preserve">  </v>
      </c>
      <c r="AB1305" s="1385">
        <v>1000000</v>
      </c>
      <c r="AC1305" s="2060">
        <v>43858</v>
      </c>
      <c r="AD1305" s="1809">
        <v>500000</v>
      </c>
      <c r="AE1305" s="1440">
        <v>43943</v>
      </c>
      <c r="AF1305" s="1430">
        <v>750000</v>
      </c>
      <c r="AG1305" s="2069">
        <v>42972</v>
      </c>
      <c r="AH1305" s="2070" t="str">
        <f t="shared" si="454"/>
        <v>PAI</v>
      </c>
      <c r="AI1305" s="1678">
        <f t="shared" si="458"/>
        <v>20850000</v>
      </c>
      <c r="AJ1305" s="1679" t="e">
        <f t="shared" si="463"/>
        <v>#VALUE!</v>
      </c>
      <c r="AK1305" s="1419" t="e">
        <f t="shared" si="459"/>
        <v>#VALUE!</v>
      </c>
      <c r="AL1305" s="1420" t="e">
        <f t="shared" si="460"/>
        <v>#VALUE!</v>
      </c>
      <c r="AM1305" s="1410"/>
      <c r="AN1305" s="1411"/>
      <c r="AO1305" s="1410"/>
      <c r="AP1305" s="1411"/>
      <c r="AQ1305" s="1128"/>
      <c r="AR1305" s="1173"/>
      <c r="AT1305" s="1173"/>
      <c r="AV1305" s="1173"/>
      <c r="AX1305" s="1173"/>
      <c r="AY1305" s="1176"/>
      <c r="AZ1305" s="1173"/>
    </row>
    <row r="1306" spans="1:52" s="2" customFormat="1" x14ac:dyDescent="0.25">
      <c r="A1306" s="156">
        <v>1208</v>
      </c>
      <c r="B1306" s="344">
        <v>50</v>
      </c>
      <c r="C1306" s="2014">
        <v>849317050</v>
      </c>
      <c r="D1306" s="575" t="s">
        <v>1806</v>
      </c>
      <c r="E1306" s="576" t="s">
        <v>1328</v>
      </c>
      <c r="F1306" s="577">
        <v>2017</v>
      </c>
      <c r="G1306" s="272" t="s">
        <v>33</v>
      </c>
      <c r="H1306" s="163">
        <f t="shared" si="466"/>
        <v>43843</v>
      </c>
      <c r="I1306" s="163">
        <f t="shared" si="467"/>
        <v>44058</v>
      </c>
      <c r="J1306" s="1636">
        <v>600000</v>
      </c>
      <c r="K1306" s="1365">
        <v>42937</v>
      </c>
      <c r="L1306" s="1480">
        <v>3000000</v>
      </c>
      <c r="M1306" s="1365">
        <v>42937</v>
      </c>
      <c r="N1306" s="1385">
        <v>3000000</v>
      </c>
      <c r="O1306" s="1357">
        <v>43112</v>
      </c>
      <c r="P1306" s="1480">
        <v>3000000</v>
      </c>
      <c r="Q1306" s="1365">
        <v>43291</v>
      </c>
      <c r="R1306" s="1385">
        <v>3000000</v>
      </c>
      <c r="S1306" s="1357">
        <v>43483</v>
      </c>
      <c r="T1306" s="1358">
        <v>3000000</v>
      </c>
      <c r="U1306" s="1357">
        <v>43641</v>
      </c>
      <c r="V1306" s="1385">
        <v>3000000</v>
      </c>
      <c r="W1306" s="1357">
        <v>43858</v>
      </c>
      <c r="X1306" s="1465" t="s">
        <v>1080</v>
      </c>
      <c r="Y1306" s="1391"/>
      <c r="Z1306" s="1363" t="str">
        <f>IFERROR(VLOOKUP(C1306,BSP,3,FALSE),"  ")</f>
        <v xml:space="preserve">  </v>
      </c>
      <c r="AA1306" s="1563" t="str">
        <f>IFERROR((VLOOKUP(C1306,BSP,4,FALSE)),"  ")</f>
        <v xml:space="preserve">  </v>
      </c>
      <c r="AB1306" s="1385">
        <v>1000000</v>
      </c>
      <c r="AC1306" s="2060">
        <v>43641</v>
      </c>
      <c r="AD1306" s="1809">
        <v>500000</v>
      </c>
      <c r="AE1306" s="1440">
        <v>43858</v>
      </c>
      <c r="AF1306" s="1430">
        <v>750000</v>
      </c>
      <c r="AG1306" s="2069">
        <v>42965</v>
      </c>
      <c r="AH1306" s="2070" t="str">
        <f t="shared" si="454"/>
        <v>PAI</v>
      </c>
      <c r="AI1306" s="1678">
        <f t="shared" si="458"/>
        <v>20850000</v>
      </c>
      <c r="AJ1306" s="1679" t="e">
        <f t="shared" si="463"/>
        <v>#VALUE!</v>
      </c>
      <c r="AK1306" s="1419" t="e">
        <f t="shared" si="459"/>
        <v>#VALUE!</v>
      </c>
      <c r="AL1306" s="1420" t="e">
        <f t="shared" si="460"/>
        <v>#VALUE!</v>
      </c>
      <c r="AM1306" s="1410"/>
      <c r="AN1306" s="1411"/>
      <c r="AO1306" s="1410"/>
      <c r="AP1306" s="1411"/>
      <c r="AQ1306" s="1128"/>
      <c r="AR1306" s="1173"/>
      <c r="AT1306" s="1173"/>
      <c r="AV1306" s="1173"/>
      <c r="AX1306" s="1173"/>
      <c r="AY1306" s="1176"/>
      <c r="AZ1306" s="1173"/>
    </row>
    <row r="1307" spans="1:52" s="2" customFormat="1" x14ac:dyDescent="0.25">
      <c r="A1307" s="164">
        <v>1209</v>
      </c>
      <c r="B1307" s="345">
        <v>51</v>
      </c>
      <c r="C1307" s="660">
        <v>849317051</v>
      </c>
      <c r="D1307" s="571" t="s">
        <v>1807</v>
      </c>
      <c r="E1307" s="572" t="s">
        <v>1328</v>
      </c>
      <c r="F1307" s="573">
        <v>2017</v>
      </c>
      <c r="G1307" s="360" t="s">
        <v>1483</v>
      </c>
      <c r="H1307" s="574" t="str">
        <f t="shared" si="466"/>
        <v xml:space="preserve">   </v>
      </c>
      <c r="I1307" s="574" t="str">
        <f t="shared" si="467"/>
        <v xml:space="preserve">   </v>
      </c>
      <c r="J1307" s="1635">
        <v>600000</v>
      </c>
      <c r="K1307" s="1360">
        <v>42943</v>
      </c>
      <c r="L1307" s="1389">
        <v>3000000</v>
      </c>
      <c r="M1307" s="1360">
        <v>42943</v>
      </c>
      <c r="N1307" s="1714">
        <v>3000000</v>
      </c>
      <c r="O1307" s="1367">
        <v>43115</v>
      </c>
      <c r="P1307" s="1389">
        <v>3000000</v>
      </c>
      <c r="Q1307" s="1360">
        <v>43292</v>
      </c>
      <c r="R1307" s="1714">
        <v>3000000</v>
      </c>
      <c r="S1307" s="1367">
        <v>43482</v>
      </c>
      <c r="T1307" s="1363">
        <v>3000000</v>
      </c>
      <c r="U1307" s="1367">
        <v>43643</v>
      </c>
      <c r="V1307" s="1714">
        <v>3000000</v>
      </c>
      <c r="W1307" s="1367">
        <v>43861.364780092597</v>
      </c>
      <c r="X1307" s="1714">
        <v>3000000</v>
      </c>
      <c r="Y1307" s="1367">
        <v>44071.355381944399</v>
      </c>
      <c r="Z1307" s="1363"/>
      <c r="AA1307" s="1563"/>
      <c r="AB1307" s="1714">
        <v>1000000</v>
      </c>
      <c r="AC1307" s="1384">
        <v>44071.355381944399</v>
      </c>
      <c r="AD1307" s="1666"/>
      <c r="AE1307" s="1590"/>
      <c r="AF1307" s="1430">
        <v>750000</v>
      </c>
      <c r="AG1307" s="2069">
        <v>42971</v>
      </c>
      <c r="AH1307" s="2070" t="str">
        <f t="shared" si="454"/>
        <v>PAI</v>
      </c>
      <c r="AI1307" s="1678">
        <f t="shared" si="458"/>
        <v>23350000</v>
      </c>
      <c r="AJ1307" s="1679" t="e">
        <f t="shared" si="463"/>
        <v>#VALUE!</v>
      </c>
      <c r="AK1307" s="1419" t="e">
        <f t="shared" si="459"/>
        <v>#VALUE!</v>
      </c>
      <c r="AL1307" s="1420" t="e">
        <f t="shared" si="460"/>
        <v>#VALUE!</v>
      </c>
      <c r="AM1307" s="1410"/>
      <c r="AN1307" s="1411"/>
      <c r="AO1307" s="1410"/>
      <c r="AP1307" s="1411"/>
      <c r="AQ1307" s="1128"/>
      <c r="AR1307" s="1173"/>
      <c r="AT1307" s="1173"/>
      <c r="AV1307" s="1173"/>
      <c r="AX1307" s="1173"/>
      <c r="AY1307" s="1176"/>
      <c r="AZ1307" s="1173"/>
    </row>
    <row r="1308" spans="1:52" s="2" customFormat="1" x14ac:dyDescent="0.25">
      <c r="A1308" s="156">
        <v>1210</v>
      </c>
      <c r="B1308" s="344">
        <v>52</v>
      </c>
      <c r="C1308" s="2014">
        <v>849317052</v>
      </c>
      <c r="D1308" s="575" t="s">
        <v>1808</v>
      </c>
      <c r="E1308" s="576" t="s">
        <v>1328</v>
      </c>
      <c r="F1308" s="577">
        <v>2017</v>
      </c>
      <c r="G1308" s="272" t="s">
        <v>33</v>
      </c>
      <c r="H1308" s="163">
        <f t="shared" si="466"/>
        <v>43832</v>
      </c>
      <c r="I1308" s="163">
        <f t="shared" si="467"/>
        <v>44058</v>
      </c>
      <c r="J1308" s="1636">
        <v>600000</v>
      </c>
      <c r="K1308" s="1365">
        <v>42937</v>
      </c>
      <c r="L1308" s="1480">
        <v>3000000</v>
      </c>
      <c r="M1308" s="1365">
        <v>42937</v>
      </c>
      <c r="N1308" s="2041">
        <v>3000000</v>
      </c>
      <c r="O1308" s="2042">
        <v>43115</v>
      </c>
      <c r="P1308" s="1480">
        <v>3000000</v>
      </c>
      <c r="Q1308" s="1365">
        <v>43292</v>
      </c>
      <c r="R1308" s="1385">
        <v>3000000</v>
      </c>
      <c r="S1308" s="1357">
        <v>43482</v>
      </c>
      <c r="T1308" s="1358">
        <v>3000000</v>
      </c>
      <c r="U1308" s="1357">
        <v>43643</v>
      </c>
      <c r="V1308" s="1465" t="s">
        <v>1080</v>
      </c>
      <c r="W1308" s="1391"/>
      <c r="X1308" s="1363" t="str">
        <f>IFERROR(VLOOKUP(C1308,BSP,3,FALSE),"  ")</f>
        <v xml:space="preserve">  </v>
      </c>
      <c r="Y1308" s="1391" t="str">
        <f>IFERROR((VLOOKUP(C1308,BSP,4,FALSE)),"  ")</f>
        <v xml:space="preserve">  </v>
      </c>
      <c r="Z1308" s="1363" t="str">
        <f>IFERROR(VLOOKUP(C1308,BSP,3,FALSE),"  ")</f>
        <v xml:space="preserve">  </v>
      </c>
      <c r="AA1308" s="1563" t="str">
        <f>IFERROR((VLOOKUP(C1308,BSP,4,FALSE)),"  ")</f>
        <v xml:space="preserve">  </v>
      </c>
      <c r="AB1308" s="1385">
        <v>1000000</v>
      </c>
      <c r="AC1308" s="2060">
        <v>43643</v>
      </c>
      <c r="AD1308" s="1809">
        <v>500000</v>
      </c>
      <c r="AE1308" s="1440">
        <v>43860.4836111111</v>
      </c>
      <c r="AF1308" s="1430">
        <v>750000</v>
      </c>
      <c r="AG1308" s="2069">
        <v>42971</v>
      </c>
      <c r="AH1308" s="2070" t="str">
        <f t="shared" si="454"/>
        <v>PAI</v>
      </c>
      <c r="AI1308" s="1678">
        <f t="shared" si="458"/>
        <v>17850000</v>
      </c>
      <c r="AJ1308" s="1679" t="e">
        <f t="shared" si="463"/>
        <v>#VALUE!</v>
      </c>
      <c r="AK1308" s="1419" t="e">
        <f t="shared" si="459"/>
        <v>#VALUE!</v>
      </c>
      <c r="AL1308" s="1420" t="e">
        <f t="shared" si="460"/>
        <v>#VALUE!</v>
      </c>
      <c r="AM1308" s="1410"/>
      <c r="AN1308" s="1411"/>
      <c r="AO1308" s="1410"/>
      <c r="AP1308" s="1411"/>
      <c r="AQ1308" s="1128"/>
      <c r="AR1308" s="1173"/>
      <c r="AT1308" s="1173"/>
      <c r="AV1308" s="1173"/>
      <c r="AX1308" s="1173"/>
      <c r="AY1308" s="1176"/>
      <c r="AZ1308" s="1173"/>
    </row>
    <row r="1309" spans="1:52" s="2" customFormat="1" x14ac:dyDescent="0.25">
      <c r="A1309" s="216">
        <v>1211</v>
      </c>
      <c r="B1309" s="361">
        <v>53</v>
      </c>
      <c r="C1309" s="679">
        <v>849317053</v>
      </c>
      <c r="D1309" s="601" t="s">
        <v>1809</v>
      </c>
      <c r="E1309" s="602" t="s">
        <v>1328</v>
      </c>
      <c r="F1309" s="603">
        <v>2017</v>
      </c>
      <c r="G1309" s="360" t="s">
        <v>1483</v>
      </c>
      <c r="H1309" s="604" t="str">
        <f t="shared" si="466"/>
        <v xml:space="preserve">   </v>
      </c>
      <c r="I1309" s="604" t="str">
        <f t="shared" si="467"/>
        <v xml:space="preserve">   </v>
      </c>
      <c r="J1309" s="1705">
        <v>600000</v>
      </c>
      <c r="K1309" s="1557">
        <v>42941</v>
      </c>
      <c r="L1309" s="1706">
        <v>3000000</v>
      </c>
      <c r="M1309" s="1557">
        <v>42941</v>
      </c>
      <c r="N1309" s="1724">
        <v>3000000</v>
      </c>
      <c r="O1309" s="1445">
        <v>43116</v>
      </c>
      <c r="P1309" s="1706">
        <v>3000000</v>
      </c>
      <c r="Q1309" s="1557">
        <v>43294</v>
      </c>
      <c r="R1309" s="1724">
        <v>3000000</v>
      </c>
      <c r="S1309" s="1445">
        <v>43483</v>
      </c>
      <c r="T1309" s="1446">
        <v>3000000</v>
      </c>
      <c r="U1309" s="1445">
        <v>43752</v>
      </c>
      <c r="V1309" s="1724">
        <v>3000000</v>
      </c>
      <c r="W1309" s="1445">
        <v>43866</v>
      </c>
      <c r="X1309" s="1724">
        <v>3000000</v>
      </c>
      <c r="Y1309" s="1445">
        <v>44125</v>
      </c>
      <c r="Z1309" s="1446" t="str">
        <f>IFERROR(VLOOKUP(C1309,BSP,3,FALSE),"  ")</f>
        <v xml:space="preserve">  </v>
      </c>
      <c r="AA1309" s="1957" t="str">
        <f>IFERROR((VLOOKUP(C1309,BSP,4,FALSE)),"  ")</f>
        <v xml:space="preserve">  </v>
      </c>
      <c r="AB1309" s="1724"/>
      <c r="AC1309" s="1782"/>
      <c r="AD1309" s="1666"/>
      <c r="AE1309" s="1590"/>
      <c r="AF1309" s="1448">
        <v>500000</v>
      </c>
      <c r="AG1309" s="2079">
        <v>42971</v>
      </c>
      <c r="AH1309" s="2080" t="str">
        <f t="shared" si="454"/>
        <v>PAI</v>
      </c>
      <c r="AI1309" s="1678">
        <f t="shared" si="458"/>
        <v>22100000</v>
      </c>
      <c r="AJ1309" s="1679" t="e">
        <f t="shared" si="463"/>
        <v>#VALUE!</v>
      </c>
      <c r="AK1309" s="1419" t="e">
        <f t="shared" si="459"/>
        <v>#VALUE!</v>
      </c>
      <c r="AL1309" s="1420" t="e">
        <f t="shared" si="460"/>
        <v>#VALUE!</v>
      </c>
      <c r="AM1309" s="1410"/>
      <c r="AN1309" s="1411"/>
      <c r="AO1309" s="1410"/>
      <c r="AP1309" s="1411"/>
      <c r="AQ1309" s="1128"/>
      <c r="AR1309" s="1173"/>
      <c r="AT1309" s="1173"/>
      <c r="AV1309" s="1173"/>
      <c r="AX1309" s="1173"/>
      <c r="AY1309" s="1176"/>
      <c r="AZ1309" s="1173"/>
    </row>
    <row r="1310" spans="1:52" s="2" customFormat="1" x14ac:dyDescent="0.25">
      <c r="A1310" s="223"/>
      <c r="B1310" s="228"/>
      <c r="C1310" s="471"/>
      <c r="D1310" s="605"/>
      <c r="E1310" s="227" t="s">
        <v>61</v>
      </c>
      <c r="F1310" s="606" t="s">
        <v>61</v>
      </c>
      <c r="G1310" s="192" t="s">
        <v>61</v>
      </c>
      <c r="H1310" s="439" t="str">
        <f t="shared" si="466"/>
        <v xml:space="preserve">   </v>
      </c>
      <c r="I1310" s="439" t="str">
        <f t="shared" si="467"/>
        <v xml:space="preserve">   </v>
      </c>
      <c r="J1310" s="2024"/>
      <c r="K1310" s="1348"/>
      <c r="L1310" s="2024"/>
      <c r="M1310" s="1348"/>
      <c r="N1310" s="2024"/>
      <c r="O1310" s="1348"/>
      <c r="P1310" s="2024"/>
      <c r="Q1310" s="1348"/>
      <c r="R1310" s="2024"/>
      <c r="S1310" s="1378"/>
      <c r="T1310" s="2024"/>
      <c r="U1310" s="1348"/>
      <c r="V1310" s="1960"/>
      <c r="W1310" s="2057"/>
      <c r="X1310" s="1960"/>
      <c r="Y1310" s="2057"/>
      <c r="Z1310" s="1960"/>
      <c r="AA1310" s="2057"/>
      <c r="AB1310" s="2024"/>
      <c r="AC1310" s="1348"/>
      <c r="AD1310" s="1769"/>
      <c r="AE1310" s="1155"/>
      <c r="AF1310" s="1769"/>
      <c r="AG1310" s="1155"/>
      <c r="AH1310" s="1627" t="str">
        <f t="shared" si="454"/>
        <v>-</v>
      </c>
      <c r="AI1310" s="1512"/>
      <c r="AJ1310" s="1409"/>
      <c r="AK1310" s="1409"/>
      <c r="AL1310" s="1513"/>
      <c r="AM1310" s="1513"/>
      <c r="AN1310" s="1514"/>
      <c r="AO1310" s="1513"/>
      <c r="AP1310" s="1514"/>
      <c r="AQ1310" s="1128"/>
      <c r="AR1310" s="1173"/>
      <c r="AT1310" s="1173"/>
      <c r="AV1310" s="1173"/>
      <c r="AX1310" s="1173"/>
      <c r="AY1310" s="1176"/>
      <c r="AZ1310" s="1173"/>
    </row>
    <row r="1311" spans="1:52" s="2" customFormat="1" x14ac:dyDescent="0.25">
      <c r="A1311" s="607" t="s">
        <v>1810</v>
      </c>
      <c r="B1311" s="607"/>
      <c r="C1311" s="366"/>
      <c r="D1311" s="607"/>
      <c r="E1311" s="198" t="s">
        <v>1096</v>
      </c>
      <c r="F1311" s="199" t="s">
        <v>1096</v>
      </c>
      <c r="G1311" s="146">
        <v>3000000</v>
      </c>
      <c r="H1311" s="147" t="str">
        <f t="shared" si="466"/>
        <v xml:space="preserve">   </v>
      </c>
      <c r="I1311" s="147" t="str">
        <f t="shared" si="467"/>
        <v xml:space="preserve">   </v>
      </c>
      <c r="J1311" s="1349">
        <v>600000</v>
      </c>
      <c r="K1311" s="1529"/>
      <c r="L1311" s="1582" t="s">
        <v>1049</v>
      </c>
      <c r="M1311" s="1502" t="s">
        <v>1066</v>
      </c>
      <c r="N1311" s="1582" t="s">
        <v>1051</v>
      </c>
      <c r="O1311" s="1502" t="s">
        <v>1068</v>
      </c>
      <c r="P1311" s="1582" t="s">
        <v>1053</v>
      </c>
      <c r="Q1311" s="1502" t="s">
        <v>1141</v>
      </c>
      <c r="R1311" s="1582" t="s">
        <v>1055</v>
      </c>
      <c r="S1311" s="1502" t="s">
        <v>1325</v>
      </c>
      <c r="T1311" s="1582" t="s">
        <v>1057</v>
      </c>
      <c r="U1311" s="1502" t="s">
        <v>1463</v>
      </c>
      <c r="V1311" s="1582" t="s">
        <v>1059</v>
      </c>
      <c r="W1311" s="1502" t="s">
        <v>1464</v>
      </c>
      <c r="X1311" s="1582" t="s">
        <v>1061</v>
      </c>
      <c r="Y1311" s="1502" t="s">
        <v>1466</v>
      </c>
      <c r="Z1311" s="1582" t="s">
        <v>1063</v>
      </c>
      <c r="AA1311" s="1502" t="s">
        <v>1468</v>
      </c>
      <c r="AB1311" s="1450">
        <v>1000000</v>
      </c>
      <c r="AC1311" s="1663" t="s">
        <v>1326</v>
      </c>
      <c r="AD1311" s="1450">
        <v>500000</v>
      </c>
      <c r="AE1311" s="2005" t="s">
        <v>22</v>
      </c>
      <c r="AF1311" s="2059" t="s">
        <v>1753</v>
      </c>
      <c r="AG1311" s="2005" t="s">
        <v>1754</v>
      </c>
      <c r="AH1311" s="2058" t="str">
        <f t="shared" si="454"/>
        <v>#</v>
      </c>
      <c r="AI1311" s="1512"/>
      <c r="AJ1311" s="1512"/>
      <c r="AK1311" s="1512"/>
      <c r="AL1311" s="605"/>
      <c r="AM1311" s="1513"/>
      <c r="AN1311" s="2081"/>
      <c r="AO1311" s="1513"/>
      <c r="AP1311" s="2081"/>
      <c r="AQ1311" s="1128"/>
      <c r="AR1311" s="1173"/>
      <c r="AT1311" s="1173"/>
      <c r="AV1311" s="1173"/>
      <c r="AX1311" s="1173"/>
      <c r="AY1311" s="1176"/>
      <c r="AZ1311" s="1173"/>
    </row>
    <row r="1312" spans="1:52" s="2" customFormat="1" x14ac:dyDescent="0.25">
      <c r="A1312" s="457">
        <v>1212</v>
      </c>
      <c r="B1312" s="608">
        <v>1</v>
      </c>
      <c r="C1312" s="659">
        <v>849117001</v>
      </c>
      <c r="D1312" s="609" t="s">
        <v>1811</v>
      </c>
      <c r="E1312" s="567" t="s">
        <v>1070</v>
      </c>
      <c r="F1312" s="610">
        <v>2017</v>
      </c>
      <c r="G1312" s="360" t="s">
        <v>1483</v>
      </c>
      <c r="H1312" s="570" t="str">
        <f t="shared" si="466"/>
        <v xml:space="preserve">   </v>
      </c>
      <c r="I1312" s="570" t="str">
        <f t="shared" si="467"/>
        <v xml:space="preserve">   </v>
      </c>
      <c r="J1312" s="1558">
        <v>600000</v>
      </c>
      <c r="K1312" s="1542">
        <v>42942</v>
      </c>
      <c r="L1312" s="1551">
        <v>3000000</v>
      </c>
      <c r="M1312" s="1542">
        <v>42942</v>
      </c>
      <c r="N1312" s="2073">
        <v>3000000</v>
      </c>
      <c r="O1312" s="2074">
        <v>43112</v>
      </c>
      <c r="P1312" s="1551">
        <v>3000000</v>
      </c>
      <c r="Q1312" s="1542">
        <v>43292</v>
      </c>
      <c r="R1312" s="1543">
        <v>3000000</v>
      </c>
      <c r="S1312" s="1590">
        <v>43482</v>
      </c>
      <c r="T1312" s="1941">
        <v>3000000</v>
      </c>
      <c r="U1312" s="2054">
        <v>43643</v>
      </c>
      <c r="V1312" s="1731">
        <v>3000000</v>
      </c>
      <c r="W1312" s="1367">
        <v>43859.334606481498</v>
      </c>
      <c r="X1312" s="1731">
        <v>3000000</v>
      </c>
      <c r="Y1312" s="1590">
        <v>44083</v>
      </c>
      <c r="Z1312" s="1941" t="str">
        <f>IFERROR(VLOOKUP(C1312,BSP,3,FALSE),"  ")</f>
        <v xml:space="preserve">  </v>
      </c>
      <c r="AA1312" s="1955" t="str">
        <f>IFERROR((VLOOKUP(C1312,BSP,4,FALSE)),"  ")</f>
        <v xml:space="preserve">  </v>
      </c>
      <c r="AB1312" s="1980">
        <v>1000000</v>
      </c>
      <c r="AC1312" s="1590">
        <v>44083</v>
      </c>
      <c r="AD1312" s="1666"/>
      <c r="AE1312" s="1590"/>
      <c r="AF1312" s="1551">
        <v>750000</v>
      </c>
      <c r="AG1312" s="2082">
        <v>42972</v>
      </c>
      <c r="AH1312" s="2083" t="str">
        <f t="shared" si="454"/>
        <v>MPI-S2</v>
      </c>
      <c r="AI1312" s="1678">
        <f t="shared" ref="AI1312:AI1357" si="468">SUM(J1312,L1312,N1312,P1312,R1312,T1312,V1312,X1312,Z1312,AB1312,AD1312,AF1312)</f>
        <v>23350000</v>
      </c>
      <c r="AJ1312" s="1679" t="e">
        <f t="shared" ref="AJ1312:AJ1357" si="469">(COUNT(L1312,N1312,P1312,R1312,T1312,V1312,X1312,Z1312)*$G$1256)+(COUNT(J1312)*$J$1256)+(COUNT(AB1312)*$AB$1256)+(COUNT(AD1312)*$AD$1256)+(COUNT(AF1312)*AH1312)</f>
        <v>#VALUE!</v>
      </c>
      <c r="AK1312" s="1419" t="e">
        <f t="shared" ref="AK1312:AK1357" si="470">AJ1312-AI1312</f>
        <v>#VALUE!</v>
      </c>
      <c r="AL1312" s="1420" t="e">
        <f t="shared" ref="AL1312:AL1357" si="471">IF(AK1312=0,"Lunas","Cek")</f>
        <v>#VALUE!</v>
      </c>
      <c r="AM1312" s="1410"/>
      <c r="AN1312" s="1411"/>
      <c r="AO1312" s="1410"/>
      <c r="AP1312" s="1411"/>
      <c r="AQ1312" s="1128"/>
      <c r="AR1312" s="1173"/>
      <c r="AT1312" s="1173"/>
      <c r="AV1312" s="1173"/>
      <c r="AX1312" s="1173"/>
      <c r="AY1312" s="1176"/>
      <c r="AZ1312" s="1173"/>
    </row>
    <row r="1313" spans="1:52" s="2" customFormat="1" x14ac:dyDescent="0.25">
      <c r="A1313" s="156">
        <v>1213</v>
      </c>
      <c r="B1313" s="176">
        <v>2</v>
      </c>
      <c r="C1313" s="2014">
        <v>849117002</v>
      </c>
      <c r="D1313" s="575" t="s">
        <v>1812</v>
      </c>
      <c r="E1313" s="576" t="s">
        <v>1070</v>
      </c>
      <c r="F1313" s="611">
        <v>2017</v>
      </c>
      <c r="G1313" s="272" t="s">
        <v>33</v>
      </c>
      <c r="H1313" s="163">
        <f t="shared" si="466"/>
        <v>43593</v>
      </c>
      <c r="I1313" s="163">
        <f t="shared" si="467"/>
        <v>43705</v>
      </c>
      <c r="J1313" s="1364">
        <v>600000</v>
      </c>
      <c r="K1313" s="1365">
        <v>42940</v>
      </c>
      <c r="L1313" s="1431">
        <v>3000000</v>
      </c>
      <c r="M1313" s="1365">
        <v>42940</v>
      </c>
      <c r="N1313" s="1358">
        <v>3000000</v>
      </c>
      <c r="O1313" s="1357">
        <v>43110</v>
      </c>
      <c r="P1313" s="1431">
        <v>3000000</v>
      </c>
      <c r="Q1313" s="1365">
        <v>43290</v>
      </c>
      <c r="R1313" s="1358">
        <v>3000000</v>
      </c>
      <c r="S1313" s="1357">
        <v>43481</v>
      </c>
      <c r="T1313" s="1382" t="s">
        <v>1080</v>
      </c>
      <c r="U1313" s="1384"/>
      <c r="V1313" s="1363" t="s">
        <v>783</v>
      </c>
      <c r="W1313" s="1391" t="s">
        <v>783</v>
      </c>
      <c r="X1313" s="1363"/>
      <c r="Y1313" s="1391"/>
      <c r="Z1313" s="1363" t="str">
        <f>IFERROR(VLOOKUP(C1313,BSP,3,FALSE),"  ")</f>
        <v xml:space="preserve">  </v>
      </c>
      <c r="AA1313" s="1563" t="str">
        <f>IFERROR((VLOOKUP(C1313,BSP,4,FALSE)),"  ")</f>
        <v xml:space="preserve">  </v>
      </c>
      <c r="AB1313" s="1385">
        <v>1000000</v>
      </c>
      <c r="AC1313" s="1357">
        <v>43573</v>
      </c>
      <c r="AD1313" s="1666"/>
      <c r="AE1313" s="1590"/>
      <c r="AF1313" s="1430">
        <v>750000</v>
      </c>
      <c r="AG1313" s="2069">
        <v>42971</v>
      </c>
      <c r="AH1313" s="2070" t="str">
        <f t="shared" si="454"/>
        <v>MPI-S2</v>
      </c>
      <c r="AI1313" s="1678">
        <f t="shared" si="468"/>
        <v>14350000</v>
      </c>
      <c r="AJ1313" s="1679" t="e">
        <f t="shared" si="469"/>
        <v>#VALUE!</v>
      </c>
      <c r="AK1313" s="1419" t="e">
        <f t="shared" si="470"/>
        <v>#VALUE!</v>
      </c>
      <c r="AL1313" s="1420" t="e">
        <f t="shared" si="471"/>
        <v>#VALUE!</v>
      </c>
      <c r="AM1313" s="1410"/>
      <c r="AN1313" s="1411"/>
      <c r="AO1313" s="1410"/>
      <c r="AP1313" s="1411"/>
      <c r="AQ1313" s="1128"/>
      <c r="AR1313" s="1173"/>
      <c r="AT1313" s="1173"/>
      <c r="AV1313" s="1173"/>
      <c r="AX1313" s="1173"/>
      <c r="AY1313" s="1176"/>
      <c r="AZ1313" s="1173"/>
    </row>
    <row r="1314" spans="1:52" s="2" customFormat="1" x14ac:dyDescent="0.25">
      <c r="A1314" s="164">
        <v>1214</v>
      </c>
      <c r="B1314" s="165">
        <v>3</v>
      </c>
      <c r="C1314" s="660">
        <v>849117003</v>
      </c>
      <c r="D1314" s="571" t="s">
        <v>1813</v>
      </c>
      <c r="E1314" s="572" t="s">
        <v>1070</v>
      </c>
      <c r="F1314" s="612">
        <v>2017</v>
      </c>
      <c r="G1314" s="1758" t="s">
        <v>28</v>
      </c>
      <c r="H1314" s="580" t="str">
        <f t="shared" si="466"/>
        <v xml:space="preserve">   </v>
      </c>
      <c r="I1314" s="574" t="str">
        <f t="shared" si="467"/>
        <v xml:space="preserve">   </v>
      </c>
      <c r="J1314" s="1366">
        <v>600000</v>
      </c>
      <c r="K1314" s="1360">
        <v>42942</v>
      </c>
      <c r="L1314" s="1366">
        <v>3000000</v>
      </c>
      <c r="M1314" s="1360">
        <v>42942</v>
      </c>
      <c r="N1314" s="1363">
        <v>3000000</v>
      </c>
      <c r="O1314" s="1367">
        <v>43111</v>
      </c>
      <c r="P1314" s="1430">
        <v>3000000</v>
      </c>
      <c r="Q1314" s="1360">
        <v>43290</v>
      </c>
      <c r="R1314" s="1363">
        <v>3000000</v>
      </c>
      <c r="S1314" s="1367">
        <v>43483</v>
      </c>
      <c r="T1314" s="1363">
        <v>3000000</v>
      </c>
      <c r="U1314" s="1367">
        <v>43643</v>
      </c>
      <c r="V1314" s="1731">
        <v>3000000</v>
      </c>
      <c r="W1314" s="1367">
        <v>43860.5022916667</v>
      </c>
      <c r="X1314" s="1731">
        <v>3000000</v>
      </c>
      <c r="Y1314" s="1367">
        <v>44167</v>
      </c>
      <c r="Z1314" s="1363" t="str">
        <f>IFERROR(VLOOKUP(C1314,BSP,3,FALSE),"  ")</f>
        <v xml:space="preserve">  </v>
      </c>
      <c r="AA1314" s="1563" t="str">
        <f>IFERROR((VLOOKUP(C1314,BSP,4,FALSE)),"  ")</f>
        <v xml:space="preserve">  </v>
      </c>
      <c r="AB1314" s="1714"/>
      <c r="AC1314" s="1367"/>
      <c r="AD1314" s="1666"/>
      <c r="AE1314" s="1590"/>
      <c r="AF1314" s="1430">
        <v>750000</v>
      </c>
      <c r="AG1314" s="2069">
        <v>42970</v>
      </c>
      <c r="AH1314" s="2070" t="str">
        <f t="shared" si="454"/>
        <v>MPI-S2</v>
      </c>
      <c r="AI1314" s="1678">
        <f t="shared" si="468"/>
        <v>22350000</v>
      </c>
      <c r="AJ1314" s="1679" t="e">
        <f t="shared" si="469"/>
        <v>#VALUE!</v>
      </c>
      <c r="AK1314" s="1419" t="e">
        <f t="shared" si="470"/>
        <v>#VALUE!</v>
      </c>
      <c r="AL1314" s="1420" t="e">
        <f t="shared" si="471"/>
        <v>#VALUE!</v>
      </c>
      <c r="AM1314" s="1410"/>
      <c r="AN1314" s="1411"/>
      <c r="AO1314" s="1410"/>
      <c r="AP1314" s="1411"/>
      <c r="AQ1314" s="1128"/>
      <c r="AR1314" s="1173"/>
      <c r="AT1314" s="1173"/>
      <c r="AV1314" s="1173"/>
      <c r="AX1314" s="1173"/>
      <c r="AY1314" s="1176"/>
      <c r="AZ1314" s="1173"/>
    </row>
    <row r="1315" spans="1:52" s="2" customFormat="1" x14ac:dyDescent="0.25">
      <c r="A1315" s="164">
        <v>1215</v>
      </c>
      <c r="B1315" s="165">
        <v>4</v>
      </c>
      <c r="C1315" s="660">
        <v>849117004</v>
      </c>
      <c r="D1315" s="571" t="s">
        <v>1814</v>
      </c>
      <c r="E1315" s="572" t="s">
        <v>1070</v>
      </c>
      <c r="F1315" s="612">
        <v>2017</v>
      </c>
      <c r="G1315" s="360" t="s">
        <v>1483</v>
      </c>
      <c r="H1315" s="580" t="str">
        <f t="shared" si="466"/>
        <v xml:space="preserve">   </v>
      </c>
      <c r="I1315" s="574" t="str">
        <f t="shared" si="467"/>
        <v xml:space="preserve">   </v>
      </c>
      <c r="J1315" s="1366">
        <v>600000</v>
      </c>
      <c r="K1315" s="1360">
        <v>42941</v>
      </c>
      <c r="L1315" s="1430">
        <v>3000000</v>
      </c>
      <c r="M1315" s="1360">
        <v>42941</v>
      </c>
      <c r="N1315" s="1363">
        <v>3000000</v>
      </c>
      <c r="O1315" s="1367">
        <v>43115</v>
      </c>
      <c r="P1315" s="1430">
        <v>3000000</v>
      </c>
      <c r="Q1315" s="1360">
        <v>43291</v>
      </c>
      <c r="R1315" s="1363">
        <v>3000000</v>
      </c>
      <c r="S1315" s="1367">
        <v>43482</v>
      </c>
      <c r="T1315" s="1363">
        <v>3000000</v>
      </c>
      <c r="U1315" s="1367">
        <v>43671</v>
      </c>
      <c r="V1315" s="1731">
        <v>3000000</v>
      </c>
      <c r="W1315" s="1367">
        <v>43858.368344907401</v>
      </c>
      <c r="X1315" s="1731">
        <v>3000000</v>
      </c>
      <c r="Y1315" s="1367">
        <v>44070.393217592602</v>
      </c>
      <c r="Z1315" s="1363"/>
      <c r="AA1315" s="1563"/>
      <c r="AB1315" s="1714"/>
      <c r="AC1315" s="1367"/>
      <c r="AD1315" s="1666"/>
      <c r="AE1315" s="1590"/>
      <c r="AF1315" s="1430">
        <v>500000</v>
      </c>
      <c r="AG1315" s="2069">
        <v>42972</v>
      </c>
      <c r="AH1315" s="2070" t="str">
        <f t="shared" ref="AH1315:AH1378" si="472">E1315</f>
        <v>MPI-S2</v>
      </c>
      <c r="AI1315" s="1678">
        <f t="shared" si="468"/>
        <v>22100000</v>
      </c>
      <c r="AJ1315" s="1679" t="e">
        <f t="shared" si="469"/>
        <v>#VALUE!</v>
      </c>
      <c r="AK1315" s="1419" t="e">
        <f t="shared" si="470"/>
        <v>#VALUE!</v>
      </c>
      <c r="AL1315" s="1420" t="e">
        <f t="shared" si="471"/>
        <v>#VALUE!</v>
      </c>
      <c r="AM1315" s="1410"/>
      <c r="AN1315" s="1411"/>
      <c r="AO1315" s="1410"/>
      <c r="AP1315" s="1411"/>
      <c r="AQ1315" s="1128"/>
      <c r="AR1315" s="1173"/>
      <c r="AT1315" s="1173"/>
      <c r="AV1315" s="1173"/>
      <c r="AX1315" s="1173"/>
      <c r="AY1315" s="1176"/>
      <c r="AZ1315" s="1173"/>
    </row>
    <row r="1316" spans="1:52" s="2" customFormat="1" x14ac:dyDescent="0.25">
      <c r="A1316" s="156">
        <v>1216</v>
      </c>
      <c r="B1316" s="176">
        <v>5</v>
      </c>
      <c r="C1316" s="2014">
        <v>849117005</v>
      </c>
      <c r="D1316" s="575" t="s">
        <v>1815</v>
      </c>
      <c r="E1316" s="593" t="s">
        <v>1070</v>
      </c>
      <c r="F1316" s="613">
        <v>2017</v>
      </c>
      <c r="G1316" s="272" t="s">
        <v>33</v>
      </c>
      <c r="H1316" s="163">
        <f t="shared" si="466"/>
        <v>43594</v>
      </c>
      <c r="I1316" s="163">
        <f t="shared" si="467"/>
        <v>43705</v>
      </c>
      <c r="J1316" s="1364">
        <v>600000</v>
      </c>
      <c r="K1316" s="1365">
        <v>42940</v>
      </c>
      <c r="L1316" s="1431">
        <v>3000000</v>
      </c>
      <c r="M1316" s="1365">
        <v>42940</v>
      </c>
      <c r="N1316" s="2075">
        <v>3000000</v>
      </c>
      <c r="O1316" s="2042">
        <v>43112</v>
      </c>
      <c r="P1316" s="1431">
        <v>3000000</v>
      </c>
      <c r="Q1316" s="1365">
        <v>43291</v>
      </c>
      <c r="R1316" s="1358">
        <v>3000000</v>
      </c>
      <c r="S1316" s="1357">
        <v>43482</v>
      </c>
      <c r="T1316" s="1382" t="s">
        <v>1080</v>
      </c>
      <c r="U1316" s="1384"/>
      <c r="V1316" s="1363" t="s">
        <v>783</v>
      </c>
      <c r="W1316" s="1391" t="s">
        <v>783</v>
      </c>
      <c r="X1316" s="1363"/>
      <c r="Y1316" s="1391"/>
      <c r="Z1316" s="1363" t="str">
        <f>IFERROR(VLOOKUP(C1316,BSP,3,FALSE),"  ")</f>
        <v xml:space="preserve">  </v>
      </c>
      <c r="AA1316" s="1563" t="str">
        <f>IFERROR((VLOOKUP(C1316,BSP,4,FALSE)),"  ")</f>
        <v xml:space="preserve">  </v>
      </c>
      <c r="AB1316" s="1385">
        <v>1000000</v>
      </c>
      <c r="AC1316" s="1357">
        <v>43587</v>
      </c>
      <c r="AD1316" s="1666"/>
      <c r="AE1316" s="1590"/>
      <c r="AF1316" s="1430">
        <v>500000</v>
      </c>
      <c r="AG1316" s="2069">
        <v>42972</v>
      </c>
      <c r="AH1316" s="2070" t="str">
        <f t="shared" si="472"/>
        <v>MPI-S2</v>
      </c>
      <c r="AI1316" s="1678">
        <f t="shared" si="468"/>
        <v>14100000</v>
      </c>
      <c r="AJ1316" s="1679" t="e">
        <f t="shared" si="469"/>
        <v>#VALUE!</v>
      </c>
      <c r="AK1316" s="1419" t="e">
        <f t="shared" si="470"/>
        <v>#VALUE!</v>
      </c>
      <c r="AL1316" s="1420" t="e">
        <f t="shared" si="471"/>
        <v>#VALUE!</v>
      </c>
      <c r="AM1316" s="1410"/>
      <c r="AN1316" s="1411"/>
      <c r="AO1316" s="1410"/>
      <c r="AP1316" s="1411"/>
      <c r="AQ1316" s="1128"/>
      <c r="AR1316" s="1173"/>
      <c r="AT1316" s="1173"/>
      <c r="AV1316" s="1173"/>
      <c r="AX1316" s="1173"/>
      <c r="AY1316" s="1176"/>
      <c r="AZ1316" s="1173"/>
    </row>
    <row r="1317" spans="1:52" s="2" customFormat="1" x14ac:dyDescent="0.25">
      <c r="A1317" s="156">
        <v>1217</v>
      </c>
      <c r="B1317" s="176">
        <v>6</v>
      </c>
      <c r="C1317" s="660">
        <v>849117006</v>
      </c>
      <c r="D1317" s="575" t="s">
        <v>1816</v>
      </c>
      <c r="E1317" s="593" t="s">
        <v>1070</v>
      </c>
      <c r="F1317" s="613">
        <v>2017</v>
      </c>
      <c r="G1317" s="272" t="s">
        <v>33</v>
      </c>
      <c r="H1317" s="163">
        <f t="shared" si="466"/>
        <v>44084</v>
      </c>
      <c r="I1317" s="580" t="str">
        <f t="shared" si="467"/>
        <v xml:space="preserve">   </v>
      </c>
      <c r="J1317" s="1366">
        <v>600000</v>
      </c>
      <c r="K1317" s="1360">
        <v>42947</v>
      </c>
      <c r="L1317" s="1366">
        <v>3000000</v>
      </c>
      <c r="M1317" s="1360">
        <v>42947</v>
      </c>
      <c r="N1317" s="2076">
        <v>3000000</v>
      </c>
      <c r="O1317" s="2040">
        <v>43115</v>
      </c>
      <c r="P1317" s="1430">
        <v>3000000</v>
      </c>
      <c r="Q1317" s="1360">
        <v>43292</v>
      </c>
      <c r="R1317" s="1363">
        <v>3000000</v>
      </c>
      <c r="S1317" s="1367">
        <v>43483</v>
      </c>
      <c r="T1317" s="1363">
        <v>3000000</v>
      </c>
      <c r="U1317" s="1367">
        <v>43900</v>
      </c>
      <c r="V1317" s="1363">
        <v>3000000</v>
      </c>
      <c r="W1317" s="1367">
        <v>43900</v>
      </c>
      <c r="X1317" s="1363"/>
      <c r="Y1317" s="1391"/>
      <c r="Z1317" s="1363">
        <f>IFERROR(VLOOKUP(C1317,BSP,3,FALSE),"  ")</f>
        <v>1000000</v>
      </c>
      <c r="AA1317" s="1563">
        <f>IFERROR((VLOOKUP(C1317,BSP,4,FALSE)),"  ")</f>
        <v>44062.3521064815</v>
      </c>
      <c r="AB1317" s="1385">
        <v>1000000</v>
      </c>
      <c r="AC1317" s="1357">
        <v>44062</v>
      </c>
      <c r="AD1317" s="1809">
        <v>500000</v>
      </c>
      <c r="AE1317" s="1440">
        <v>44137</v>
      </c>
      <c r="AF1317" s="1430">
        <v>750000</v>
      </c>
      <c r="AG1317" s="2069">
        <v>42969</v>
      </c>
      <c r="AH1317" s="2070" t="str">
        <f t="shared" si="472"/>
        <v>MPI-S2</v>
      </c>
      <c r="AI1317" s="1678">
        <f t="shared" si="468"/>
        <v>21850000</v>
      </c>
      <c r="AJ1317" s="1679" t="e">
        <f t="shared" si="469"/>
        <v>#VALUE!</v>
      </c>
      <c r="AK1317" s="1419" t="e">
        <f t="shared" si="470"/>
        <v>#VALUE!</v>
      </c>
      <c r="AL1317" s="1420" t="e">
        <f t="shared" si="471"/>
        <v>#VALUE!</v>
      </c>
      <c r="AM1317" s="1410"/>
      <c r="AN1317" s="1411"/>
      <c r="AO1317" s="1410"/>
      <c r="AP1317" s="1411"/>
      <c r="AQ1317" s="1128"/>
      <c r="AR1317" s="1173"/>
      <c r="AT1317" s="1173"/>
      <c r="AV1317" s="1173"/>
      <c r="AX1317" s="1173"/>
      <c r="AY1317" s="1176"/>
      <c r="AZ1317" s="1173"/>
    </row>
    <row r="1318" spans="1:52" s="2" customFormat="1" x14ac:dyDescent="0.25">
      <c r="A1318" s="164">
        <v>1218</v>
      </c>
      <c r="B1318" s="165">
        <v>7</v>
      </c>
      <c r="C1318" s="660">
        <v>849117007</v>
      </c>
      <c r="D1318" s="571" t="s">
        <v>1817</v>
      </c>
      <c r="E1318" s="578" t="s">
        <v>1070</v>
      </c>
      <c r="F1318" s="614">
        <v>2017</v>
      </c>
      <c r="G1318" s="360" t="s">
        <v>1483</v>
      </c>
      <c r="H1318" s="580" t="str">
        <f t="shared" si="466"/>
        <v xml:space="preserve">   </v>
      </c>
      <c r="I1318" s="580" t="str">
        <f t="shared" si="467"/>
        <v xml:space="preserve">   </v>
      </c>
      <c r="J1318" s="1366">
        <v>600000</v>
      </c>
      <c r="K1318" s="1360">
        <v>42943</v>
      </c>
      <c r="L1318" s="1366">
        <v>3000000</v>
      </c>
      <c r="M1318" s="1360">
        <v>42943</v>
      </c>
      <c r="N1318" s="1363">
        <v>3000000</v>
      </c>
      <c r="O1318" s="1367">
        <v>43116</v>
      </c>
      <c r="P1318" s="1430">
        <v>3000000</v>
      </c>
      <c r="Q1318" s="1360">
        <v>43293</v>
      </c>
      <c r="R1318" s="1363">
        <v>3000000</v>
      </c>
      <c r="S1318" s="1367">
        <v>43483</v>
      </c>
      <c r="T1318" s="1982" t="s">
        <v>1078</v>
      </c>
      <c r="U1318" s="1386">
        <v>43630</v>
      </c>
      <c r="V1318" s="2077" t="s">
        <v>1078</v>
      </c>
      <c r="W1318" s="1386" t="s">
        <v>1818</v>
      </c>
      <c r="X1318" s="1731">
        <v>3000000</v>
      </c>
      <c r="Y1318" s="1367">
        <v>44071.7805324074</v>
      </c>
      <c r="Z1318" s="1363"/>
      <c r="AA1318" s="1563"/>
      <c r="AB1318" s="1714"/>
      <c r="AC1318" s="1367"/>
      <c r="AD1318" s="1666"/>
      <c r="AE1318" s="1590"/>
      <c r="AF1318" s="2061">
        <v>750000</v>
      </c>
      <c r="AG1318" s="2069"/>
      <c r="AH1318" s="2070" t="str">
        <f t="shared" si="472"/>
        <v>MPI-S2</v>
      </c>
      <c r="AI1318" s="1678">
        <f t="shared" si="468"/>
        <v>16350000</v>
      </c>
      <c r="AJ1318" s="1679" t="e">
        <f t="shared" si="469"/>
        <v>#VALUE!</v>
      </c>
      <c r="AK1318" s="1419" t="e">
        <f t="shared" si="470"/>
        <v>#VALUE!</v>
      </c>
      <c r="AL1318" s="1420" t="e">
        <f t="shared" si="471"/>
        <v>#VALUE!</v>
      </c>
      <c r="AM1318" s="1410"/>
      <c r="AN1318" s="1411"/>
      <c r="AO1318" s="1410"/>
      <c r="AP1318" s="1411"/>
      <c r="AQ1318" s="1128"/>
      <c r="AR1318" s="1173"/>
      <c r="AT1318" s="1173"/>
      <c r="AV1318" s="1173"/>
      <c r="AX1318" s="1173"/>
      <c r="AY1318" s="1176"/>
      <c r="AZ1318" s="1173"/>
    </row>
    <row r="1319" spans="1:52" s="2" customFormat="1" x14ac:dyDescent="0.25">
      <c r="A1319" s="164">
        <v>1219</v>
      </c>
      <c r="B1319" s="165">
        <v>8</v>
      </c>
      <c r="C1319" s="660">
        <v>849117008</v>
      </c>
      <c r="D1319" s="571" t="s">
        <v>1819</v>
      </c>
      <c r="E1319" s="585" t="s">
        <v>1070</v>
      </c>
      <c r="F1319" s="614">
        <v>2017</v>
      </c>
      <c r="G1319" s="1758" t="s">
        <v>28</v>
      </c>
      <c r="H1319" s="580" t="str">
        <f t="shared" si="466"/>
        <v xml:space="preserve">   </v>
      </c>
      <c r="I1319" s="580" t="str">
        <f t="shared" si="467"/>
        <v xml:space="preserve">   </v>
      </c>
      <c r="J1319" s="1366">
        <v>600000</v>
      </c>
      <c r="K1319" s="1360">
        <v>42941</v>
      </c>
      <c r="L1319" s="1366">
        <v>3000000</v>
      </c>
      <c r="M1319" s="1360">
        <v>42941</v>
      </c>
      <c r="N1319" s="1186" t="s">
        <v>1078</v>
      </c>
      <c r="O1319" s="1386">
        <v>43129</v>
      </c>
      <c r="P1319" s="1363">
        <v>0</v>
      </c>
      <c r="Q1319" s="1360"/>
      <c r="R1319" s="1363">
        <v>0</v>
      </c>
      <c r="S1319" s="1367"/>
      <c r="T1319" s="1363">
        <v>0</v>
      </c>
      <c r="U1319" s="1367" t="s">
        <v>783</v>
      </c>
      <c r="V1319" s="1731">
        <v>0</v>
      </c>
      <c r="W1319" s="1367"/>
      <c r="X1319" s="1731">
        <v>0</v>
      </c>
      <c r="Y1319" s="1367"/>
      <c r="Z1319" s="1363" t="str">
        <f>IFERROR(VLOOKUP(C1319,BSP,3,FALSE),"  ")</f>
        <v xml:space="preserve">  </v>
      </c>
      <c r="AA1319" s="1563" t="str">
        <f>IFERROR((VLOOKUP(C1319,BSP,4,FALSE)),"  ")</f>
        <v xml:space="preserve">  </v>
      </c>
      <c r="AB1319" s="1714"/>
      <c r="AC1319" s="1367"/>
      <c r="AD1319" s="1666"/>
      <c r="AE1319" s="1590"/>
      <c r="AF1319" s="1430">
        <v>750000</v>
      </c>
      <c r="AG1319" s="2069">
        <v>42972</v>
      </c>
      <c r="AH1319" s="2070" t="str">
        <f t="shared" si="472"/>
        <v>MPI-S2</v>
      </c>
      <c r="AI1319" s="1678">
        <f t="shared" si="468"/>
        <v>4350000</v>
      </c>
      <c r="AJ1319" s="1679" t="e">
        <f t="shared" si="469"/>
        <v>#VALUE!</v>
      </c>
      <c r="AK1319" s="1419" t="e">
        <f t="shared" si="470"/>
        <v>#VALUE!</v>
      </c>
      <c r="AL1319" s="1420" t="e">
        <f t="shared" si="471"/>
        <v>#VALUE!</v>
      </c>
      <c r="AM1319" s="1410"/>
      <c r="AN1319" s="1411"/>
      <c r="AO1319" s="1410"/>
      <c r="AP1319" s="1411"/>
      <c r="AQ1319" s="1128"/>
      <c r="AR1319" s="1173"/>
      <c r="AT1319" s="1173"/>
      <c r="AV1319" s="1173"/>
      <c r="AX1319" s="1173"/>
      <c r="AY1319" s="1176"/>
      <c r="AZ1319" s="1173"/>
    </row>
    <row r="1320" spans="1:52" s="2" customFormat="1" x14ac:dyDescent="0.25">
      <c r="A1320" s="164">
        <v>1220</v>
      </c>
      <c r="B1320" s="165">
        <v>9</v>
      </c>
      <c r="C1320" s="660">
        <v>849117009</v>
      </c>
      <c r="D1320" s="571" t="s">
        <v>1820</v>
      </c>
      <c r="E1320" s="578" t="s">
        <v>1070</v>
      </c>
      <c r="F1320" s="614">
        <v>2017</v>
      </c>
      <c r="G1320" s="360" t="s">
        <v>1483</v>
      </c>
      <c r="H1320" s="580" t="str">
        <f t="shared" si="466"/>
        <v xml:space="preserve">   </v>
      </c>
      <c r="I1320" s="580" t="str">
        <f t="shared" si="467"/>
        <v xml:space="preserve">   </v>
      </c>
      <c r="J1320" s="1366">
        <v>600000</v>
      </c>
      <c r="K1320" s="1360">
        <v>42943</v>
      </c>
      <c r="L1320" s="1366">
        <v>3000000</v>
      </c>
      <c r="M1320" s="1360">
        <v>42943</v>
      </c>
      <c r="N1320" s="2076">
        <v>3000000</v>
      </c>
      <c r="O1320" s="2040">
        <v>43115</v>
      </c>
      <c r="P1320" s="1430">
        <v>3000000</v>
      </c>
      <c r="Q1320" s="1360">
        <v>43293</v>
      </c>
      <c r="R1320" s="1363">
        <v>3000000</v>
      </c>
      <c r="S1320" s="1367">
        <v>43494</v>
      </c>
      <c r="T1320" s="1363">
        <v>3000000</v>
      </c>
      <c r="U1320" s="1367">
        <v>43655</v>
      </c>
      <c r="V1320" s="1731">
        <v>3000000</v>
      </c>
      <c r="W1320" s="1367">
        <v>43861.580763888902</v>
      </c>
      <c r="X1320" s="1731">
        <v>3000000</v>
      </c>
      <c r="Y1320" s="1367">
        <v>44095</v>
      </c>
      <c r="Z1320" s="1363" t="str">
        <f>IFERROR(VLOOKUP(C1320,BSP,3,FALSE),"  ")</f>
        <v xml:space="preserve">  </v>
      </c>
      <c r="AA1320" s="1563" t="str">
        <f>IFERROR((VLOOKUP(C1320,BSP,4,FALSE)),"  ")</f>
        <v xml:space="preserve">  </v>
      </c>
      <c r="AB1320" s="1714">
        <v>1000000</v>
      </c>
      <c r="AC1320" s="1367">
        <v>43655</v>
      </c>
      <c r="AD1320" s="1666"/>
      <c r="AE1320" s="1590"/>
      <c r="AF1320" s="1430">
        <v>500000</v>
      </c>
      <c r="AG1320" s="2069">
        <v>42972</v>
      </c>
      <c r="AH1320" s="2070" t="str">
        <f t="shared" si="472"/>
        <v>MPI-S2</v>
      </c>
      <c r="AI1320" s="1678">
        <f t="shared" si="468"/>
        <v>23100000</v>
      </c>
      <c r="AJ1320" s="1679" t="e">
        <f t="shared" si="469"/>
        <v>#VALUE!</v>
      </c>
      <c r="AK1320" s="1419" t="e">
        <f t="shared" si="470"/>
        <v>#VALUE!</v>
      </c>
      <c r="AL1320" s="1420" t="e">
        <f t="shared" si="471"/>
        <v>#VALUE!</v>
      </c>
      <c r="AM1320" s="1410"/>
      <c r="AN1320" s="1411"/>
      <c r="AO1320" s="1410"/>
      <c r="AP1320" s="1411"/>
      <c r="AQ1320" s="1128"/>
      <c r="AR1320" s="1173"/>
      <c r="AT1320" s="1173"/>
      <c r="AV1320" s="1173"/>
      <c r="AX1320" s="1173"/>
      <c r="AY1320" s="1176"/>
      <c r="AZ1320" s="1173"/>
    </row>
    <row r="1321" spans="1:52" s="2" customFormat="1" x14ac:dyDescent="0.25">
      <c r="A1321" s="164">
        <v>1221</v>
      </c>
      <c r="B1321" s="165">
        <v>10</v>
      </c>
      <c r="C1321" s="660">
        <v>849117010</v>
      </c>
      <c r="D1321" s="571" t="s">
        <v>1821</v>
      </c>
      <c r="E1321" s="572" t="s">
        <v>1070</v>
      </c>
      <c r="F1321" s="612">
        <v>2017</v>
      </c>
      <c r="G1321" s="360" t="s">
        <v>1483</v>
      </c>
      <c r="H1321" s="574" t="str">
        <f t="shared" si="466"/>
        <v xml:space="preserve">   </v>
      </c>
      <c r="I1321" s="574" t="str">
        <f t="shared" si="467"/>
        <v xml:space="preserve">   </v>
      </c>
      <c r="J1321" s="1366">
        <v>600000</v>
      </c>
      <c r="K1321" s="1360">
        <v>42943</v>
      </c>
      <c r="L1321" s="1366">
        <v>3000000</v>
      </c>
      <c r="M1321" s="1360">
        <v>42943</v>
      </c>
      <c r="N1321" s="1363">
        <v>3000000</v>
      </c>
      <c r="O1321" s="1367">
        <v>43112</v>
      </c>
      <c r="P1321" s="1430">
        <v>3000000</v>
      </c>
      <c r="Q1321" s="1360">
        <v>43294</v>
      </c>
      <c r="R1321" s="1363">
        <v>3000000</v>
      </c>
      <c r="S1321" s="1367">
        <v>43777</v>
      </c>
      <c r="T1321" s="1363">
        <v>3000000</v>
      </c>
      <c r="U1321" s="1367">
        <v>43777</v>
      </c>
      <c r="V1321" s="2077" t="s">
        <v>1078</v>
      </c>
      <c r="W1321" s="1386" t="s">
        <v>1818</v>
      </c>
      <c r="X1321" s="1731">
        <v>3000000</v>
      </c>
      <c r="Y1321" s="1367">
        <v>44047</v>
      </c>
      <c r="Z1321" s="1363"/>
      <c r="AA1321" s="1563"/>
      <c r="AB1321" s="1714">
        <v>1000000</v>
      </c>
      <c r="AC1321" s="1367">
        <v>44047</v>
      </c>
      <c r="AD1321" s="1666"/>
      <c r="AE1321" s="1590"/>
      <c r="AF1321" s="1430">
        <v>750000</v>
      </c>
      <c r="AG1321" s="2069">
        <v>42969</v>
      </c>
      <c r="AH1321" s="2070" t="str">
        <f t="shared" si="472"/>
        <v>MPI-S2</v>
      </c>
      <c r="AI1321" s="1678">
        <f t="shared" si="468"/>
        <v>20350000</v>
      </c>
      <c r="AJ1321" s="1679" t="e">
        <f t="shared" si="469"/>
        <v>#VALUE!</v>
      </c>
      <c r="AK1321" s="1419" t="e">
        <f t="shared" si="470"/>
        <v>#VALUE!</v>
      </c>
      <c r="AL1321" s="1420" t="e">
        <f t="shared" si="471"/>
        <v>#VALUE!</v>
      </c>
      <c r="AM1321" s="1410"/>
      <c r="AN1321" s="1411"/>
      <c r="AO1321" s="1410"/>
      <c r="AP1321" s="1411"/>
      <c r="AQ1321" s="1128"/>
      <c r="AR1321" s="1173"/>
      <c r="AT1321" s="1173"/>
      <c r="AV1321" s="1173"/>
      <c r="AX1321" s="1173"/>
      <c r="AY1321" s="1176"/>
      <c r="AZ1321" s="1173"/>
    </row>
    <row r="1322" spans="1:52" s="2" customFormat="1" x14ac:dyDescent="0.25">
      <c r="A1322" s="156">
        <v>1222</v>
      </c>
      <c r="B1322" s="176">
        <v>11</v>
      </c>
      <c r="C1322" s="2014">
        <v>849117011</v>
      </c>
      <c r="D1322" s="575" t="s">
        <v>1822</v>
      </c>
      <c r="E1322" s="576" t="s">
        <v>1070</v>
      </c>
      <c r="F1322" s="611">
        <v>2017</v>
      </c>
      <c r="G1322" s="272" t="s">
        <v>33</v>
      </c>
      <c r="H1322" s="163">
        <f t="shared" si="466"/>
        <v>43944</v>
      </c>
      <c r="I1322" s="163">
        <f t="shared" si="467"/>
        <v>44168</v>
      </c>
      <c r="J1322" s="1364">
        <v>600000</v>
      </c>
      <c r="K1322" s="1365">
        <v>42944</v>
      </c>
      <c r="L1322" s="1364">
        <v>3000000</v>
      </c>
      <c r="M1322" s="1365">
        <v>42944</v>
      </c>
      <c r="N1322" s="2075">
        <v>3000000</v>
      </c>
      <c r="O1322" s="2042">
        <v>43112</v>
      </c>
      <c r="P1322" s="1431">
        <v>3000000</v>
      </c>
      <c r="Q1322" s="1365">
        <v>43293</v>
      </c>
      <c r="R1322" s="1358">
        <v>3000000</v>
      </c>
      <c r="S1322" s="1357">
        <v>43483</v>
      </c>
      <c r="T1322" s="1358">
        <v>3000000</v>
      </c>
      <c r="U1322" s="1357">
        <v>43644</v>
      </c>
      <c r="V1322" s="1874">
        <v>3000000</v>
      </c>
      <c r="W1322" s="1357">
        <v>43861.452280092599</v>
      </c>
      <c r="X1322" s="1714"/>
      <c r="Y1322" s="1391"/>
      <c r="Z1322" s="1363"/>
      <c r="AA1322" s="1563"/>
      <c r="AB1322" s="1385">
        <v>1000000</v>
      </c>
      <c r="AC1322" s="1357">
        <v>43899</v>
      </c>
      <c r="AD1322" s="1809">
        <v>500000</v>
      </c>
      <c r="AE1322" s="1440">
        <v>44049</v>
      </c>
      <c r="AF1322" s="1430">
        <v>750000</v>
      </c>
      <c r="AG1322" s="2069">
        <v>42970</v>
      </c>
      <c r="AH1322" s="2070" t="str">
        <f t="shared" si="472"/>
        <v>MPI-S2</v>
      </c>
      <c r="AI1322" s="1678">
        <f t="shared" si="468"/>
        <v>20850000</v>
      </c>
      <c r="AJ1322" s="1679" t="e">
        <f t="shared" si="469"/>
        <v>#VALUE!</v>
      </c>
      <c r="AK1322" s="1419" t="e">
        <f t="shared" si="470"/>
        <v>#VALUE!</v>
      </c>
      <c r="AL1322" s="1420" t="e">
        <f t="shared" si="471"/>
        <v>#VALUE!</v>
      </c>
      <c r="AM1322" s="1410"/>
      <c r="AN1322" s="1411"/>
      <c r="AO1322" s="1410"/>
      <c r="AP1322" s="1411"/>
      <c r="AQ1322" s="1128"/>
      <c r="AR1322" s="1173"/>
      <c r="AT1322" s="1173"/>
      <c r="AV1322" s="1173"/>
      <c r="AX1322" s="1173"/>
      <c r="AY1322" s="1176"/>
      <c r="AZ1322" s="1173"/>
    </row>
    <row r="1323" spans="1:52" s="2" customFormat="1" x14ac:dyDescent="0.25">
      <c r="A1323" s="164">
        <v>1223</v>
      </c>
      <c r="B1323" s="165">
        <v>12</v>
      </c>
      <c r="C1323" s="660">
        <v>849117012</v>
      </c>
      <c r="D1323" s="571" t="s">
        <v>1823</v>
      </c>
      <c r="E1323" s="572" t="s">
        <v>1070</v>
      </c>
      <c r="F1323" s="612">
        <v>2017</v>
      </c>
      <c r="G1323" s="360" t="s">
        <v>1483</v>
      </c>
      <c r="H1323" s="574" t="str">
        <f t="shared" si="466"/>
        <v xml:space="preserve">   </v>
      </c>
      <c r="I1323" s="574" t="str">
        <f t="shared" si="467"/>
        <v xml:space="preserve">   </v>
      </c>
      <c r="J1323" s="1366">
        <v>600000</v>
      </c>
      <c r="K1323" s="1360">
        <v>42941</v>
      </c>
      <c r="L1323" s="1366">
        <v>3000000</v>
      </c>
      <c r="M1323" s="1360">
        <v>42941</v>
      </c>
      <c r="N1323" s="1363">
        <v>3000000</v>
      </c>
      <c r="O1323" s="1367">
        <v>43116</v>
      </c>
      <c r="P1323" s="1430">
        <v>3000000</v>
      </c>
      <c r="Q1323" s="1360">
        <v>43293</v>
      </c>
      <c r="R1323" s="1363">
        <v>3000000</v>
      </c>
      <c r="S1323" s="1367">
        <v>43483</v>
      </c>
      <c r="T1323" s="1363">
        <v>3000000</v>
      </c>
      <c r="U1323" s="1367">
        <v>43643</v>
      </c>
      <c r="V1323" s="1363">
        <v>3000000</v>
      </c>
      <c r="W1323" s="1367">
        <v>44118</v>
      </c>
      <c r="X1323" s="1363">
        <v>3000000</v>
      </c>
      <c r="Y1323" s="1367">
        <v>44118</v>
      </c>
      <c r="Z1323" s="1363" t="str">
        <f t="shared" ref="Z1323:Z1332" si="473">IFERROR(VLOOKUP(C1323,BSP,3,FALSE),"  ")</f>
        <v xml:space="preserve">  </v>
      </c>
      <c r="AA1323" s="1563" t="str">
        <f t="shared" ref="AA1323:AA1332" si="474">IFERROR((VLOOKUP(C1323,BSP,4,FALSE)),"  ")</f>
        <v xml:space="preserve">  </v>
      </c>
      <c r="AB1323" s="1714">
        <v>1000000</v>
      </c>
      <c r="AC1323" s="1367">
        <v>43826</v>
      </c>
      <c r="AD1323" s="1666"/>
      <c r="AE1323" s="1590"/>
      <c r="AF1323" s="1430">
        <v>750000</v>
      </c>
      <c r="AG1323" s="2069">
        <v>42989</v>
      </c>
      <c r="AH1323" s="2070" t="str">
        <f t="shared" si="472"/>
        <v>MPI-S2</v>
      </c>
      <c r="AI1323" s="1678">
        <f t="shared" si="468"/>
        <v>23350000</v>
      </c>
      <c r="AJ1323" s="1679" t="e">
        <f t="shared" si="469"/>
        <v>#VALUE!</v>
      </c>
      <c r="AK1323" s="1419" t="e">
        <f t="shared" si="470"/>
        <v>#VALUE!</v>
      </c>
      <c r="AL1323" s="1420" t="e">
        <f t="shared" si="471"/>
        <v>#VALUE!</v>
      </c>
      <c r="AM1323" s="1410"/>
      <c r="AN1323" s="1411"/>
      <c r="AO1323" s="1410"/>
      <c r="AP1323" s="1411"/>
      <c r="AQ1323" s="1128"/>
      <c r="AR1323" s="1173"/>
      <c r="AT1323" s="1173"/>
      <c r="AV1323" s="1173"/>
      <c r="AX1323" s="1173"/>
      <c r="AY1323" s="1176"/>
      <c r="AZ1323" s="1173"/>
    </row>
    <row r="1324" spans="1:52" s="2" customFormat="1" x14ac:dyDescent="0.25">
      <c r="A1324" s="164">
        <v>1224</v>
      </c>
      <c r="B1324" s="165">
        <v>13</v>
      </c>
      <c r="C1324" s="660">
        <v>849117013</v>
      </c>
      <c r="D1324" s="571" t="s">
        <v>1824</v>
      </c>
      <c r="E1324" s="572" t="s">
        <v>1070</v>
      </c>
      <c r="F1324" s="612">
        <v>2017</v>
      </c>
      <c r="G1324" s="1758" t="s">
        <v>28</v>
      </c>
      <c r="H1324" s="574" t="str">
        <f t="shared" si="466"/>
        <v xml:space="preserve">   </v>
      </c>
      <c r="I1324" s="574" t="str">
        <f t="shared" si="467"/>
        <v xml:space="preserve">   </v>
      </c>
      <c r="J1324" s="1366">
        <v>600000</v>
      </c>
      <c r="K1324" s="1360">
        <v>42944</v>
      </c>
      <c r="L1324" s="1366">
        <v>3000000</v>
      </c>
      <c r="M1324" s="1360">
        <v>42944</v>
      </c>
      <c r="N1324" s="1363">
        <v>3000000</v>
      </c>
      <c r="O1324" s="1367">
        <v>43116</v>
      </c>
      <c r="P1324" s="1430">
        <v>3000000</v>
      </c>
      <c r="Q1324" s="1367">
        <v>43578</v>
      </c>
      <c r="R1324" s="1363">
        <v>3000000</v>
      </c>
      <c r="S1324" s="1367">
        <v>43671</v>
      </c>
      <c r="T1324" s="1363">
        <v>3000000</v>
      </c>
      <c r="U1324" s="1367">
        <v>43671</v>
      </c>
      <c r="V1324" s="1731">
        <v>0</v>
      </c>
      <c r="W1324" s="1367"/>
      <c r="X1324" s="1731">
        <v>0</v>
      </c>
      <c r="Y1324" s="1367"/>
      <c r="Z1324" s="1363" t="str">
        <f t="shared" si="473"/>
        <v xml:space="preserve">  </v>
      </c>
      <c r="AA1324" s="1563" t="str">
        <f t="shared" si="474"/>
        <v xml:space="preserve">  </v>
      </c>
      <c r="AB1324" s="1714"/>
      <c r="AC1324" s="1367"/>
      <c r="AD1324" s="1666"/>
      <c r="AE1324" s="1590"/>
      <c r="AF1324" s="2061">
        <v>750000</v>
      </c>
      <c r="AG1324" s="2069"/>
      <c r="AH1324" s="2070" t="str">
        <f t="shared" si="472"/>
        <v>MPI-S2</v>
      </c>
      <c r="AI1324" s="1678">
        <f t="shared" si="468"/>
        <v>16350000</v>
      </c>
      <c r="AJ1324" s="1679" t="e">
        <f t="shared" si="469"/>
        <v>#VALUE!</v>
      </c>
      <c r="AK1324" s="1419" t="e">
        <f t="shared" si="470"/>
        <v>#VALUE!</v>
      </c>
      <c r="AL1324" s="1420" t="e">
        <f t="shared" si="471"/>
        <v>#VALUE!</v>
      </c>
      <c r="AM1324" s="1410"/>
      <c r="AN1324" s="1411"/>
      <c r="AO1324" s="1410"/>
      <c r="AP1324" s="1411"/>
      <c r="AQ1324" s="1128"/>
      <c r="AR1324" s="1173"/>
      <c r="AT1324" s="1173"/>
      <c r="AV1324" s="1173"/>
      <c r="AX1324" s="1173"/>
      <c r="AY1324" s="1176"/>
      <c r="AZ1324" s="1173"/>
    </row>
    <row r="1325" spans="1:52" s="2" customFormat="1" x14ac:dyDescent="0.25">
      <c r="A1325" s="156">
        <v>1225</v>
      </c>
      <c r="B1325" s="176">
        <v>14</v>
      </c>
      <c r="C1325" s="2014">
        <v>849117014</v>
      </c>
      <c r="D1325" s="575" t="s">
        <v>1825</v>
      </c>
      <c r="E1325" s="576" t="s">
        <v>1070</v>
      </c>
      <c r="F1325" s="611">
        <v>2017</v>
      </c>
      <c r="G1325" s="272" t="s">
        <v>33</v>
      </c>
      <c r="H1325" s="163">
        <f t="shared" si="466"/>
        <v>43837</v>
      </c>
      <c r="I1325" s="163">
        <f t="shared" si="467"/>
        <v>44058</v>
      </c>
      <c r="J1325" s="1364">
        <v>600000</v>
      </c>
      <c r="K1325" s="1365">
        <v>42944</v>
      </c>
      <c r="L1325" s="1364">
        <v>3000000</v>
      </c>
      <c r="M1325" s="1365">
        <v>42944</v>
      </c>
      <c r="N1325" s="1358">
        <v>3000000</v>
      </c>
      <c r="O1325" s="1357">
        <v>43126</v>
      </c>
      <c r="P1325" s="1431">
        <v>3000000</v>
      </c>
      <c r="Q1325" s="1365">
        <v>43294</v>
      </c>
      <c r="R1325" s="1358">
        <v>3000000</v>
      </c>
      <c r="S1325" s="1357">
        <v>43483</v>
      </c>
      <c r="T1325" s="1358">
        <v>3000000</v>
      </c>
      <c r="U1325" s="1357">
        <v>43644</v>
      </c>
      <c r="V1325" s="1382" t="s">
        <v>1080</v>
      </c>
      <c r="W1325" s="1384"/>
      <c r="X1325" s="1363" t="s">
        <v>783</v>
      </c>
      <c r="Y1325" s="1391" t="s">
        <v>783</v>
      </c>
      <c r="Z1325" s="1363" t="str">
        <f t="shared" si="473"/>
        <v xml:space="preserve">  </v>
      </c>
      <c r="AA1325" s="1563" t="str">
        <f t="shared" si="474"/>
        <v xml:space="preserve">  </v>
      </c>
      <c r="AB1325" s="1385">
        <v>1000000</v>
      </c>
      <c r="AC1325" s="1357">
        <v>43811</v>
      </c>
      <c r="AD1325" s="1809">
        <v>500000</v>
      </c>
      <c r="AE1325" s="1440">
        <v>43867</v>
      </c>
      <c r="AF1325" s="1430">
        <v>750000</v>
      </c>
      <c r="AG1325" s="2069">
        <v>42972</v>
      </c>
      <c r="AH1325" s="2070" t="str">
        <f t="shared" si="472"/>
        <v>MPI-S2</v>
      </c>
      <c r="AI1325" s="1678">
        <f t="shared" si="468"/>
        <v>17850000</v>
      </c>
      <c r="AJ1325" s="1679" t="e">
        <f t="shared" si="469"/>
        <v>#VALUE!</v>
      </c>
      <c r="AK1325" s="1419" t="e">
        <f t="shared" si="470"/>
        <v>#VALUE!</v>
      </c>
      <c r="AL1325" s="1420" t="e">
        <f t="shared" si="471"/>
        <v>#VALUE!</v>
      </c>
      <c r="AM1325" s="1410"/>
      <c r="AN1325" s="1411"/>
      <c r="AO1325" s="1410"/>
      <c r="AP1325" s="1411"/>
      <c r="AQ1325" s="1128"/>
      <c r="AR1325" s="1173"/>
      <c r="AT1325" s="1173"/>
      <c r="AV1325" s="1173"/>
      <c r="AX1325" s="1173"/>
      <c r="AY1325" s="1176"/>
      <c r="AZ1325" s="1173"/>
    </row>
    <row r="1326" spans="1:52" s="2" customFormat="1" x14ac:dyDescent="0.25">
      <c r="A1326" s="164">
        <v>1226</v>
      </c>
      <c r="B1326" s="165">
        <v>15</v>
      </c>
      <c r="C1326" s="660">
        <v>849117015</v>
      </c>
      <c r="D1326" s="571" t="s">
        <v>1826</v>
      </c>
      <c r="E1326" s="572" t="s">
        <v>1070</v>
      </c>
      <c r="F1326" s="612">
        <v>2017</v>
      </c>
      <c r="G1326" s="1758" t="s">
        <v>28</v>
      </c>
      <c r="H1326" s="574" t="str">
        <f t="shared" si="466"/>
        <v xml:space="preserve">   </v>
      </c>
      <c r="I1326" s="574" t="str">
        <f t="shared" si="467"/>
        <v xml:space="preserve">   </v>
      </c>
      <c r="J1326" s="1366">
        <v>600000</v>
      </c>
      <c r="K1326" s="1360">
        <v>42942</v>
      </c>
      <c r="L1326" s="1366">
        <v>3000000</v>
      </c>
      <c r="M1326" s="1360">
        <v>42942</v>
      </c>
      <c r="N1326" s="2076">
        <v>3000000</v>
      </c>
      <c r="O1326" s="2040">
        <v>43112</v>
      </c>
      <c r="P1326" s="1430">
        <v>3000000</v>
      </c>
      <c r="Q1326" s="1360">
        <v>43292</v>
      </c>
      <c r="R1326" s="1363">
        <v>3000000</v>
      </c>
      <c r="S1326" s="1367">
        <v>43483</v>
      </c>
      <c r="T1326" s="1363">
        <v>0</v>
      </c>
      <c r="U1326" s="1367"/>
      <c r="V1326" s="1731">
        <v>0</v>
      </c>
      <c r="W1326" s="1367"/>
      <c r="X1326" s="1731">
        <v>0</v>
      </c>
      <c r="Y1326" s="1367"/>
      <c r="Z1326" s="1363" t="str">
        <f t="shared" si="473"/>
        <v xml:space="preserve">  </v>
      </c>
      <c r="AA1326" s="1563" t="str">
        <f t="shared" si="474"/>
        <v xml:space="preserve">  </v>
      </c>
      <c r="AB1326" s="1714"/>
      <c r="AC1326" s="1367"/>
      <c r="AD1326" s="1666"/>
      <c r="AE1326" s="1590"/>
      <c r="AF1326" s="1430">
        <v>750000</v>
      </c>
      <c r="AG1326" s="2069">
        <v>42972</v>
      </c>
      <c r="AH1326" s="2070" t="str">
        <f t="shared" si="472"/>
        <v>MPI-S2</v>
      </c>
      <c r="AI1326" s="1678">
        <f t="shared" si="468"/>
        <v>13350000</v>
      </c>
      <c r="AJ1326" s="1679" t="e">
        <f t="shared" si="469"/>
        <v>#VALUE!</v>
      </c>
      <c r="AK1326" s="1419" t="e">
        <f t="shared" si="470"/>
        <v>#VALUE!</v>
      </c>
      <c r="AL1326" s="1420" t="e">
        <f t="shared" si="471"/>
        <v>#VALUE!</v>
      </c>
      <c r="AM1326" s="1410"/>
      <c r="AN1326" s="1411"/>
      <c r="AO1326" s="1410"/>
      <c r="AP1326" s="1411"/>
      <c r="AQ1326" s="1128"/>
      <c r="AR1326" s="1173"/>
      <c r="AT1326" s="1173"/>
      <c r="AV1326" s="1173"/>
      <c r="AX1326" s="1173"/>
      <c r="AY1326" s="1176"/>
      <c r="AZ1326" s="1173"/>
    </row>
    <row r="1327" spans="1:52" s="2" customFormat="1" x14ac:dyDescent="0.25">
      <c r="A1327" s="156">
        <v>1227</v>
      </c>
      <c r="B1327" s="176">
        <v>16</v>
      </c>
      <c r="C1327" s="2014">
        <v>849117016</v>
      </c>
      <c r="D1327" s="575" t="s">
        <v>1827</v>
      </c>
      <c r="E1327" s="576" t="s">
        <v>1070</v>
      </c>
      <c r="F1327" s="611">
        <v>2017</v>
      </c>
      <c r="G1327" s="272" t="s">
        <v>33</v>
      </c>
      <c r="H1327" s="163">
        <f t="shared" si="466"/>
        <v>43592</v>
      </c>
      <c r="I1327" s="163">
        <f t="shared" si="467"/>
        <v>43705</v>
      </c>
      <c r="J1327" s="1364">
        <v>600000</v>
      </c>
      <c r="K1327" s="1365">
        <v>42940</v>
      </c>
      <c r="L1327" s="1431">
        <v>3000000</v>
      </c>
      <c r="M1327" s="1365">
        <v>42940</v>
      </c>
      <c r="N1327" s="2075">
        <v>3000000</v>
      </c>
      <c r="O1327" s="2042">
        <v>43115</v>
      </c>
      <c r="P1327" s="1431">
        <v>3000000</v>
      </c>
      <c r="Q1327" s="1365">
        <v>43293</v>
      </c>
      <c r="R1327" s="1358">
        <v>3000000</v>
      </c>
      <c r="S1327" s="1357">
        <v>43483</v>
      </c>
      <c r="T1327" s="1382" t="s">
        <v>1080</v>
      </c>
      <c r="U1327" s="1384"/>
      <c r="V1327" s="1363" t="s">
        <v>783</v>
      </c>
      <c r="W1327" s="1391" t="s">
        <v>783</v>
      </c>
      <c r="X1327" s="1363"/>
      <c r="Y1327" s="1391"/>
      <c r="Z1327" s="1363" t="str">
        <f t="shared" si="473"/>
        <v xml:space="preserve">  </v>
      </c>
      <c r="AA1327" s="1563" t="str">
        <f t="shared" si="474"/>
        <v xml:space="preserve">  </v>
      </c>
      <c r="AB1327" s="1385">
        <v>1000000</v>
      </c>
      <c r="AC1327" s="1357">
        <v>43570</v>
      </c>
      <c r="AD1327" s="1666"/>
      <c r="AE1327" s="1590"/>
      <c r="AF1327" s="1430">
        <v>500000</v>
      </c>
      <c r="AG1327" s="2069">
        <v>42971</v>
      </c>
      <c r="AH1327" s="2070" t="str">
        <f t="shared" si="472"/>
        <v>MPI-S2</v>
      </c>
      <c r="AI1327" s="1678">
        <f t="shared" si="468"/>
        <v>14100000</v>
      </c>
      <c r="AJ1327" s="1679" t="e">
        <f t="shared" si="469"/>
        <v>#VALUE!</v>
      </c>
      <c r="AK1327" s="1419" t="e">
        <f t="shared" si="470"/>
        <v>#VALUE!</v>
      </c>
      <c r="AL1327" s="1420" t="e">
        <f t="shared" si="471"/>
        <v>#VALUE!</v>
      </c>
      <c r="AM1327" s="1410"/>
      <c r="AN1327" s="1411"/>
      <c r="AO1327" s="1410"/>
      <c r="AP1327" s="1411"/>
      <c r="AQ1327" s="1128"/>
      <c r="AR1327" s="1173"/>
      <c r="AT1327" s="1173"/>
      <c r="AV1327" s="1173"/>
      <c r="AX1327" s="1173"/>
      <c r="AY1327" s="1176"/>
      <c r="AZ1327" s="1173"/>
    </row>
    <row r="1328" spans="1:52" s="2" customFormat="1" x14ac:dyDescent="0.25">
      <c r="A1328" s="156">
        <v>1228</v>
      </c>
      <c r="B1328" s="176">
        <v>17</v>
      </c>
      <c r="C1328" s="2014">
        <v>849117017</v>
      </c>
      <c r="D1328" s="575" t="s">
        <v>1828</v>
      </c>
      <c r="E1328" s="576" t="s">
        <v>1070</v>
      </c>
      <c r="F1328" s="611">
        <v>2017</v>
      </c>
      <c r="G1328" s="272" t="s">
        <v>33</v>
      </c>
      <c r="H1328" s="163">
        <f t="shared" si="466"/>
        <v>43852</v>
      </c>
      <c r="I1328" s="163">
        <f t="shared" si="467"/>
        <v>44058</v>
      </c>
      <c r="J1328" s="1364">
        <v>600000</v>
      </c>
      <c r="K1328" s="1365">
        <v>42940</v>
      </c>
      <c r="L1328" s="1364">
        <v>3000000</v>
      </c>
      <c r="M1328" s="1365">
        <v>42940</v>
      </c>
      <c r="N1328" s="2075">
        <v>3000000</v>
      </c>
      <c r="O1328" s="2042">
        <v>43112</v>
      </c>
      <c r="P1328" s="1431">
        <v>3000000</v>
      </c>
      <c r="Q1328" s="1365">
        <v>43290</v>
      </c>
      <c r="R1328" s="1358">
        <v>3000000</v>
      </c>
      <c r="S1328" s="1357">
        <v>43482</v>
      </c>
      <c r="T1328" s="1358">
        <v>3000000</v>
      </c>
      <c r="U1328" s="1357">
        <v>43644</v>
      </c>
      <c r="V1328" s="1874">
        <v>3000000</v>
      </c>
      <c r="W1328" s="1357">
        <v>43852</v>
      </c>
      <c r="X1328" s="1363"/>
      <c r="Y1328" s="1391"/>
      <c r="Z1328" s="1363" t="str">
        <f t="shared" si="473"/>
        <v xml:space="preserve">  </v>
      </c>
      <c r="AA1328" s="1563" t="str">
        <f t="shared" si="474"/>
        <v xml:space="preserve">  </v>
      </c>
      <c r="AB1328" s="1385">
        <v>1000000</v>
      </c>
      <c r="AC1328" s="1357">
        <v>43829</v>
      </c>
      <c r="AD1328" s="1809">
        <v>500000</v>
      </c>
      <c r="AE1328" s="1440">
        <v>43860</v>
      </c>
      <c r="AF1328" s="1430">
        <v>750000</v>
      </c>
      <c r="AG1328" s="2069">
        <v>42970</v>
      </c>
      <c r="AH1328" s="2070" t="str">
        <f t="shared" si="472"/>
        <v>MPI-S2</v>
      </c>
      <c r="AI1328" s="1678">
        <f t="shared" si="468"/>
        <v>20850000</v>
      </c>
      <c r="AJ1328" s="1679" t="e">
        <f t="shared" si="469"/>
        <v>#VALUE!</v>
      </c>
      <c r="AK1328" s="1419" t="e">
        <f t="shared" si="470"/>
        <v>#VALUE!</v>
      </c>
      <c r="AL1328" s="1420" t="e">
        <f t="shared" si="471"/>
        <v>#VALUE!</v>
      </c>
      <c r="AM1328" s="1410"/>
      <c r="AN1328" s="1411"/>
      <c r="AO1328" s="1410"/>
      <c r="AP1328" s="1411"/>
      <c r="AQ1328" s="1128"/>
      <c r="AR1328" s="1173"/>
      <c r="AT1328" s="1173"/>
      <c r="AV1328" s="1173"/>
      <c r="AX1328" s="1173"/>
      <c r="AY1328" s="1176"/>
      <c r="AZ1328" s="1173"/>
    </row>
    <row r="1329" spans="1:52" s="2" customFormat="1" x14ac:dyDescent="0.25">
      <c r="A1329" s="156">
        <v>1229</v>
      </c>
      <c r="B1329" s="176">
        <v>18</v>
      </c>
      <c r="C1329" s="660">
        <v>849117018</v>
      </c>
      <c r="D1329" s="575" t="s">
        <v>1829</v>
      </c>
      <c r="E1329" s="576" t="s">
        <v>1070</v>
      </c>
      <c r="F1329" s="611">
        <v>2017</v>
      </c>
      <c r="G1329" s="272" t="s">
        <v>33</v>
      </c>
      <c r="H1329" s="163">
        <f t="shared" si="466"/>
        <v>44025</v>
      </c>
      <c r="I1329" s="574">
        <f t="shared" si="467"/>
        <v>44186</v>
      </c>
      <c r="J1329" s="1366">
        <v>600000</v>
      </c>
      <c r="K1329" s="1360">
        <v>42941</v>
      </c>
      <c r="L1329" s="1366">
        <v>3000000</v>
      </c>
      <c r="M1329" s="1360">
        <v>42941</v>
      </c>
      <c r="N1329" s="2076">
        <v>3000000</v>
      </c>
      <c r="O1329" s="2040">
        <v>43111</v>
      </c>
      <c r="P1329" s="1430">
        <v>3000000</v>
      </c>
      <c r="Q1329" s="1360">
        <v>43290</v>
      </c>
      <c r="R1329" s="1363">
        <v>3000000</v>
      </c>
      <c r="S1329" s="1367">
        <v>43482</v>
      </c>
      <c r="T1329" s="1363">
        <v>3000000</v>
      </c>
      <c r="U1329" s="1367">
        <v>43644</v>
      </c>
      <c r="V1329" s="1731">
        <v>3000000</v>
      </c>
      <c r="W1329" s="1367">
        <v>43858</v>
      </c>
      <c r="X1329" s="1731">
        <v>0</v>
      </c>
      <c r="Y1329" s="1367"/>
      <c r="Z1329" s="1363" t="str">
        <f t="shared" si="473"/>
        <v xml:space="preserve">  </v>
      </c>
      <c r="AA1329" s="1563" t="str">
        <f t="shared" si="474"/>
        <v xml:space="preserve">  </v>
      </c>
      <c r="AB1329" s="1385">
        <v>1000000</v>
      </c>
      <c r="AC1329" s="1357">
        <v>43644</v>
      </c>
      <c r="AD1329" s="1809">
        <v>500000</v>
      </c>
      <c r="AE1329" s="1440">
        <v>44077</v>
      </c>
      <c r="AF1329" s="1430">
        <v>750000</v>
      </c>
      <c r="AG1329" s="2069">
        <v>42968</v>
      </c>
      <c r="AH1329" s="2070" t="str">
        <f t="shared" si="472"/>
        <v>MPI-S2</v>
      </c>
      <c r="AI1329" s="1678">
        <f t="shared" si="468"/>
        <v>20850000</v>
      </c>
      <c r="AJ1329" s="1679" t="e">
        <f t="shared" si="469"/>
        <v>#VALUE!</v>
      </c>
      <c r="AK1329" s="1419" t="e">
        <f t="shared" si="470"/>
        <v>#VALUE!</v>
      </c>
      <c r="AL1329" s="1420" t="e">
        <f t="shared" si="471"/>
        <v>#VALUE!</v>
      </c>
      <c r="AM1329" s="1410"/>
      <c r="AN1329" s="1411"/>
      <c r="AO1329" s="1410"/>
      <c r="AP1329" s="1411"/>
      <c r="AQ1329" s="1128"/>
      <c r="AR1329" s="1173"/>
      <c r="AT1329" s="1173"/>
      <c r="AV1329" s="1173"/>
      <c r="AX1329" s="1173"/>
      <c r="AY1329" s="1176"/>
      <c r="AZ1329" s="1173"/>
    </row>
    <row r="1330" spans="1:52" s="2" customFormat="1" x14ac:dyDescent="0.25">
      <c r="A1330" s="164">
        <v>1230</v>
      </c>
      <c r="B1330" s="165">
        <v>19</v>
      </c>
      <c r="C1330" s="660">
        <v>849117019</v>
      </c>
      <c r="D1330" s="571" t="s">
        <v>1830</v>
      </c>
      <c r="E1330" s="572" t="s">
        <v>1070</v>
      </c>
      <c r="F1330" s="612">
        <v>2017</v>
      </c>
      <c r="G1330" s="1758" t="s">
        <v>1483</v>
      </c>
      <c r="H1330" s="574" t="str">
        <f t="shared" si="466"/>
        <v xml:space="preserve">   </v>
      </c>
      <c r="I1330" s="574" t="str">
        <f t="shared" si="467"/>
        <v xml:space="preserve">   </v>
      </c>
      <c r="J1330" s="1366">
        <v>600000</v>
      </c>
      <c r="K1330" s="1360">
        <v>42942</v>
      </c>
      <c r="L1330" s="1430">
        <v>3000000</v>
      </c>
      <c r="M1330" s="1360">
        <v>42942</v>
      </c>
      <c r="N1330" s="1363">
        <v>3000000</v>
      </c>
      <c r="O1330" s="1367">
        <v>43115</v>
      </c>
      <c r="P1330" s="1430">
        <v>3000000</v>
      </c>
      <c r="Q1330" s="1360">
        <v>43293</v>
      </c>
      <c r="R1330" s="1363">
        <v>3000000</v>
      </c>
      <c r="S1330" s="1367">
        <v>43481</v>
      </c>
      <c r="T1330" s="1363">
        <v>3000000</v>
      </c>
      <c r="U1330" s="1367">
        <v>43640</v>
      </c>
      <c r="V1330" s="1731">
        <v>3000000</v>
      </c>
      <c r="W1330" s="1367">
        <v>43860.542569444398</v>
      </c>
      <c r="X1330" s="1731">
        <v>3000000</v>
      </c>
      <c r="Y1330" s="1367">
        <v>44167</v>
      </c>
      <c r="Z1330" s="1363" t="str">
        <f t="shared" si="473"/>
        <v xml:space="preserve">  </v>
      </c>
      <c r="AA1330" s="1563" t="str">
        <f t="shared" si="474"/>
        <v xml:space="preserve">  </v>
      </c>
      <c r="AB1330" s="1714"/>
      <c r="AC1330" s="1367"/>
      <c r="AD1330" s="1666"/>
      <c r="AE1330" s="1590"/>
      <c r="AF1330" s="1430">
        <v>750000</v>
      </c>
      <c r="AG1330" s="2069">
        <v>42972</v>
      </c>
      <c r="AH1330" s="2070" t="str">
        <f t="shared" si="472"/>
        <v>MPI-S2</v>
      </c>
      <c r="AI1330" s="1678">
        <f t="shared" si="468"/>
        <v>22350000</v>
      </c>
      <c r="AJ1330" s="1679" t="e">
        <f t="shared" si="469"/>
        <v>#VALUE!</v>
      </c>
      <c r="AK1330" s="1419" t="e">
        <f t="shared" si="470"/>
        <v>#VALUE!</v>
      </c>
      <c r="AL1330" s="1420" t="e">
        <f t="shared" si="471"/>
        <v>#VALUE!</v>
      </c>
      <c r="AM1330" s="1410"/>
      <c r="AN1330" s="1411"/>
      <c r="AO1330" s="1410"/>
      <c r="AP1330" s="1411"/>
      <c r="AQ1330" s="1128"/>
      <c r="AR1330" s="1173"/>
      <c r="AT1330" s="1173"/>
      <c r="AV1330" s="1173"/>
      <c r="AX1330" s="1173"/>
      <c r="AY1330" s="1176"/>
      <c r="AZ1330" s="1173"/>
    </row>
    <row r="1331" spans="1:52" s="2" customFormat="1" x14ac:dyDescent="0.25">
      <c r="A1331" s="164">
        <v>1231</v>
      </c>
      <c r="B1331" s="165">
        <v>20</v>
      </c>
      <c r="C1331" s="660">
        <v>849117020</v>
      </c>
      <c r="D1331" s="571" t="s">
        <v>1831</v>
      </c>
      <c r="E1331" s="572" t="s">
        <v>1070</v>
      </c>
      <c r="F1331" s="612">
        <v>2017</v>
      </c>
      <c r="G1331" s="1758" t="s">
        <v>28</v>
      </c>
      <c r="H1331" s="574" t="str">
        <f t="shared" si="466"/>
        <v xml:space="preserve">   </v>
      </c>
      <c r="I1331" s="574" t="str">
        <f t="shared" si="467"/>
        <v xml:space="preserve">   </v>
      </c>
      <c r="J1331" s="1366">
        <v>600000</v>
      </c>
      <c r="K1331" s="1360">
        <v>42943</v>
      </c>
      <c r="L1331" s="1366">
        <v>3000000</v>
      </c>
      <c r="M1331" s="1360">
        <v>42943</v>
      </c>
      <c r="N1331" s="1363">
        <v>3000000</v>
      </c>
      <c r="O1331" s="1367">
        <v>43115</v>
      </c>
      <c r="P1331" s="1430">
        <v>3000000</v>
      </c>
      <c r="Q1331" s="1360">
        <v>43292</v>
      </c>
      <c r="R1331" s="1363">
        <v>3000000</v>
      </c>
      <c r="S1331" s="1367">
        <v>43483</v>
      </c>
      <c r="T1331" s="1363">
        <v>3000000</v>
      </c>
      <c r="U1331" s="1367">
        <v>43669</v>
      </c>
      <c r="V1331" s="1731">
        <v>3000000</v>
      </c>
      <c r="W1331" s="1367">
        <v>43879</v>
      </c>
      <c r="X1331" s="1731">
        <v>0</v>
      </c>
      <c r="Y1331" s="1367"/>
      <c r="Z1331" s="1363" t="str">
        <f t="shared" si="473"/>
        <v xml:space="preserve">  </v>
      </c>
      <c r="AA1331" s="1563" t="str">
        <f t="shared" si="474"/>
        <v xml:space="preserve">  </v>
      </c>
      <c r="AB1331" s="1714"/>
      <c r="AC1331" s="1367"/>
      <c r="AD1331" s="1666"/>
      <c r="AE1331" s="1590"/>
      <c r="AF1331" s="1430">
        <v>750000</v>
      </c>
      <c r="AG1331" s="2069">
        <v>42972</v>
      </c>
      <c r="AH1331" s="2070" t="str">
        <f t="shared" si="472"/>
        <v>MPI-S2</v>
      </c>
      <c r="AI1331" s="1678">
        <f t="shared" si="468"/>
        <v>19350000</v>
      </c>
      <c r="AJ1331" s="1679" t="e">
        <f t="shared" si="469"/>
        <v>#VALUE!</v>
      </c>
      <c r="AK1331" s="1419" t="e">
        <f t="shared" si="470"/>
        <v>#VALUE!</v>
      </c>
      <c r="AL1331" s="1420" t="e">
        <f t="shared" si="471"/>
        <v>#VALUE!</v>
      </c>
      <c r="AM1331" s="1410"/>
      <c r="AN1331" s="1411"/>
      <c r="AO1331" s="1410"/>
      <c r="AP1331" s="1411"/>
      <c r="AQ1331" s="1128"/>
      <c r="AR1331" s="1173"/>
      <c r="AT1331" s="1173"/>
      <c r="AV1331" s="1173"/>
      <c r="AX1331" s="1173"/>
      <c r="AY1331" s="1176"/>
      <c r="AZ1331" s="1173"/>
    </row>
    <row r="1332" spans="1:52" s="2" customFormat="1" x14ac:dyDescent="0.25">
      <c r="A1332" s="164">
        <v>1232</v>
      </c>
      <c r="B1332" s="165">
        <v>21</v>
      </c>
      <c r="C1332" s="660">
        <v>849117021</v>
      </c>
      <c r="D1332" s="571" t="s">
        <v>1832</v>
      </c>
      <c r="E1332" s="578" t="s">
        <v>1070</v>
      </c>
      <c r="F1332" s="614">
        <v>2017</v>
      </c>
      <c r="G1332" s="581" t="s">
        <v>1833</v>
      </c>
      <c r="H1332" s="574" t="str">
        <f t="shared" si="466"/>
        <v xml:space="preserve">   </v>
      </c>
      <c r="I1332" s="574" t="str">
        <f t="shared" si="467"/>
        <v xml:space="preserve">   </v>
      </c>
      <c r="J1332" s="1366">
        <v>600000</v>
      </c>
      <c r="K1332" s="1360">
        <v>42943</v>
      </c>
      <c r="L1332" s="1366">
        <v>3000000</v>
      </c>
      <c r="M1332" s="1360">
        <v>42943</v>
      </c>
      <c r="N1332" s="1363">
        <v>3000000</v>
      </c>
      <c r="O1332" s="1367">
        <v>43112</v>
      </c>
      <c r="P1332" s="1430">
        <v>3000000</v>
      </c>
      <c r="Q1332" s="1360">
        <v>43293</v>
      </c>
      <c r="R1332" s="1363">
        <v>3000000</v>
      </c>
      <c r="S1332" s="1367">
        <v>43482</v>
      </c>
      <c r="T1332" s="1982" t="s">
        <v>1131</v>
      </c>
      <c r="U1332" s="1386">
        <v>43628</v>
      </c>
      <c r="V1332" s="1731">
        <v>3000000</v>
      </c>
      <c r="W1332" s="1367">
        <v>43860.395937499998</v>
      </c>
      <c r="X1332" s="1186" t="s">
        <v>1078</v>
      </c>
      <c r="Y1332" s="1386">
        <v>44071</v>
      </c>
      <c r="Z1332" s="1363" t="str">
        <f t="shared" si="473"/>
        <v xml:space="preserve">  </v>
      </c>
      <c r="AA1332" s="1563" t="str">
        <f t="shared" si="474"/>
        <v xml:space="preserve">  </v>
      </c>
      <c r="AB1332" s="1714"/>
      <c r="AC1332" s="1367"/>
      <c r="AD1332" s="1666"/>
      <c r="AE1332" s="1590"/>
      <c r="AF1332" s="2061">
        <v>750000</v>
      </c>
      <c r="AG1332" s="2069"/>
      <c r="AH1332" s="2070" t="str">
        <f t="shared" si="472"/>
        <v>MPI-S2</v>
      </c>
      <c r="AI1332" s="1678">
        <f t="shared" si="468"/>
        <v>16350000</v>
      </c>
      <c r="AJ1332" s="1679" t="e">
        <f t="shared" si="469"/>
        <v>#VALUE!</v>
      </c>
      <c r="AK1332" s="1419" t="e">
        <f t="shared" si="470"/>
        <v>#VALUE!</v>
      </c>
      <c r="AL1332" s="1420" t="e">
        <f t="shared" si="471"/>
        <v>#VALUE!</v>
      </c>
      <c r="AM1332" s="1410"/>
      <c r="AN1332" s="1411"/>
      <c r="AO1332" s="1410"/>
      <c r="AP1332" s="1411"/>
      <c r="AQ1332" s="1128"/>
      <c r="AR1332" s="1173"/>
      <c r="AT1332" s="1173"/>
      <c r="AV1332" s="1173"/>
      <c r="AX1332" s="1173"/>
      <c r="AY1332" s="1176"/>
      <c r="AZ1332" s="1173"/>
    </row>
    <row r="1333" spans="1:52" s="2" customFormat="1" x14ac:dyDescent="0.25">
      <c r="A1333" s="164">
        <v>1233</v>
      </c>
      <c r="B1333" s="165">
        <v>22</v>
      </c>
      <c r="C1333" s="660">
        <v>849117022</v>
      </c>
      <c r="D1333" s="571" t="s">
        <v>1834</v>
      </c>
      <c r="E1333" s="578" t="s">
        <v>1070</v>
      </c>
      <c r="F1333" s="614">
        <v>2017</v>
      </c>
      <c r="G1333" s="360" t="s">
        <v>1483</v>
      </c>
      <c r="H1333" s="574" t="str">
        <f t="shared" si="466"/>
        <v xml:space="preserve">   </v>
      </c>
      <c r="I1333" s="574" t="str">
        <f t="shared" si="467"/>
        <v xml:space="preserve">   </v>
      </c>
      <c r="J1333" s="1366">
        <v>600000</v>
      </c>
      <c r="K1333" s="1360">
        <v>42937</v>
      </c>
      <c r="L1333" s="1366">
        <v>3000000</v>
      </c>
      <c r="M1333" s="1360">
        <v>42937</v>
      </c>
      <c r="N1333" s="2076">
        <v>3000000</v>
      </c>
      <c r="O1333" s="2040">
        <v>43112</v>
      </c>
      <c r="P1333" s="1430">
        <v>3000000</v>
      </c>
      <c r="Q1333" s="1360">
        <v>43292</v>
      </c>
      <c r="R1333" s="1363">
        <v>3000000</v>
      </c>
      <c r="S1333" s="1367">
        <v>43483</v>
      </c>
      <c r="T1333" s="1363">
        <v>3000000</v>
      </c>
      <c r="U1333" s="1590">
        <v>43640</v>
      </c>
      <c r="V1333" s="1982" t="s">
        <v>1131</v>
      </c>
      <c r="W1333" s="1386">
        <v>43861</v>
      </c>
      <c r="X1333" s="1363">
        <v>3000000</v>
      </c>
      <c r="Y1333" s="1367">
        <v>44039</v>
      </c>
      <c r="Z1333" s="1363"/>
      <c r="AA1333" s="1563"/>
      <c r="AB1333" s="1714"/>
      <c r="AC1333" s="1367"/>
      <c r="AD1333" s="1666"/>
      <c r="AE1333" s="1590"/>
      <c r="AF1333" s="1430">
        <v>750000</v>
      </c>
      <c r="AG1333" s="2069">
        <v>42972</v>
      </c>
      <c r="AH1333" s="2070" t="str">
        <f t="shared" si="472"/>
        <v>MPI-S2</v>
      </c>
      <c r="AI1333" s="1678">
        <f t="shared" si="468"/>
        <v>19350000</v>
      </c>
      <c r="AJ1333" s="1679" t="e">
        <f t="shared" si="469"/>
        <v>#VALUE!</v>
      </c>
      <c r="AK1333" s="1419" t="e">
        <f t="shared" si="470"/>
        <v>#VALUE!</v>
      </c>
      <c r="AL1333" s="1420" t="e">
        <f t="shared" si="471"/>
        <v>#VALUE!</v>
      </c>
      <c r="AM1333" s="1410"/>
      <c r="AN1333" s="1411"/>
      <c r="AO1333" s="1410"/>
      <c r="AP1333" s="1411"/>
      <c r="AQ1333" s="1128"/>
      <c r="AR1333" s="1173"/>
      <c r="AT1333" s="1173"/>
      <c r="AV1333" s="1173"/>
      <c r="AX1333" s="1173"/>
      <c r="AY1333" s="1176"/>
      <c r="AZ1333" s="1173"/>
    </row>
    <row r="1334" spans="1:52" s="2" customFormat="1" x14ac:dyDescent="0.25">
      <c r="A1334" s="156">
        <v>1234</v>
      </c>
      <c r="B1334" s="176">
        <v>23</v>
      </c>
      <c r="C1334" s="2014">
        <v>849117023</v>
      </c>
      <c r="D1334" s="575" t="s">
        <v>1835</v>
      </c>
      <c r="E1334" s="593" t="s">
        <v>1070</v>
      </c>
      <c r="F1334" s="613">
        <v>2017</v>
      </c>
      <c r="G1334" s="272" t="s">
        <v>33</v>
      </c>
      <c r="H1334" s="163">
        <f t="shared" si="466"/>
        <v>44070</v>
      </c>
      <c r="I1334" s="163">
        <f t="shared" si="467"/>
        <v>44168</v>
      </c>
      <c r="J1334" s="1364">
        <v>600000</v>
      </c>
      <c r="K1334" s="1365">
        <v>42940</v>
      </c>
      <c r="L1334" s="1431">
        <v>3000000</v>
      </c>
      <c r="M1334" s="1365">
        <v>42940</v>
      </c>
      <c r="N1334" s="1358">
        <v>3000000</v>
      </c>
      <c r="O1334" s="1357">
        <v>43115</v>
      </c>
      <c r="P1334" s="1431">
        <v>3000000</v>
      </c>
      <c r="Q1334" s="1365">
        <v>43290</v>
      </c>
      <c r="R1334" s="1358">
        <v>3000000</v>
      </c>
      <c r="S1334" s="1357">
        <v>43483</v>
      </c>
      <c r="T1334" s="1358">
        <v>3000000</v>
      </c>
      <c r="U1334" s="1357">
        <v>43644</v>
      </c>
      <c r="V1334" s="1874">
        <v>3000000</v>
      </c>
      <c r="W1334" s="1357">
        <v>43860.454097222202</v>
      </c>
      <c r="X1334" s="1714"/>
      <c r="Y1334" s="1391"/>
      <c r="Z1334" s="1363"/>
      <c r="AA1334" s="1563"/>
      <c r="AB1334" s="1385">
        <v>1000000</v>
      </c>
      <c r="AC1334" s="1357">
        <v>44012</v>
      </c>
      <c r="AD1334" s="1809">
        <v>500000</v>
      </c>
      <c r="AE1334" s="1440">
        <v>44050</v>
      </c>
      <c r="AF1334" s="1430">
        <v>750000</v>
      </c>
      <c r="AG1334" s="2069">
        <v>42971</v>
      </c>
      <c r="AH1334" s="2070" t="str">
        <f t="shared" si="472"/>
        <v>MPI-S2</v>
      </c>
      <c r="AI1334" s="1678">
        <f t="shared" si="468"/>
        <v>20850000</v>
      </c>
      <c r="AJ1334" s="1679" t="e">
        <f t="shared" si="469"/>
        <v>#VALUE!</v>
      </c>
      <c r="AK1334" s="1419" t="e">
        <f t="shared" si="470"/>
        <v>#VALUE!</v>
      </c>
      <c r="AL1334" s="1420" t="e">
        <f t="shared" si="471"/>
        <v>#VALUE!</v>
      </c>
      <c r="AM1334" s="1410"/>
      <c r="AN1334" s="1411"/>
      <c r="AO1334" s="1410"/>
      <c r="AP1334" s="1411"/>
      <c r="AQ1334" s="1128"/>
      <c r="AR1334" s="1173"/>
      <c r="AT1334" s="1173"/>
      <c r="AV1334" s="1173"/>
      <c r="AX1334" s="1173"/>
      <c r="AY1334" s="1176"/>
      <c r="AZ1334" s="1173"/>
    </row>
    <row r="1335" spans="1:52" s="2" customFormat="1" x14ac:dyDescent="0.25">
      <c r="A1335" s="156">
        <v>1235</v>
      </c>
      <c r="B1335" s="176">
        <v>24</v>
      </c>
      <c r="C1335" s="2014">
        <v>849117024</v>
      </c>
      <c r="D1335" s="575" t="s">
        <v>1836</v>
      </c>
      <c r="E1335" s="593" t="s">
        <v>1070</v>
      </c>
      <c r="F1335" s="613">
        <v>2017</v>
      </c>
      <c r="G1335" s="272" t="s">
        <v>33</v>
      </c>
      <c r="H1335" s="163">
        <f t="shared" si="466"/>
        <v>43847</v>
      </c>
      <c r="I1335" s="163">
        <f t="shared" si="467"/>
        <v>44058</v>
      </c>
      <c r="J1335" s="1364">
        <v>600000</v>
      </c>
      <c r="K1335" s="1365">
        <v>42940</v>
      </c>
      <c r="L1335" s="1431">
        <v>3000000</v>
      </c>
      <c r="M1335" s="1365">
        <v>42940</v>
      </c>
      <c r="N1335" s="2075">
        <v>3000000</v>
      </c>
      <c r="O1335" s="2042">
        <v>43115</v>
      </c>
      <c r="P1335" s="1431">
        <v>3000000</v>
      </c>
      <c r="Q1335" s="2078" t="s">
        <v>1837</v>
      </c>
      <c r="R1335" s="1358">
        <v>3000000</v>
      </c>
      <c r="S1335" s="1357">
        <v>43482</v>
      </c>
      <c r="T1335" s="1358">
        <v>3000000</v>
      </c>
      <c r="U1335" s="1357">
        <v>43644</v>
      </c>
      <c r="V1335" s="1382" t="s">
        <v>1080</v>
      </c>
      <c r="W1335" s="1384"/>
      <c r="X1335" s="1363" t="s">
        <v>783</v>
      </c>
      <c r="Y1335" s="1391" t="s">
        <v>783</v>
      </c>
      <c r="Z1335" s="1363" t="str">
        <f t="shared" ref="Z1335:Z1341" si="475">IFERROR(VLOOKUP(C1335,BSP,3,FALSE),"  ")</f>
        <v xml:space="preserve">  </v>
      </c>
      <c r="AA1335" s="1563" t="str">
        <f t="shared" ref="AA1335:AA1341" si="476">IFERROR((VLOOKUP(C1335,BSP,4,FALSE)),"  ")</f>
        <v xml:space="preserve">  </v>
      </c>
      <c r="AB1335" s="1385">
        <v>1000000</v>
      </c>
      <c r="AC1335" s="1357">
        <v>43826</v>
      </c>
      <c r="AD1335" s="1809">
        <v>500000</v>
      </c>
      <c r="AE1335" s="1440">
        <v>43866</v>
      </c>
      <c r="AF1335" s="1430">
        <v>750000</v>
      </c>
      <c r="AG1335" s="2069">
        <v>42969</v>
      </c>
      <c r="AH1335" s="2070" t="str">
        <f t="shared" si="472"/>
        <v>MPI-S2</v>
      </c>
      <c r="AI1335" s="1678">
        <f t="shared" si="468"/>
        <v>17850000</v>
      </c>
      <c r="AJ1335" s="1679" t="e">
        <f t="shared" si="469"/>
        <v>#VALUE!</v>
      </c>
      <c r="AK1335" s="1419" t="e">
        <f t="shared" si="470"/>
        <v>#VALUE!</v>
      </c>
      <c r="AL1335" s="1420" t="e">
        <f t="shared" si="471"/>
        <v>#VALUE!</v>
      </c>
      <c r="AM1335" s="1410"/>
      <c r="AN1335" s="1411"/>
      <c r="AO1335" s="1410"/>
      <c r="AP1335" s="1411"/>
      <c r="AQ1335" s="1128"/>
      <c r="AR1335" s="1173"/>
      <c r="AT1335" s="1173"/>
      <c r="AV1335" s="1173"/>
      <c r="AX1335" s="1173"/>
      <c r="AY1335" s="1176"/>
      <c r="AZ1335" s="1173"/>
    </row>
    <row r="1336" spans="1:52" s="2" customFormat="1" x14ac:dyDescent="0.25">
      <c r="A1336" s="164">
        <v>1236</v>
      </c>
      <c r="B1336" s="165">
        <v>25</v>
      </c>
      <c r="C1336" s="660">
        <v>849117025</v>
      </c>
      <c r="D1336" s="571" t="s">
        <v>1708</v>
      </c>
      <c r="E1336" s="578" t="s">
        <v>1070</v>
      </c>
      <c r="F1336" s="614">
        <v>2017</v>
      </c>
      <c r="G1336" s="1758" t="s">
        <v>28</v>
      </c>
      <c r="H1336" s="574" t="str">
        <f t="shared" si="466"/>
        <v xml:space="preserve">   </v>
      </c>
      <c r="I1336" s="574" t="str">
        <f t="shared" si="467"/>
        <v xml:space="preserve">   </v>
      </c>
      <c r="J1336" s="1366">
        <v>600000</v>
      </c>
      <c r="K1336" s="1360">
        <v>42943</v>
      </c>
      <c r="L1336" s="1366">
        <v>3000000</v>
      </c>
      <c r="M1336" s="1360">
        <v>42943</v>
      </c>
      <c r="N1336" s="2076">
        <v>3000000</v>
      </c>
      <c r="O1336" s="2040">
        <v>43112</v>
      </c>
      <c r="P1336" s="1430">
        <v>0</v>
      </c>
      <c r="Q1336" s="1360"/>
      <c r="R1336" s="1363">
        <v>0</v>
      </c>
      <c r="S1336" s="1367"/>
      <c r="T1336" s="1363">
        <v>0</v>
      </c>
      <c r="U1336" s="1367"/>
      <c r="V1336" s="1731">
        <v>0</v>
      </c>
      <c r="W1336" s="1367"/>
      <c r="X1336" s="1731">
        <v>0</v>
      </c>
      <c r="Y1336" s="1367"/>
      <c r="Z1336" s="1363" t="str">
        <f t="shared" si="475"/>
        <v xml:space="preserve">  </v>
      </c>
      <c r="AA1336" s="1563" t="str">
        <f t="shared" si="476"/>
        <v xml:space="preserve">  </v>
      </c>
      <c r="AB1336" s="1714"/>
      <c r="AC1336" s="1367"/>
      <c r="AD1336" s="1666"/>
      <c r="AE1336" s="1590"/>
      <c r="AF1336" s="1430">
        <v>750000</v>
      </c>
      <c r="AG1336" s="2069">
        <v>42969</v>
      </c>
      <c r="AH1336" s="2070" t="str">
        <f t="shared" si="472"/>
        <v>MPI-S2</v>
      </c>
      <c r="AI1336" s="1678">
        <f t="shared" si="468"/>
        <v>7350000</v>
      </c>
      <c r="AJ1336" s="1679" t="e">
        <f t="shared" si="469"/>
        <v>#VALUE!</v>
      </c>
      <c r="AK1336" s="1419" t="e">
        <f t="shared" si="470"/>
        <v>#VALUE!</v>
      </c>
      <c r="AL1336" s="1420" t="e">
        <f t="shared" si="471"/>
        <v>#VALUE!</v>
      </c>
      <c r="AM1336" s="1410"/>
      <c r="AN1336" s="1411"/>
      <c r="AO1336" s="1410"/>
      <c r="AP1336" s="1411"/>
      <c r="AQ1336" s="1128"/>
      <c r="AR1336" s="1173"/>
      <c r="AT1336" s="1173"/>
      <c r="AV1336" s="1173"/>
      <c r="AX1336" s="1173"/>
      <c r="AY1336" s="1176"/>
      <c r="AZ1336" s="1173"/>
    </row>
    <row r="1337" spans="1:52" s="2" customFormat="1" x14ac:dyDescent="0.25">
      <c r="A1337" s="164">
        <v>1237</v>
      </c>
      <c r="B1337" s="165">
        <v>26</v>
      </c>
      <c r="C1337" s="660">
        <v>849117026</v>
      </c>
      <c r="D1337" s="571" t="s">
        <v>1838</v>
      </c>
      <c r="E1337" s="578" t="s">
        <v>1070</v>
      </c>
      <c r="F1337" s="614">
        <v>2017</v>
      </c>
      <c r="G1337" s="272" t="s">
        <v>33</v>
      </c>
      <c r="H1337" s="163">
        <f t="shared" si="466"/>
        <v>44084</v>
      </c>
      <c r="I1337" s="574">
        <f t="shared" si="467"/>
        <v>44186</v>
      </c>
      <c r="J1337" s="1366">
        <v>600000</v>
      </c>
      <c r="K1337" s="1360">
        <v>42940</v>
      </c>
      <c r="L1337" s="1366">
        <v>3000000</v>
      </c>
      <c r="M1337" s="1360">
        <v>42940</v>
      </c>
      <c r="N1337" s="2076">
        <v>3000000</v>
      </c>
      <c r="O1337" s="2040">
        <v>43112</v>
      </c>
      <c r="P1337" s="1430">
        <v>3000000</v>
      </c>
      <c r="Q1337" s="1360">
        <v>43291</v>
      </c>
      <c r="R1337" s="1363">
        <v>3000000</v>
      </c>
      <c r="S1337" s="1367">
        <v>43483</v>
      </c>
      <c r="T1337" s="1363">
        <v>3000000</v>
      </c>
      <c r="U1337" s="1367">
        <v>43661</v>
      </c>
      <c r="V1337" s="1363">
        <v>3000000</v>
      </c>
      <c r="W1337" s="1367">
        <v>43910</v>
      </c>
      <c r="X1337" s="1363" t="s">
        <v>783</v>
      </c>
      <c r="Y1337" s="1391" t="s">
        <v>783</v>
      </c>
      <c r="Z1337" s="1363">
        <f t="shared" si="475"/>
        <v>1000000</v>
      </c>
      <c r="AA1337" s="1563">
        <f t="shared" si="476"/>
        <v>44046.422222222202</v>
      </c>
      <c r="AB1337" s="1714">
        <v>1000000</v>
      </c>
      <c r="AC1337" s="1367">
        <v>44046</v>
      </c>
      <c r="AD1337" s="1666">
        <v>500000</v>
      </c>
      <c r="AE1337" s="1590">
        <v>44083</v>
      </c>
      <c r="AF1337" s="2061">
        <v>750000</v>
      </c>
      <c r="AG1337" s="2069"/>
      <c r="AH1337" s="2070" t="str">
        <f t="shared" si="472"/>
        <v>MPI-S2</v>
      </c>
      <c r="AI1337" s="1678">
        <f t="shared" si="468"/>
        <v>21850000</v>
      </c>
      <c r="AJ1337" s="1679" t="e">
        <f t="shared" si="469"/>
        <v>#VALUE!</v>
      </c>
      <c r="AK1337" s="1419" t="e">
        <f t="shared" si="470"/>
        <v>#VALUE!</v>
      </c>
      <c r="AL1337" s="1420" t="e">
        <f t="shared" si="471"/>
        <v>#VALUE!</v>
      </c>
      <c r="AM1337" s="1410"/>
      <c r="AN1337" s="1411"/>
      <c r="AO1337" s="1410"/>
      <c r="AP1337" s="1411"/>
      <c r="AQ1337" s="1128"/>
      <c r="AR1337" s="1173"/>
      <c r="AT1337" s="1173"/>
      <c r="AV1337" s="1173"/>
      <c r="AX1337" s="1173"/>
      <c r="AY1337" s="1176"/>
      <c r="AZ1337" s="1173"/>
    </row>
    <row r="1338" spans="1:52" s="2" customFormat="1" x14ac:dyDescent="0.25">
      <c r="A1338" s="164">
        <v>1238</v>
      </c>
      <c r="B1338" s="165">
        <v>27</v>
      </c>
      <c r="C1338" s="660">
        <v>849117027</v>
      </c>
      <c r="D1338" s="571" t="s">
        <v>1839</v>
      </c>
      <c r="E1338" s="572" t="s">
        <v>1070</v>
      </c>
      <c r="F1338" s="612">
        <v>2017</v>
      </c>
      <c r="G1338" s="1758" t="s">
        <v>28</v>
      </c>
      <c r="H1338" s="574" t="str">
        <f t="shared" si="466"/>
        <v xml:space="preserve">   </v>
      </c>
      <c r="I1338" s="574" t="str">
        <f t="shared" si="467"/>
        <v xml:space="preserve">   </v>
      </c>
      <c r="J1338" s="1366">
        <v>600000</v>
      </c>
      <c r="K1338" s="1360">
        <v>42940</v>
      </c>
      <c r="L1338" s="1366">
        <v>3000000</v>
      </c>
      <c r="M1338" s="1360">
        <v>42940</v>
      </c>
      <c r="N1338" s="2076">
        <v>3000000</v>
      </c>
      <c r="O1338" s="2040">
        <v>43112</v>
      </c>
      <c r="P1338" s="1430">
        <v>3000000</v>
      </c>
      <c r="Q1338" s="1360">
        <v>43292</v>
      </c>
      <c r="R1338" s="1363">
        <v>3000000</v>
      </c>
      <c r="S1338" s="1367">
        <v>43483</v>
      </c>
      <c r="T1338" s="1363">
        <v>3000000</v>
      </c>
      <c r="U1338" s="1367">
        <v>43644</v>
      </c>
      <c r="V1338" s="2077" t="s">
        <v>1131</v>
      </c>
      <c r="W1338" s="1386" t="s">
        <v>1818</v>
      </c>
      <c r="X1338" s="1731">
        <v>0</v>
      </c>
      <c r="Y1338" s="1367"/>
      <c r="Z1338" s="1363" t="str">
        <f t="shared" si="475"/>
        <v xml:space="preserve">  </v>
      </c>
      <c r="AA1338" s="1563" t="str">
        <f t="shared" si="476"/>
        <v xml:space="preserve">  </v>
      </c>
      <c r="AB1338" s="1714"/>
      <c r="AC1338" s="1367"/>
      <c r="AD1338" s="1666"/>
      <c r="AE1338" s="1590"/>
      <c r="AF1338" s="1430">
        <v>750000</v>
      </c>
      <c r="AG1338" s="2069">
        <v>42969</v>
      </c>
      <c r="AH1338" s="2070" t="str">
        <f t="shared" si="472"/>
        <v>MPI-S2</v>
      </c>
      <c r="AI1338" s="1678">
        <f t="shared" si="468"/>
        <v>16350000</v>
      </c>
      <c r="AJ1338" s="1679" t="e">
        <f t="shared" si="469"/>
        <v>#VALUE!</v>
      </c>
      <c r="AK1338" s="1419" t="e">
        <f t="shared" si="470"/>
        <v>#VALUE!</v>
      </c>
      <c r="AL1338" s="1420" t="e">
        <f t="shared" si="471"/>
        <v>#VALUE!</v>
      </c>
      <c r="AM1338" s="1410"/>
      <c r="AN1338" s="1411"/>
      <c r="AO1338" s="1410"/>
      <c r="AP1338" s="1411"/>
      <c r="AQ1338" s="1128"/>
      <c r="AR1338" s="1173"/>
      <c r="AT1338" s="1173"/>
      <c r="AV1338" s="1173"/>
      <c r="AX1338" s="1173"/>
      <c r="AY1338" s="1176"/>
      <c r="AZ1338" s="1173"/>
    </row>
    <row r="1339" spans="1:52" s="2" customFormat="1" x14ac:dyDescent="0.25">
      <c r="A1339" s="156">
        <v>1239</v>
      </c>
      <c r="B1339" s="176">
        <v>28</v>
      </c>
      <c r="C1339" s="2014">
        <v>849117028</v>
      </c>
      <c r="D1339" s="575" t="s">
        <v>1840</v>
      </c>
      <c r="E1339" s="576" t="s">
        <v>1070</v>
      </c>
      <c r="F1339" s="611">
        <v>2017</v>
      </c>
      <c r="G1339" s="272" t="s">
        <v>33</v>
      </c>
      <c r="H1339" s="163">
        <f t="shared" si="466"/>
        <v>43818</v>
      </c>
      <c r="I1339" s="163">
        <f t="shared" si="467"/>
        <v>44058</v>
      </c>
      <c r="J1339" s="1364">
        <v>600000</v>
      </c>
      <c r="K1339" s="1365">
        <v>42943</v>
      </c>
      <c r="L1339" s="1364">
        <v>3000000</v>
      </c>
      <c r="M1339" s="1365">
        <v>42943</v>
      </c>
      <c r="N1339" s="1358">
        <v>3000000</v>
      </c>
      <c r="O1339" s="1357">
        <v>43115</v>
      </c>
      <c r="P1339" s="1431">
        <v>3000000</v>
      </c>
      <c r="Q1339" s="1365">
        <v>43290</v>
      </c>
      <c r="R1339" s="1358">
        <v>3000000</v>
      </c>
      <c r="S1339" s="1357">
        <v>43482</v>
      </c>
      <c r="T1339" s="1358">
        <v>3000000</v>
      </c>
      <c r="U1339" s="1357">
        <v>43669</v>
      </c>
      <c r="V1339" s="1382" t="s">
        <v>1080</v>
      </c>
      <c r="W1339" s="1384"/>
      <c r="X1339" s="1363" t="s">
        <v>783</v>
      </c>
      <c r="Y1339" s="1391" t="s">
        <v>783</v>
      </c>
      <c r="Z1339" s="1363" t="str">
        <f t="shared" si="475"/>
        <v xml:space="preserve">  </v>
      </c>
      <c r="AA1339" s="1563" t="str">
        <f t="shared" si="476"/>
        <v xml:space="preserve">  </v>
      </c>
      <c r="AB1339" s="1385">
        <v>1000000</v>
      </c>
      <c r="AC1339" s="1357">
        <v>43812</v>
      </c>
      <c r="AD1339" s="1809">
        <v>500000</v>
      </c>
      <c r="AE1339" s="1440">
        <v>43861.488958333299</v>
      </c>
      <c r="AF1339" s="1430">
        <v>750000</v>
      </c>
      <c r="AG1339" s="2069">
        <v>42972</v>
      </c>
      <c r="AH1339" s="2070" t="str">
        <f t="shared" si="472"/>
        <v>MPI-S2</v>
      </c>
      <c r="AI1339" s="1678">
        <f t="shared" si="468"/>
        <v>17850000</v>
      </c>
      <c r="AJ1339" s="1679" t="e">
        <f t="shared" si="469"/>
        <v>#VALUE!</v>
      </c>
      <c r="AK1339" s="1419" t="e">
        <f t="shared" si="470"/>
        <v>#VALUE!</v>
      </c>
      <c r="AL1339" s="1420" t="e">
        <f t="shared" si="471"/>
        <v>#VALUE!</v>
      </c>
      <c r="AM1339" s="1410"/>
      <c r="AN1339" s="1411"/>
      <c r="AO1339" s="1410"/>
      <c r="AP1339" s="1411"/>
      <c r="AQ1339" s="1128"/>
      <c r="AR1339" s="1173"/>
      <c r="AT1339" s="1173"/>
      <c r="AV1339" s="1173"/>
      <c r="AX1339" s="1173"/>
      <c r="AY1339" s="1176"/>
      <c r="AZ1339" s="1173"/>
    </row>
    <row r="1340" spans="1:52" s="2" customFormat="1" x14ac:dyDescent="0.25">
      <c r="A1340" s="164">
        <v>1240</v>
      </c>
      <c r="B1340" s="165">
        <v>29</v>
      </c>
      <c r="C1340" s="660">
        <v>849117029</v>
      </c>
      <c r="D1340" s="571" t="s">
        <v>1841</v>
      </c>
      <c r="E1340" s="572" t="s">
        <v>1070</v>
      </c>
      <c r="F1340" s="612">
        <v>2017</v>
      </c>
      <c r="G1340" s="1758" t="s">
        <v>28</v>
      </c>
      <c r="H1340" s="574" t="str">
        <f t="shared" si="466"/>
        <v xml:space="preserve">   </v>
      </c>
      <c r="I1340" s="574" t="str">
        <f t="shared" si="467"/>
        <v xml:space="preserve">   </v>
      </c>
      <c r="J1340" s="1366">
        <v>600000</v>
      </c>
      <c r="K1340" s="1360">
        <v>42947</v>
      </c>
      <c r="L1340" s="1366">
        <v>3000000</v>
      </c>
      <c r="M1340" s="1360">
        <v>42947</v>
      </c>
      <c r="N1340" s="1186" t="s">
        <v>1842</v>
      </c>
      <c r="O1340" s="1386"/>
      <c r="P1340" s="1430">
        <v>3000000</v>
      </c>
      <c r="Q1340" s="1360">
        <v>43294</v>
      </c>
      <c r="R1340" s="1363">
        <v>3000000</v>
      </c>
      <c r="S1340" s="1367">
        <v>43483</v>
      </c>
      <c r="T1340" s="1363">
        <v>0</v>
      </c>
      <c r="U1340" s="1367"/>
      <c r="V1340" s="1731">
        <v>0</v>
      </c>
      <c r="W1340" s="1367"/>
      <c r="X1340" s="1731">
        <v>0</v>
      </c>
      <c r="Y1340" s="1367"/>
      <c r="Z1340" s="1363" t="str">
        <f t="shared" si="475"/>
        <v xml:space="preserve">  </v>
      </c>
      <c r="AA1340" s="1563" t="str">
        <f t="shared" si="476"/>
        <v xml:space="preserve">  </v>
      </c>
      <c r="AB1340" s="1714"/>
      <c r="AC1340" s="1367"/>
      <c r="AD1340" s="1666"/>
      <c r="AE1340" s="1590"/>
      <c r="AF1340" s="2061">
        <v>750000</v>
      </c>
      <c r="AG1340" s="2069"/>
      <c r="AH1340" s="2070" t="str">
        <f t="shared" si="472"/>
        <v>MPI-S2</v>
      </c>
      <c r="AI1340" s="1678">
        <f t="shared" si="468"/>
        <v>10350000</v>
      </c>
      <c r="AJ1340" s="1679" t="e">
        <f t="shared" si="469"/>
        <v>#VALUE!</v>
      </c>
      <c r="AK1340" s="1419" t="e">
        <f t="shared" si="470"/>
        <v>#VALUE!</v>
      </c>
      <c r="AL1340" s="1420" t="e">
        <f t="shared" si="471"/>
        <v>#VALUE!</v>
      </c>
      <c r="AM1340" s="1410"/>
      <c r="AN1340" s="1411"/>
      <c r="AO1340" s="1410"/>
      <c r="AP1340" s="1411"/>
      <c r="AQ1340" s="1128"/>
      <c r="AR1340" s="1173"/>
      <c r="AT1340" s="1173"/>
      <c r="AV1340" s="1173"/>
      <c r="AX1340" s="1173"/>
      <c r="AY1340" s="1176"/>
      <c r="AZ1340" s="1173"/>
    </row>
    <row r="1341" spans="1:52" s="2" customFormat="1" x14ac:dyDescent="0.25">
      <c r="A1341" s="164">
        <v>1241</v>
      </c>
      <c r="B1341" s="165">
        <v>30</v>
      </c>
      <c r="C1341" s="660">
        <v>849117030</v>
      </c>
      <c r="D1341" s="571" t="s">
        <v>1843</v>
      </c>
      <c r="E1341" s="572" t="s">
        <v>1070</v>
      </c>
      <c r="F1341" s="612">
        <v>2017</v>
      </c>
      <c r="G1341" s="1758" t="s">
        <v>28</v>
      </c>
      <c r="H1341" s="574" t="str">
        <f t="shared" si="466"/>
        <v xml:space="preserve">   </v>
      </c>
      <c r="I1341" s="574" t="str">
        <f t="shared" si="467"/>
        <v xml:space="preserve">   </v>
      </c>
      <c r="J1341" s="1366">
        <v>600000</v>
      </c>
      <c r="K1341" s="1360">
        <v>42943</v>
      </c>
      <c r="L1341" s="1366">
        <v>3000000</v>
      </c>
      <c r="M1341" s="1360">
        <v>42943</v>
      </c>
      <c r="N1341" s="1363">
        <v>3000000</v>
      </c>
      <c r="O1341" s="1590">
        <v>43116</v>
      </c>
      <c r="P1341" s="1430">
        <v>3000000</v>
      </c>
      <c r="Q1341" s="1360">
        <v>43294</v>
      </c>
      <c r="R1341" s="1363">
        <v>0</v>
      </c>
      <c r="S1341" s="1367"/>
      <c r="T1341" s="1363">
        <v>0</v>
      </c>
      <c r="U1341" s="1367"/>
      <c r="V1341" s="1731"/>
      <c r="W1341" s="1367"/>
      <c r="X1341" s="1731">
        <v>0</v>
      </c>
      <c r="Y1341" s="1367"/>
      <c r="Z1341" s="1363" t="str">
        <f t="shared" si="475"/>
        <v xml:space="preserve">  </v>
      </c>
      <c r="AA1341" s="1563" t="str">
        <f t="shared" si="476"/>
        <v xml:space="preserve">  </v>
      </c>
      <c r="AB1341" s="1714"/>
      <c r="AC1341" s="1367"/>
      <c r="AD1341" s="1666"/>
      <c r="AE1341" s="1590"/>
      <c r="AF1341" s="1430">
        <v>750000</v>
      </c>
      <c r="AG1341" s="2069">
        <v>42971</v>
      </c>
      <c r="AH1341" s="2070" t="str">
        <f t="shared" si="472"/>
        <v>MPI-S2</v>
      </c>
      <c r="AI1341" s="1678">
        <f t="shared" si="468"/>
        <v>10350000</v>
      </c>
      <c r="AJ1341" s="1679" t="e">
        <f t="shared" si="469"/>
        <v>#VALUE!</v>
      </c>
      <c r="AK1341" s="1419" t="e">
        <f t="shared" si="470"/>
        <v>#VALUE!</v>
      </c>
      <c r="AL1341" s="1420" t="e">
        <f t="shared" si="471"/>
        <v>#VALUE!</v>
      </c>
      <c r="AM1341" s="1410"/>
      <c r="AN1341" s="1411"/>
      <c r="AO1341" s="1410"/>
      <c r="AP1341" s="1411"/>
      <c r="AQ1341" s="1128"/>
      <c r="AR1341" s="1173"/>
      <c r="AT1341" s="1173"/>
      <c r="AV1341" s="1173"/>
      <c r="AX1341" s="1173"/>
      <c r="AY1341" s="1176"/>
      <c r="AZ1341" s="1173"/>
    </row>
    <row r="1342" spans="1:52" s="2" customFormat="1" x14ac:dyDescent="0.25">
      <c r="A1342" s="164">
        <v>1242</v>
      </c>
      <c r="B1342" s="165">
        <v>31</v>
      </c>
      <c r="C1342" s="660">
        <v>849117031</v>
      </c>
      <c r="D1342" s="571" t="s">
        <v>1844</v>
      </c>
      <c r="E1342" s="572" t="s">
        <v>1070</v>
      </c>
      <c r="F1342" s="612">
        <v>2017</v>
      </c>
      <c r="G1342" s="360" t="s">
        <v>1483</v>
      </c>
      <c r="H1342" s="574" t="str">
        <f t="shared" si="466"/>
        <v xml:space="preserve">   </v>
      </c>
      <c r="I1342" s="574" t="str">
        <f t="shared" si="467"/>
        <v xml:space="preserve">   </v>
      </c>
      <c r="J1342" s="1366">
        <v>600000</v>
      </c>
      <c r="K1342" s="1360">
        <v>42937</v>
      </c>
      <c r="L1342" s="1430">
        <v>3000000</v>
      </c>
      <c r="M1342" s="1360">
        <v>42937</v>
      </c>
      <c r="N1342" s="1363">
        <v>3000000</v>
      </c>
      <c r="O1342" s="1367">
        <v>43110</v>
      </c>
      <c r="P1342" s="1430">
        <v>3000000</v>
      </c>
      <c r="Q1342" s="1360">
        <v>43292</v>
      </c>
      <c r="R1342" s="1363">
        <v>3000000</v>
      </c>
      <c r="S1342" s="1367">
        <v>43482</v>
      </c>
      <c r="T1342" s="1363">
        <v>3000000</v>
      </c>
      <c r="U1342" s="1367">
        <v>43643</v>
      </c>
      <c r="V1342" s="1731">
        <v>3000000</v>
      </c>
      <c r="W1342" s="1367">
        <v>43859.606469907398</v>
      </c>
      <c r="X1342" s="1731">
        <v>3000000</v>
      </c>
      <c r="Y1342" s="1367">
        <v>44069.374062499999</v>
      </c>
      <c r="Z1342" s="1363"/>
      <c r="AA1342" s="1563"/>
      <c r="AB1342" s="1714"/>
      <c r="AC1342" s="1367"/>
      <c r="AD1342" s="1666"/>
      <c r="AE1342" s="1590"/>
      <c r="AF1342" s="1430">
        <v>750000</v>
      </c>
      <c r="AG1342" s="2069">
        <v>42965</v>
      </c>
      <c r="AH1342" s="2070" t="str">
        <f t="shared" si="472"/>
        <v>MPI-S2</v>
      </c>
      <c r="AI1342" s="1678">
        <f t="shared" si="468"/>
        <v>22350000</v>
      </c>
      <c r="AJ1342" s="1679" t="e">
        <f t="shared" si="469"/>
        <v>#VALUE!</v>
      </c>
      <c r="AK1342" s="1419" t="e">
        <f t="shared" si="470"/>
        <v>#VALUE!</v>
      </c>
      <c r="AL1342" s="1420" t="e">
        <f t="shared" si="471"/>
        <v>#VALUE!</v>
      </c>
      <c r="AM1342" s="1410"/>
      <c r="AN1342" s="1411"/>
      <c r="AO1342" s="1410"/>
      <c r="AP1342" s="1411"/>
      <c r="AQ1342" s="1128"/>
      <c r="AR1342" s="1173"/>
      <c r="AT1342" s="1173"/>
      <c r="AV1342" s="1173"/>
      <c r="AX1342" s="1173"/>
      <c r="AY1342" s="1176"/>
      <c r="AZ1342" s="1173"/>
    </row>
    <row r="1343" spans="1:52" s="2" customFormat="1" x14ac:dyDescent="0.25">
      <c r="A1343" s="156">
        <v>1243</v>
      </c>
      <c r="B1343" s="176">
        <v>32</v>
      </c>
      <c r="C1343" s="660">
        <v>849117032</v>
      </c>
      <c r="D1343" s="575" t="s">
        <v>1845</v>
      </c>
      <c r="E1343" s="576" t="s">
        <v>1070</v>
      </c>
      <c r="F1343" s="611">
        <v>2017</v>
      </c>
      <c r="G1343" s="272" t="s">
        <v>33</v>
      </c>
      <c r="H1343" s="163">
        <f t="shared" si="466"/>
        <v>44152</v>
      </c>
      <c r="I1343" s="574" t="str">
        <f t="shared" si="467"/>
        <v xml:space="preserve">   </v>
      </c>
      <c r="J1343" s="1366">
        <v>600000</v>
      </c>
      <c r="K1343" s="1360">
        <v>42943</v>
      </c>
      <c r="L1343" s="1366">
        <v>3000000</v>
      </c>
      <c r="M1343" s="1360">
        <v>42943</v>
      </c>
      <c r="N1343" s="1363">
        <v>3000000</v>
      </c>
      <c r="O1343" s="1367">
        <v>43115</v>
      </c>
      <c r="P1343" s="1430">
        <v>3000000</v>
      </c>
      <c r="Q1343" s="1360">
        <v>43290</v>
      </c>
      <c r="R1343" s="1363">
        <v>3000000</v>
      </c>
      <c r="S1343" s="1367">
        <v>43481</v>
      </c>
      <c r="T1343" s="1363">
        <v>3000000</v>
      </c>
      <c r="U1343" s="1367">
        <v>43277</v>
      </c>
      <c r="V1343" s="1731">
        <v>3000000</v>
      </c>
      <c r="W1343" s="1367">
        <v>43860.419166666703</v>
      </c>
      <c r="X1343" s="1731">
        <v>3000000</v>
      </c>
      <c r="Y1343" s="1367">
        <v>44130</v>
      </c>
      <c r="Z1343" s="1363">
        <v>1000000</v>
      </c>
      <c r="AA1343" s="1367">
        <v>44130</v>
      </c>
      <c r="AB1343" s="1385">
        <v>1000000</v>
      </c>
      <c r="AC1343" s="1357">
        <v>44007</v>
      </c>
      <c r="AD1343" s="1809">
        <v>500000</v>
      </c>
      <c r="AE1343" s="1440">
        <v>44085</v>
      </c>
      <c r="AF1343" s="2061">
        <v>750000</v>
      </c>
      <c r="AG1343" s="2069" t="s">
        <v>1846</v>
      </c>
      <c r="AH1343" s="2070" t="str">
        <f t="shared" si="472"/>
        <v>MPI-S2</v>
      </c>
      <c r="AI1343" s="1678">
        <f t="shared" si="468"/>
        <v>24850000</v>
      </c>
      <c r="AJ1343" s="1679" t="e">
        <f t="shared" si="469"/>
        <v>#VALUE!</v>
      </c>
      <c r="AK1343" s="1419" t="e">
        <f>(AJ1343-AI1343)-2000000</f>
        <v>#VALUE!</v>
      </c>
      <c r="AL1343" s="1420" t="e">
        <f t="shared" si="471"/>
        <v>#VALUE!</v>
      </c>
      <c r="AM1343" s="1410"/>
      <c r="AN1343" s="1411"/>
      <c r="AO1343" s="1410"/>
      <c r="AP1343" s="1411"/>
      <c r="AQ1343" s="1128"/>
      <c r="AR1343" s="1173"/>
      <c r="AT1343" s="1173"/>
      <c r="AV1343" s="1173"/>
      <c r="AX1343" s="1173"/>
      <c r="AY1343" s="1176"/>
      <c r="AZ1343" s="1173"/>
    </row>
    <row r="1344" spans="1:52" s="2" customFormat="1" x14ac:dyDescent="0.25">
      <c r="A1344" s="156">
        <v>1244</v>
      </c>
      <c r="B1344" s="176">
        <v>33</v>
      </c>
      <c r="C1344" s="2014">
        <v>849117033</v>
      </c>
      <c r="D1344" s="575" t="s">
        <v>1847</v>
      </c>
      <c r="E1344" s="576" t="s">
        <v>1070</v>
      </c>
      <c r="F1344" s="611">
        <v>2017</v>
      </c>
      <c r="G1344" s="272" t="s">
        <v>33</v>
      </c>
      <c r="H1344" s="163">
        <f t="shared" si="466"/>
        <v>43641</v>
      </c>
      <c r="I1344" s="163">
        <f t="shared" si="467"/>
        <v>43750</v>
      </c>
      <c r="J1344" s="1364">
        <v>600000</v>
      </c>
      <c r="K1344" s="1365">
        <v>42943</v>
      </c>
      <c r="L1344" s="1364">
        <v>3000000</v>
      </c>
      <c r="M1344" s="1365">
        <v>42943</v>
      </c>
      <c r="N1344" s="1358">
        <v>3000000</v>
      </c>
      <c r="O1344" s="1357">
        <v>43112</v>
      </c>
      <c r="P1344" s="1431">
        <v>3000000</v>
      </c>
      <c r="Q1344" s="1365">
        <v>43293</v>
      </c>
      <c r="R1344" s="1358">
        <v>3000000</v>
      </c>
      <c r="S1344" s="1357">
        <v>43482</v>
      </c>
      <c r="T1344" s="1382" t="s">
        <v>1080</v>
      </c>
      <c r="U1344" s="1384"/>
      <c r="V1344" s="1363" t="s">
        <v>783</v>
      </c>
      <c r="W1344" s="1391" t="s">
        <v>783</v>
      </c>
      <c r="X1344" s="1363"/>
      <c r="Y1344" s="1391"/>
      <c r="Z1344" s="1363" t="str">
        <f>IFERROR(VLOOKUP(C1344,BSP,3,FALSE),"  ")</f>
        <v xml:space="preserve">  </v>
      </c>
      <c r="AA1344" s="1563" t="str">
        <f>IFERROR((VLOOKUP(C1344,BSP,4,FALSE)),"  ")</f>
        <v xml:space="preserve">  </v>
      </c>
      <c r="AB1344" s="1385">
        <v>1000000</v>
      </c>
      <c r="AC1344" s="1357">
        <v>43614</v>
      </c>
      <c r="AD1344" s="1666"/>
      <c r="AE1344" s="1590"/>
      <c r="AF1344" s="1430">
        <v>750000</v>
      </c>
      <c r="AG1344" s="2069">
        <v>42972</v>
      </c>
      <c r="AH1344" s="2070" t="str">
        <f t="shared" si="472"/>
        <v>MPI-S2</v>
      </c>
      <c r="AI1344" s="1678">
        <f t="shared" si="468"/>
        <v>14350000</v>
      </c>
      <c r="AJ1344" s="1679" t="e">
        <f t="shared" si="469"/>
        <v>#VALUE!</v>
      </c>
      <c r="AK1344" s="1419" t="e">
        <f t="shared" si="470"/>
        <v>#VALUE!</v>
      </c>
      <c r="AL1344" s="1420" t="e">
        <f t="shared" si="471"/>
        <v>#VALUE!</v>
      </c>
      <c r="AM1344" s="1410"/>
      <c r="AN1344" s="1411"/>
      <c r="AO1344" s="1410"/>
      <c r="AP1344" s="1411"/>
      <c r="AQ1344" s="1128"/>
      <c r="AR1344" s="1173"/>
      <c r="AT1344" s="1173"/>
      <c r="AV1344" s="1173"/>
      <c r="AX1344" s="1173"/>
      <c r="AY1344" s="1176"/>
      <c r="AZ1344" s="1173"/>
    </row>
    <row r="1345" spans="1:52" s="2" customFormat="1" x14ac:dyDescent="0.25">
      <c r="A1345" s="164">
        <v>1245</v>
      </c>
      <c r="B1345" s="176">
        <v>34</v>
      </c>
      <c r="C1345" s="2014">
        <v>849117034</v>
      </c>
      <c r="D1345" s="575" t="s">
        <v>1848</v>
      </c>
      <c r="E1345" s="576" t="s">
        <v>1070</v>
      </c>
      <c r="F1345" s="611">
        <v>2017</v>
      </c>
      <c r="G1345" s="272" t="s">
        <v>33</v>
      </c>
      <c r="H1345" s="163">
        <f t="shared" si="466"/>
        <v>43962</v>
      </c>
      <c r="I1345" s="163">
        <f t="shared" si="467"/>
        <v>44058</v>
      </c>
      <c r="J1345" s="1364">
        <v>600000</v>
      </c>
      <c r="K1345" s="1365">
        <v>42943</v>
      </c>
      <c r="L1345" s="1364">
        <v>3000000</v>
      </c>
      <c r="M1345" s="1365">
        <v>42943</v>
      </c>
      <c r="N1345" s="2075">
        <v>3000000</v>
      </c>
      <c r="O1345" s="2042">
        <v>43112</v>
      </c>
      <c r="P1345" s="1431">
        <v>3000000</v>
      </c>
      <c r="Q1345" s="1365">
        <v>43291</v>
      </c>
      <c r="R1345" s="1358">
        <v>3000000</v>
      </c>
      <c r="S1345" s="1357">
        <v>43482</v>
      </c>
      <c r="T1345" s="1358">
        <v>3000000</v>
      </c>
      <c r="U1345" s="1357">
        <v>43642</v>
      </c>
      <c r="V1345" s="1874">
        <v>3000000</v>
      </c>
      <c r="W1345" s="1357">
        <v>43859.398414351897</v>
      </c>
      <c r="X1345" s="1382" t="s">
        <v>1080</v>
      </c>
      <c r="Y1345" s="1391"/>
      <c r="Z1345" s="1363" t="str">
        <f>IFERROR(VLOOKUP(C1345,BSP,3,FALSE),"  ")</f>
        <v xml:space="preserve">  </v>
      </c>
      <c r="AA1345" s="1563" t="str">
        <f>IFERROR((VLOOKUP(C1345,BSP,4,FALSE)),"  ")</f>
        <v xml:space="preserve">  </v>
      </c>
      <c r="AB1345" s="1385">
        <v>1000000</v>
      </c>
      <c r="AC1345" s="1357">
        <v>43936</v>
      </c>
      <c r="AD1345" s="1809">
        <v>500000</v>
      </c>
      <c r="AE1345" s="1440">
        <v>44005</v>
      </c>
      <c r="AF1345" s="1430">
        <v>750000</v>
      </c>
      <c r="AG1345" s="2069">
        <v>42971</v>
      </c>
      <c r="AH1345" s="2070" t="str">
        <f t="shared" si="472"/>
        <v>MPI-S2</v>
      </c>
      <c r="AI1345" s="1678">
        <f t="shared" si="468"/>
        <v>20850000</v>
      </c>
      <c r="AJ1345" s="1679" t="e">
        <f t="shared" si="469"/>
        <v>#VALUE!</v>
      </c>
      <c r="AK1345" s="1419" t="e">
        <f t="shared" si="470"/>
        <v>#VALUE!</v>
      </c>
      <c r="AL1345" s="1420" t="e">
        <f t="shared" si="471"/>
        <v>#VALUE!</v>
      </c>
      <c r="AM1345" s="1410"/>
      <c r="AN1345" s="1411"/>
      <c r="AO1345" s="1410"/>
      <c r="AP1345" s="1411"/>
      <c r="AQ1345" s="1128"/>
      <c r="AR1345" s="1173"/>
      <c r="AT1345" s="1173"/>
      <c r="AV1345" s="1173"/>
      <c r="AX1345" s="1173"/>
      <c r="AY1345" s="1176"/>
      <c r="AZ1345" s="1173"/>
    </row>
    <row r="1346" spans="1:52" s="2" customFormat="1" x14ac:dyDescent="0.25">
      <c r="A1346" s="164">
        <v>1246</v>
      </c>
      <c r="B1346" s="165">
        <v>35</v>
      </c>
      <c r="C1346" s="660">
        <v>849117035</v>
      </c>
      <c r="D1346" s="571" t="s">
        <v>1849</v>
      </c>
      <c r="E1346" s="572" t="s">
        <v>1070</v>
      </c>
      <c r="F1346" s="612">
        <v>2017</v>
      </c>
      <c r="G1346" s="360" t="s">
        <v>1483</v>
      </c>
      <c r="H1346" s="574" t="str">
        <f t="shared" si="466"/>
        <v xml:space="preserve">   </v>
      </c>
      <c r="I1346" s="574" t="str">
        <f t="shared" si="467"/>
        <v xml:space="preserve">   </v>
      </c>
      <c r="J1346" s="1366">
        <v>600000</v>
      </c>
      <c r="K1346" s="1360">
        <v>42943</v>
      </c>
      <c r="L1346" s="1366">
        <v>3000000</v>
      </c>
      <c r="M1346" s="1360">
        <v>42943</v>
      </c>
      <c r="N1346" s="1363">
        <v>3000000</v>
      </c>
      <c r="O1346" s="1367">
        <v>43110</v>
      </c>
      <c r="P1346" s="1430">
        <v>3000000</v>
      </c>
      <c r="Q1346" s="1360">
        <v>43291</v>
      </c>
      <c r="R1346" s="1363">
        <v>3000000</v>
      </c>
      <c r="S1346" s="1367">
        <v>43483</v>
      </c>
      <c r="T1346" s="1363">
        <v>3000000</v>
      </c>
      <c r="U1346" s="1367">
        <v>44038</v>
      </c>
      <c r="V1346" s="1731">
        <v>3000000</v>
      </c>
      <c r="W1346" s="1367">
        <v>43860.737534722197</v>
      </c>
      <c r="X1346" s="1363">
        <v>3000000</v>
      </c>
      <c r="Y1346" s="1367">
        <v>44038</v>
      </c>
      <c r="Z1346" s="1363"/>
      <c r="AA1346" s="1563"/>
      <c r="AB1346" s="1714"/>
      <c r="AC1346" s="1367"/>
      <c r="AD1346" s="1666"/>
      <c r="AE1346" s="1590"/>
      <c r="AF1346" s="1430">
        <v>750000</v>
      </c>
      <c r="AG1346" s="2069">
        <v>42969</v>
      </c>
      <c r="AH1346" s="2070" t="str">
        <f t="shared" si="472"/>
        <v>MPI-S2</v>
      </c>
      <c r="AI1346" s="1678">
        <f t="shared" si="468"/>
        <v>22350000</v>
      </c>
      <c r="AJ1346" s="1679" t="e">
        <f t="shared" si="469"/>
        <v>#VALUE!</v>
      </c>
      <c r="AK1346" s="1419" t="e">
        <f t="shared" si="470"/>
        <v>#VALUE!</v>
      </c>
      <c r="AL1346" s="1420" t="e">
        <f t="shared" si="471"/>
        <v>#VALUE!</v>
      </c>
      <c r="AM1346" s="1410"/>
      <c r="AN1346" s="1411"/>
      <c r="AO1346" s="1410"/>
      <c r="AP1346" s="1411"/>
      <c r="AQ1346" s="1128"/>
      <c r="AR1346" s="1173"/>
      <c r="AT1346" s="1173"/>
      <c r="AV1346" s="1173"/>
      <c r="AX1346" s="1173"/>
      <c r="AY1346" s="1176"/>
      <c r="AZ1346" s="1173"/>
    </row>
    <row r="1347" spans="1:52" s="2" customFormat="1" x14ac:dyDescent="0.25">
      <c r="A1347" s="164">
        <v>1247</v>
      </c>
      <c r="B1347" s="176">
        <v>36</v>
      </c>
      <c r="C1347" s="2014">
        <v>849117036</v>
      </c>
      <c r="D1347" s="575" t="s">
        <v>1850</v>
      </c>
      <c r="E1347" s="593" t="s">
        <v>1070</v>
      </c>
      <c r="F1347" s="613">
        <v>2017</v>
      </c>
      <c r="G1347" s="272" t="s">
        <v>33</v>
      </c>
      <c r="H1347" s="163">
        <f t="shared" si="466"/>
        <v>43873</v>
      </c>
      <c r="I1347" s="163">
        <f t="shared" si="467"/>
        <v>44058</v>
      </c>
      <c r="J1347" s="1364">
        <v>600000</v>
      </c>
      <c r="K1347" s="1365">
        <v>42942</v>
      </c>
      <c r="L1347" s="1364">
        <v>3000000</v>
      </c>
      <c r="M1347" s="1365">
        <v>42942</v>
      </c>
      <c r="N1347" s="1358">
        <v>3000000</v>
      </c>
      <c r="O1347" s="1357">
        <v>43111</v>
      </c>
      <c r="P1347" s="1431">
        <v>3000000</v>
      </c>
      <c r="Q1347" s="1365">
        <v>43292</v>
      </c>
      <c r="R1347" s="1358">
        <v>3000000</v>
      </c>
      <c r="S1347" s="1357">
        <v>43483</v>
      </c>
      <c r="T1347" s="1358">
        <v>3000000</v>
      </c>
      <c r="U1347" s="1357">
        <v>43803</v>
      </c>
      <c r="V1347" s="1382" t="s">
        <v>1080</v>
      </c>
      <c r="W1347" s="1384"/>
      <c r="X1347" s="1363" t="s">
        <v>783</v>
      </c>
      <c r="Y1347" s="1391" t="s">
        <v>783</v>
      </c>
      <c r="Z1347" s="1363" t="str">
        <f>IFERROR(VLOOKUP(C1347,BSP,3,FALSE),"  ")</f>
        <v xml:space="preserve">  </v>
      </c>
      <c r="AA1347" s="1563" t="str">
        <f>IFERROR((VLOOKUP(C1347,BSP,4,FALSE)),"  ")</f>
        <v xml:space="preserve">  </v>
      </c>
      <c r="AB1347" s="1385">
        <v>1000000</v>
      </c>
      <c r="AC1347" s="1357">
        <v>43826</v>
      </c>
      <c r="AD1347" s="1809">
        <v>500000</v>
      </c>
      <c r="AE1347" s="1440">
        <v>44107</v>
      </c>
      <c r="AF1347" s="1430">
        <v>750000</v>
      </c>
      <c r="AG1347" s="2069">
        <v>42970</v>
      </c>
      <c r="AH1347" s="2070" t="str">
        <f t="shared" si="472"/>
        <v>MPI-S2</v>
      </c>
      <c r="AI1347" s="1678">
        <f t="shared" si="468"/>
        <v>17850000</v>
      </c>
      <c r="AJ1347" s="1679" t="e">
        <f t="shared" si="469"/>
        <v>#VALUE!</v>
      </c>
      <c r="AK1347" s="1419" t="e">
        <f t="shared" si="470"/>
        <v>#VALUE!</v>
      </c>
      <c r="AL1347" s="1420" t="e">
        <f t="shared" si="471"/>
        <v>#VALUE!</v>
      </c>
      <c r="AM1347" s="1410"/>
      <c r="AN1347" s="1411"/>
      <c r="AO1347" s="1410"/>
      <c r="AP1347" s="1411"/>
      <c r="AQ1347" s="1128"/>
      <c r="AR1347" s="1173"/>
      <c r="AT1347" s="1173"/>
      <c r="AV1347" s="1173"/>
      <c r="AX1347" s="1173"/>
      <c r="AY1347" s="1176"/>
      <c r="AZ1347" s="1173"/>
    </row>
    <row r="1348" spans="1:52" s="2" customFormat="1" x14ac:dyDescent="0.25">
      <c r="A1348" s="156">
        <v>1248</v>
      </c>
      <c r="B1348" s="176">
        <v>37</v>
      </c>
      <c r="C1348" s="2014">
        <v>849117037</v>
      </c>
      <c r="D1348" s="575" t="s">
        <v>1851</v>
      </c>
      <c r="E1348" s="593" t="s">
        <v>1070</v>
      </c>
      <c r="F1348" s="613">
        <v>2017</v>
      </c>
      <c r="G1348" s="272" t="s">
        <v>33</v>
      </c>
      <c r="H1348" s="163">
        <f t="shared" si="466"/>
        <v>43838</v>
      </c>
      <c r="I1348" s="163">
        <f t="shared" si="467"/>
        <v>44058</v>
      </c>
      <c r="J1348" s="1364">
        <v>600000</v>
      </c>
      <c r="K1348" s="1365">
        <v>42941</v>
      </c>
      <c r="L1348" s="1364">
        <v>3000000</v>
      </c>
      <c r="M1348" s="1365">
        <v>42941</v>
      </c>
      <c r="N1348" s="2075">
        <v>3000000</v>
      </c>
      <c r="O1348" s="2042">
        <v>43112</v>
      </c>
      <c r="P1348" s="1431">
        <v>3000000</v>
      </c>
      <c r="Q1348" s="1365">
        <v>43291</v>
      </c>
      <c r="R1348" s="1358">
        <v>3000000</v>
      </c>
      <c r="S1348" s="1357">
        <v>43483</v>
      </c>
      <c r="T1348" s="1358">
        <v>3000000</v>
      </c>
      <c r="U1348" s="1357">
        <v>43643</v>
      </c>
      <c r="V1348" s="1382" t="s">
        <v>1080</v>
      </c>
      <c r="W1348" s="1384"/>
      <c r="X1348" s="1363" t="s">
        <v>783</v>
      </c>
      <c r="Y1348" s="1391" t="s">
        <v>783</v>
      </c>
      <c r="Z1348" s="1363" t="str">
        <f>IFERROR(VLOOKUP(C1348,BSP,3,FALSE),"  ")</f>
        <v xml:space="preserve">  </v>
      </c>
      <c r="AA1348" s="1563" t="str">
        <f>IFERROR((VLOOKUP(C1348,BSP,4,FALSE)),"  ")</f>
        <v xml:space="preserve">  </v>
      </c>
      <c r="AB1348" s="1385">
        <v>1000000</v>
      </c>
      <c r="AC1348" s="1357">
        <v>43815</v>
      </c>
      <c r="AD1348" s="1809">
        <v>500000</v>
      </c>
      <c r="AE1348" s="1440">
        <v>43861.388310185197</v>
      </c>
      <c r="AF1348" s="1430">
        <v>750000</v>
      </c>
      <c r="AG1348" s="2069">
        <v>42969</v>
      </c>
      <c r="AH1348" s="2070" t="str">
        <f t="shared" si="472"/>
        <v>MPI-S2</v>
      </c>
      <c r="AI1348" s="1678">
        <f t="shared" si="468"/>
        <v>17850000</v>
      </c>
      <c r="AJ1348" s="1679" t="e">
        <f t="shared" si="469"/>
        <v>#VALUE!</v>
      </c>
      <c r="AK1348" s="1419" t="e">
        <f t="shared" si="470"/>
        <v>#VALUE!</v>
      </c>
      <c r="AL1348" s="1420" t="e">
        <f t="shared" si="471"/>
        <v>#VALUE!</v>
      </c>
      <c r="AM1348" s="1410"/>
      <c r="AN1348" s="1411"/>
      <c r="AO1348" s="1410"/>
      <c r="AP1348" s="1411"/>
      <c r="AQ1348" s="1128"/>
      <c r="AR1348" s="1173"/>
      <c r="AT1348" s="1173"/>
      <c r="AV1348" s="1173"/>
      <c r="AX1348" s="1173"/>
      <c r="AY1348" s="1176"/>
      <c r="AZ1348" s="1173"/>
    </row>
    <row r="1349" spans="1:52" s="2" customFormat="1" x14ac:dyDescent="0.25">
      <c r="A1349" s="164">
        <v>1249</v>
      </c>
      <c r="B1349" s="165">
        <v>38</v>
      </c>
      <c r="C1349" s="660">
        <v>849117038</v>
      </c>
      <c r="D1349" s="571" t="s">
        <v>1852</v>
      </c>
      <c r="E1349" s="578" t="s">
        <v>1070</v>
      </c>
      <c r="F1349" s="614">
        <v>2017</v>
      </c>
      <c r="G1349" s="272" t="s">
        <v>33</v>
      </c>
      <c r="H1349" s="163">
        <f t="shared" si="466"/>
        <v>44084</v>
      </c>
      <c r="I1349" s="574">
        <f t="shared" si="467"/>
        <v>44186</v>
      </c>
      <c r="J1349" s="1366">
        <v>600000</v>
      </c>
      <c r="K1349" s="1360">
        <v>42940</v>
      </c>
      <c r="L1349" s="1366">
        <v>3000000</v>
      </c>
      <c r="M1349" s="1360">
        <v>42940</v>
      </c>
      <c r="N1349" s="2076">
        <v>3000000</v>
      </c>
      <c r="O1349" s="2040">
        <v>43112</v>
      </c>
      <c r="P1349" s="1430">
        <v>3000000</v>
      </c>
      <c r="Q1349" s="1360">
        <v>43291</v>
      </c>
      <c r="R1349" s="1363">
        <v>3000000</v>
      </c>
      <c r="S1349" s="1367">
        <v>43483</v>
      </c>
      <c r="T1349" s="1363">
        <v>3000000</v>
      </c>
      <c r="U1349" s="1367">
        <v>43661</v>
      </c>
      <c r="V1349" s="1731">
        <v>3000000</v>
      </c>
      <c r="W1349" s="1367">
        <v>43910</v>
      </c>
      <c r="X1349" s="1363" t="s">
        <v>783</v>
      </c>
      <c r="Y1349" s="1391" t="s">
        <v>783</v>
      </c>
      <c r="Z1349" s="1363">
        <f>IFERROR(VLOOKUP(C1349,BSP,3,FALSE),"  ")</f>
        <v>1000000</v>
      </c>
      <c r="AA1349" s="1563">
        <f>IFERROR((VLOOKUP(C1349,BSP,4,FALSE)),"  ")</f>
        <v>44046.4298263889</v>
      </c>
      <c r="AB1349" s="1385">
        <v>1000000</v>
      </c>
      <c r="AC1349" s="1357">
        <v>44046</v>
      </c>
      <c r="AD1349" s="1809">
        <v>500000</v>
      </c>
      <c r="AE1349" s="1440">
        <v>44083</v>
      </c>
      <c r="AF1349" s="1430">
        <v>500000</v>
      </c>
      <c r="AG1349" s="2069">
        <v>42971</v>
      </c>
      <c r="AH1349" s="2070" t="str">
        <f t="shared" si="472"/>
        <v>MPI-S2</v>
      </c>
      <c r="AI1349" s="1678">
        <f t="shared" si="468"/>
        <v>21600000</v>
      </c>
      <c r="AJ1349" s="1679" t="e">
        <f t="shared" si="469"/>
        <v>#VALUE!</v>
      </c>
      <c r="AK1349" s="1419" t="e">
        <f t="shared" si="470"/>
        <v>#VALUE!</v>
      </c>
      <c r="AL1349" s="1420" t="e">
        <f t="shared" si="471"/>
        <v>#VALUE!</v>
      </c>
      <c r="AM1349" s="1410"/>
      <c r="AN1349" s="1411"/>
      <c r="AO1349" s="1410"/>
      <c r="AP1349" s="1411"/>
      <c r="AQ1349" s="1128"/>
      <c r="AR1349" s="1173"/>
      <c r="AT1349" s="1173"/>
      <c r="AV1349" s="1173"/>
      <c r="AX1349" s="1173"/>
      <c r="AY1349" s="1176"/>
      <c r="AZ1349" s="1173"/>
    </row>
    <row r="1350" spans="1:52" s="2" customFormat="1" x14ac:dyDescent="0.25">
      <c r="A1350" s="164">
        <v>1250</v>
      </c>
      <c r="B1350" s="165">
        <v>39</v>
      </c>
      <c r="C1350" s="660">
        <v>849117039</v>
      </c>
      <c r="D1350" s="571" t="s">
        <v>1853</v>
      </c>
      <c r="E1350" s="578" t="s">
        <v>1070</v>
      </c>
      <c r="F1350" s="614">
        <v>2017</v>
      </c>
      <c r="G1350" s="360" t="s">
        <v>1483</v>
      </c>
      <c r="H1350" s="574" t="str">
        <f t="shared" si="466"/>
        <v xml:space="preserve">   </v>
      </c>
      <c r="I1350" s="574" t="str">
        <f t="shared" si="467"/>
        <v xml:space="preserve">   </v>
      </c>
      <c r="J1350" s="1366">
        <v>600000</v>
      </c>
      <c r="K1350" s="1360">
        <v>42942</v>
      </c>
      <c r="L1350" s="1366">
        <v>3000000</v>
      </c>
      <c r="M1350" s="1360">
        <v>42942</v>
      </c>
      <c r="N1350" s="1363">
        <v>3000000</v>
      </c>
      <c r="O1350" s="1367">
        <v>43111</v>
      </c>
      <c r="P1350" s="1430">
        <v>3000000</v>
      </c>
      <c r="Q1350" s="1360">
        <v>43293</v>
      </c>
      <c r="R1350" s="1363">
        <v>3000000</v>
      </c>
      <c r="S1350" s="1367">
        <v>43483</v>
      </c>
      <c r="T1350" s="1363">
        <v>3000000</v>
      </c>
      <c r="U1350" s="1367">
        <v>43643</v>
      </c>
      <c r="V1350" s="1731">
        <v>3000000</v>
      </c>
      <c r="W1350" s="1367">
        <v>43859.6156134259</v>
      </c>
      <c r="X1350" s="1731">
        <v>3000000</v>
      </c>
      <c r="Y1350" s="1367">
        <v>44070.601238425901</v>
      </c>
      <c r="Z1350" s="1363"/>
      <c r="AA1350" s="1563"/>
      <c r="AB1350" s="1714"/>
      <c r="AC1350" s="1367"/>
      <c r="AD1350" s="1666"/>
      <c r="AE1350" s="1590"/>
      <c r="AF1350" s="1430">
        <v>750000</v>
      </c>
      <c r="AG1350" s="2069">
        <v>42972</v>
      </c>
      <c r="AH1350" s="2070" t="str">
        <f t="shared" si="472"/>
        <v>MPI-S2</v>
      </c>
      <c r="AI1350" s="1678">
        <f t="shared" si="468"/>
        <v>22350000</v>
      </c>
      <c r="AJ1350" s="1679" t="e">
        <f t="shared" si="469"/>
        <v>#VALUE!</v>
      </c>
      <c r="AK1350" s="1419" t="e">
        <f t="shared" si="470"/>
        <v>#VALUE!</v>
      </c>
      <c r="AL1350" s="1420" t="e">
        <f t="shared" si="471"/>
        <v>#VALUE!</v>
      </c>
      <c r="AM1350" s="1410"/>
      <c r="AN1350" s="1411"/>
      <c r="AO1350" s="1410"/>
      <c r="AP1350" s="1411"/>
      <c r="AQ1350" s="1128"/>
      <c r="AR1350" s="1173"/>
      <c r="AT1350" s="1173"/>
      <c r="AV1350" s="1173"/>
      <c r="AX1350" s="1173"/>
      <c r="AY1350" s="1176"/>
      <c r="AZ1350" s="1173"/>
    </row>
    <row r="1351" spans="1:52" s="2" customFormat="1" x14ac:dyDescent="0.25">
      <c r="A1351" s="156">
        <v>1251</v>
      </c>
      <c r="B1351" s="176">
        <v>40</v>
      </c>
      <c r="C1351" s="2014">
        <v>849117040</v>
      </c>
      <c r="D1351" s="575" t="s">
        <v>1854</v>
      </c>
      <c r="E1351" s="593" t="s">
        <v>1070</v>
      </c>
      <c r="F1351" s="613">
        <v>2017</v>
      </c>
      <c r="G1351" s="272" t="s">
        <v>33</v>
      </c>
      <c r="H1351" s="163">
        <f t="shared" si="466"/>
        <v>43649</v>
      </c>
      <c r="I1351" s="163">
        <f t="shared" si="467"/>
        <v>43750</v>
      </c>
      <c r="J1351" s="1364">
        <v>600000</v>
      </c>
      <c r="K1351" s="1365">
        <v>42936</v>
      </c>
      <c r="L1351" s="1431">
        <v>3000000</v>
      </c>
      <c r="M1351" s="1365">
        <v>42936</v>
      </c>
      <c r="N1351" s="2075">
        <v>3000000</v>
      </c>
      <c r="O1351" s="2042">
        <v>43110</v>
      </c>
      <c r="P1351" s="1431">
        <v>3000000</v>
      </c>
      <c r="Q1351" s="1365">
        <v>43291</v>
      </c>
      <c r="R1351" s="1358">
        <v>3000000</v>
      </c>
      <c r="S1351" s="1357">
        <v>43481</v>
      </c>
      <c r="T1351" s="1382" t="s">
        <v>1080</v>
      </c>
      <c r="U1351" s="1384"/>
      <c r="V1351" s="1363" t="s">
        <v>783</v>
      </c>
      <c r="W1351" s="1391" t="s">
        <v>783</v>
      </c>
      <c r="X1351" s="1363"/>
      <c r="Y1351" s="1391"/>
      <c r="Z1351" s="1363" t="str">
        <f t="shared" ref="Z1351:Z1357" si="477">IFERROR(VLOOKUP(C1351,BSP,3,FALSE),"  ")</f>
        <v xml:space="preserve">  </v>
      </c>
      <c r="AA1351" s="1563" t="str">
        <f t="shared" ref="AA1351:AA1357" si="478">IFERROR((VLOOKUP(C1351,BSP,4,FALSE)),"  ")</f>
        <v xml:space="preserve">  </v>
      </c>
      <c r="AB1351" s="1385">
        <v>1000000</v>
      </c>
      <c r="AC1351" s="1357">
        <v>43577</v>
      </c>
      <c r="AD1351" s="1666"/>
      <c r="AE1351" s="1590"/>
      <c r="AF1351" s="1430">
        <v>750000</v>
      </c>
      <c r="AG1351" s="2069">
        <v>42965</v>
      </c>
      <c r="AH1351" s="2070" t="str">
        <f t="shared" si="472"/>
        <v>MPI-S2</v>
      </c>
      <c r="AI1351" s="1678">
        <f t="shared" si="468"/>
        <v>14350000</v>
      </c>
      <c r="AJ1351" s="1679" t="e">
        <f t="shared" si="469"/>
        <v>#VALUE!</v>
      </c>
      <c r="AK1351" s="1419" t="e">
        <f t="shared" si="470"/>
        <v>#VALUE!</v>
      </c>
      <c r="AL1351" s="1420" t="e">
        <f t="shared" si="471"/>
        <v>#VALUE!</v>
      </c>
      <c r="AM1351" s="1410"/>
      <c r="AN1351" s="1411"/>
      <c r="AO1351" s="1410"/>
      <c r="AP1351" s="1411"/>
      <c r="AQ1351" s="1128"/>
      <c r="AR1351" s="1173"/>
      <c r="AT1351" s="1173"/>
      <c r="AV1351" s="1173"/>
      <c r="AX1351" s="1173"/>
      <c r="AY1351" s="1176"/>
      <c r="AZ1351" s="1173"/>
    </row>
    <row r="1352" spans="1:52" s="2" customFormat="1" x14ac:dyDescent="0.25">
      <c r="A1352" s="164">
        <v>1252</v>
      </c>
      <c r="B1352" s="165">
        <v>41</v>
      </c>
      <c r="C1352" s="660">
        <v>849117041</v>
      </c>
      <c r="D1352" s="571" t="s">
        <v>1855</v>
      </c>
      <c r="E1352" s="578" t="s">
        <v>1070</v>
      </c>
      <c r="F1352" s="614">
        <v>2017</v>
      </c>
      <c r="G1352" s="1758" t="s">
        <v>28</v>
      </c>
      <c r="H1352" s="574" t="str">
        <f t="shared" si="466"/>
        <v xml:space="preserve">   </v>
      </c>
      <c r="I1352" s="574" t="str">
        <f t="shared" si="467"/>
        <v xml:space="preserve">   </v>
      </c>
      <c r="J1352" s="1366">
        <v>600000</v>
      </c>
      <c r="K1352" s="1360">
        <v>42942</v>
      </c>
      <c r="L1352" s="1366">
        <v>3000000</v>
      </c>
      <c r="M1352" s="1360">
        <v>42942</v>
      </c>
      <c r="N1352" s="1363">
        <v>0</v>
      </c>
      <c r="O1352" s="1367"/>
      <c r="P1352" s="1363">
        <v>0</v>
      </c>
      <c r="Q1352" s="1360"/>
      <c r="R1352" s="1363">
        <v>0</v>
      </c>
      <c r="S1352" s="1367"/>
      <c r="T1352" s="1363">
        <v>0</v>
      </c>
      <c r="U1352" s="1367"/>
      <c r="V1352" s="1731">
        <v>0</v>
      </c>
      <c r="W1352" s="1367" t="s">
        <v>783</v>
      </c>
      <c r="X1352" s="1731">
        <v>0</v>
      </c>
      <c r="Y1352" s="1367"/>
      <c r="Z1352" s="1363" t="str">
        <f t="shared" si="477"/>
        <v xml:space="preserve">  </v>
      </c>
      <c r="AA1352" s="1563" t="str">
        <f t="shared" si="478"/>
        <v xml:space="preserve">  </v>
      </c>
      <c r="AB1352" s="1714"/>
      <c r="AC1352" s="1367"/>
      <c r="AD1352" s="1666"/>
      <c r="AE1352" s="1590"/>
      <c r="AF1352" s="2061">
        <v>750000</v>
      </c>
      <c r="AG1352" s="2069"/>
      <c r="AH1352" s="2070" t="str">
        <f t="shared" si="472"/>
        <v>MPI-S2</v>
      </c>
      <c r="AI1352" s="1678">
        <f t="shared" si="468"/>
        <v>4350000</v>
      </c>
      <c r="AJ1352" s="1679" t="e">
        <f t="shared" si="469"/>
        <v>#VALUE!</v>
      </c>
      <c r="AK1352" s="1419" t="e">
        <f t="shared" si="470"/>
        <v>#VALUE!</v>
      </c>
      <c r="AL1352" s="1420" t="e">
        <f t="shared" si="471"/>
        <v>#VALUE!</v>
      </c>
      <c r="AM1352" s="1410"/>
      <c r="AN1352" s="1411"/>
      <c r="AO1352" s="1410"/>
      <c r="AP1352" s="1411"/>
      <c r="AQ1352" s="1128"/>
      <c r="AR1352" s="1173"/>
      <c r="AT1352" s="1173"/>
      <c r="AV1352" s="1173"/>
      <c r="AX1352" s="1173"/>
      <c r="AY1352" s="1176"/>
      <c r="AZ1352" s="1173"/>
    </row>
    <row r="1353" spans="1:52" s="2" customFormat="1" x14ac:dyDescent="0.25">
      <c r="A1353" s="156">
        <v>1253</v>
      </c>
      <c r="B1353" s="176">
        <v>42</v>
      </c>
      <c r="C1353" s="2014">
        <v>849117042</v>
      </c>
      <c r="D1353" s="575" t="s">
        <v>1856</v>
      </c>
      <c r="E1353" s="616" t="s">
        <v>1070</v>
      </c>
      <c r="F1353" s="611">
        <v>2017</v>
      </c>
      <c r="G1353" s="272" t="s">
        <v>33</v>
      </c>
      <c r="H1353" s="163">
        <f t="shared" si="466"/>
        <v>43678</v>
      </c>
      <c r="I1353" s="163">
        <f t="shared" si="467"/>
        <v>43750</v>
      </c>
      <c r="J1353" s="1364">
        <v>600000</v>
      </c>
      <c r="K1353" s="1365">
        <v>42937</v>
      </c>
      <c r="L1353" s="1364">
        <v>3000000</v>
      </c>
      <c r="M1353" s="1365">
        <v>42937</v>
      </c>
      <c r="N1353" s="2075">
        <v>3000000</v>
      </c>
      <c r="O1353" s="2042">
        <v>43115</v>
      </c>
      <c r="P1353" s="1431">
        <v>3000000</v>
      </c>
      <c r="Q1353" s="1365">
        <v>43290</v>
      </c>
      <c r="R1353" s="1358">
        <v>3000000</v>
      </c>
      <c r="S1353" s="1357">
        <v>43481</v>
      </c>
      <c r="T1353" s="1382" t="s">
        <v>1080</v>
      </c>
      <c r="U1353" s="1384"/>
      <c r="V1353" s="1363" t="s">
        <v>783</v>
      </c>
      <c r="W1353" s="1391" t="s">
        <v>783</v>
      </c>
      <c r="X1353" s="1363"/>
      <c r="Y1353" s="1391"/>
      <c r="Z1353" s="1363" t="str">
        <f t="shared" si="477"/>
        <v xml:space="preserve">  </v>
      </c>
      <c r="AA1353" s="1563" t="str">
        <f t="shared" si="478"/>
        <v xml:space="preserve">  </v>
      </c>
      <c r="AB1353" s="1714">
        <v>1000000</v>
      </c>
      <c r="AC1353" s="1367">
        <v>43637</v>
      </c>
      <c r="AD1353" s="1666"/>
      <c r="AE1353" s="1590"/>
      <c r="AF1353" s="1430">
        <v>750000</v>
      </c>
      <c r="AG1353" s="2069">
        <v>42969</v>
      </c>
      <c r="AH1353" s="2070" t="str">
        <f t="shared" si="472"/>
        <v>MPI-S2</v>
      </c>
      <c r="AI1353" s="1678">
        <f t="shared" si="468"/>
        <v>14350000</v>
      </c>
      <c r="AJ1353" s="1679" t="e">
        <f t="shared" si="469"/>
        <v>#VALUE!</v>
      </c>
      <c r="AK1353" s="1419" t="e">
        <f t="shared" si="470"/>
        <v>#VALUE!</v>
      </c>
      <c r="AL1353" s="1420" t="e">
        <f t="shared" si="471"/>
        <v>#VALUE!</v>
      </c>
      <c r="AM1353" s="1410"/>
      <c r="AN1353" s="1411"/>
      <c r="AO1353" s="1410"/>
      <c r="AP1353" s="1411"/>
      <c r="AQ1353" s="1128"/>
      <c r="AR1353" s="1173"/>
      <c r="AT1353" s="1173"/>
      <c r="AV1353" s="1173"/>
      <c r="AX1353" s="1173"/>
      <c r="AY1353" s="1176"/>
      <c r="AZ1353" s="1173"/>
    </row>
    <row r="1354" spans="1:52" s="2" customFormat="1" x14ac:dyDescent="0.25">
      <c r="A1354" s="164">
        <v>1254</v>
      </c>
      <c r="B1354" s="165">
        <v>43</v>
      </c>
      <c r="C1354" s="673">
        <v>849117043</v>
      </c>
      <c r="D1354" s="493" t="s">
        <v>1857</v>
      </c>
      <c r="E1354" s="329" t="s">
        <v>1070</v>
      </c>
      <c r="F1354" s="618">
        <v>2017</v>
      </c>
      <c r="G1354" s="329" t="s">
        <v>1077</v>
      </c>
      <c r="H1354" s="619" t="str">
        <f t="shared" si="466"/>
        <v xml:space="preserve">   </v>
      </c>
      <c r="I1354" s="619" t="str">
        <f t="shared" si="467"/>
        <v xml:space="preserve">   </v>
      </c>
      <c r="J1354" s="1366"/>
      <c r="K1354" s="1360"/>
      <c r="L1354" s="1366"/>
      <c r="M1354" s="1360"/>
      <c r="N1354" s="1363"/>
      <c r="O1354" s="1367"/>
      <c r="P1354" s="1430"/>
      <c r="Q1354" s="1360"/>
      <c r="R1354" s="1363"/>
      <c r="S1354" s="1367"/>
      <c r="T1354" s="1363"/>
      <c r="U1354" s="1367"/>
      <c r="V1354" s="1714" t="s">
        <v>783</v>
      </c>
      <c r="W1354" s="1391" t="s">
        <v>783</v>
      </c>
      <c r="X1354" s="1363"/>
      <c r="Y1354" s="1391"/>
      <c r="Z1354" s="1363" t="str">
        <f t="shared" si="477"/>
        <v xml:space="preserve">  </v>
      </c>
      <c r="AA1354" s="1563" t="str">
        <f t="shared" si="478"/>
        <v xml:space="preserve">  </v>
      </c>
      <c r="AB1354" s="1714"/>
      <c r="AC1354" s="1367"/>
      <c r="AD1354" s="1666"/>
      <c r="AE1354" s="1590"/>
      <c r="AF1354" s="2061">
        <v>500000</v>
      </c>
      <c r="AG1354" s="2069"/>
      <c r="AH1354" s="2070" t="str">
        <f t="shared" si="472"/>
        <v>MPI-S2</v>
      </c>
      <c r="AI1354" s="1678">
        <f t="shared" si="468"/>
        <v>500000</v>
      </c>
      <c r="AJ1354" s="1679" t="e">
        <f t="shared" si="469"/>
        <v>#VALUE!</v>
      </c>
      <c r="AK1354" s="1419" t="e">
        <f t="shared" si="470"/>
        <v>#VALUE!</v>
      </c>
      <c r="AL1354" s="1420" t="e">
        <f t="shared" si="471"/>
        <v>#VALUE!</v>
      </c>
      <c r="AM1354" s="1410"/>
      <c r="AN1354" s="1411"/>
      <c r="AO1354" s="1410"/>
      <c r="AP1354" s="1411"/>
      <c r="AQ1354" s="1128"/>
      <c r="AR1354" s="1173"/>
      <c r="AT1354" s="1173"/>
      <c r="AV1354" s="1173"/>
      <c r="AX1354" s="1173"/>
      <c r="AY1354" s="1176"/>
      <c r="AZ1354" s="1173"/>
    </row>
    <row r="1355" spans="1:52" s="2" customFormat="1" x14ac:dyDescent="0.25">
      <c r="A1355" s="156">
        <v>1255</v>
      </c>
      <c r="B1355" s="176">
        <v>44</v>
      </c>
      <c r="C1355" s="2014">
        <v>849117044</v>
      </c>
      <c r="D1355" s="177" t="s">
        <v>1858</v>
      </c>
      <c r="E1355" s="576" t="s">
        <v>1070</v>
      </c>
      <c r="F1355" s="611">
        <v>2017</v>
      </c>
      <c r="G1355" s="272" t="s">
        <v>33</v>
      </c>
      <c r="H1355" s="163">
        <f t="shared" si="466"/>
        <v>43797</v>
      </c>
      <c r="I1355" s="163">
        <f t="shared" si="467"/>
        <v>43818</v>
      </c>
      <c r="J1355" s="1364">
        <v>600000</v>
      </c>
      <c r="K1355" s="1365">
        <v>42941</v>
      </c>
      <c r="L1355" s="1364">
        <v>3000000</v>
      </c>
      <c r="M1355" s="1365">
        <v>42941</v>
      </c>
      <c r="N1355" s="1358">
        <v>3000000</v>
      </c>
      <c r="O1355" s="1357">
        <v>43115</v>
      </c>
      <c r="P1355" s="1431">
        <v>3000000</v>
      </c>
      <c r="Q1355" s="1365">
        <v>43294</v>
      </c>
      <c r="R1355" s="1358">
        <v>3000000</v>
      </c>
      <c r="S1355" s="1357">
        <v>43483</v>
      </c>
      <c r="T1355" s="1358">
        <v>3000000</v>
      </c>
      <c r="U1355" s="1357">
        <v>43651</v>
      </c>
      <c r="V1355" s="1714" t="s">
        <v>783</v>
      </c>
      <c r="W1355" s="1391" t="s">
        <v>783</v>
      </c>
      <c r="X1355" s="1363"/>
      <c r="Y1355" s="1391"/>
      <c r="Z1355" s="1363" t="str">
        <f t="shared" si="477"/>
        <v xml:space="preserve">  </v>
      </c>
      <c r="AA1355" s="1563" t="str">
        <f t="shared" si="478"/>
        <v xml:space="preserve">  </v>
      </c>
      <c r="AB1355" s="1385">
        <v>1000000</v>
      </c>
      <c r="AC1355" s="1357">
        <v>43791</v>
      </c>
      <c r="AD1355" s="1666"/>
      <c r="AE1355" s="1590"/>
      <c r="AF1355" s="1430">
        <v>750000</v>
      </c>
      <c r="AG1355" s="2069">
        <v>42972</v>
      </c>
      <c r="AH1355" s="2070" t="str">
        <f t="shared" si="472"/>
        <v>MPI-S2</v>
      </c>
      <c r="AI1355" s="1678">
        <f t="shared" si="468"/>
        <v>17350000</v>
      </c>
      <c r="AJ1355" s="1679" t="e">
        <f t="shared" si="469"/>
        <v>#VALUE!</v>
      </c>
      <c r="AK1355" s="1419" t="e">
        <f t="shared" si="470"/>
        <v>#VALUE!</v>
      </c>
      <c r="AL1355" s="1420" t="e">
        <f t="shared" si="471"/>
        <v>#VALUE!</v>
      </c>
      <c r="AM1355" s="1410"/>
      <c r="AN1355" s="1411"/>
      <c r="AO1355" s="1410"/>
      <c r="AP1355" s="1411"/>
      <c r="AQ1355" s="1128"/>
      <c r="AR1355" s="1173"/>
      <c r="AT1355" s="1173"/>
      <c r="AV1355" s="1173"/>
      <c r="AX1355" s="1173"/>
      <c r="AY1355" s="1176"/>
      <c r="AZ1355" s="1173"/>
    </row>
    <row r="1356" spans="1:52" s="2" customFormat="1" x14ac:dyDescent="0.25">
      <c r="A1356" s="156">
        <v>1256</v>
      </c>
      <c r="B1356" s="176">
        <v>45</v>
      </c>
      <c r="C1356" s="660">
        <v>849117045</v>
      </c>
      <c r="D1356" s="575" t="s">
        <v>1859</v>
      </c>
      <c r="E1356" s="576" t="s">
        <v>1070</v>
      </c>
      <c r="F1356" s="611">
        <v>2017</v>
      </c>
      <c r="G1356" s="272" t="s">
        <v>33</v>
      </c>
      <c r="H1356" s="163">
        <f t="shared" si="466"/>
        <v>44074</v>
      </c>
      <c r="I1356" s="574">
        <f t="shared" si="467"/>
        <v>44186</v>
      </c>
      <c r="J1356" s="1366">
        <v>600000</v>
      </c>
      <c r="K1356" s="1360">
        <v>42942</v>
      </c>
      <c r="L1356" s="1366">
        <v>3000000</v>
      </c>
      <c r="M1356" s="1360">
        <v>42942</v>
      </c>
      <c r="N1356" s="2076">
        <v>3000000</v>
      </c>
      <c r="O1356" s="2040">
        <v>43115</v>
      </c>
      <c r="P1356" s="1430">
        <v>3000000</v>
      </c>
      <c r="Q1356" s="1360">
        <v>43286</v>
      </c>
      <c r="R1356" s="1363">
        <v>3000000</v>
      </c>
      <c r="S1356" s="1367">
        <v>43482</v>
      </c>
      <c r="T1356" s="1363">
        <v>3000000</v>
      </c>
      <c r="U1356" s="1367">
        <v>43641</v>
      </c>
      <c r="V1356" s="1731">
        <v>3000000</v>
      </c>
      <c r="W1356" s="1367">
        <v>43859.6179513889</v>
      </c>
      <c r="X1356" s="1363"/>
      <c r="Y1356" s="1391"/>
      <c r="Z1356" s="1363" t="str">
        <f t="shared" si="477"/>
        <v xml:space="preserve">  </v>
      </c>
      <c r="AA1356" s="1563" t="str">
        <f t="shared" si="478"/>
        <v xml:space="preserve">  </v>
      </c>
      <c r="AB1356" s="1385">
        <v>1000000</v>
      </c>
      <c r="AC1356" s="1357">
        <v>43945</v>
      </c>
      <c r="AD1356" s="1809">
        <v>500000</v>
      </c>
      <c r="AE1356" s="1440">
        <v>44089</v>
      </c>
      <c r="AF1356" s="2061">
        <v>750000</v>
      </c>
      <c r="AG1356" s="2069"/>
      <c r="AH1356" s="2070" t="str">
        <f t="shared" si="472"/>
        <v>MPI-S2</v>
      </c>
      <c r="AI1356" s="1678">
        <f t="shared" si="468"/>
        <v>20850000</v>
      </c>
      <c r="AJ1356" s="1679" t="e">
        <f t="shared" si="469"/>
        <v>#VALUE!</v>
      </c>
      <c r="AK1356" s="1419" t="e">
        <f t="shared" si="470"/>
        <v>#VALUE!</v>
      </c>
      <c r="AL1356" s="1420" t="e">
        <f t="shared" si="471"/>
        <v>#VALUE!</v>
      </c>
      <c r="AM1356" s="1510"/>
      <c r="AN1356" s="1511"/>
      <c r="AO1356" s="1510"/>
      <c r="AP1356" s="1511"/>
      <c r="AQ1356" s="1128"/>
      <c r="AR1356" s="1173"/>
      <c r="AT1356" s="1173"/>
      <c r="AV1356" s="1173"/>
      <c r="AX1356" s="1173"/>
      <c r="AY1356" s="1176"/>
      <c r="AZ1356" s="1173"/>
    </row>
    <row r="1357" spans="1:52" s="2" customFormat="1" x14ac:dyDescent="0.25">
      <c r="A1357" s="180">
        <v>1257</v>
      </c>
      <c r="B1357" s="306">
        <v>46</v>
      </c>
      <c r="C1357" s="2084">
        <v>849117046</v>
      </c>
      <c r="D1357" s="620" t="s">
        <v>1860</v>
      </c>
      <c r="E1357" s="622" t="s">
        <v>1070</v>
      </c>
      <c r="F1357" s="623">
        <v>2017</v>
      </c>
      <c r="G1357" s="624" t="s">
        <v>33</v>
      </c>
      <c r="H1357" s="163">
        <f t="shared" si="466"/>
        <v>43594</v>
      </c>
      <c r="I1357" s="163">
        <f t="shared" si="467"/>
        <v>43705</v>
      </c>
      <c r="J1357" s="1432">
        <v>600000</v>
      </c>
      <c r="K1357" s="1433">
        <v>42936</v>
      </c>
      <c r="L1357" s="1587">
        <v>3000000</v>
      </c>
      <c r="M1357" s="1433">
        <v>42936</v>
      </c>
      <c r="N1357" s="2086">
        <v>3000000</v>
      </c>
      <c r="O1357" s="2087">
        <v>43110</v>
      </c>
      <c r="P1357" s="1587">
        <v>3000000</v>
      </c>
      <c r="Q1357" s="1433">
        <v>43291</v>
      </c>
      <c r="R1357" s="1434">
        <v>3000000</v>
      </c>
      <c r="S1357" s="1435">
        <v>43482</v>
      </c>
      <c r="T1357" s="1434">
        <v>3000000</v>
      </c>
      <c r="U1357" s="1435">
        <v>43560</v>
      </c>
      <c r="V1357" s="1714"/>
      <c r="W1357" s="1391"/>
      <c r="X1357" s="1363" t="str">
        <f>IFERROR(VLOOKUP(C1357,BSP,3,FALSE),"  ")</f>
        <v xml:space="preserve">  </v>
      </c>
      <c r="Y1357" s="1391" t="str">
        <f>IFERROR((VLOOKUP(C1357,BSP,4,FALSE)),"  ")</f>
        <v xml:space="preserve">  </v>
      </c>
      <c r="Z1357" s="1363" t="str">
        <f t="shared" si="477"/>
        <v xml:space="preserve">  </v>
      </c>
      <c r="AA1357" s="1563" t="str">
        <f t="shared" si="478"/>
        <v xml:space="preserve">  </v>
      </c>
      <c r="AB1357" s="1484">
        <v>1000000</v>
      </c>
      <c r="AC1357" s="1435">
        <v>43560</v>
      </c>
      <c r="AD1357" s="1666"/>
      <c r="AE1357" s="1590"/>
      <c r="AF1357" s="1448">
        <v>750000</v>
      </c>
      <c r="AG1357" s="2079">
        <v>42965</v>
      </c>
      <c r="AH1357" s="2080" t="str">
        <f t="shared" si="472"/>
        <v>MPI-S2</v>
      </c>
      <c r="AI1357" s="1678">
        <f t="shared" si="468"/>
        <v>17350000</v>
      </c>
      <c r="AJ1357" s="1679" t="e">
        <f t="shared" si="469"/>
        <v>#VALUE!</v>
      </c>
      <c r="AK1357" s="1419" t="e">
        <f t="shared" si="470"/>
        <v>#VALUE!</v>
      </c>
      <c r="AL1357" s="1420" t="e">
        <f t="shared" si="471"/>
        <v>#VALUE!</v>
      </c>
      <c r="AM1357" s="1410"/>
      <c r="AN1357" s="1411"/>
      <c r="AO1357" s="1410"/>
      <c r="AP1357" s="1411"/>
      <c r="AQ1357" s="1128"/>
      <c r="AR1357" s="1173"/>
      <c r="AT1357" s="1173"/>
      <c r="AV1357" s="1173"/>
      <c r="AX1357" s="1173"/>
      <c r="AY1357" s="1176"/>
      <c r="AZ1357" s="1173"/>
    </row>
    <row r="1358" spans="1:52" s="2" customFormat="1" x14ac:dyDescent="0.25">
      <c r="A1358" s="383"/>
      <c r="B1358" s="383"/>
      <c r="C1358" s="471"/>
      <c r="D1358" s="605"/>
      <c r="E1358" s="227" t="s">
        <v>61</v>
      </c>
      <c r="F1358" s="387" t="s">
        <v>61</v>
      </c>
      <c r="G1358" s="192" t="s">
        <v>61</v>
      </c>
      <c r="H1358" s="36" t="str">
        <f t="shared" si="466"/>
        <v xml:space="preserve">   </v>
      </c>
      <c r="I1358" s="36" t="str">
        <f t="shared" si="467"/>
        <v xml:space="preserve">   </v>
      </c>
      <c r="J1358" s="2088"/>
      <c r="K1358" s="1127"/>
      <c r="L1358" s="1769"/>
      <c r="M1358" s="1127"/>
      <c r="N1358" s="2024"/>
      <c r="O1358" s="1348"/>
      <c r="P1358" s="2024"/>
      <c r="Q1358" s="1348"/>
      <c r="R1358" s="2024"/>
      <c r="S1358" s="1378"/>
      <c r="T1358" s="2024"/>
      <c r="U1358" s="1348"/>
      <c r="V1358" s="2092"/>
      <c r="W1358" s="2093"/>
      <c r="X1358" s="2092"/>
      <c r="Y1358" s="2093"/>
      <c r="Z1358" s="2092"/>
      <c r="AA1358" s="2093"/>
      <c r="AB1358" s="2024"/>
      <c r="AC1358" s="1348"/>
      <c r="AD1358" s="1769"/>
      <c r="AE1358" s="1155"/>
      <c r="AF1358" s="1769"/>
      <c r="AG1358" s="1155"/>
      <c r="AH1358" s="1627" t="str">
        <f t="shared" si="472"/>
        <v>-</v>
      </c>
      <c r="AI1358" s="1512"/>
      <c r="AJ1358" s="1409"/>
      <c r="AK1358" s="1409"/>
      <c r="AL1358" s="1513"/>
      <c r="AM1358" s="1513"/>
      <c r="AN1358" s="1514"/>
      <c r="AO1358" s="1513"/>
      <c r="AP1358" s="1514"/>
      <c r="AQ1358" s="1128"/>
      <c r="AR1358" s="1173"/>
      <c r="AT1358" s="1173"/>
      <c r="AV1358" s="1173"/>
      <c r="AX1358" s="1173"/>
      <c r="AY1358" s="1176"/>
      <c r="AZ1358" s="1173"/>
    </row>
    <row r="1359" spans="1:52" s="2" customFormat="1" x14ac:dyDescent="0.25">
      <c r="A1359" s="625" t="s">
        <v>1861</v>
      </c>
      <c r="B1359" s="625"/>
      <c r="C1359" s="366"/>
      <c r="D1359" s="625"/>
      <c r="E1359" s="198" t="s">
        <v>1096</v>
      </c>
      <c r="F1359" s="199" t="s">
        <v>1096</v>
      </c>
      <c r="G1359" s="146">
        <v>3000000</v>
      </c>
      <c r="H1359" s="147" t="str">
        <f t="shared" si="466"/>
        <v xml:space="preserve">   </v>
      </c>
      <c r="I1359" s="147" t="str">
        <f t="shared" si="467"/>
        <v xml:space="preserve">   </v>
      </c>
      <c r="J1359" s="1349">
        <v>600000</v>
      </c>
      <c r="K1359" s="1529"/>
      <c r="L1359" s="1582" t="s">
        <v>1049</v>
      </c>
      <c r="M1359" s="1502" t="s">
        <v>1066</v>
      </c>
      <c r="N1359" s="1582" t="s">
        <v>1051</v>
      </c>
      <c r="O1359" s="1502" t="s">
        <v>1068</v>
      </c>
      <c r="P1359" s="1582" t="s">
        <v>1053</v>
      </c>
      <c r="Q1359" s="1502" t="s">
        <v>1141</v>
      </c>
      <c r="R1359" s="1582" t="s">
        <v>1055</v>
      </c>
      <c r="S1359" s="1502" t="s">
        <v>1325</v>
      </c>
      <c r="T1359" s="1582" t="s">
        <v>1057</v>
      </c>
      <c r="U1359" s="1502" t="s">
        <v>1463</v>
      </c>
      <c r="V1359" s="1582" t="s">
        <v>1059</v>
      </c>
      <c r="W1359" s="2094" t="s">
        <v>1464</v>
      </c>
      <c r="X1359" s="1582" t="s">
        <v>1061</v>
      </c>
      <c r="Y1359" s="2094" t="s">
        <v>1466</v>
      </c>
      <c r="Z1359" s="1582" t="s">
        <v>1063</v>
      </c>
      <c r="AA1359" s="1399" t="s">
        <v>1468</v>
      </c>
      <c r="AB1359" s="1450">
        <v>1000000</v>
      </c>
      <c r="AC1359" s="1663" t="s">
        <v>1326</v>
      </c>
      <c r="AD1359" s="1450">
        <v>500000</v>
      </c>
      <c r="AE1359" s="2005" t="s">
        <v>22</v>
      </c>
      <c r="AF1359" s="2059" t="s">
        <v>1753</v>
      </c>
      <c r="AG1359" s="2005" t="s">
        <v>1754</v>
      </c>
      <c r="AH1359" s="2058" t="str">
        <f t="shared" si="472"/>
        <v>#</v>
      </c>
      <c r="AI1359" s="1512"/>
      <c r="AJ1359" s="2098"/>
      <c r="AK1359" s="2098"/>
      <c r="AL1359" s="1513"/>
      <c r="AM1359" s="1513"/>
      <c r="AN1359" s="1514"/>
      <c r="AO1359" s="1513"/>
      <c r="AP1359" s="1514"/>
      <c r="AQ1359" s="1128"/>
      <c r="AR1359" s="1173"/>
      <c r="AT1359" s="1173"/>
      <c r="AV1359" s="1173"/>
      <c r="AX1359" s="1173"/>
      <c r="AY1359" s="1176"/>
      <c r="AZ1359" s="1173"/>
    </row>
    <row r="1360" spans="1:52" s="2" customFormat="1" x14ac:dyDescent="0.25">
      <c r="A1360" s="457">
        <v>1258</v>
      </c>
      <c r="B1360" s="608">
        <v>1</v>
      </c>
      <c r="C1360" s="659">
        <v>839217001</v>
      </c>
      <c r="D1360" s="609" t="s">
        <v>1862</v>
      </c>
      <c r="E1360" s="626" t="s">
        <v>1195</v>
      </c>
      <c r="F1360" s="627">
        <v>2017</v>
      </c>
      <c r="G1360" s="1758" t="s">
        <v>28</v>
      </c>
      <c r="H1360" s="570" t="str">
        <f t="shared" si="466"/>
        <v xml:space="preserve">   </v>
      </c>
      <c r="I1360" s="570" t="str">
        <f t="shared" si="467"/>
        <v xml:space="preserve">   </v>
      </c>
      <c r="J1360" s="1558">
        <v>600000</v>
      </c>
      <c r="K1360" s="1542">
        <v>42943</v>
      </c>
      <c r="L1360" s="1551">
        <v>3000000</v>
      </c>
      <c r="M1360" s="1542">
        <v>42943</v>
      </c>
      <c r="N1360" s="1543">
        <v>3000000</v>
      </c>
      <c r="O1360" s="1590">
        <v>43116</v>
      </c>
      <c r="P1360" s="1551">
        <v>3000000</v>
      </c>
      <c r="Q1360" s="1542">
        <v>43294</v>
      </c>
      <c r="R1360" s="1543">
        <v>3000000</v>
      </c>
      <c r="S1360" s="1590">
        <v>43483</v>
      </c>
      <c r="T1360" s="1941">
        <v>0</v>
      </c>
      <c r="U1360" s="2054"/>
      <c r="V1360" s="1731">
        <v>0</v>
      </c>
      <c r="W1360" s="1367"/>
      <c r="X1360" s="1731">
        <v>0</v>
      </c>
      <c r="Y1360" s="1367"/>
      <c r="Z1360" s="1363" t="str">
        <f>IFERROR(VLOOKUP(C1360,BSP,3,FALSE),"  ")</f>
        <v xml:space="preserve">  </v>
      </c>
      <c r="AA1360" s="1563" t="str">
        <f>IFERROR((VLOOKUP(C1360,BSP,4,FALSE)),"  ")</f>
        <v xml:space="preserve">  </v>
      </c>
      <c r="AB1360" s="1980"/>
      <c r="AC1360" s="1590"/>
      <c r="AD1360" s="1666"/>
      <c r="AE1360" s="1590"/>
      <c r="AF1360" s="2096">
        <v>750000</v>
      </c>
      <c r="AG1360" s="2067"/>
      <c r="AH1360" s="2068" t="str">
        <f t="shared" si="472"/>
        <v>ES</v>
      </c>
      <c r="AI1360" s="1678">
        <f t="shared" ref="AI1360:AI1396" si="479">SUM(J1360,L1360,N1360,P1360,R1360,T1360,V1360,X1360,Z1360,AB1360,AD1360,AF1360)</f>
        <v>13350000</v>
      </c>
      <c r="AJ1360" s="1679" t="e">
        <f t="shared" ref="AJ1360:AJ1396" si="480">(COUNT(L1360,N1360,P1360,R1360,T1360,V1360,X1360,Z1360)*$G$1256)+(COUNT(J1360)*$J$1256)+(COUNT(AB1360)*$AB$1256)+(COUNT(AD1360)*$AD$1256)+(COUNT(AF1360)*AH1360)</f>
        <v>#VALUE!</v>
      </c>
      <c r="AK1360" s="1419" t="e">
        <f t="shared" ref="AK1360:AK1396" si="481">AJ1360-AI1360</f>
        <v>#VALUE!</v>
      </c>
      <c r="AL1360" s="1420" t="e">
        <f t="shared" ref="AL1360:AL1396" si="482">IF(AK1360=0,"Lunas","Cek")</f>
        <v>#VALUE!</v>
      </c>
      <c r="AM1360" s="1410"/>
      <c r="AN1360" s="1411"/>
      <c r="AO1360" s="1410"/>
      <c r="AP1360" s="1411"/>
      <c r="AQ1360" s="1128"/>
      <c r="AR1360" s="1173"/>
      <c r="AT1360" s="1173"/>
      <c r="AV1360" s="1173"/>
      <c r="AX1360" s="1173"/>
      <c r="AY1360" s="1176"/>
      <c r="AZ1360" s="1173"/>
    </row>
    <row r="1361" spans="1:52" s="2" customFormat="1" x14ac:dyDescent="0.25">
      <c r="A1361" s="164">
        <v>1259</v>
      </c>
      <c r="B1361" s="165">
        <v>2</v>
      </c>
      <c r="C1361" s="660">
        <v>839217002</v>
      </c>
      <c r="D1361" s="571" t="s">
        <v>1863</v>
      </c>
      <c r="E1361" s="578" t="s">
        <v>1195</v>
      </c>
      <c r="F1361" s="614">
        <v>2017</v>
      </c>
      <c r="G1361" s="1758" t="s">
        <v>28</v>
      </c>
      <c r="H1361" s="580" t="str">
        <f t="shared" si="466"/>
        <v xml:space="preserve">   </v>
      </c>
      <c r="I1361" s="580" t="str">
        <f t="shared" si="467"/>
        <v xml:space="preserve">   </v>
      </c>
      <c r="J1361" s="1366">
        <v>600000</v>
      </c>
      <c r="K1361" s="1360">
        <v>42943</v>
      </c>
      <c r="L1361" s="1430">
        <v>3000000</v>
      </c>
      <c r="M1361" s="1360">
        <v>42943</v>
      </c>
      <c r="N1361" s="2076">
        <v>3000000</v>
      </c>
      <c r="O1361" s="2040">
        <v>43116</v>
      </c>
      <c r="P1361" s="1430">
        <v>3000000</v>
      </c>
      <c r="Q1361" s="1360">
        <v>43294</v>
      </c>
      <c r="R1361" s="1363">
        <v>3000000</v>
      </c>
      <c r="S1361" s="1367">
        <v>43500</v>
      </c>
      <c r="T1361" s="1363">
        <v>0</v>
      </c>
      <c r="U1361" s="1367" t="s">
        <v>783</v>
      </c>
      <c r="V1361" s="1731">
        <v>0</v>
      </c>
      <c r="W1361" s="1367"/>
      <c r="X1361" s="1731">
        <v>0</v>
      </c>
      <c r="Y1361" s="1367"/>
      <c r="Z1361" s="1363" t="str">
        <f>IFERROR(VLOOKUP(C1361,BSP,3,FALSE),"  ")</f>
        <v xml:space="preserve">  </v>
      </c>
      <c r="AA1361" s="1563" t="str">
        <f>IFERROR((VLOOKUP(C1361,BSP,4,FALSE)),"  ")</f>
        <v xml:space="preserve">  </v>
      </c>
      <c r="AB1361" s="1714"/>
      <c r="AC1361" s="1367"/>
      <c r="AD1361" s="1666"/>
      <c r="AE1361" s="1590"/>
      <c r="AF1361" s="1430">
        <v>750000</v>
      </c>
      <c r="AG1361" s="2099">
        <v>42984</v>
      </c>
      <c r="AH1361" s="2100" t="str">
        <f t="shared" si="472"/>
        <v>ES</v>
      </c>
      <c r="AI1361" s="1678">
        <f t="shared" si="479"/>
        <v>13350000</v>
      </c>
      <c r="AJ1361" s="1679" t="e">
        <f t="shared" si="480"/>
        <v>#VALUE!</v>
      </c>
      <c r="AK1361" s="1419" t="e">
        <f t="shared" si="481"/>
        <v>#VALUE!</v>
      </c>
      <c r="AL1361" s="1420" t="e">
        <f t="shared" si="482"/>
        <v>#VALUE!</v>
      </c>
      <c r="AM1361" s="1410"/>
      <c r="AN1361" s="1411"/>
      <c r="AO1361" s="1410"/>
      <c r="AP1361" s="1411"/>
      <c r="AQ1361" s="1128"/>
      <c r="AR1361" s="1173"/>
      <c r="AT1361" s="1173"/>
      <c r="AV1361" s="1173"/>
      <c r="AX1361" s="1173"/>
      <c r="AY1361" s="1176"/>
      <c r="AZ1361" s="1173"/>
    </row>
    <row r="1362" spans="1:52" s="2" customFormat="1" x14ac:dyDescent="0.25">
      <c r="A1362" s="164">
        <v>1260</v>
      </c>
      <c r="B1362" s="165">
        <v>3</v>
      </c>
      <c r="C1362" s="660">
        <v>839217003</v>
      </c>
      <c r="D1362" s="166" t="s">
        <v>1864</v>
      </c>
      <c r="E1362" s="578" t="s">
        <v>1195</v>
      </c>
      <c r="F1362" s="614">
        <v>2017</v>
      </c>
      <c r="G1362" s="360" t="s">
        <v>1483</v>
      </c>
      <c r="H1362" s="580" t="str">
        <f t="shared" si="466"/>
        <v xml:space="preserve">   </v>
      </c>
      <c r="I1362" s="580" t="str">
        <f t="shared" si="467"/>
        <v xml:space="preserve">   </v>
      </c>
      <c r="J1362" s="1366">
        <v>600000</v>
      </c>
      <c r="K1362" s="1360">
        <v>42944</v>
      </c>
      <c r="L1362" s="1430">
        <v>3000000</v>
      </c>
      <c r="M1362" s="1360">
        <v>42944</v>
      </c>
      <c r="N1362" s="2076">
        <v>3000000</v>
      </c>
      <c r="O1362" s="2040">
        <v>43110</v>
      </c>
      <c r="P1362" s="1430">
        <v>3000000</v>
      </c>
      <c r="Q1362" s="1360">
        <v>43292</v>
      </c>
      <c r="R1362" s="1363">
        <v>3000000</v>
      </c>
      <c r="S1362" s="1367">
        <v>43481</v>
      </c>
      <c r="T1362" s="1363">
        <v>3000000</v>
      </c>
      <c r="U1362" s="1367">
        <v>43635</v>
      </c>
      <c r="V1362" s="1731">
        <v>3000000</v>
      </c>
      <c r="W1362" s="1367">
        <v>43853.400995370401</v>
      </c>
      <c r="X1362" s="1731">
        <v>3000000</v>
      </c>
      <c r="Y1362" s="1367">
        <v>44095</v>
      </c>
      <c r="Z1362" s="1363" t="str">
        <f>IFERROR(VLOOKUP(C1362,BSP,3,FALSE),"  ")</f>
        <v xml:space="preserve">  </v>
      </c>
      <c r="AA1362" s="1563" t="str">
        <f>IFERROR((VLOOKUP(C1362,BSP,4,FALSE)),"  ")</f>
        <v xml:space="preserve">  </v>
      </c>
      <c r="AB1362" s="1714">
        <v>1000000</v>
      </c>
      <c r="AC1362" s="1367">
        <v>44095</v>
      </c>
      <c r="AD1362" s="1666"/>
      <c r="AE1362" s="1590"/>
      <c r="AF1362" s="2061"/>
      <c r="AG1362" s="2099"/>
      <c r="AH1362" s="2100" t="str">
        <f t="shared" si="472"/>
        <v>ES</v>
      </c>
      <c r="AI1362" s="1678">
        <f t="shared" si="479"/>
        <v>22600000</v>
      </c>
      <c r="AJ1362" s="1679" t="e">
        <f t="shared" si="480"/>
        <v>#VALUE!</v>
      </c>
      <c r="AK1362" s="1419" t="e">
        <f t="shared" si="481"/>
        <v>#VALUE!</v>
      </c>
      <c r="AL1362" s="1420" t="e">
        <f t="shared" si="482"/>
        <v>#VALUE!</v>
      </c>
      <c r="AM1362" s="1410"/>
      <c r="AN1362" s="1411"/>
      <c r="AO1362" s="1410"/>
      <c r="AP1362" s="1411"/>
      <c r="AQ1362" s="1128"/>
      <c r="AR1362" s="1173"/>
      <c r="AT1362" s="1173"/>
      <c r="AV1362" s="1173"/>
      <c r="AX1362" s="1173"/>
      <c r="AY1362" s="1176"/>
      <c r="AZ1362" s="1173"/>
    </row>
    <row r="1363" spans="1:52" s="2" customFormat="1" x14ac:dyDescent="0.25">
      <c r="A1363" s="164">
        <v>1261</v>
      </c>
      <c r="B1363" s="165">
        <v>4</v>
      </c>
      <c r="C1363" s="660">
        <v>839217004</v>
      </c>
      <c r="D1363" s="571" t="s">
        <v>1865</v>
      </c>
      <c r="E1363" s="578" t="s">
        <v>1195</v>
      </c>
      <c r="F1363" s="614">
        <v>2017</v>
      </c>
      <c r="G1363" s="360" t="s">
        <v>1483</v>
      </c>
      <c r="H1363" s="580" t="str">
        <f t="shared" si="466"/>
        <v xml:space="preserve">   </v>
      </c>
      <c r="I1363" s="580" t="str">
        <f t="shared" si="467"/>
        <v xml:space="preserve">   </v>
      </c>
      <c r="J1363" s="1366">
        <v>600000</v>
      </c>
      <c r="K1363" s="1360">
        <v>42941</v>
      </c>
      <c r="L1363" s="1430">
        <v>3000000</v>
      </c>
      <c r="M1363" s="1360">
        <v>42941</v>
      </c>
      <c r="N1363" s="1363">
        <v>3000000</v>
      </c>
      <c r="O1363" s="1367">
        <v>43112</v>
      </c>
      <c r="P1363" s="1430">
        <v>3000000</v>
      </c>
      <c r="Q1363" s="1360">
        <v>43293</v>
      </c>
      <c r="R1363" s="1363">
        <v>3000000</v>
      </c>
      <c r="S1363" s="1367">
        <v>43483</v>
      </c>
      <c r="T1363" s="1363">
        <v>3000000</v>
      </c>
      <c r="U1363" s="1367">
        <v>43644</v>
      </c>
      <c r="V1363" s="1731">
        <v>3000000</v>
      </c>
      <c r="W1363" s="1367">
        <v>43861.345601851899</v>
      </c>
      <c r="X1363" s="1731">
        <v>3000000</v>
      </c>
      <c r="Y1363" s="1367">
        <v>44071.402870370403</v>
      </c>
      <c r="Z1363" s="1363"/>
      <c r="AA1363" s="1563"/>
      <c r="AB1363" s="1714"/>
      <c r="AC1363" s="1367"/>
      <c r="AD1363" s="1666"/>
      <c r="AE1363" s="1590"/>
      <c r="AF1363" s="1430">
        <v>750000</v>
      </c>
      <c r="AG1363" s="2099">
        <v>42971</v>
      </c>
      <c r="AH1363" s="2100" t="str">
        <f t="shared" si="472"/>
        <v>ES</v>
      </c>
      <c r="AI1363" s="1678">
        <f t="shared" si="479"/>
        <v>22350000</v>
      </c>
      <c r="AJ1363" s="1679" t="e">
        <f t="shared" si="480"/>
        <v>#VALUE!</v>
      </c>
      <c r="AK1363" s="1419" t="e">
        <f t="shared" si="481"/>
        <v>#VALUE!</v>
      </c>
      <c r="AL1363" s="1420" t="e">
        <f t="shared" si="482"/>
        <v>#VALUE!</v>
      </c>
      <c r="AM1363" s="1410"/>
      <c r="AN1363" s="1411"/>
      <c r="AO1363" s="1410"/>
      <c r="AP1363" s="1411"/>
      <c r="AQ1363" s="1128"/>
      <c r="AR1363" s="1173"/>
      <c r="AT1363" s="1173"/>
      <c r="AV1363" s="1173"/>
      <c r="AX1363" s="1173"/>
      <c r="AY1363" s="1176"/>
      <c r="AZ1363" s="1173"/>
    </row>
    <row r="1364" spans="1:52" s="2" customFormat="1" x14ac:dyDescent="0.25">
      <c r="A1364" s="164">
        <v>1262</v>
      </c>
      <c r="B1364" s="165">
        <v>5</v>
      </c>
      <c r="C1364" s="660">
        <v>839217005</v>
      </c>
      <c r="D1364" s="571" t="s">
        <v>1866</v>
      </c>
      <c r="E1364" s="578" t="s">
        <v>1195</v>
      </c>
      <c r="F1364" s="614">
        <v>2017</v>
      </c>
      <c r="G1364" s="1758" t="s">
        <v>28</v>
      </c>
      <c r="H1364" s="580" t="str">
        <f t="shared" si="466"/>
        <v xml:space="preserve">   </v>
      </c>
      <c r="I1364" s="580" t="str">
        <f t="shared" si="467"/>
        <v xml:space="preserve">   </v>
      </c>
      <c r="J1364" s="1366">
        <v>600000</v>
      </c>
      <c r="K1364" s="1360">
        <v>42943</v>
      </c>
      <c r="L1364" s="1430">
        <v>3000000</v>
      </c>
      <c r="M1364" s="1360">
        <v>42943</v>
      </c>
      <c r="N1364" s="1363">
        <v>3000000</v>
      </c>
      <c r="O1364" s="1367">
        <v>43115</v>
      </c>
      <c r="P1364" s="1186" t="s">
        <v>1078</v>
      </c>
      <c r="Q1364" s="1386">
        <v>43353</v>
      </c>
      <c r="R1364" s="1363">
        <v>0</v>
      </c>
      <c r="S1364" s="1367"/>
      <c r="T1364" s="1363">
        <v>0</v>
      </c>
      <c r="U1364" s="1367"/>
      <c r="V1364" s="1731">
        <v>0</v>
      </c>
      <c r="W1364" s="1367" t="s">
        <v>783</v>
      </c>
      <c r="X1364" s="1731">
        <v>0</v>
      </c>
      <c r="Y1364" s="1367"/>
      <c r="Z1364" s="1363" t="str">
        <f>IFERROR(VLOOKUP(C1364,BSP,3,FALSE),"  ")</f>
        <v xml:space="preserve">  </v>
      </c>
      <c r="AA1364" s="1563" t="str">
        <f>IFERROR((VLOOKUP(C1364,BSP,4,FALSE)),"  ")</f>
        <v xml:space="preserve">  </v>
      </c>
      <c r="AB1364" s="1714"/>
      <c r="AC1364" s="1367"/>
      <c r="AD1364" s="1666"/>
      <c r="AE1364" s="1590"/>
      <c r="AF1364" s="1430">
        <v>750000</v>
      </c>
      <c r="AG1364" s="2099">
        <v>42972</v>
      </c>
      <c r="AH1364" s="2100" t="str">
        <f t="shared" si="472"/>
        <v>ES</v>
      </c>
      <c r="AI1364" s="1678">
        <f t="shared" si="479"/>
        <v>7350000</v>
      </c>
      <c r="AJ1364" s="1679" t="e">
        <f t="shared" si="480"/>
        <v>#VALUE!</v>
      </c>
      <c r="AK1364" s="1419" t="e">
        <f t="shared" si="481"/>
        <v>#VALUE!</v>
      </c>
      <c r="AL1364" s="1420" t="e">
        <f t="shared" si="482"/>
        <v>#VALUE!</v>
      </c>
      <c r="AM1364" s="1410"/>
      <c r="AN1364" s="1411"/>
      <c r="AO1364" s="1410"/>
      <c r="AP1364" s="1411"/>
      <c r="AQ1364" s="1128"/>
      <c r="AR1364" s="1173"/>
      <c r="AT1364" s="1173"/>
      <c r="AV1364" s="1173"/>
      <c r="AX1364" s="1173"/>
      <c r="AY1364" s="1176"/>
      <c r="AZ1364" s="1173"/>
    </row>
    <row r="1365" spans="1:52" s="2" customFormat="1" x14ac:dyDescent="0.25">
      <c r="A1365" s="156">
        <v>1263</v>
      </c>
      <c r="B1365" s="176">
        <v>6</v>
      </c>
      <c r="C1365" s="2014">
        <v>839217006</v>
      </c>
      <c r="D1365" s="575" t="s">
        <v>1867</v>
      </c>
      <c r="E1365" s="593" t="s">
        <v>1195</v>
      </c>
      <c r="F1365" s="613">
        <v>2017</v>
      </c>
      <c r="G1365" s="272" t="s">
        <v>33</v>
      </c>
      <c r="H1365" s="163">
        <f t="shared" si="466"/>
        <v>44053</v>
      </c>
      <c r="I1365" s="163">
        <f t="shared" ref="I1365:I1429" si="483">IFERROR(VLOOKUP(C1365,Wis,4,FALSE),"   ")</f>
        <v>44168</v>
      </c>
      <c r="J1365" s="1364">
        <v>600000</v>
      </c>
      <c r="K1365" s="1365">
        <v>42943</v>
      </c>
      <c r="L1365" s="1431">
        <v>3000000</v>
      </c>
      <c r="M1365" s="1365">
        <v>42943</v>
      </c>
      <c r="N1365" s="1358">
        <v>3000000</v>
      </c>
      <c r="O1365" s="1357">
        <v>43115</v>
      </c>
      <c r="P1365" s="1431">
        <v>3000000</v>
      </c>
      <c r="Q1365" s="1365">
        <v>43292</v>
      </c>
      <c r="R1365" s="1358">
        <v>3000000</v>
      </c>
      <c r="S1365" s="1357">
        <v>43482</v>
      </c>
      <c r="T1365" s="1358">
        <v>3000000</v>
      </c>
      <c r="U1365" s="1357">
        <v>43671</v>
      </c>
      <c r="V1365" s="1874">
        <v>3000000</v>
      </c>
      <c r="W1365" s="1357">
        <v>43861.488414351901</v>
      </c>
      <c r="X1365" s="1363"/>
      <c r="Y1365" s="1391"/>
      <c r="Z1365" s="1363"/>
      <c r="AA1365" s="1563"/>
      <c r="AB1365" s="1385">
        <v>1000000</v>
      </c>
      <c r="AC1365" s="1357">
        <v>44026</v>
      </c>
      <c r="AD1365" s="1809">
        <v>500000</v>
      </c>
      <c r="AE1365" s="1440">
        <v>44055.801145833299</v>
      </c>
      <c r="AF1365" s="1430">
        <v>750000</v>
      </c>
      <c r="AG1365" s="2099">
        <v>42972</v>
      </c>
      <c r="AH1365" s="2100" t="str">
        <f t="shared" si="472"/>
        <v>ES</v>
      </c>
      <c r="AI1365" s="1678">
        <f t="shared" si="479"/>
        <v>20850000</v>
      </c>
      <c r="AJ1365" s="1679" t="e">
        <f t="shared" si="480"/>
        <v>#VALUE!</v>
      </c>
      <c r="AK1365" s="1419" t="e">
        <f t="shared" si="481"/>
        <v>#VALUE!</v>
      </c>
      <c r="AL1365" s="1420" t="e">
        <f t="shared" si="482"/>
        <v>#VALUE!</v>
      </c>
      <c r="AM1365" s="1410"/>
      <c r="AN1365" s="1411"/>
      <c r="AO1365" s="1410"/>
      <c r="AP1365" s="1411"/>
      <c r="AQ1365" s="1128"/>
      <c r="AR1365" s="1173"/>
      <c r="AT1365" s="1173"/>
      <c r="AV1365" s="1173"/>
      <c r="AX1365" s="1173"/>
      <c r="AY1365" s="1176"/>
      <c r="AZ1365" s="1173"/>
    </row>
    <row r="1366" spans="1:52" s="2" customFormat="1" x14ac:dyDescent="0.25">
      <c r="A1366" s="156">
        <v>1264</v>
      </c>
      <c r="B1366" s="176">
        <v>7</v>
      </c>
      <c r="C1366" s="2014">
        <v>839217007</v>
      </c>
      <c r="D1366" s="575" t="s">
        <v>1868</v>
      </c>
      <c r="E1366" s="593" t="s">
        <v>1195</v>
      </c>
      <c r="F1366" s="613">
        <v>2017</v>
      </c>
      <c r="G1366" s="272" t="s">
        <v>33</v>
      </c>
      <c r="H1366" s="163">
        <f t="shared" ref="H1366:H1429" si="484">IFERROR(VLOOKUP(C1366,Tlus,3,FALSE),"   ")</f>
        <v>43655</v>
      </c>
      <c r="I1366" s="163">
        <f t="shared" si="483"/>
        <v>43750</v>
      </c>
      <c r="J1366" s="1364">
        <v>600000</v>
      </c>
      <c r="K1366" s="1365">
        <v>42942</v>
      </c>
      <c r="L1366" s="1431">
        <v>3000000</v>
      </c>
      <c r="M1366" s="1365">
        <v>42942</v>
      </c>
      <c r="N1366" s="2075">
        <v>3000000</v>
      </c>
      <c r="O1366" s="2042">
        <v>43115</v>
      </c>
      <c r="P1366" s="1431">
        <v>3000000</v>
      </c>
      <c r="Q1366" s="1365">
        <v>43292</v>
      </c>
      <c r="R1366" s="1358">
        <v>3000000</v>
      </c>
      <c r="S1366" s="1357">
        <v>43481</v>
      </c>
      <c r="T1366" s="1465" t="s">
        <v>1080</v>
      </c>
      <c r="U1366" s="1391"/>
      <c r="V1366" s="1363"/>
      <c r="W1366" s="1391"/>
      <c r="X1366" s="1363" t="str">
        <f>IFERROR(VLOOKUP(C1366,BSP,3,FALSE),"  ")</f>
        <v xml:space="preserve">  </v>
      </c>
      <c r="Y1366" s="1391" t="str">
        <f>IFERROR((VLOOKUP(C1366,BSP,4,FALSE)),"  ")</f>
        <v xml:space="preserve">  </v>
      </c>
      <c r="Z1366" s="1363" t="str">
        <f>IFERROR(VLOOKUP(C1366,BSP,3,FALSE),"  ")</f>
        <v xml:space="preserve">  </v>
      </c>
      <c r="AA1366" s="1563" t="str">
        <f>IFERROR((VLOOKUP(C1366,BSP,4,FALSE)),"  ")</f>
        <v xml:space="preserve">  </v>
      </c>
      <c r="AB1366" s="1385">
        <v>1000000</v>
      </c>
      <c r="AC1366" s="1357">
        <v>43629</v>
      </c>
      <c r="AD1366" s="1666"/>
      <c r="AE1366" s="1590"/>
      <c r="AF1366" s="1430">
        <v>500000</v>
      </c>
      <c r="AG1366" s="2099">
        <v>42971</v>
      </c>
      <c r="AH1366" s="2100" t="str">
        <f t="shared" si="472"/>
        <v>ES</v>
      </c>
      <c r="AI1366" s="1678">
        <f t="shared" si="479"/>
        <v>14100000</v>
      </c>
      <c r="AJ1366" s="1679" t="e">
        <f t="shared" si="480"/>
        <v>#VALUE!</v>
      </c>
      <c r="AK1366" s="1419" t="e">
        <f t="shared" si="481"/>
        <v>#VALUE!</v>
      </c>
      <c r="AL1366" s="1420" t="e">
        <f t="shared" si="482"/>
        <v>#VALUE!</v>
      </c>
      <c r="AM1366" s="1410"/>
      <c r="AN1366" s="1411"/>
      <c r="AO1366" s="1410"/>
      <c r="AP1366" s="1411"/>
      <c r="AQ1366" s="1128"/>
      <c r="AR1366" s="1173"/>
      <c r="AT1366" s="1173"/>
      <c r="AV1366" s="1173"/>
      <c r="AX1366" s="1173"/>
      <c r="AY1366" s="1176"/>
      <c r="AZ1366" s="1173"/>
    </row>
    <row r="1367" spans="1:52" s="2" customFormat="1" x14ac:dyDescent="0.25">
      <c r="A1367" s="164">
        <v>1265</v>
      </c>
      <c r="B1367" s="165">
        <v>8</v>
      </c>
      <c r="C1367" s="660">
        <v>839217008</v>
      </c>
      <c r="D1367" s="571" t="s">
        <v>1869</v>
      </c>
      <c r="E1367" s="578" t="s">
        <v>1195</v>
      </c>
      <c r="F1367" s="614">
        <v>2017</v>
      </c>
      <c r="G1367" s="1758" t="s">
        <v>28</v>
      </c>
      <c r="H1367" s="215" t="str">
        <f t="shared" si="484"/>
        <v xml:space="preserve">   </v>
      </c>
      <c r="I1367" s="580" t="str">
        <f t="shared" si="483"/>
        <v xml:space="preserve">   </v>
      </c>
      <c r="J1367" s="1366">
        <v>600000</v>
      </c>
      <c r="K1367" s="1360">
        <v>42943</v>
      </c>
      <c r="L1367" s="1430">
        <v>3000000</v>
      </c>
      <c r="M1367" s="1360">
        <v>42943</v>
      </c>
      <c r="N1367" s="1363">
        <v>3000000</v>
      </c>
      <c r="O1367" s="1367">
        <v>43111</v>
      </c>
      <c r="P1367" s="1430">
        <v>3000000</v>
      </c>
      <c r="Q1367" s="1360">
        <v>43290</v>
      </c>
      <c r="R1367" s="1363">
        <v>3000000</v>
      </c>
      <c r="S1367" s="1367">
        <v>43482</v>
      </c>
      <c r="T1367" s="1363">
        <v>3000000</v>
      </c>
      <c r="U1367" s="1367">
        <v>43643</v>
      </c>
      <c r="V1367" s="1731">
        <v>0</v>
      </c>
      <c r="W1367" s="1367"/>
      <c r="X1367" s="1731">
        <v>0</v>
      </c>
      <c r="Y1367" s="1367"/>
      <c r="Z1367" s="1363" t="str">
        <f>IFERROR(VLOOKUP(C1367,BSP,3,FALSE),"  ")</f>
        <v xml:space="preserve">  </v>
      </c>
      <c r="AA1367" s="1563" t="str">
        <f>IFERROR((VLOOKUP(C1367,BSP,4,FALSE)),"  ")</f>
        <v xml:space="preserve">  </v>
      </c>
      <c r="AB1367" s="1714"/>
      <c r="AC1367" s="1367"/>
      <c r="AD1367" s="1666"/>
      <c r="AE1367" s="1590"/>
      <c r="AF1367" s="1430">
        <v>750000</v>
      </c>
      <c r="AG1367" s="2099">
        <v>42972</v>
      </c>
      <c r="AH1367" s="2100" t="str">
        <f t="shared" si="472"/>
        <v>ES</v>
      </c>
      <c r="AI1367" s="1678">
        <f t="shared" si="479"/>
        <v>16350000</v>
      </c>
      <c r="AJ1367" s="1679" t="e">
        <f t="shared" si="480"/>
        <v>#VALUE!</v>
      </c>
      <c r="AK1367" s="1419" t="e">
        <f t="shared" si="481"/>
        <v>#VALUE!</v>
      </c>
      <c r="AL1367" s="1420" t="e">
        <f t="shared" si="482"/>
        <v>#VALUE!</v>
      </c>
      <c r="AM1367" s="1410"/>
      <c r="AN1367" s="1411"/>
      <c r="AO1367" s="1410"/>
      <c r="AP1367" s="1411"/>
      <c r="AQ1367" s="1128"/>
      <c r="AR1367" s="1173"/>
      <c r="AT1367" s="1173"/>
      <c r="AV1367" s="1173"/>
      <c r="AX1367" s="1173"/>
      <c r="AY1367" s="1176"/>
      <c r="AZ1367" s="1173"/>
    </row>
    <row r="1368" spans="1:52" s="2" customFormat="1" x14ac:dyDescent="0.25">
      <c r="A1368" s="156">
        <v>1266</v>
      </c>
      <c r="B1368" s="176">
        <v>9</v>
      </c>
      <c r="C1368" s="2014">
        <v>839217009</v>
      </c>
      <c r="D1368" s="575" t="s">
        <v>1870</v>
      </c>
      <c r="E1368" s="593" t="s">
        <v>1195</v>
      </c>
      <c r="F1368" s="613">
        <v>2017</v>
      </c>
      <c r="G1368" s="272" t="s">
        <v>33</v>
      </c>
      <c r="H1368" s="163">
        <f t="shared" si="484"/>
        <v>43839</v>
      </c>
      <c r="I1368" s="163">
        <f t="shared" si="483"/>
        <v>44058</v>
      </c>
      <c r="J1368" s="1364">
        <v>600000</v>
      </c>
      <c r="K1368" s="1365">
        <v>42943</v>
      </c>
      <c r="L1368" s="1431">
        <v>3000000</v>
      </c>
      <c r="M1368" s="1365">
        <v>42943</v>
      </c>
      <c r="N1368" s="2075">
        <v>3000000</v>
      </c>
      <c r="O1368" s="2042">
        <v>43116</v>
      </c>
      <c r="P1368" s="1431">
        <v>3000000</v>
      </c>
      <c r="Q1368" s="1365">
        <v>43294</v>
      </c>
      <c r="R1368" s="1358">
        <v>3000000</v>
      </c>
      <c r="S1368" s="1357">
        <v>43483</v>
      </c>
      <c r="T1368" s="1358">
        <v>3000000</v>
      </c>
      <c r="U1368" s="1357">
        <v>43671</v>
      </c>
      <c r="V1368" s="1363" t="str">
        <f t="shared" ref="V1368" si="485">IFERROR(VLOOKUP(H1368,BSP,3,FALSE),"  ")</f>
        <v xml:space="preserve">  </v>
      </c>
      <c r="W1368" s="1391"/>
      <c r="X1368" s="1363" t="str">
        <f>IFERROR(VLOOKUP(C1368,BSP,3,FALSE),"  ")</f>
        <v xml:space="preserve">  </v>
      </c>
      <c r="Y1368" s="1391" t="str">
        <f>IFERROR((VLOOKUP(C1368,BSP,4,FALSE)),"  ")</f>
        <v xml:space="preserve">  </v>
      </c>
      <c r="Z1368" s="1363" t="str">
        <f>IFERROR(VLOOKUP(C1368,BSP,3,FALSE),"  ")</f>
        <v xml:space="preserve">  </v>
      </c>
      <c r="AA1368" s="1563" t="str">
        <f>IFERROR((VLOOKUP(C1368,BSP,4,FALSE)),"  ")</f>
        <v xml:space="preserve">  </v>
      </c>
      <c r="AB1368" s="1385">
        <v>1000000</v>
      </c>
      <c r="AC1368" s="1357">
        <v>43826</v>
      </c>
      <c r="AD1368" s="1809">
        <v>500000</v>
      </c>
      <c r="AE1368" s="1440">
        <v>43866</v>
      </c>
      <c r="AF1368" s="1430">
        <v>750000</v>
      </c>
      <c r="AG1368" s="2099">
        <v>42972</v>
      </c>
      <c r="AH1368" s="2100" t="str">
        <f t="shared" si="472"/>
        <v>ES</v>
      </c>
      <c r="AI1368" s="1678">
        <f t="shared" si="479"/>
        <v>17850000</v>
      </c>
      <c r="AJ1368" s="1679" t="e">
        <f t="shared" si="480"/>
        <v>#VALUE!</v>
      </c>
      <c r="AK1368" s="1419" t="e">
        <f t="shared" si="481"/>
        <v>#VALUE!</v>
      </c>
      <c r="AL1368" s="1420" t="e">
        <f t="shared" si="482"/>
        <v>#VALUE!</v>
      </c>
      <c r="AM1368" s="1410"/>
      <c r="AN1368" s="1411"/>
      <c r="AO1368" s="1410"/>
      <c r="AP1368" s="1411"/>
      <c r="AQ1368" s="1128"/>
      <c r="AR1368" s="1173"/>
      <c r="AT1368" s="1173"/>
      <c r="AV1368" s="1173"/>
      <c r="AX1368" s="1173"/>
      <c r="AY1368" s="1176"/>
      <c r="AZ1368" s="1173"/>
    </row>
    <row r="1369" spans="1:52" s="2" customFormat="1" x14ac:dyDescent="0.25">
      <c r="A1369" s="164">
        <v>1267</v>
      </c>
      <c r="B1369" s="165">
        <v>10</v>
      </c>
      <c r="C1369" s="660">
        <v>839217010</v>
      </c>
      <c r="D1369" s="571" t="s">
        <v>1871</v>
      </c>
      <c r="E1369" s="585" t="s">
        <v>1195</v>
      </c>
      <c r="F1369" s="614">
        <v>2017</v>
      </c>
      <c r="G1369" s="1758" t="s">
        <v>28</v>
      </c>
      <c r="H1369" s="215" t="str">
        <f t="shared" si="484"/>
        <v xml:space="preserve">   </v>
      </c>
      <c r="I1369" s="580" t="str">
        <f t="shared" si="483"/>
        <v xml:space="preserve">   </v>
      </c>
      <c r="J1369" s="1366">
        <v>600000</v>
      </c>
      <c r="K1369" s="1360">
        <v>42936</v>
      </c>
      <c r="L1369" s="1430">
        <v>3000000</v>
      </c>
      <c r="M1369" s="1360">
        <v>42936</v>
      </c>
      <c r="N1369" s="1186" t="s">
        <v>1842</v>
      </c>
      <c r="O1369" s="1386"/>
      <c r="P1369" s="1186" t="s">
        <v>1842</v>
      </c>
      <c r="Q1369" s="1386"/>
      <c r="R1369" s="1363">
        <v>0</v>
      </c>
      <c r="S1369" s="1367"/>
      <c r="T1369" s="1363">
        <v>0</v>
      </c>
      <c r="U1369" s="1367"/>
      <c r="V1369" s="1731">
        <v>0</v>
      </c>
      <c r="W1369" s="1367"/>
      <c r="X1369" s="1731">
        <v>0</v>
      </c>
      <c r="Y1369" s="1367"/>
      <c r="Z1369" s="1363" t="str">
        <f>IFERROR(VLOOKUP(C1369,BSP,3,FALSE),"  ")</f>
        <v xml:space="preserve">  </v>
      </c>
      <c r="AA1369" s="1563" t="str">
        <f>IFERROR((VLOOKUP(C1369,BSP,4,FALSE)),"  ")</f>
        <v xml:space="preserve">  </v>
      </c>
      <c r="AB1369" s="1714"/>
      <c r="AC1369" s="1367"/>
      <c r="AD1369" s="1666"/>
      <c r="AE1369" s="1590"/>
      <c r="AF1369" s="1430">
        <v>750000</v>
      </c>
      <c r="AG1369" s="2099">
        <v>42971</v>
      </c>
      <c r="AH1369" s="2100" t="str">
        <f t="shared" si="472"/>
        <v>ES</v>
      </c>
      <c r="AI1369" s="1678">
        <f t="shared" si="479"/>
        <v>4350000</v>
      </c>
      <c r="AJ1369" s="1679" t="e">
        <f t="shared" si="480"/>
        <v>#VALUE!</v>
      </c>
      <c r="AK1369" s="1419" t="e">
        <f t="shared" si="481"/>
        <v>#VALUE!</v>
      </c>
      <c r="AL1369" s="1420" t="e">
        <f t="shared" si="482"/>
        <v>#VALUE!</v>
      </c>
      <c r="AM1369" s="1410"/>
      <c r="AN1369" s="1411"/>
      <c r="AO1369" s="1410"/>
      <c r="AP1369" s="1411"/>
      <c r="AQ1369" s="1128"/>
      <c r="AR1369" s="1173"/>
      <c r="AT1369" s="1173"/>
      <c r="AV1369" s="1173"/>
      <c r="AX1369" s="1173"/>
      <c r="AY1369" s="1176"/>
      <c r="AZ1369" s="1173"/>
    </row>
    <row r="1370" spans="1:52" s="2" customFormat="1" x14ac:dyDescent="0.25">
      <c r="A1370" s="164">
        <v>1268</v>
      </c>
      <c r="B1370" s="165">
        <v>11</v>
      </c>
      <c r="C1370" s="660">
        <v>839217011</v>
      </c>
      <c r="D1370" s="571" t="s">
        <v>1872</v>
      </c>
      <c r="E1370" s="578" t="s">
        <v>1195</v>
      </c>
      <c r="F1370" s="614">
        <v>2017</v>
      </c>
      <c r="G1370" s="1758" t="s">
        <v>28</v>
      </c>
      <c r="H1370" s="215" t="str">
        <f t="shared" si="484"/>
        <v xml:space="preserve">   </v>
      </c>
      <c r="I1370" s="580" t="str">
        <f t="shared" si="483"/>
        <v xml:space="preserve">   </v>
      </c>
      <c r="J1370" s="1366">
        <v>600000</v>
      </c>
      <c r="K1370" s="1360">
        <v>42940</v>
      </c>
      <c r="L1370" s="1430">
        <v>3000000</v>
      </c>
      <c r="M1370" s="1360">
        <v>42940</v>
      </c>
      <c r="N1370" s="1363">
        <v>3000000</v>
      </c>
      <c r="O1370" s="1367">
        <v>43112</v>
      </c>
      <c r="P1370" s="1430">
        <v>3000000</v>
      </c>
      <c r="Q1370" s="1360">
        <v>43292</v>
      </c>
      <c r="R1370" s="1363">
        <v>3000000</v>
      </c>
      <c r="S1370" s="1367">
        <v>43483</v>
      </c>
      <c r="T1370" s="1363">
        <v>3000000</v>
      </c>
      <c r="U1370" s="1367">
        <v>43643</v>
      </c>
      <c r="V1370" s="1731">
        <v>3000000</v>
      </c>
      <c r="W1370" s="1367">
        <v>43879</v>
      </c>
      <c r="X1370" s="1731">
        <v>0</v>
      </c>
      <c r="Y1370" s="1367"/>
      <c r="Z1370" s="1363" t="str">
        <f>IFERROR(VLOOKUP(C1370,BSP,3,FALSE),"  ")</f>
        <v xml:space="preserve">  </v>
      </c>
      <c r="AA1370" s="1563" t="str">
        <f>IFERROR((VLOOKUP(C1370,BSP,4,FALSE)),"  ")</f>
        <v xml:space="preserve">  </v>
      </c>
      <c r="AB1370" s="1714"/>
      <c r="AC1370" s="1367"/>
      <c r="AD1370" s="1666"/>
      <c r="AE1370" s="1590"/>
      <c r="AF1370" s="1430">
        <v>750000</v>
      </c>
      <c r="AG1370" s="2099">
        <v>42972</v>
      </c>
      <c r="AH1370" s="2100" t="str">
        <f t="shared" si="472"/>
        <v>ES</v>
      </c>
      <c r="AI1370" s="1678">
        <f t="shared" si="479"/>
        <v>19350000</v>
      </c>
      <c r="AJ1370" s="1679" t="e">
        <f t="shared" si="480"/>
        <v>#VALUE!</v>
      </c>
      <c r="AK1370" s="1419" t="e">
        <f t="shared" si="481"/>
        <v>#VALUE!</v>
      </c>
      <c r="AL1370" s="1420" t="e">
        <f t="shared" si="482"/>
        <v>#VALUE!</v>
      </c>
      <c r="AM1370" s="1410"/>
      <c r="AN1370" s="1411"/>
      <c r="AO1370" s="1410"/>
      <c r="AP1370" s="1411"/>
      <c r="AQ1370" s="1128"/>
      <c r="AR1370" s="1173"/>
      <c r="AT1370" s="1173"/>
      <c r="AV1370" s="1173"/>
      <c r="AX1370" s="1173"/>
      <c r="AY1370" s="1176"/>
      <c r="AZ1370" s="1173"/>
    </row>
    <row r="1371" spans="1:52" s="2" customFormat="1" x14ac:dyDescent="0.25">
      <c r="A1371" s="164">
        <v>1269</v>
      </c>
      <c r="B1371" s="165">
        <v>12</v>
      </c>
      <c r="C1371" s="660">
        <v>839217012</v>
      </c>
      <c r="D1371" s="571" t="s">
        <v>1873</v>
      </c>
      <c r="E1371" s="585" t="s">
        <v>1195</v>
      </c>
      <c r="F1371" s="614">
        <v>2017</v>
      </c>
      <c r="G1371" s="360" t="s">
        <v>1483</v>
      </c>
      <c r="H1371" s="215" t="str">
        <f t="shared" si="484"/>
        <v xml:space="preserve">   </v>
      </c>
      <c r="I1371" s="580" t="str">
        <f t="shared" si="483"/>
        <v xml:space="preserve">   </v>
      </c>
      <c r="J1371" s="1366">
        <v>600000</v>
      </c>
      <c r="K1371" s="1360">
        <v>42944</v>
      </c>
      <c r="L1371" s="1430">
        <v>3000000</v>
      </c>
      <c r="M1371" s="1360">
        <v>42944</v>
      </c>
      <c r="N1371" s="1363">
        <v>3000000</v>
      </c>
      <c r="O1371" s="1367">
        <v>43116</v>
      </c>
      <c r="P1371" s="1430">
        <v>3000000</v>
      </c>
      <c r="Q1371" s="1360">
        <v>43294</v>
      </c>
      <c r="R1371" s="1363">
        <v>3000000</v>
      </c>
      <c r="S1371" s="1367">
        <v>43483</v>
      </c>
      <c r="T1371" s="1363">
        <v>3000000</v>
      </c>
      <c r="U1371" s="1367">
        <v>43644</v>
      </c>
      <c r="V1371" s="1731">
        <v>3000000</v>
      </c>
      <c r="W1371" s="1367">
        <v>44071.5954166667</v>
      </c>
      <c r="X1371" s="1731">
        <v>3000000</v>
      </c>
      <c r="Y1371" s="1367">
        <v>44071.5954166667</v>
      </c>
      <c r="Z1371" s="1363"/>
      <c r="AA1371" s="1563"/>
      <c r="AB1371" s="1714">
        <v>1000000</v>
      </c>
      <c r="AC1371" s="1367">
        <v>44173</v>
      </c>
      <c r="AD1371" s="1666"/>
      <c r="AE1371" s="1590"/>
      <c r="AF1371" s="2061">
        <v>750000</v>
      </c>
      <c r="AG1371" s="2099"/>
      <c r="AH1371" s="2100" t="str">
        <f t="shared" si="472"/>
        <v>ES</v>
      </c>
      <c r="AI1371" s="1678">
        <f t="shared" si="479"/>
        <v>23350000</v>
      </c>
      <c r="AJ1371" s="1679" t="e">
        <f t="shared" si="480"/>
        <v>#VALUE!</v>
      </c>
      <c r="AK1371" s="1419" t="e">
        <f t="shared" si="481"/>
        <v>#VALUE!</v>
      </c>
      <c r="AL1371" s="1420" t="e">
        <f t="shared" si="482"/>
        <v>#VALUE!</v>
      </c>
      <c r="AM1371" s="1410"/>
      <c r="AN1371" s="1411"/>
      <c r="AO1371" s="1410"/>
      <c r="AP1371" s="1411"/>
      <c r="AQ1371" s="1128"/>
      <c r="AR1371" s="1173"/>
      <c r="AT1371" s="1173"/>
      <c r="AV1371" s="1173"/>
      <c r="AX1371" s="1173"/>
      <c r="AY1371" s="1176"/>
      <c r="AZ1371" s="1173"/>
    </row>
    <row r="1372" spans="1:52" s="2" customFormat="1" x14ac:dyDescent="0.25">
      <c r="A1372" s="164">
        <v>1270</v>
      </c>
      <c r="B1372" s="165">
        <v>13</v>
      </c>
      <c r="C1372" s="660">
        <v>839217013</v>
      </c>
      <c r="D1372" s="571" t="s">
        <v>1874</v>
      </c>
      <c r="E1372" s="585" t="s">
        <v>1195</v>
      </c>
      <c r="F1372" s="614">
        <v>2017</v>
      </c>
      <c r="G1372" s="1758" t="s">
        <v>28</v>
      </c>
      <c r="H1372" s="215" t="str">
        <f t="shared" si="484"/>
        <v xml:space="preserve">   </v>
      </c>
      <c r="I1372" s="580" t="str">
        <f t="shared" si="483"/>
        <v xml:space="preserve">   </v>
      </c>
      <c r="J1372" s="1366">
        <v>600000</v>
      </c>
      <c r="K1372" s="1360">
        <v>42944</v>
      </c>
      <c r="L1372" s="1430">
        <v>3000000</v>
      </c>
      <c r="M1372" s="1360">
        <v>42944</v>
      </c>
      <c r="N1372" s="1186" t="s">
        <v>1842</v>
      </c>
      <c r="O1372" s="1386"/>
      <c r="P1372" s="1186" t="s">
        <v>1842</v>
      </c>
      <c r="Q1372" s="1386"/>
      <c r="R1372" s="1363">
        <v>0</v>
      </c>
      <c r="S1372" s="1367"/>
      <c r="T1372" s="1363">
        <v>0</v>
      </c>
      <c r="U1372" s="1367"/>
      <c r="V1372" s="1731">
        <v>0</v>
      </c>
      <c r="W1372" s="1367"/>
      <c r="X1372" s="1731">
        <v>0</v>
      </c>
      <c r="Y1372" s="1367"/>
      <c r="Z1372" s="1363" t="str">
        <f t="shared" ref="Z1372:Z1396" si="486">IFERROR(VLOOKUP(C1372,BSP,3,FALSE),"  ")</f>
        <v xml:space="preserve">  </v>
      </c>
      <c r="AA1372" s="1563" t="str">
        <f t="shared" ref="AA1372:AA1396" si="487">IFERROR((VLOOKUP(C1372,BSP,4,FALSE)),"  ")</f>
        <v xml:space="preserve">  </v>
      </c>
      <c r="AB1372" s="1714"/>
      <c r="AC1372" s="1367"/>
      <c r="AD1372" s="1666"/>
      <c r="AE1372" s="1590"/>
      <c r="AF1372" s="2061">
        <v>750000</v>
      </c>
      <c r="AG1372" s="2099"/>
      <c r="AH1372" s="2100" t="str">
        <f t="shared" si="472"/>
        <v>ES</v>
      </c>
      <c r="AI1372" s="1678">
        <f t="shared" si="479"/>
        <v>4350000</v>
      </c>
      <c r="AJ1372" s="1679" t="e">
        <f t="shared" si="480"/>
        <v>#VALUE!</v>
      </c>
      <c r="AK1372" s="1419" t="e">
        <f t="shared" si="481"/>
        <v>#VALUE!</v>
      </c>
      <c r="AL1372" s="1420" t="e">
        <f t="shared" si="482"/>
        <v>#VALUE!</v>
      </c>
      <c r="AM1372" s="1410"/>
      <c r="AN1372" s="1411"/>
      <c r="AO1372" s="1410"/>
      <c r="AP1372" s="1411"/>
      <c r="AQ1372" s="1128"/>
      <c r="AR1372" s="1173"/>
      <c r="AT1372" s="1173"/>
      <c r="AV1372" s="1173"/>
      <c r="AX1372" s="1173"/>
      <c r="AY1372" s="1176"/>
      <c r="AZ1372" s="1173"/>
    </row>
    <row r="1373" spans="1:52" s="2" customFormat="1" x14ac:dyDescent="0.25">
      <c r="A1373" s="164">
        <v>1271</v>
      </c>
      <c r="B1373" s="165">
        <v>14</v>
      </c>
      <c r="C1373" s="660">
        <v>839217014</v>
      </c>
      <c r="D1373" s="571" t="s">
        <v>1875</v>
      </c>
      <c r="E1373" s="578" t="s">
        <v>1195</v>
      </c>
      <c r="F1373" s="614">
        <v>2017</v>
      </c>
      <c r="G1373" s="360" t="s">
        <v>1483</v>
      </c>
      <c r="H1373" s="215" t="str">
        <f t="shared" si="484"/>
        <v xml:space="preserve">   </v>
      </c>
      <c r="I1373" s="580" t="str">
        <f t="shared" si="483"/>
        <v xml:space="preserve">   </v>
      </c>
      <c r="J1373" s="1366">
        <v>600000</v>
      </c>
      <c r="K1373" s="1360">
        <v>42943</v>
      </c>
      <c r="L1373" s="1430">
        <v>3000000</v>
      </c>
      <c r="M1373" s="1360">
        <v>42943</v>
      </c>
      <c r="N1373" s="1363">
        <v>3000000</v>
      </c>
      <c r="O1373" s="1367">
        <v>43112</v>
      </c>
      <c r="P1373" s="1430">
        <v>3000000</v>
      </c>
      <c r="Q1373" s="1360">
        <v>43291</v>
      </c>
      <c r="R1373" s="1363">
        <v>3000000</v>
      </c>
      <c r="S1373" s="1367">
        <v>43482</v>
      </c>
      <c r="T1373" s="1982" t="s">
        <v>1078</v>
      </c>
      <c r="U1373" s="1386">
        <v>43628</v>
      </c>
      <c r="V1373" s="1731">
        <v>3000000</v>
      </c>
      <c r="W1373" s="1367">
        <v>43858.395902777796</v>
      </c>
      <c r="X1373" s="1731">
        <v>3000000</v>
      </c>
      <c r="Y1373" s="1367">
        <v>44095</v>
      </c>
      <c r="Z1373" s="1363" t="str">
        <f t="shared" si="486"/>
        <v xml:space="preserve">  </v>
      </c>
      <c r="AA1373" s="1563" t="str">
        <f t="shared" si="487"/>
        <v xml:space="preserve">  </v>
      </c>
      <c r="AB1373" s="1714"/>
      <c r="AC1373" s="1367"/>
      <c r="AD1373" s="1666"/>
      <c r="AE1373" s="1590"/>
      <c r="AF1373" s="1430">
        <v>750000</v>
      </c>
      <c r="AG1373" s="2099">
        <v>42971</v>
      </c>
      <c r="AH1373" s="2100" t="str">
        <f t="shared" si="472"/>
        <v>ES</v>
      </c>
      <c r="AI1373" s="1678">
        <f t="shared" si="479"/>
        <v>19350000</v>
      </c>
      <c r="AJ1373" s="1679" t="e">
        <f t="shared" si="480"/>
        <v>#VALUE!</v>
      </c>
      <c r="AK1373" s="1419" t="e">
        <f t="shared" si="481"/>
        <v>#VALUE!</v>
      </c>
      <c r="AL1373" s="1420" t="e">
        <f t="shared" si="482"/>
        <v>#VALUE!</v>
      </c>
      <c r="AM1373" s="1410"/>
      <c r="AN1373" s="1411"/>
      <c r="AO1373" s="1410"/>
      <c r="AP1373" s="1411"/>
      <c r="AQ1373" s="1128"/>
      <c r="AR1373" s="1173"/>
      <c r="AT1373" s="1173"/>
      <c r="AV1373" s="1173"/>
      <c r="AX1373" s="1173"/>
      <c r="AY1373" s="1176"/>
      <c r="AZ1373" s="1173"/>
    </row>
    <row r="1374" spans="1:52" s="2" customFormat="1" x14ac:dyDescent="0.25">
      <c r="A1374" s="156">
        <v>1272</v>
      </c>
      <c r="B1374" s="176">
        <v>15</v>
      </c>
      <c r="C1374" s="2014">
        <v>839217015</v>
      </c>
      <c r="D1374" s="575" t="s">
        <v>1876</v>
      </c>
      <c r="E1374" s="593" t="s">
        <v>1195</v>
      </c>
      <c r="F1374" s="613">
        <v>2017</v>
      </c>
      <c r="G1374" s="272" t="s">
        <v>33</v>
      </c>
      <c r="H1374" s="163">
        <f t="shared" si="484"/>
        <v>43635</v>
      </c>
      <c r="I1374" s="628">
        <f t="shared" si="483"/>
        <v>43705</v>
      </c>
      <c r="J1374" s="1364">
        <v>600000</v>
      </c>
      <c r="K1374" s="1365">
        <v>42942</v>
      </c>
      <c r="L1374" s="1431">
        <v>3000000</v>
      </c>
      <c r="M1374" s="1365">
        <v>42942</v>
      </c>
      <c r="N1374" s="1358">
        <v>3000000</v>
      </c>
      <c r="O1374" s="1357">
        <v>43112</v>
      </c>
      <c r="P1374" s="1431">
        <v>3000000</v>
      </c>
      <c r="Q1374" s="1365">
        <v>43290</v>
      </c>
      <c r="R1374" s="1358">
        <v>3000000</v>
      </c>
      <c r="S1374" s="1357">
        <v>43483</v>
      </c>
      <c r="T1374" s="1363" t="str">
        <f t="shared" ref="T1374" si="488">IFERROR(VLOOKUP(F1374,BSP,3,FALSE),"  ")</f>
        <v xml:space="preserve">  </v>
      </c>
      <c r="U1374" s="1391" t="str">
        <f t="shared" ref="U1374" si="489">IFERROR((VLOOKUP(F1374,BSP,4,FALSE)),"  ")</f>
        <v xml:space="preserve">  </v>
      </c>
      <c r="V1374" s="1363"/>
      <c r="W1374" s="1563"/>
      <c r="X1374" s="1363" t="str">
        <f>IFERROR(VLOOKUP(C1374,BSP,3,FALSE),"  ")</f>
        <v xml:space="preserve">  </v>
      </c>
      <c r="Y1374" s="1391" t="str">
        <f>IFERROR((VLOOKUP(C1374,BSP,4,FALSE)),"  ")</f>
        <v xml:space="preserve">  </v>
      </c>
      <c r="Z1374" s="1363" t="str">
        <f t="shared" si="486"/>
        <v xml:space="preserve">  </v>
      </c>
      <c r="AA1374" s="1563" t="str">
        <f t="shared" si="487"/>
        <v xml:space="preserve">  </v>
      </c>
      <c r="AB1374" s="1385">
        <v>1000000</v>
      </c>
      <c r="AC1374" s="1357">
        <v>43628</v>
      </c>
      <c r="AD1374" s="1666"/>
      <c r="AE1374" s="1590"/>
      <c r="AF1374" s="1430">
        <v>750000</v>
      </c>
      <c r="AG1374" s="2099">
        <v>42971</v>
      </c>
      <c r="AH1374" s="2100" t="str">
        <f t="shared" si="472"/>
        <v>ES</v>
      </c>
      <c r="AI1374" s="1678">
        <f t="shared" si="479"/>
        <v>14350000</v>
      </c>
      <c r="AJ1374" s="1679" t="e">
        <f t="shared" si="480"/>
        <v>#VALUE!</v>
      </c>
      <c r="AK1374" s="1419" t="e">
        <f t="shared" si="481"/>
        <v>#VALUE!</v>
      </c>
      <c r="AL1374" s="1420" t="e">
        <f t="shared" si="482"/>
        <v>#VALUE!</v>
      </c>
      <c r="AM1374" s="1410"/>
      <c r="AN1374" s="1411"/>
      <c r="AO1374" s="1410"/>
      <c r="AP1374" s="1411"/>
      <c r="AQ1374" s="1128"/>
      <c r="AR1374" s="1173"/>
      <c r="AT1374" s="1173"/>
      <c r="AV1374" s="1173"/>
      <c r="AX1374" s="1173"/>
      <c r="AY1374" s="1176"/>
      <c r="AZ1374" s="1173"/>
    </row>
    <row r="1375" spans="1:52" s="2" customFormat="1" x14ac:dyDescent="0.25">
      <c r="A1375" s="164">
        <v>1273</v>
      </c>
      <c r="B1375" s="165">
        <v>16</v>
      </c>
      <c r="C1375" s="660">
        <v>839217016</v>
      </c>
      <c r="D1375" s="571" t="s">
        <v>1877</v>
      </c>
      <c r="E1375" s="578" t="s">
        <v>1195</v>
      </c>
      <c r="F1375" s="614">
        <v>2017</v>
      </c>
      <c r="G1375" s="1758" t="s">
        <v>28</v>
      </c>
      <c r="H1375" s="215" t="str">
        <f t="shared" si="484"/>
        <v xml:space="preserve">   </v>
      </c>
      <c r="I1375" s="580" t="str">
        <f t="shared" si="483"/>
        <v xml:space="preserve">   </v>
      </c>
      <c r="J1375" s="1366">
        <v>600000</v>
      </c>
      <c r="K1375" s="1360">
        <v>42942</v>
      </c>
      <c r="L1375" s="1430">
        <v>3000000</v>
      </c>
      <c r="M1375" s="1360">
        <v>42942</v>
      </c>
      <c r="N1375" s="2076">
        <v>3000000</v>
      </c>
      <c r="O1375" s="2040">
        <v>43116</v>
      </c>
      <c r="P1375" s="1430">
        <v>3000000</v>
      </c>
      <c r="Q1375" s="1360">
        <v>43293</v>
      </c>
      <c r="R1375" s="1363">
        <v>3000000</v>
      </c>
      <c r="S1375" s="1367">
        <v>43483</v>
      </c>
      <c r="T1375" s="1363">
        <v>3000000</v>
      </c>
      <c r="U1375" s="1367">
        <v>43644</v>
      </c>
      <c r="V1375" s="1731">
        <v>0</v>
      </c>
      <c r="W1375" s="1367"/>
      <c r="X1375" s="1731">
        <v>0</v>
      </c>
      <c r="Y1375" s="1367"/>
      <c r="Z1375" s="1363" t="str">
        <f t="shared" si="486"/>
        <v xml:space="preserve">  </v>
      </c>
      <c r="AA1375" s="1563" t="str">
        <f t="shared" si="487"/>
        <v xml:space="preserve">  </v>
      </c>
      <c r="AB1375" s="1714"/>
      <c r="AC1375" s="1367"/>
      <c r="AD1375" s="1666"/>
      <c r="AE1375" s="1590"/>
      <c r="AF1375" s="1430">
        <v>750000</v>
      </c>
      <c r="AG1375" s="2099">
        <v>42972</v>
      </c>
      <c r="AH1375" s="2100" t="str">
        <f t="shared" si="472"/>
        <v>ES</v>
      </c>
      <c r="AI1375" s="1678">
        <f t="shared" si="479"/>
        <v>16350000</v>
      </c>
      <c r="AJ1375" s="1679" t="e">
        <f t="shared" si="480"/>
        <v>#VALUE!</v>
      </c>
      <c r="AK1375" s="1419" t="e">
        <f t="shared" si="481"/>
        <v>#VALUE!</v>
      </c>
      <c r="AL1375" s="1420" t="e">
        <f t="shared" si="482"/>
        <v>#VALUE!</v>
      </c>
      <c r="AM1375" s="1410"/>
      <c r="AN1375" s="1411"/>
      <c r="AO1375" s="1410"/>
      <c r="AP1375" s="1411"/>
      <c r="AQ1375" s="1128"/>
      <c r="AR1375" s="1173"/>
      <c r="AT1375" s="1173"/>
      <c r="AV1375" s="1173"/>
      <c r="AX1375" s="1173"/>
      <c r="AY1375" s="1176"/>
      <c r="AZ1375" s="1173"/>
    </row>
    <row r="1376" spans="1:52" s="2" customFormat="1" x14ac:dyDescent="0.25">
      <c r="A1376" s="156">
        <v>1274</v>
      </c>
      <c r="B1376" s="176">
        <v>17</v>
      </c>
      <c r="C1376" s="517">
        <v>839217017</v>
      </c>
      <c r="D1376" s="575" t="s">
        <v>1878</v>
      </c>
      <c r="E1376" s="593" t="s">
        <v>1195</v>
      </c>
      <c r="F1376" s="613">
        <v>2017</v>
      </c>
      <c r="G1376" s="272" t="s">
        <v>33</v>
      </c>
      <c r="H1376" s="163">
        <f t="shared" si="484"/>
        <v>43837</v>
      </c>
      <c r="I1376" s="628">
        <f t="shared" si="483"/>
        <v>44058</v>
      </c>
      <c r="J1376" s="1364">
        <v>600000</v>
      </c>
      <c r="K1376" s="1365">
        <v>42943</v>
      </c>
      <c r="L1376" s="1431">
        <v>3000000</v>
      </c>
      <c r="M1376" s="1365">
        <v>42943</v>
      </c>
      <c r="N1376" s="2089">
        <v>3000000</v>
      </c>
      <c r="O1376" s="2090">
        <v>43116</v>
      </c>
      <c r="P1376" s="1431">
        <v>3000000</v>
      </c>
      <c r="Q1376" s="1365">
        <v>43290</v>
      </c>
      <c r="R1376" s="1431">
        <v>3000000</v>
      </c>
      <c r="S1376" s="1365">
        <v>43483</v>
      </c>
      <c r="T1376" s="1431">
        <v>3000000</v>
      </c>
      <c r="U1376" s="1365">
        <v>43669</v>
      </c>
      <c r="V1376" s="1714"/>
      <c r="W1376" s="1391"/>
      <c r="X1376" s="1363" t="str">
        <f>IFERROR(VLOOKUP(C1376,BSP,3,FALSE),"  ")</f>
        <v xml:space="preserve">  </v>
      </c>
      <c r="Y1376" s="1391" t="str">
        <f>IFERROR((VLOOKUP(C1376,BSP,4,FALSE)),"  ")</f>
        <v xml:space="preserve">  </v>
      </c>
      <c r="Z1376" s="1363" t="str">
        <f t="shared" si="486"/>
        <v xml:space="preserve">  </v>
      </c>
      <c r="AA1376" s="1563" t="str">
        <f t="shared" si="487"/>
        <v xml:space="preserve">  </v>
      </c>
      <c r="AB1376" s="1385">
        <v>1000000</v>
      </c>
      <c r="AC1376" s="1357">
        <v>43815</v>
      </c>
      <c r="AD1376" s="1666"/>
      <c r="AE1376" s="1590"/>
      <c r="AF1376" s="1430">
        <v>750000</v>
      </c>
      <c r="AG1376" s="2099">
        <v>42969</v>
      </c>
      <c r="AH1376" s="2100" t="str">
        <f t="shared" si="472"/>
        <v>ES</v>
      </c>
      <c r="AI1376" s="1678">
        <f t="shared" si="479"/>
        <v>17350000</v>
      </c>
      <c r="AJ1376" s="1679" t="e">
        <f t="shared" si="480"/>
        <v>#VALUE!</v>
      </c>
      <c r="AK1376" s="1419" t="e">
        <f t="shared" si="481"/>
        <v>#VALUE!</v>
      </c>
      <c r="AL1376" s="1420" t="e">
        <f t="shared" si="482"/>
        <v>#VALUE!</v>
      </c>
      <c r="AM1376" s="1410"/>
      <c r="AN1376" s="1411"/>
      <c r="AO1376" s="1410"/>
      <c r="AP1376" s="1411"/>
      <c r="AQ1376" s="1128"/>
      <c r="AR1376" s="1173"/>
      <c r="AT1376" s="1173"/>
      <c r="AV1376" s="1173"/>
      <c r="AX1376" s="1173"/>
      <c r="AY1376" s="1176"/>
      <c r="AZ1376" s="1173"/>
    </row>
    <row r="1377" spans="1:52" s="2" customFormat="1" x14ac:dyDescent="0.25">
      <c r="A1377" s="156">
        <v>1275</v>
      </c>
      <c r="B1377" s="176">
        <v>18</v>
      </c>
      <c r="C1377" s="517">
        <v>839217018</v>
      </c>
      <c r="D1377" s="575" t="s">
        <v>1879</v>
      </c>
      <c r="E1377" s="593" t="s">
        <v>1195</v>
      </c>
      <c r="F1377" s="613">
        <v>2017</v>
      </c>
      <c r="G1377" s="272" t="s">
        <v>33</v>
      </c>
      <c r="H1377" s="163">
        <f t="shared" si="484"/>
        <v>43648</v>
      </c>
      <c r="I1377" s="628">
        <f t="shared" si="483"/>
        <v>43750</v>
      </c>
      <c r="J1377" s="1364">
        <v>600000</v>
      </c>
      <c r="K1377" s="1365">
        <v>42943</v>
      </c>
      <c r="L1377" s="1431">
        <v>3000000</v>
      </c>
      <c r="M1377" s="1365">
        <v>42943</v>
      </c>
      <c r="N1377" s="2075">
        <v>3000000</v>
      </c>
      <c r="O1377" s="2042">
        <v>43112</v>
      </c>
      <c r="P1377" s="1431">
        <v>3000000</v>
      </c>
      <c r="Q1377" s="1365">
        <v>43291</v>
      </c>
      <c r="R1377" s="1358">
        <v>3000000</v>
      </c>
      <c r="S1377" s="1357">
        <v>43483</v>
      </c>
      <c r="T1377" s="1465" t="s">
        <v>1080</v>
      </c>
      <c r="U1377" s="1391"/>
      <c r="V1377" s="1363"/>
      <c r="W1377" s="1391"/>
      <c r="X1377" s="1363" t="str">
        <f>IFERROR(VLOOKUP(C1377,BSP,3,FALSE),"  ")</f>
        <v xml:space="preserve">  </v>
      </c>
      <c r="Y1377" s="1391" t="str">
        <f>IFERROR((VLOOKUP(C1377,BSP,4,FALSE)),"  ")</f>
        <v xml:space="preserve">  </v>
      </c>
      <c r="Z1377" s="1363" t="str">
        <f t="shared" si="486"/>
        <v xml:space="preserve">  </v>
      </c>
      <c r="AA1377" s="1563" t="str">
        <f t="shared" si="487"/>
        <v xml:space="preserve">  </v>
      </c>
      <c r="AB1377" s="1385">
        <v>1000000</v>
      </c>
      <c r="AC1377" s="1357">
        <v>43636</v>
      </c>
      <c r="AD1377" s="1666"/>
      <c r="AE1377" s="1590"/>
      <c r="AF1377" s="1430">
        <v>250000</v>
      </c>
      <c r="AG1377" s="2099">
        <v>42971</v>
      </c>
      <c r="AH1377" s="2100" t="str">
        <f t="shared" si="472"/>
        <v>ES</v>
      </c>
      <c r="AI1377" s="1678">
        <f t="shared" si="479"/>
        <v>13850000</v>
      </c>
      <c r="AJ1377" s="1679" t="e">
        <f t="shared" si="480"/>
        <v>#VALUE!</v>
      </c>
      <c r="AK1377" s="1419" t="e">
        <f t="shared" si="481"/>
        <v>#VALUE!</v>
      </c>
      <c r="AL1377" s="1420" t="e">
        <f t="shared" si="482"/>
        <v>#VALUE!</v>
      </c>
      <c r="AM1377" s="1410"/>
      <c r="AN1377" s="1411"/>
      <c r="AO1377" s="1410"/>
      <c r="AP1377" s="1411"/>
      <c r="AQ1377" s="1128"/>
      <c r="AR1377" s="1173"/>
      <c r="AT1377" s="1173"/>
      <c r="AV1377" s="1173"/>
      <c r="AX1377" s="1173"/>
      <c r="AY1377" s="1176"/>
      <c r="AZ1377" s="1173"/>
    </row>
    <row r="1378" spans="1:52" s="2" customFormat="1" x14ac:dyDescent="0.25">
      <c r="A1378" s="156">
        <v>1276</v>
      </c>
      <c r="B1378" s="176">
        <v>19</v>
      </c>
      <c r="C1378" s="2014">
        <v>839217019</v>
      </c>
      <c r="D1378" s="575" t="s">
        <v>1880</v>
      </c>
      <c r="E1378" s="593" t="s">
        <v>1195</v>
      </c>
      <c r="F1378" s="613">
        <v>2017</v>
      </c>
      <c r="G1378" s="272" t="s">
        <v>33</v>
      </c>
      <c r="H1378" s="163">
        <f t="shared" si="484"/>
        <v>43840</v>
      </c>
      <c r="I1378" s="628">
        <f t="shared" si="483"/>
        <v>44168</v>
      </c>
      <c r="J1378" s="1364">
        <v>600000</v>
      </c>
      <c r="K1378" s="1365">
        <v>42943</v>
      </c>
      <c r="L1378" s="1431">
        <v>3000000</v>
      </c>
      <c r="M1378" s="1365">
        <v>42943</v>
      </c>
      <c r="N1378" s="2075">
        <v>3000000</v>
      </c>
      <c r="O1378" s="2042">
        <v>43116</v>
      </c>
      <c r="P1378" s="1431">
        <v>3000000</v>
      </c>
      <c r="Q1378" s="1365">
        <v>43293</v>
      </c>
      <c r="R1378" s="1358">
        <v>3000000</v>
      </c>
      <c r="S1378" s="1357">
        <v>43483</v>
      </c>
      <c r="T1378" s="1358">
        <v>3000000</v>
      </c>
      <c r="U1378" s="1357">
        <v>43644</v>
      </c>
      <c r="V1378" s="1714"/>
      <c r="W1378" s="1391"/>
      <c r="X1378" s="1363" t="str">
        <f>IFERROR(VLOOKUP(C1378,BSP,3,FALSE),"  ")</f>
        <v xml:space="preserve">  </v>
      </c>
      <c r="Y1378" s="1391" t="str">
        <f>IFERROR((VLOOKUP(C1378,BSP,4,FALSE)),"  ")</f>
        <v xml:space="preserve">  </v>
      </c>
      <c r="Z1378" s="1363" t="str">
        <f t="shared" si="486"/>
        <v xml:space="preserve">  </v>
      </c>
      <c r="AA1378" s="1563" t="str">
        <f t="shared" si="487"/>
        <v xml:space="preserve">  </v>
      </c>
      <c r="AB1378" s="1385">
        <v>1000000</v>
      </c>
      <c r="AC1378" s="1357">
        <v>43822</v>
      </c>
      <c r="AD1378" s="1809">
        <v>500000</v>
      </c>
      <c r="AE1378" s="1440">
        <v>43872</v>
      </c>
      <c r="AF1378" s="2061">
        <v>750000</v>
      </c>
      <c r="AG1378" s="2099">
        <v>42970</v>
      </c>
      <c r="AH1378" s="2100" t="str">
        <f t="shared" si="472"/>
        <v>ES</v>
      </c>
      <c r="AI1378" s="1678">
        <f t="shared" si="479"/>
        <v>17850000</v>
      </c>
      <c r="AJ1378" s="1679" t="e">
        <f t="shared" si="480"/>
        <v>#VALUE!</v>
      </c>
      <c r="AK1378" s="1419" t="e">
        <f t="shared" si="481"/>
        <v>#VALUE!</v>
      </c>
      <c r="AL1378" s="1420" t="e">
        <f t="shared" si="482"/>
        <v>#VALUE!</v>
      </c>
      <c r="AM1378" s="1410"/>
      <c r="AN1378" s="1411"/>
      <c r="AO1378" s="1410"/>
      <c r="AP1378" s="1411"/>
      <c r="AQ1378" s="1128"/>
      <c r="AR1378" s="1173"/>
      <c r="AT1378" s="1173"/>
      <c r="AV1378" s="1173"/>
      <c r="AX1378" s="1173"/>
      <c r="AY1378" s="1176"/>
      <c r="AZ1378" s="1173"/>
    </row>
    <row r="1379" spans="1:52" s="2" customFormat="1" x14ac:dyDescent="0.25">
      <c r="A1379" s="156">
        <v>1277</v>
      </c>
      <c r="B1379" s="176">
        <v>20</v>
      </c>
      <c r="C1379" s="2014">
        <v>839217020</v>
      </c>
      <c r="D1379" s="575" t="s">
        <v>1881</v>
      </c>
      <c r="E1379" s="593" t="s">
        <v>1195</v>
      </c>
      <c r="F1379" s="613">
        <v>2017</v>
      </c>
      <c r="G1379" s="272" t="s">
        <v>33</v>
      </c>
      <c r="H1379" s="163">
        <f t="shared" si="484"/>
        <v>43732</v>
      </c>
      <c r="I1379" s="628">
        <f t="shared" si="483"/>
        <v>43818</v>
      </c>
      <c r="J1379" s="1364">
        <v>600000</v>
      </c>
      <c r="K1379" s="1365">
        <v>42937</v>
      </c>
      <c r="L1379" s="1431">
        <v>3000000</v>
      </c>
      <c r="M1379" s="1365">
        <v>42937</v>
      </c>
      <c r="N1379" s="2075">
        <v>3000000</v>
      </c>
      <c r="O1379" s="2042">
        <v>43112</v>
      </c>
      <c r="P1379" s="1431">
        <v>3000000</v>
      </c>
      <c r="Q1379" s="1365">
        <v>43291</v>
      </c>
      <c r="R1379" s="1358">
        <v>3000000</v>
      </c>
      <c r="S1379" s="1357">
        <v>43483</v>
      </c>
      <c r="T1379" s="1358">
        <v>3000000</v>
      </c>
      <c r="U1379" s="1357">
        <v>43670</v>
      </c>
      <c r="V1379" s="1714"/>
      <c r="W1379" s="1391"/>
      <c r="X1379" s="1363" t="str">
        <f>IFERROR(VLOOKUP(C1379,BSP,3,FALSE),"  ")</f>
        <v xml:space="preserve">  </v>
      </c>
      <c r="Y1379" s="1391" t="str">
        <f>IFERROR((VLOOKUP(C1379,BSP,4,FALSE)),"  ")</f>
        <v xml:space="preserve">  </v>
      </c>
      <c r="Z1379" s="1363" t="str">
        <f t="shared" si="486"/>
        <v xml:space="preserve">  </v>
      </c>
      <c r="AA1379" s="1563" t="str">
        <f t="shared" si="487"/>
        <v xml:space="preserve">  </v>
      </c>
      <c r="AB1379" s="1385">
        <v>1000000</v>
      </c>
      <c r="AC1379" s="1357">
        <v>43717</v>
      </c>
      <c r="AD1379" s="1666"/>
      <c r="AE1379" s="1590"/>
      <c r="AF1379" s="1430">
        <v>750000</v>
      </c>
      <c r="AG1379" s="2099">
        <v>42970</v>
      </c>
      <c r="AH1379" s="2100" t="str">
        <f t="shared" ref="AH1379:AH1442" si="490">E1379</f>
        <v>ES</v>
      </c>
      <c r="AI1379" s="1678">
        <f t="shared" si="479"/>
        <v>17350000</v>
      </c>
      <c r="AJ1379" s="1679" t="e">
        <f t="shared" si="480"/>
        <v>#VALUE!</v>
      </c>
      <c r="AK1379" s="1419" t="e">
        <f t="shared" si="481"/>
        <v>#VALUE!</v>
      </c>
      <c r="AL1379" s="1420" t="e">
        <f t="shared" si="482"/>
        <v>#VALUE!</v>
      </c>
      <c r="AM1379" s="1410"/>
      <c r="AN1379" s="1411"/>
      <c r="AO1379" s="1410"/>
      <c r="AP1379" s="1411"/>
      <c r="AQ1379" s="1128"/>
      <c r="AR1379" s="1173"/>
      <c r="AT1379" s="1173"/>
      <c r="AV1379" s="1173"/>
      <c r="AX1379" s="1173"/>
      <c r="AY1379" s="1176"/>
      <c r="AZ1379" s="1173"/>
    </row>
    <row r="1380" spans="1:52" s="2" customFormat="1" x14ac:dyDescent="0.25">
      <c r="A1380" s="164">
        <v>1278</v>
      </c>
      <c r="B1380" s="176">
        <v>21</v>
      </c>
      <c r="C1380" s="2014">
        <v>839217021</v>
      </c>
      <c r="D1380" s="575" t="s">
        <v>1882</v>
      </c>
      <c r="E1380" s="593" t="s">
        <v>1195</v>
      </c>
      <c r="F1380" s="613">
        <v>2017</v>
      </c>
      <c r="G1380" s="272" t="s">
        <v>33</v>
      </c>
      <c r="H1380" s="163">
        <f t="shared" si="484"/>
        <v>44096</v>
      </c>
      <c r="I1380" s="574">
        <f t="shared" si="483"/>
        <v>44186</v>
      </c>
      <c r="J1380" s="1364">
        <v>600000</v>
      </c>
      <c r="K1380" s="1365">
        <v>42943</v>
      </c>
      <c r="L1380" s="1364">
        <v>3000000</v>
      </c>
      <c r="M1380" s="1365">
        <v>42943</v>
      </c>
      <c r="N1380" s="2075">
        <v>3000000</v>
      </c>
      <c r="O1380" s="2042">
        <v>43116</v>
      </c>
      <c r="P1380" s="1431">
        <v>3000000</v>
      </c>
      <c r="Q1380" s="1365">
        <v>43290</v>
      </c>
      <c r="R1380" s="1186" t="s">
        <v>1078</v>
      </c>
      <c r="S1380" s="1386">
        <v>43490</v>
      </c>
      <c r="T1380" s="1358">
        <v>3000000</v>
      </c>
      <c r="U1380" s="1357">
        <v>43663</v>
      </c>
      <c r="V1380" s="1874">
        <v>3000000</v>
      </c>
      <c r="W1380" s="1357">
        <v>43861.487326388902</v>
      </c>
      <c r="X1380" s="1363"/>
      <c r="Y1380" s="1391"/>
      <c r="Z1380" s="1363"/>
      <c r="AA1380" s="1563"/>
      <c r="AB1380" s="1385">
        <v>1000000</v>
      </c>
      <c r="AC1380" s="1357">
        <v>44033</v>
      </c>
      <c r="AD1380" s="1809">
        <v>500000</v>
      </c>
      <c r="AE1380" s="1440">
        <v>44095</v>
      </c>
      <c r="AF1380" s="1430">
        <v>750000</v>
      </c>
      <c r="AG1380" s="2099">
        <v>42972</v>
      </c>
      <c r="AH1380" s="2100" t="str">
        <f t="shared" si="490"/>
        <v>ES</v>
      </c>
      <c r="AI1380" s="1678">
        <f t="shared" si="479"/>
        <v>17850000</v>
      </c>
      <c r="AJ1380" s="1679" t="e">
        <f t="shared" si="480"/>
        <v>#VALUE!</v>
      </c>
      <c r="AK1380" s="1419" t="e">
        <f t="shared" si="481"/>
        <v>#VALUE!</v>
      </c>
      <c r="AL1380" s="1420" t="e">
        <f t="shared" si="482"/>
        <v>#VALUE!</v>
      </c>
      <c r="AM1380" s="1410"/>
      <c r="AN1380" s="1411"/>
      <c r="AO1380" s="1410"/>
      <c r="AP1380" s="1411"/>
      <c r="AQ1380" s="1128"/>
      <c r="AR1380" s="1173"/>
      <c r="AT1380" s="1173"/>
      <c r="AV1380" s="1173"/>
      <c r="AX1380" s="1173"/>
      <c r="AY1380" s="1176"/>
      <c r="AZ1380" s="1173"/>
    </row>
    <row r="1381" spans="1:52" s="2" customFormat="1" x14ac:dyDescent="0.25">
      <c r="A1381" s="156">
        <v>1279</v>
      </c>
      <c r="B1381" s="176">
        <v>22</v>
      </c>
      <c r="C1381" s="2014">
        <v>839217022</v>
      </c>
      <c r="D1381" s="575" t="s">
        <v>1883</v>
      </c>
      <c r="E1381" s="593" t="s">
        <v>1195</v>
      </c>
      <c r="F1381" s="613">
        <v>2017</v>
      </c>
      <c r="G1381" s="272" t="s">
        <v>33</v>
      </c>
      <c r="H1381" s="163">
        <f t="shared" si="484"/>
        <v>43838</v>
      </c>
      <c r="I1381" s="628">
        <f t="shared" si="483"/>
        <v>44168</v>
      </c>
      <c r="J1381" s="1364">
        <v>600000</v>
      </c>
      <c r="K1381" s="1365">
        <v>42940</v>
      </c>
      <c r="L1381" s="1431">
        <v>3000000</v>
      </c>
      <c r="M1381" s="1365">
        <v>42940</v>
      </c>
      <c r="N1381" s="2075">
        <v>3000000</v>
      </c>
      <c r="O1381" s="2042">
        <v>43115</v>
      </c>
      <c r="P1381" s="1431">
        <v>3000000</v>
      </c>
      <c r="Q1381" s="1365">
        <v>43292</v>
      </c>
      <c r="R1381" s="1358">
        <v>3000000</v>
      </c>
      <c r="S1381" s="1357">
        <v>43482</v>
      </c>
      <c r="T1381" s="1358">
        <v>3000000</v>
      </c>
      <c r="U1381" s="1357">
        <v>43643</v>
      </c>
      <c r="V1381" s="1714"/>
      <c r="W1381" s="1391"/>
      <c r="X1381" s="1363"/>
      <c r="Y1381" s="1391"/>
      <c r="Z1381" s="1363" t="str">
        <f t="shared" si="486"/>
        <v xml:space="preserve">  </v>
      </c>
      <c r="AA1381" s="1563" t="str">
        <f t="shared" si="487"/>
        <v xml:space="preserve">  </v>
      </c>
      <c r="AB1381" s="1385">
        <v>1000000</v>
      </c>
      <c r="AC1381" s="1357">
        <v>43787</v>
      </c>
      <c r="AD1381" s="1809">
        <v>500000</v>
      </c>
      <c r="AE1381" s="1440">
        <v>43860.339456018497</v>
      </c>
      <c r="AF1381" s="1430">
        <v>750000</v>
      </c>
      <c r="AG1381" s="2099">
        <v>42968</v>
      </c>
      <c r="AH1381" s="2100" t="str">
        <f t="shared" si="490"/>
        <v>ES</v>
      </c>
      <c r="AI1381" s="1678">
        <f t="shared" si="479"/>
        <v>17850000</v>
      </c>
      <c r="AJ1381" s="1679" t="e">
        <f t="shared" si="480"/>
        <v>#VALUE!</v>
      </c>
      <c r="AK1381" s="1419" t="e">
        <f t="shared" si="481"/>
        <v>#VALUE!</v>
      </c>
      <c r="AL1381" s="1420" t="e">
        <f t="shared" si="482"/>
        <v>#VALUE!</v>
      </c>
      <c r="AM1381" s="1410"/>
      <c r="AN1381" s="1411"/>
      <c r="AO1381" s="1410"/>
      <c r="AP1381" s="1411"/>
      <c r="AQ1381" s="1128"/>
      <c r="AR1381" s="1173"/>
      <c r="AT1381" s="1173"/>
      <c r="AV1381" s="1173"/>
      <c r="AX1381" s="1173"/>
      <c r="AY1381" s="1176"/>
      <c r="AZ1381" s="1173"/>
    </row>
    <row r="1382" spans="1:52" s="2" customFormat="1" x14ac:dyDescent="0.25">
      <c r="A1382" s="164">
        <v>1280</v>
      </c>
      <c r="B1382" s="165">
        <v>23</v>
      </c>
      <c r="C1382" s="660">
        <v>839217023</v>
      </c>
      <c r="D1382" s="571" t="s">
        <v>1884</v>
      </c>
      <c r="E1382" s="578" t="s">
        <v>1195</v>
      </c>
      <c r="F1382" s="614">
        <v>2017</v>
      </c>
      <c r="G1382" s="1758" t="s">
        <v>28</v>
      </c>
      <c r="H1382" s="265" t="str">
        <f t="shared" si="484"/>
        <v xml:space="preserve">   </v>
      </c>
      <c r="I1382" s="574" t="str">
        <f t="shared" si="483"/>
        <v xml:space="preserve">   </v>
      </c>
      <c r="J1382" s="1366">
        <v>600000</v>
      </c>
      <c r="K1382" s="1360">
        <v>42936</v>
      </c>
      <c r="L1382" s="1430">
        <v>3000000</v>
      </c>
      <c r="M1382" s="1360">
        <v>42936</v>
      </c>
      <c r="N1382" s="1363">
        <v>3000000</v>
      </c>
      <c r="O1382" s="1367">
        <v>43112</v>
      </c>
      <c r="P1382" s="1430">
        <v>3000000</v>
      </c>
      <c r="Q1382" s="1360">
        <v>43291</v>
      </c>
      <c r="R1382" s="1363">
        <v>3000000</v>
      </c>
      <c r="S1382" s="1367">
        <v>43483</v>
      </c>
      <c r="T1382" s="1363">
        <v>3000000</v>
      </c>
      <c r="U1382" s="1367">
        <v>43671</v>
      </c>
      <c r="V1382" s="1731">
        <v>0</v>
      </c>
      <c r="W1382" s="1367"/>
      <c r="X1382" s="1731">
        <v>0</v>
      </c>
      <c r="Y1382" s="1367"/>
      <c r="Z1382" s="1363" t="str">
        <f t="shared" si="486"/>
        <v xml:space="preserve">  </v>
      </c>
      <c r="AA1382" s="1563" t="str">
        <f t="shared" si="487"/>
        <v xml:space="preserve">  </v>
      </c>
      <c r="AB1382" s="1385">
        <v>1000000</v>
      </c>
      <c r="AC1382" s="1367">
        <v>44173</v>
      </c>
      <c r="AD1382" s="1666"/>
      <c r="AE1382" s="1590"/>
      <c r="AF1382" s="1430">
        <v>750000</v>
      </c>
      <c r="AG1382" s="2099">
        <v>42972</v>
      </c>
      <c r="AH1382" s="2100" t="str">
        <f t="shared" si="490"/>
        <v>ES</v>
      </c>
      <c r="AI1382" s="1678">
        <f t="shared" si="479"/>
        <v>17350000</v>
      </c>
      <c r="AJ1382" s="1679" t="e">
        <f t="shared" si="480"/>
        <v>#VALUE!</v>
      </c>
      <c r="AK1382" s="1419" t="e">
        <f t="shared" si="481"/>
        <v>#VALUE!</v>
      </c>
      <c r="AL1382" s="1420" t="e">
        <f t="shared" si="482"/>
        <v>#VALUE!</v>
      </c>
      <c r="AM1382" s="1410"/>
      <c r="AN1382" s="1411"/>
      <c r="AO1382" s="1410"/>
      <c r="AP1382" s="1411"/>
      <c r="AQ1382" s="1128"/>
      <c r="AR1382" s="1173"/>
      <c r="AT1382" s="1173"/>
      <c r="AV1382" s="1173"/>
      <c r="AX1382" s="1173"/>
      <c r="AY1382" s="1176"/>
      <c r="AZ1382" s="1173"/>
    </row>
    <row r="1383" spans="1:52" s="2" customFormat="1" x14ac:dyDescent="0.25">
      <c r="A1383" s="164">
        <v>1281</v>
      </c>
      <c r="B1383" s="165">
        <v>24</v>
      </c>
      <c r="C1383" s="660">
        <v>839217024</v>
      </c>
      <c r="D1383" s="571" t="s">
        <v>1885</v>
      </c>
      <c r="E1383" s="578" t="s">
        <v>1195</v>
      </c>
      <c r="F1383" s="614">
        <v>2017</v>
      </c>
      <c r="G1383" s="1758" t="s">
        <v>28</v>
      </c>
      <c r="H1383" s="265" t="str">
        <f t="shared" si="484"/>
        <v xml:space="preserve">   </v>
      </c>
      <c r="I1383" s="574" t="str">
        <f t="shared" si="483"/>
        <v xml:space="preserve">   </v>
      </c>
      <c r="J1383" s="1366">
        <v>600000</v>
      </c>
      <c r="K1383" s="1360">
        <v>42943</v>
      </c>
      <c r="L1383" s="1430">
        <v>3000000</v>
      </c>
      <c r="M1383" s="1360">
        <v>42943</v>
      </c>
      <c r="N1383" s="1363">
        <v>3000000</v>
      </c>
      <c r="O1383" s="1367">
        <v>43115</v>
      </c>
      <c r="P1383" s="1430">
        <v>3000000</v>
      </c>
      <c r="Q1383" s="1360">
        <v>43292</v>
      </c>
      <c r="R1383" s="1363">
        <v>3000000</v>
      </c>
      <c r="S1383" s="1367" t="s">
        <v>1886</v>
      </c>
      <c r="T1383" s="1363">
        <v>3000000</v>
      </c>
      <c r="U1383" s="1367">
        <v>43861.589872685203</v>
      </c>
      <c r="V1383" s="1363">
        <v>3000000</v>
      </c>
      <c r="W1383" s="1367">
        <v>43861.589872685203</v>
      </c>
      <c r="X1383" s="1731">
        <v>0</v>
      </c>
      <c r="Y1383" s="1367"/>
      <c r="Z1383" s="1363" t="str">
        <f t="shared" si="486"/>
        <v xml:space="preserve">  </v>
      </c>
      <c r="AA1383" s="1563" t="str">
        <f t="shared" si="487"/>
        <v xml:space="preserve">  </v>
      </c>
      <c r="AB1383" s="1714"/>
      <c r="AC1383" s="1367"/>
      <c r="AD1383" s="1666"/>
      <c r="AE1383" s="1590"/>
      <c r="AF1383" s="1430">
        <v>250000</v>
      </c>
      <c r="AG1383" s="2099">
        <v>42972</v>
      </c>
      <c r="AH1383" s="2100" t="str">
        <f t="shared" si="490"/>
        <v>ES</v>
      </c>
      <c r="AI1383" s="1678">
        <f t="shared" si="479"/>
        <v>18850000</v>
      </c>
      <c r="AJ1383" s="1679" t="e">
        <f t="shared" si="480"/>
        <v>#VALUE!</v>
      </c>
      <c r="AK1383" s="1419" t="e">
        <f t="shared" si="481"/>
        <v>#VALUE!</v>
      </c>
      <c r="AL1383" s="1420" t="e">
        <f t="shared" si="482"/>
        <v>#VALUE!</v>
      </c>
      <c r="AM1383" s="1410"/>
      <c r="AN1383" s="1411"/>
      <c r="AO1383" s="1410"/>
      <c r="AP1383" s="1411"/>
      <c r="AQ1383" s="1128"/>
      <c r="AR1383" s="1173"/>
      <c r="AT1383" s="1173"/>
      <c r="AV1383" s="1173"/>
      <c r="AX1383" s="1173"/>
      <c r="AY1383" s="1176"/>
      <c r="AZ1383" s="1173"/>
    </row>
    <row r="1384" spans="1:52" s="2" customFormat="1" x14ac:dyDescent="0.25">
      <c r="A1384" s="164">
        <v>1282</v>
      </c>
      <c r="B1384" s="165">
        <v>25</v>
      </c>
      <c r="C1384" s="660">
        <v>839217025</v>
      </c>
      <c r="D1384" s="571" t="s">
        <v>1887</v>
      </c>
      <c r="E1384" s="578" t="s">
        <v>1195</v>
      </c>
      <c r="F1384" s="614">
        <v>2018</v>
      </c>
      <c r="G1384" s="1758" t="s">
        <v>28</v>
      </c>
      <c r="H1384" s="265" t="str">
        <f t="shared" si="484"/>
        <v xml:space="preserve">   </v>
      </c>
      <c r="I1384" s="574" t="str">
        <f t="shared" si="483"/>
        <v xml:space="preserve">   </v>
      </c>
      <c r="J1384" s="1366">
        <v>600000</v>
      </c>
      <c r="K1384" s="1360">
        <v>42943</v>
      </c>
      <c r="L1384" s="1366">
        <v>3000000</v>
      </c>
      <c r="M1384" s="1360">
        <v>42943</v>
      </c>
      <c r="N1384" s="1363">
        <v>3000000</v>
      </c>
      <c r="O1384" s="1367">
        <v>43116</v>
      </c>
      <c r="P1384" s="1430">
        <v>3000000</v>
      </c>
      <c r="Q1384" s="1360">
        <v>43294</v>
      </c>
      <c r="R1384" s="1363">
        <v>3000000</v>
      </c>
      <c r="S1384" s="1367">
        <v>43483</v>
      </c>
      <c r="T1384" s="1363">
        <v>3000000</v>
      </c>
      <c r="U1384" s="1367">
        <v>43671</v>
      </c>
      <c r="V1384" s="1731">
        <v>0</v>
      </c>
      <c r="W1384" s="1367"/>
      <c r="X1384" s="1731">
        <v>0</v>
      </c>
      <c r="Y1384" s="1367"/>
      <c r="Z1384" s="1363" t="str">
        <f t="shared" si="486"/>
        <v xml:space="preserve">  </v>
      </c>
      <c r="AA1384" s="1563" t="str">
        <f t="shared" si="487"/>
        <v xml:space="preserve">  </v>
      </c>
      <c r="AB1384" s="1714"/>
      <c r="AC1384" s="1367"/>
      <c r="AD1384" s="1666"/>
      <c r="AE1384" s="1590"/>
      <c r="AF1384" s="2061">
        <v>750000</v>
      </c>
      <c r="AG1384" s="2099"/>
      <c r="AH1384" s="2100" t="str">
        <f t="shared" si="490"/>
        <v>ES</v>
      </c>
      <c r="AI1384" s="1678">
        <f t="shared" si="479"/>
        <v>16350000</v>
      </c>
      <c r="AJ1384" s="1679" t="e">
        <f t="shared" si="480"/>
        <v>#VALUE!</v>
      </c>
      <c r="AK1384" s="1419" t="e">
        <f t="shared" si="481"/>
        <v>#VALUE!</v>
      </c>
      <c r="AL1384" s="1420" t="e">
        <f t="shared" si="482"/>
        <v>#VALUE!</v>
      </c>
      <c r="AM1384" s="1410"/>
      <c r="AN1384" s="1411"/>
      <c r="AO1384" s="1410"/>
      <c r="AP1384" s="1411"/>
      <c r="AQ1384" s="1128"/>
      <c r="AR1384" s="1173"/>
      <c r="AT1384" s="1173"/>
      <c r="AV1384" s="1173"/>
      <c r="AX1384" s="1173"/>
      <c r="AY1384" s="1176"/>
      <c r="AZ1384" s="1173"/>
    </row>
    <row r="1385" spans="1:52" s="2" customFormat="1" x14ac:dyDescent="0.25">
      <c r="A1385" s="164">
        <v>1283</v>
      </c>
      <c r="B1385" s="165">
        <v>26</v>
      </c>
      <c r="C1385" s="660">
        <v>839217026</v>
      </c>
      <c r="D1385" s="571" t="s">
        <v>1888</v>
      </c>
      <c r="E1385" s="578" t="s">
        <v>1195</v>
      </c>
      <c r="F1385" s="614">
        <v>2019</v>
      </c>
      <c r="G1385" s="1758" t="s">
        <v>28</v>
      </c>
      <c r="H1385" s="265" t="str">
        <f t="shared" si="484"/>
        <v xml:space="preserve">   </v>
      </c>
      <c r="I1385" s="574" t="str">
        <f t="shared" si="483"/>
        <v xml:space="preserve">   </v>
      </c>
      <c r="J1385" s="1366">
        <v>600000</v>
      </c>
      <c r="K1385" s="1360">
        <v>42944</v>
      </c>
      <c r="L1385" s="1430">
        <v>3000000</v>
      </c>
      <c r="M1385" s="1360">
        <v>42944</v>
      </c>
      <c r="N1385" s="2076">
        <v>3000000</v>
      </c>
      <c r="O1385" s="2040">
        <v>43116</v>
      </c>
      <c r="P1385" s="1430">
        <v>3000000</v>
      </c>
      <c r="Q1385" s="1360">
        <v>43294</v>
      </c>
      <c r="R1385" s="1363">
        <v>3000000</v>
      </c>
      <c r="S1385" s="1367">
        <v>43483</v>
      </c>
      <c r="T1385" s="1363">
        <v>3000000</v>
      </c>
      <c r="U1385" s="1367">
        <v>43671</v>
      </c>
      <c r="V1385" s="1731">
        <v>0</v>
      </c>
      <c r="W1385" s="1367"/>
      <c r="X1385" s="1731">
        <v>0</v>
      </c>
      <c r="Y1385" s="1367"/>
      <c r="Z1385" s="1363" t="str">
        <f t="shared" si="486"/>
        <v xml:space="preserve">  </v>
      </c>
      <c r="AA1385" s="1563" t="str">
        <f t="shared" si="487"/>
        <v xml:space="preserve">  </v>
      </c>
      <c r="AB1385" s="1714"/>
      <c r="AC1385" s="1367"/>
      <c r="AD1385" s="1666"/>
      <c r="AE1385" s="1590"/>
      <c r="AF1385" s="2061">
        <v>750000</v>
      </c>
      <c r="AG1385" s="2099"/>
      <c r="AH1385" s="2100" t="str">
        <f t="shared" si="490"/>
        <v>ES</v>
      </c>
      <c r="AI1385" s="1678">
        <f t="shared" si="479"/>
        <v>16350000</v>
      </c>
      <c r="AJ1385" s="1679" t="e">
        <f t="shared" si="480"/>
        <v>#VALUE!</v>
      </c>
      <c r="AK1385" s="1419" t="e">
        <f t="shared" si="481"/>
        <v>#VALUE!</v>
      </c>
      <c r="AL1385" s="1420" t="e">
        <f t="shared" si="482"/>
        <v>#VALUE!</v>
      </c>
      <c r="AM1385" s="1410"/>
      <c r="AN1385" s="1411"/>
      <c r="AO1385" s="1410"/>
      <c r="AP1385" s="1411"/>
      <c r="AQ1385" s="1128"/>
      <c r="AR1385" s="1173"/>
      <c r="AT1385" s="1173"/>
      <c r="AV1385" s="1173"/>
      <c r="AX1385" s="1173"/>
      <c r="AY1385" s="1176"/>
      <c r="AZ1385" s="1173"/>
    </row>
    <row r="1386" spans="1:52" s="2" customFormat="1" x14ac:dyDescent="0.25">
      <c r="A1386" s="156">
        <v>1284</v>
      </c>
      <c r="B1386" s="176">
        <v>27</v>
      </c>
      <c r="C1386" s="2014">
        <v>839217027</v>
      </c>
      <c r="D1386" s="575" t="s">
        <v>1889</v>
      </c>
      <c r="E1386" s="593" t="s">
        <v>1195</v>
      </c>
      <c r="F1386" s="613">
        <v>2017</v>
      </c>
      <c r="G1386" s="272" t="s">
        <v>33</v>
      </c>
      <c r="H1386" s="163">
        <f t="shared" si="484"/>
        <v>43498</v>
      </c>
      <c r="I1386" s="628">
        <f t="shared" si="483"/>
        <v>43587</v>
      </c>
      <c r="J1386" s="1364">
        <v>600000</v>
      </c>
      <c r="K1386" s="1365">
        <v>42943</v>
      </c>
      <c r="L1386" s="1431">
        <v>3000000</v>
      </c>
      <c r="M1386" s="1365">
        <v>43308</v>
      </c>
      <c r="N1386" s="1358">
        <v>3000000</v>
      </c>
      <c r="O1386" s="1357">
        <v>43116</v>
      </c>
      <c r="P1386" s="1431">
        <v>3000000</v>
      </c>
      <c r="Q1386" s="1365">
        <v>43294</v>
      </c>
      <c r="R1386" s="1358">
        <v>3000000</v>
      </c>
      <c r="S1386" s="1357">
        <v>43481</v>
      </c>
      <c r="T1386" s="1382" t="s">
        <v>1080</v>
      </c>
      <c r="U1386" s="1367"/>
      <c r="V1386" s="1714"/>
      <c r="W1386" s="1391"/>
      <c r="X1386" s="1363" t="str">
        <f>IFERROR(VLOOKUP(C1386,BSP,3,FALSE),"  ")</f>
        <v xml:space="preserve">  </v>
      </c>
      <c r="Y1386" s="1391" t="str">
        <f>IFERROR((VLOOKUP(C1386,BSP,4,FALSE)),"  ")</f>
        <v xml:space="preserve">  </v>
      </c>
      <c r="Z1386" s="1363" t="str">
        <f t="shared" si="486"/>
        <v xml:space="preserve">  </v>
      </c>
      <c r="AA1386" s="1563" t="str">
        <f t="shared" si="487"/>
        <v xml:space="preserve">  </v>
      </c>
      <c r="AB1386" s="1385">
        <v>1000000</v>
      </c>
      <c r="AC1386" s="1357">
        <v>43481</v>
      </c>
      <c r="AD1386" s="1666"/>
      <c r="AE1386" s="1590"/>
      <c r="AF1386" s="1430">
        <v>250000</v>
      </c>
      <c r="AG1386" s="2099">
        <v>42972</v>
      </c>
      <c r="AH1386" s="2100" t="str">
        <f t="shared" si="490"/>
        <v>ES</v>
      </c>
      <c r="AI1386" s="1678">
        <f t="shared" si="479"/>
        <v>13850000</v>
      </c>
      <c r="AJ1386" s="1679" t="e">
        <f t="shared" si="480"/>
        <v>#VALUE!</v>
      </c>
      <c r="AK1386" s="1419" t="e">
        <f t="shared" si="481"/>
        <v>#VALUE!</v>
      </c>
      <c r="AL1386" s="1420" t="e">
        <f t="shared" si="482"/>
        <v>#VALUE!</v>
      </c>
      <c r="AM1386" s="1410"/>
      <c r="AN1386" s="1411"/>
      <c r="AO1386" s="1410"/>
      <c r="AP1386" s="1411"/>
      <c r="AQ1386" s="1128"/>
      <c r="AR1386" s="1173"/>
      <c r="AT1386" s="1173"/>
      <c r="AV1386" s="1173"/>
      <c r="AX1386" s="1173"/>
      <c r="AY1386" s="1176"/>
      <c r="AZ1386" s="1173"/>
    </row>
    <row r="1387" spans="1:52" s="2" customFormat="1" x14ac:dyDescent="0.25">
      <c r="A1387" s="164">
        <v>1285</v>
      </c>
      <c r="B1387" s="165">
        <v>28</v>
      </c>
      <c r="C1387" s="660">
        <v>839217028</v>
      </c>
      <c r="D1387" s="571" t="s">
        <v>1890</v>
      </c>
      <c r="E1387" s="585" t="s">
        <v>1195</v>
      </c>
      <c r="F1387" s="614">
        <v>2017</v>
      </c>
      <c r="G1387" s="1758" t="s">
        <v>28</v>
      </c>
      <c r="H1387" s="265" t="str">
        <f t="shared" si="484"/>
        <v xml:space="preserve">   </v>
      </c>
      <c r="I1387" s="574" t="str">
        <f t="shared" si="483"/>
        <v xml:space="preserve">   </v>
      </c>
      <c r="J1387" s="1366">
        <v>600000</v>
      </c>
      <c r="K1387" s="1360">
        <v>42943</v>
      </c>
      <c r="L1387" s="1430">
        <v>3000000</v>
      </c>
      <c r="M1387" s="1360">
        <v>42943</v>
      </c>
      <c r="N1387" s="1186" t="s">
        <v>1842</v>
      </c>
      <c r="O1387" s="1386"/>
      <c r="P1387" s="1186" t="s">
        <v>1842</v>
      </c>
      <c r="Q1387" s="1386"/>
      <c r="R1387" s="1363">
        <v>0</v>
      </c>
      <c r="S1387" s="1367"/>
      <c r="T1387" s="1363">
        <v>0</v>
      </c>
      <c r="U1387" s="1367"/>
      <c r="V1387" s="1731">
        <v>0</v>
      </c>
      <c r="W1387" s="1367"/>
      <c r="X1387" s="1731">
        <v>0</v>
      </c>
      <c r="Y1387" s="1367"/>
      <c r="Z1387" s="1363" t="str">
        <f t="shared" si="486"/>
        <v xml:space="preserve">  </v>
      </c>
      <c r="AA1387" s="1563" t="str">
        <f t="shared" si="487"/>
        <v xml:space="preserve">  </v>
      </c>
      <c r="AB1387" s="1714"/>
      <c r="AC1387" s="1367"/>
      <c r="AD1387" s="1666"/>
      <c r="AE1387" s="1590"/>
      <c r="AF1387" s="1430">
        <v>750000</v>
      </c>
      <c r="AG1387" s="2099">
        <v>42971</v>
      </c>
      <c r="AH1387" s="2100" t="str">
        <f t="shared" si="490"/>
        <v>ES</v>
      </c>
      <c r="AI1387" s="1678">
        <f t="shared" si="479"/>
        <v>4350000</v>
      </c>
      <c r="AJ1387" s="1679" t="e">
        <f t="shared" si="480"/>
        <v>#VALUE!</v>
      </c>
      <c r="AK1387" s="1419" t="e">
        <f t="shared" si="481"/>
        <v>#VALUE!</v>
      </c>
      <c r="AL1387" s="1420" t="e">
        <f t="shared" si="482"/>
        <v>#VALUE!</v>
      </c>
      <c r="AM1387" s="1410"/>
      <c r="AN1387" s="1411"/>
      <c r="AO1387" s="1410"/>
      <c r="AP1387" s="1411"/>
      <c r="AQ1387" s="1128"/>
      <c r="AR1387" s="1173"/>
      <c r="AT1387" s="1173"/>
      <c r="AV1387" s="1173"/>
      <c r="AX1387" s="1173"/>
      <c r="AY1387" s="1176"/>
      <c r="AZ1387" s="1173"/>
    </row>
    <row r="1388" spans="1:52" s="2" customFormat="1" x14ac:dyDescent="0.25">
      <c r="A1388" s="156">
        <v>1286</v>
      </c>
      <c r="B1388" s="176">
        <v>29</v>
      </c>
      <c r="C1388" s="2015">
        <v>839217029</v>
      </c>
      <c r="D1388" s="582" t="s">
        <v>1891</v>
      </c>
      <c r="E1388" s="179" t="s">
        <v>1195</v>
      </c>
      <c r="F1388" s="584">
        <v>2017</v>
      </c>
      <c r="G1388" s="272" t="s">
        <v>33</v>
      </c>
      <c r="H1388" s="163">
        <f t="shared" si="484"/>
        <v>43636</v>
      </c>
      <c r="I1388" s="628">
        <f t="shared" si="483"/>
        <v>43705</v>
      </c>
      <c r="J1388" s="1364">
        <v>600000</v>
      </c>
      <c r="K1388" s="1365">
        <v>42942</v>
      </c>
      <c r="L1388" s="2091" t="s">
        <v>1099</v>
      </c>
      <c r="M1388" s="1365">
        <v>42942</v>
      </c>
      <c r="N1388" s="2091" t="s">
        <v>1099</v>
      </c>
      <c r="O1388" s="1357">
        <v>43116</v>
      </c>
      <c r="P1388" s="2091" t="s">
        <v>1099</v>
      </c>
      <c r="Q1388" s="2060">
        <v>43116</v>
      </c>
      <c r="R1388" s="2091" t="s">
        <v>1099</v>
      </c>
      <c r="S1388" s="1357">
        <v>43116</v>
      </c>
      <c r="T1388" s="1382" t="s">
        <v>1080</v>
      </c>
      <c r="U1388" s="1367"/>
      <c r="V1388" s="1714"/>
      <c r="W1388" s="1391"/>
      <c r="X1388" s="1363" t="str">
        <f>IFERROR(VLOOKUP(C1388,BSP,3,FALSE),"  ")</f>
        <v xml:space="preserve">  </v>
      </c>
      <c r="Y1388" s="1391" t="str">
        <f>IFERROR((VLOOKUP(C1388,BSP,4,FALSE)),"  ")</f>
        <v xml:space="preserve">  </v>
      </c>
      <c r="Z1388" s="1363" t="str">
        <f t="shared" si="486"/>
        <v xml:space="preserve">  </v>
      </c>
      <c r="AA1388" s="1563" t="str">
        <f t="shared" si="487"/>
        <v xml:space="preserve">  </v>
      </c>
      <c r="AB1388" s="1385">
        <v>1000000</v>
      </c>
      <c r="AC1388" s="1357">
        <v>43608</v>
      </c>
      <c r="AD1388" s="1666"/>
      <c r="AE1388" s="1590"/>
      <c r="AF1388" s="1430">
        <v>750000</v>
      </c>
      <c r="AG1388" s="2099">
        <v>42971</v>
      </c>
      <c r="AH1388" s="2100" t="str">
        <f t="shared" si="490"/>
        <v>ES</v>
      </c>
      <c r="AI1388" s="1678">
        <f t="shared" si="479"/>
        <v>2350000</v>
      </c>
      <c r="AJ1388" s="1679" t="e">
        <f t="shared" si="480"/>
        <v>#VALUE!</v>
      </c>
      <c r="AK1388" s="1419" t="e">
        <f t="shared" si="481"/>
        <v>#VALUE!</v>
      </c>
      <c r="AL1388" s="1420" t="e">
        <f t="shared" si="482"/>
        <v>#VALUE!</v>
      </c>
      <c r="AM1388" s="1410"/>
      <c r="AN1388" s="1411"/>
      <c r="AO1388" s="1410"/>
      <c r="AP1388" s="1411"/>
      <c r="AQ1388" s="1128"/>
      <c r="AR1388" s="1173"/>
      <c r="AT1388" s="1173"/>
      <c r="AV1388" s="1173"/>
      <c r="AX1388" s="1173"/>
      <c r="AY1388" s="1176"/>
      <c r="AZ1388" s="1173"/>
    </row>
    <row r="1389" spans="1:52" s="2" customFormat="1" x14ac:dyDescent="0.25">
      <c r="A1389" s="156">
        <v>1287</v>
      </c>
      <c r="B1389" s="176">
        <v>30</v>
      </c>
      <c r="C1389" s="2014">
        <v>839217030</v>
      </c>
      <c r="D1389" s="177" t="s">
        <v>1892</v>
      </c>
      <c r="E1389" s="593" t="s">
        <v>1195</v>
      </c>
      <c r="F1389" s="613">
        <v>2017</v>
      </c>
      <c r="G1389" s="272" t="s">
        <v>33</v>
      </c>
      <c r="H1389" s="163">
        <f t="shared" si="484"/>
        <v>43635</v>
      </c>
      <c r="I1389" s="628">
        <f t="shared" si="483"/>
        <v>43705</v>
      </c>
      <c r="J1389" s="1364">
        <v>600000</v>
      </c>
      <c r="K1389" s="1365">
        <v>42939</v>
      </c>
      <c r="L1389" s="1431">
        <v>3000000</v>
      </c>
      <c r="M1389" s="1365">
        <v>42939</v>
      </c>
      <c r="N1389" s="2075">
        <v>3000000</v>
      </c>
      <c r="O1389" s="2042">
        <v>43112</v>
      </c>
      <c r="P1389" s="1431">
        <v>3000000</v>
      </c>
      <c r="Q1389" s="1365">
        <v>43293</v>
      </c>
      <c r="R1389" s="1358">
        <v>3000000</v>
      </c>
      <c r="S1389" s="1357">
        <v>43483</v>
      </c>
      <c r="T1389" s="1382" t="s">
        <v>1080</v>
      </c>
      <c r="U1389" s="1367"/>
      <c r="V1389" s="1714"/>
      <c r="W1389" s="1391"/>
      <c r="X1389" s="1363" t="str">
        <f>IFERROR(VLOOKUP(C1389,BSP,3,FALSE),"  ")</f>
        <v xml:space="preserve">  </v>
      </c>
      <c r="Y1389" s="1391" t="str">
        <f>IFERROR((VLOOKUP(C1389,BSP,4,FALSE)),"  ")</f>
        <v xml:space="preserve">  </v>
      </c>
      <c r="Z1389" s="1363" t="str">
        <f t="shared" si="486"/>
        <v xml:space="preserve">  </v>
      </c>
      <c r="AA1389" s="1563" t="str">
        <f t="shared" si="487"/>
        <v xml:space="preserve">  </v>
      </c>
      <c r="AB1389" s="1385">
        <v>1000000</v>
      </c>
      <c r="AC1389" s="1357">
        <v>43629</v>
      </c>
      <c r="AD1389" s="1666"/>
      <c r="AE1389" s="1590"/>
      <c r="AF1389" s="1430">
        <v>750000</v>
      </c>
      <c r="AG1389" s="2099">
        <v>42972</v>
      </c>
      <c r="AH1389" s="2100" t="str">
        <f t="shared" si="490"/>
        <v>ES</v>
      </c>
      <c r="AI1389" s="1678">
        <f t="shared" si="479"/>
        <v>14350000</v>
      </c>
      <c r="AJ1389" s="1679" t="e">
        <f t="shared" si="480"/>
        <v>#VALUE!</v>
      </c>
      <c r="AK1389" s="1419" t="e">
        <f t="shared" si="481"/>
        <v>#VALUE!</v>
      </c>
      <c r="AL1389" s="1420" t="e">
        <f t="shared" si="482"/>
        <v>#VALUE!</v>
      </c>
      <c r="AM1389" s="1410"/>
      <c r="AN1389" s="1411"/>
      <c r="AO1389" s="1410"/>
      <c r="AP1389" s="1411"/>
      <c r="AQ1389" s="1128"/>
      <c r="AR1389" s="1173"/>
      <c r="AT1389" s="1173"/>
      <c r="AV1389" s="1173"/>
      <c r="AX1389" s="1173"/>
      <c r="AY1389" s="1176"/>
      <c r="AZ1389" s="1173"/>
    </row>
    <row r="1390" spans="1:52" s="2" customFormat="1" x14ac:dyDescent="0.25">
      <c r="A1390" s="156">
        <v>1288</v>
      </c>
      <c r="B1390" s="176">
        <v>31</v>
      </c>
      <c r="C1390" s="2014">
        <v>839217031</v>
      </c>
      <c r="D1390" s="575" t="s">
        <v>1893</v>
      </c>
      <c r="E1390" s="593" t="s">
        <v>1195</v>
      </c>
      <c r="F1390" s="613">
        <v>2017</v>
      </c>
      <c r="G1390" s="272" t="s">
        <v>33</v>
      </c>
      <c r="H1390" s="163">
        <f t="shared" si="484"/>
        <v>43838</v>
      </c>
      <c r="I1390" s="628">
        <f t="shared" si="483"/>
        <v>44058</v>
      </c>
      <c r="J1390" s="1364">
        <v>600000</v>
      </c>
      <c r="K1390" s="1365">
        <v>42941</v>
      </c>
      <c r="L1390" s="1431">
        <v>3000000</v>
      </c>
      <c r="M1390" s="1365">
        <v>42941</v>
      </c>
      <c r="N1390" s="1358">
        <v>3000000</v>
      </c>
      <c r="O1390" s="1357">
        <v>43115</v>
      </c>
      <c r="P1390" s="1431">
        <v>3000000</v>
      </c>
      <c r="Q1390" s="1365">
        <v>43293</v>
      </c>
      <c r="R1390" s="1358">
        <v>3000000</v>
      </c>
      <c r="S1390" s="1357">
        <v>43644</v>
      </c>
      <c r="T1390" s="1358">
        <v>3000000</v>
      </c>
      <c r="U1390" s="1357">
        <v>43644</v>
      </c>
      <c r="V1390" s="1714"/>
      <c r="W1390" s="1391"/>
      <c r="X1390" s="1363"/>
      <c r="Y1390" s="1391"/>
      <c r="Z1390" s="1363" t="str">
        <f t="shared" si="486"/>
        <v xml:space="preserve">  </v>
      </c>
      <c r="AA1390" s="1563" t="str">
        <f t="shared" si="487"/>
        <v xml:space="preserve">  </v>
      </c>
      <c r="AB1390" s="1385">
        <v>1000000</v>
      </c>
      <c r="AC1390" s="1357">
        <v>43822</v>
      </c>
      <c r="AD1390" s="1809">
        <v>500000</v>
      </c>
      <c r="AE1390" s="1440">
        <v>43858.936006944401</v>
      </c>
      <c r="AF1390" s="2061">
        <v>750000</v>
      </c>
      <c r="AG1390" s="2099"/>
      <c r="AH1390" s="2100" t="str">
        <f t="shared" si="490"/>
        <v>ES</v>
      </c>
      <c r="AI1390" s="1678">
        <f t="shared" si="479"/>
        <v>17850000</v>
      </c>
      <c r="AJ1390" s="1679" t="e">
        <f t="shared" si="480"/>
        <v>#VALUE!</v>
      </c>
      <c r="AK1390" s="1419" t="e">
        <f t="shared" si="481"/>
        <v>#VALUE!</v>
      </c>
      <c r="AL1390" s="1420" t="e">
        <f t="shared" si="482"/>
        <v>#VALUE!</v>
      </c>
      <c r="AM1390" s="1410"/>
      <c r="AN1390" s="1411"/>
      <c r="AO1390" s="1410"/>
      <c r="AP1390" s="1411"/>
      <c r="AQ1390" s="1128"/>
      <c r="AR1390" s="1173"/>
      <c r="AT1390" s="1173"/>
      <c r="AV1390" s="1173"/>
      <c r="AX1390" s="1173"/>
      <c r="AY1390" s="1176"/>
      <c r="AZ1390" s="1173"/>
    </row>
    <row r="1391" spans="1:52" s="2" customFormat="1" x14ac:dyDescent="0.25">
      <c r="A1391" s="156">
        <v>1289</v>
      </c>
      <c r="B1391" s="176">
        <v>32</v>
      </c>
      <c r="C1391" s="2014">
        <v>839217032</v>
      </c>
      <c r="D1391" s="575" t="s">
        <v>1894</v>
      </c>
      <c r="E1391" s="593" t="s">
        <v>1195</v>
      </c>
      <c r="F1391" s="613">
        <v>2017</v>
      </c>
      <c r="G1391" s="272" t="s">
        <v>33</v>
      </c>
      <c r="H1391" s="163">
        <f t="shared" si="484"/>
        <v>43838</v>
      </c>
      <c r="I1391" s="628">
        <f t="shared" si="483"/>
        <v>44168</v>
      </c>
      <c r="J1391" s="1364">
        <v>600000</v>
      </c>
      <c r="K1391" s="1365">
        <v>42940</v>
      </c>
      <c r="L1391" s="1431">
        <v>3000000</v>
      </c>
      <c r="M1391" s="1365">
        <v>42940</v>
      </c>
      <c r="N1391" s="1358">
        <v>3000000</v>
      </c>
      <c r="O1391" s="1357">
        <v>43115</v>
      </c>
      <c r="P1391" s="1431">
        <v>3000000</v>
      </c>
      <c r="Q1391" s="1365">
        <v>43293</v>
      </c>
      <c r="R1391" s="1358">
        <v>3000000</v>
      </c>
      <c r="S1391" s="1357">
        <v>43483</v>
      </c>
      <c r="T1391" s="1358">
        <v>3000000</v>
      </c>
      <c r="U1391" s="1357">
        <v>43668</v>
      </c>
      <c r="V1391" s="1714"/>
      <c r="W1391" s="1391"/>
      <c r="X1391" s="1363"/>
      <c r="Y1391" s="1391"/>
      <c r="Z1391" s="1363" t="str">
        <f t="shared" si="486"/>
        <v xml:space="preserve">  </v>
      </c>
      <c r="AA1391" s="1563" t="str">
        <f t="shared" si="487"/>
        <v xml:space="preserve">  </v>
      </c>
      <c r="AB1391" s="1385">
        <v>1000000</v>
      </c>
      <c r="AC1391" s="1357">
        <v>43787</v>
      </c>
      <c r="AD1391" s="1809">
        <v>500000</v>
      </c>
      <c r="AE1391" s="1440">
        <v>43859.584895833301</v>
      </c>
      <c r="AF1391" s="1430">
        <v>750000</v>
      </c>
      <c r="AG1391" s="2099">
        <v>42971</v>
      </c>
      <c r="AH1391" s="2100" t="str">
        <f t="shared" si="490"/>
        <v>ES</v>
      </c>
      <c r="AI1391" s="1678">
        <f t="shared" si="479"/>
        <v>17850000</v>
      </c>
      <c r="AJ1391" s="1679" t="e">
        <f t="shared" si="480"/>
        <v>#VALUE!</v>
      </c>
      <c r="AK1391" s="1419" t="e">
        <f t="shared" si="481"/>
        <v>#VALUE!</v>
      </c>
      <c r="AL1391" s="1420" t="e">
        <f t="shared" si="482"/>
        <v>#VALUE!</v>
      </c>
      <c r="AM1391" s="1410"/>
      <c r="AN1391" s="1411"/>
      <c r="AO1391" s="1410"/>
      <c r="AP1391" s="1411"/>
      <c r="AQ1391" s="1128"/>
      <c r="AR1391" s="1173"/>
      <c r="AT1391" s="1173"/>
      <c r="AV1391" s="1173"/>
      <c r="AX1391" s="1173"/>
      <c r="AY1391" s="1176"/>
      <c r="AZ1391" s="1173"/>
    </row>
    <row r="1392" spans="1:52" s="2" customFormat="1" x14ac:dyDescent="0.25">
      <c r="A1392" s="164">
        <v>1290</v>
      </c>
      <c r="B1392" s="176">
        <v>33</v>
      </c>
      <c r="C1392" s="2014">
        <v>839217033</v>
      </c>
      <c r="D1392" s="575" t="s">
        <v>1895</v>
      </c>
      <c r="E1392" s="593" t="s">
        <v>1195</v>
      </c>
      <c r="F1392" s="613">
        <v>2017</v>
      </c>
      <c r="G1392" s="272" t="s">
        <v>33</v>
      </c>
      <c r="H1392" s="163">
        <f t="shared" si="484"/>
        <v>43795</v>
      </c>
      <c r="I1392" s="628">
        <f t="shared" si="483"/>
        <v>44058</v>
      </c>
      <c r="J1392" s="1364">
        <v>600000</v>
      </c>
      <c r="K1392" s="1365">
        <v>42940</v>
      </c>
      <c r="L1392" s="1431">
        <v>3000000</v>
      </c>
      <c r="M1392" s="1365">
        <v>42940</v>
      </c>
      <c r="N1392" s="2075">
        <v>3000000</v>
      </c>
      <c r="O1392" s="2042">
        <v>43112</v>
      </c>
      <c r="P1392" s="1431">
        <v>3000000</v>
      </c>
      <c r="Q1392" s="1365">
        <v>43293</v>
      </c>
      <c r="R1392" s="1358">
        <v>3000000</v>
      </c>
      <c r="S1392" s="1357">
        <v>43483</v>
      </c>
      <c r="T1392" s="1358">
        <v>3000000</v>
      </c>
      <c r="U1392" s="1357">
        <v>43644</v>
      </c>
      <c r="V1392" s="1714"/>
      <c r="W1392" s="1391"/>
      <c r="X1392" s="1363"/>
      <c r="Y1392" s="1391"/>
      <c r="Z1392" s="1363" t="str">
        <f t="shared" si="486"/>
        <v xml:space="preserve">  </v>
      </c>
      <c r="AA1392" s="1563" t="str">
        <f t="shared" si="487"/>
        <v xml:space="preserve">  </v>
      </c>
      <c r="AB1392" s="1385">
        <v>1000000</v>
      </c>
      <c r="AC1392" s="1357" t="s">
        <v>1896</v>
      </c>
      <c r="AD1392" s="1809">
        <v>500000</v>
      </c>
      <c r="AE1392" s="1440">
        <v>43858.493240740703</v>
      </c>
      <c r="AF1392" s="1430">
        <v>250000</v>
      </c>
      <c r="AG1392" s="2099">
        <v>42972</v>
      </c>
      <c r="AH1392" s="2100" t="str">
        <f t="shared" si="490"/>
        <v>ES</v>
      </c>
      <c r="AI1392" s="1678">
        <f t="shared" si="479"/>
        <v>17350000</v>
      </c>
      <c r="AJ1392" s="1679" t="e">
        <f t="shared" si="480"/>
        <v>#VALUE!</v>
      </c>
      <c r="AK1392" s="1419" t="e">
        <f t="shared" si="481"/>
        <v>#VALUE!</v>
      </c>
      <c r="AL1392" s="1420" t="e">
        <f t="shared" si="482"/>
        <v>#VALUE!</v>
      </c>
      <c r="AM1392" s="1410"/>
      <c r="AN1392" s="1411"/>
      <c r="AO1392" s="1410"/>
      <c r="AP1392" s="1411"/>
      <c r="AQ1392" s="1128"/>
      <c r="AR1392" s="1173"/>
      <c r="AT1392" s="1173"/>
      <c r="AV1392" s="1173"/>
      <c r="AX1392" s="1173"/>
      <c r="AY1392" s="1176"/>
      <c r="AZ1392" s="1173"/>
    </row>
    <row r="1393" spans="1:52" s="2" customFormat="1" x14ac:dyDescent="0.25">
      <c r="A1393" s="164">
        <v>1291</v>
      </c>
      <c r="B1393" s="165">
        <v>34</v>
      </c>
      <c r="C1393" s="660">
        <v>839217034</v>
      </c>
      <c r="D1393" s="571" t="s">
        <v>1897</v>
      </c>
      <c r="E1393" s="578" t="s">
        <v>1195</v>
      </c>
      <c r="F1393" s="614">
        <v>2017</v>
      </c>
      <c r="G1393" s="581" t="s">
        <v>1833</v>
      </c>
      <c r="H1393" s="265" t="str">
        <f t="shared" si="484"/>
        <v xml:space="preserve">   </v>
      </c>
      <c r="I1393" s="574" t="str">
        <f t="shared" si="483"/>
        <v xml:space="preserve">   </v>
      </c>
      <c r="J1393" s="1366">
        <v>600000</v>
      </c>
      <c r="K1393" s="1360">
        <v>42942</v>
      </c>
      <c r="L1393" s="1430">
        <v>3000000</v>
      </c>
      <c r="M1393" s="1360">
        <v>42942</v>
      </c>
      <c r="N1393" s="2076">
        <v>3000000</v>
      </c>
      <c r="O1393" s="2040">
        <v>43112</v>
      </c>
      <c r="P1393" s="1430">
        <v>3000000</v>
      </c>
      <c r="Q1393" s="1360">
        <v>43293</v>
      </c>
      <c r="R1393" s="1363">
        <v>3000000</v>
      </c>
      <c r="S1393" s="1367">
        <v>43483</v>
      </c>
      <c r="T1393" s="1363">
        <v>3000000</v>
      </c>
      <c r="U1393" s="1367">
        <v>43644</v>
      </c>
      <c r="V1393" s="1731">
        <v>0</v>
      </c>
      <c r="W1393" s="1367"/>
      <c r="X1393" s="1186" t="s">
        <v>1078</v>
      </c>
      <c r="Y1393" s="1386">
        <v>44071</v>
      </c>
      <c r="Z1393" s="1363" t="str">
        <f t="shared" si="486"/>
        <v xml:space="preserve">  </v>
      </c>
      <c r="AA1393" s="1563" t="str">
        <f t="shared" si="487"/>
        <v xml:space="preserve">  </v>
      </c>
      <c r="AB1393" s="1714"/>
      <c r="AC1393" s="1367"/>
      <c r="AD1393" s="1666"/>
      <c r="AE1393" s="1590"/>
      <c r="AF1393" s="1430">
        <v>750000</v>
      </c>
      <c r="AG1393" s="2099">
        <v>42986</v>
      </c>
      <c r="AH1393" s="2100" t="str">
        <f t="shared" si="490"/>
        <v>ES</v>
      </c>
      <c r="AI1393" s="1678">
        <f t="shared" si="479"/>
        <v>16350000</v>
      </c>
      <c r="AJ1393" s="1679" t="e">
        <f t="shared" si="480"/>
        <v>#VALUE!</v>
      </c>
      <c r="AK1393" s="1419" t="e">
        <f t="shared" si="481"/>
        <v>#VALUE!</v>
      </c>
      <c r="AL1393" s="1420" t="e">
        <f t="shared" si="482"/>
        <v>#VALUE!</v>
      </c>
      <c r="AM1393" s="1410"/>
      <c r="AN1393" s="1411"/>
      <c r="AO1393" s="1410"/>
      <c r="AP1393" s="1411"/>
      <c r="AQ1393" s="1128"/>
      <c r="AR1393" s="1173"/>
      <c r="AT1393" s="1173"/>
      <c r="AV1393" s="1173"/>
      <c r="AX1393" s="1173"/>
      <c r="AY1393" s="1176"/>
      <c r="AZ1393" s="1173"/>
    </row>
    <row r="1394" spans="1:52" s="2" customFormat="1" x14ac:dyDescent="0.25">
      <c r="A1394" s="164">
        <v>1292</v>
      </c>
      <c r="B1394" s="165">
        <v>35</v>
      </c>
      <c r="C1394" s="660">
        <v>839217035</v>
      </c>
      <c r="D1394" s="571" t="s">
        <v>1898</v>
      </c>
      <c r="E1394" s="578" t="s">
        <v>1195</v>
      </c>
      <c r="F1394" s="614">
        <v>2017</v>
      </c>
      <c r="G1394" s="272" t="s">
        <v>33</v>
      </c>
      <c r="H1394" s="163">
        <f t="shared" si="484"/>
        <v>43966</v>
      </c>
      <c r="I1394" s="574">
        <f t="shared" si="483"/>
        <v>44186</v>
      </c>
      <c r="J1394" s="1366">
        <v>600000</v>
      </c>
      <c r="K1394" s="1360">
        <v>42943</v>
      </c>
      <c r="L1394" s="1430">
        <v>3000000</v>
      </c>
      <c r="M1394" s="1360">
        <v>42943</v>
      </c>
      <c r="N1394" s="2076">
        <v>3000000</v>
      </c>
      <c r="O1394" s="2040">
        <v>43116</v>
      </c>
      <c r="P1394" s="1430">
        <v>3000000</v>
      </c>
      <c r="Q1394" s="1360">
        <v>43294</v>
      </c>
      <c r="R1394" s="1363">
        <v>3000000</v>
      </c>
      <c r="S1394" s="1367">
        <v>43483</v>
      </c>
      <c r="T1394" s="1363">
        <v>3000000</v>
      </c>
      <c r="U1394" s="1367">
        <v>43644</v>
      </c>
      <c r="V1394" s="2095">
        <v>3000000</v>
      </c>
      <c r="W1394" s="1523">
        <v>43861.607546296298</v>
      </c>
      <c r="X1394" s="1363"/>
      <c r="Y1394" s="1391"/>
      <c r="Z1394" s="1363" t="str">
        <f t="shared" si="486"/>
        <v xml:space="preserve">  </v>
      </c>
      <c r="AA1394" s="1563" t="str">
        <f t="shared" si="487"/>
        <v xml:space="preserve">  </v>
      </c>
      <c r="AB1394" s="1385">
        <v>1000000</v>
      </c>
      <c r="AC1394" s="1357">
        <v>43927</v>
      </c>
      <c r="AD1394" s="1809">
        <v>500000</v>
      </c>
      <c r="AE1394" s="1440">
        <v>44077</v>
      </c>
      <c r="AF1394" s="1430">
        <v>250000</v>
      </c>
      <c r="AG1394" s="2099">
        <v>42971</v>
      </c>
      <c r="AH1394" s="2100" t="str">
        <f t="shared" si="490"/>
        <v>ES</v>
      </c>
      <c r="AI1394" s="1678">
        <f t="shared" si="479"/>
        <v>20350000</v>
      </c>
      <c r="AJ1394" s="1679" t="e">
        <f t="shared" si="480"/>
        <v>#VALUE!</v>
      </c>
      <c r="AK1394" s="1419" t="e">
        <f t="shared" si="481"/>
        <v>#VALUE!</v>
      </c>
      <c r="AL1394" s="1420" t="e">
        <f t="shared" si="482"/>
        <v>#VALUE!</v>
      </c>
      <c r="AM1394" s="1410"/>
      <c r="AN1394" s="1411"/>
      <c r="AO1394" s="1410"/>
      <c r="AP1394" s="1411"/>
      <c r="AQ1394" s="1128"/>
      <c r="AR1394" s="1173"/>
      <c r="AT1394" s="1173"/>
      <c r="AV1394" s="1173"/>
      <c r="AX1394" s="1173"/>
      <c r="AY1394" s="1176"/>
      <c r="AZ1394" s="1173"/>
    </row>
    <row r="1395" spans="1:52" s="2" customFormat="1" x14ac:dyDescent="0.25">
      <c r="A1395" s="164">
        <v>1293</v>
      </c>
      <c r="B1395" s="165">
        <v>36</v>
      </c>
      <c r="C1395" s="660">
        <v>839217036</v>
      </c>
      <c r="D1395" s="571" t="s">
        <v>1899</v>
      </c>
      <c r="E1395" s="578" t="s">
        <v>1195</v>
      </c>
      <c r="F1395" s="614">
        <v>2017</v>
      </c>
      <c r="G1395" s="1758" t="s">
        <v>28</v>
      </c>
      <c r="H1395" s="265" t="str">
        <f t="shared" si="484"/>
        <v xml:space="preserve">   </v>
      </c>
      <c r="I1395" s="574" t="str">
        <f t="shared" si="483"/>
        <v xml:space="preserve">   </v>
      </c>
      <c r="J1395" s="1366">
        <v>600000</v>
      </c>
      <c r="K1395" s="1360">
        <v>42940</v>
      </c>
      <c r="L1395" s="1430">
        <v>3000000</v>
      </c>
      <c r="M1395" s="1360">
        <v>42940</v>
      </c>
      <c r="N1395" s="1363">
        <v>3000000</v>
      </c>
      <c r="O1395" s="1367">
        <v>43115</v>
      </c>
      <c r="P1395" s="1430">
        <v>3000000</v>
      </c>
      <c r="Q1395" s="1360">
        <v>43294</v>
      </c>
      <c r="R1395" s="1363">
        <v>3000000</v>
      </c>
      <c r="S1395" s="1367">
        <v>43483</v>
      </c>
      <c r="T1395" s="1363">
        <v>3000000</v>
      </c>
      <c r="U1395" s="1367">
        <v>43859</v>
      </c>
      <c r="V1395" s="1731">
        <v>3000000</v>
      </c>
      <c r="W1395" s="1367">
        <v>43859</v>
      </c>
      <c r="X1395" s="1731">
        <v>0</v>
      </c>
      <c r="Y1395" s="1367"/>
      <c r="Z1395" s="1363" t="str">
        <f t="shared" si="486"/>
        <v xml:space="preserve">  </v>
      </c>
      <c r="AA1395" s="1563" t="str">
        <f t="shared" si="487"/>
        <v xml:space="preserve">  </v>
      </c>
      <c r="AB1395" s="1714">
        <v>1000000</v>
      </c>
      <c r="AC1395" s="1367">
        <v>43859</v>
      </c>
      <c r="AD1395" s="1666"/>
      <c r="AE1395" s="1590"/>
      <c r="AF1395" s="1430">
        <v>750000</v>
      </c>
      <c r="AG1395" s="2099">
        <v>42971</v>
      </c>
      <c r="AH1395" s="2100" t="str">
        <f t="shared" si="490"/>
        <v>ES</v>
      </c>
      <c r="AI1395" s="1678">
        <f t="shared" si="479"/>
        <v>20350000</v>
      </c>
      <c r="AJ1395" s="1679" t="e">
        <f t="shared" si="480"/>
        <v>#VALUE!</v>
      </c>
      <c r="AK1395" s="1419" t="e">
        <f t="shared" si="481"/>
        <v>#VALUE!</v>
      </c>
      <c r="AL1395" s="1420" t="e">
        <f t="shared" si="482"/>
        <v>#VALUE!</v>
      </c>
      <c r="AM1395" s="1410"/>
      <c r="AN1395" s="1411"/>
      <c r="AO1395" s="1410"/>
      <c r="AP1395" s="1411"/>
      <c r="AQ1395" s="1128"/>
      <c r="AR1395" s="1173"/>
      <c r="AT1395" s="1173"/>
      <c r="AV1395" s="1173"/>
      <c r="AX1395" s="1173"/>
      <c r="AY1395" s="1176"/>
      <c r="AZ1395" s="1173"/>
    </row>
    <row r="1396" spans="1:52" s="2" customFormat="1" x14ac:dyDescent="0.25">
      <c r="A1396" s="216">
        <v>1294</v>
      </c>
      <c r="B1396" s="217">
        <v>37</v>
      </c>
      <c r="C1396" s="679">
        <v>839217037</v>
      </c>
      <c r="D1396" s="601" t="s">
        <v>1900</v>
      </c>
      <c r="E1396" s="630" t="s">
        <v>1195</v>
      </c>
      <c r="F1396" s="631">
        <v>2017</v>
      </c>
      <c r="G1396" s="272" t="s">
        <v>33</v>
      </c>
      <c r="H1396" s="163">
        <f t="shared" si="484"/>
        <v>44029</v>
      </c>
      <c r="I1396" s="604" t="str">
        <f t="shared" si="483"/>
        <v xml:space="preserve">   </v>
      </c>
      <c r="J1396" s="1444">
        <v>600000</v>
      </c>
      <c r="K1396" s="1557">
        <v>42944</v>
      </c>
      <c r="L1396" s="1448">
        <v>3000000</v>
      </c>
      <c r="M1396" s="1557">
        <v>42944</v>
      </c>
      <c r="N1396" s="1446">
        <v>3000000</v>
      </c>
      <c r="O1396" s="1445">
        <v>43115</v>
      </c>
      <c r="P1396" s="1448">
        <v>3000000</v>
      </c>
      <c r="Q1396" s="1557">
        <v>43292</v>
      </c>
      <c r="R1396" s="1446">
        <v>3000000</v>
      </c>
      <c r="S1396" s="1445">
        <v>43483</v>
      </c>
      <c r="T1396" s="1363">
        <v>3000000</v>
      </c>
      <c r="U1396" s="1367">
        <v>43643</v>
      </c>
      <c r="V1396" s="1731">
        <v>3000000</v>
      </c>
      <c r="W1396" s="1367">
        <v>43879</v>
      </c>
      <c r="X1396" s="1363"/>
      <c r="Y1396" s="1391"/>
      <c r="Z1396" s="1363" t="str">
        <f t="shared" si="486"/>
        <v xml:space="preserve">  </v>
      </c>
      <c r="AA1396" s="1563" t="str">
        <f t="shared" si="487"/>
        <v xml:space="preserve">  </v>
      </c>
      <c r="AB1396" s="1484">
        <v>1000000</v>
      </c>
      <c r="AC1396" s="1435">
        <v>43816</v>
      </c>
      <c r="AD1396" s="1809">
        <v>500000</v>
      </c>
      <c r="AE1396" s="1440">
        <v>44140</v>
      </c>
      <c r="AF1396" s="1448">
        <v>250000</v>
      </c>
      <c r="AG1396" s="2101">
        <v>42972</v>
      </c>
      <c r="AH1396" s="2102" t="str">
        <f t="shared" si="490"/>
        <v>ES</v>
      </c>
      <c r="AI1396" s="1678">
        <f t="shared" si="479"/>
        <v>20350000</v>
      </c>
      <c r="AJ1396" s="1679" t="e">
        <f t="shared" si="480"/>
        <v>#VALUE!</v>
      </c>
      <c r="AK1396" s="1419" t="e">
        <f t="shared" si="481"/>
        <v>#VALUE!</v>
      </c>
      <c r="AL1396" s="1420" t="e">
        <f t="shared" si="482"/>
        <v>#VALUE!</v>
      </c>
      <c r="AM1396" s="1410"/>
      <c r="AN1396" s="1411"/>
      <c r="AO1396" s="1410"/>
      <c r="AP1396" s="1411"/>
      <c r="AQ1396" s="1128"/>
      <c r="AR1396" s="1173"/>
      <c r="AT1396" s="1173"/>
      <c r="AV1396" s="1173"/>
      <c r="AX1396" s="1173"/>
      <c r="AY1396" s="1176"/>
      <c r="AZ1396" s="1173"/>
    </row>
    <row r="1397" spans="1:52" s="2" customFormat="1" x14ac:dyDescent="0.25">
      <c r="A1397" s="223"/>
      <c r="B1397" s="228"/>
      <c r="C1397" s="471"/>
      <c r="D1397" s="605"/>
      <c r="E1397" s="227" t="s">
        <v>61</v>
      </c>
      <c r="F1397" s="387" t="s">
        <v>61</v>
      </c>
      <c r="G1397" s="192" t="s">
        <v>61</v>
      </c>
      <c r="H1397" s="439" t="str">
        <f t="shared" si="484"/>
        <v xml:space="preserve">   </v>
      </c>
      <c r="I1397" s="439" t="str">
        <f t="shared" si="483"/>
        <v xml:space="preserve">   </v>
      </c>
      <c r="J1397" s="2024"/>
      <c r="K1397" s="1348"/>
      <c r="L1397" s="2024"/>
      <c r="M1397" s="1348"/>
      <c r="N1397" s="2024"/>
      <c r="O1397" s="1348"/>
      <c r="P1397" s="2024"/>
      <c r="Q1397" s="1348"/>
      <c r="R1397" s="2024"/>
      <c r="S1397" s="1378"/>
      <c r="T1397" s="2024"/>
      <c r="U1397" s="1348"/>
      <c r="V1397" s="1960"/>
      <c r="W1397" s="2057"/>
      <c r="X1397" s="1960"/>
      <c r="Y1397" s="2057"/>
      <c r="Z1397" s="1960"/>
      <c r="AA1397" s="2057"/>
      <c r="AB1397" s="2024"/>
      <c r="AC1397" s="1348"/>
      <c r="AD1397" s="1769"/>
      <c r="AE1397" s="1155"/>
      <c r="AF1397" s="1769"/>
      <c r="AG1397" s="1155"/>
      <c r="AH1397" s="1408" t="str">
        <f t="shared" si="490"/>
        <v>-</v>
      </c>
      <c r="AI1397" s="1512"/>
      <c r="AJ1397" s="1409"/>
      <c r="AK1397" s="1409"/>
      <c r="AL1397" s="1513"/>
      <c r="AM1397" s="1513"/>
      <c r="AN1397" s="1514"/>
      <c r="AO1397" s="1513"/>
      <c r="AP1397" s="1514"/>
      <c r="AQ1397" s="1128"/>
      <c r="AR1397" s="1173"/>
      <c r="AT1397" s="1173"/>
      <c r="AV1397" s="1173"/>
      <c r="AX1397" s="1173"/>
      <c r="AY1397" s="1176"/>
      <c r="AZ1397" s="1173"/>
    </row>
    <row r="1398" spans="1:52" s="2" customFormat="1" x14ac:dyDescent="0.25">
      <c r="A1398" s="625" t="s">
        <v>1901</v>
      </c>
      <c r="B1398" s="625"/>
      <c r="C1398" s="366"/>
      <c r="D1398" s="632"/>
      <c r="E1398" s="198" t="s">
        <v>1096</v>
      </c>
      <c r="F1398" s="199" t="s">
        <v>1096</v>
      </c>
      <c r="G1398" s="146">
        <v>3000000</v>
      </c>
      <c r="H1398" s="147" t="str">
        <f t="shared" si="484"/>
        <v xml:space="preserve">   </v>
      </c>
      <c r="I1398" s="147" t="str">
        <f t="shared" si="483"/>
        <v xml:space="preserve">   </v>
      </c>
      <c r="J1398" s="1349">
        <v>600000</v>
      </c>
      <c r="K1398" s="1529"/>
      <c r="L1398" s="1582" t="s">
        <v>1049</v>
      </c>
      <c r="M1398" s="1502" t="s">
        <v>1066</v>
      </c>
      <c r="N1398" s="1582" t="s">
        <v>1051</v>
      </c>
      <c r="O1398" s="1502" t="s">
        <v>1068</v>
      </c>
      <c r="P1398" s="1582" t="s">
        <v>1053</v>
      </c>
      <c r="Q1398" s="1502" t="s">
        <v>1141</v>
      </c>
      <c r="R1398" s="1582" t="s">
        <v>1055</v>
      </c>
      <c r="S1398" s="1502" t="s">
        <v>1325</v>
      </c>
      <c r="T1398" s="1582" t="s">
        <v>1057</v>
      </c>
      <c r="U1398" s="1502" t="s">
        <v>1463</v>
      </c>
      <c r="V1398" s="1582" t="s">
        <v>1059</v>
      </c>
      <c r="W1398" s="1502" t="s">
        <v>1464</v>
      </c>
      <c r="X1398" s="1582" t="s">
        <v>1061</v>
      </c>
      <c r="Y1398" s="1502" t="s">
        <v>1466</v>
      </c>
      <c r="Z1398" s="1582" t="s">
        <v>1063</v>
      </c>
      <c r="AA1398" s="1502" t="s">
        <v>1468</v>
      </c>
      <c r="AB1398" s="1450">
        <v>1000000</v>
      </c>
      <c r="AC1398" s="1663" t="s">
        <v>1326</v>
      </c>
      <c r="AD1398" s="1450">
        <v>500000</v>
      </c>
      <c r="AE1398" s="2005" t="s">
        <v>22</v>
      </c>
      <c r="AF1398" s="2059" t="s">
        <v>1753</v>
      </c>
      <c r="AG1398" s="2005" t="s">
        <v>1754</v>
      </c>
      <c r="AH1398" s="2058" t="str">
        <f t="shared" si="490"/>
        <v>#</v>
      </c>
      <c r="AI1398" s="1512"/>
      <c r="AJ1398" s="2098"/>
      <c r="AK1398" s="2098"/>
      <c r="AL1398" s="1513"/>
      <c r="AM1398" s="1513"/>
      <c r="AN1398" s="1514"/>
      <c r="AO1398" s="1513"/>
      <c r="AP1398" s="1514"/>
      <c r="AQ1398" s="1128"/>
      <c r="AR1398" s="1173"/>
      <c r="AT1398" s="1173"/>
      <c r="AV1398" s="1173"/>
      <c r="AX1398" s="1173"/>
      <c r="AY1398" s="1176"/>
      <c r="AZ1398" s="1173"/>
    </row>
    <row r="1399" spans="1:52" s="2" customFormat="1" x14ac:dyDescent="0.25">
      <c r="A1399" s="457">
        <v>1295</v>
      </c>
      <c r="B1399" s="633">
        <v>1</v>
      </c>
      <c r="C1399" s="659">
        <v>849417001</v>
      </c>
      <c r="D1399" s="609" t="s">
        <v>1902</v>
      </c>
      <c r="E1399" s="567" t="s">
        <v>1665</v>
      </c>
      <c r="F1399" s="610">
        <v>2017</v>
      </c>
      <c r="G1399" s="1758" t="s">
        <v>28</v>
      </c>
      <c r="H1399" s="408" t="str">
        <f t="shared" si="484"/>
        <v xml:space="preserve">   </v>
      </c>
      <c r="I1399" s="570" t="str">
        <f t="shared" si="483"/>
        <v xml:space="preserve">   </v>
      </c>
      <c r="J1399" s="1558">
        <v>600000</v>
      </c>
      <c r="K1399" s="1542">
        <v>42951</v>
      </c>
      <c r="L1399" s="1551">
        <v>3000000</v>
      </c>
      <c r="M1399" s="1542">
        <v>42951</v>
      </c>
      <c r="N1399" s="1543">
        <v>3000000</v>
      </c>
      <c r="O1399" s="1590">
        <v>43112</v>
      </c>
      <c r="P1399" s="1551">
        <v>3000000</v>
      </c>
      <c r="Q1399" s="1542">
        <v>43293</v>
      </c>
      <c r="R1399" s="1543">
        <v>3000000</v>
      </c>
      <c r="S1399" s="1590">
        <v>43482</v>
      </c>
      <c r="T1399" s="1941">
        <v>3000000</v>
      </c>
      <c r="U1399" s="2054">
        <v>43642</v>
      </c>
      <c r="V1399" s="1731">
        <v>3000000</v>
      </c>
      <c r="W1399" s="1367">
        <v>43861.434965277796</v>
      </c>
      <c r="X1399" s="1731">
        <v>0</v>
      </c>
      <c r="Y1399" s="1367"/>
      <c r="Z1399" s="1941" t="str">
        <f>IFERROR(VLOOKUP(C1399,BSP,3,FALSE),"  ")</f>
        <v xml:space="preserve">  </v>
      </c>
      <c r="AA1399" s="1955" t="str">
        <f>IFERROR((VLOOKUP(C1399,BSP,4,FALSE)),"  ")</f>
        <v xml:space="preserve">  </v>
      </c>
      <c r="AB1399" s="2097"/>
      <c r="AC1399" s="2054"/>
      <c r="AD1399" s="1666"/>
      <c r="AE1399" s="1590"/>
      <c r="AF1399" s="1551">
        <v>500000</v>
      </c>
      <c r="AG1399" s="2067">
        <v>42965</v>
      </c>
      <c r="AH1399" s="2068" t="str">
        <f t="shared" si="490"/>
        <v>PGMI</v>
      </c>
      <c r="AI1399" s="1678">
        <f t="shared" ref="AI1399:AI1417" si="491">SUM(J1399,L1399,N1399,P1399,R1399,T1399,V1399,X1399,Z1399,AB1399,AD1399,AF1399)</f>
        <v>19100000</v>
      </c>
      <c r="AJ1399" s="1679" t="e">
        <f t="shared" ref="AJ1399:AJ1417" si="492">(COUNT(L1399,N1399,P1399,R1399,T1399,V1399,X1399,Z1399)*$G$1256)+(COUNT(J1399)*$J$1256)+(COUNT(AB1399)*$AB$1256)+(COUNT(AD1399)*$AD$1256)+(COUNT(AF1399)*AH1399)</f>
        <v>#VALUE!</v>
      </c>
      <c r="AK1399" s="1419" t="e">
        <f t="shared" ref="AK1399:AK1417" si="493">AJ1399-AI1399</f>
        <v>#VALUE!</v>
      </c>
      <c r="AL1399" s="1420" t="e">
        <f t="shared" ref="AL1399:AL1417" si="494">IF(AK1399=0,"Lunas","Cek")</f>
        <v>#VALUE!</v>
      </c>
      <c r="AM1399" s="1410"/>
      <c r="AN1399" s="1411"/>
      <c r="AO1399" s="1410"/>
      <c r="AP1399" s="1411"/>
      <c r="AQ1399" s="1128"/>
      <c r="AR1399" s="1173"/>
      <c r="AT1399" s="1173"/>
      <c r="AV1399" s="1173"/>
      <c r="AX1399" s="1173"/>
      <c r="AY1399" s="1176"/>
      <c r="AZ1399" s="1173"/>
    </row>
    <row r="1400" spans="1:52" s="2" customFormat="1" x14ac:dyDescent="0.25">
      <c r="A1400" s="164">
        <v>1296</v>
      </c>
      <c r="B1400" s="634">
        <v>2</v>
      </c>
      <c r="C1400" s="660">
        <v>849417002</v>
      </c>
      <c r="D1400" s="571" t="s">
        <v>1903</v>
      </c>
      <c r="E1400" s="572" t="s">
        <v>1665</v>
      </c>
      <c r="F1400" s="612">
        <v>2017</v>
      </c>
      <c r="G1400" s="581" t="s">
        <v>1833</v>
      </c>
      <c r="H1400" s="265" t="str">
        <f t="shared" si="484"/>
        <v xml:space="preserve">   </v>
      </c>
      <c r="I1400" s="574" t="str">
        <f t="shared" si="483"/>
        <v xml:space="preserve">   </v>
      </c>
      <c r="J1400" s="1366">
        <v>600000</v>
      </c>
      <c r="K1400" s="1360">
        <v>42942</v>
      </c>
      <c r="L1400" s="1430">
        <v>3000000</v>
      </c>
      <c r="M1400" s="1360">
        <v>42942</v>
      </c>
      <c r="N1400" s="1363">
        <v>3000000</v>
      </c>
      <c r="O1400" s="1367">
        <v>43115</v>
      </c>
      <c r="P1400" s="1430">
        <v>3000000</v>
      </c>
      <c r="Q1400" s="1360">
        <v>43294</v>
      </c>
      <c r="R1400" s="1363">
        <v>3000000</v>
      </c>
      <c r="S1400" s="1367">
        <v>43480</v>
      </c>
      <c r="T1400" s="1363">
        <v>3000000</v>
      </c>
      <c r="U1400" s="1367">
        <v>43644</v>
      </c>
      <c r="V1400" s="1731">
        <v>3000000</v>
      </c>
      <c r="W1400" s="1367">
        <v>43901</v>
      </c>
      <c r="X1400" s="1186" t="s">
        <v>1078</v>
      </c>
      <c r="Y1400" s="1386">
        <v>44071</v>
      </c>
      <c r="Z1400" s="1363" t="str">
        <f>IFERROR(VLOOKUP(C1400,BSP,3,FALSE),"  ")</f>
        <v xml:space="preserve">  </v>
      </c>
      <c r="AA1400" s="1563" t="str">
        <f>IFERROR((VLOOKUP(C1400,BSP,4,FALSE)),"  ")</f>
        <v xml:space="preserve">  </v>
      </c>
      <c r="AB1400" s="1714"/>
      <c r="AC1400" s="1367"/>
      <c r="AD1400" s="1666"/>
      <c r="AE1400" s="1590"/>
      <c r="AF1400" s="1430">
        <v>250000</v>
      </c>
      <c r="AG1400" s="2099">
        <v>42972</v>
      </c>
      <c r="AH1400" s="2100" t="str">
        <f t="shared" si="490"/>
        <v>PGMI</v>
      </c>
      <c r="AI1400" s="1678">
        <f t="shared" si="491"/>
        <v>18850000</v>
      </c>
      <c r="AJ1400" s="1679" t="e">
        <f t="shared" si="492"/>
        <v>#VALUE!</v>
      </c>
      <c r="AK1400" s="1419" t="e">
        <f t="shared" si="493"/>
        <v>#VALUE!</v>
      </c>
      <c r="AL1400" s="1420" t="e">
        <f t="shared" si="494"/>
        <v>#VALUE!</v>
      </c>
      <c r="AM1400" s="1410"/>
      <c r="AN1400" s="1411"/>
      <c r="AO1400" s="1410"/>
      <c r="AP1400" s="1411"/>
      <c r="AQ1400" s="1128"/>
      <c r="AR1400" s="1173"/>
      <c r="AT1400" s="1173"/>
      <c r="AV1400" s="1173"/>
      <c r="AX1400" s="1173"/>
      <c r="AY1400" s="1176"/>
      <c r="AZ1400" s="1173"/>
    </row>
    <row r="1401" spans="1:52" s="2" customFormat="1" x14ac:dyDescent="0.25">
      <c r="A1401" s="156">
        <v>1297</v>
      </c>
      <c r="B1401" s="635">
        <v>3</v>
      </c>
      <c r="C1401" s="2014">
        <v>849417003</v>
      </c>
      <c r="D1401" s="575" t="s">
        <v>1904</v>
      </c>
      <c r="E1401" s="576" t="s">
        <v>1665</v>
      </c>
      <c r="F1401" s="611">
        <v>2017</v>
      </c>
      <c r="G1401" s="272" t="s">
        <v>33</v>
      </c>
      <c r="H1401" s="163">
        <f t="shared" si="484"/>
        <v>44192</v>
      </c>
      <c r="I1401" s="628">
        <f t="shared" si="483"/>
        <v>44168</v>
      </c>
      <c r="J1401" s="1364">
        <v>600000</v>
      </c>
      <c r="K1401" s="1365">
        <v>42936</v>
      </c>
      <c r="L1401" s="1431">
        <v>3000000</v>
      </c>
      <c r="M1401" s="1365">
        <v>42936</v>
      </c>
      <c r="N1401" s="1358">
        <v>3000000</v>
      </c>
      <c r="O1401" s="1357">
        <v>43111</v>
      </c>
      <c r="P1401" s="1431">
        <v>3000000</v>
      </c>
      <c r="Q1401" s="1365">
        <v>43292</v>
      </c>
      <c r="R1401" s="1358">
        <v>3000000</v>
      </c>
      <c r="S1401" s="1357">
        <v>43481</v>
      </c>
      <c r="T1401" s="1358">
        <v>3000000</v>
      </c>
      <c r="U1401" s="1357">
        <v>43644</v>
      </c>
      <c r="V1401" s="1714"/>
      <c r="W1401" s="1391"/>
      <c r="X1401" s="1363"/>
      <c r="Y1401" s="1391"/>
      <c r="Z1401" s="1363" t="str">
        <f>IFERROR(VLOOKUP(C1401,BSP,3,FALSE),"  ")</f>
        <v xml:space="preserve">  </v>
      </c>
      <c r="AA1401" s="1563" t="str">
        <f>IFERROR((VLOOKUP(C1401,BSP,4,FALSE)),"  ")</f>
        <v xml:space="preserve">  </v>
      </c>
      <c r="AB1401" s="1385">
        <v>1000000</v>
      </c>
      <c r="AC1401" s="1357">
        <v>43816</v>
      </c>
      <c r="AD1401" s="1809">
        <v>500000</v>
      </c>
      <c r="AE1401" s="1440">
        <v>43857.615949074097</v>
      </c>
      <c r="AF1401" s="2061">
        <v>750000</v>
      </c>
      <c r="AG1401" s="2099">
        <v>43714</v>
      </c>
      <c r="AH1401" s="2100" t="str">
        <f t="shared" si="490"/>
        <v>PGMI</v>
      </c>
      <c r="AI1401" s="1678">
        <f t="shared" si="491"/>
        <v>17850000</v>
      </c>
      <c r="AJ1401" s="1679" t="e">
        <f t="shared" si="492"/>
        <v>#VALUE!</v>
      </c>
      <c r="AK1401" s="1419" t="e">
        <f t="shared" si="493"/>
        <v>#VALUE!</v>
      </c>
      <c r="AL1401" s="1420" t="e">
        <f t="shared" si="494"/>
        <v>#VALUE!</v>
      </c>
      <c r="AM1401" s="1410"/>
      <c r="AN1401" s="1411"/>
      <c r="AO1401" s="1410"/>
      <c r="AP1401" s="1411"/>
      <c r="AQ1401" s="1128"/>
      <c r="AR1401" s="1173"/>
      <c r="AT1401" s="1173"/>
      <c r="AV1401" s="1173"/>
      <c r="AX1401" s="1173"/>
      <c r="AY1401" s="1176"/>
      <c r="AZ1401" s="1173"/>
    </row>
    <row r="1402" spans="1:52" s="2" customFormat="1" x14ac:dyDescent="0.25">
      <c r="A1402" s="164">
        <v>1298</v>
      </c>
      <c r="B1402" s="634">
        <v>4</v>
      </c>
      <c r="C1402" s="660">
        <v>849417004</v>
      </c>
      <c r="D1402" s="571" t="s">
        <v>1905</v>
      </c>
      <c r="E1402" s="572" t="s">
        <v>1665</v>
      </c>
      <c r="F1402" s="612">
        <v>2017</v>
      </c>
      <c r="G1402" s="360" t="s">
        <v>1483</v>
      </c>
      <c r="H1402" s="265" t="str">
        <f t="shared" si="484"/>
        <v xml:space="preserve">   </v>
      </c>
      <c r="I1402" s="574" t="str">
        <f t="shared" si="483"/>
        <v xml:space="preserve">   </v>
      </c>
      <c r="J1402" s="1366">
        <v>600000</v>
      </c>
      <c r="K1402" s="1360">
        <v>42937</v>
      </c>
      <c r="L1402" s="1430">
        <v>3000000</v>
      </c>
      <c r="M1402" s="1360">
        <v>42937</v>
      </c>
      <c r="N1402" s="1363">
        <v>3000000</v>
      </c>
      <c r="O1402" s="1367">
        <v>43110</v>
      </c>
      <c r="P1402" s="1430">
        <v>3000000</v>
      </c>
      <c r="Q1402" s="1360">
        <v>43293</v>
      </c>
      <c r="R1402" s="1363">
        <v>3000000</v>
      </c>
      <c r="S1402" s="1367">
        <v>43481</v>
      </c>
      <c r="T1402" s="1363">
        <v>3000000</v>
      </c>
      <c r="U1402" s="1367">
        <v>43642</v>
      </c>
      <c r="V1402" s="1186" t="s">
        <v>1078</v>
      </c>
      <c r="W1402" s="1386">
        <v>43861</v>
      </c>
      <c r="X1402" s="1731">
        <v>3000000</v>
      </c>
      <c r="Y1402" s="1367">
        <v>44071.555671296301</v>
      </c>
      <c r="Z1402" s="1363"/>
      <c r="AA1402" s="1563"/>
      <c r="AB1402" s="1714"/>
      <c r="AC1402" s="1367"/>
      <c r="AD1402" s="1666"/>
      <c r="AE1402" s="1590"/>
      <c r="AF1402" s="1430">
        <v>750000</v>
      </c>
      <c r="AG1402" s="2099">
        <v>42970</v>
      </c>
      <c r="AH1402" s="2100" t="str">
        <f t="shared" si="490"/>
        <v>PGMI</v>
      </c>
      <c r="AI1402" s="1678">
        <f t="shared" si="491"/>
        <v>19350000</v>
      </c>
      <c r="AJ1402" s="1679" t="e">
        <f t="shared" si="492"/>
        <v>#VALUE!</v>
      </c>
      <c r="AK1402" s="1419" t="e">
        <f t="shared" si="493"/>
        <v>#VALUE!</v>
      </c>
      <c r="AL1402" s="1420" t="e">
        <f t="shared" si="494"/>
        <v>#VALUE!</v>
      </c>
      <c r="AM1402" s="1410"/>
      <c r="AN1402" s="1411"/>
      <c r="AO1402" s="1410"/>
      <c r="AP1402" s="1411"/>
      <c r="AQ1402" s="1128"/>
      <c r="AR1402" s="1173"/>
      <c r="AT1402" s="1173"/>
      <c r="AV1402" s="1173"/>
      <c r="AX1402" s="1173"/>
      <c r="AY1402" s="1176"/>
      <c r="AZ1402" s="1173"/>
    </row>
    <row r="1403" spans="1:52" s="2" customFormat="1" x14ac:dyDescent="0.25">
      <c r="A1403" s="156">
        <v>1299</v>
      </c>
      <c r="B1403" s="635">
        <v>5</v>
      </c>
      <c r="C1403" s="2014">
        <v>849417005</v>
      </c>
      <c r="D1403" s="575" t="s">
        <v>1906</v>
      </c>
      <c r="E1403" s="576" t="s">
        <v>1665</v>
      </c>
      <c r="F1403" s="611">
        <v>2017</v>
      </c>
      <c r="G1403" s="272" t="s">
        <v>33</v>
      </c>
      <c r="H1403" s="163">
        <f t="shared" si="484"/>
        <v>43839</v>
      </c>
      <c r="I1403" s="628">
        <f t="shared" si="483"/>
        <v>44058</v>
      </c>
      <c r="J1403" s="1364">
        <v>600000</v>
      </c>
      <c r="K1403" s="1365">
        <v>42943</v>
      </c>
      <c r="L1403" s="1431">
        <v>3000000</v>
      </c>
      <c r="M1403" s="1365">
        <v>42943</v>
      </c>
      <c r="N1403" s="1358">
        <v>3000000</v>
      </c>
      <c r="O1403" s="1357">
        <v>43115</v>
      </c>
      <c r="P1403" s="1431">
        <v>3000000</v>
      </c>
      <c r="Q1403" s="1365">
        <v>43294</v>
      </c>
      <c r="R1403" s="1358">
        <v>3000000</v>
      </c>
      <c r="S1403" s="1357">
        <v>43483</v>
      </c>
      <c r="T1403" s="1358">
        <v>3000000</v>
      </c>
      <c r="U1403" s="1357">
        <v>43650</v>
      </c>
      <c r="V1403" s="1714"/>
      <c r="W1403" s="1391"/>
      <c r="X1403" s="1363"/>
      <c r="Y1403" s="1391"/>
      <c r="Z1403" s="1363" t="str">
        <f t="shared" ref="Z1403:Z1410" si="495">IFERROR(VLOOKUP(C1403,BSP,3,FALSE),"  ")</f>
        <v xml:space="preserve">  </v>
      </c>
      <c r="AA1403" s="1563" t="str">
        <f t="shared" ref="AA1403:AA1410" si="496">IFERROR((VLOOKUP(C1403,BSP,4,FALSE)),"  ")</f>
        <v xml:space="preserve">  </v>
      </c>
      <c r="AB1403" s="1385">
        <v>1000000</v>
      </c>
      <c r="AC1403" s="1357">
        <v>43815</v>
      </c>
      <c r="AD1403" s="1809">
        <v>500000</v>
      </c>
      <c r="AE1403" s="1440">
        <v>43861.605173611097</v>
      </c>
      <c r="AF1403" s="1430">
        <v>750000</v>
      </c>
      <c r="AG1403" s="2099">
        <v>42972</v>
      </c>
      <c r="AH1403" s="2100" t="str">
        <f t="shared" si="490"/>
        <v>PGMI</v>
      </c>
      <c r="AI1403" s="1678">
        <f t="shared" si="491"/>
        <v>17850000</v>
      </c>
      <c r="AJ1403" s="1679" t="e">
        <f t="shared" si="492"/>
        <v>#VALUE!</v>
      </c>
      <c r="AK1403" s="1419" t="e">
        <f t="shared" si="493"/>
        <v>#VALUE!</v>
      </c>
      <c r="AL1403" s="1420" t="e">
        <f t="shared" si="494"/>
        <v>#VALUE!</v>
      </c>
      <c r="AM1403" s="1410"/>
      <c r="AN1403" s="1411"/>
      <c r="AO1403" s="1410"/>
      <c r="AP1403" s="1411"/>
      <c r="AQ1403" s="1128"/>
      <c r="AR1403" s="1173"/>
      <c r="AT1403" s="1173"/>
      <c r="AV1403" s="1173"/>
      <c r="AX1403" s="1173"/>
      <c r="AY1403" s="1176"/>
      <c r="AZ1403" s="1173"/>
    </row>
    <row r="1404" spans="1:52" s="2" customFormat="1" x14ac:dyDescent="0.25">
      <c r="A1404" s="156">
        <v>1300</v>
      </c>
      <c r="B1404" s="635">
        <v>6</v>
      </c>
      <c r="C1404" s="2014">
        <v>849417006</v>
      </c>
      <c r="D1404" s="575" t="s">
        <v>1907</v>
      </c>
      <c r="E1404" s="576" t="s">
        <v>1665</v>
      </c>
      <c r="F1404" s="611">
        <v>2017</v>
      </c>
      <c r="G1404" s="272" t="s">
        <v>33</v>
      </c>
      <c r="H1404" s="163">
        <f t="shared" si="484"/>
        <v>43658</v>
      </c>
      <c r="I1404" s="628">
        <f t="shared" si="483"/>
        <v>43750</v>
      </c>
      <c r="J1404" s="1364">
        <v>600000</v>
      </c>
      <c r="K1404" s="1365">
        <v>42943</v>
      </c>
      <c r="L1404" s="1431">
        <v>3000000</v>
      </c>
      <c r="M1404" s="1365">
        <v>42943</v>
      </c>
      <c r="N1404" s="2075">
        <v>3000000</v>
      </c>
      <c r="O1404" s="2042">
        <v>43110</v>
      </c>
      <c r="P1404" s="1431">
        <v>3000000</v>
      </c>
      <c r="Q1404" s="1365">
        <v>43292</v>
      </c>
      <c r="R1404" s="1358">
        <v>3000000</v>
      </c>
      <c r="S1404" s="1357">
        <v>43481</v>
      </c>
      <c r="T1404" s="1358">
        <v>3000000</v>
      </c>
      <c r="U1404" s="1357">
        <v>43643</v>
      </c>
      <c r="V1404" s="1714"/>
      <c r="W1404" s="1391"/>
      <c r="X1404" s="1363" t="str">
        <f>IFERROR(VLOOKUP(C1404,BSP,3,FALSE),"  ")</f>
        <v xml:space="preserve">  </v>
      </c>
      <c r="Y1404" s="1391" t="str">
        <f>IFERROR((VLOOKUP(C1404,BSP,4,FALSE)),"  ")</f>
        <v xml:space="preserve">  </v>
      </c>
      <c r="Z1404" s="1363" t="str">
        <f t="shared" si="495"/>
        <v xml:space="preserve">  </v>
      </c>
      <c r="AA1404" s="1563" t="str">
        <f t="shared" si="496"/>
        <v xml:space="preserve">  </v>
      </c>
      <c r="AB1404" s="1385">
        <v>1000000</v>
      </c>
      <c r="AC1404" s="1357">
        <v>43640</v>
      </c>
      <c r="AD1404" s="1666"/>
      <c r="AE1404" s="1590"/>
      <c r="AF1404" s="1430">
        <v>250000</v>
      </c>
      <c r="AG1404" s="2099">
        <v>42965</v>
      </c>
      <c r="AH1404" s="2100" t="str">
        <f t="shared" si="490"/>
        <v>PGMI</v>
      </c>
      <c r="AI1404" s="1678">
        <f t="shared" si="491"/>
        <v>16850000</v>
      </c>
      <c r="AJ1404" s="1679" t="e">
        <f t="shared" si="492"/>
        <v>#VALUE!</v>
      </c>
      <c r="AK1404" s="1419" t="e">
        <f t="shared" si="493"/>
        <v>#VALUE!</v>
      </c>
      <c r="AL1404" s="1420" t="e">
        <f t="shared" si="494"/>
        <v>#VALUE!</v>
      </c>
      <c r="AM1404" s="1410"/>
      <c r="AN1404" s="1411"/>
      <c r="AO1404" s="1410"/>
      <c r="AP1404" s="1411"/>
      <c r="AQ1404" s="1128"/>
      <c r="AR1404" s="1173"/>
      <c r="AT1404" s="1173"/>
      <c r="AV1404" s="1173"/>
      <c r="AX1404" s="1173"/>
      <c r="AY1404" s="1176"/>
      <c r="AZ1404" s="1173"/>
    </row>
    <row r="1405" spans="1:52" s="2" customFormat="1" x14ac:dyDescent="0.25">
      <c r="A1405" s="156">
        <v>1301</v>
      </c>
      <c r="B1405" s="635">
        <v>7</v>
      </c>
      <c r="C1405" s="2014">
        <v>849417007</v>
      </c>
      <c r="D1405" s="575" t="s">
        <v>1908</v>
      </c>
      <c r="E1405" s="576" t="s">
        <v>1665</v>
      </c>
      <c r="F1405" s="611">
        <v>2017</v>
      </c>
      <c r="G1405" s="272" t="s">
        <v>33</v>
      </c>
      <c r="H1405" s="163">
        <f t="shared" si="484"/>
        <v>43633</v>
      </c>
      <c r="I1405" s="628">
        <f t="shared" si="483"/>
        <v>43705</v>
      </c>
      <c r="J1405" s="1364">
        <v>600000</v>
      </c>
      <c r="K1405" s="1365">
        <v>42943</v>
      </c>
      <c r="L1405" s="1431">
        <v>3000000</v>
      </c>
      <c r="M1405" s="1365">
        <v>42943</v>
      </c>
      <c r="N1405" s="1358">
        <v>3000000</v>
      </c>
      <c r="O1405" s="1357">
        <v>43111</v>
      </c>
      <c r="P1405" s="1431">
        <v>3000000</v>
      </c>
      <c r="Q1405" s="1365">
        <v>43294</v>
      </c>
      <c r="R1405" s="1358">
        <v>3000000</v>
      </c>
      <c r="S1405" s="1357">
        <v>43483</v>
      </c>
      <c r="T1405" s="1363"/>
      <c r="U1405" s="1367"/>
      <c r="V1405" s="1714"/>
      <c r="W1405" s="1391"/>
      <c r="X1405" s="1363" t="str">
        <f>IFERROR(VLOOKUP(C1405,BSP,3,FALSE),"  ")</f>
        <v xml:space="preserve">  </v>
      </c>
      <c r="Y1405" s="1391" t="str">
        <f>IFERROR((VLOOKUP(C1405,BSP,4,FALSE)),"  ")</f>
        <v xml:space="preserve">  </v>
      </c>
      <c r="Z1405" s="1363" t="str">
        <f t="shared" si="495"/>
        <v xml:space="preserve">  </v>
      </c>
      <c r="AA1405" s="1563" t="str">
        <f t="shared" si="496"/>
        <v xml:space="preserve">  </v>
      </c>
      <c r="AB1405" s="1385">
        <v>1000000</v>
      </c>
      <c r="AC1405" s="1357">
        <v>43616</v>
      </c>
      <c r="AD1405" s="1666"/>
      <c r="AE1405" s="1590"/>
      <c r="AF1405" s="1430">
        <v>750000</v>
      </c>
      <c r="AG1405" s="2099">
        <v>42972</v>
      </c>
      <c r="AH1405" s="2100" t="str">
        <f t="shared" si="490"/>
        <v>PGMI</v>
      </c>
      <c r="AI1405" s="1678">
        <f t="shared" si="491"/>
        <v>14350000</v>
      </c>
      <c r="AJ1405" s="1679" t="e">
        <f t="shared" si="492"/>
        <v>#VALUE!</v>
      </c>
      <c r="AK1405" s="1419" t="e">
        <f t="shared" si="493"/>
        <v>#VALUE!</v>
      </c>
      <c r="AL1405" s="1420" t="e">
        <f t="shared" si="494"/>
        <v>#VALUE!</v>
      </c>
      <c r="AM1405" s="1410"/>
      <c r="AN1405" s="1411"/>
      <c r="AO1405" s="1410"/>
      <c r="AP1405" s="1411"/>
      <c r="AQ1405" s="1128"/>
      <c r="AR1405" s="1173"/>
      <c r="AT1405" s="1173"/>
      <c r="AV1405" s="1173"/>
      <c r="AX1405" s="1173"/>
      <c r="AY1405" s="1176"/>
      <c r="AZ1405" s="1173"/>
    </row>
    <row r="1406" spans="1:52" s="2" customFormat="1" x14ac:dyDescent="0.25">
      <c r="A1406" s="156">
        <v>1302</v>
      </c>
      <c r="B1406" s="635">
        <v>8</v>
      </c>
      <c r="C1406" s="2085">
        <v>849417008</v>
      </c>
      <c r="D1406" s="177" t="s">
        <v>1909</v>
      </c>
      <c r="E1406" s="576" t="s">
        <v>1665</v>
      </c>
      <c r="F1406" s="611">
        <v>2017</v>
      </c>
      <c r="G1406" s="272" t="s">
        <v>33</v>
      </c>
      <c r="H1406" s="163">
        <f t="shared" si="484"/>
        <v>43633</v>
      </c>
      <c r="I1406" s="628">
        <f t="shared" si="483"/>
        <v>43705</v>
      </c>
      <c r="J1406" s="1364">
        <v>600000</v>
      </c>
      <c r="K1406" s="1365">
        <v>42937</v>
      </c>
      <c r="L1406" s="1431">
        <v>3000000</v>
      </c>
      <c r="M1406" s="1365">
        <v>42937</v>
      </c>
      <c r="N1406" s="1358">
        <v>3000000</v>
      </c>
      <c r="O1406" s="1357">
        <v>43110</v>
      </c>
      <c r="P1406" s="1544">
        <v>3000000</v>
      </c>
      <c r="Q1406" s="2078">
        <v>43293</v>
      </c>
      <c r="R1406" s="1358">
        <v>3000000</v>
      </c>
      <c r="S1406" s="1357">
        <v>43481</v>
      </c>
      <c r="T1406" s="1363"/>
      <c r="U1406" s="1367"/>
      <c r="V1406" s="1714"/>
      <c r="W1406" s="1391"/>
      <c r="X1406" s="1363" t="str">
        <f>IFERROR(VLOOKUP(C1406,BSP,3,FALSE),"  ")</f>
        <v xml:space="preserve">  </v>
      </c>
      <c r="Y1406" s="1391" t="str">
        <f>IFERROR((VLOOKUP(C1406,BSP,4,FALSE)),"  ")</f>
        <v xml:space="preserve">  </v>
      </c>
      <c r="Z1406" s="1363" t="str">
        <f t="shared" si="495"/>
        <v xml:space="preserve">  </v>
      </c>
      <c r="AA1406" s="1563" t="str">
        <f t="shared" si="496"/>
        <v xml:space="preserve">  </v>
      </c>
      <c r="AB1406" s="1385">
        <v>1000000</v>
      </c>
      <c r="AC1406" s="1357">
        <v>43598</v>
      </c>
      <c r="AD1406" s="1666"/>
      <c r="AE1406" s="1590"/>
      <c r="AF1406" s="1430">
        <v>750000</v>
      </c>
      <c r="AG1406" s="2099">
        <v>42968</v>
      </c>
      <c r="AH1406" s="2100" t="str">
        <f t="shared" si="490"/>
        <v>PGMI</v>
      </c>
      <c r="AI1406" s="1678">
        <f t="shared" si="491"/>
        <v>14350000</v>
      </c>
      <c r="AJ1406" s="1679" t="e">
        <f t="shared" si="492"/>
        <v>#VALUE!</v>
      </c>
      <c r="AK1406" s="1419" t="e">
        <f t="shared" si="493"/>
        <v>#VALUE!</v>
      </c>
      <c r="AL1406" s="1420" t="e">
        <f t="shared" si="494"/>
        <v>#VALUE!</v>
      </c>
      <c r="AM1406" s="1410"/>
      <c r="AN1406" s="1411"/>
      <c r="AO1406" s="1410"/>
      <c r="AP1406" s="1411"/>
      <c r="AQ1406" s="1128"/>
      <c r="AR1406" s="1173"/>
      <c r="AT1406" s="1173"/>
      <c r="AV1406" s="1173"/>
      <c r="AX1406" s="1173"/>
      <c r="AY1406" s="1176"/>
      <c r="AZ1406" s="1173"/>
    </row>
    <row r="1407" spans="1:52" s="2" customFormat="1" x14ac:dyDescent="0.25">
      <c r="A1407" s="156">
        <v>1303</v>
      </c>
      <c r="B1407" s="635">
        <v>9</v>
      </c>
      <c r="C1407" s="2014">
        <v>849417009</v>
      </c>
      <c r="D1407" s="575" t="s">
        <v>1910</v>
      </c>
      <c r="E1407" s="576" t="s">
        <v>1665</v>
      </c>
      <c r="F1407" s="611">
        <v>2017</v>
      </c>
      <c r="G1407" s="272" t="s">
        <v>33</v>
      </c>
      <c r="H1407" s="163">
        <f t="shared" si="484"/>
        <v>43838</v>
      </c>
      <c r="I1407" s="628">
        <f t="shared" si="483"/>
        <v>44058</v>
      </c>
      <c r="J1407" s="1364">
        <v>600000</v>
      </c>
      <c r="K1407" s="1365">
        <v>42943</v>
      </c>
      <c r="L1407" s="1431">
        <v>3000000</v>
      </c>
      <c r="M1407" s="1365">
        <v>42943</v>
      </c>
      <c r="N1407" s="1358">
        <v>3000000</v>
      </c>
      <c r="O1407" s="1357">
        <v>43115</v>
      </c>
      <c r="P1407" s="1431">
        <v>3000000</v>
      </c>
      <c r="Q1407" s="1365">
        <v>43294</v>
      </c>
      <c r="R1407" s="1358">
        <v>3000000</v>
      </c>
      <c r="S1407" s="1357">
        <v>43481</v>
      </c>
      <c r="T1407" s="1358">
        <v>3000000</v>
      </c>
      <c r="U1407" s="1357">
        <v>43661</v>
      </c>
      <c r="V1407" s="1714"/>
      <c r="W1407" s="1391"/>
      <c r="X1407" s="1363"/>
      <c r="Y1407" s="1391"/>
      <c r="Z1407" s="1363" t="str">
        <f t="shared" si="495"/>
        <v xml:space="preserve">  </v>
      </c>
      <c r="AA1407" s="1563" t="str">
        <f t="shared" si="496"/>
        <v xml:space="preserve">  </v>
      </c>
      <c r="AB1407" s="1385">
        <v>1000000</v>
      </c>
      <c r="AC1407" s="1357">
        <v>43819</v>
      </c>
      <c r="AD1407" s="1809">
        <v>500000</v>
      </c>
      <c r="AE1407" s="1440">
        <v>43861.614814814799</v>
      </c>
      <c r="AF1407" s="1430">
        <v>750000</v>
      </c>
      <c r="AG1407" s="2099">
        <v>42971</v>
      </c>
      <c r="AH1407" s="2100" t="str">
        <f t="shared" si="490"/>
        <v>PGMI</v>
      </c>
      <c r="AI1407" s="1678">
        <f t="shared" si="491"/>
        <v>17850000</v>
      </c>
      <c r="AJ1407" s="1679" t="e">
        <f t="shared" si="492"/>
        <v>#VALUE!</v>
      </c>
      <c r="AK1407" s="1419" t="e">
        <f t="shared" si="493"/>
        <v>#VALUE!</v>
      </c>
      <c r="AL1407" s="1420" t="e">
        <f t="shared" si="494"/>
        <v>#VALUE!</v>
      </c>
      <c r="AM1407" s="1410"/>
      <c r="AN1407" s="1411"/>
      <c r="AO1407" s="1410"/>
      <c r="AP1407" s="1411"/>
      <c r="AQ1407" s="1128"/>
      <c r="AR1407" s="1173"/>
      <c r="AT1407" s="1173"/>
      <c r="AV1407" s="1173"/>
      <c r="AX1407" s="1173"/>
      <c r="AY1407" s="1176"/>
      <c r="AZ1407" s="1173"/>
    </row>
    <row r="1408" spans="1:52" s="2" customFormat="1" x14ac:dyDescent="0.25">
      <c r="A1408" s="156">
        <v>1304</v>
      </c>
      <c r="B1408" s="635">
        <v>10</v>
      </c>
      <c r="C1408" s="2014">
        <v>849417010</v>
      </c>
      <c r="D1408" s="575" t="s">
        <v>1911</v>
      </c>
      <c r="E1408" s="576" t="s">
        <v>1665</v>
      </c>
      <c r="F1408" s="611">
        <v>2018</v>
      </c>
      <c r="G1408" s="272" t="s">
        <v>33</v>
      </c>
      <c r="H1408" s="163">
        <f t="shared" si="484"/>
        <v>43745</v>
      </c>
      <c r="I1408" s="628">
        <f t="shared" si="483"/>
        <v>43818</v>
      </c>
      <c r="J1408" s="1364">
        <v>600000</v>
      </c>
      <c r="K1408" s="1365">
        <v>42923</v>
      </c>
      <c r="L1408" s="1431">
        <v>3000000</v>
      </c>
      <c r="M1408" s="1365">
        <v>42923</v>
      </c>
      <c r="N1408" s="1358">
        <v>3000000</v>
      </c>
      <c r="O1408" s="1357">
        <v>43335</v>
      </c>
      <c r="P1408" s="1358">
        <v>3000000</v>
      </c>
      <c r="Q1408" s="1357">
        <v>43335</v>
      </c>
      <c r="R1408" s="1358">
        <v>3000000</v>
      </c>
      <c r="S1408" s="1357">
        <v>43515</v>
      </c>
      <c r="T1408" s="1358">
        <v>3000000</v>
      </c>
      <c r="U1408" s="1357">
        <v>43666</v>
      </c>
      <c r="V1408" s="1714"/>
      <c r="W1408" s="1391"/>
      <c r="X1408" s="1363" t="str">
        <f>IFERROR(VLOOKUP(C1408,BSP,3,FALSE),"  ")</f>
        <v xml:space="preserve">  </v>
      </c>
      <c r="Y1408" s="1391" t="str">
        <f>IFERROR((VLOOKUP(C1408,BSP,4,FALSE)),"  ")</f>
        <v xml:space="preserve">  </v>
      </c>
      <c r="Z1408" s="1363" t="str">
        <f t="shared" si="495"/>
        <v xml:space="preserve">  </v>
      </c>
      <c r="AA1408" s="1563" t="str">
        <f t="shared" si="496"/>
        <v xml:space="preserve">  </v>
      </c>
      <c r="AB1408" s="1385">
        <v>1000000</v>
      </c>
      <c r="AC1408" s="1357">
        <v>43728</v>
      </c>
      <c r="AD1408" s="1666"/>
      <c r="AE1408" s="1590"/>
      <c r="AF1408" s="1430">
        <v>750000</v>
      </c>
      <c r="AG1408" s="2099">
        <v>42971</v>
      </c>
      <c r="AH1408" s="2100" t="str">
        <f t="shared" si="490"/>
        <v>PGMI</v>
      </c>
      <c r="AI1408" s="1678">
        <f t="shared" si="491"/>
        <v>17350000</v>
      </c>
      <c r="AJ1408" s="1679" t="e">
        <f t="shared" si="492"/>
        <v>#VALUE!</v>
      </c>
      <c r="AK1408" s="1419" t="e">
        <f t="shared" si="493"/>
        <v>#VALUE!</v>
      </c>
      <c r="AL1408" s="1420" t="e">
        <f t="shared" si="494"/>
        <v>#VALUE!</v>
      </c>
      <c r="AM1408" s="1410"/>
      <c r="AN1408" s="1411"/>
      <c r="AO1408" s="1410"/>
      <c r="AP1408" s="1411"/>
      <c r="AQ1408" s="1128"/>
      <c r="AR1408" s="1173"/>
      <c r="AT1408" s="1173"/>
      <c r="AV1408" s="1173"/>
      <c r="AX1408" s="1173"/>
      <c r="AY1408" s="1176"/>
      <c r="AZ1408" s="1173"/>
    </row>
    <row r="1409" spans="1:52" s="2" customFormat="1" x14ac:dyDescent="0.25">
      <c r="A1409" s="164">
        <v>1305</v>
      </c>
      <c r="B1409" s="634">
        <v>11</v>
      </c>
      <c r="C1409" s="660">
        <v>849417011</v>
      </c>
      <c r="D1409" s="571" t="s">
        <v>1912</v>
      </c>
      <c r="E1409" s="572" t="s">
        <v>1665</v>
      </c>
      <c r="F1409" s="612">
        <v>2017</v>
      </c>
      <c r="G1409" s="1758" t="s">
        <v>28</v>
      </c>
      <c r="H1409" s="265" t="str">
        <f t="shared" si="484"/>
        <v xml:space="preserve">   </v>
      </c>
      <c r="I1409" s="574" t="str">
        <f t="shared" si="483"/>
        <v xml:space="preserve">   </v>
      </c>
      <c r="J1409" s="1366">
        <v>600000</v>
      </c>
      <c r="K1409" s="1360">
        <v>42937</v>
      </c>
      <c r="L1409" s="1430">
        <v>3000000</v>
      </c>
      <c r="M1409" s="1360">
        <v>42937</v>
      </c>
      <c r="N1409" s="1363">
        <v>3000000</v>
      </c>
      <c r="O1409" s="1367">
        <v>43110</v>
      </c>
      <c r="P1409" s="1430">
        <v>3000000</v>
      </c>
      <c r="Q1409" s="1360">
        <v>43292</v>
      </c>
      <c r="R1409" s="1363">
        <v>3000000</v>
      </c>
      <c r="S1409" s="1367">
        <v>43483</v>
      </c>
      <c r="T1409" s="1363">
        <v>0</v>
      </c>
      <c r="U1409" s="1367"/>
      <c r="V1409" s="1731">
        <v>0</v>
      </c>
      <c r="W1409" s="1367"/>
      <c r="X1409" s="1731">
        <v>0</v>
      </c>
      <c r="Y1409" s="1367"/>
      <c r="Z1409" s="1363" t="str">
        <f t="shared" si="495"/>
        <v xml:space="preserve">  </v>
      </c>
      <c r="AA1409" s="1563" t="str">
        <f t="shared" si="496"/>
        <v xml:space="preserve">  </v>
      </c>
      <c r="AB1409" s="1714"/>
      <c r="AC1409" s="1367"/>
      <c r="AD1409" s="1666"/>
      <c r="AE1409" s="1590"/>
      <c r="AF1409" s="1430">
        <v>500000</v>
      </c>
      <c r="AG1409" s="2099">
        <v>42969</v>
      </c>
      <c r="AH1409" s="2100" t="str">
        <f t="shared" si="490"/>
        <v>PGMI</v>
      </c>
      <c r="AI1409" s="1678">
        <f t="shared" si="491"/>
        <v>13100000</v>
      </c>
      <c r="AJ1409" s="1679" t="e">
        <f t="shared" si="492"/>
        <v>#VALUE!</v>
      </c>
      <c r="AK1409" s="1419" t="e">
        <f t="shared" si="493"/>
        <v>#VALUE!</v>
      </c>
      <c r="AL1409" s="1420" t="e">
        <f t="shared" si="494"/>
        <v>#VALUE!</v>
      </c>
      <c r="AM1409" s="1410"/>
      <c r="AN1409" s="1411"/>
      <c r="AO1409" s="1410"/>
      <c r="AP1409" s="1411"/>
      <c r="AQ1409" s="1128"/>
      <c r="AR1409" s="1173"/>
      <c r="AT1409" s="1173"/>
      <c r="AV1409" s="1173"/>
      <c r="AX1409" s="1173"/>
      <c r="AY1409" s="1176"/>
      <c r="AZ1409" s="1173"/>
    </row>
    <row r="1410" spans="1:52" s="2" customFormat="1" x14ac:dyDescent="0.25">
      <c r="A1410" s="164">
        <v>1306</v>
      </c>
      <c r="B1410" s="637">
        <v>12</v>
      </c>
      <c r="C1410" s="617">
        <v>849417012</v>
      </c>
      <c r="D1410" s="493" t="s">
        <v>1913</v>
      </c>
      <c r="E1410" s="329" t="s">
        <v>1665</v>
      </c>
      <c r="F1410" s="618">
        <v>2017</v>
      </c>
      <c r="G1410" s="329" t="s">
        <v>1077</v>
      </c>
      <c r="H1410" s="2103" t="str">
        <f t="shared" si="484"/>
        <v xml:space="preserve">   </v>
      </c>
      <c r="I1410" s="619" t="str">
        <f t="shared" si="483"/>
        <v xml:space="preserve">   </v>
      </c>
      <c r="J1410" s="2112">
        <v>600000</v>
      </c>
      <c r="K1410" s="2113">
        <v>42944</v>
      </c>
      <c r="L1410" s="2112">
        <v>3000000</v>
      </c>
      <c r="M1410" s="2113">
        <v>42944</v>
      </c>
      <c r="N1410" s="1363"/>
      <c r="O1410" s="1391"/>
      <c r="P1410" s="1363"/>
      <c r="Q1410" s="1391"/>
      <c r="R1410" s="1363"/>
      <c r="S1410" s="1391"/>
      <c r="T1410" s="1363"/>
      <c r="U1410" s="1391"/>
      <c r="V1410" s="1363"/>
      <c r="W1410" s="1391"/>
      <c r="X1410" s="1363"/>
      <c r="Y1410" s="1391"/>
      <c r="Z1410" s="1363" t="str">
        <f t="shared" si="495"/>
        <v xml:space="preserve">  </v>
      </c>
      <c r="AA1410" s="1563" t="str">
        <f t="shared" si="496"/>
        <v xml:space="preserve">  </v>
      </c>
      <c r="AB1410" s="1714"/>
      <c r="AC1410" s="1367"/>
      <c r="AD1410" s="1666"/>
      <c r="AE1410" s="1590"/>
      <c r="AF1410" s="2061">
        <v>750000</v>
      </c>
      <c r="AG1410" s="2099"/>
      <c r="AH1410" s="2100" t="str">
        <f t="shared" si="490"/>
        <v>PGMI</v>
      </c>
      <c r="AI1410" s="1678">
        <f t="shared" si="491"/>
        <v>4350000</v>
      </c>
      <c r="AJ1410" s="1679" t="e">
        <f t="shared" si="492"/>
        <v>#VALUE!</v>
      </c>
      <c r="AK1410" s="1419" t="e">
        <f t="shared" si="493"/>
        <v>#VALUE!</v>
      </c>
      <c r="AL1410" s="1420" t="e">
        <f t="shared" si="494"/>
        <v>#VALUE!</v>
      </c>
      <c r="AM1410" s="1410"/>
      <c r="AN1410" s="1411"/>
      <c r="AO1410" s="1410"/>
      <c r="AP1410" s="1411"/>
      <c r="AQ1410" s="1128"/>
      <c r="AR1410" s="1173"/>
      <c r="AT1410" s="1173"/>
      <c r="AV1410" s="1173"/>
      <c r="AX1410" s="1173"/>
      <c r="AY1410" s="1176"/>
      <c r="AZ1410" s="1173"/>
    </row>
    <row r="1411" spans="1:52" s="2" customFormat="1" x14ac:dyDescent="0.25">
      <c r="A1411" s="164">
        <v>1307</v>
      </c>
      <c r="B1411" s="634">
        <v>13</v>
      </c>
      <c r="C1411" s="660">
        <v>849417013</v>
      </c>
      <c r="D1411" s="571" t="s">
        <v>1914</v>
      </c>
      <c r="E1411" s="572" t="s">
        <v>1665</v>
      </c>
      <c r="F1411" s="612">
        <v>2017</v>
      </c>
      <c r="G1411" s="360" t="s">
        <v>1483</v>
      </c>
      <c r="H1411" s="265" t="str">
        <f t="shared" si="484"/>
        <v xml:space="preserve">   </v>
      </c>
      <c r="I1411" s="574" t="str">
        <f t="shared" si="483"/>
        <v xml:space="preserve">   </v>
      </c>
      <c r="J1411" s="1366">
        <v>600000</v>
      </c>
      <c r="K1411" s="1360">
        <v>42943</v>
      </c>
      <c r="L1411" s="1430">
        <v>3000000</v>
      </c>
      <c r="M1411" s="1360">
        <v>42943</v>
      </c>
      <c r="N1411" s="1363">
        <v>3000000</v>
      </c>
      <c r="O1411" s="1367">
        <v>43112</v>
      </c>
      <c r="P1411" s="1430">
        <v>3000000</v>
      </c>
      <c r="Q1411" s="1360">
        <v>43291</v>
      </c>
      <c r="R1411" s="1363">
        <v>3000000</v>
      </c>
      <c r="S1411" s="1367">
        <v>43483</v>
      </c>
      <c r="T1411" s="1363">
        <v>3000000</v>
      </c>
      <c r="U1411" s="1367">
        <v>43671</v>
      </c>
      <c r="V1411" s="1186" t="s">
        <v>1078</v>
      </c>
      <c r="W1411" s="1386">
        <v>43861</v>
      </c>
      <c r="X1411" s="1731">
        <v>3000000</v>
      </c>
      <c r="Y1411" s="1367">
        <v>44070.423437500001</v>
      </c>
      <c r="Z1411" s="1363"/>
      <c r="AA1411" s="1563"/>
      <c r="AB1411" s="1714"/>
      <c r="AC1411" s="1367"/>
      <c r="AD1411" s="1666"/>
      <c r="AE1411" s="1590"/>
      <c r="AF1411" s="1430">
        <v>750000</v>
      </c>
      <c r="AG1411" s="2099">
        <v>42972</v>
      </c>
      <c r="AH1411" s="2100" t="str">
        <f t="shared" si="490"/>
        <v>PGMI</v>
      </c>
      <c r="AI1411" s="1678">
        <f t="shared" si="491"/>
        <v>19350000</v>
      </c>
      <c r="AJ1411" s="1679" t="e">
        <f t="shared" si="492"/>
        <v>#VALUE!</v>
      </c>
      <c r="AK1411" s="1419" t="e">
        <f t="shared" si="493"/>
        <v>#VALUE!</v>
      </c>
      <c r="AL1411" s="1420" t="e">
        <f t="shared" si="494"/>
        <v>#VALUE!</v>
      </c>
      <c r="AM1411" s="1410"/>
      <c r="AN1411" s="1411"/>
      <c r="AO1411" s="1410"/>
      <c r="AP1411" s="1411"/>
      <c r="AQ1411" s="1128"/>
      <c r="AR1411" s="1173"/>
      <c r="AT1411" s="1173"/>
      <c r="AV1411" s="1173"/>
      <c r="AX1411" s="1173"/>
      <c r="AY1411" s="1176"/>
      <c r="AZ1411" s="1173"/>
    </row>
    <row r="1412" spans="1:52" s="2" customFormat="1" x14ac:dyDescent="0.25">
      <c r="A1412" s="156">
        <v>1308</v>
      </c>
      <c r="B1412" s="635">
        <v>14</v>
      </c>
      <c r="C1412" s="2014">
        <v>849417014</v>
      </c>
      <c r="D1412" s="575" t="s">
        <v>1915</v>
      </c>
      <c r="E1412" s="576" t="s">
        <v>1665</v>
      </c>
      <c r="F1412" s="611">
        <v>2017</v>
      </c>
      <c r="G1412" s="272" t="s">
        <v>33</v>
      </c>
      <c r="H1412" s="163">
        <f t="shared" si="484"/>
        <v>43832</v>
      </c>
      <c r="I1412" s="628">
        <f t="shared" si="483"/>
        <v>44168</v>
      </c>
      <c r="J1412" s="1364">
        <v>600000</v>
      </c>
      <c r="K1412" s="1365">
        <v>42942</v>
      </c>
      <c r="L1412" s="1431">
        <v>3000000</v>
      </c>
      <c r="M1412" s="1365">
        <v>42942</v>
      </c>
      <c r="N1412" s="2075">
        <v>3000000</v>
      </c>
      <c r="O1412" s="2042">
        <v>43115</v>
      </c>
      <c r="P1412" s="1431">
        <v>3000000</v>
      </c>
      <c r="Q1412" s="1365">
        <v>43294</v>
      </c>
      <c r="R1412" s="1358">
        <v>3000000</v>
      </c>
      <c r="S1412" s="1357">
        <v>43483</v>
      </c>
      <c r="T1412" s="1358">
        <v>3000000</v>
      </c>
      <c r="U1412" s="1357">
        <v>43819</v>
      </c>
      <c r="V1412" s="1714"/>
      <c r="W1412" s="1391"/>
      <c r="X1412" s="1363" t="str">
        <f>IFERROR(VLOOKUP(C1412,BSP,3,FALSE),"  ")</f>
        <v xml:space="preserve">  </v>
      </c>
      <c r="Y1412" s="1391" t="str">
        <f>IFERROR((VLOOKUP(C1412,BSP,4,FALSE)),"  ")</f>
        <v xml:space="preserve">  </v>
      </c>
      <c r="Z1412" s="1363" t="str">
        <f t="shared" ref="Z1412:Z1417" si="497">IFERROR(VLOOKUP(C1412,BSP,3,FALSE),"  ")</f>
        <v xml:space="preserve">  </v>
      </c>
      <c r="AA1412" s="1563" t="str">
        <f t="shared" ref="AA1412:AA1417" si="498">IFERROR((VLOOKUP(C1412,BSP,4,FALSE)),"  ")</f>
        <v xml:space="preserve">  </v>
      </c>
      <c r="AB1412" s="1385">
        <v>1000000</v>
      </c>
      <c r="AC1412" s="1357">
        <v>43822</v>
      </c>
      <c r="AD1412" s="1809">
        <v>500000</v>
      </c>
      <c r="AE1412" s="1440">
        <v>43882</v>
      </c>
      <c r="AF1412" s="2061">
        <v>750000</v>
      </c>
      <c r="AG1412" s="2099">
        <v>43714</v>
      </c>
      <c r="AH1412" s="2100" t="str">
        <f t="shared" si="490"/>
        <v>PGMI</v>
      </c>
      <c r="AI1412" s="1678">
        <f t="shared" si="491"/>
        <v>17850000</v>
      </c>
      <c r="AJ1412" s="1679" t="e">
        <f t="shared" si="492"/>
        <v>#VALUE!</v>
      </c>
      <c r="AK1412" s="1419" t="e">
        <f t="shared" si="493"/>
        <v>#VALUE!</v>
      </c>
      <c r="AL1412" s="1420" t="e">
        <f t="shared" si="494"/>
        <v>#VALUE!</v>
      </c>
      <c r="AM1412" s="1410"/>
      <c r="AN1412" s="1411"/>
      <c r="AO1412" s="1410"/>
      <c r="AP1412" s="1411"/>
      <c r="AQ1412" s="1128"/>
      <c r="AR1412" s="1173"/>
      <c r="AT1412" s="1173"/>
      <c r="AV1412" s="1173"/>
      <c r="AX1412" s="1173"/>
      <c r="AY1412" s="1176"/>
      <c r="AZ1412" s="1173"/>
    </row>
    <row r="1413" spans="1:52" s="2" customFormat="1" x14ac:dyDescent="0.25">
      <c r="A1413" s="156">
        <v>1309</v>
      </c>
      <c r="B1413" s="635">
        <v>15</v>
      </c>
      <c r="C1413" s="2014">
        <v>849417015</v>
      </c>
      <c r="D1413" s="575" t="s">
        <v>1916</v>
      </c>
      <c r="E1413" s="576" t="s">
        <v>1665</v>
      </c>
      <c r="F1413" s="611">
        <v>2017</v>
      </c>
      <c r="G1413" s="272" t="s">
        <v>33</v>
      </c>
      <c r="H1413" s="163">
        <f t="shared" si="484"/>
        <v>43684</v>
      </c>
      <c r="I1413" s="628">
        <f t="shared" si="483"/>
        <v>43750</v>
      </c>
      <c r="J1413" s="1364">
        <v>600000</v>
      </c>
      <c r="K1413" s="1365">
        <v>42942</v>
      </c>
      <c r="L1413" s="1431">
        <v>3000000</v>
      </c>
      <c r="M1413" s="1365">
        <v>42942</v>
      </c>
      <c r="N1413" s="1358">
        <v>3000000</v>
      </c>
      <c r="O1413" s="1357">
        <v>43112</v>
      </c>
      <c r="P1413" s="1431">
        <v>3000000</v>
      </c>
      <c r="Q1413" s="1365">
        <v>43293</v>
      </c>
      <c r="R1413" s="1358">
        <v>3000000</v>
      </c>
      <c r="S1413" s="1357">
        <v>43481</v>
      </c>
      <c r="T1413" s="1358">
        <v>3000000</v>
      </c>
      <c r="U1413" s="1357">
        <v>43641</v>
      </c>
      <c r="V1413" s="1714"/>
      <c r="W1413" s="1391"/>
      <c r="X1413" s="1363" t="str">
        <f>IFERROR(VLOOKUP(C1413,BSP,3,FALSE),"  ")</f>
        <v xml:space="preserve">  </v>
      </c>
      <c r="Y1413" s="1391" t="str">
        <f>IFERROR((VLOOKUP(C1413,BSP,4,FALSE)),"  ")</f>
        <v xml:space="preserve">  </v>
      </c>
      <c r="Z1413" s="1363" t="str">
        <f t="shared" si="497"/>
        <v xml:space="preserve">  </v>
      </c>
      <c r="AA1413" s="1563" t="str">
        <f t="shared" si="498"/>
        <v xml:space="preserve">  </v>
      </c>
      <c r="AB1413" s="1385">
        <v>1000000</v>
      </c>
      <c r="AC1413" s="1357">
        <v>43633</v>
      </c>
      <c r="AD1413" s="1666"/>
      <c r="AE1413" s="1590"/>
      <c r="AF1413" s="1430">
        <v>750000</v>
      </c>
      <c r="AG1413" s="2099">
        <v>42972</v>
      </c>
      <c r="AH1413" s="2100" t="str">
        <f t="shared" si="490"/>
        <v>PGMI</v>
      </c>
      <c r="AI1413" s="1678">
        <f t="shared" si="491"/>
        <v>17350000</v>
      </c>
      <c r="AJ1413" s="1679" t="e">
        <f t="shared" si="492"/>
        <v>#VALUE!</v>
      </c>
      <c r="AK1413" s="1419" t="e">
        <f t="shared" si="493"/>
        <v>#VALUE!</v>
      </c>
      <c r="AL1413" s="1420" t="e">
        <f t="shared" si="494"/>
        <v>#VALUE!</v>
      </c>
      <c r="AM1413" s="1410"/>
      <c r="AN1413" s="1411"/>
      <c r="AO1413" s="1410"/>
      <c r="AP1413" s="1411"/>
      <c r="AQ1413" s="1128"/>
      <c r="AR1413" s="1173"/>
      <c r="AT1413" s="1173"/>
      <c r="AV1413" s="1173"/>
      <c r="AX1413" s="1173"/>
      <c r="AY1413" s="1176"/>
      <c r="AZ1413" s="1173"/>
    </row>
    <row r="1414" spans="1:52" s="2" customFormat="1" x14ac:dyDescent="0.25">
      <c r="A1414" s="164">
        <v>1310</v>
      </c>
      <c r="B1414" s="635">
        <v>16</v>
      </c>
      <c r="C1414" s="2014">
        <v>849417016</v>
      </c>
      <c r="D1414" s="575" t="s">
        <v>1917</v>
      </c>
      <c r="E1414" s="576" t="s">
        <v>1665</v>
      </c>
      <c r="F1414" s="611">
        <v>2017</v>
      </c>
      <c r="G1414" s="272" t="s">
        <v>33</v>
      </c>
      <c r="H1414" s="163">
        <f t="shared" si="484"/>
        <v>43769</v>
      </c>
      <c r="I1414" s="628">
        <f t="shared" si="483"/>
        <v>44058</v>
      </c>
      <c r="J1414" s="1364">
        <v>600000</v>
      </c>
      <c r="K1414" s="1365">
        <v>42940</v>
      </c>
      <c r="L1414" s="1431">
        <v>3000000</v>
      </c>
      <c r="M1414" s="1365">
        <v>42940</v>
      </c>
      <c r="N1414" s="1358">
        <v>3000000</v>
      </c>
      <c r="O1414" s="1357">
        <v>43111</v>
      </c>
      <c r="P1414" s="1431">
        <v>3000000</v>
      </c>
      <c r="Q1414" s="1365">
        <v>43294</v>
      </c>
      <c r="R1414" s="1358">
        <v>3000000</v>
      </c>
      <c r="S1414" s="1357">
        <v>43483</v>
      </c>
      <c r="T1414" s="1358">
        <v>3000000</v>
      </c>
      <c r="U1414" s="1357">
        <v>43752</v>
      </c>
      <c r="V1414" s="1714"/>
      <c r="W1414" s="1391"/>
      <c r="X1414" s="1363" t="str">
        <f>IFERROR(VLOOKUP(C1414,BSP,3,FALSE),"  ")</f>
        <v xml:space="preserve">  </v>
      </c>
      <c r="Y1414" s="1391" t="str">
        <f>IFERROR((VLOOKUP(C1414,BSP,4,FALSE)),"  ")</f>
        <v xml:space="preserve">  </v>
      </c>
      <c r="Z1414" s="1363" t="str">
        <f t="shared" si="497"/>
        <v xml:space="preserve">  </v>
      </c>
      <c r="AA1414" s="1563" t="str">
        <f t="shared" si="498"/>
        <v xml:space="preserve">  </v>
      </c>
      <c r="AB1414" s="1385">
        <v>1000000</v>
      </c>
      <c r="AC1414" s="1357">
        <v>43754</v>
      </c>
      <c r="AD1414" s="1809">
        <v>500000</v>
      </c>
      <c r="AE1414" s="1440">
        <v>43789</v>
      </c>
      <c r="AF1414" s="1430">
        <v>750000</v>
      </c>
      <c r="AG1414" s="2099">
        <v>42969</v>
      </c>
      <c r="AH1414" s="2100" t="str">
        <f t="shared" si="490"/>
        <v>PGMI</v>
      </c>
      <c r="AI1414" s="1678">
        <f t="shared" si="491"/>
        <v>17850000</v>
      </c>
      <c r="AJ1414" s="1679" t="e">
        <f t="shared" si="492"/>
        <v>#VALUE!</v>
      </c>
      <c r="AK1414" s="1419" t="e">
        <f t="shared" si="493"/>
        <v>#VALUE!</v>
      </c>
      <c r="AL1414" s="1420" t="e">
        <f t="shared" si="494"/>
        <v>#VALUE!</v>
      </c>
      <c r="AM1414" s="1410"/>
      <c r="AN1414" s="1411"/>
      <c r="AO1414" s="1410"/>
      <c r="AP1414" s="1411"/>
      <c r="AQ1414" s="1128"/>
      <c r="AR1414" s="1173"/>
      <c r="AT1414" s="1173"/>
      <c r="AV1414" s="1173"/>
      <c r="AX1414" s="1173"/>
      <c r="AY1414" s="1176"/>
      <c r="AZ1414" s="1173"/>
    </row>
    <row r="1415" spans="1:52" s="2" customFormat="1" x14ac:dyDescent="0.25">
      <c r="A1415" s="164">
        <v>1311</v>
      </c>
      <c r="B1415" s="634">
        <v>17</v>
      </c>
      <c r="C1415" s="660">
        <v>849417017</v>
      </c>
      <c r="D1415" s="571" t="s">
        <v>1918</v>
      </c>
      <c r="E1415" s="572" t="s">
        <v>1665</v>
      </c>
      <c r="F1415" s="612">
        <v>2017</v>
      </c>
      <c r="G1415" s="272" t="s">
        <v>33</v>
      </c>
      <c r="H1415" s="163">
        <f t="shared" si="484"/>
        <v>44152</v>
      </c>
      <c r="I1415" s="574" t="str">
        <f t="shared" si="483"/>
        <v xml:space="preserve">   </v>
      </c>
      <c r="J1415" s="1366">
        <v>600000</v>
      </c>
      <c r="K1415" s="1360">
        <v>42941</v>
      </c>
      <c r="L1415" s="1430">
        <v>3000000</v>
      </c>
      <c r="M1415" s="1360">
        <v>42941</v>
      </c>
      <c r="N1415" s="1363">
        <v>3000000</v>
      </c>
      <c r="O1415" s="1367">
        <v>43112</v>
      </c>
      <c r="P1415" s="1430">
        <v>3000000</v>
      </c>
      <c r="Q1415" s="1360">
        <v>43294</v>
      </c>
      <c r="R1415" s="1363">
        <v>3000000</v>
      </c>
      <c r="S1415" s="1367">
        <v>43483</v>
      </c>
      <c r="T1415" s="1192" t="s">
        <v>1078</v>
      </c>
      <c r="U1415" s="2118">
        <v>43649</v>
      </c>
      <c r="V1415" s="2119" t="s">
        <v>1078</v>
      </c>
      <c r="W1415" s="1386">
        <v>43861</v>
      </c>
      <c r="X1415" s="1363">
        <v>3000000</v>
      </c>
      <c r="Y1415" s="1367">
        <v>44123</v>
      </c>
      <c r="Z1415" s="1363" t="str">
        <f t="shared" si="497"/>
        <v xml:space="preserve">  </v>
      </c>
      <c r="AA1415" s="1563" t="str">
        <f t="shared" si="498"/>
        <v xml:space="preserve">  </v>
      </c>
      <c r="AB1415" s="1714">
        <v>1000000</v>
      </c>
      <c r="AC1415" s="1367">
        <v>44123</v>
      </c>
      <c r="AD1415" s="1666">
        <v>500000</v>
      </c>
      <c r="AE1415" s="1590">
        <v>44167</v>
      </c>
      <c r="AF1415" s="1430">
        <v>750000</v>
      </c>
      <c r="AG1415" s="2099">
        <v>42971</v>
      </c>
      <c r="AH1415" s="2100" t="str">
        <f t="shared" si="490"/>
        <v>PGMI</v>
      </c>
      <c r="AI1415" s="1678">
        <f t="shared" si="491"/>
        <v>17850000</v>
      </c>
      <c r="AJ1415" s="1679" t="e">
        <f t="shared" si="492"/>
        <v>#VALUE!</v>
      </c>
      <c r="AK1415" s="1419" t="e">
        <f t="shared" si="493"/>
        <v>#VALUE!</v>
      </c>
      <c r="AL1415" s="1420" t="e">
        <f t="shared" si="494"/>
        <v>#VALUE!</v>
      </c>
      <c r="AM1415" s="1410"/>
      <c r="AN1415" s="1411"/>
      <c r="AO1415" s="1410"/>
      <c r="AP1415" s="1411"/>
      <c r="AQ1415" s="1128"/>
      <c r="AR1415" s="1173"/>
      <c r="AT1415" s="1173"/>
      <c r="AV1415" s="1173"/>
      <c r="AX1415" s="1173"/>
      <c r="AY1415" s="1176"/>
      <c r="AZ1415" s="1173"/>
    </row>
    <row r="1416" spans="1:52" s="2" customFormat="1" x14ac:dyDescent="0.25">
      <c r="A1416" s="156">
        <v>1312</v>
      </c>
      <c r="B1416" s="635">
        <v>18</v>
      </c>
      <c r="C1416" s="2014">
        <v>849417018</v>
      </c>
      <c r="D1416" s="575" t="s">
        <v>1919</v>
      </c>
      <c r="E1416" s="576" t="s">
        <v>1665</v>
      </c>
      <c r="F1416" s="611">
        <v>2017</v>
      </c>
      <c r="G1416" s="272" t="s">
        <v>33</v>
      </c>
      <c r="H1416" s="163">
        <f t="shared" si="484"/>
        <v>43649</v>
      </c>
      <c r="I1416" s="628">
        <f t="shared" si="483"/>
        <v>43750</v>
      </c>
      <c r="J1416" s="1364">
        <v>600000</v>
      </c>
      <c r="K1416" s="1365">
        <v>42942</v>
      </c>
      <c r="L1416" s="1431">
        <v>3000000</v>
      </c>
      <c r="M1416" s="1365">
        <v>42942</v>
      </c>
      <c r="N1416" s="1358">
        <v>3000000</v>
      </c>
      <c r="O1416" s="1357">
        <v>43110</v>
      </c>
      <c r="P1416" s="1431">
        <v>3000000</v>
      </c>
      <c r="Q1416" s="1365">
        <v>43293</v>
      </c>
      <c r="R1416" s="1358">
        <v>3000000</v>
      </c>
      <c r="S1416" s="1357">
        <v>43482</v>
      </c>
      <c r="T1416" s="1382" t="s">
        <v>1080</v>
      </c>
      <c r="U1416" s="1367"/>
      <c r="V1416" s="1714"/>
      <c r="W1416" s="1391"/>
      <c r="X1416" s="1363" t="str">
        <f>IFERROR(VLOOKUP(C1416,BSP,3,FALSE),"  ")</f>
        <v xml:space="preserve">  </v>
      </c>
      <c r="Y1416" s="1391" t="str">
        <f>IFERROR((VLOOKUP(C1416,BSP,4,FALSE)),"  ")</f>
        <v xml:space="preserve">  </v>
      </c>
      <c r="Z1416" s="1363" t="str">
        <f t="shared" si="497"/>
        <v xml:space="preserve">  </v>
      </c>
      <c r="AA1416" s="1563" t="str">
        <f t="shared" si="498"/>
        <v xml:space="preserve">  </v>
      </c>
      <c r="AB1416" s="1385">
        <v>1000000</v>
      </c>
      <c r="AC1416" s="1357">
        <v>43629</v>
      </c>
      <c r="AD1416" s="1666"/>
      <c r="AE1416" s="1590"/>
      <c r="AF1416" s="1430">
        <v>750000</v>
      </c>
      <c r="AG1416" s="2099">
        <v>42971</v>
      </c>
      <c r="AH1416" s="2100" t="str">
        <f t="shared" si="490"/>
        <v>PGMI</v>
      </c>
      <c r="AI1416" s="1678">
        <f t="shared" si="491"/>
        <v>14350000</v>
      </c>
      <c r="AJ1416" s="1679" t="e">
        <f t="shared" si="492"/>
        <v>#VALUE!</v>
      </c>
      <c r="AK1416" s="1419" t="e">
        <f t="shared" si="493"/>
        <v>#VALUE!</v>
      </c>
      <c r="AL1416" s="1420" t="e">
        <f t="shared" si="494"/>
        <v>#VALUE!</v>
      </c>
      <c r="AM1416" s="1410"/>
      <c r="AN1416" s="1411"/>
      <c r="AO1416" s="1410"/>
      <c r="AP1416" s="1411"/>
      <c r="AQ1416" s="1128"/>
      <c r="AR1416" s="1173"/>
      <c r="AT1416" s="1173"/>
      <c r="AV1416" s="1173"/>
      <c r="AX1416" s="1173"/>
      <c r="AY1416" s="1176"/>
      <c r="AZ1416" s="1173"/>
    </row>
    <row r="1417" spans="1:52" s="2" customFormat="1" x14ac:dyDescent="0.25">
      <c r="A1417" s="216">
        <v>1313</v>
      </c>
      <c r="B1417" s="639">
        <v>19</v>
      </c>
      <c r="C1417" s="679">
        <v>849417019</v>
      </c>
      <c r="D1417" s="601" t="s">
        <v>1920</v>
      </c>
      <c r="E1417" s="602" t="s">
        <v>1665</v>
      </c>
      <c r="F1417" s="640">
        <v>2017</v>
      </c>
      <c r="G1417" s="360" t="s">
        <v>1483</v>
      </c>
      <c r="H1417" s="364" t="str">
        <f t="shared" si="484"/>
        <v xml:space="preserve">   </v>
      </c>
      <c r="I1417" s="604" t="str">
        <f t="shared" si="483"/>
        <v xml:space="preserve">   </v>
      </c>
      <c r="J1417" s="1444">
        <v>600000</v>
      </c>
      <c r="K1417" s="1557">
        <v>42937</v>
      </c>
      <c r="L1417" s="1448">
        <v>3000000</v>
      </c>
      <c r="M1417" s="1557">
        <v>42937</v>
      </c>
      <c r="N1417" s="1363">
        <v>3000000</v>
      </c>
      <c r="O1417" s="1445" t="s">
        <v>1921</v>
      </c>
      <c r="P1417" s="1448">
        <v>3000000</v>
      </c>
      <c r="Q1417" s="1557">
        <v>43293</v>
      </c>
      <c r="R1417" s="1446">
        <v>3000000</v>
      </c>
      <c r="S1417" s="1445">
        <v>43481</v>
      </c>
      <c r="T1417" s="1446">
        <v>3000000</v>
      </c>
      <c r="U1417" s="1445">
        <v>43644</v>
      </c>
      <c r="V1417" s="1731">
        <v>3000000</v>
      </c>
      <c r="W1417" s="1367">
        <v>43861.503946759301</v>
      </c>
      <c r="X1417" s="1731">
        <v>3000000</v>
      </c>
      <c r="Y1417" s="1367" t="s">
        <v>1922</v>
      </c>
      <c r="Z1417" s="1363" t="str">
        <f t="shared" si="497"/>
        <v xml:space="preserve">  </v>
      </c>
      <c r="AA1417" s="1563" t="str">
        <f t="shared" si="498"/>
        <v xml:space="preserve">  </v>
      </c>
      <c r="AB1417" s="1385">
        <v>1000001</v>
      </c>
      <c r="AC1417" s="1357">
        <v>43949</v>
      </c>
      <c r="AD1417" s="1666"/>
      <c r="AE1417" s="1590"/>
      <c r="AF1417" s="1448">
        <v>500000</v>
      </c>
      <c r="AG1417" s="2101">
        <v>42969</v>
      </c>
      <c r="AH1417" s="2102" t="str">
        <f t="shared" si="490"/>
        <v>PGMI</v>
      </c>
      <c r="AI1417" s="1678">
        <f t="shared" si="491"/>
        <v>23100001</v>
      </c>
      <c r="AJ1417" s="1679" t="e">
        <f t="shared" si="492"/>
        <v>#VALUE!</v>
      </c>
      <c r="AK1417" s="1419" t="e">
        <f t="shared" si="493"/>
        <v>#VALUE!</v>
      </c>
      <c r="AL1417" s="1420" t="e">
        <f t="shared" si="494"/>
        <v>#VALUE!</v>
      </c>
      <c r="AM1417" s="1410"/>
      <c r="AN1417" s="1411"/>
      <c r="AO1417" s="1410"/>
      <c r="AP1417" s="1411"/>
      <c r="AQ1417" s="1128"/>
      <c r="AR1417" s="1173"/>
      <c r="AT1417" s="1173"/>
      <c r="AV1417" s="1173"/>
      <c r="AX1417" s="1173"/>
      <c r="AY1417" s="1176"/>
      <c r="AZ1417" s="1173"/>
    </row>
    <row r="1418" spans="1:52" s="2" customFormat="1" x14ac:dyDescent="0.25">
      <c r="A1418" s="223"/>
      <c r="B1418" s="228"/>
      <c r="C1418" s="2104"/>
      <c r="D1418" s="605"/>
      <c r="E1418" s="227" t="s">
        <v>61</v>
      </c>
      <c r="F1418" s="387" t="s">
        <v>61</v>
      </c>
      <c r="G1418" s="192" t="s">
        <v>61</v>
      </c>
      <c r="H1418" s="223" t="str">
        <f t="shared" si="484"/>
        <v xml:space="preserve">   </v>
      </c>
      <c r="I1418" s="223" t="str">
        <f t="shared" si="483"/>
        <v xml:space="preserve">   </v>
      </c>
      <c r="J1418" s="223"/>
      <c r="K1418" s="223"/>
      <c r="L1418" s="1512"/>
      <c r="M1418" s="1512"/>
      <c r="N1418" s="1512"/>
      <c r="O1418" s="1512"/>
      <c r="P1418" s="1512"/>
      <c r="Q1418" s="1512"/>
      <c r="R1418" s="1512"/>
      <c r="S1418" s="1512"/>
      <c r="T1418" s="1512"/>
      <c r="U1418" s="1512"/>
      <c r="V1418" s="1512"/>
      <c r="W1418" s="1512"/>
      <c r="X1418" s="1512"/>
      <c r="Y1418" s="1512"/>
      <c r="Z1418" s="1512"/>
      <c r="AA1418" s="223"/>
      <c r="AB1418" s="223"/>
      <c r="AC1418" s="2126"/>
      <c r="AD1418" s="1769"/>
      <c r="AE1418" s="1155"/>
      <c r="AF1418" s="1769"/>
      <c r="AG1418" s="1155"/>
      <c r="AH1418" s="1627" t="str">
        <f t="shared" si="490"/>
        <v>-</v>
      </c>
      <c r="AI1418" s="1512"/>
      <c r="AJ1418" s="1409"/>
      <c r="AK1418" s="1409"/>
      <c r="AL1418" s="1513"/>
      <c r="AM1418" s="1513"/>
      <c r="AN1418" s="1514"/>
      <c r="AO1418" s="1513"/>
      <c r="AP1418" s="1514"/>
      <c r="AQ1418" s="1128"/>
      <c r="AR1418" s="1173"/>
      <c r="AT1418" s="1173"/>
      <c r="AV1418" s="1173"/>
      <c r="AX1418" s="1173"/>
      <c r="AY1418" s="1176"/>
      <c r="AZ1418" s="1173"/>
    </row>
    <row r="1419" spans="1:52" s="2" customFormat="1" x14ac:dyDescent="0.25">
      <c r="A1419" s="625" t="s">
        <v>1923</v>
      </c>
      <c r="B1419" s="625"/>
      <c r="C1419" s="366"/>
      <c r="D1419" s="625"/>
      <c r="E1419" s="198" t="s">
        <v>1096</v>
      </c>
      <c r="F1419" s="199" t="s">
        <v>1096</v>
      </c>
      <c r="G1419" s="146">
        <v>3000000</v>
      </c>
      <c r="H1419" s="147" t="str">
        <f t="shared" si="484"/>
        <v xml:space="preserve">   </v>
      </c>
      <c r="I1419" s="147" t="str">
        <f t="shared" si="483"/>
        <v xml:space="preserve">   </v>
      </c>
      <c r="J1419" s="1349">
        <v>600000</v>
      </c>
      <c r="K1419" s="1529"/>
      <c r="L1419" s="1582" t="s">
        <v>1049</v>
      </c>
      <c r="M1419" s="1502" t="s">
        <v>1066</v>
      </c>
      <c r="N1419" s="1582" t="s">
        <v>1051</v>
      </c>
      <c r="O1419" s="1502" t="s">
        <v>1068</v>
      </c>
      <c r="P1419" s="1582" t="s">
        <v>1053</v>
      </c>
      <c r="Q1419" s="1502" t="s">
        <v>1141</v>
      </c>
      <c r="R1419" s="1582" t="s">
        <v>1055</v>
      </c>
      <c r="S1419" s="1502" t="s">
        <v>1325</v>
      </c>
      <c r="T1419" s="1582" t="s">
        <v>1057</v>
      </c>
      <c r="U1419" s="1502" t="s">
        <v>1463</v>
      </c>
      <c r="V1419" s="1582" t="s">
        <v>1059</v>
      </c>
      <c r="W1419" s="1502" t="s">
        <v>1464</v>
      </c>
      <c r="X1419" s="1582" t="s">
        <v>1061</v>
      </c>
      <c r="Y1419" s="1502" t="s">
        <v>1466</v>
      </c>
      <c r="Z1419" s="1582" t="s">
        <v>1063</v>
      </c>
      <c r="AA1419" s="1502" t="s">
        <v>1468</v>
      </c>
      <c r="AB1419" s="1450">
        <v>1000000</v>
      </c>
      <c r="AC1419" s="1663" t="s">
        <v>1326</v>
      </c>
      <c r="AD1419" s="1450">
        <v>500000</v>
      </c>
      <c r="AE1419" s="2005" t="s">
        <v>22</v>
      </c>
      <c r="AF1419" s="2059" t="s">
        <v>1753</v>
      </c>
      <c r="AG1419" s="2005" t="s">
        <v>1754</v>
      </c>
      <c r="AH1419" s="2058" t="str">
        <f t="shared" si="490"/>
        <v>#</v>
      </c>
      <c r="AI1419" s="1512"/>
      <c r="AJ1419" s="1409"/>
      <c r="AK1419" s="1409"/>
      <c r="AL1419" s="1513"/>
      <c r="AM1419" s="1513"/>
      <c r="AN1419" s="1514"/>
      <c r="AO1419" s="1513"/>
      <c r="AP1419" s="1514"/>
      <c r="AQ1419" s="1128"/>
      <c r="AR1419" s="1173"/>
      <c r="AT1419" s="1173"/>
      <c r="AV1419" s="1173"/>
      <c r="AX1419" s="1173"/>
      <c r="AY1419" s="1176"/>
      <c r="AZ1419" s="1173"/>
    </row>
    <row r="1420" spans="1:52" s="2" customFormat="1" x14ac:dyDescent="0.25">
      <c r="A1420" s="457">
        <v>1314</v>
      </c>
      <c r="B1420" s="2105">
        <v>1</v>
      </c>
      <c r="C1420" s="2106">
        <v>849217001</v>
      </c>
      <c r="D1420" s="356" t="s">
        <v>1924</v>
      </c>
      <c r="E1420" s="2107" t="s">
        <v>1110</v>
      </c>
      <c r="F1420" s="2108">
        <v>2017</v>
      </c>
      <c r="G1420" s="272" t="s">
        <v>33</v>
      </c>
      <c r="H1420" s="163">
        <f t="shared" si="484"/>
        <v>43833</v>
      </c>
      <c r="I1420" s="163">
        <f t="shared" si="483"/>
        <v>44058</v>
      </c>
      <c r="J1420" s="1532">
        <v>600000</v>
      </c>
      <c r="K1420" s="1702">
        <v>42941</v>
      </c>
      <c r="L1420" s="1722">
        <v>3000000</v>
      </c>
      <c r="M1420" s="1702">
        <v>42941</v>
      </c>
      <c r="N1420" s="2114">
        <v>3000000</v>
      </c>
      <c r="O1420" s="2115">
        <v>43113</v>
      </c>
      <c r="P1420" s="1722">
        <v>3000000</v>
      </c>
      <c r="Q1420" s="1702">
        <v>43294</v>
      </c>
      <c r="R1420" s="1441">
        <v>3000000</v>
      </c>
      <c r="S1420" s="1440">
        <v>43670</v>
      </c>
      <c r="T1420" s="1355">
        <v>3000000</v>
      </c>
      <c r="U1420" s="1440">
        <v>43670</v>
      </c>
      <c r="V1420" s="1714"/>
      <c r="W1420" s="1391"/>
      <c r="X1420" s="1363"/>
      <c r="Y1420" s="1391"/>
      <c r="Z1420" s="1941" t="str">
        <f>IFERROR(VLOOKUP(C1420,BSP,3,FALSE),"  ")</f>
        <v xml:space="preserve">  </v>
      </c>
      <c r="AA1420" s="1955" t="str">
        <f>IFERROR((VLOOKUP(C1420,BSP,4,FALSE)),"  ")</f>
        <v xml:space="preserve">  </v>
      </c>
      <c r="AB1420" s="1381">
        <v>1000000</v>
      </c>
      <c r="AC1420" s="1354">
        <v>43811</v>
      </c>
      <c r="AD1420" s="1809">
        <v>500000</v>
      </c>
      <c r="AE1420" s="1440">
        <v>43860.484884259298</v>
      </c>
      <c r="AF1420" s="1551">
        <v>750000</v>
      </c>
      <c r="AG1420" s="2067">
        <v>42972</v>
      </c>
      <c r="AH1420" s="2068" t="str">
        <f t="shared" si="490"/>
        <v>PBA</v>
      </c>
      <c r="AI1420" s="1678">
        <f t="shared" ref="AI1420:AI1439" si="499">SUM(J1420,L1420,N1420,P1420,R1420,T1420,V1420,X1420,Z1420,AB1420,AD1420,AF1420)</f>
        <v>17850000</v>
      </c>
      <c r="AJ1420" s="1679" t="e">
        <f t="shared" ref="AJ1420:AJ1439" si="500">(COUNT(L1420,N1420,P1420,R1420,T1420,V1420,X1420,Z1420)*$G$1256)+(COUNT(J1420)*$J$1256)+(COUNT(AB1420)*$AB$1256)+(COUNT(AD1420)*$AD$1256)+(COUNT(AF1420)*AH1420)</f>
        <v>#VALUE!</v>
      </c>
      <c r="AK1420" s="1419" t="e">
        <f t="shared" ref="AK1420:AK1439" si="501">AJ1420-AI1420</f>
        <v>#VALUE!</v>
      </c>
      <c r="AL1420" s="1420" t="e">
        <f t="shared" ref="AL1420:AL1439" si="502">IF(AK1420=0,"Lunas","Cek")</f>
        <v>#VALUE!</v>
      </c>
      <c r="AM1420" s="1410"/>
      <c r="AN1420" s="1411"/>
      <c r="AO1420" s="1410"/>
      <c r="AP1420" s="1411"/>
      <c r="AQ1420" s="1128"/>
      <c r="AR1420" s="1173"/>
      <c r="AT1420" s="1173"/>
      <c r="AV1420" s="1173"/>
      <c r="AX1420" s="1173"/>
      <c r="AY1420" s="1176"/>
      <c r="AZ1420" s="1173"/>
    </row>
    <row r="1421" spans="1:52" s="2" customFormat="1" x14ac:dyDescent="0.25">
      <c r="A1421" s="164">
        <v>1315</v>
      </c>
      <c r="B1421" s="634">
        <v>2</v>
      </c>
      <c r="C1421" s="660">
        <v>849217002</v>
      </c>
      <c r="D1421" s="571" t="s">
        <v>1925</v>
      </c>
      <c r="E1421" s="572" t="s">
        <v>1110</v>
      </c>
      <c r="F1421" s="612">
        <v>2017</v>
      </c>
      <c r="G1421" s="360" t="s">
        <v>1483</v>
      </c>
      <c r="H1421" s="265" t="str">
        <f t="shared" si="484"/>
        <v xml:space="preserve">   </v>
      </c>
      <c r="I1421" s="574" t="str">
        <f t="shared" si="483"/>
        <v xml:space="preserve">   </v>
      </c>
      <c r="J1421" s="1366">
        <v>600000</v>
      </c>
      <c r="K1421" s="1360">
        <v>42937</v>
      </c>
      <c r="L1421" s="1430">
        <v>3000000</v>
      </c>
      <c r="M1421" s="1360">
        <v>42937</v>
      </c>
      <c r="N1421" s="2076">
        <v>3000000</v>
      </c>
      <c r="O1421" s="2040">
        <v>43112</v>
      </c>
      <c r="P1421" s="1430">
        <v>3000000</v>
      </c>
      <c r="Q1421" s="1360">
        <v>43292</v>
      </c>
      <c r="R1421" s="1363">
        <v>3000000</v>
      </c>
      <c r="S1421" s="1367">
        <v>43483</v>
      </c>
      <c r="T1421" s="1363">
        <v>3000000</v>
      </c>
      <c r="U1421" s="1367">
        <v>43644</v>
      </c>
      <c r="V1421" s="1731">
        <v>3000000</v>
      </c>
      <c r="W1421" s="1367">
        <v>43859.4164467593</v>
      </c>
      <c r="X1421" s="1731">
        <v>3000000</v>
      </c>
      <c r="Y1421" s="1367">
        <v>44070.600243055596</v>
      </c>
      <c r="Z1421" s="1363"/>
      <c r="AA1421" s="1563"/>
      <c r="AB1421" s="1714"/>
      <c r="AC1421" s="1367"/>
      <c r="AD1421" s="1666"/>
      <c r="AE1421" s="1590"/>
      <c r="AF1421" s="1430">
        <v>750000</v>
      </c>
      <c r="AG1421" s="2099">
        <v>42971</v>
      </c>
      <c r="AH1421" s="2100" t="str">
        <f t="shared" si="490"/>
        <v>PBA</v>
      </c>
      <c r="AI1421" s="1678">
        <f t="shared" si="499"/>
        <v>22350000</v>
      </c>
      <c r="AJ1421" s="1679" t="e">
        <f t="shared" si="500"/>
        <v>#VALUE!</v>
      </c>
      <c r="AK1421" s="1419" t="e">
        <f t="shared" si="501"/>
        <v>#VALUE!</v>
      </c>
      <c r="AL1421" s="1420" t="e">
        <f t="shared" si="502"/>
        <v>#VALUE!</v>
      </c>
      <c r="AM1421" s="1410"/>
      <c r="AN1421" s="1411"/>
      <c r="AO1421" s="1410"/>
      <c r="AP1421" s="1411"/>
      <c r="AQ1421" s="1128"/>
      <c r="AR1421" s="1173"/>
      <c r="AT1421" s="1173"/>
      <c r="AV1421" s="1173"/>
      <c r="AX1421" s="1173"/>
      <c r="AY1421" s="1176"/>
      <c r="AZ1421" s="1173"/>
    </row>
    <row r="1422" spans="1:52" s="2" customFormat="1" x14ac:dyDescent="0.25">
      <c r="A1422" s="164">
        <v>1316</v>
      </c>
      <c r="B1422" s="635">
        <v>3</v>
      </c>
      <c r="C1422" s="2014">
        <v>849217003</v>
      </c>
      <c r="D1422" s="575" t="s">
        <v>1926</v>
      </c>
      <c r="E1422" s="576" t="s">
        <v>1110</v>
      </c>
      <c r="F1422" s="611">
        <v>2017</v>
      </c>
      <c r="G1422" s="272" t="s">
        <v>33</v>
      </c>
      <c r="H1422" s="163">
        <f t="shared" si="484"/>
        <v>43811</v>
      </c>
      <c r="I1422" s="163">
        <f t="shared" si="483"/>
        <v>44058</v>
      </c>
      <c r="J1422" s="1364">
        <v>600000</v>
      </c>
      <c r="K1422" s="1365">
        <v>42950</v>
      </c>
      <c r="L1422" s="1431">
        <v>3000000</v>
      </c>
      <c r="M1422" s="1365">
        <v>42950</v>
      </c>
      <c r="N1422" s="1358">
        <v>3000000</v>
      </c>
      <c r="O1422" s="1357">
        <v>43110</v>
      </c>
      <c r="P1422" s="1431">
        <v>3000000</v>
      </c>
      <c r="Q1422" s="1365">
        <v>43292</v>
      </c>
      <c r="R1422" s="1358">
        <v>3000000</v>
      </c>
      <c r="S1422" s="1357">
        <v>43481</v>
      </c>
      <c r="T1422" s="1358">
        <v>3000000</v>
      </c>
      <c r="U1422" s="1357">
        <v>43636</v>
      </c>
      <c r="V1422" s="1731" t="s">
        <v>783</v>
      </c>
      <c r="W1422" s="1367" t="s">
        <v>783</v>
      </c>
      <c r="X1422" s="1363"/>
      <c r="Y1422" s="1391"/>
      <c r="Z1422" s="1363" t="str">
        <f>IFERROR(VLOOKUP(C1422,BSP,3,FALSE),"  ")</f>
        <v xml:space="preserve">  </v>
      </c>
      <c r="AA1422" s="1563" t="str">
        <f>IFERROR((VLOOKUP(C1422,BSP,4,FALSE)),"  ")</f>
        <v xml:space="preserve">  </v>
      </c>
      <c r="AB1422" s="1385">
        <v>1000000</v>
      </c>
      <c r="AC1422" s="1357">
        <v>43798</v>
      </c>
      <c r="AD1422" s="1666"/>
      <c r="AE1422" s="1590"/>
      <c r="AF1422" s="1430">
        <v>500000</v>
      </c>
      <c r="AG1422" s="2099">
        <v>42969</v>
      </c>
      <c r="AH1422" s="2100" t="str">
        <f t="shared" si="490"/>
        <v>PBA</v>
      </c>
      <c r="AI1422" s="1678">
        <f t="shared" si="499"/>
        <v>17100000</v>
      </c>
      <c r="AJ1422" s="1679" t="e">
        <f t="shared" si="500"/>
        <v>#VALUE!</v>
      </c>
      <c r="AK1422" s="1419" t="e">
        <f t="shared" si="501"/>
        <v>#VALUE!</v>
      </c>
      <c r="AL1422" s="1420" t="e">
        <f t="shared" si="502"/>
        <v>#VALUE!</v>
      </c>
      <c r="AM1422" s="1410"/>
      <c r="AN1422" s="1411"/>
      <c r="AO1422" s="1410"/>
      <c r="AP1422" s="1411"/>
      <c r="AQ1422" s="1128"/>
      <c r="AR1422" s="1173"/>
      <c r="AT1422" s="1173"/>
      <c r="AV1422" s="1173"/>
      <c r="AX1422" s="1173"/>
      <c r="AY1422" s="1176"/>
      <c r="AZ1422" s="1173"/>
    </row>
    <row r="1423" spans="1:52" s="2" customFormat="1" x14ac:dyDescent="0.25">
      <c r="A1423" s="164">
        <v>1317</v>
      </c>
      <c r="B1423" s="634">
        <v>4</v>
      </c>
      <c r="C1423" s="660">
        <v>849217004</v>
      </c>
      <c r="D1423" s="571" t="s">
        <v>1927</v>
      </c>
      <c r="E1423" s="572" t="s">
        <v>1110</v>
      </c>
      <c r="F1423" s="612">
        <v>2017</v>
      </c>
      <c r="G1423" s="1758" t="s">
        <v>28</v>
      </c>
      <c r="H1423" s="265" t="str">
        <f t="shared" si="484"/>
        <v xml:space="preserve">   </v>
      </c>
      <c r="I1423" s="574" t="str">
        <f t="shared" si="483"/>
        <v xml:space="preserve">   </v>
      </c>
      <c r="J1423" s="1366">
        <v>600000</v>
      </c>
      <c r="K1423" s="1360"/>
      <c r="L1423" s="1430">
        <v>3000000</v>
      </c>
      <c r="M1423" s="1360"/>
      <c r="N1423" s="2076">
        <v>3000000</v>
      </c>
      <c r="O1423" s="2040">
        <v>43116</v>
      </c>
      <c r="P1423" s="1430">
        <v>3000000</v>
      </c>
      <c r="Q1423" s="1360">
        <v>43293</v>
      </c>
      <c r="R1423" s="1363">
        <v>3000000</v>
      </c>
      <c r="S1423" s="1367">
        <v>43545</v>
      </c>
      <c r="T1423" s="1363">
        <v>3000000</v>
      </c>
      <c r="U1423" s="1367">
        <v>43671</v>
      </c>
      <c r="V1423" s="1731">
        <v>3000000</v>
      </c>
      <c r="W1423" s="1367">
        <v>43861.365104166704</v>
      </c>
      <c r="X1423" s="1731">
        <v>0</v>
      </c>
      <c r="Y1423" s="1367"/>
      <c r="Z1423" s="1363" t="str">
        <f>IFERROR(VLOOKUP(C1423,BSP,3,FALSE),"  ")</f>
        <v xml:space="preserve">  </v>
      </c>
      <c r="AA1423" s="1563" t="str">
        <f>IFERROR((VLOOKUP(C1423,BSP,4,FALSE)),"  ")</f>
        <v xml:space="preserve">  </v>
      </c>
      <c r="AB1423" s="1714"/>
      <c r="AC1423" s="1367"/>
      <c r="AD1423" s="1666"/>
      <c r="AE1423" s="1590"/>
      <c r="AF1423" s="1430">
        <v>500000</v>
      </c>
      <c r="AG1423" s="2099">
        <v>42972</v>
      </c>
      <c r="AH1423" s="2100" t="str">
        <f t="shared" si="490"/>
        <v>PBA</v>
      </c>
      <c r="AI1423" s="1678">
        <f t="shared" si="499"/>
        <v>19100000</v>
      </c>
      <c r="AJ1423" s="1679" t="e">
        <f t="shared" si="500"/>
        <v>#VALUE!</v>
      </c>
      <c r="AK1423" s="1419" t="e">
        <f t="shared" si="501"/>
        <v>#VALUE!</v>
      </c>
      <c r="AL1423" s="1420" t="e">
        <f t="shared" si="502"/>
        <v>#VALUE!</v>
      </c>
      <c r="AM1423" s="1410"/>
      <c r="AN1423" s="1411"/>
      <c r="AO1423" s="1410"/>
      <c r="AP1423" s="1411"/>
      <c r="AQ1423" s="1128"/>
      <c r="AR1423" s="1173"/>
      <c r="AT1423" s="1173"/>
      <c r="AV1423" s="1173"/>
      <c r="AX1423" s="1173"/>
      <c r="AY1423" s="1176"/>
      <c r="AZ1423" s="1173"/>
    </row>
    <row r="1424" spans="1:52" s="2" customFormat="1" x14ac:dyDescent="0.25">
      <c r="A1424" s="156">
        <v>1318</v>
      </c>
      <c r="B1424" s="635">
        <v>5</v>
      </c>
      <c r="C1424" s="2014">
        <v>849217005</v>
      </c>
      <c r="D1424" s="575" t="s">
        <v>1928</v>
      </c>
      <c r="E1424" s="576" t="s">
        <v>1110</v>
      </c>
      <c r="F1424" s="611">
        <v>2017</v>
      </c>
      <c r="G1424" s="272" t="s">
        <v>33</v>
      </c>
      <c r="H1424" s="163">
        <f t="shared" si="484"/>
        <v>43654</v>
      </c>
      <c r="I1424" s="628">
        <f t="shared" si="483"/>
        <v>43750</v>
      </c>
      <c r="J1424" s="1364">
        <v>600000</v>
      </c>
      <c r="K1424" s="1365">
        <v>42942</v>
      </c>
      <c r="L1424" s="1431">
        <v>3000000</v>
      </c>
      <c r="M1424" s="1365">
        <v>42942</v>
      </c>
      <c r="N1424" s="2075">
        <v>3000000</v>
      </c>
      <c r="O1424" s="2042">
        <v>43115</v>
      </c>
      <c r="P1424" s="1431">
        <v>3000000</v>
      </c>
      <c r="Q1424" s="1365">
        <v>43292</v>
      </c>
      <c r="R1424" s="1358">
        <v>3000000</v>
      </c>
      <c r="S1424" s="1357">
        <v>43481</v>
      </c>
      <c r="T1424" s="1358">
        <v>3000000</v>
      </c>
      <c r="U1424" s="1357">
        <v>43648</v>
      </c>
      <c r="V1424" s="1714" t="s">
        <v>783</v>
      </c>
      <c r="W1424" s="1391" t="s">
        <v>783</v>
      </c>
      <c r="X1424" s="1363"/>
      <c r="Y1424" s="1391"/>
      <c r="Z1424" s="1363" t="str">
        <f>IFERROR(VLOOKUP(C1424,BSP,3,FALSE),"  ")</f>
        <v xml:space="preserve">  </v>
      </c>
      <c r="AA1424" s="1563" t="str">
        <f>IFERROR((VLOOKUP(C1424,BSP,4,FALSE)),"  ")</f>
        <v xml:space="preserve">  </v>
      </c>
      <c r="AB1424" s="1385">
        <v>1000000</v>
      </c>
      <c r="AC1424" s="1357">
        <v>43637</v>
      </c>
      <c r="AD1424" s="1666"/>
      <c r="AE1424" s="1590"/>
      <c r="AF1424" s="1430">
        <v>750000</v>
      </c>
      <c r="AG1424" s="2099">
        <v>42972</v>
      </c>
      <c r="AH1424" s="2100" t="str">
        <f t="shared" si="490"/>
        <v>PBA</v>
      </c>
      <c r="AI1424" s="1678">
        <f t="shared" si="499"/>
        <v>17350000</v>
      </c>
      <c r="AJ1424" s="1679" t="e">
        <f t="shared" si="500"/>
        <v>#VALUE!</v>
      </c>
      <c r="AK1424" s="1419" t="e">
        <f t="shared" si="501"/>
        <v>#VALUE!</v>
      </c>
      <c r="AL1424" s="1420" t="e">
        <f t="shared" si="502"/>
        <v>#VALUE!</v>
      </c>
      <c r="AM1424" s="1410"/>
      <c r="AN1424" s="1411"/>
      <c r="AO1424" s="1410"/>
      <c r="AP1424" s="1411"/>
      <c r="AQ1424" s="1128"/>
      <c r="AR1424" s="1173"/>
      <c r="AT1424" s="1173"/>
      <c r="AV1424" s="1173"/>
      <c r="AX1424" s="1173"/>
      <c r="AY1424" s="1176"/>
      <c r="AZ1424" s="1173"/>
    </row>
    <row r="1425" spans="1:52" s="2" customFormat="1" x14ac:dyDescent="0.25">
      <c r="A1425" s="164">
        <v>1319</v>
      </c>
      <c r="B1425" s="634">
        <v>6</v>
      </c>
      <c r="C1425" s="660">
        <v>849217006</v>
      </c>
      <c r="D1425" s="571" t="s">
        <v>1929</v>
      </c>
      <c r="E1425" s="572" t="s">
        <v>1110</v>
      </c>
      <c r="F1425" s="612">
        <v>2017</v>
      </c>
      <c r="G1425" s="1758" t="s">
        <v>28</v>
      </c>
      <c r="H1425" s="265" t="str">
        <f t="shared" si="484"/>
        <v xml:space="preserve">   </v>
      </c>
      <c r="I1425" s="574" t="str">
        <f t="shared" si="483"/>
        <v xml:space="preserve">   </v>
      </c>
      <c r="J1425" s="1366">
        <v>600000</v>
      </c>
      <c r="K1425" s="1360">
        <v>42941</v>
      </c>
      <c r="L1425" s="1430">
        <v>3000000</v>
      </c>
      <c r="M1425" s="1360">
        <v>42941</v>
      </c>
      <c r="N1425" s="1363">
        <v>3000000</v>
      </c>
      <c r="O1425" s="1367">
        <v>43111</v>
      </c>
      <c r="P1425" s="1430">
        <v>3000000</v>
      </c>
      <c r="Q1425" s="1360">
        <v>43292</v>
      </c>
      <c r="R1425" s="1363">
        <v>3000000</v>
      </c>
      <c r="S1425" s="1367">
        <v>43482</v>
      </c>
      <c r="T1425" s="1363">
        <v>3000000</v>
      </c>
      <c r="U1425" s="1367">
        <v>43642</v>
      </c>
      <c r="V1425" s="1731">
        <v>3000000</v>
      </c>
      <c r="W1425" s="1367">
        <v>43860.422893518502</v>
      </c>
      <c r="X1425" s="1731">
        <v>3000000</v>
      </c>
      <c r="Y1425" s="1367">
        <v>44071.443564814799</v>
      </c>
      <c r="Z1425" s="1363"/>
      <c r="AA1425" s="1563"/>
      <c r="AB1425" s="1714"/>
      <c r="AC1425" s="1367"/>
      <c r="AD1425" s="1666"/>
      <c r="AE1425" s="1590"/>
      <c r="AF1425" s="1430">
        <v>750000</v>
      </c>
      <c r="AG1425" s="2099">
        <v>42965</v>
      </c>
      <c r="AH1425" s="2100" t="str">
        <f t="shared" si="490"/>
        <v>PBA</v>
      </c>
      <c r="AI1425" s="1678">
        <f t="shared" si="499"/>
        <v>22350000</v>
      </c>
      <c r="AJ1425" s="1679" t="e">
        <f t="shared" si="500"/>
        <v>#VALUE!</v>
      </c>
      <c r="AK1425" s="1419" t="e">
        <f t="shared" si="501"/>
        <v>#VALUE!</v>
      </c>
      <c r="AL1425" s="1420" t="e">
        <f t="shared" si="502"/>
        <v>#VALUE!</v>
      </c>
      <c r="AM1425" s="1410"/>
      <c r="AN1425" s="1411"/>
      <c r="AO1425" s="1410"/>
      <c r="AP1425" s="1411"/>
      <c r="AQ1425" s="1128"/>
      <c r="AR1425" s="1173"/>
      <c r="AT1425" s="1173"/>
      <c r="AV1425" s="1173"/>
      <c r="AX1425" s="1173"/>
      <c r="AY1425" s="1176"/>
      <c r="AZ1425" s="1173"/>
    </row>
    <row r="1426" spans="1:52" s="2" customFormat="1" x14ac:dyDescent="0.25">
      <c r="A1426" s="164">
        <v>1320</v>
      </c>
      <c r="B1426" s="634">
        <v>7</v>
      </c>
      <c r="C1426" s="660">
        <v>849217007</v>
      </c>
      <c r="D1426" s="571" t="s">
        <v>1930</v>
      </c>
      <c r="E1426" s="578" t="s">
        <v>1110</v>
      </c>
      <c r="F1426" s="614">
        <v>2017</v>
      </c>
      <c r="G1426" s="1758" t="s">
        <v>28</v>
      </c>
      <c r="H1426" s="265" t="str">
        <f t="shared" si="484"/>
        <v xml:space="preserve">   </v>
      </c>
      <c r="I1426" s="574" t="str">
        <f t="shared" si="483"/>
        <v xml:space="preserve">   </v>
      </c>
      <c r="J1426" s="1366">
        <v>600000</v>
      </c>
      <c r="K1426" s="1360">
        <v>42949</v>
      </c>
      <c r="L1426" s="1430">
        <v>3000000</v>
      </c>
      <c r="M1426" s="1360">
        <v>42949</v>
      </c>
      <c r="N1426" s="1363">
        <v>3000000</v>
      </c>
      <c r="O1426" s="1367">
        <v>43115</v>
      </c>
      <c r="P1426" s="1430">
        <v>3000000</v>
      </c>
      <c r="Q1426" s="1360">
        <v>43294</v>
      </c>
      <c r="R1426" s="1363">
        <v>3000000</v>
      </c>
      <c r="S1426" s="1367">
        <v>43483</v>
      </c>
      <c r="T1426" s="1363">
        <v>3000000</v>
      </c>
      <c r="U1426" s="1367">
        <v>43663</v>
      </c>
      <c r="V1426" s="1731">
        <v>0</v>
      </c>
      <c r="W1426" s="1367"/>
      <c r="X1426" s="1731">
        <v>0</v>
      </c>
      <c r="Y1426" s="1367"/>
      <c r="Z1426" s="1363" t="str">
        <f>IFERROR(VLOOKUP(C1426,BSP,3,FALSE),"  ")</f>
        <v xml:space="preserve">  </v>
      </c>
      <c r="AA1426" s="1563" t="str">
        <f>IFERROR((VLOOKUP(C1426,BSP,4,FALSE)),"  ")</f>
        <v xml:space="preserve">  </v>
      </c>
      <c r="AB1426" s="1714"/>
      <c r="AC1426" s="1367"/>
      <c r="AD1426" s="1666"/>
      <c r="AE1426" s="1590"/>
      <c r="AF1426" s="1430">
        <v>500000</v>
      </c>
      <c r="AG1426" s="2099">
        <v>42972</v>
      </c>
      <c r="AH1426" s="2100" t="str">
        <f t="shared" si="490"/>
        <v>PBA</v>
      </c>
      <c r="AI1426" s="1678">
        <f t="shared" si="499"/>
        <v>16100000</v>
      </c>
      <c r="AJ1426" s="1679" t="e">
        <f t="shared" si="500"/>
        <v>#VALUE!</v>
      </c>
      <c r="AK1426" s="1419" t="e">
        <f t="shared" si="501"/>
        <v>#VALUE!</v>
      </c>
      <c r="AL1426" s="1420" t="e">
        <f t="shared" si="502"/>
        <v>#VALUE!</v>
      </c>
      <c r="AM1426" s="1410"/>
      <c r="AN1426" s="1411"/>
      <c r="AO1426" s="1410"/>
      <c r="AP1426" s="1411"/>
      <c r="AQ1426" s="1128"/>
      <c r="AR1426" s="1173"/>
      <c r="AT1426" s="1173"/>
      <c r="AV1426" s="1173"/>
      <c r="AX1426" s="1173"/>
      <c r="AY1426" s="1176"/>
      <c r="AZ1426" s="1173"/>
    </row>
    <row r="1427" spans="1:52" s="2" customFormat="1" x14ac:dyDescent="0.25">
      <c r="A1427" s="156">
        <v>1321</v>
      </c>
      <c r="B1427" s="635">
        <v>8</v>
      </c>
      <c r="C1427" s="2014">
        <v>849217008</v>
      </c>
      <c r="D1427" s="575" t="s">
        <v>1931</v>
      </c>
      <c r="E1427" s="593" t="s">
        <v>1110</v>
      </c>
      <c r="F1427" s="613">
        <v>2017</v>
      </c>
      <c r="G1427" s="272" t="s">
        <v>33</v>
      </c>
      <c r="H1427" s="163">
        <f t="shared" si="484"/>
        <v>43650</v>
      </c>
      <c r="I1427" s="628">
        <f t="shared" si="483"/>
        <v>43750</v>
      </c>
      <c r="J1427" s="1364">
        <v>600000</v>
      </c>
      <c r="K1427" s="1365">
        <v>42941</v>
      </c>
      <c r="L1427" s="1431">
        <v>3000000</v>
      </c>
      <c r="M1427" s="1365">
        <v>42941</v>
      </c>
      <c r="N1427" s="1358">
        <v>3000000</v>
      </c>
      <c r="O1427" s="1357">
        <v>43115</v>
      </c>
      <c r="P1427" s="1358">
        <v>3000000</v>
      </c>
      <c r="Q1427" s="1357">
        <v>43294</v>
      </c>
      <c r="R1427" s="1358">
        <v>3000000</v>
      </c>
      <c r="S1427" s="1357">
        <v>43482</v>
      </c>
      <c r="T1427" s="1714" t="s">
        <v>783</v>
      </c>
      <c r="U1427" s="1391" t="s">
        <v>783</v>
      </c>
      <c r="V1427" s="1363"/>
      <c r="W1427" s="1391"/>
      <c r="X1427" s="1363" t="str">
        <f>IFERROR(VLOOKUP(C1427,BSP,3,FALSE),"  ")</f>
        <v xml:space="preserve">  </v>
      </c>
      <c r="Y1427" s="1391" t="str">
        <f>IFERROR((VLOOKUP(C1427,BSP,4,FALSE)),"  ")</f>
        <v xml:space="preserve">  </v>
      </c>
      <c r="Z1427" s="1363" t="str">
        <f>IFERROR(VLOOKUP(C1427,BSP,3,FALSE),"  ")</f>
        <v xml:space="preserve">  </v>
      </c>
      <c r="AA1427" s="1563" t="str">
        <f>IFERROR((VLOOKUP(C1427,BSP,4,FALSE)),"  ")</f>
        <v xml:space="preserve">  </v>
      </c>
      <c r="AB1427" s="1385">
        <v>1000000</v>
      </c>
      <c r="AC1427" s="1357">
        <v>43637</v>
      </c>
      <c r="AD1427" s="1666"/>
      <c r="AE1427" s="1590"/>
      <c r="AF1427" s="2061">
        <v>750000</v>
      </c>
      <c r="AG1427" s="2099"/>
      <c r="AH1427" s="2100" t="str">
        <f t="shared" si="490"/>
        <v>PBA</v>
      </c>
      <c r="AI1427" s="1678">
        <f t="shared" si="499"/>
        <v>14350000</v>
      </c>
      <c r="AJ1427" s="1679" t="e">
        <f t="shared" si="500"/>
        <v>#VALUE!</v>
      </c>
      <c r="AK1427" s="1419" t="e">
        <f t="shared" si="501"/>
        <v>#VALUE!</v>
      </c>
      <c r="AL1427" s="1420" t="e">
        <f t="shared" si="502"/>
        <v>#VALUE!</v>
      </c>
      <c r="AM1427" s="1410"/>
      <c r="AN1427" s="1411"/>
      <c r="AO1427" s="1410"/>
      <c r="AP1427" s="1411"/>
      <c r="AQ1427" s="1128"/>
      <c r="AR1427" s="1173"/>
      <c r="AT1427" s="1173"/>
      <c r="AV1427" s="1173"/>
      <c r="AX1427" s="1173"/>
      <c r="AY1427" s="1176"/>
      <c r="AZ1427" s="1173"/>
    </row>
    <row r="1428" spans="1:52" s="2" customFormat="1" x14ac:dyDescent="0.25">
      <c r="A1428" s="164">
        <v>1322</v>
      </c>
      <c r="B1428" s="634">
        <v>9</v>
      </c>
      <c r="C1428" s="660">
        <v>849217009</v>
      </c>
      <c r="D1428" s="571" t="s">
        <v>1932</v>
      </c>
      <c r="E1428" s="578" t="s">
        <v>1110</v>
      </c>
      <c r="F1428" s="614">
        <v>2017</v>
      </c>
      <c r="G1428" s="1758" t="s">
        <v>28</v>
      </c>
      <c r="H1428" s="265" t="str">
        <f t="shared" si="484"/>
        <v xml:space="preserve">   </v>
      </c>
      <c r="I1428" s="574" t="str">
        <f t="shared" si="483"/>
        <v xml:space="preserve">   </v>
      </c>
      <c r="J1428" s="1366">
        <v>600000</v>
      </c>
      <c r="K1428" s="1360">
        <v>42941</v>
      </c>
      <c r="L1428" s="1430">
        <v>3000000</v>
      </c>
      <c r="M1428" s="1360">
        <v>42941</v>
      </c>
      <c r="N1428" s="2076">
        <v>3000000</v>
      </c>
      <c r="O1428" s="2040">
        <v>43109</v>
      </c>
      <c r="P1428" s="1363">
        <v>3000000</v>
      </c>
      <c r="Q1428" s="1367">
        <v>43294</v>
      </c>
      <c r="R1428" s="1363">
        <v>3000000</v>
      </c>
      <c r="S1428" s="1367">
        <v>43483</v>
      </c>
      <c r="T1428" s="1363">
        <v>3000000</v>
      </c>
      <c r="U1428" s="1367">
        <v>43642</v>
      </c>
      <c r="V1428" s="1731">
        <v>0</v>
      </c>
      <c r="W1428" s="1367"/>
      <c r="X1428" s="1731">
        <v>0</v>
      </c>
      <c r="Y1428" s="1367"/>
      <c r="Z1428" s="1363" t="str">
        <f>IFERROR(VLOOKUP(C1428,BSP,3,FALSE),"  ")</f>
        <v xml:space="preserve">  </v>
      </c>
      <c r="AA1428" s="1563" t="str">
        <f>IFERROR((VLOOKUP(C1428,BSP,4,FALSE)),"  ")</f>
        <v xml:space="preserve">  </v>
      </c>
      <c r="AB1428" s="1714"/>
      <c r="AC1428" s="1367"/>
      <c r="AD1428" s="1666"/>
      <c r="AE1428" s="1590"/>
      <c r="AF1428" s="1430">
        <v>750000</v>
      </c>
      <c r="AG1428" s="2099">
        <v>42965</v>
      </c>
      <c r="AH1428" s="2100" t="str">
        <f t="shared" si="490"/>
        <v>PBA</v>
      </c>
      <c r="AI1428" s="1678">
        <f t="shared" si="499"/>
        <v>16350000</v>
      </c>
      <c r="AJ1428" s="1679" t="e">
        <f t="shared" si="500"/>
        <v>#VALUE!</v>
      </c>
      <c r="AK1428" s="1419" t="e">
        <f t="shared" si="501"/>
        <v>#VALUE!</v>
      </c>
      <c r="AL1428" s="1420" t="e">
        <f t="shared" si="502"/>
        <v>#VALUE!</v>
      </c>
      <c r="AM1428" s="1410"/>
      <c r="AN1428" s="1411"/>
      <c r="AO1428" s="1410"/>
      <c r="AP1428" s="1411"/>
      <c r="AQ1428" s="1128"/>
      <c r="AR1428" s="1173"/>
      <c r="AT1428" s="1173"/>
      <c r="AV1428" s="1173"/>
      <c r="AX1428" s="1173"/>
      <c r="AY1428" s="1176"/>
      <c r="AZ1428" s="1173"/>
    </row>
    <row r="1429" spans="1:52" s="2" customFormat="1" x14ac:dyDescent="0.25">
      <c r="A1429" s="156">
        <v>1323</v>
      </c>
      <c r="B1429" s="635">
        <v>10</v>
      </c>
      <c r="C1429" s="660">
        <v>849217010</v>
      </c>
      <c r="D1429" s="575" t="s">
        <v>1933</v>
      </c>
      <c r="E1429" s="593" t="s">
        <v>1110</v>
      </c>
      <c r="F1429" s="613">
        <v>2017</v>
      </c>
      <c r="G1429" s="272" t="s">
        <v>33</v>
      </c>
      <c r="H1429" s="163">
        <f t="shared" si="484"/>
        <v>44061</v>
      </c>
      <c r="I1429" s="574" t="str">
        <f t="shared" si="483"/>
        <v xml:space="preserve">   </v>
      </c>
      <c r="J1429" s="1366">
        <v>600000</v>
      </c>
      <c r="K1429" s="1360">
        <v>42943</v>
      </c>
      <c r="L1429" s="1430">
        <v>3000000</v>
      </c>
      <c r="M1429" s="1360">
        <v>42943</v>
      </c>
      <c r="N1429" s="1363">
        <v>3000000</v>
      </c>
      <c r="O1429" s="1367">
        <v>43115</v>
      </c>
      <c r="P1429" s="1363">
        <v>3000000</v>
      </c>
      <c r="Q1429" s="1367">
        <v>43294</v>
      </c>
      <c r="R1429" s="1363">
        <v>3000000</v>
      </c>
      <c r="S1429" s="1367">
        <v>43493</v>
      </c>
      <c r="T1429" s="1363">
        <v>3000000</v>
      </c>
      <c r="U1429" s="1367">
        <v>43671</v>
      </c>
      <c r="V1429" s="1731">
        <v>3000000</v>
      </c>
      <c r="W1429" s="1367">
        <v>43861.399120370399</v>
      </c>
      <c r="X1429" s="1363"/>
      <c r="Y1429" s="1391"/>
      <c r="Z1429" s="1363"/>
      <c r="AA1429" s="1563"/>
      <c r="AB1429" s="1385">
        <v>1000000</v>
      </c>
      <c r="AC1429" s="1357">
        <v>43819</v>
      </c>
      <c r="AD1429" s="1809">
        <v>500000</v>
      </c>
      <c r="AE1429" s="1440">
        <v>44081.634861111103</v>
      </c>
      <c r="AF1429" s="1430">
        <v>750000</v>
      </c>
      <c r="AG1429" s="2099">
        <v>42972</v>
      </c>
      <c r="AH1429" s="2100" t="str">
        <f t="shared" si="490"/>
        <v>PBA</v>
      </c>
      <c r="AI1429" s="1678">
        <f t="shared" si="499"/>
        <v>20850000</v>
      </c>
      <c r="AJ1429" s="1679" t="e">
        <f t="shared" si="500"/>
        <v>#VALUE!</v>
      </c>
      <c r="AK1429" s="1419" t="e">
        <f t="shared" si="501"/>
        <v>#VALUE!</v>
      </c>
      <c r="AL1429" s="1420" t="e">
        <f t="shared" si="502"/>
        <v>#VALUE!</v>
      </c>
      <c r="AM1429" s="1410"/>
      <c r="AN1429" s="1411"/>
      <c r="AO1429" s="1410"/>
      <c r="AP1429" s="1411"/>
      <c r="AQ1429" s="1128"/>
      <c r="AR1429" s="1173"/>
      <c r="AT1429" s="1173"/>
      <c r="AV1429" s="1173"/>
      <c r="AX1429" s="1173"/>
      <c r="AY1429" s="1176"/>
      <c r="AZ1429" s="1173"/>
    </row>
    <row r="1430" spans="1:52" s="2" customFormat="1" x14ac:dyDescent="0.25">
      <c r="A1430" s="164">
        <v>1324</v>
      </c>
      <c r="B1430" s="634">
        <v>11</v>
      </c>
      <c r="C1430" s="660">
        <v>849217011</v>
      </c>
      <c r="D1430" s="571" t="s">
        <v>1934</v>
      </c>
      <c r="E1430" s="578" t="s">
        <v>1110</v>
      </c>
      <c r="F1430" s="614">
        <v>2017</v>
      </c>
      <c r="G1430" s="1758" t="s">
        <v>28</v>
      </c>
      <c r="H1430" s="265" t="str">
        <f t="shared" ref="H1430:H1481" si="503">IFERROR(VLOOKUP(C1430,Tlus,3,FALSE),"   ")</f>
        <v xml:space="preserve">   </v>
      </c>
      <c r="I1430" s="574" t="str">
        <f t="shared" ref="I1430:I1481" si="504">IFERROR(VLOOKUP(C1430,Wis,4,FALSE),"   ")</f>
        <v xml:space="preserve">   </v>
      </c>
      <c r="J1430" s="1366">
        <v>600000</v>
      </c>
      <c r="K1430" s="1360">
        <v>42937</v>
      </c>
      <c r="L1430" s="1430">
        <v>3000000</v>
      </c>
      <c r="M1430" s="1360">
        <v>42937</v>
      </c>
      <c r="N1430" s="2076">
        <v>3000000</v>
      </c>
      <c r="O1430" s="2040">
        <v>43126</v>
      </c>
      <c r="P1430" s="1186" t="s">
        <v>1935</v>
      </c>
      <c r="Q1430" s="1367"/>
      <c r="R1430" s="1186" t="s">
        <v>1078</v>
      </c>
      <c r="S1430" s="1386">
        <v>43490</v>
      </c>
      <c r="T1430" s="1363">
        <v>3000000</v>
      </c>
      <c r="U1430" s="1367">
        <v>43636</v>
      </c>
      <c r="V1430" s="1731">
        <v>3000000</v>
      </c>
      <c r="W1430" s="1367">
        <v>43861.584490740701</v>
      </c>
      <c r="X1430" s="1731">
        <v>0</v>
      </c>
      <c r="Y1430" s="1367"/>
      <c r="Z1430" s="1363" t="str">
        <f>IFERROR(VLOOKUP(C1430,BSP,3,FALSE),"  ")</f>
        <v xml:space="preserve">  </v>
      </c>
      <c r="AA1430" s="1563" t="str">
        <f>IFERROR((VLOOKUP(C1430,BSP,4,FALSE)),"  ")</f>
        <v xml:space="preserve">  </v>
      </c>
      <c r="AB1430" s="1714"/>
      <c r="AC1430" s="1367"/>
      <c r="AD1430" s="1666"/>
      <c r="AE1430" s="1590"/>
      <c r="AF1430" s="1430">
        <v>500000</v>
      </c>
      <c r="AG1430" s="2099">
        <v>42972</v>
      </c>
      <c r="AH1430" s="2100" t="str">
        <f t="shared" si="490"/>
        <v>PBA</v>
      </c>
      <c r="AI1430" s="1678">
        <f t="shared" si="499"/>
        <v>13100000</v>
      </c>
      <c r="AJ1430" s="1679" t="e">
        <f t="shared" si="500"/>
        <v>#VALUE!</v>
      </c>
      <c r="AK1430" s="1419" t="e">
        <f t="shared" si="501"/>
        <v>#VALUE!</v>
      </c>
      <c r="AL1430" s="1420" t="e">
        <f t="shared" si="502"/>
        <v>#VALUE!</v>
      </c>
      <c r="AM1430" s="1410"/>
      <c r="AN1430" s="1411"/>
      <c r="AO1430" s="1410"/>
      <c r="AP1430" s="1411"/>
      <c r="AQ1430" s="1128"/>
      <c r="AR1430" s="1173"/>
      <c r="AT1430" s="1173"/>
      <c r="AV1430" s="1173"/>
      <c r="AX1430" s="1173"/>
      <c r="AY1430" s="1176"/>
      <c r="AZ1430" s="1173"/>
    </row>
    <row r="1431" spans="1:52" s="2" customFormat="1" x14ac:dyDescent="0.25">
      <c r="A1431" s="164">
        <v>1325</v>
      </c>
      <c r="B1431" s="634">
        <v>12</v>
      </c>
      <c r="C1431" s="660">
        <v>849217012</v>
      </c>
      <c r="D1431" s="571" t="s">
        <v>1936</v>
      </c>
      <c r="E1431" s="578" t="s">
        <v>1110</v>
      </c>
      <c r="F1431" s="614">
        <v>2017</v>
      </c>
      <c r="G1431" s="1758" t="s">
        <v>28</v>
      </c>
      <c r="H1431" s="265" t="str">
        <f t="shared" si="503"/>
        <v xml:space="preserve">   </v>
      </c>
      <c r="I1431" s="574" t="str">
        <f t="shared" si="504"/>
        <v xml:space="preserve">   </v>
      </c>
      <c r="J1431" s="1366">
        <v>600000</v>
      </c>
      <c r="K1431" s="1360">
        <v>42940</v>
      </c>
      <c r="L1431" s="1430">
        <v>3000000</v>
      </c>
      <c r="M1431" s="1360">
        <v>42940</v>
      </c>
      <c r="N1431" s="2116">
        <v>3000000</v>
      </c>
      <c r="O1431" s="2117">
        <v>43111</v>
      </c>
      <c r="P1431" s="2116">
        <v>3000000</v>
      </c>
      <c r="Q1431" s="2117">
        <v>43292</v>
      </c>
      <c r="R1431" s="1731">
        <v>0</v>
      </c>
      <c r="S1431" s="1367"/>
      <c r="T1431" s="2120">
        <v>3000000</v>
      </c>
      <c r="U1431" s="2117">
        <v>43861.433692129598</v>
      </c>
      <c r="V1431" s="1731">
        <v>0</v>
      </c>
      <c r="W1431" s="1367"/>
      <c r="X1431" s="1731">
        <v>3000000</v>
      </c>
      <c r="Y1431" s="1367">
        <v>44078</v>
      </c>
      <c r="Z1431" s="1363" t="str">
        <f>IFERROR(VLOOKUP(C1431,BSP,3,FALSE),"  ")</f>
        <v xml:space="preserve">  </v>
      </c>
      <c r="AA1431" s="1563" t="str">
        <f>IFERROR((VLOOKUP(C1431,BSP,4,FALSE)),"  ")</f>
        <v xml:space="preserve">  </v>
      </c>
      <c r="AB1431" s="1714"/>
      <c r="AC1431" s="1367"/>
      <c r="AD1431" s="1666"/>
      <c r="AE1431" s="1590"/>
      <c r="AF1431" s="1430">
        <v>750000</v>
      </c>
      <c r="AG1431" s="2099">
        <v>42970</v>
      </c>
      <c r="AH1431" s="2100" t="str">
        <f t="shared" si="490"/>
        <v>PBA</v>
      </c>
      <c r="AI1431" s="1678">
        <f t="shared" si="499"/>
        <v>16350000</v>
      </c>
      <c r="AJ1431" s="1679" t="e">
        <f t="shared" si="500"/>
        <v>#VALUE!</v>
      </c>
      <c r="AK1431" s="1419" t="e">
        <f t="shared" si="501"/>
        <v>#VALUE!</v>
      </c>
      <c r="AL1431" s="1420" t="e">
        <f t="shared" si="502"/>
        <v>#VALUE!</v>
      </c>
      <c r="AM1431" s="1410"/>
      <c r="AN1431" s="1411"/>
      <c r="AO1431" s="1410"/>
      <c r="AP1431" s="1411"/>
      <c r="AQ1431" s="1128"/>
      <c r="AR1431" s="1173"/>
      <c r="AT1431" s="1173"/>
      <c r="AV1431" s="1173"/>
      <c r="AX1431" s="1173"/>
      <c r="AY1431" s="1176"/>
      <c r="AZ1431" s="1173"/>
    </row>
    <row r="1432" spans="1:52" s="2" customFormat="1" x14ac:dyDescent="0.25">
      <c r="A1432" s="164">
        <v>1326</v>
      </c>
      <c r="B1432" s="634">
        <v>13</v>
      </c>
      <c r="C1432" s="660">
        <v>849217013</v>
      </c>
      <c r="D1432" s="571" t="s">
        <v>1937</v>
      </c>
      <c r="E1432" s="578" t="s">
        <v>1110</v>
      </c>
      <c r="F1432" s="614">
        <v>2018</v>
      </c>
      <c r="G1432" s="1758" t="s">
        <v>28</v>
      </c>
      <c r="H1432" s="265" t="str">
        <f t="shared" si="503"/>
        <v xml:space="preserve">   </v>
      </c>
      <c r="I1432" s="574" t="str">
        <f t="shared" si="504"/>
        <v xml:space="preserve">   </v>
      </c>
      <c r="J1432" s="1366">
        <v>600000</v>
      </c>
      <c r="K1432" s="1360">
        <v>42941</v>
      </c>
      <c r="L1432" s="1430">
        <v>3000000</v>
      </c>
      <c r="M1432" s="1360">
        <v>42941</v>
      </c>
      <c r="N1432" s="1363">
        <v>3000000</v>
      </c>
      <c r="O1432" s="1367">
        <v>43116</v>
      </c>
      <c r="P1432" s="1363">
        <v>3000000</v>
      </c>
      <c r="Q1432" s="1367">
        <v>43308</v>
      </c>
      <c r="R1432" s="1363">
        <v>0</v>
      </c>
      <c r="S1432" s="1367"/>
      <c r="T1432" s="1363">
        <v>3000000</v>
      </c>
      <c r="U1432" s="1367">
        <v>43670</v>
      </c>
      <c r="V1432" s="1731">
        <v>0</v>
      </c>
      <c r="W1432" s="1367"/>
      <c r="X1432" s="1731">
        <v>0</v>
      </c>
      <c r="Y1432" s="1367"/>
      <c r="Z1432" s="1363" t="str">
        <f>IFERROR(VLOOKUP(C1432,BSP,3,FALSE),"  ")</f>
        <v xml:space="preserve">  </v>
      </c>
      <c r="AA1432" s="1563" t="str">
        <f>IFERROR((VLOOKUP(C1432,BSP,4,FALSE)),"  ")</f>
        <v xml:space="preserve">  </v>
      </c>
      <c r="AB1432" s="1714"/>
      <c r="AC1432" s="1367"/>
      <c r="AD1432" s="1666"/>
      <c r="AE1432" s="1590"/>
      <c r="AF1432" s="2061">
        <v>750000</v>
      </c>
      <c r="AG1432" s="2099"/>
      <c r="AH1432" s="2100" t="str">
        <f t="shared" si="490"/>
        <v>PBA</v>
      </c>
      <c r="AI1432" s="1678">
        <f t="shared" si="499"/>
        <v>13350000</v>
      </c>
      <c r="AJ1432" s="1679" t="e">
        <f t="shared" si="500"/>
        <v>#VALUE!</v>
      </c>
      <c r="AK1432" s="1419" t="e">
        <f t="shared" si="501"/>
        <v>#VALUE!</v>
      </c>
      <c r="AL1432" s="1420" t="e">
        <f t="shared" si="502"/>
        <v>#VALUE!</v>
      </c>
      <c r="AM1432" s="1410"/>
      <c r="AN1432" s="1411"/>
      <c r="AO1432" s="1410"/>
      <c r="AP1432" s="1411"/>
      <c r="AQ1432" s="1128"/>
      <c r="AR1432" s="1173"/>
      <c r="AT1432" s="1173"/>
      <c r="AV1432" s="1173"/>
      <c r="AX1432" s="1173"/>
      <c r="AY1432" s="1176"/>
      <c r="AZ1432" s="1173"/>
    </row>
    <row r="1433" spans="1:52" s="2" customFormat="1" x14ac:dyDescent="0.25">
      <c r="A1433" s="164">
        <v>1327</v>
      </c>
      <c r="B1433" s="635">
        <v>14</v>
      </c>
      <c r="C1433" s="2014">
        <v>849217014</v>
      </c>
      <c r="D1433" s="575" t="s">
        <v>1938</v>
      </c>
      <c r="E1433" s="593" t="s">
        <v>1110</v>
      </c>
      <c r="F1433" s="613">
        <v>2017</v>
      </c>
      <c r="G1433" s="272" t="s">
        <v>33</v>
      </c>
      <c r="H1433" s="163">
        <f t="shared" si="503"/>
        <v>43841</v>
      </c>
      <c r="I1433" s="163">
        <f t="shared" si="504"/>
        <v>44058</v>
      </c>
      <c r="J1433" s="1364">
        <v>600000</v>
      </c>
      <c r="K1433" s="1365">
        <v>42941</v>
      </c>
      <c r="L1433" s="1431">
        <v>3000000</v>
      </c>
      <c r="M1433" s="1365">
        <v>42941</v>
      </c>
      <c r="N1433" s="1358">
        <v>3000000</v>
      </c>
      <c r="O1433" s="1357">
        <v>43115</v>
      </c>
      <c r="P1433" s="1358">
        <v>3000000</v>
      </c>
      <c r="Q1433" s="1357">
        <v>43293</v>
      </c>
      <c r="R1433" s="1358">
        <v>3000000</v>
      </c>
      <c r="S1433" s="1357">
        <v>43483</v>
      </c>
      <c r="T1433" s="1358">
        <v>3000000</v>
      </c>
      <c r="U1433" s="1357">
        <v>43669</v>
      </c>
      <c r="V1433" s="1714" t="s">
        <v>783</v>
      </c>
      <c r="W1433" s="1391" t="s">
        <v>783</v>
      </c>
      <c r="X1433" s="1363"/>
      <c r="Y1433" s="1391"/>
      <c r="Z1433" s="1363" t="str">
        <f>IFERROR(VLOOKUP(C1433,BSP,3,FALSE),"  ")</f>
        <v xml:space="preserve">  </v>
      </c>
      <c r="AA1433" s="1563" t="str">
        <f>IFERROR((VLOOKUP(C1433,BSP,4,FALSE)),"  ")</f>
        <v xml:space="preserve">  </v>
      </c>
      <c r="AB1433" s="1385">
        <v>1000000</v>
      </c>
      <c r="AC1433" s="1357">
        <v>43787</v>
      </c>
      <c r="AD1433" s="1809">
        <v>500000</v>
      </c>
      <c r="AE1433" s="1440">
        <v>43861.444837962998</v>
      </c>
      <c r="AF1433" s="1430">
        <v>500000</v>
      </c>
      <c r="AG1433" s="2099">
        <v>42971</v>
      </c>
      <c r="AH1433" s="2100" t="str">
        <f t="shared" si="490"/>
        <v>PBA</v>
      </c>
      <c r="AI1433" s="1678">
        <f t="shared" si="499"/>
        <v>17600000</v>
      </c>
      <c r="AJ1433" s="1679" t="e">
        <f t="shared" si="500"/>
        <v>#VALUE!</v>
      </c>
      <c r="AK1433" s="1419" t="e">
        <f t="shared" si="501"/>
        <v>#VALUE!</v>
      </c>
      <c r="AL1433" s="1420" t="e">
        <f t="shared" si="502"/>
        <v>#VALUE!</v>
      </c>
      <c r="AM1433" s="1410"/>
      <c r="AN1433" s="1411"/>
      <c r="AO1433" s="1410"/>
      <c r="AP1433" s="1411"/>
      <c r="AQ1433" s="1128"/>
      <c r="AR1433" s="1173"/>
      <c r="AT1433" s="1173"/>
      <c r="AV1433" s="1173"/>
      <c r="AX1433" s="1173"/>
      <c r="AY1433" s="1176"/>
      <c r="AZ1433" s="1173"/>
    </row>
    <row r="1434" spans="1:52" s="2" customFormat="1" x14ac:dyDescent="0.25">
      <c r="A1434" s="164">
        <v>1328</v>
      </c>
      <c r="B1434" s="634">
        <v>15</v>
      </c>
      <c r="C1434" s="660">
        <v>849217015</v>
      </c>
      <c r="D1434" s="571" t="s">
        <v>1939</v>
      </c>
      <c r="E1434" s="578" t="s">
        <v>1110</v>
      </c>
      <c r="F1434" s="614">
        <v>2017</v>
      </c>
      <c r="G1434" s="1758" t="s">
        <v>28</v>
      </c>
      <c r="H1434" s="265" t="str">
        <f t="shared" si="503"/>
        <v xml:space="preserve">   </v>
      </c>
      <c r="I1434" s="574" t="str">
        <f t="shared" si="504"/>
        <v xml:space="preserve">   </v>
      </c>
      <c r="J1434" s="1366">
        <v>600000</v>
      </c>
      <c r="K1434" s="1360">
        <v>42949</v>
      </c>
      <c r="L1434" s="1430">
        <v>3000000</v>
      </c>
      <c r="M1434" s="1360">
        <v>42949</v>
      </c>
      <c r="N1434" s="1363">
        <v>3000000</v>
      </c>
      <c r="O1434" s="1367">
        <v>43116</v>
      </c>
      <c r="P1434" s="1363">
        <v>0</v>
      </c>
      <c r="Q1434" s="1367"/>
      <c r="R1434" s="1363">
        <v>0</v>
      </c>
      <c r="S1434" s="1367"/>
      <c r="T1434" s="1363">
        <v>0</v>
      </c>
      <c r="U1434" s="1367"/>
      <c r="V1434" s="1731">
        <v>0</v>
      </c>
      <c r="W1434" s="1367"/>
      <c r="X1434" s="1731">
        <v>0</v>
      </c>
      <c r="Y1434" s="1367"/>
      <c r="Z1434" s="1363" t="str">
        <f>IFERROR(VLOOKUP(C1434,BSP,3,FALSE),"  ")</f>
        <v xml:space="preserve">  </v>
      </c>
      <c r="AA1434" s="1563" t="str">
        <f>IFERROR((VLOOKUP(C1434,BSP,4,FALSE)),"  ")</f>
        <v xml:space="preserve">  </v>
      </c>
      <c r="AB1434" s="1714"/>
      <c r="AC1434" s="1367"/>
      <c r="AD1434" s="1666"/>
      <c r="AE1434" s="1590"/>
      <c r="AF1434" s="1430">
        <v>750000</v>
      </c>
      <c r="AG1434" s="2099">
        <v>43116</v>
      </c>
      <c r="AH1434" s="2100" t="str">
        <f t="shared" si="490"/>
        <v>PBA</v>
      </c>
      <c r="AI1434" s="1678">
        <f t="shared" si="499"/>
        <v>7350000</v>
      </c>
      <c r="AJ1434" s="1679" t="e">
        <f t="shared" si="500"/>
        <v>#VALUE!</v>
      </c>
      <c r="AK1434" s="1419" t="e">
        <f t="shared" si="501"/>
        <v>#VALUE!</v>
      </c>
      <c r="AL1434" s="1420" t="e">
        <f t="shared" si="502"/>
        <v>#VALUE!</v>
      </c>
      <c r="AM1434" s="1410"/>
      <c r="AN1434" s="1411"/>
      <c r="AO1434" s="1410"/>
      <c r="AP1434" s="1411"/>
      <c r="AQ1434" s="1128"/>
      <c r="AR1434" s="1173"/>
      <c r="AT1434" s="1173"/>
      <c r="AV1434" s="1173"/>
      <c r="AX1434" s="1173"/>
      <c r="AY1434" s="1176"/>
      <c r="AZ1434" s="1173"/>
    </row>
    <row r="1435" spans="1:52" s="2" customFormat="1" x14ac:dyDescent="0.25">
      <c r="A1435" s="164">
        <v>1329</v>
      </c>
      <c r="B1435" s="634">
        <v>16</v>
      </c>
      <c r="C1435" s="660">
        <v>849217016</v>
      </c>
      <c r="D1435" s="571" t="s">
        <v>1940</v>
      </c>
      <c r="E1435" s="578" t="s">
        <v>1110</v>
      </c>
      <c r="F1435" s="614">
        <v>2017</v>
      </c>
      <c r="G1435" s="360" t="s">
        <v>1483</v>
      </c>
      <c r="H1435" s="265" t="str">
        <f t="shared" si="503"/>
        <v xml:space="preserve">   </v>
      </c>
      <c r="I1435" s="574" t="str">
        <f t="shared" si="504"/>
        <v xml:space="preserve">   </v>
      </c>
      <c r="J1435" s="1366">
        <v>600000</v>
      </c>
      <c r="K1435" s="1360">
        <v>42943</v>
      </c>
      <c r="L1435" s="1430">
        <v>3000000</v>
      </c>
      <c r="M1435" s="1360">
        <v>42943</v>
      </c>
      <c r="N1435" s="1363">
        <v>3000000</v>
      </c>
      <c r="O1435" s="1367">
        <v>43112</v>
      </c>
      <c r="P1435" s="1363">
        <v>3000000</v>
      </c>
      <c r="Q1435" s="1367">
        <v>43294</v>
      </c>
      <c r="R1435" s="1363">
        <v>3000000</v>
      </c>
      <c r="S1435" s="1367">
        <v>43539</v>
      </c>
      <c r="T1435" s="1363">
        <v>3000000</v>
      </c>
      <c r="U1435" s="1367">
        <v>43661</v>
      </c>
      <c r="V1435" s="1363">
        <v>3000000</v>
      </c>
      <c r="W1435" s="1367">
        <v>44078</v>
      </c>
      <c r="X1435" s="1363">
        <v>3000000</v>
      </c>
      <c r="Y1435" s="1367">
        <v>44078</v>
      </c>
      <c r="Z1435" s="1363"/>
      <c r="AA1435" s="1563"/>
      <c r="AB1435" s="1714"/>
      <c r="AC1435" s="1367"/>
      <c r="AD1435" s="1666"/>
      <c r="AE1435" s="1590"/>
      <c r="AF1435" s="1430">
        <v>500000</v>
      </c>
      <c r="AG1435" s="2099">
        <v>42972</v>
      </c>
      <c r="AH1435" s="2100" t="str">
        <f t="shared" si="490"/>
        <v>PBA</v>
      </c>
      <c r="AI1435" s="1678">
        <f t="shared" si="499"/>
        <v>22100000</v>
      </c>
      <c r="AJ1435" s="1679" t="e">
        <f t="shared" si="500"/>
        <v>#VALUE!</v>
      </c>
      <c r="AK1435" s="1419" t="e">
        <f t="shared" si="501"/>
        <v>#VALUE!</v>
      </c>
      <c r="AL1435" s="1420" t="e">
        <f t="shared" si="502"/>
        <v>#VALUE!</v>
      </c>
      <c r="AM1435" s="1410"/>
      <c r="AN1435" s="1411"/>
      <c r="AO1435" s="1410"/>
      <c r="AP1435" s="1411"/>
      <c r="AQ1435" s="1128"/>
      <c r="AR1435" s="1173"/>
      <c r="AT1435" s="1173"/>
      <c r="AV1435" s="1173"/>
      <c r="AX1435" s="1173"/>
      <c r="AY1435" s="1176"/>
      <c r="AZ1435" s="1173"/>
    </row>
    <row r="1436" spans="1:52" s="2" customFormat="1" x14ac:dyDescent="0.25">
      <c r="A1436" s="164">
        <v>1330</v>
      </c>
      <c r="B1436" s="634">
        <v>17</v>
      </c>
      <c r="C1436" s="660">
        <v>849217017</v>
      </c>
      <c r="D1436" s="166" t="s">
        <v>1941</v>
      </c>
      <c r="E1436" s="578" t="s">
        <v>1110</v>
      </c>
      <c r="F1436" s="614">
        <v>2017</v>
      </c>
      <c r="G1436" s="272" t="s">
        <v>33</v>
      </c>
      <c r="H1436" s="163">
        <f t="shared" si="503"/>
        <v>44077</v>
      </c>
      <c r="I1436" s="574" t="str">
        <f t="shared" si="504"/>
        <v xml:space="preserve">   </v>
      </c>
      <c r="J1436" s="1366">
        <v>600000</v>
      </c>
      <c r="K1436" s="1360">
        <v>42943</v>
      </c>
      <c r="L1436" s="1430">
        <v>3000000</v>
      </c>
      <c r="M1436" s="1360">
        <v>42943</v>
      </c>
      <c r="N1436" s="1363">
        <v>3000000</v>
      </c>
      <c r="O1436" s="1367">
        <v>43112</v>
      </c>
      <c r="P1436" s="1363">
        <v>3000000</v>
      </c>
      <c r="Q1436" s="1367">
        <v>43294</v>
      </c>
      <c r="R1436" s="1363">
        <v>3000000</v>
      </c>
      <c r="S1436" s="1367">
        <v>43483</v>
      </c>
      <c r="T1436" s="1363">
        <v>3000000</v>
      </c>
      <c r="U1436" s="1367">
        <v>43643</v>
      </c>
      <c r="V1436" s="1731">
        <v>3000000</v>
      </c>
      <c r="W1436" s="1367">
        <v>43859</v>
      </c>
      <c r="X1436" s="1731">
        <v>0</v>
      </c>
      <c r="Y1436" s="1367"/>
      <c r="Z1436" s="1363" t="str">
        <f>IFERROR(VLOOKUP(C1436,BSP,3,FALSE),"  ")</f>
        <v xml:space="preserve">  </v>
      </c>
      <c r="AA1436" s="1563" t="str">
        <f>IFERROR((VLOOKUP(C1436,BSP,4,FALSE)),"  ")</f>
        <v xml:space="preserve">  </v>
      </c>
      <c r="AB1436" s="1714">
        <v>1000000</v>
      </c>
      <c r="AC1436" s="1367">
        <v>44055.352164351898</v>
      </c>
      <c r="AD1436" s="1666"/>
      <c r="AE1436" s="1590"/>
      <c r="AF1436" s="1430">
        <v>750000</v>
      </c>
      <c r="AG1436" s="2099">
        <v>42972</v>
      </c>
      <c r="AH1436" s="2100" t="str">
        <f t="shared" si="490"/>
        <v>PBA</v>
      </c>
      <c r="AI1436" s="1678">
        <f t="shared" si="499"/>
        <v>20350000</v>
      </c>
      <c r="AJ1436" s="1679" t="e">
        <f t="shared" si="500"/>
        <v>#VALUE!</v>
      </c>
      <c r="AK1436" s="1419" t="e">
        <f t="shared" si="501"/>
        <v>#VALUE!</v>
      </c>
      <c r="AL1436" s="1420" t="e">
        <f t="shared" si="502"/>
        <v>#VALUE!</v>
      </c>
      <c r="AM1436" s="1410"/>
      <c r="AN1436" s="1411"/>
      <c r="AO1436" s="1410"/>
      <c r="AP1436" s="1411"/>
      <c r="AQ1436" s="1128"/>
      <c r="AR1436" s="1173"/>
      <c r="AT1436" s="1173"/>
      <c r="AV1436" s="1173"/>
      <c r="AX1436" s="1173"/>
      <c r="AY1436" s="1176"/>
      <c r="AZ1436" s="1173"/>
    </row>
    <row r="1437" spans="1:52" s="2" customFormat="1" x14ac:dyDescent="0.25">
      <c r="A1437" s="164">
        <v>1331</v>
      </c>
      <c r="B1437" s="634">
        <v>18</v>
      </c>
      <c r="C1437" s="660">
        <v>849217018</v>
      </c>
      <c r="D1437" s="571" t="s">
        <v>1942</v>
      </c>
      <c r="E1437" s="572" t="s">
        <v>1110</v>
      </c>
      <c r="F1437" s="612">
        <v>2017</v>
      </c>
      <c r="G1437" s="360" t="s">
        <v>1483</v>
      </c>
      <c r="H1437" s="265" t="str">
        <f t="shared" si="503"/>
        <v xml:space="preserve">   </v>
      </c>
      <c r="I1437" s="574" t="str">
        <f t="shared" si="504"/>
        <v xml:space="preserve">   </v>
      </c>
      <c r="J1437" s="1366">
        <v>600000</v>
      </c>
      <c r="K1437" s="1360">
        <v>42944</v>
      </c>
      <c r="L1437" s="1430">
        <v>3000000</v>
      </c>
      <c r="M1437" s="1360">
        <v>42944</v>
      </c>
      <c r="N1437" s="1363">
        <v>3000000</v>
      </c>
      <c r="O1437" s="1367">
        <v>43116</v>
      </c>
      <c r="P1437" s="1363">
        <v>3000000</v>
      </c>
      <c r="Q1437" s="1367">
        <v>43292</v>
      </c>
      <c r="R1437" s="1363">
        <v>3000000</v>
      </c>
      <c r="S1437" s="2121">
        <v>43483</v>
      </c>
      <c r="T1437" s="1363">
        <v>3000000</v>
      </c>
      <c r="U1437" s="1367">
        <v>43643</v>
      </c>
      <c r="V1437" s="1731">
        <v>3000000</v>
      </c>
      <c r="W1437" s="1367">
        <v>43899</v>
      </c>
      <c r="X1437" s="1731">
        <v>3000000</v>
      </c>
      <c r="Y1437" s="1367">
        <v>44071.532407407401</v>
      </c>
      <c r="Z1437" s="1363"/>
      <c r="AA1437" s="1563"/>
      <c r="AB1437" s="1714"/>
      <c r="AC1437" s="1367"/>
      <c r="AD1437" s="1666"/>
      <c r="AE1437" s="1590"/>
      <c r="AF1437" s="1430">
        <v>500000</v>
      </c>
      <c r="AG1437" s="2099">
        <v>42972</v>
      </c>
      <c r="AH1437" s="2100" t="str">
        <f t="shared" si="490"/>
        <v>PBA</v>
      </c>
      <c r="AI1437" s="1678">
        <f t="shared" si="499"/>
        <v>22100000</v>
      </c>
      <c r="AJ1437" s="1679" t="e">
        <f t="shared" si="500"/>
        <v>#VALUE!</v>
      </c>
      <c r="AK1437" s="1419" t="e">
        <f t="shared" si="501"/>
        <v>#VALUE!</v>
      </c>
      <c r="AL1437" s="1420" t="e">
        <f t="shared" si="502"/>
        <v>#VALUE!</v>
      </c>
      <c r="AM1437" s="1410"/>
      <c r="AN1437" s="1411"/>
      <c r="AO1437" s="1410"/>
      <c r="AP1437" s="1411"/>
      <c r="AQ1437" s="1128"/>
      <c r="AR1437" s="1173"/>
      <c r="AT1437" s="1173"/>
      <c r="AV1437" s="1173"/>
      <c r="AX1437" s="1173"/>
      <c r="AY1437" s="1176"/>
      <c r="AZ1437" s="1173"/>
    </row>
    <row r="1438" spans="1:52" s="2" customFormat="1" x14ac:dyDescent="0.25">
      <c r="A1438" s="164">
        <v>1332</v>
      </c>
      <c r="B1438" s="635">
        <v>19</v>
      </c>
      <c r="C1438" s="2014">
        <v>849217019</v>
      </c>
      <c r="D1438" s="575" t="s">
        <v>1943</v>
      </c>
      <c r="E1438" s="576" t="s">
        <v>1110</v>
      </c>
      <c r="F1438" s="611">
        <v>2017</v>
      </c>
      <c r="G1438" s="272" t="s">
        <v>33</v>
      </c>
      <c r="H1438" s="163">
        <f t="shared" si="503"/>
        <v>43832</v>
      </c>
      <c r="I1438" s="163">
        <f t="shared" si="504"/>
        <v>44058</v>
      </c>
      <c r="J1438" s="1364">
        <v>600000</v>
      </c>
      <c r="K1438" s="1365">
        <v>42937</v>
      </c>
      <c r="L1438" s="1431">
        <v>3000000</v>
      </c>
      <c r="M1438" s="1365">
        <v>42937</v>
      </c>
      <c r="N1438" s="1358">
        <v>3000000</v>
      </c>
      <c r="O1438" s="1357">
        <v>43110</v>
      </c>
      <c r="P1438" s="1358">
        <v>3000000</v>
      </c>
      <c r="Q1438" s="1357">
        <v>43291</v>
      </c>
      <c r="R1438" s="1358">
        <v>3000000</v>
      </c>
      <c r="S1438" s="1357">
        <v>43481</v>
      </c>
      <c r="T1438" s="1358">
        <v>3000000</v>
      </c>
      <c r="U1438" s="1357">
        <v>43642</v>
      </c>
      <c r="V1438" s="1714" t="s">
        <v>783</v>
      </c>
      <c r="W1438" s="1391" t="s">
        <v>783</v>
      </c>
      <c r="X1438" s="1363"/>
      <c r="Y1438" s="1391"/>
      <c r="Z1438" s="1363" t="str">
        <f>IFERROR(VLOOKUP(C1438,BSP,3,FALSE),"  ")</f>
        <v xml:space="preserve">  </v>
      </c>
      <c r="AA1438" s="1563" t="str">
        <f>IFERROR((VLOOKUP(C1438,BSP,4,FALSE)),"  ")</f>
        <v xml:space="preserve">  </v>
      </c>
      <c r="AB1438" s="1385">
        <v>1000000</v>
      </c>
      <c r="AC1438" s="1357">
        <v>43789</v>
      </c>
      <c r="AD1438" s="1809">
        <v>500000</v>
      </c>
      <c r="AE1438" s="1440">
        <v>43860.482743055603</v>
      </c>
      <c r="AF1438" s="1430">
        <v>500000</v>
      </c>
      <c r="AG1438" s="2099">
        <v>42968</v>
      </c>
      <c r="AH1438" s="2100" t="str">
        <f t="shared" si="490"/>
        <v>PBA</v>
      </c>
      <c r="AI1438" s="1678">
        <f t="shared" si="499"/>
        <v>17600000</v>
      </c>
      <c r="AJ1438" s="1679" t="e">
        <f t="shared" si="500"/>
        <v>#VALUE!</v>
      </c>
      <c r="AK1438" s="1419" t="e">
        <f t="shared" si="501"/>
        <v>#VALUE!</v>
      </c>
      <c r="AL1438" s="1420" t="e">
        <f t="shared" si="502"/>
        <v>#VALUE!</v>
      </c>
      <c r="AM1438" s="1410"/>
      <c r="AN1438" s="1411"/>
      <c r="AO1438" s="1410"/>
      <c r="AP1438" s="1411"/>
      <c r="AQ1438" s="1128"/>
      <c r="AR1438" s="1173"/>
      <c r="AT1438" s="1173"/>
      <c r="AV1438" s="1173"/>
      <c r="AX1438" s="1173"/>
      <c r="AY1438" s="1176"/>
      <c r="AZ1438" s="1173"/>
    </row>
    <row r="1439" spans="1:52" s="2" customFormat="1" x14ac:dyDescent="0.25">
      <c r="A1439" s="180">
        <v>1333</v>
      </c>
      <c r="B1439" s="641">
        <v>20</v>
      </c>
      <c r="C1439" s="2084">
        <v>849217020</v>
      </c>
      <c r="D1439" s="642" t="s">
        <v>1944</v>
      </c>
      <c r="E1439" s="622" t="s">
        <v>1110</v>
      </c>
      <c r="F1439" s="623">
        <v>2017</v>
      </c>
      <c r="G1439" s="624" t="s">
        <v>33</v>
      </c>
      <c r="H1439" s="284">
        <f t="shared" si="503"/>
        <v>43571</v>
      </c>
      <c r="I1439" s="643">
        <f t="shared" si="504"/>
        <v>43750</v>
      </c>
      <c r="J1439" s="1432">
        <v>600000</v>
      </c>
      <c r="K1439" s="1433"/>
      <c r="L1439" s="1587">
        <v>3000000</v>
      </c>
      <c r="M1439" s="1433"/>
      <c r="N1439" s="2086">
        <v>3000000</v>
      </c>
      <c r="O1439" s="2087">
        <v>43110</v>
      </c>
      <c r="P1439" s="1434">
        <v>3000000</v>
      </c>
      <c r="Q1439" s="1435">
        <v>43292</v>
      </c>
      <c r="R1439" s="1434">
        <v>3000000</v>
      </c>
      <c r="S1439" s="1435">
        <v>43483</v>
      </c>
      <c r="T1439" s="2122" t="s">
        <v>1080</v>
      </c>
      <c r="U1439" s="1445"/>
      <c r="V1439" s="1714"/>
      <c r="W1439" s="1391"/>
      <c r="X1439" s="1363" t="str">
        <f>IFERROR(VLOOKUP(C1439,BSP,3,FALSE),"  ")</f>
        <v xml:space="preserve">  </v>
      </c>
      <c r="Y1439" s="1391" t="str">
        <f>IFERROR((VLOOKUP(C1439,BSP,4,FALSE)),"  ")</f>
        <v xml:space="preserve">  </v>
      </c>
      <c r="Z1439" s="1363" t="str">
        <f>IFERROR(VLOOKUP(C1439,BSP,3,FALSE),"  ")</f>
        <v xml:space="preserve">  </v>
      </c>
      <c r="AA1439" s="1563" t="str">
        <f>IFERROR((VLOOKUP(C1439,BSP,4,FALSE)),"  ")</f>
        <v xml:space="preserve">  </v>
      </c>
      <c r="AB1439" s="1484">
        <v>1000000</v>
      </c>
      <c r="AC1439" s="1435">
        <v>43565</v>
      </c>
      <c r="AD1439" s="1666"/>
      <c r="AE1439" s="1590"/>
      <c r="AF1439" s="1448">
        <v>750000</v>
      </c>
      <c r="AG1439" s="2101">
        <v>42972</v>
      </c>
      <c r="AH1439" s="2102" t="str">
        <f t="shared" si="490"/>
        <v>PBA</v>
      </c>
      <c r="AI1439" s="1678">
        <f t="shared" si="499"/>
        <v>14350000</v>
      </c>
      <c r="AJ1439" s="1679" t="e">
        <f t="shared" si="500"/>
        <v>#VALUE!</v>
      </c>
      <c r="AK1439" s="1419" t="e">
        <f t="shared" si="501"/>
        <v>#VALUE!</v>
      </c>
      <c r="AL1439" s="1420" t="e">
        <f t="shared" si="502"/>
        <v>#VALUE!</v>
      </c>
      <c r="AM1439" s="1410"/>
      <c r="AN1439" s="1411"/>
      <c r="AO1439" s="1410"/>
      <c r="AP1439" s="1411"/>
      <c r="AQ1439" s="1128"/>
      <c r="AR1439" s="1173"/>
      <c r="AT1439" s="1173"/>
      <c r="AV1439" s="1173"/>
      <c r="AX1439" s="1173"/>
      <c r="AY1439" s="1176"/>
      <c r="AZ1439" s="1173"/>
    </row>
    <row r="1440" spans="1:52" s="2" customFormat="1" x14ac:dyDescent="0.25">
      <c r="A1440" s="223"/>
      <c r="B1440" s="228"/>
      <c r="C1440" s="2104"/>
      <c r="D1440" s="605"/>
      <c r="E1440" s="135" t="s">
        <v>61</v>
      </c>
      <c r="F1440" s="606" t="s">
        <v>61</v>
      </c>
      <c r="G1440" s="192" t="s">
        <v>61</v>
      </c>
      <c r="H1440" s="223" t="str">
        <f t="shared" si="503"/>
        <v xml:space="preserve">   </v>
      </c>
      <c r="I1440" s="223" t="str">
        <f t="shared" si="504"/>
        <v xml:space="preserve">   </v>
      </c>
      <c r="J1440" s="223"/>
      <c r="K1440" s="223"/>
      <c r="L1440" s="1512"/>
      <c r="M1440" s="223"/>
      <c r="N1440" s="223"/>
      <c r="O1440" s="223"/>
      <c r="P1440" s="1512"/>
      <c r="Q1440" s="1856"/>
      <c r="R1440" s="223"/>
      <c r="S1440" s="2123"/>
      <c r="T1440" s="1128"/>
      <c r="U1440" s="223"/>
      <c r="V1440" s="1128"/>
      <c r="W1440" s="223"/>
      <c r="X1440" s="1128"/>
      <c r="Y1440" s="223"/>
      <c r="Z1440" s="1128"/>
      <c r="AA1440" s="223"/>
      <c r="AB1440" s="223"/>
      <c r="AC1440" s="2126"/>
      <c r="AD1440" s="223"/>
      <c r="AE1440" s="223"/>
      <c r="AF1440" s="223"/>
      <c r="AG1440" s="1155"/>
      <c r="AH1440" s="1408" t="str">
        <f t="shared" si="490"/>
        <v>-</v>
      </c>
      <c r="AI1440" s="1512"/>
      <c r="AJ1440" s="1409"/>
      <c r="AK1440" s="1409"/>
      <c r="AL1440" s="1513"/>
      <c r="AM1440" s="1513"/>
      <c r="AN1440" s="1514"/>
      <c r="AO1440" s="1513"/>
      <c r="AP1440" s="1514"/>
      <c r="AQ1440" s="1128"/>
      <c r="AR1440" s="1173"/>
      <c r="AT1440" s="1173"/>
      <c r="AV1440" s="1173"/>
      <c r="AX1440" s="1173"/>
      <c r="AY1440" s="1176"/>
      <c r="AZ1440" s="1173"/>
    </row>
    <row r="1441" spans="1:52" s="2" customFormat="1" x14ac:dyDescent="0.25">
      <c r="A1441" s="625" t="s">
        <v>1945</v>
      </c>
      <c r="B1441" s="625"/>
      <c r="C1441" s="366"/>
      <c r="D1441" s="625"/>
      <c r="E1441" s="198" t="s">
        <v>1096</v>
      </c>
      <c r="F1441" s="199" t="s">
        <v>1096</v>
      </c>
      <c r="G1441" s="146">
        <v>3000000</v>
      </c>
      <c r="H1441" s="147" t="str">
        <f t="shared" si="503"/>
        <v xml:space="preserve">   </v>
      </c>
      <c r="I1441" s="147" t="str">
        <f t="shared" si="504"/>
        <v xml:space="preserve">   </v>
      </c>
      <c r="J1441" s="1349">
        <v>600000</v>
      </c>
      <c r="K1441" s="1529"/>
      <c r="L1441" s="1582" t="s">
        <v>1049</v>
      </c>
      <c r="M1441" s="1502" t="s">
        <v>1066</v>
      </c>
      <c r="N1441" s="1582" t="s">
        <v>1051</v>
      </c>
      <c r="O1441" s="1502" t="s">
        <v>1068</v>
      </c>
      <c r="P1441" s="1582" t="s">
        <v>1053</v>
      </c>
      <c r="Q1441" s="1502" t="s">
        <v>1141</v>
      </c>
      <c r="R1441" s="1582" t="s">
        <v>1055</v>
      </c>
      <c r="S1441" s="1502" t="s">
        <v>1325</v>
      </c>
      <c r="T1441" s="1582" t="s">
        <v>1057</v>
      </c>
      <c r="U1441" s="1502" t="s">
        <v>1463</v>
      </c>
      <c r="V1441" s="1582" t="s">
        <v>1059</v>
      </c>
      <c r="W1441" s="1502" t="s">
        <v>1464</v>
      </c>
      <c r="X1441" s="1582" t="s">
        <v>1061</v>
      </c>
      <c r="Y1441" s="1502" t="s">
        <v>1466</v>
      </c>
      <c r="Z1441" s="1582" t="s">
        <v>1063</v>
      </c>
      <c r="AA1441" s="1502" t="s">
        <v>1468</v>
      </c>
      <c r="AB1441" s="1450">
        <v>1000000</v>
      </c>
      <c r="AC1441" s="1663" t="s">
        <v>1326</v>
      </c>
      <c r="AD1441" s="1450">
        <v>500000</v>
      </c>
      <c r="AE1441" s="2005" t="s">
        <v>22</v>
      </c>
      <c r="AF1441" s="2059" t="s">
        <v>1753</v>
      </c>
      <c r="AG1441" s="2005" t="s">
        <v>1754</v>
      </c>
      <c r="AH1441" s="2058" t="str">
        <f t="shared" si="490"/>
        <v>#</v>
      </c>
      <c r="AI1441" s="1512"/>
      <c r="AJ1441" s="1409"/>
      <c r="AK1441" s="1409"/>
      <c r="AL1441" s="1513"/>
      <c r="AM1441" s="1513"/>
      <c r="AN1441" s="1514"/>
      <c r="AO1441" s="1513"/>
      <c r="AP1441" s="1514"/>
      <c r="AQ1441" s="1128"/>
      <c r="AR1441" s="1173"/>
      <c r="AT1441" s="1173"/>
      <c r="AV1441" s="1173"/>
      <c r="AX1441" s="1173"/>
      <c r="AY1441" s="1176"/>
      <c r="AZ1441" s="1173"/>
    </row>
    <row r="1442" spans="1:52" s="2" customFormat="1" x14ac:dyDescent="0.25">
      <c r="A1442" s="457">
        <v>1334</v>
      </c>
      <c r="B1442" s="376">
        <v>1</v>
      </c>
      <c r="C1442" s="2106">
        <v>839117001</v>
      </c>
      <c r="D1442" s="2109" t="s">
        <v>1946</v>
      </c>
      <c r="E1442" s="2107" t="s">
        <v>848</v>
      </c>
      <c r="F1442" s="2110">
        <v>2017</v>
      </c>
      <c r="G1442" s="272" t="s">
        <v>33</v>
      </c>
      <c r="H1442" s="628">
        <f t="shared" si="503"/>
        <v>43839</v>
      </c>
      <c r="I1442" s="628">
        <f t="shared" si="504"/>
        <v>44058</v>
      </c>
      <c r="J1442" s="1532">
        <v>600000</v>
      </c>
      <c r="K1442" s="1702">
        <v>42943</v>
      </c>
      <c r="L1442" s="1722">
        <v>3000000</v>
      </c>
      <c r="M1442" s="1702">
        <v>42943</v>
      </c>
      <c r="N1442" s="1441">
        <v>3000000</v>
      </c>
      <c r="O1442" s="1440">
        <v>43116</v>
      </c>
      <c r="P1442" s="1722">
        <v>3000000</v>
      </c>
      <c r="Q1442" s="1702">
        <v>43294</v>
      </c>
      <c r="R1442" s="1441">
        <v>3000000</v>
      </c>
      <c r="S1442" s="1440">
        <v>43483</v>
      </c>
      <c r="T1442" s="1355">
        <v>3000000</v>
      </c>
      <c r="U1442" s="1354">
        <v>43644</v>
      </c>
      <c r="V1442" s="1714"/>
      <c r="W1442" s="1391"/>
      <c r="X1442" s="1941" t="str">
        <f>IFERROR(VLOOKUP(C1442,BSP,3,FALSE),"  ")</f>
        <v xml:space="preserve">  </v>
      </c>
      <c r="Y1442" s="1954" t="str">
        <f>IFERROR((VLOOKUP(C1442,BSP,4,FALSE)),"  ")</f>
        <v xml:space="preserve">  </v>
      </c>
      <c r="Z1442" s="1941" t="str">
        <f>IFERROR(VLOOKUP(C1442,BSP,3,FALSE),"  ")</f>
        <v xml:space="preserve">  </v>
      </c>
      <c r="AA1442" s="1955" t="str">
        <f>IFERROR((VLOOKUP(C1442,BSP,4,FALSE)),"  ")</f>
        <v xml:space="preserve">  </v>
      </c>
      <c r="AB1442" s="1381">
        <v>1000000</v>
      </c>
      <c r="AC1442" s="1354">
        <v>43817</v>
      </c>
      <c r="AD1442" s="1809">
        <v>500000</v>
      </c>
      <c r="AE1442" s="1440">
        <v>43868</v>
      </c>
      <c r="AF1442" s="1551">
        <v>750000</v>
      </c>
      <c r="AG1442" s="2067">
        <v>42972</v>
      </c>
      <c r="AH1442" s="2068" t="str">
        <f t="shared" si="490"/>
        <v>HK</v>
      </c>
      <c r="AI1442" s="1678">
        <f t="shared" ref="AI1442:AI1455" si="505">SUM(J1442,L1442,N1442,P1442,R1442,T1442,V1442,X1442,Z1442,AB1442,AD1442,AF1442)</f>
        <v>17850000</v>
      </c>
      <c r="AJ1442" s="1679" t="e">
        <f t="shared" ref="AJ1442:AJ1455" si="506">(COUNT(L1442,N1442,P1442,R1442,T1442,V1442,X1442,Z1442)*$G$1256)+(COUNT(J1442)*$J$1256)+(COUNT(AB1442)*$AB$1256)+(COUNT(AD1442)*$AD$1256)+(COUNT(AF1442)*AH1442)</f>
        <v>#VALUE!</v>
      </c>
      <c r="AK1442" s="1419" t="e">
        <f t="shared" ref="AK1442:AK1455" si="507">AJ1442-AI1442</f>
        <v>#VALUE!</v>
      </c>
      <c r="AL1442" s="1420" t="e">
        <f t="shared" ref="AL1442:AL1455" si="508">IF(AK1442=0,"Lunas","Cek")</f>
        <v>#VALUE!</v>
      </c>
      <c r="AM1442" s="1410"/>
      <c r="AN1442" s="1411"/>
      <c r="AO1442" s="1410"/>
      <c r="AP1442" s="1411"/>
      <c r="AQ1442" s="1128"/>
      <c r="AR1442" s="1173"/>
      <c r="AT1442" s="1173"/>
      <c r="AV1442" s="1173"/>
      <c r="AX1442" s="1173"/>
      <c r="AY1442" s="1176"/>
      <c r="AZ1442" s="1173"/>
    </row>
    <row r="1443" spans="1:52" s="2" customFormat="1" x14ac:dyDescent="0.25">
      <c r="A1443" s="156">
        <v>1335</v>
      </c>
      <c r="B1443" s="176">
        <v>2</v>
      </c>
      <c r="C1443" s="2014">
        <v>839117002</v>
      </c>
      <c r="D1443" s="575" t="s">
        <v>1947</v>
      </c>
      <c r="E1443" s="576" t="s">
        <v>848</v>
      </c>
      <c r="F1443" s="577">
        <v>2017</v>
      </c>
      <c r="G1443" s="272" t="s">
        <v>33</v>
      </c>
      <c r="H1443" s="628">
        <f t="shared" si="503"/>
        <v>43670</v>
      </c>
      <c r="I1443" s="628">
        <f t="shared" si="504"/>
        <v>43750</v>
      </c>
      <c r="J1443" s="1364">
        <v>600000</v>
      </c>
      <c r="K1443" s="1365">
        <v>42942</v>
      </c>
      <c r="L1443" s="1431">
        <v>3000000</v>
      </c>
      <c r="M1443" s="1365">
        <v>42942</v>
      </c>
      <c r="N1443" s="1358">
        <v>3000000</v>
      </c>
      <c r="O1443" s="1357">
        <v>43111</v>
      </c>
      <c r="P1443" s="1431">
        <v>3000000</v>
      </c>
      <c r="Q1443" s="1365">
        <v>43294</v>
      </c>
      <c r="R1443" s="1358">
        <v>3000000</v>
      </c>
      <c r="S1443" s="1357">
        <v>43482</v>
      </c>
      <c r="T1443" s="1714"/>
      <c r="U1443" s="1391"/>
      <c r="V1443" s="1363"/>
      <c r="W1443" s="1391"/>
      <c r="X1443" s="1363" t="str">
        <f>IFERROR(VLOOKUP(C1443,BSP,3,FALSE),"  ")</f>
        <v xml:space="preserve">  </v>
      </c>
      <c r="Y1443" s="1391" t="str">
        <f>IFERROR((VLOOKUP(C1443,BSP,4,FALSE)),"  ")</f>
        <v xml:space="preserve">  </v>
      </c>
      <c r="Z1443" s="1363" t="str">
        <f>IFERROR(VLOOKUP(C1443,BSP,3,FALSE),"  ")</f>
        <v xml:space="preserve">  </v>
      </c>
      <c r="AA1443" s="1563" t="str">
        <f>IFERROR((VLOOKUP(C1443,BSP,4,FALSE)),"  ")</f>
        <v xml:space="preserve">  </v>
      </c>
      <c r="AB1443" s="1385">
        <v>1000000</v>
      </c>
      <c r="AC1443" s="1357">
        <v>43630</v>
      </c>
      <c r="AD1443" s="1666"/>
      <c r="AE1443" s="1590"/>
      <c r="AF1443" s="1430">
        <v>750000</v>
      </c>
      <c r="AG1443" s="2099">
        <v>42971</v>
      </c>
      <c r="AH1443" s="2100" t="str">
        <f t="shared" ref="AH1443:AH1506" si="509">E1443</f>
        <v>HK</v>
      </c>
      <c r="AI1443" s="1678">
        <f t="shared" si="505"/>
        <v>14350000</v>
      </c>
      <c r="AJ1443" s="1679" t="e">
        <f t="shared" si="506"/>
        <v>#VALUE!</v>
      </c>
      <c r="AK1443" s="1419" t="e">
        <f t="shared" si="507"/>
        <v>#VALUE!</v>
      </c>
      <c r="AL1443" s="1420" t="e">
        <f t="shared" si="508"/>
        <v>#VALUE!</v>
      </c>
      <c r="AM1443" s="1410"/>
      <c r="AN1443" s="1411"/>
      <c r="AO1443" s="1410"/>
      <c r="AP1443" s="1411"/>
      <c r="AQ1443" s="1128"/>
      <c r="AR1443" s="1173"/>
      <c r="AT1443" s="1173"/>
      <c r="AV1443" s="1173"/>
      <c r="AX1443" s="1173"/>
      <c r="AY1443" s="1176"/>
      <c r="AZ1443" s="1173"/>
    </row>
    <row r="1444" spans="1:52" s="2" customFormat="1" x14ac:dyDescent="0.25">
      <c r="A1444" s="164">
        <v>1336</v>
      </c>
      <c r="B1444" s="165">
        <v>3</v>
      </c>
      <c r="C1444" s="660">
        <v>839117003</v>
      </c>
      <c r="D1444" s="571" t="s">
        <v>1948</v>
      </c>
      <c r="E1444" s="572" t="s">
        <v>848</v>
      </c>
      <c r="F1444" s="573">
        <v>2017</v>
      </c>
      <c r="G1444" s="1758" t="s">
        <v>28</v>
      </c>
      <c r="H1444" s="574" t="str">
        <f t="shared" si="503"/>
        <v xml:space="preserve">   </v>
      </c>
      <c r="I1444" s="574" t="str">
        <f t="shared" si="504"/>
        <v xml:space="preserve">   </v>
      </c>
      <c r="J1444" s="1366">
        <v>600000</v>
      </c>
      <c r="K1444" s="1360">
        <v>42937</v>
      </c>
      <c r="L1444" s="1430">
        <v>3000000</v>
      </c>
      <c r="M1444" s="1360">
        <v>42937</v>
      </c>
      <c r="N1444" s="1363">
        <v>3000000</v>
      </c>
      <c r="O1444" s="1367">
        <v>43111</v>
      </c>
      <c r="P1444" s="1430">
        <v>3000000</v>
      </c>
      <c r="Q1444" s="1360">
        <v>43291</v>
      </c>
      <c r="R1444" s="1430">
        <v>3000000</v>
      </c>
      <c r="S1444" s="1367">
        <v>43907</v>
      </c>
      <c r="T1444" s="1430">
        <v>3000000</v>
      </c>
      <c r="U1444" s="1367">
        <v>43907</v>
      </c>
      <c r="V1444" s="1430">
        <v>3000000</v>
      </c>
      <c r="W1444" s="1367">
        <v>43907</v>
      </c>
      <c r="X1444" s="1731">
        <v>0</v>
      </c>
      <c r="Y1444" s="1367"/>
      <c r="Z1444" s="1363" t="str">
        <f>IFERROR(VLOOKUP(C1444,BSP,3,FALSE),"  ")</f>
        <v xml:space="preserve">  </v>
      </c>
      <c r="AA1444" s="1563" t="str">
        <f>IFERROR((VLOOKUP(C1444,BSP,4,FALSE)),"  ")</f>
        <v xml:space="preserve">  </v>
      </c>
      <c r="AB1444" s="1714"/>
      <c r="AC1444" s="1367"/>
      <c r="AD1444" s="1666"/>
      <c r="AE1444" s="1590"/>
      <c r="AF1444" s="1430">
        <v>500000</v>
      </c>
      <c r="AG1444" s="2099">
        <v>42971</v>
      </c>
      <c r="AH1444" s="2100" t="str">
        <f t="shared" si="509"/>
        <v>HK</v>
      </c>
      <c r="AI1444" s="1678">
        <f t="shared" si="505"/>
        <v>19100000</v>
      </c>
      <c r="AJ1444" s="1679" t="e">
        <f t="shared" si="506"/>
        <v>#VALUE!</v>
      </c>
      <c r="AK1444" s="1419" t="e">
        <f t="shared" si="507"/>
        <v>#VALUE!</v>
      </c>
      <c r="AL1444" s="1420" t="e">
        <f t="shared" si="508"/>
        <v>#VALUE!</v>
      </c>
      <c r="AM1444" s="1410"/>
      <c r="AN1444" s="1411"/>
      <c r="AO1444" s="1410"/>
      <c r="AP1444" s="1411"/>
      <c r="AQ1444" s="1128"/>
      <c r="AR1444" s="1173"/>
      <c r="AT1444" s="1173"/>
      <c r="AV1444" s="1173"/>
      <c r="AX1444" s="1173"/>
      <c r="AY1444" s="1176"/>
      <c r="AZ1444" s="1173"/>
    </row>
    <row r="1445" spans="1:52" s="2" customFormat="1" x14ac:dyDescent="0.25">
      <c r="A1445" s="156">
        <v>1337</v>
      </c>
      <c r="B1445" s="176">
        <v>4</v>
      </c>
      <c r="C1445" s="2014">
        <v>839117004</v>
      </c>
      <c r="D1445" s="575" t="s">
        <v>1949</v>
      </c>
      <c r="E1445" s="576" t="s">
        <v>848</v>
      </c>
      <c r="F1445" s="577">
        <v>2017</v>
      </c>
      <c r="G1445" s="272" t="s">
        <v>33</v>
      </c>
      <c r="H1445" s="163">
        <f t="shared" si="503"/>
        <v>43837</v>
      </c>
      <c r="I1445" s="163">
        <f t="shared" si="504"/>
        <v>44058</v>
      </c>
      <c r="J1445" s="1364">
        <v>600000</v>
      </c>
      <c r="K1445" s="1365">
        <v>42940</v>
      </c>
      <c r="L1445" s="1431">
        <v>3000000</v>
      </c>
      <c r="M1445" s="1365">
        <v>42940</v>
      </c>
      <c r="N1445" s="1358">
        <v>3000000</v>
      </c>
      <c r="O1445" s="1357">
        <v>43110</v>
      </c>
      <c r="P1445" s="1431">
        <v>3000000</v>
      </c>
      <c r="Q1445" s="1365">
        <v>43294</v>
      </c>
      <c r="R1445" s="1358">
        <v>3000000</v>
      </c>
      <c r="S1445" s="1357">
        <v>43482</v>
      </c>
      <c r="T1445" s="1358">
        <v>3000000</v>
      </c>
      <c r="U1445" s="1357">
        <v>43640</v>
      </c>
      <c r="V1445" s="1714"/>
      <c r="W1445" s="1391"/>
      <c r="X1445" s="1363"/>
      <c r="Y1445" s="1391"/>
      <c r="Z1445" s="1363" t="str">
        <f>IFERROR(VLOOKUP(C1445,BSP,3,FALSE),"  ")</f>
        <v xml:space="preserve">  </v>
      </c>
      <c r="AA1445" s="1563" t="str">
        <f>IFERROR((VLOOKUP(C1445,BSP,4,FALSE)),"  ")</f>
        <v xml:space="preserve">  </v>
      </c>
      <c r="AB1445" s="1385">
        <v>1000000</v>
      </c>
      <c r="AC1445" s="1357">
        <v>43818</v>
      </c>
      <c r="AD1445" s="1809">
        <v>500000</v>
      </c>
      <c r="AE1445" s="1440">
        <v>43859.565300925897</v>
      </c>
      <c r="AF1445" s="1430">
        <v>750000</v>
      </c>
      <c r="AG1445" s="2099">
        <v>42969</v>
      </c>
      <c r="AH1445" s="2100" t="str">
        <f t="shared" si="509"/>
        <v>HK</v>
      </c>
      <c r="AI1445" s="1678">
        <f t="shared" si="505"/>
        <v>17850000</v>
      </c>
      <c r="AJ1445" s="1679" t="e">
        <f t="shared" si="506"/>
        <v>#VALUE!</v>
      </c>
      <c r="AK1445" s="1419" t="e">
        <f t="shared" si="507"/>
        <v>#VALUE!</v>
      </c>
      <c r="AL1445" s="1420" t="e">
        <f t="shared" si="508"/>
        <v>#VALUE!</v>
      </c>
      <c r="AM1445" s="1410"/>
      <c r="AN1445" s="1411"/>
      <c r="AO1445" s="1410"/>
      <c r="AP1445" s="1411"/>
      <c r="AQ1445" s="1128"/>
      <c r="AR1445" s="1173"/>
      <c r="AT1445" s="1173"/>
      <c r="AV1445" s="1173"/>
      <c r="AX1445" s="1173"/>
      <c r="AY1445" s="1176"/>
      <c r="AZ1445" s="1173"/>
    </row>
    <row r="1446" spans="1:52" s="2" customFormat="1" x14ac:dyDescent="0.25">
      <c r="A1446" s="156">
        <v>1338</v>
      </c>
      <c r="B1446" s="176">
        <v>5</v>
      </c>
      <c r="C1446" s="2014">
        <v>839117005</v>
      </c>
      <c r="D1446" s="575" t="s">
        <v>1950</v>
      </c>
      <c r="E1446" s="576" t="s">
        <v>848</v>
      </c>
      <c r="F1446" s="577">
        <v>2017</v>
      </c>
      <c r="G1446" s="272" t="s">
        <v>33</v>
      </c>
      <c r="H1446" s="628">
        <f t="shared" si="503"/>
        <v>43692</v>
      </c>
      <c r="I1446" s="628">
        <f t="shared" si="504"/>
        <v>43750</v>
      </c>
      <c r="J1446" s="1364">
        <v>600000</v>
      </c>
      <c r="K1446" s="1365">
        <v>42944</v>
      </c>
      <c r="L1446" s="1431">
        <v>3000000</v>
      </c>
      <c r="M1446" s="1365">
        <v>42944</v>
      </c>
      <c r="N1446" s="1358">
        <v>3000000</v>
      </c>
      <c r="O1446" s="1357">
        <v>43116</v>
      </c>
      <c r="P1446" s="1431">
        <v>3000000</v>
      </c>
      <c r="Q1446" s="1365">
        <v>43294</v>
      </c>
      <c r="R1446" s="1358">
        <v>3000000</v>
      </c>
      <c r="S1446" s="1357">
        <v>43483</v>
      </c>
      <c r="T1446" s="1358">
        <v>3000000</v>
      </c>
      <c r="U1446" s="1357">
        <v>43649</v>
      </c>
      <c r="V1446" s="1714"/>
      <c r="W1446" s="1391"/>
      <c r="X1446" s="1363"/>
      <c r="Y1446" s="1391"/>
      <c r="Z1446" s="1363" t="str">
        <f>IFERROR(VLOOKUP(C1446,BSP,3,FALSE),"  ")</f>
        <v xml:space="preserve">  </v>
      </c>
      <c r="AA1446" s="1563" t="str">
        <f>IFERROR((VLOOKUP(C1446,BSP,4,FALSE)),"  ")</f>
        <v xml:space="preserve">  </v>
      </c>
      <c r="AB1446" s="1385">
        <v>1000000</v>
      </c>
      <c r="AC1446" s="1357">
        <v>43682</v>
      </c>
      <c r="AD1446" s="1666" t="s">
        <v>69</v>
      </c>
      <c r="AE1446" s="1590" t="s">
        <v>69</v>
      </c>
      <c r="AF1446" s="1430">
        <v>750000</v>
      </c>
      <c r="AG1446" s="2099">
        <v>42972</v>
      </c>
      <c r="AH1446" s="2100" t="str">
        <f t="shared" si="509"/>
        <v>HK</v>
      </c>
      <c r="AI1446" s="1678">
        <f t="shared" si="505"/>
        <v>17350000</v>
      </c>
      <c r="AJ1446" s="1679" t="e">
        <f t="shared" si="506"/>
        <v>#VALUE!</v>
      </c>
      <c r="AK1446" s="1419" t="e">
        <f t="shared" si="507"/>
        <v>#VALUE!</v>
      </c>
      <c r="AL1446" s="1420" t="e">
        <f t="shared" si="508"/>
        <v>#VALUE!</v>
      </c>
      <c r="AM1446" s="1410"/>
      <c r="AN1446" s="1411"/>
      <c r="AO1446" s="1410"/>
      <c r="AP1446" s="1411"/>
      <c r="AQ1446" s="1128"/>
      <c r="AR1446" s="1173"/>
      <c r="AT1446" s="1173"/>
      <c r="AV1446" s="1173"/>
      <c r="AX1446" s="1173"/>
      <c r="AY1446" s="1176"/>
      <c r="AZ1446" s="1173"/>
    </row>
    <row r="1447" spans="1:52" s="2" customFormat="1" x14ac:dyDescent="0.25">
      <c r="A1447" s="164">
        <v>1339</v>
      </c>
      <c r="B1447" s="165">
        <v>6</v>
      </c>
      <c r="C1447" s="660">
        <v>839117006</v>
      </c>
      <c r="D1447" s="571" t="s">
        <v>1951</v>
      </c>
      <c r="E1447" s="578" t="s">
        <v>848</v>
      </c>
      <c r="F1447" s="579">
        <v>2017</v>
      </c>
      <c r="G1447" s="360" t="s">
        <v>1483</v>
      </c>
      <c r="H1447" s="580" t="str">
        <f t="shared" si="503"/>
        <v xml:space="preserve">   </v>
      </c>
      <c r="I1447" s="580" t="str">
        <f t="shared" si="504"/>
        <v xml:space="preserve">   </v>
      </c>
      <c r="J1447" s="1430">
        <v>600000</v>
      </c>
      <c r="K1447" s="1360"/>
      <c r="L1447" s="1430">
        <v>3000000</v>
      </c>
      <c r="M1447" s="1360">
        <v>42944</v>
      </c>
      <c r="N1447" s="1363">
        <v>3000000</v>
      </c>
      <c r="O1447" s="1367">
        <v>43115</v>
      </c>
      <c r="P1447" s="1430">
        <v>3000000</v>
      </c>
      <c r="Q1447" s="1360">
        <v>43292</v>
      </c>
      <c r="R1447" s="1363">
        <v>3000000</v>
      </c>
      <c r="S1447" s="1367">
        <v>43482</v>
      </c>
      <c r="T1447" s="1363">
        <v>3000000</v>
      </c>
      <c r="U1447" s="1367">
        <v>43642</v>
      </c>
      <c r="V1447" s="1731">
        <v>3000000</v>
      </c>
      <c r="W1447" s="1367">
        <v>43860.483506944402</v>
      </c>
      <c r="X1447" s="1363">
        <v>3000000</v>
      </c>
      <c r="Y1447" s="1367">
        <v>44078</v>
      </c>
      <c r="Z1447" s="1363"/>
      <c r="AA1447" s="1563"/>
      <c r="AB1447" s="1714">
        <v>1000000</v>
      </c>
      <c r="AC1447" s="1367">
        <v>43860.483506944402</v>
      </c>
      <c r="AD1447" s="1666"/>
      <c r="AE1447" s="1590"/>
      <c r="AF1447" s="1430">
        <v>500000</v>
      </c>
      <c r="AG1447" s="2099"/>
      <c r="AH1447" s="2100" t="str">
        <f t="shared" si="509"/>
        <v>HK</v>
      </c>
      <c r="AI1447" s="1678">
        <f t="shared" si="505"/>
        <v>23100000</v>
      </c>
      <c r="AJ1447" s="1679" t="e">
        <f t="shared" si="506"/>
        <v>#VALUE!</v>
      </c>
      <c r="AK1447" s="1419" t="e">
        <f t="shared" si="507"/>
        <v>#VALUE!</v>
      </c>
      <c r="AL1447" s="1420" t="e">
        <f t="shared" si="508"/>
        <v>#VALUE!</v>
      </c>
      <c r="AM1447" s="1410"/>
      <c r="AN1447" s="1411"/>
      <c r="AO1447" s="1410"/>
      <c r="AP1447" s="1411"/>
      <c r="AQ1447" s="1128"/>
      <c r="AR1447" s="1173"/>
      <c r="AT1447" s="1173"/>
      <c r="AV1447" s="1173"/>
      <c r="AX1447" s="1173"/>
      <c r="AY1447" s="1176"/>
      <c r="AZ1447" s="1173"/>
    </row>
    <row r="1448" spans="1:52" s="2" customFormat="1" x14ac:dyDescent="0.25">
      <c r="A1448" s="164">
        <v>1340</v>
      </c>
      <c r="B1448" s="165">
        <v>7</v>
      </c>
      <c r="C1448" s="660">
        <v>839117007</v>
      </c>
      <c r="D1448" s="571" t="s">
        <v>1952</v>
      </c>
      <c r="E1448" s="578" t="s">
        <v>848</v>
      </c>
      <c r="F1448" s="579">
        <v>2017</v>
      </c>
      <c r="G1448" s="1758" t="s">
        <v>28</v>
      </c>
      <c r="H1448" s="580" t="str">
        <f t="shared" si="503"/>
        <v xml:space="preserve">   </v>
      </c>
      <c r="I1448" s="580" t="str">
        <f t="shared" si="504"/>
        <v xml:space="preserve">   </v>
      </c>
      <c r="J1448" s="1366">
        <v>600000</v>
      </c>
      <c r="K1448" s="1360">
        <v>42922</v>
      </c>
      <c r="L1448" s="1430">
        <v>3000000</v>
      </c>
      <c r="M1448" s="1360">
        <v>39289</v>
      </c>
      <c r="N1448" s="1363">
        <v>3000000</v>
      </c>
      <c r="O1448" s="1367">
        <v>43112</v>
      </c>
      <c r="P1448" s="1430">
        <v>3000000</v>
      </c>
      <c r="Q1448" s="1360">
        <v>43292</v>
      </c>
      <c r="R1448" s="1363">
        <v>3000000</v>
      </c>
      <c r="S1448" s="1367">
        <v>43493</v>
      </c>
      <c r="T1448" s="1363">
        <v>0</v>
      </c>
      <c r="U1448" s="1367"/>
      <c r="V1448" s="1731">
        <v>0</v>
      </c>
      <c r="W1448" s="1367"/>
      <c r="X1448" s="1731">
        <v>0</v>
      </c>
      <c r="Y1448" s="1367" t="s">
        <v>1953</v>
      </c>
      <c r="Z1448" s="1363" t="str">
        <f>IFERROR(VLOOKUP(C1448,BSP,3,FALSE),"  ")</f>
        <v xml:space="preserve">  </v>
      </c>
      <c r="AA1448" s="1563" t="str">
        <f>IFERROR((VLOOKUP(C1448,BSP,4,FALSE)),"  ")</f>
        <v xml:space="preserve">  </v>
      </c>
      <c r="AB1448" s="1714"/>
      <c r="AC1448" s="1367"/>
      <c r="AD1448" s="1666" t="s">
        <v>69</v>
      </c>
      <c r="AE1448" s="1590" t="s">
        <v>69</v>
      </c>
      <c r="AF1448" s="1430">
        <v>750000</v>
      </c>
      <c r="AG1448" s="2099">
        <v>42972</v>
      </c>
      <c r="AH1448" s="2100" t="str">
        <f t="shared" si="509"/>
        <v>HK</v>
      </c>
      <c r="AI1448" s="1678">
        <f t="shared" si="505"/>
        <v>13350000</v>
      </c>
      <c r="AJ1448" s="1679" t="e">
        <f t="shared" si="506"/>
        <v>#VALUE!</v>
      </c>
      <c r="AK1448" s="1419" t="e">
        <f t="shared" si="507"/>
        <v>#VALUE!</v>
      </c>
      <c r="AL1448" s="1420" t="e">
        <f t="shared" si="508"/>
        <v>#VALUE!</v>
      </c>
      <c r="AM1448" s="1410"/>
      <c r="AN1448" s="1411"/>
      <c r="AO1448" s="1410"/>
      <c r="AP1448" s="1411"/>
      <c r="AQ1448" s="1128"/>
      <c r="AR1448" s="1173"/>
      <c r="AT1448" s="1173"/>
      <c r="AV1448" s="1173"/>
      <c r="AX1448" s="1173"/>
      <c r="AY1448" s="1176"/>
      <c r="AZ1448" s="1173"/>
    </row>
    <row r="1449" spans="1:52" s="2" customFormat="1" x14ac:dyDescent="0.25">
      <c r="A1449" s="164">
        <v>1341</v>
      </c>
      <c r="B1449" s="165">
        <v>8</v>
      </c>
      <c r="C1449" s="660">
        <v>839117008</v>
      </c>
      <c r="D1449" s="166" t="s">
        <v>1954</v>
      </c>
      <c r="E1449" s="578" t="s">
        <v>848</v>
      </c>
      <c r="F1449" s="579">
        <v>2018</v>
      </c>
      <c r="G1449" s="360" t="s">
        <v>1483</v>
      </c>
      <c r="H1449" s="580" t="str">
        <f t="shared" si="503"/>
        <v xml:space="preserve">   </v>
      </c>
      <c r="I1449" s="580" t="str">
        <f t="shared" si="504"/>
        <v xml:space="preserve">   </v>
      </c>
      <c r="J1449" s="1366">
        <v>600000</v>
      </c>
      <c r="K1449" s="1360">
        <v>42943</v>
      </c>
      <c r="L1449" s="1430">
        <v>3000000</v>
      </c>
      <c r="M1449" s="1360">
        <v>42943</v>
      </c>
      <c r="N1449" s="1363">
        <v>3000000</v>
      </c>
      <c r="O1449" s="1367">
        <v>43112</v>
      </c>
      <c r="P1449" s="1430">
        <v>3000000</v>
      </c>
      <c r="Q1449" s="1360">
        <v>43332</v>
      </c>
      <c r="R1449" s="1363">
        <v>3000000</v>
      </c>
      <c r="S1449" s="1367">
        <v>43493</v>
      </c>
      <c r="T1449" s="1363">
        <v>3000000</v>
      </c>
      <c r="U1449" s="1367">
        <v>43871</v>
      </c>
      <c r="V1449" s="1363">
        <v>3000000</v>
      </c>
      <c r="W1449" s="1367">
        <v>43871</v>
      </c>
      <c r="X1449" s="1731">
        <v>3000000</v>
      </c>
      <c r="Y1449" s="1367">
        <v>44071.403148148202</v>
      </c>
      <c r="Z1449" s="1363"/>
      <c r="AA1449" s="1563"/>
      <c r="AB1449" s="1714"/>
      <c r="AC1449" s="1367"/>
      <c r="AD1449" s="1666" t="s">
        <v>69</v>
      </c>
      <c r="AE1449" s="1590" t="s">
        <v>69</v>
      </c>
      <c r="AF1449" s="2061">
        <v>500000</v>
      </c>
      <c r="AG1449" s="2099"/>
      <c r="AH1449" s="2100" t="str">
        <f t="shared" si="509"/>
        <v>HK</v>
      </c>
      <c r="AI1449" s="1678">
        <f t="shared" si="505"/>
        <v>22100000</v>
      </c>
      <c r="AJ1449" s="1679" t="e">
        <f t="shared" si="506"/>
        <v>#VALUE!</v>
      </c>
      <c r="AK1449" s="1419" t="e">
        <f t="shared" si="507"/>
        <v>#VALUE!</v>
      </c>
      <c r="AL1449" s="1420" t="e">
        <f t="shared" si="508"/>
        <v>#VALUE!</v>
      </c>
      <c r="AM1449" s="1410"/>
      <c r="AN1449" s="1411"/>
      <c r="AO1449" s="1410"/>
      <c r="AP1449" s="1411"/>
      <c r="AQ1449" s="1128"/>
      <c r="AR1449" s="1173"/>
      <c r="AT1449" s="1173"/>
      <c r="AV1449" s="1173"/>
      <c r="AX1449" s="1173"/>
      <c r="AY1449" s="1176"/>
      <c r="AZ1449" s="1173"/>
    </row>
    <row r="1450" spans="1:52" s="2" customFormat="1" x14ac:dyDescent="0.25">
      <c r="A1450" s="164">
        <v>1342</v>
      </c>
      <c r="B1450" s="176">
        <v>9</v>
      </c>
      <c r="C1450" s="2014">
        <v>839117009</v>
      </c>
      <c r="D1450" s="177" t="s">
        <v>1955</v>
      </c>
      <c r="E1450" s="593" t="s">
        <v>848</v>
      </c>
      <c r="F1450" s="594">
        <v>2017</v>
      </c>
      <c r="G1450" s="272" t="s">
        <v>33</v>
      </c>
      <c r="H1450" s="163">
        <f t="shared" si="503"/>
        <v>43836</v>
      </c>
      <c r="I1450" s="163">
        <f t="shared" si="504"/>
        <v>44058</v>
      </c>
      <c r="J1450" s="1431">
        <v>600000</v>
      </c>
      <c r="K1450" s="1365">
        <v>42942</v>
      </c>
      <c r="L1450" s="1431">
        <v>3000000</v>
      </c>
      <c r="M1450" s="1365">
        <v>42942</v>
      </c>
      <c r="N1450" s="1358">
        <v>3000000</v>
      </c>
      <c r="O1450" s="1357">
        <v>43115</v>
      </c>
      <c r="P1450" s="1431">
        <v>3000000</v>
      </c>
      <c r="Q1450" s="1365">
        <v>43294</v>
      </c>
      <c r="R1450" s="1358">
        <v>3000000</v>
      </c>
      <c r="S1450" s="1357">
        <v>43481</v>
      </c>
      <c r="T1450" s="1358">
        <v>3000000</v>
      </c>
      <c r="U1450" s="1357">
        <v>43644</v>
      </c>
      <c r="V1450" s="1714"/>
      <c r="W1450" s="1391"/>
      <c r="X1450" s="1363"/>
      <c r="Y1450" s="1391"/>
      <c r="Z1450" s="1363" t="str">
        <f>IFERROR(VLOOKUP(C1450,BSP,3,FALSE),"  ")</f>
        <v xml:space="preserve">  </v>
      </c>
      <c r="AA1450" s="1563" t="str">
        <f>IFERROR((VLOOKUP(C1450,BSP,4,FALSE)),"  ")</f>
        <v xml:space="preserve">  </v>
      </c>
      <c r="AB1450" s="1714">
        <v>1000000</v>
      </c>
      <c r="AC1450" s="1367">
        <v>43671</v>
      </c>
      <c r="AD1450" s="1666">
        <v>500000</v>
      </c>
      <c r="AE1450" s="1590">
        <v>43860.4364236111</v>
      </c>
      <c r="AF1450" s="1430">
        <v>750000</v>
      </c>
      <c r="AG1450" s="2099">
        <v>42970</v>
      </c>
      <c r="AH1450" s="2100" t="str">
        <f t="shared" si="509"/>
        <v>HK</v>
      </c>
      <c r="AI1450" s="1678">
        <f t="shared" si="505"/>
        <v>17850000</v>
      </c>
      <c r="AJ1450" s="1679" t="e">
        <f t="shared" si="506"/>
        <v>#VALUE!</v>
      </c>
      <c r="AK1450" s="1419" t="e">
        <f t="shared" si="507"/>
        <v>#VALUE!</v>
      </c>
      <c r="AL1450" s="1420" t="e">
        <f t="shared" si="508"/>
        <v>#VALUE!</v>
      </c>
      <c r="AM1450" s="1410"/>
      <c r="AN1450" s="1411"/>
      <c r="AO1450" s="1410"/>
      <c r="AP1450" s="1411"/>
      <c r="AQ1450" s="1128"/>
      <c r="AR1450" s="1173"/>
      <c r="AT1450" s="1173"/>
      <c r="AV1450" s="1173"/>
      <c r="AX1450" s="1173"/>
      <c r="AY1450" s="1176"/>
      <c r="AZ1450" s="1173"/>
    </row>
    <row r="1451" spans="1:52" s="2" customFormat="1" x14ac:dyDescent="0.25">
      <c r="A1451" s="164">
        <v>1343</v>
      </c>
      <c r="B1451" s="165">
        <v>10</v>
      </c>
      <c r="C1451" s="660">
        <v>839117010</v>
      </c>
      <c r="D1451" s="571" t="s">
        <v>1956</v>
      </c>
      <c r="E1451" s="585" t="s">
        <v>848</v>
      </c>
      <c r="F1451" s="579">
        <v>2017</v>
      </c>
      <c r="G1451" s="1758" t="s">
        <v>28</v>
      </c>
      <c r="H1451" s="580" t="str">
        <f t="shared" si="503"/>
        <v xml:space="preserve">   </v>
      </c>
      <c r="I1451" s="580" t="str">
        <f t="shared" si="504"/>
        <v xml:space="preserve">   </v>
      </c>
      <c r="J1451" s="1430">
        <v>600000</v>
      </c>
      <c r="K1451" s="1360">
        <v>42951</v>
      </c>
      <c r="L1451" s="1430">
        <v>3000000</v>
      </c>
      <c r="M1451" s="1360">
        <v>42951</v>
      </c>
      <c r="N1451" s="1363">
        <v>0</v>
      </c>
      <c r="O1451" s="1367"/>
      <c r="P1451" s="1430">
        <v>0</v>
      </c>
      <c r="Q1451" s="1360"/>
      <c r="R1451" s="1363">
        <v>0</v>
      </c>
      <c r="S1451" s="1367"/>
      <c r="T1451" s="1363">
        <v>0</v>
      </c>
      <c r="U1451" s="1367"/>
      <c r="V1451" s="1731">
        <v>0</v>
      </c>
      <c r="W1451" s="1367"/>
      <c r="X1451" s="1731">
        <v>0</v>
      </c>
      <c r="Y1451" s="1367"/>
      <c r="Z1451" s="1363" t="str">
        <f>IFERROR(VLOOKUP(C1451,BSP,3,FALSE),"  ")</f>
        <v xml:space="preserve">  </v>
      </c>
      <c r="AA1451" s="1563" t="str">
        <f>IFERROR((VLOOKUP(C1451,BSP,4,FALSE)),"  ")</f>
        <v xml:space="preserve">  </v>
      </c>
      <c r="AB1451" s="1714"/>
      <c r="AC1451" s="1367"/>
      <c r="AD1451" s="1666" t="s">
        <v>69</v>
      </c>
      <c r="AE1451" s="1590" t="s">
        <v>69</v>
      </c>
      <c r="AF1451" s="2061">
        <v>500000</v>
      </c>
      <c r="AG1451" s="2099"/>
      <c r="AH1451" s="2100" t="str">
        <f t="shared" si="509"/>
        <v>HK</v>
      </c>
      <c r="AI1451" s="1678">
        <f t="shared" si="505"/>
        <v>4100000</v>
      </c>
      <c r="AJ1451" s="1679" t="e">
        <f t="shared" si="506"/>
        <v>#VALUE!</v>
      </c>
      <c r="AK1451" s="1419" t="e">
        <f t="shared" si="507"/>
        <v>#VALUE!</v>
      </c>
      <c r="AL1451" s="1420" t="e">
        <f t="shared" si="508"/>
        <v>#VALUE!</v>
      </c>
      <c r="AM1451" s="1410"/>
      <c r="AN1451" s="1411"/>
      <c r="AO1451" s="1410"/>
      <c r="AP1451" s="1411"/>
      <c r="AQ1451" s="1128"/>
      <c r="AR1451" s="1173"/>
      <c r="AT1451" s="1173"/>
      <c r="AV1451" s="1173"/>
      <c r="AX1451" s="1173"/>
      <c r="AY1451" s="1176"/>
      <c r="AZ1451" s="1173"/>
    </row>
    <row r="1452" spans="1:52" s="2" customFormat="1" x14ac:dyDescent="0.25">
      <c r="A1452" s="156">
        <v>1344</v>
      </c>
      <c r="B1452" s="176">
        <v>11</v>
      </c>
      <c r="C1452" s="2014">
        <v>839117011</v>
      </c>
      <c r="D1452" s="177" t="s">
        <v>1957</v>
      </c>
      <c r="E1452" s="593" t="s">
        <v>848</v>
      </c>
      <c r="F1452" s="594">
        <v>2017</v>
      </c>
      <c r="G1452" s="272" t="s">
        <v>33</v>
      </c>
      <c r="H1452" s="628">
        <f t="shared" si="503"/>
        <v>43670</v>
      </c>
      <c r="I1452" s="628">
        <f t="shared" si="504"/>
        <v>43750</v>
      </c>
      <c r="J1452" s="1364">
        <v>600000</v>
      </c>
      <c r="K1452" s="1365">
        <v>42943</v>
      </c>
      <c r="L1452" s="1431">
        <v>3000000</v>
      </c>
      <c r="M1452" s="1365">
        <v>42943</v>
      </c>
      <c r="N1452" s="1358">
        <v>3000000</v>
      </c>
      <c r="O1452" s="1357">
        <v>43116</v>
      </c>
      <c r="P1452" s="1431">
        <v>3000000</v>
      </c>
      <c r="Q1452" s="1365">
        <v>43291</v>
      </c>
      <c r="R1452" s="1358">
        <v>3000000</v>
      </c>
      <c r="S1452" s="1357">
        <v>43481</v>
      </c>
      <c r="T1452" s="1363"/>
      <c r="U1452" s="1367"/>
      <c r="V1452" s="1714"/>
      <c r="W1452" s="1391"/>
      <c r="X1452" s="1363"/>
      <c r="Y1452" s="1391"/>
      <c r="Z1452" s="1363" t="str">
        <f>IFERROR(VLOOKUP(C1452,BSP,3,FALSE),"  ")</f>
        <v xml:space="preserve">  </v>
      </c>
      <c r="AA1452" s="1563" t="str">
        <f>IFERROR((VLOOKUP(C1452,BSP,4,FALSE)),"  ")</f>
        <v xml:space="preserve">  </v>
      </c>
      <c r="AB1452" s="1385">
        <v>1000000</v>
      </c>
      <c r="AC1452" s="1357">
        <v>43598</v>
      </c>
      <c r="AD1452" s="1666" t="s">
        <v>69</v>
      </c>
      <c r="AE1452" s="1590" t="s">
        <v>69</v>
      </c>
      <c r="AF1452" s="1430">
        <v>750000</v>
      </c>
      <c r="AG1452" s="2099">
        <v>42972</v>
      </c>
      <c r="AH1452" s="2100" t="str">
        <f t="shared" si="509"/>
        <v>HK</v>
      </c>
      <c r="AI1452" s="1678">
        <f t="shared" si="505"/>
        <v>14350000</v>
      </c>
      <c r="AJ1452" s="1679" t="e">
        <f t="shared" si="506"/>
        <v>#VALUE!</v>
      </c>
      <c r="AK1452" s="1419" t="e">
        <f t="shared" si="507"/>
        <v>#VALUE!</v>
      </c>
      <c r="AL1452" s="1420" t="e">
        <f t="shared" si="508"/>
        <v>#VALUE!</v>
      </c>
      <c r="AM1452" s="1410"/>
      <c r="AN1452" s="1411"/>
      <c r="AO1452" s="1410"/>
      <c r="AP1452" s="1411"/>
      <c r="AQ1452" s="1128"/>
      <c r="AR1452" s="1173"/>
      <c r="AT1452" s="1173"/>
      <c r="AV1452" s="1173"/>
      <c r="AX1452" s="1173"/>
      <c r="AY1452" s="1176"/>
      <c r="AZ1452" s="1173"/>
    </row>
    <row r="1453" spans="1:52" s="2" customFormat="1" x14ac:dyDescent="0.25">
      <c r="A1453" s="156">
        <v>1345</v>
      </c>
      <c r="B1453" s="176">
        <v>12</v>
      </c>
      <c r="C1453" s="2014">
        <v>839117012</v>
      </c>
      <c r="D1453" s="644" t="s">
        <v>1958</v>
      </c>
      <c r="E1453" s="593" t="s">
        <v>848</v>
      </c>
      <c r="F1453" s="594">
        <v>2017</v>
      </c>
      <c r="G1453" s="272" t="s">
        <v>33</v>
      </c>
      <c r="H1453" s="628">
        <f t="shared" si="503"/>
        <v>43837</v>
      </c>
      <c r="I1453" s="628" t="str">
        <f t="shared" si="504"/>
        <v xml:space="preserve">   </v>
      </c>
      <c r="J1453" s="1364">
        <v>600000</v>
      </c>
      <c r="K1453" s="1365">
        <v>42940</v>
      </c>
      <c r="L1453" s="1431">
        <v>3000000</v>
      </c>
      <c r="M1453" s="1365">
        <v>42940</v>
      </c>
      <c r="N1453" s="1358">
        <v>3000000</v>
      </c>
      <c r="O1453" s="1357">
        <v>43111</v>
      </c>
      <c r="P1453" s="1431">
        <v>3000000</v>
      </c>
      <c r="Q1453" s="1365">
        <v>43291</v>
      </c>
      <c r="R1453" s="1358">
        <v>3000000</v>
      </c>
      <c r="S1453" s="1357">
        <v>43483</v>
      </c>
      <c r="T1453" s="1358">
        <v>3000000</v>
      </c>
      <c r="U1453" s="1357">
        <v>43642</v>
      </c>
      <c r="V1453" s="1714"/>
      <c r="W1453" s="1391"/>
      <c r="X1453" s="1363"/>
      <c r="Y1453" s="1391"/>
      <c r="Z1453" s="1363" t="str">
        <f>IFERROR(VLOOKUP(C1453,BSP,3,FALSE),"  ")</f>
        <v xml:space="preserve">  </v>
      </c>
      <c r="AA1453" s="1563" t="str">
        <f>IFERROR((VLOOKUP(C1453,BSP,4,FALSE)),"  ")</f>
        <v xml:space="preserve">  </v>
      </c>
      <c r="AB1453" s="1385">
        <v>1000000</v>
      </c>
      <c r="AC1453" s="1357">
        <v>43798</v>
      </c>
      <c r="AD1453" s="1809">
        <v>500000</v>
      </c>
      <c r="AE1453" s="1440">
        <v>43861.592754629601</v>
      </c>
      <c r="AF1453" s="2061">
        <v>500000</v>
      </c>
      <c r="AG1453" s="2099"/>
      <c r="AH1453" s="2100" t="str">
        <f t="shared" si="509"/>
        <v>HK</v>
      </c>
      <c r="AI1453" s="1678">
        <f t="shared" si="505"/>
        <v>17600000</v>
      </c>
      <c r="AJ1453" s="1679" t="e">
        <f t="shared" si="506"/>
        <v>#VALUE!</v>
      </c>
      <c r="AK1453" s="1419" t="e">
        <f t="shared" si="507"/>
        <v>#VALUE!</v>
      </c>
      <c r="AL1453" s="1420" t="e">
        <f t="shared" si="508"/>
        <v>#VALUE!</v>
      </c>
      <c r="AM1453" s="1410"/>
      <c r="AN1453" s="1411"/>
      <c r="AO1453" s="1410"/>
      <c r="AP1453" s="1411"/>
      <c r="AQ1453" s="1128"/>
      <c r="AR1453" s="1173"/>
      <c r="AT1453" s="1173"/>
      <c r="AV1453" s="1173"/>
      <c r="AX1453" s="1173"/>
      <c r="AY1453" s="1176"/>
      <c r="AZ1453" s="1173"/>
    </row>
    <row r="1454" spans="1:52" s="2" customFormat="1" x14ac:dyDescent="0.25">
      <c r="A1454" s="164">
        <v>1346</v>
      </c>
      <c r="B1454" s="165">
        <v>13</v>
      </c>
      <c r="C1454" s="660">
        <v>839117013</v>
      </c>
      <c r="D1454" s="571" t="s">
        <v>1959</v>
      </c>
      <c r="E1454" s="578" t="s">
        <v>848</v>
      </c>
      <c r="F1454" s="579">
        <v>2017</v>
      </c>
      <c r="G1454" s="272" t="s">
        <v>33</v>
      </c>
      <c r="H1454" s="628">
        <f t="shared" si="503"/>
        <v>44093</v>
      </c>
      <c r="I1454" s="580">
        <f t="shared" si="504"/>
        <v>44186</v>
      </c>
      <c r="J1454" s="1366">
        <v>600000</v>
      </c>
      <c r="K1454" s="1360">
        <v>42943</v>
      </c>
      <c r="L1454" s="1430">
        <v>3000000</v>
      </c>
      <c r="M1454" s="1360">
        <v>42943</v>
      </c>
      <c r="N1454" s="1363">
        <v>3000000</v>
      </c>
      <c r="O1454" s="1367">
        <v>43116</v>
      </c>
      <c r="P1454" s="1186" t="s">
        <v>1960</v>
      </c>
      <c r="Q1454" s="1360"/>
      <c r="R1454" s="1363">
        <v>3000000</v>
      </c>
      <c r="S1454" s="1367">
        <v>43861.893414351798</v>
      </c>
      <c r="T1454" s="1363">
        <v>3000000</v>
      </c>
      <c r="U1454" s="1367">
        <v>43643</v>
      </c>
      <c r="V1454" s="1363">
        <v>3000000</v>
      </c>
      <c r="W1454" s="1367">
        <v>43861.893414351798</v>
      </c>
      <c r="X1454" s="1363"/>
      <c r="Y1454" s="1391"/>
      <c r="Z1454" s="1363">
        <f>IFERROR(VLOOKUP(C1454,BSP,3,FALSE),"  ")</f>
        <v>1000000</v>
      </c>
      <c r="AA1454" s="1563">
        <f>IFERROR((VLOOKUP(C1454,BSP,4,FALSE)),"  ")</f>
        <v>44061.394733796304</v>
      </c>
      <c r="AB1454" s="1714">
        <v>1000000</v>
      </c>
      <c r="AC1454" s="1367">
        <v>44061</v>
      </c>
      <c r="AD1454" s="1666">
        <v>500000</v>
      </c>
      <c r="AE1454" s="1590">
        <v>44096</v>
      </c>
      <c r="AF1454" s="2061">
        <v>750000</v>
      </c>
      <c r="AG1454" s="2099"/>
      <c r="AH1454" s="2100" t="str">
        <f t="shared" si="509"/>
        <v>HK</v>
      </c>
      <c r="AI1454" s="1678">
        <f t="shared" si="505"/>
        <v>18850000</v>
      </c>
      <c r="AJ1454" s="1679" t="e">
        <f t="shared" si="506"/>
        <v>#VALUE!</v>
      </c>
      <c r="AK1454" s="1419" t="e">
        <f t="shared" si="507"/>
        <v>#VALUE!</v>
      </c>
      <c r="AL1454" s="1420" t="e">
        <f t="shared" si="508"/>
        <v>#VALUE!</v>
      </c>
      <c r="AM1454" s="1410"/>
      <c r="AN1454" s="1411"/>
      <c r="AO1454" s="1410"/>
      <c r="AP1454" s="1411"/>
      <c r="AQ1454" s="1128"/>
      <c r="AR1454" s="1173"/>
      <c r="AT1454" s="1173"/>
      <c r="AV1454" s="1173"/>
      <c r="AX1454" s="1173"/>
      <c r="AY1454" s="1176"/>
      <c r="AZ1454" s="1173"/>
    </row>
    <row r="1455" spans="1:52" s="2" customFormat="1" x14ac:dyDescent="0.25">
      <c r="A1455" s="216">
        <v>1347</v>
      </c>
      <c r="B1455" s="217">
        <v>14</v>
      </c>
      <c r="C1455" s="679">
        <v>839117014</v>
      </c>
      <c r="D1455" s="601" t="s">
        <v>1961</v>
      </c>
      <c r="E1455" s="630" t="s">
        <v>848</v>
      </c>
      <c r="F1455" s="645">
        <v>2017</v>
      </c>
      <c r="G1455" s="413" t="s">
        <v>1483</v>
      </c>
      <c r="H1455" s="646" t="str">
        <f t="shared" si="503"/>
        <v xml:space="preserve">   </v>
      </c>
      <c r="I1455" s="646" t="str">
        <f t="shared" si="504"/>
        <v xml:space="preserve">   </v>
      </c>
      <c r="J1455" s="1444">
        <v>600000</v>
      </c>
      <c r="K1455" s="1557">
        <v>42943</v>
      </c>
      <c r="L1455" s="1448">
        <v>3000000</v>
      </c>
      <c r="M1455" s="1557">
        <v>42943</v>
      </c>
      <c r="N1455" s="1446">
        <v>3000000</v>
      </c>
      <c r="O1455" s="1445">
        <v>43112</v>
      </c>
      <c r="P1455" s="1448">
        <v>3000000</v>
      </c>
      <c r="Q1455" s="1557">
        <v>43294</v>
      </c>
      <c r="R1455" s="1932" t="s">
        <v>1078</v>
      </c>
      <c r="S1455" s="2000">
        <v>43490</v>
      </c>
      <c r="T1455" s="1446">
        <v>3000000</v>
      </c>
      <c r="U1455" s="1445">
        <v>43671</v>
      </c>
      <c r="V1455" s="1731">
        <v>3000000</v>
      </c>
      <c r="W1455" s="1367">
        <v>43860.4203009259</v>
      </c>
      <c r="X1455" s="1731">
        <v>3000000</v>
      </c>
      <c r="Y1455" s="1367">
        <v>44069.464074074102</v>
      </c>
      <c r="Z1455" s="1363"/>
      <c r="AA1455" s="1563"/>
      <c r="AB1455" s="1724"/>
      <c r="AC1455" s="1445"/>
      <c r="AD1455" s="1666"/>
      <c r="AE1455" s="1590"/>
      <c r="AF1455" s="1448">
        <v>750000</v>
      </c>
      <c r="AG1455" s="2101">
        <v>43098</v>
      </c>
      <c r="AH1455" s="2102" t="str">
        <f t="shared" si="509"/>
        <v>HK</v>
      </c>
      <c r="AI1455" s="1678">
        <f t="shared" si="505"/>
        <v>19350000</v>
      </c>
      <c r="AJ1455" s="1679" t="e">
        <f t="shared" si="506"/>
        <v>#VALUE!</v>
      </c>
      <c r="AK1455" s="1419" t="e">
        <f t="shared" si="507"/>
        <v>#VALUE!</v>
      </c>
      <c r="AL1455" s="1420" t="e">
        <f t="shared" si="508"/>
        <v>#VALUE!</v>
      </c>
      <c r="AM1455" s="1410"/>
      <c r="AN1455" s="1411"/>
      <c r="AO1455" s="1410"/>
      <c r="AP1455" s="1411"/>
      <c r="AQ1455" s="1128"/>
      <c r="AR1455" s="1173"/>
      <c r="AT1455" s="1173"/>
      <c r="AV1455" s="1173"/>
      <c r="AX1455" s="1173"/>
      <c r="AY1455" s="1176"/>
      <c r="AZ1455" s="1173"/>
    </row>
    <row r="1456" spans="1:52" s="2" customFormat="1" x14ac:dyDescent="0.25">
      <c r="A1456" s="223"/>
      <c r="B1456" s="224"/>
      <c r="C1456" s="471"/>
      <c r="D1456" s="605"/>
      <c r="E1456" s="227" t="s">
        <v>61</v>
      </c>
      <c r="F1456" s="228" t="s">
        <v>61</v>
      </c>
      <c r="G1456" s="192" t="s">
        <v>61</v>
      </c>
      <c r="H1456" s="439" t="str">
        <f t="shared" si="503"/>
        <v xml:space="preserve">   </v>
      </c>
      <c r="I1456" s="439" t="str">
        <f t="shared" si="504"/>
        <v xml:space="preserve">   </v>
      </c>
      <c r="J1456" s="2024"/>
      <c r="K1456" s="1348"/>
      <c r="L1456" s="2024"/>
      <c r="M1456" s="1348"/>
      <c r="N1456" s="2024"/>
      <c r="O1456" s="1348"/>
      <c r="P1456" s="2024"/>
      <c r="Q1456" s="1348"/>
      <c r="R1456" s="2024"/>
      <c r="S1456" s="1378"/>
      <c r="T1456" s="2024"/>
      <c r="U1456" s="1348"/>
      <c r="V1456" s="1960"/>
      <c r="W1456" s="2057"/>
      <c r="X1456" s="1960"/>
      <c r="Y1456" s="2057"/>
      <c r="Z1456" s="1960"/>
      <c r="AA1456" s="2057"/>
      <c r="AB1456" s="2024">
        <v>1000000</v>
      </c>
      <c r="AC1456" s="1348"/>
      <c r="AD1456" s="2024"/>
      <c r="AE1456" s="1396"/>
      <c r="AF1456" s="1769"/>
      <c r="AG1456" s="1396"/>
      <c r="AH1456" s="1408" t="str">
        <f t="shared" si="509"/>
        <v>-</v>
      </c>
      <c r="AI1456" s="1512"/>
      <c r="AJ1456" s="1409"/>
      <c r="AK1456" s="1409"/>
      <c r="AL1456" s="1513"/>
      <c r="AM1456" s="1513"/>
      <c r="AN1456" s="1514"/>
      <c r="AO1456" s="1513"/>
      <c r="AP1456" s="1514"/>
      <c r="AQ1456" s="1128"/>
      <c r="AR1456" s="1173"/>
      <c r="AT1456" s="1173"/>
      <c r="AV1456" s="1173"/>
      <c r="AX1456" s="1173"/>
      <c r="AY1456" s="1176"/>
      <c r="AZ1456" s="1173"/>
    </row>
    <row r="1457" spans="1:52" s="2" customFormat="1" x14ac:dyDescent="0.25">
      <c r="A1457" s="647" t="s">
        <v>1962</v>
      </c>
      <c r="B1457" s="647"/>
      <c r="C1457" s="366"/>
      <c r="D1457" s="647"/>
      <c r="E1457" s="198" t="s">
        <v>1096</v>
      </c>
      <c r="F1457" s="199" t="s">
        <v>1096</v>
      </c>
      <c r="G1457" s="146">
        <v>3000000</v>
      </c>
      <c r="H1457" s="147" t="str">
        <f t="shared" si="503"/>
        <v xml:space="preserve">   </v>
      </c>
      <c r="I1457" s="147" t="str">
        <f t="shared" si="504"/>
        <v xml:space="preserve">   </v>
      </c>
      <c r="J1457" s="1349">
        <v>600000</v>
      </c>
      <c r="K1457" s="1529"/>
      <c r="L1457" s="1582" t="s">
        <v>1049</v>
      </c>
      <c r="M1457" s="1502" t="s">
        <v>1066</v>
      </c>
      <c r="N1457" s="1582" t="s">
        <v>1051</v>
      </c>
      <c r="O1457" s="1502" t="s">
        <v>1068</v>
      </c>
      <c r="P1457" s="1582" t="s">
        <v>1053</v>
      </c>
      <c r="Q1457" s="1502" t="s">
        <v>1141</v>
      </c>
      <c r="R1457" s="1582" t="s">
        <v>1055</v>
      </c>
      <c r="S1457" s="1502" t="s">
        <v>1325</v>
      </c>
      <c r="T1457" s="1582" t="s">
        <v>1057</v>
      </c>
      <c r="U1457" s="1502" t="s">
        <v>1463</v>
      </c>
      <c r="V1457" s="1582" t="s">
        <v>1059</v>
      </c>
      <c r="W1457" s="1502" t="s">
        <v>1464</v>
      </c>
      <c r="X1457" s="1582" t="s">
        <v>1061</v>
      </c>
      <c r="Y1457" s="1502" t="s">
        <v>1466</v>
      </c>
      <c r="Z1457" s="1582" t="s">
        <v>1063</v>
      </c>
      <c r="AA1457" s="1502" t="s">
        <v>1468</v>
      </c>
      <c r="AB1457" s="1450">
        <v>1000000</v>
      </c>
      <c r="AC1457" s="1663" t="s">
        <v>1326</v>
      </c>
      <c r="AD1457" s="1450">
        <v>500000</v>
      </c>
      <c r="AE1457" s="2005" t="s">
        <v>22</v>
      </c>
      <c r="AF1457" s="2059" t="s">
        <v>1753</v>
      </c>
      <c r="AG1457" s="2005" t="s">
        <v>1754</v>
      </c>
      <c r="AH1457" s="2058" t="str">
        <f t="shared" si="509"/>
        <v>#</v>
      </c>
      <c r="AI1457" s="1512"/>
      <c r="AJ1457" s="1409"/>
      <c r="AK1457" s="1409"/>
      <c r="AL1457" s="1513"/>
      <c r="AM1457" s="1513"/>
      <c r="AN1457" s="1514"/>
      <c r="AO1457" s="1513"/>
      <c r="AP1457" s="1514"/>
      <c r="AQ1457" s="1128"/>
      <c r="AR1457" s="1173"/>
      <c r="AT1457" s="1173"/>
      <c r="AV1457" s="1173"/>
      <c r="AX1457" s="1173"/>
      <c r="AY1457" s="1176"/>
      <c r="AZ1457" s="1173"/>
    </row>
    <row r="1458" spans="1:52" s="2" customFormat="1" x14ac:dyDescent="0.25">
      <c r="A1458" s="457">
        <v>1348</v>
      </c>
      <c r="B1458" s="648">
        <v>1</v>
      </c>
      <c r="C1458" s="659">
        <v>829117001</v>
      </c>
      <c r="D1458" s="609" t="s">
        <v>1963</v>
      </c>
      <c r="E1458" s="649" t="s">
        <v>1441</v>
      </c>
      <c r="F1458" s="650">
        <v>2017</v>
      </c>
      <c r="G1458" s="329" t="s">
        <v>1077</v>
      </c>
      <c r="H1458" s="651" t="str">
        <f t="shared" si="503"/>
        <v xml:space="preserve">   </v>
      </c>
      <c r="I1458" s="651" t="str">
        <f t="shared" si="504"/>
        <v xml:space="preserve">   </v>
      </c>
      <c r="J1458" s="1558">
        <v>600000</v>
      </c>
      <c r="K1458" s="1542"/>
      <c r="L1458" s="1551">
        <v>3000000</v>
      </c>
      <c r="M1458" s="1542"/>
      <c r="N1458" s="2097"/>
      <c r="O1458" s="1954"/>
      <c r="P1458" s="1818"/>
      <c r="Q1458" s="1817"/>
      <c r="R1458" s="1941"/>
      <c r="S1458" s="1954"/>
      <c r="T1458" s="1941"/>
      <c r="U1458" s="1954"/>
      <c r="V1458" s="1941"/>
      <c r="W1458" s="1954"/>
      <c r="X1458" s="1941"/>
      <c r="Y1458" s="1954"/>
      <c r="Z1458" s="1941"/>
      <c r="AA1458" s="1954"/>
      <c r="AB1458" s="1941"/>
      <c r="AC1458" s="1954"/>
      <c r="AD1458" s="1941"/>
      <c r="AE1458" s="1955"/>
      <c r="AF1458" s="1551">
        <v>750000</v>
      </c>
      <c r="AG1458" s="2067">
        <v>42972</v>
      </c>
      <c r="AH1458" s="2128" t="str">
        <f t="shared" si="509"/>
        <v>KPI</v>
      </c>
      <c r="AI1458" s="1678">
        <f t="shared" ref="AI1458:AI1471" si="510">SUM(J1458,L1458,N1458,P1458,R1458,T1458,V1458,X1458,Z1458,AB1458,AD1458,AF1458)</f>
        <v>4350000</v>
      </c>
      <c r="AJ1458" s="1679" t="e">
        <f t="shared" ref="AJ1458:AJ1471" si="511">(COUNT(L1458,N1458,P1458,R1458,T1458,V1458,X1458,Z1458)*$G$1256)+(COUNT(J1458)*$J$1256)+(COUNT(AB1458)*$AB$1256)+(COUNT(AD1458)*$AD$1256)+(COUNT(AF1458)*AH1458)</f>
        <v>#VALUE!</v>
      </c>
      <c r="AK1458" s="1419" t="e">
        <f t="shared" ref="AK1458:AK1471" si="512">AJ1458-AI1458</f>
        <v>#VALUE!</v>
      </c>
      <c r="AL1458" s="1420" t="e">
        <f t="shared" ref="AL1458:AL1471" si="513">IF(AK1458=0,"Lunas","Cek")</f>
        <v>#VALUE!</v>
      </c>
      <c r="AM1458" s="1410"/>
      <c r="AN1458" s="1411"/>
      <c r="AO1458" s="1410"/>
      <c r="AP1458" s="1411"/>
      <c r="AQ1458" s="1128"/>
      <c r="AR1458" s="1173"/>
      <c r="AT1458" s="1173"/>
      <c r="AV1458" s="1173"/>
      <c r="AX1458" s="1173"/>
      <c r="AY1458" s="1176"/>
      <c r="AZ1458" s="1173"/>
    </row>
    <row r="1459" spans="1:52" s="2" customFormat="1" x14ac:dyDescent="0.25">
      <c r="A1459" s="164">
        <v>1349</v>
      </c>
      <c r="B1459" s="652">
        <v>2</v>
      </c>
      <c r="C1459" s="660">
        <v>829117002</v>
      </c>
      <c r="D1459" s="571" t="s">
        <v>1964</v>
      </c>
      <c r="E1459" s="578" t="s">
        <v>1441</v>
      </c>
      <c r="F1459" s="579">
        <v>2017</v>
      </c>
      <c r="G1459" s="1758" t="s">
        <v>28</v>
      </c>
      <c r="H1459" s="580" t="str">
        <f t="shared" si="503"/>
        <v xml:space="preserve">   </v>
      </c>
      <c r="I1459" s="580" t="str">
        <f t="shared" si="504"/>
        <v xml:space="preserve">   </v>
      </c>
      <c r="J1459" s="1366">
        <v>600000</v>
      </c>
      <c r="K1459" s="1360">
        <v>42943</v>
      </c>
      <c r="L1459" s="1430">
        <v>3000000</v>
      </c>
      <c r="M1459" s="1360">
        <v>42943</v>
      </c>
      <c r="N1459" s="1363">
        <v>3000000</v>
      </c>
      <c r="O1459" s="1367">
        <v>43115</v>
      </c>
      <c r="P1459" s="1430">
        <v>3000000</v>
      </c>
      <c r="Q1459" s="1360">
        <v>43291</v>
      </c>
      <c r="R1459" s="1363">
        <v>3000000</v>
      </c>
      <c r="S1459" s="1367">
        <v>43483</v>
      </c>
      <c r="T1459" s="1363">
        <v>3000000</v>
      </c>
      <c r="U1459" s="1367">
        <v>43669</v>
      </c>
      <c r="V1459" s="1731">
        <v>3000000</v>
      </c>
      <c r="W1459" s="1367">
        <v>43866</v>
      </c>
      <c r="X1459" s="1731">
        <v>0</v>
      </c>
      <c r="Y1459" s="1367"/>
      <c r="Z1459" s="1363" t="str">
        <f>IFERROR(VLOOKUP(C1459,BSP,3,FALSE),"  ")</f>
        <v xml:space="preserve">  </v>
      </c>
      <c r="AA1459" s="1563" t="str">
        <f>IFERROR((VLOOKUP(C1459,BSP,4,FALSE)),"  ")</f>
        <v xml:space="preserve">  </v>
      </c>
      <c r="AB1459" s="1714"/>
      <c r="AC1459" s="1367"/>
      <c r="AD1459" s="1666"/>
      <c r="AE1459" s="1590"/>
      <c r="AF1459" s="1430">
        <v>750000</v>
      </c>
      <c r="AG1459" s="2099">
        <v>42972</v>
      </c>
      <c r="AH1459" s="1427" t="str">
        <f t="shared" si="509"/>
        <v>KPI</v>
      </c>
      <c r="AI1459" s="1678">
        <f t="shared" si="510"/>
        <v>19350000</v>
      </c>
      <c r="AJ1459" s="1679" t="e">
        <f t="shared" si="511"/>
        <v>#VALUE!</v>
      </c>
      <c r="AK1459" s="1419" t="e">
        <f t="shared" si="512"/>
        <v>#VALUE!</v>
      </c>
      <c r="AL1459" s="1420" t="e">
        <f t="shared" si="513"/>
        <v>#VALUE!</v>
      </c>
      <c r="AM1459" s="1410"/>
      <c r="AN1459" s="1411"/>
      <c r="AO1459" s="1410"/>
      <c r="AP1459" s="1411"/>
      <c r="AQ1459" s="1128"/>
      <c r="AR1459" s="1173"/>
      <c r="AT1459" s="1173"/>
      <c r="AV1459" s="1173"/>
      <c r="AX1459" s="1173"/>
      <c r="AY1459" s="1176"/>
      <c r="AZ1459" s="1173"/>
    </row>
    <row r="1460" spans="1:52" s="2" customFormat="1" x14ac:dyDescent="0.25">
      <c r="A1460" s="156">
        <v>1350</v>
      </c>
      <c r="B1460" s="653">
        <v>3</v>
      </c>
      <c r="C1460" s="2014">
        <v>829117003</v>
      </c>
      <c r="D1460" s="575" t="s">
        <v>1965</v>
      </c>
      <c r="E1460" s="593" t="s">
        <v>1441</v>
      </c>
      <c r="F1460" s="594">
        <v>2017</v>
      </c>
      <c r="G1460" s="272" t="s">
        <v>33</v>
      </c>
      <c r="H1460" s="628">
        <f t="shared" si="503"/>
        <v>43845</v>
      </c>
      <c r="I1460" s="628">
        <f t="shared" si="504"/>
        <v>44058</v>
      </c>
      <c r="J1460" s="1364">
        <v>600000</v>
      </c>
      <c r="K1460" s="1365">
        <v>42943</v>
      </c>
      <c r="L1460" s="1431">
        <v>3000000</v>
      </c>
      <c r="M1460" s="1365">
        <v>42943</v>
      </c>
      <c r="N1460" s="1358">
        <v>3000000</v>
      </c>
      <c r="O1460" s="1357">
        <v>43116</v>
      </c>
      <c r="P1460" s="1431">
        <v>3000000</v>
      </c>
      <c r="Q1460" s="1365">
        <v>43308</v>
      </c>
      <c r="R1460" s="1186" t="s">
        <v>1078</v>
      </c>
      <c r="S1460" s="1386">
        <v>43490</v>
      </c>
      <c r="T1460" s="1358">
        <v>3000000</v>
      </c>
      <c r="U1460" s="1357">
        <v>43671</v>
      </c>
      <c r="V1460" s="1714" t="s">
        <v>783</v>
      </c>
      <c r="W1460" s="1391" t="s">
        <v>783</v>
      </c>
      <c r="X1460" s="1363"/>
      <c r="Y1460" s="1391"/>
      <c r="Z1460" s="1363" t="str">
        <f>IFERROR(VLOOKUP(C1460,BSP,3,FALSE),"  ")</f>
        <v xml:space="preserve">  </v>
      </c>
      <c r="AA1460" s="1563" t="str">
        <f>IFERROR((VLOOKUP(C1460,BSP,4,FALSE)),"  ")</f>
        <v xml:space="preserve">  </v>
      </c>
      <c r="AB1460" s="1385">
        <v>1000000</v>
      </c>
      <c r="AC1460" s="1357">
        <v>43826</v>
      </c>
      <c r="AD1460" s="1809">
        <v>500000</v>
      </c>
      <c r="AE1460" s="1440">
        <v>43881</v>
      </c>
      <c r="AF1460" s="2061">
        <v>500000</v>
      </c>
      <c r="AG1460" s="2099"/>
      <c r="AH1460" s="1427" t="str">
        <f t="shared" si="509"/>
        <v>KPI</v>
      </c>
      <c r="AI1460" s="1678">
        <f t="shared" si="510"/>
        <v>14600000</v>
      </c>
      <c r="AJ1460" s="1679" t="e">
        <f t="shared" si="511"/>
        <v>#VALUE!</v>
      </c>
      <c r="AK1460" s="1419" t="e">
        <f t="shared" si="512"/>
        <v>#VALUE!</v>
      </c>
      <c r="AL1460" s="1420" t="e">
        <f t="shared" si="513"/>
        <v>#VALUE!</v>
      </c>
      <c r="AM1460" s="1410"/>
      <c r="AN1460" s="1411"/>
      <c r="AO1460" s="1410"/>
      <c r="AP1460" s="1411"/>
      <c r="AQ1460" s="1128"/>
      <c r="AR1460" s="1173"/>
      <c r="AT1460" s="1173"/>
      <c r="AV1460" s="1173"/>
      <c r="AX1460" s="1173"/>
      <c r="AY1460" s="1176"/>
      <c r="AZ1460" s="1173"/>
    </row>
    <row r="1461" spans="1:52" s="2" customFormat="1" x14ac:dyDescent="0.25">
      <c r="A1461" s="164">
        <v>1351</v>
      </c>
      <c r="B1461" s="652">
        <v>4</v>
      </c>
      <c r="C1461" s="660">
        <v>829117004</v>
      </c>
      <c r="D1461" s="571" t="s">
        <v>1966</v>
      </c>
      <c r="E1461" s="578" t="s">
        <v>1441</v>
      </c>
      <c r="F1461" s="579">
        <v>2017</v>
      </c>
      <c r="G1461" s="272" t="s">
        <v>33</v>
      </c>
      <c r="H1461" s="628">
        <f t="shared" si="503"/>
        <v>44040</v>
      </c>
      <c r="I1461" s="580">
        <f t="shared" si="504"/>
        <v>44186</v>
      </c>
      <c r="J1461" s="1366">
        <v>600000</v>
      </c>
      <c r="K1461" s="1360">
        <v>42943</v>
      </c>
      <c r="L1461" s="1430">
        <v>3000000</v>
      </c>
      <c r="M1461" s="1360">
        <v>42943</v>
      </c>
      <c r="N1461" s="1363">
        <v>3000000</v>
      </c>
      <c r="O1461" s="1367">
        <v>43111</v>
      </c>
      <c r="P1461" s="1430">
        <v>3000000</v>
      </c>
      <c r="Q1461" s="1360">
        <v>43292</v>
      </c>
      <c r="R1461" s="1363">
        <v>3000000</v>
      </c>
      <c r="S1461" s="1367">
        <v>43483</v>
      </c>
      <c r="T1461" s="1363">
        <v>3000000</v>
      </c>
      <c r="U1461" s="1367">
        <v>43644</v>
      </c>
      <c r="V1461" s="2077" t="s">
        <v>1078</v>
      </c>
      <c r="W1461" s="2124">
        <v>43861</v>
      </c>
      <c r="X1461" s="1731">
        <v>3000000</v>
      </c>
      <c r="Y1461" s="1367">
        <v>44035.475185185198</v>
      </c>
      <c r="Z1461" s="1363"/>
      <c r="AA1461" s="1563"/>
      <c r="AB1461" s="1385">
        <v>1000000</v>
      </c>
      <c r="AC1461" s="1357">
        <v>44035.475185185198</v>
      </c>
      <c r="AD1461" s="1809">
        <v>500000</v>
      </c>
      <c r="AE1461" s="1440">
        <v>44089</v>
      </c>
      <c r="AF1461" s="2061">
        <v>750000</v>
      </c>
      <c r="AG1461" s="2099"/>
      <c r="AH1461" s="1427" t="str">
        <f t="shared" si="509"/>
        <v>KPI</v>
      </c>
      <c r="AI1461" s="1678">
        <f t="shared" si="510"/>
        <v>20850000</v>
      </c>
      <c r="AJ1461" s="1679" t="e">
        <f t="shared" si="511"/>
        <v>#VALUE!</v>
      </c>
      <c r="AK1461" s="1419" t="e">
        <f t="shared" si="512"/>
        <v>#VALUE!</v>
      </c>
      <c r="AL1461" s="1420" t="e">
        <f t="shared" si="513"/>
        <v>#VALUE!</v>
      </c>
      <c r="AM1461" s="1410"/>
      <c r="AN1461" s="1411"/>
      <c r="AO1461" s="1410"/>
      <c r="AP1461" s="1411"/>
      <c r="AQ1461" s="1128"/>
      <c r="AR1461" s="1173"/>
      <c r="AT1461" s="1173"/>
      <c r="AV1461" s="1173"/>
      <c r="AX1461" s="1173"/>
      <c r="AY1461" s="1176"/>
      <c r="AZ1461" s="1173"/>
    </row>
    <row r="1462" spans="1:52" s="2" customFormat="1" x14ac:dyDescent="0.25">
      <c r="A1462" s="164">
        <v>1352</v>
      </c>
      <c r="B1462" s="652">
        <v>5</v>
      </c>
      <c r="C1462" s="660">
        <v>829117005</v>
      </c>
      <c r="D1462" s="571" t="s">
        <v>1967</v>
      </c>
      <c r="E1462" s="578" t="s">
        <v>1441</v>
      </c>
      <c r="F1462" s="579">
        <v>2017</v>
      </c>
      <c r="G1462" s="272" t="s">
        <v>33</v>
      </c>
      <c r="H1462" s="628">
        <f t="shared" si="503"/>
        <v>44053</v>
      </c>
      <c r="I1462" s="580" t="str">
        <f t="shared" si="504"/>
        <v xml:space="preserve">   </v>
      </c>
      <c r="J1462" s="1366">
        <v>600000</v>
      </c>
      <c r="K1462" s="1360">
        <v>42944</v>
      </c>
      <c r="L1462" s="1430">
        <v>3000000</v>
      </c>
      <c r="M1462" s="1360">
        <v>42944</v>
      </c>
      <c r="N1462" s="1363">
        <v>3000000</v>
      </c>
      <c r="O1462" s="1367">
        <v>43112</v>
      </c>
      <c r="P1462" s="1430">
        <v>3000000</v>
      </c>
      <c r="Q1462" s="1360">
        <v>43291</v>
      </c>
      <c r="R1462" s="1186" t="s">
        <v>1078</v>
      </c>
      <c r="S1462" s="1386">
        <v>43490</v>
      </c>
      <c r="T1462" s="1363">
        <v>3000000</v>
      </c>
      <c r="U1462" s="1367">
        <v>43640</v>
      </c>
      <c r="V1462" s="1731">
        <v>3000000</v>
      </c>
      <c r="W1462" s="1367">
        <v>43860.445428240702</v>
      </c>
      <c r="X1462" s="1363"/>
      <c r="Y1462" s="1391"/>
      <c r="Z1462" s="1363"/>
      <c r="AA1462" s="1563"/>
      <c r="AB1462" s="1714">
        <v>1000000</v>
      </c>
      <c r="AC1462" s="1367">
        <v>44028</v>
      </c>
      <c r="AD1462" s="1666">
        <v>500000</v>
      </c>
      <c r="AE1462" s="1590">
        <v>44090</v>
      </c>
      <c r="AF1462" s="1430">
        <v>500000</v>
      </c>
      <c r="AG1462" s="2099">
        <v>42970</v>
      </c>
      <c r="AH1462" s="1427" t="str">
        <f t="shared" si="509"/>
        <v>KPI</v>
      </c>
      <c r="AI1462" s="1678">
        <f t="shared" si="510"/>
        <v>17600000</v>
      </c>
      <c r="AJ1462" s="1679" t="e">
        <f t="shared" si="511"/>
        <v>#VALUE!</v>
      </c>
      <c r="AK1462" s="1419" t="e">
        <f t="shared" si="512"/>
        <v>#VALUE!</v>
      </c>
      <c r="AL1462" s="1420" t="e">
        <f t="shared" si="513"/>
        <v>#VALUE!</v>
      </c>
      <c r="AM1462" s="1410"/>
      <c r="AN1462" s="1411"/>
      <c r="AO1462" s="1410"/>
      <c r="AP1462" s="1411"/>
      <c r="AQ1462" s="1128"/>
      <c r="AR1462" s="1173"/>
      <c r="AT1462" s="1173"/>
      <c r="AV1462" s="1173"/>
      <c r="AX1462" s="1173"/>
      <c r="AY1462" s="1176"/>
      <c r="AZ1462" s="1173"/>
    </row>
    <row r="1463" spans="1:52" s="2" customFormat="1" x14ac:dyDescent="0.25">
      <c r="A1463" s="164">
        <v>1353</v>
      </c>
      <c r="B1463" s="652">
        <v>6</v>
      </c>
      <c r="C1463" s="660">
        <v>829117006</v>
      </c>
      <c r="D1463" s="571" t="s">
        <v>1968</v>
      </c>
      <c r="E1463" s="578" t="s">
        <v>1441</v>
      </c>
      <c r="F1463" s="579">
        <v>2017</v>
      </c>
      <c r="G1463" s="360" t="s">
        <v>1483</v>
      </c>
      <c r="H1463" s="580" t="str">
        <f t="shared" si="503"/>
        <v xml:space="preserve">   </v>
      </c>
      <c r="I1463" s="580" t="str">
        <f t="shared" si="504"/>
        <v xml:space="preserve">   </v>
      </c>
      <c r="J1463" s="1366">
        <v>600000</v>
      </c>
      <c r="K1463" s="1360"/>
      <c r="L1463" s="1430">
        <v>3000000</v>
      </c>
      <c r="M1463" s="1360"/>
      <c r="N1463" s="1363">
        <v>3000000</v>
      </c>
      <c r="O1463" s="1367">
        <v>43115</v>
      </c>
      <c r="P1463" s="1430">
        <v>3000000</v>
      </c>
      <c r="Q1463" s="1360">
        <v>43294</v>
      </c>
      <c r="R1463" s="1363">
        <v>3000000</v>
      </c>
      <c r="S1463" s="1367">
        <v>43483</v>
      </c>
      <c r="T1463" s="1363">
        <v>3000000</v>
      </c>
      <c r="U1463" s="1367">
        <v>43671</v>
      </c>
      <c r="V1463" s="2077" t="s">
        <v>1078</v>
      </c>
      <c r="W1463" s="2124">
        <v>43861</v>
      </c>
      <c r="X1463" s="1731">
        <v>3000000</v>
      </c>
      <c r="Y1463" s="1367">
        <v>44056.457361111097</v>
      </c>
      <c r="Z1463" s="1363"/>
      <c r="AA1463" s="1563"/>
      <c r="AB1463" s="1714"/>
      <c r="AC1463" s="1367"/>
      <c r="AD1463" s="1666"/>
      <c r="AE1463" s="1590"/>
      <c r="AF1463" s="1430">
        <v>250000</v>
      </c>
      <c r="AG1463" s="2099">
        <v>42970</v>
      </c>
      <c r="AH1463" s="1427" t="str">
        <f t="shared" si="509"/>
        <v>KPI</v>
      </c>
      <c r="AI1463" s="1678">
        <f t="shared" si="510"/>
        <v>18850000</v>
      </c>
      <c r="AJ1463" s="1679" t="e">
        <f t="shared" si="511"/>
        <v>#VALUE!</v>
      </c>
      <c r="AK1463" s="1419" t="e">
        <f t="shared" si="512"/>
        <v>#VALUE!</v>
      </c>
      <c r="AL1463" s="1420" t="e">
        <f t="shared" si="513"/>
        <v>#VALUE!</v>
      </c>
      <c r="AM1463" s="1410"/>
      <c r="AN1463" s="1411"/>
      <c r="AO1463" s="1410"/>
      <c r="AP1463" s="1411"/>
      <c r="AQ1463" s="1128"/>
      <c r="AR1463" s="1173"/>
      <c r="AT1463" s="1173"/>
      <c r="AV1463" s="1173"/>
      <c r="AX1463" s="1173"/>
      <c r="AY1463" s="1176"/>
      <c r="AZ1463" s="1173"/>
    </row>
    <row r="1464" spans="1:52" s="2" customFormat="1" x14ac:dyDescent="0.25">
      <c r="A1464" s="164">
        <v>1354</v>
      </c>
      <c r="B1464" s="652">
        <v>7</v>
      </c>
      <c r="C1464" s="660">
        <v>829117007</v>
      </c>
      <c r="D1464" s="571" t="s">
        <v>1969</v>
      </c>
      <c r="E1464" s="572" t="s">
        <v>1441</v>
      </c>
      <c r="F1464" s="573">
        <v>2017</v>
      </c>
      <c r="G1464" s="272" t="s">
        <v>33</v>
      </c>
      <c r="H1464" s="628" t="str">
        <f t="shared" si="503"/>
        <v xml:space="preserve">   </v>
      </c>
      <c r="I1464" s="580" t="str">
        <f t="shared" si="504"/>
        <v xml:space="preserve">   </v>
      </c>
      <c r="J1464" s="1366">
        <v>600000</v>
      </c>
      <c r="K1464" s="1360">
        <v>42940</v>
      </c>
      <c r="L1464" s="1430">
        <v>3000000</v>
      </c>
      <c r="M1464" s="1360">
        <v>42940</v>
      </c>
      <c r="N1464" s="1363">
        <v>3000000</v>
      </c>
      <c r="O1464" s="1367">
        <v>43111</v>
      </c>
      <c r="P1464" s="1430">
        <v>3000000</v>
      </c>
      <c r="Q1464" s="1360">
        <v>43293</v>
      </c>
      <c r="R1464" s="1363">
        <v>3000000</v>
      </c>
      <c r="S1464" s="1367">
        <v>43483</v>
      </c>
      <c r="T1464" s="1363">
        <v>3000000</v>
      </c>
      <c r="U1464" s="1367">
        <v>43641</v>
      </c>
      <c r="V1464" s="1731">
        <v>3000000</v>
      </c>
      <c r="W1464" s="1367">
        <v>43852.545486111099</v>
      </c>
      <c r="X1464" s="1363"/>
      <c r="Y1464" s="1391"/>
      <c r="Z1464" s="1363"/>
      <c r="AA1464" s="1563"/>
      <c r="AB1464" s="1714">
        <v>1000000</v>
      </c>
      <c r="AC1464" s="1367">
        <v>44042</v>
      </c>
      <c r="AD1464" s="1666">
        <v>500000</v>
      </c>
      <c r="AE1464" s="1590">
        <v>44159</v>
      </c>
      <c r="AF1464" s="1430">
        <v>500000</v>
      </c>
      <c r="AG1464" s="2099">
        <v>42965</v>
      </c>
      <c r="AH1464" s="1427" t="str">
        <f t="shared" si="509"/>
        <v>KPI</v>
      </c>
      <c r="AI1464" s="1678">
        <f t="shared" si="510"/>
        <v>20600000</v>
      </c>
      <c r="AJ1464" s="1679" t="e">
        <f t="shared" si="511"/>
        <v>#VALUE!</v>
      </c>
      <c r="AK1464" s="1419" t="e">
        <f t="shared" si="512"/>
        <v>#VALUE!</v>
      </c>
      <c r="AL1464" s="1420" t="e">
        <f t="shared" si="513"/>
        <v>#VALUE!</v>
      </c>
      <c r="AM1464" s="1410"/>
      <c r="AN1464" s="1411"/>
      <c r="AO1464" s="1410"/>
      <c r="AP1464" s="1411"/>
      <c r="AQ1464" s="1128"/>
      <c r="AR1464" s="1173"/>
      <c r="AT1464" s="1173"/>
      <c r="AV1464" s="1173"/>
      <c r="AX1464" s="1173"/>
      <c r="AY1464" s="1176"/>
      <c r="AZ1464" s="1173"/>
    </row>
    <row r="1465" spans="1:52" s="2" customFormat="1" x14ac:dyDescent="0.25">
      <c r="A1465" s="164">
        <v>1355</v>
      </c>
      <c r="B1465" s="652">
        <v>8</v>
      </c>
      <c r="C1465" s="660">
        <v>829117008</v>
      </c>
      <c r="D1465" s="571" t="s">
        <v>1970</v>
      </c>
      <c r="E1465" s="572" t="s">
        <v>1441</v>
      </c>
      <c r="F1465" s="573">
        <v>2017</v>
      </c>
      <c r="G1465" s="1758" t="s">
        <v>28</v>
      </c>
      <c r="H1465" s="574" t="str">
        <f t="shared" si="503"/>
        <v xml:space="preserve">   </v>
      </c>
      <c r="I1465" s="574" t="str">
        <f t="shared" si="504"/>
        <v xml:space="preserve">   </v>
      </c>
      <c r="J1465" s="1366">
        <v>600000</v>
      </c>
      <c r="K1465" s="1360">
        <v>42942</v>
      </c>
      <c r="L1465" s="1430">
        <v>3000000</v>
      </c>
      <c r="M1465" s="1360">
        <v>42942</v>
      </c>
      <c r="N1465" s="1363">
        <v>3000000</v>
      </c>
      <c r="O1465" s="1367">
        <v>43116</v>
      </c>
      <c r="P1465" s="1430">
        <v>3000000</v>
      </c>
      <c r="Q1465" s="1360">
        <v>43291</v>
      </c>
      <c r="R1465" s="1363">
        <v>3000000</v>
      </c>
      <c r="S1465" s="1367">
        <v>43879</v>
      </c>
      <c r="T1465" s="1363">
        <v>3000000</v>
      </c>
      <c r="U1465" s="1367">
        <v>43644</v>
      </c>
      <c r="V1465" s="1363">
        <v>3000000</v>
      </c>
      <c r="W1465" s="1367">
        <v>43879</v>
      </c>
      <c r="X1465" s="1731">
        <v>0</v>
      </c>
      <c r="Y1465" s="1367"/>
      <c r="Z1465" s="1363" t="str">
        <f t="shared" ref="Z1465:Z1469" si="514">IFERROR(VLOOKUP(C1465,BSP,3,FALSE),"  ")</f>
        <v xml:space="preserve">  </v>
      </c>
      <c r="AA1465" s="1563" t="str">
        <f t="shared" ref="AA1465:AA1469" si="515">IFERROR((VLOOKUP(C1465,BSP,4,FALSE)),"  ")</f>
        <v xml:space="preserve">  </v>
      </c>
      <c r="AB1465" s="1714"/>
      <c r="AC1465" s="1367"/>
      <c r="AD1465" s="1666"/>
      <c r="AE1465" s="1590"/>
      <c r="AF1465" s="2061">
        <v>500000</v>
      </c>
      <c r="AG1465" s="2099"/>
      <c r="AH1465" s="1427" t="str">
        <f t="shared" si="509"/>
        <v>KPI</v>
      </c>
      <c r="AI1465" s="1678">
        <f t="shared" si="510"/>
        <v>19100000</v>
      </c>
      <c r="AJ1465" s="1679" t="e">
        <f t="shared" si="511"/>
        <v>#VALUE!</v>
      </c>
      <c r="AK1465" s="1419" t="e">
        <f t="shared" si="512"/>
        <v>#VALUE!</v>
      </c>
      <c r="AL1465" s="1420" t="e">
        <f t="shared" si="513"/>
        <v>#VALUE!</v>
      </c>
      <c r="AM1465" s="1410"/>
      <c r="AN1465" s="1411"/>
      <c r="AO1465" s="1410"/>
      <c r="AP1465" s="1411"/>
      <c r="AQ1465" s="1128"/>
      <c r="AR1465" s="1173"/>
      <c r="AT1465" s="1173"/>
      <c r="AV1465" s="1173"/>
      <c r="AX1465" s="1173"/>
      <c r="AY1465" s="1176"/>
      <c r="AZ1465" s="1173"/>
    </row>
    <row r="1466" spans="1:52" s="2" customFormat="1" x14ac:dyDescent="0.25">
      <c r="A1466" s="156">
        <v>1356</v>
      </c>
      <c r="B1466" s="653">
        <v>9</v>
      </c>
      <c r="C1466" s="2014">
        <v>829117009</v>
      </c>
      <c r="D1466" s="575" t="s">
        <v>1971</v>
      </c>
      <c r="E1466" s="576" t="s">
        <v>1441</v>
      </c>
      <c r="F1466" s="577">
        <v>2017</v>
      </c>
      <c r="G1466" s="272" t="s">
        <v>33</v>
      </c>
      <c r="H1466" s="628">
        <f t="shared" si="503"/>
        <v>43949</v>
      </c>
      <c r="I1466" s="628">
        <f t="shared" si="504"/>
        <v>44168</v>
      </c>
      <c r="J1466" s="1364">
        <v>600000</v>
      </c>
      <c r="K1466" s="1365">
        <v>42942</v>
      </c>
      <c r="L1466" s="1431">
        <v>3000000</v>
      </c>
      <c r="M1466" s="1365">
        <v>42942</v>
      </c>
      <c r="N1466" s="1358">
        <v>3000000</v>
      </c>
      <c r="O1466" s="1357">
        <v>43111</v>
      </c>
      <c r="P1466" s="1431">
        <v>3000000</v>
      </c>
      <c r="Q1466" s="1365">
        <v>43293</v>
      </c>
      <c r="R1466" s="1358">
        <v>3000000</v>
      </c>
      <c r="S1466" s="1357">
        <v>43500</v>
      </c>
      <c r="T1466" s="1358">
        <v>3000000</v>
      </c>
      <c r="U1466" s="1357">
        <v>43643</v>
      </c>
      <c r="V1466" s="1874">
        <v>3000000</v>
      </c>
      <c r="W1466" s="1357">
        <v>43859.412673611099</v>
      </c>
      <c r="X1466" s="1714"/>
      <c r="Y1466" s="1391"/>
      <c r="Z1466" s="1363" t="str">
        <f t="shared" si="514"/>
        <v xml:space="preserve">  </v>
      </c>
      <c r="AA1466" s="1563" t="str">
        <f t="shared" si="515"/>
        <v xml:space="preserve">  </v>
      </c>
      <c r="AB1466" s="1385">
        <v>1000000</v>
      </c>
      <c r="AC1466" s="1357">
        <v>43942</v>
      </c>
      <c r="AD1466" s="1809">
        <v>500000</v>
      </c>
      <c r="AE1466" s="1440">
        <v>43978</v>
      </c>
      <c r="AF1466" s="1430">
        <v>500000</v>
      </c>
      <c r="AG1466" s="2099">
        <v>42965</v>
      </c>
      <c r="AH1466" s="1427" t="str">
        <f t="shared" si="509"/>
        <v>KPI</v>
      </c>
      <c r="AI1466" s="1678">
        <f t="shared" si="510"/>
        <v>20600000</v>
      </c>
      <c r="AJ1466" s="1679" t="e">
        <f t="shared" si="511"/>
        <v>#VALUE!</v>
      </c>
      <c r="AK1466" s="1419" t="e">
        <f t="shared" si="512"/>
        <v>#VALUE!</v>
      </c>
      <c r="AL1466" s="1420" t="e">
        <f t="shared" si="513"/>
        <v>#VALUE!</v>
      </c>
      <c r="AM1466" s="1410"/>
      <c r="AN1466" s="1411"/>
      <c r="AO1466" s="1410"/>
      <c r="AP1466" s="1411"/>
      <c r="AQ1466" s="1128"/>
      <c r="AR1466" s="1173"/>
      <c r="AT1466" s="1173"/>
      <c r="AV1466" s="1173"/>
      <c r="AX1466" s="1173"/>
      <c r="AY1466" s="1176"/>
      <c r="AZ1466" s="1173"/>
    </row>
    <row r="1467" spans="1:52" s="2" customFormat="1" x14ac:dyDescent="0.25">
      <c r="A1467" s="164">
        <v>1357</v>
      </c>
      <c r="B1467" s="652">
        <v>10</v>
      </c>
      <c r="C1467" s="660">
        <v>829117010</v>
      </c>
      <c r="D1467" s="571" t="s">
        <v>1972</v>
      </c>
      <c r="E1467" s="572" t="s">
        <v>1441</v>
      </c>
      <c r="F1467" s="573">
        <v>2017</v>
      </c>
      <c r="G1467" s="360" t="s">
        <v>1483</v>
      </c>
      <c r="H1467" s="574" t="str">
        <f t="shared" si="503"/>
        <v xml:space="preserve">   </v>
      </c>
      <c r="I1467" s="574" t="str">
        <f t="shared" si="504"/>
        <v xml:space="preserve">   </v>
      </c>
      <c r="J1467" s="1366">
        <v>600000</v>
      </c>
      <c r="K1467" s="1360">
        <v>42942</v>
      </c>
      <c r="L1467" s="1430">
        <v>3000000</v>
      </c>
      <c r="M1467" s="1360">
        <v>42942</v>
      </c>
      <c r="N1467" s="1363">
        <v>3000000</v>
      </c>
      <c r="O1467" s="1367">
        <v>43116</v>
      </c>
      <c r="P1467" s="1430">
        <v>3000000</v>
      </c>
      <c r="Q1467" s="1360">
        <v>43293</v>
      </c>
      <c r="R1467" s="1363">
        <v>3000000</v>
      </c>
      <c r="S1467" s="1367">
        <v>43118</v>
      </c>
      <c r="T1467" s="1363">
        <v>3000000</v>
      </c>
      <c r="U1467" s="1367">
        <v>43651</v>
      </c>
      <c r="V1467" s="1731">
        <v>3000000</v>
      </c>
      <c r="W1467" s="1367">
        <v>43860.444224537001</v>
      </c>
      <c r="X1467" s="1731">
        <v>3000000</v>
      </c>
      <c r="Y1467" s="1367">
        <v>44088</v>
      </c>
      <c r="Z1467" s="1363" t="str">
        <f t="shared" si="514"/>
        <v xml:space="preserve">  </v>
      </c>
      <c r="AA1467" s="1563" t="str">
        <f t="shared" si="515"/>
        <v xml:space="preserve">  </v>
      </c>
      <c r="AB1467" s="1714"/>
      <c r="AC1467" s="1367"/>
      <c r="AD1467" s="1666"/>
      <c r="AE1467" s="1590"/>
      <c r="AF1467" s="1430">
        <v>750000</v>
      </c>
      <c r="AG1467" s="2099">
        <v>42972</v>
      </c>
      <c r="AH1467" s="1427" t="str">
        <f t="shared" si="509"/>
        <v>KPI</v>
      </c>
      <c r="AI1467" s="1678">
        <f t="shared" si="510"/>
        <v>22350000</v>
      </c>
      <c r="AJ1467" s="1679" t="e">
        <f t="shared" si="511"/>
        <v>#VALUE!</v>
      </c>
      <c r="AK1467" s="1419" t="e">
        <f t="shared" si="512"/>
        <v>#VALUE!</v>
      </c>
      <c r="AL1467" s="1420" t="e">
        <f t="shared" si="513"/>
        <v>#VALUE!</v>
      </c>
      <c r="AM1467" s="1410"/>
      <c r="AN1467" s="1411"/>
      <c r="AO1467" s="1410"/>
      <c r="AP1467" s="1411"/>
      <c r="AQ1467" s="1128"/>
      <c r="AR1467" s="1173"/>
      <c r="AT1467" s="1173"/>
      <c r="AV1467" s="1173"/>
      <c r="AX1467" s="1173"/>
      <c r="AY1467" s="1176"/>
      <c r="AZ1467" s="1173"/>
    </row>
    <row r="1468" spans="1:52" s="2" customFormat="1" x14ac:dyDescent="0.25">
      <c r="A1468" s="156">
        <v>1358</v>
      </c>
      <c r="B1468" s="653">
        <v>11</v>
      </c>
      <c r="C1468" s="2014">
        <v>829117011</v>
      </c>
      <c r="D1468" s="575" t="s">
        <v>1973</v>
      </c>
      <c r="E1468" s="576" t="s">
        <v>1441</v>
      </c>
      <c r="F1468" s="577">
        <v>2017</v>
      </c>
      <c r="G1468" s="272" t="s">
        <v>33</v>
      </c>
      <c r="H1468" s="628">
        <f t="shared" si="503"/>
        <v>43944</v>
      </c>
      <c r="I1468" s="628">
        <f t="shared" si="504"/>
        <v>44058</v>
      </c>
      <c r="J1468" s="1364">
        <v>600000</v>
      </c>
      <c r="K1468" s="1365">
        <v>42940</v>
      </c>
      <c r="L1468" s="1431">
        <v>3000000</v>
      </c>
      <c r="M1468" s="1365">
        <v>42940</v>
      </c>
      <c r="N1468" s="1358">
        <v>3000000</v>
      </c>
      <c r="O1468" s="1357">
        <v>43110</v>
      </c>
      <c r="P1468" s="1431">
        <v>3000000</v>
      </c>
      <c r="Q1468" s="1365">
        <v>43290</v>
      </c>
      <c r="R1468" s="1358">
        <v>3000000</v>
      </c>
      <c r="S1468" s="1357">
        <v>43482</v>
      </c>
      <c r="T1468" s="1358">
        <v>3000000</v>
      </c>
      <c r="U1468" s="1357">
        <v>43651</v>
      </c>
      <c r="V1468" s="1874">
        <v>3000000</v>
      </c>
      <c r="W1468" s="1357">
        <v>43860.679699074099</v>
      </c>
      <c r="X1468" s="1363"/>
      <c r="Y1468" s="1391"/>
      <c r="Z1468" s="1363" t="str">
        <f t="shared" si="514"/>
        <v xml:space="preserve">  </v>
      </c>
      <c r="AA1468" s="1563" t="str">
        <f t="shared" si="515"/>
        <v xml:space="preserve">  </v>
      </c>
      <c r="AB1468" s="1385">
        <v>1000000</v>
      </c>
      <c r="AC1468" s="1357">
        <v>43903</v>
      </c>
      <c r="AD1468" s="1666"/>
      <c r="AE1468" s="1590"/>
      <c r="AF1468" s="1430">
        <v>750000</v>
      </c>
      <c r="AG1468" s="2099">
        <v>42971</v>
      </c>
      <c r="AH1468" s="1427" t="str">
        <f t="shared" si="509"/>
        <v>KPI</v>
      </c>
      <c r="AI1468" s="1678">
        <f t="shared" si="510"/>
        <v>20350000</v>
      </c>
      <c r="AJ1468" s="1679" t="e">
        <f t="shared" si="511"/>
        <v>#VALUE!</v>
      </c>
      <c r="AK1468" s="1419" t="e">
        <f t="shared" si="512"/>
        <v>#VALUE!</v>
      </c>
      <c r="AL1468" s="1420" t="e">
        <f t="shared" si="513"/>
        <v>#VALUE!</v>
      </c>
      <c r="AM1468" s="1410"/>
      <c r="AN1468" s="1411"/>
      <c r="AO1468" s="1410"/>
      <c r="AP1468" s="1411"/>
      <c r="AQ1468" s="1128"/>
      <c r="AR1468" s="1173"/>
      <c r="AT1468" s="1173"/>
      <c r="AV1468" s="1173"/>
      <c r="AX1468" s="1173"/>
      <c r="AY1468" s="1176"/>
      <c r="AZ1468" s="1173"/>
    </row>
    <row r="1469" spans="1:52" s="2" customFormat="1" x14ac:dyDescent="0.25">
      <c r="A1469" s="156">
        <v>1359</v>
      </c>
      <c r="B1469" s="653">
        <v>12</v>
      </c>
      <c r="C1469" s="2014">
        <v>829117012</v>
      </c>
      <c r="D1469" s="575" t="s">
        <v>1974</v>
      </c>
      <c r="E1469" s="576" t="s">
        <v>1441</v>
      </c>
      <c r="F1469" s="577">
        <v>2017</v>
      </c>
      <c r="G1469" s="272" t="s">
        <v>33</v>
      </c>
      <c r="H1469" s="628">
        <f t="shared" si="503"/>
        <v>43580</v>
      </c>
      <c r="I1469" s="628">
        <f t="shared" si="504"/>
        <v>43705</v>
      </c>
      <c r="J1469" s="1364">
        <v>600000</v>
      </c>
      <c r="K1469" s="1365">
        <v>42940</v>
      </c>
      <c r="L1469" s="1431">
        <v>3000000</v>
      </c>
      <c r="M1469" s="1365">
        <v>42940</v>
      </c>
      <c r="N1469" s="1358">
        <v>3000000</v>
      </c>
      <c r="O1469" s="1357">
        <v>43110</v>
      </c>
      <c r="P1469" s="1431">
        <v>3000000</v>
      </c>
      <c r="Q1469" s="1365">
        <v>43290</v>
      </c>
      <c r="R1469" s="1358">
        <v>3000000</v>
      </c>
      <c r="S1469" s="1357">
        <v>43481</v>
      </c>
      <c r="T1469" s="1382" t="s">
        <v>1080</v>
      </c>
      <c r="U1469" s="1384"/>
      <c r="V1469" s="1363"/>
      <c r="W1469" s="1391"/>
      <c r="X1469" s="1363"/>
      <c r="Y1469" s="1391"/>
      <c r="Z1469" s="1363" t="str">
        <f t="shared" si="514"/>
        <v xml:space="preserve">  </v>
      </c>
      <c r="AA1469" s="1563" t="str">
        <f t="shared" si="515"/>
        <v xml:space="preserve">  </v>
      </c>
      <c r="AB1469" s="1385">
        <v>1000000</v>
      </c>
      <c r="AC1469" s="1357">
        <v>43571</v>
      </c>
      <c r="AD1469" s="1666"/>
      <c r="AE1469" s="1590"/>
      <c r="AF1469" s="1430">
        <v>750000</v>
      </c>
      <c r="AG1469" s="2099">
        <v>42970</v>
      </c>
      <c r="AH1469" s="1427" t="str">
        <f t="shared" si="509"/>
        <v>KPI</v>
      </c>
      <c r="AI1469" s="1678">
        <f t="shared" si="510"/>
        <v>14350000</v>
      </c>
      <c r="AJ1469" s="1679" t="e">
        <f t="shared" si="511"/>
        <v>#VALUE!</v>
      </c>
      <c r="AK1469" s="1419" t="e">
        <f t="shared" si="512"/>
        <v>#VALUE!</v>
      </c>
      <c r="AL1469" s="1420" t="e">
        <f t="shared" si="513"/>
        <v>#VALUE!</v>
      </c>
      <c r="AM1469" s="1410"/>
      <c r="AN1469" s="1411"/>
      <c r="AO1469" s="1410"/>
      <c r="AP1469" s="1411"/>
      <c r="AQ1469" s="1128"/>
      <c r="AR1469" s="1173"/>
      <c r="AT1469" s="1173"/>
      <c r="AV1469" s="1173"/>
      <c r="AX1469" s="1173"/>
      <c r="AY1469" s="1176"/>
      <c r="AZ1469" s="1173"/>
    </row>
    <row r="1470" spans="1:52" s="2" customFormat="1" x14ac:dyDescent="0.25">
      <c r="A1470" s="156">
        <v>1360</v>
      </c>
      <c r="B1470" s="653">
        <v>13</v>
      </c>
      <c r="C1470" s="2014">
        <v>829117013</v>
      </c>
      <c r="D1470" s="575" t="s">
        <v>1975</v>
      </c>
      <c r="E1470" s="576" t="s">
        <v>1441</v>
      </c>
      <c r="F1470" s="577">
        <v>2017</v>
      </c>
      <c r="G1470" s="272" t="s">
        <v>33</v>
      </c>
      <c r="H1470" s="628">
        <f t="shared" si="503"/>
        <v>44018</v>
      </c>
      <c r="I1470" s="628">
        <f t="shared" si="504"/>
        <v>44168</v>
      </c>
      <c r="J1470" s="1364">
        <v>600000</v>
      </c>
      <c r="K1470" s="1365">
        <v>42923</v>
      </c>
      <c r="L1470" s="1431">
        <v>3000000</v>
      </c>
      <c r="M1470" s="1365">
        <v>42943</v>
      </c>
      <c r="N1470" s="1358">
        <v>3000000</v>
      </c>
      <c r="O1470" s="1357">
        <v>43110</v>
      </c>
      <c r="P1470" s="1431">
        <v>3000000</v>
      </c>
      <c r="Q1470" s="1365">
        <v>43290</v>
      </c>
      <c r="R1470" s="1358">
        <v>3000000</v>
      </c>
      <c r="S1470" s="1357">
        <v>43481</v>
      </c>
      <c r="T1470" s="1358">
        <v>3000000</v>
      </c>
      <c r="U1470" s="1357">
        <v>43651</v>
      </c>
      <c r="V1470" s="1874">
        <v>3000000</v>
      </c>
      <c r="W1470" s="1357">
        <v>43860.442453703698</v>
      </c>
      <c r="X1470" s="1714"/>
      <c r="Y1470" s="1391"/>
      <c r="Z1470" s="1363"/>
      <c r="AA1470" s="1563"/>
      <c r="AB1470" s="1385">
        <v>1000000</v>
      </c>
      <c r="AC1470" s="1357">
        <v>43966</v>
      </c>
      <c r="AD1470" s="1809">
        <v>500000</v>
      </c>
      <c r="AE1470" s="1440">
        <v>44078</v>
      </c>
      <c r="AF1470" s="1430">
        <v>750000</v>
      </c>
      <c r="AG1470" s="2099">
        <v>42972</v>
      </c>
      <c r="AH1470" s="1427" t="str">
        <f t="shared" si="509"/>
        <v>KPI</v>
      </c>
      <c r="AI1470" s="1678">
        <f t="shared" si="510"/>
        <v>20850000</v>
      </c>
      <c r="AJ1470" s="1679" t="e">
        <f t="shared" si="511"/>
        <v>#VALUE!</v>
      </c>
      <c r="AK1470" s="1419" t="e">
        <f t="shared" si="512"/>
        <v>#VALUE!</v>
      </c>
      <c r="AL1470" s="1420" t="e">
        <f t="shared" si="513"/>
        <v>#VALUE!</v>
      </c>
      <c r="AM1470" s="1410"/>
      <c r="AN1470" s="1411"/>
      <c r="AO1470" s="1410"/>
      <c r="AP1470" s="1411"/>
      <c r="AQ1470" s="1128"/>
      <c r="AR1470" s="1173"/>
      <c r="AT1470" s="1173"/>
      <c r="AV1470" s="1173"/>
      <c r="AX1470" s="1173"/>
      <c r="AY1470" s="1176"/>
      <c r="AZ1470" s="1173"/>
    </row>
    <row r="1471" spans="1:52" s="2" customFormat="1" x14ac:dyDescent="0.25">
      <c r="A1471" s="216">
        <v>1361</v>
      </c>
      <c r="B1471" s="654">
        <v>14</v>
      </c>
      <c r="C1471" s="679">
        <v>829117014</v>
      </c>
      <c r="D1471" s="601" t="s">
        <v>1976</v>
      </c>
      <c r="E1471" s="602" t="s">
        <v>1441</v>
      </c>
      <c r="F1471" s="603">
        <v>2017</v>
      </c>
      <c r="G1471" s="2111" t="s">
        <v>28</v>
      </c>
      <c r="H1471" s="604" t="str">
        <f t="shared" si="503"/>
        <v xml:space="preserve">   </v>
      </c>
      <c r="I1471" s="604" t="str">
        <f t="shared" si="504"/>
        <v xml:space="preserve">   </v>
      </c>
      <c r="J1471" s="1444">
        <v>600000</v>
      </c>
      <c r="K1471" s="1557">
        <v>42943</v>
      </c>
      <c r="L1471" s="1448">
        <v>3000000</v>
      </c>
      <c r="M1471" s="1557">
        <v>42943</v>
      </c>
      <c r="N1471" s="1446">
        <v>3000000</v>
      </c>
      <c r="O1471" s="1445">
        <v>43116</v>
      </c>
      <c r="P1471" s="1448">
        <v>3000000</v>
      </c>
      <c r="Q1471" s="1557">
        <v>43294</v>
      </c>
      <c r="R1471" s="1446">
        <v>3000000</v>
      </c>
      <c r="S1471" s="2305" t="s">
        <v>1977</v>
      </c>
      <c r="T1471" s="1446">
        <v>3000000</v>
      </c>
      <c r="U1471" s="1445">
        <v>43669</v>
      </c>
      <c r="V1471" s="2125" t="s">
        <v>1078</v>
      </c>
      <c r="W1471" s="2000">
        <v>43861</v>
      </c>
      <c r="X1471" s="1731">
        <v>0</v>
      </c>
      <c r="Y1471" s="1367"/>
      <c r="Z1471" s="1363" t="str">
        <f>IFERROR(VLOOKUP(C1471,BSP,3,FALSE),"  ")</f>
        <v xml:space="preserve">  </v>
      </c>
      <c r="AA1471" s="1563" t="str">
        <f>IFERROR((VLOOKUP(C1471,BSP,4,FALSE)),"  ")</f>
        <v xml:space="preserve">  </v>
      </c>
      <c r="AB1471" s="1724"/>
      <c r="AC1471" s="1445"/>
      <c r="AD1471" s="1666"/>
      <c r="AE1471" s="1590"/>
      <c r="AF1471" s="1448">
        <v>750000</v>
      </c>
      <c r="AG1471" s="2101">
        <v>42972</v>
      </c>
      <c r="AH1471" s="2129" t="str">
        <f t="shared" si="509"/>
        <v>KPI</v>
      </c>
      <c r="AI1471" s="1678">
        <f t="shared" si="510"/>
        <v>16350000</v>
      </c>
      <c r="AJ1471" s="1679" t="e">
        <f t="shared" si="511"/>
        <v>#VALUE!</v>
      </c>
      <c r="AK1471" s="1419" t="e">
        <f t="shared" si="512"/>
        <v>#VALUE!</v>
      </c>
      <c r="AL1471" s="1420" t="e">
        <f t="shared" si="513"/>
        <v>#VALUE!</v>
      </c>
      <c r="AM1471" s="1410"/>
      <c r="AN1471" s="1411"/>
      <c r="AO1471" s="1410"/>
      <c r="AP1471" s="1411"/>
      <c r="AQ1471" s="1128"/>
      <c r="AR1471" s="1173"/>
      <c r="AT1471" s="1173"/>
      <c r="AV1471" s="1173"/>
      <c r="AX1471" s="1173"/>
      <c r="AY1471" s="1176"/>
      <c r="AZ1471" s="1173"/>
    </row>
    <row r="1472" spans="1:52" s="2" customFormat="1" x14ac:dyDescent="0.25">
      <c r="A1472" s="223"/>
      <c r="B1472" s="223"/>
      <c r="C1472" s="2104"/>
      <c r="D1472" s="605"/>
      <c r="E1472" s="227" t="s">
        <v>61</v>
      </c>
      <c r="F1472" s="387" t="s">
        <v>61</v>
      </c>
      <c r="G1472" s="192" t="s">
        <v>61</v>
      </c>
      <c r="H1472" s="439" t="str">
        <f t="shared" si="503"/>
        <v xml:space="preserve">   </v>
      </c>
      <c r="I1472" s="439" t="str">
        <f t="shared" si="504"/>
        <v xml:space="preserve">   </v>
      </c>
      <c r="J1472" s="2024"/>
      <c r="K1472" s="1348"/>
      <c r="L1472" s="2024"/>
      <c r="M1472" s="1348"/>
      <c r="N1472" s="2024"/>
      <c r="O1472" s="1348"/>
      <c r="P1472" s="2024"/>
      <c r="Q1472" s="1348"/>
      <c r="R1472" s="2024"/>
      <c r="S1472" s="1378"/>
      <c r="T1472" s="2024"/>
      <c r="U1472" s="1348"/>
      <c r="V1472" s="1960"/>
      <c r="W1472" s="2057"/>
      <c r="X1472" s="1960"/>
      <c r="Y1472" s="2057"/>
      <c r="Z1472" s="2127"/>
      <c r="AA1472" s="1348"/>
      <c r="AB1472" s="2024">
        <v>1000000</v>
      </c>
      <c r="AC1472" s="1348"/>
      <c r="AD1472" s="2088"/>
      <c r="AE1472" s="1155"/>
      <c r="AF1472" s="1769"/>
      <c r="AG1472" s="1155"/>
      <c r="AH1472" s="1408" t="str">
        <f t="shared" si="509"/>
        <v>-</v>
      </c>
      <c r="AI1472" s="1512"/>
      <c r="AJ1472" s="1409"/>
      <c r="AK1472" s="1409"/>
      <c r="AL1472" s="1513"/>
      <c r="AM1472" s="1513"/>
      <c r="AN1472" s="1514"/>
      <c r="AO1472" s="1513"/>
      <c r="AP1472" s="1514"/>
      <c r="AQ1472" s="1857"/>
      <c r="AR1472" s="1858"/>
      <c r="AS1472" s="1859"/>
      <c r="AT1472" s="1860"/>
      <c r="AU1472" s="1861"/>
      <c r="AV1472" s="1862"/>
      <c r="AW1472" s="1898"/>
      <c r="AX1472" s="1899"/>
      <c r="AY1472" s="1900"/>
      <c r="AZ1472" s="1901"/>
    </row>
    <row r="1473" spans="1:55" s="2" customFormat="1" x14ac:dyDescent="0.25">
      <c r="A1473" s="656" t="s">
        <v>1978</v>
      </c>
      <c r="B1473" s="656"/>
      <c r="C1473" s="417"/>
      <c r="D1473" s="656"/>
      <c r="E1473" s="657" t="s">
        <v>1096</v>
      </c>
      <c r="F1473" s="658" t="s">
        <v>1096</v>
      </c>
      <c r="G1473" s="146">
        <v>6000000</v>
      </c>
      <c r="H1473" s="147" t="str">
        <f t="shared" si="503"/>
        <v xml:space="preserve">   </v>
      </c>
      <c r="I1473" s="147" t="str">
        <f t="shared" si="504"/>
        <v xml:space="preserve">   </v>
      </c>
      <c r="J1473" s="1349">
        <v>750000</v>
      </c>
      <c r="K1473" s="2148"/>
      <c r="L1473" s="2149" t="s">
        <v>1979</v>
      </c>
      <c r="M1473" s="1438" t="s">
        <v>1066</v>
      </c>
      <c r="N1473" s="2149" t="s">
        <v>1739</v>
      </c>
      <c r="O1473" s="1438" t="s">
        <v>1068</v>
      </c>
      <c r="P1473" s="2149" t="s">
        <v>1740</v>
      </c>
      <c r="Q1473" s="1438" t="s">
        <v>1141</v>
      </c>
      <c r="R1473" s="2149" t="s">
        <v>1741</v>
      </c>
      <c r="S1473" s="1438" t="s">
        <v>1325</v>
      </c>
      <c r="T1473" s="2149" t="s">
        <v>1742</v>
      </c>
      <c r="U1473" s="1438" t="s">
        <v>1463</v>
      </c>
      <c r="V1473" s="2149" t="s">
        <v>1059</v>
      </c>
      <c r="W1473" s="1438" t="s">
        <v>1464</v>
      </c>
      <c r="X1473" s="1771" t="s">
        <v>1061</v>
      </c>
      <c r="Y1473" s="1438" t="s">
        <v>1466</v>
      </c>
      <c r="Z1473" s="1771" t="s">
        <v>1063</v>
      </c>
      <c r="AA1473" s="1438" t="s">
        <v>1468</v>
      </c>
      <c r="AB1473" s="1813" t="s">
        <v>1065</v>
      </c>
      <c r="AC1473" s="1814" t="s">
        <v>1470</v>
      </c>
      <c r="AD1473" s="1815" t="s">
        <v>1067</v>
      </c>
      <c r="AE1473" s="1814" t="s">
        <v>1718</v>
      </c>
      <c r="AF1473" s="1815" t="s">
        <v>1465</v>
      </c>
      <c r="AG1473" s="1814" t="s">
        <v>1719</v>
      </c>
      <c r="AH1473" s="1408" t="str">
        <f t="shared" si="509"/>
        <v>#</v>
      </c>
      <c r="AI1473" s="1512"/>
      <c r="AJ1473" s="1409"/>
      <c r="AK1473" s="1409"/>
      <c r="AL1473" s="1513"/>
      <c r="AM1473" s="1815" t="s">
        <v>1467</v>
      </c>
      <c r="AN1473" s="1814" t="s">
        <v>1980</v>
      </c>
      <c r="AO1473" s="1815" t="s">
        <v>1469</v>
      </c>
      <c r="AP1473" s="1814" t="s">
        <v>1981</v>
      </c>
      <c r="AQ1473" s="1450" t="s">
        <v>1471</v>
      </c>
      <c r="AR1473" s="1863">
        <v>2000000</v>
      </c>
      <c r="AS1473" s="1450" t="s">
        <v>1472</v>
      </c>
      <c r="AT1473" s="1863">
        <v>1500000</v>
      </c>
      <c r="AU1473" s="1450" t="s">
        <v>1473</v>
      </c>
      <c r="AV1473" s="1863">
        <v>2000000</v>
      </c>
      <c r="AW1473" s="1450" t="s">
        <v>1474</v>
      </c>
      <c r="AX1473" s="1863">
        <v>4000000</v>
      </c>
      <c r="AY1473" s="1450" t="s">
        <v>1475</v>
      </c>
      <c r="AZ1473" s="1863">
        <v>10000000</v>
      </c>
      <c r="BA1473" s="1450" t="s">
        <v>22</v>
      </c>
      <c r="BB1473" s="1902">
        <v>500000</v>
      </c>
    </row>
    <row r="1474" spans="1:55" s="2" customFormat="1" x14ac:dyDescent="0.25">
      <c r="A1474" s="457">
        <v>1362</v>
      </c>
      <c r="B1474" s="648">
        <v>1</v>
      </c>
      <c r="C1474" s="659">
        <v>841917001</v>
      </c>
      <c r="D1474" s="609" t="s">
        <v>1982</v>
      </c>
      <c r="E1474" s="649" t="s">
        <v>1477</v>
      </c>
      <c r="F1474" s="650">
        <v>2017</v>
      </c>
      <c r="G1474" s="360" t="s">
        <v>1483</v>
      </c>
      <c r="H1474" s="651" t="str">
        <f t="shared" si="503"/>
        <v xml:space="preserve">   </v>
      </c>
      <c r="I1474" s="651" t="str">
        <f t="shared" si="504"/>
        <v xml:space="preserve">   </v>
      </c>
      <c r="J1474" s="1558">
        <v>750000</v>
      </c>
      <c r="K1474" s="1542"/>
      <c r="L1474" s="1818">
        <v>6000000</v>
      </c>
      <c r="M1474" s="1542"/>
      <c r="N1474" s="2150">
        <v>6000000</v>
      </c>
      <c r="O1474" s="2045">
        <v>43115</v>
      </c>
      <c r="P1474" s="2043">
        <v>6000000</v>
      </c>
      <c r="Q1474" s="2049">
        <v>43809.450706018499</v>
      </c>
      <c r="R1474" s="2043">
        <v>6000000</v>
      </c>
      <c r="S1474" s="2049">
        <v>43809.450706018499</v>
      </c>
      <c r="T1474" s="2043">
        <v>6000000</v>
      </c>
      <c r="U1474" s="2049">
        <v>43809.450706018499</v>
      </c>
      <c r="V1474" s="2043">
        <v>6000000</v>
      </c>
      <c r="W1474" s="2167">
        <v>43517</v>
      </c>
      <c r="X1474" s="1880">
        <v>6000000</v>
      </c>
      <c r="Y1474" s="1367">
        <v>44049</v>
      </c>
      <c r="Z1474" s="1363">
        <f t="shared" ref="Z1474:Z1482" si="516">IFERROR(VLOOKUP(C1474,BSP,3,FALSE),"  ")</f>
        <v>7500000</v>
      </c>
      <c r="AA1474" s="1391">
        <f t="shared" ref="AA1474:AA1482" si="517">IFERROR((VLOOKUP(C1474,BSP,4,FALSE)),"  ")</f>
        <v>44049.420787037001</v>
      </c>
      <c r="AB1474" s="1363"/>
      <c r="AC1474" s="1391"/>
      <c r="AD1474" s="1476"/>
      <c r="AE1474" s="1391"/>
      <c r="AF1474" s="1430"/>
      <c r="AG1474" s="1391"/>
      <c r="AH1474" s="2062" t="str">
        <f t="shared" si="509"/>
        <v>MPI-S3</v>
      </c>
      <c r="AI1474" s="1963">
        <f>SUM(J1474,L1474,N1474,P1474,R1474,T1474,V1474,X1474,Z1474,AB1474,AD1474,AF1474,AM1474,AO1474,AQ1474,AS1474,AU1474,AW1474,AY1474,BA1474)</f>
        <v>53750000</v>
      </c>
      <c r="AJ1474" s="1963">
        <f t="shared" ref="AJ1474:AJ1481" si="518">(COUNT(L1474,N1474,P1474,R1474,T1474,V1474,X1474,Z1474,AB1474,AD1474,AF1474,AM1474,AO1474)*$G$1473)+(COUNT(J1474)*$J$1473)+(COUNT(AQ1474)*$AR$1473)+(COUNT(AS1474)*$AT$1473)+(COUNT(AU1474)*$AV$1473)++(COUNT(AW1474)*$AX$1473)+(COUNT(AY1474)*$AZ$1473)+(COUNT(BA1474)*$BB$1473)</f>
        <v>52250000</v>
      </c>
      <c r="AK1474" s="1836">
        <f t="shared" ref="AK1474" si="519">AJ1474-AI1474</f>
        <v>-1500000</v>
      </c>
      <c r="AL1474" s="1855" t="str">
        <f t="shared" ref="AL1474" si="520">IF(AK1474=0,"Lunas","Cek")</f>
        <v>Cek</v>
      </c>
      <c r="AM1474" s="1410"/>
      <c r="AN1474" s="1411"/>
      <c r="AO1474" s="1410"/>
      <c r="AP1474" s="1411"/>
      <c r="AQ1474" s="1880">
        <v>2000000</v>
      </c>
      <c r="AR1474" s="2167">
        <v>43517</v>
      </c>
      <c r="AS1474" s="1880">
        <v>1500000</v>
      </c>
      <c r="AT1474" s="2051">
        <v>44049</v>
      </c>
      <c r="AU1474" s="1731"/>
      <c r="AV1474" s="1870"/>
      <c r="AW1474" s="1731"/>
      <c r="AX1474" s="1870"/>
      <c r="AY1474" s="1906"/>
      <c r="AZ1474" s="1870"/>
      <c r="BA1474" s="1906"/>
      <c r="BB1474" s="1870"/>
    </row>
    <row r="1475" spans="1:55" s="2" customFormat="1" x14ac:dyDescent="0.25">
      <c r="A1475" s="164">
        <v>1363</v>
      </c>
      <c r="B1475" s="652">
        <v>2</v>
      </c>
      <c r="C1475" s="660">
        <v>841917002</v>
      </c>
      <c r="D1475" s="571" t="s">
        <v>1983</v>
      </c>
      <c r="E1475" s="585" t="s">
        <v>1477</v>
      </c>
      <c r="F1475" s="579">
        <v>2017</v>
      </c>
      <c r="G1475" s="1758" t="s">
        <v>28</v>
      </c>
      <c r="H1475" s="580" t="str">
        <f t="shared" si="503"/>
        <v xml:space="preserve">   </v>
      </c>
      <c r="I1475" s="580" t="str">
        <f t="shared" si="504"/>
        <v xml:space="preserve">   </v>
      </c>
      <c r="J1475" s="1366">
        <v>750000</v>
      </c>
      <c r="K1475" s="1360">
        <v>42941</v>
      </c>
      <c r="L1475" s="1430">
        <v>6000000</v>
      </c>
      <c r="M1475" s="1360">
        <v>42941</v>
      </c>
      <c r="N1475" s="2052">
        <v>6000000</v>
      </c>
      <c r="O1475" s="2051">
        <v>43116</v>
      </c>
      <c r="P1475" s="1794">
        <v>6000000</v>
      </c>
      <c r="Q1475" s="1822">
        <v>43389</v>
      </c>
      <c r="R1475" s="2043">
        <v>6000000</v>
      </c>
      <c r="S1475" s="1820">
        <v>43818.370173611103</v>
      </c>
      <c r="T1475" s="2043">
        <v>6000000</v>
      </c>
      <c r="U1475" s="1820">
        <v>43818.370173611103</v>
      </c>
      <c r="V1475" s="2043">
        <v>6000000</v>
      </c>
      <c r="W1475" s="2055">
        <v>43899</v>
      </c>
      <c r="X1475" s="1731">
        <v>0</v>
      </c>
      <c r="Y1475" s="1367"/>
      <c r="Z1475" s="1363">
        <f t="shared" si="516"/>
        <v>1500000</v>
      </c>
      <c r="AA1475" s="1391">
        <f t="shared" si="517"/>
        <v>44033.589571759301</v>
      </c>
      <c r="AB1475" s="1363"/>
      <c r="AC1475" s="1391"/>
      <c r="AD1475" s="1476"/>
      <c r="AE1475" s="1391"/>
      <c r="AF1475" s="1430"/>
      <c r="AG1475" s="1391"/>
      <c r="AH1475" s="2064" t="str">
        <f t="shared" si="509"/>
        <v>MPI-S3</v>
      </c>
      <c r="AI1475" s="1963">
        <f t="shared" ref="AI1475:AI1481" si="521">SUM(J1475,L1475,N1475,P1475,R1475,T1475,V1475,X1475,Z1475,AB1475,AD1475,AF1475,AM1475,AO1475,AQ1475,AS1475,AU1475,AW1475,AY1475,BA1475)</f>
        <v>41750000</v>
      </c>
      <c r="AJ1475" s="1963">
        <f t="shared" si="518"/>
        <v>52250000</v>
      </c>
      <c r="AK1475" s="1836">
        <f t="shared" ref="AK1475:AK1481" si="522">AJ1475-AI1475</f>
        <v>10500000</v>
      </c>
      <c r="AL1475" s="1855" t="str">
        <f t="shared" ref="AL1475:AL1481" si="523">IF(AK1475=0,"Lunas","Cek")</f>
        <v>Cek</v>
      </c>
      <c r="AM1475" s="1410"/>
      <c r="AN1475" s="1411"/>
      <c r="AO1475" s="1410"/>
      <c r="AP1475" s="1411"/>
      <c r="AQ1475" s="1880">
        <v>2000000</v>
      </c>
      <c r="AR1475" s="1885">
        <v>43819.447939814803</v>
      </c>
      <c r="AS1475" s="1889">
        <v>1500000</v>
      </c>
      <c r="AT1475" s="1890">
        <v>44033</v>
      </c>
      <c r="AU1475" s="1731"/>
      <c r="AV1475" s="1870"/>
      <c r="AW1475" s="1731"/>
      <c r="AX1475" s="1870"/>
      <c r="AY1475" s="1906"/>
      <c r="AZ1475" s="1870"/>
      <c r="BA1475" s="1906"/>
      <c r="BB1475" s="1870"/>
    </row>
    <row r="1476" spans="1:55" s="2" customFormat="1" x14ac:dyDescent="0.25">
      <c r="A1476" s="164">
        <v>1364</v>
      </c>
      <c r="B1476" s="652">
        <v>3</v>
      </c>
      <c r="C1476" s="660">
        <v>841917003</v>
      </c>
      <c r="D1476" s="166" t="s">
        <v>1984</v>
      </c>
      <c r="E1476" s="168" t="s">
        <v>1477</v>
      </c>
      <c r="F1476" s="661">
        <v>2017</v>
      </c>
      <c r="G1476" s="1758" t="s">
        <v>28</v>
      </c>
      <c r="H1476" s="580" t="str">
        <f t="shared" si="503"/>
        <v xml:space="preserve">   </v>
      </c>
      <c r="I1476" s="580" t="str">
        <f t="shared" si="504"/>
        <v xml:space="preserve">   </v>
      </c>
      <c r="J1476" s="1366"/>
      <c r="K1476" s="1360"/>
      <c r="L1476" s="1430">
        <v>3000000</v>
      </c>
      <c r="M1476" s="1360">
        <v>42942</v>
      </c>
      <c r="N1476" s="1363">
        <v>0</v>
      </c>
      <c r="O1476" s="1367"/>
      <c r="P1476" s="1430">
        <v>0</v>
      </c>
      <c r="Q1476" s="1360"/>
      <c r="R1476" s="1430">
        <v>0</v>
      </c>
      <c r="S1476" s="1360"/>
      <c r="T1476" s="1430">
        <v>0</v>
      </c>
      <c r="U1476" s="1367" t="s">
        <v>783</v>
      </c>
      <c r="V1476" s="1731">
        <v>0</v>
      </c>
      <c r="W1476" s="1367"/>
      <c r="X1476" s="1731">
        <v>0</v>
      </c>
      <c r="Y1476" s="1367"/>
      <c r="Z1476" s="1363" t="str">
        <f t="shared" si="516"/>
        <v xml:space="preserve">  </v>
      </c>
      <c r="AA1476" s="1391" t="str">
        <f t="shared" si="517"/>
        <v xml:space="preserve">  </v>
      </c>
      <c r="AB1476" s="1363"/>
      <c r="AC1476" s="1391"/>
      <c r="AD1476" s="1476"/>
      <c r="AE1476" s="1391"/>
      <c r="AF1476" s="1430"/>
      <c r="AG1476" s="1391"/>
      <c r="AH1476" s="2064" t="str">
        <f t="shared" si="509"/>
        <v>MPI-S3</v>
      </c>
      <c r="AI1476" s="1963">
        <f t="shared" si="521"/>
        <v>3000000</v>
      </c>
      <c r="AJ1476" s="1963">
        <f t="shared" si="518"/>
        <v>42000000</v>
      </c>
      <c r="AK1476" s="1836">
        <f t="shared" si="522"/>
        <v>39000000</v>
      </c>
      <c r="AL1476" s="1855" t="str">
        <f t="shared" si="523"/>
        <v>Cek</v>
      </c>
      <c r="AM1476" s="1410"/>
      <c r="AN1476" s="1411"/>
      <c r="AO1476" s="1410"/>
      <c r="AP1476" s="1411"/>
      <c r="AQ1476" s="1731"/>
      <c r="AR1476" s="1870"/>
      <c r="AS1476" s="1731"/>
      <c r="AT1476" s="1871"/>
      <c r="AU1476" s="1731"/>
      <c r="AV1476" s="1870"/>
      <c r="AW1476" s="1731"/>
      <c r="AX1476" s="1870"/>
      <c r="AY1476" s="1906"/>
      <c r="AZ1476" s="1870"/>
      <c r="BA1476" s="1906"/>
      <c r="BB1476" s="1870"/>
    </row>
    <row r="1477" spans="1:55" s="5" customFormat="1" x14ac:dyDescent="0.25">
      <c r="A1477" s="164">
        <v>1365</v>
      </c>
      <c r="B1477" s="652">
        <v>4</v>
      </c>
      <c r="C1477" s="660">
        <v>841917004</v>
      </c>
      <c r="D1477" s="662" t="s">
        <v>1985</v>
      </c>
      <c r="E1477" s="585" t="s">
        <v>1477</v>
      </c>
      <c r="F1477" s="579">
        <v>2017</v>
      </c>
      <c r="G1477" s="1758" t="s">
        <v>28</v>
      </c>
      <c r="H1477" s="580" t="str">
        <f t="shared" si="503"/>
        <v xml:space="preserve">   </v>
      </c>
      <c r="I1477" s="580" t="str">
        <f t="shared" si="504"/>
        <v xml:space="preserve">   </v>
      </c>
      <c r="J1477" s="1366">
        <v>750000</v>
      </c>
      <c r="K1477" s="1360">
        <v>42940</v>
      </c>
      <c r="L1477" s="1430">
        <v>6000000</v>
      </c>
      <c r="M1477" s="1360">
        <v>42940</v>
      </c>
      <c r="N1477" s="1430">
        <v>0</v>
      </c>
      <c r="O1477" s="1360"/>
      <c r="P1477" s="1430">
        <v>0</v>
      </c>
      <c r="Q1477" s="1360"/>
      <c r="R1477" s="1430">
        <v>0</v>
      </c>
      <c r="S1477" s="1360"/>
      <c r="T1477" s="1430">
        <v>0</v>
      </c>
      <c r="U1477" s="1360" t="s">
        <v>783</v>
      </c>
      <c r="V1477" s="1731">
        <v>0</v>
      </c>
      <c r="W1477" s="1367"/>
      <c r="X1477" s="1731">
        <v>0</v>
      </c>
      <c r="Y1477" s="1367"/>
      <c r="Z1477" s="1363" t="str">
        <f t="shared" si="516"/>
        <v xml:space="preserve">  </v>
      </c>
      <c r="AA1477" s="1391" t="str">
        <f t="shared" si="517"/>
        <v xml:space="preserve">  </v>
      </c>
      <c r="AB1477" s="1363"/>
      <c r="AC1477" s="1391"/>
      <c r="AD1477" s="1476"/>
      <c r="AE1477" s="1391"/>
      <c r="AF1477" s="1430"/>
      <c r="AG1477" s="1391"/>
      <c r="AH1477" s="2064" t="str">
        <f t="shared" si="509"/>
        <v>MPI-S3</v>
      </c>
      <c r="AI1477" s="1963">
        <f t="shared" si="521"/>
        <v>6750000</v>
      </c>
      <c r="AJ1477" s="1963">
        <f t="shared" si="518"/>
        <v>42750000</v>
      </c>
      <c r="AK1477" s="1836">
        <f t="shared" si="522"/>
        <v>36000000</v>
      </c>
      <c r="AL1477" s="1855" t="str">
        <f t="shared" si="523"/>
        <v>Cek</v>
      </c>
      <c r="AM1477" s="1410"/>
      <c r="AN1477" s="1411"/>
      <c r="AO1477" s="1410"/>
      <c r="AP1477" s="1411"/>
      <c r="AQ1477" s="1731"/>
      <c r="AR1477" s="1870"/>
      <c r="AS1477" s="1731"/>
      <c r="AT1477" s="1871"/>
      <c r="AU1477" s="1731"/>
      <c r="AV1477" s="1870"/>
      <c r="AW1477" s="1731"/>
      <c r="AX1477" s="1870"/>
      <c r="AY1477" s="1906"/>
      <c r="AZ1477" s="1870"/>
      <c r="BA1477" s="1906"/>
      <c r="BB1477" s="1870"/>
    </row>
    <row r="1478" spans="1:55" s="2" customFormat="1" x14ac:dyDescent="0.25">
      <c r="A1478" s="164">
        <v>1366</v>
      </c>
      <c r="B1478" s="652">
        <v>5</v>
      </c>
      <c r="C1478" s="660">
        <v>841917005</v>
      </c>
      <c r="D1478" s="571" t="s">
        <v>1986</v>
      </c>
      <c r="E1478" s="585" t="s">
        <v>1477</v>
      </c>
      <c r="F1478" s="579">
        <v>2017</v>
      </c>
      <c r="G1478" s="1758" t="s">
        <v>28</v>
      </c>
      <c r="H1478" s="580" t="str">
        <f t="shared" si="503"/>
        <v xml:space="preserve">   </v>
      </c>
      <c r="I1478" s="580" t="str">
        <f t="shared" si="504"/>
        <v xml:space="preserve">   </v>
      </c>
      <c r="J1478" s="1366">
        <v>750000</v>
      </c>
      <c r="K1478" s="1360">
        <v>42940</v>
      </c>
      <c r="L1478" s="1430">
        <v>6000000</v>
      </c>
      <c r="M1478" s="1360">
        <v>42940</v>
      </c>
      <c r="N1478" s="2052">
        <v>6000000</v>
      </c>
      <c r="O1478" s="2051">
        <v>43116</v>
      </c>
      <c r="P1478" s="1794">
        <v>6000000</v>
      </c>
      <c r="Q1478" s="1822">
        <v>43651</v>
      </c>
      <c r="R1478" s="1794">
        <v>6000000</v>
      </c>
      <c r="S1478" s="1822">
        <v>43651</v>
      </c>
      <c r="T1478" s="2052">
        <v>6000000</v>
      </c>
      <c r="U1478" s="2051">
        <v>43651</v>
      </c>
      <c r="V1478" s="1889">
        <v>6000000</v>
      </c>
      <c r="W1478" s="2055">
        <v>43860.379178240699</v>
      </c>
      <c r="X1478" s="1731">
        <v>0</v>
      </c>
      <c r="Y1478" s="1367"/>
      <c r="Z1478" s="1363">
        <f t="shared" si="516"/>
        <v>1500000</v>
      </c>
      <c r="AA1478" s="1391">
        <f t="shared" si="517"/>
        <v>44033.558935185203</v>
      </c>
      <c r="AB1478" s="1363"/>
      <c r="AC1478" s="1391"/>
      <c r="AD1478" s="1476"/>
      <c r="AE1478" s="1391"/>
      <c r="AF1478" s="1430"/>
      <c r="AG1478" s="1391"/>
      <c r="AH1478" s="2064" t="str">
        <f t="shared" si="509"/>
        <v>MPI-S3</v>
      </c>
      <c r="AI1478" s="1963">
        <f t="shared" si="521"/>
        <v>41750000</v>
      </c>
      <c r="AJ1478" s="1963">
        <f t="shared" si="518"/>
        <v>52250000</v>
      </c>
      <c r="AK1478" s="1836">
        <f t="shared" si="522"/>
        <v>10500000</v>
      </c>
      <c r="AL1478" s="1855" t="str">
        <f t="shared" si="523"/>
        <v>Cek</v>
      </c>
      <c r="AM1478" s="1410"/>
      <c r="AN1478" s="1411"/>
      <c r="AO1478" s="1410"/>
      <c r="AP1478" s="1411"/>
      <c r="AQ1478" s="1889">
        <v>2000000</v>
      </c>
      <c r="AR1478" s="1891">
        <v>43860.379178240699</v>
      </c>
      <c r="AS1478" s="1889">
        <v>1500000</v>
      </c>
      <c r="AT1478" s="1890">
        <v>44033.558935185203</v>
      </c>
      <c r="AU1478" s="1731"/>
      <c r="AV1478" s="1870"/>
      <c r="AW1478" s="1731"/>
      <c r="AX1478" s="1870"/>
      <c r="AY1478" s="1906"/>
      <c r="AZ1478" s="1870"/>
      <c r="BA1478" s="1906"/>
      <c r="BB1478" s="1870"/>
    </row>
    <row r="1479" spans="1:55" s="2" customFormat="1" x14ac:dyDescent="0.25">
      <c r="A1479" s="164">
        <v>1367</v>
      </c>
      <c r="B1479" s="652">
        <v>6</v>
      </c>
      <c r="C1479" s="660">
        <v>841917006</v>
      </c>
      <c r="D1479" s="571" t="s">
        <v>1987</v>
      </c>
      <c r="E1479" s="585" t="s">
        <v>1477</v>
      </c>
      <c r="F1479" s="579">
        <v>2017</v>
      </c>
      <c r="G1479" s="1758" t="s">
        <v>28</v>
      </c>
      <c r="H1479" s="580" t="str">
        <f t="shared" si="503"/>
        <v xml:space="preserve">   </v>
      </c>
      <c r="I1479" s="580" t="str">
        <f t="shared" si="504"/>
        <v xml:space="preserve">   </v>
      </c>
      <c r="J1479" s="1366">
        <v>750000</v>
      </c>
      <c r="K1479" s="1360">
        <v>42972</v>
      </c>
      <c r="L1479" s="1430">
        <v>6000000</v>
      </c>
      <c r="M1479" s="1360">
        <v>42972</v>
      </c>
      <c r="N1479" s="1363">
        <v>0</v>
      </c>
      <c r="O1479" s="1367"/>
      <c r="P1479" s="1430">
        <v>0</v>
      </c>
      <c r="Q1479" s="1360"/>
      <c r="R1479" s="1430">
        <v>0</v>
      </c>
      <c r="S1479" s="1360"/>
      <c r="T1479" s="1430">
        <v>0</v>
      </c>
      <c r="U1479" s="1367" t="s">
        <v>783</v>
      </c>
      <c r="V1479" s="1731">
        <v>0</v>
      </c>
      <c r="W1479" s="1367"/>
      <c r="X1479" s="1731">
        <v>0</v>
      </c>
      <c r="Y1479" s="1367"/>
      <c r="Z1479" s="1363" t="str">
        <f t="shared" si="516"/>
        <v xml:space="preserve">  </v>
      </c>
      <c r="AA1479" s="1391" t="str">
        <f t="shared" si="517"/>
        <v xml:space="preserve">  </v>
      </c>
      <c r="AB1479" s="1363"/>
      <c r="AC1479" s="1391"/>
      <c r="AD1479" s="1476"/>
      <c r="AE1479" s="1391"/>
      <c r="AF1479" s="1430"/>
      <c r="AG1479" s="1391"/>
      <c r="AH1479" s="2064" t="str">
        <f t="shared" si="509"/>
        <v>MPI-S3</v>
      </c>
      <c r="AI1479" s="1963">
        <f t="shared" si="521"/>
        <v>6750000</v>
      </c>
      <c r="AJ1479" s="1963">
        <f t="shared" si="518"/>
        <v>42750000</v>
      </c>
      <c r="AK1479" s="1836">
        <f t="shared" si="522"/>
        <v>36000000</v>
      </c>
      <c r="AL1479" s="1855" t="str">
        <f t="shared" si="523"/>
        <v>Cek</v>
      </c>
      <c r="AM1479" s="1410"/>
      <c r="AN1479" s="1411"/>
      <c r="AO1479" s="1410"/>
      <c r="AP1479" s="1411"/>
      <c r="AQ1479" s="1731"/>
      <c r="AR1479" s="1870"/>
      <c r="AS1479" s="1731"/>
      <c r="AT1479" s="1871"/>
      <c r="AU1479" s="1731"/>
      <c r="AV1479" s="1870"/>
      <c r="AW1479" s="1731"/>
      <c r="AX1479" s="1870"/>
      <c r="AY1479" s="1906"/>
      <c r="AZ1479" s="1870"/>
      <c r="BA1479" s="1906"/>
      <c r="BB1479" s="1870"/>
    </row>
    <row r="1480" spans="1:55" s="2" customFormat="1" x14ac:dyDescent="0.25">
      <c r="A1480" s="164">
        <v>1368</v>
      </c>
      <c r="B1480" s="652">
        <v>7</v>
      </c>
      <c r="C1480" s="660">
        <v>841917007</v>
      </c>
      <c r="D1480" s="571" t="s">
        <v>1988</v>
      </c>
      <c r="E1480" s="585" t="s">
        <v>1477</v>
      </c>
      <c r="F1480" s="579">
        <v>2017</v>
      </c>
      <c r="G1480" s="1758" t="s">
        <v>28</v>
      </c>
      <c r="H1480" s="580" t="str">
        <f t="shared" si="503"/>
        <v xml:space="preserve">   </v>
      </c>
      <c r="I1480" s="580" t="str">
        <f t="shared" si="504"/>
        <v xml:space="preserve">   </v>
      </c>
      <c r="J1480" s="1366">
        <v>750000</v>
      </c>
      <c r="K1480" s="1360"/>
      <c r="L1480" s="1430">
        <v>6000000</v>
      </c>
      <c r="M1480" s="1360"/>
      <c r="N1480" s="2052">
        <v>6000000</v>
      </c>
      <c r="O1480" s="2051">
        <v>43116</v>
      </c>
      <c r="P1480" s="1430">
        <v>0</v>
      </c>
      <c r="Q1480" s="1360"/>
      <c r="R1480" s="1430">
        <v>0</v>
      </c>
      <c r="S1480" s="1360"/>
      <c r="T1480" s="1430">
        <v>0</v>
      </c>
      <c r="U1480" s="1367" t="s">
        <v>783</v>
      </c>
      <c r="V1480" s="1731">
        <v>0</v>
      </c>
      <c r="W1480" s="1367"/>
      <c r="X1480" s="1731">
        <v>0</v>
      </c>
      <c r="Y1480" s="1367"/>
      <c r="Z1480" s="1363" t="str">
        <f t="shared" si="516"/>
        <v xml:space="preserve">  </v>
      </c>
      <c r="AA1480" s="1391" t="str">
        <f t="shared" si="517"/>
        <v xml:space="preserve">  </v>
      </c>
      <c r="AB1480" s="1363"/>
      <c r="AC1480" s="1391"/>
      <c r="AD1480" s="1476"/>
      <c r="AE1480" s="1391"/>
      <c r="AF1480" s="1430"/>
      <c r="AG1480" s="1391"/>
      <c r="AH1480" s="2064" t="str">
        <f t="shared" si="509"/>
        <v>MPI-S3</v>
      </c>
      <c r="AI1480" s="1963">
        <f t="shared" si="521"/>
        <v>12750000</v>
      </c>
      <c r="AJ1480" s="1963">
        <f t="shared" si="518"/>
        <v>42750000</v>
      </c>
      <c r="AK1480" s="1836">
        <f t="shared" si="522"/>
        <v>30000000</v>
      </c>
      <c r="AL1480" s="1855" t="str">
        <f t="shared" si="523"/>
        <v>Cek</v>
      </c>
      <c r="AM1480" s="1410"/>
      <c r="AN1480" s="1411"/>
      <c r="AO1480" s="1410"/>
      <c r="AP1480" s="1411"/>
      <c r="AQ1480" s="1731"/>
      <c r="AR1480" s="1870"/>
      <c r="AS1480" s="1731"/>
      <c r="AT1480" s="1871"/>
      <c r="AU1480" s="1731"/>
      <c r="AV1480" s="1870"/>
      <c r="AW1480" s="1731"/>
      <c r="AX1480" s="1870"/>
      <c r="AY1480" s="1906"/>
      <c r="AZ1480" s="1870"/>
      <c r="BA1480" s="1906"/>
      <c r="BB1480" s="1870"/>
    </row>
    <row r="1481" spans="1:55" s="2" customFormat="1" x14ac:dyDescent="0.25">
      <c r="A1481" s="164">
        <v>1369</v>
      </c>
      <c r="B1481" s="652">
        <v>8</v>
      </c>
      <c r="C1481" s="660">
        <v>841917008</v>
      </c>
      <c r="D1481" s="571" t="s">
        <v>1989</v>
      </c>
      <c r="E1481" s="585" t="s">
        <v>1477</v>
      </c>
      <c r="F1481" s="579">
        <v>2017</v>
      </c>
      <c r="G1481" s="360" t="s">
        <v>1483</v>
      </c>
      <c r="H1481" s="580" t="str">
        <f t="shared" si="503"/>
        <v xml:space="preserve">   </v>
      </c>
      <c r="I1481" s="580" t="str">
        <f t="shared" si="504"/>
        <v xml:space="preserve">   </v>
      </c>
      <c r="J1481" s="1366">
        <v>750000</v>
      </c>
      <c r="K1481" s="1360">
        <v>42940</v>
      </c>
      <c r="L1481" s="1430">
        <v>6000000</v>
      </c>
      <c r="M1481" s="1360">
        <v>42940</v>
      </c>
      <c r="N1481" s="2052">
        <v>6000000</v>
      </c>
      <c r="O1481" s="2051">
        <v>43116</v>
      </c>
      <c r="P1481" s="1794">
        <v>6000000</v>
      </c>
      <c r="Q1481" s="1822">
        <v>43510</v>
      </c>
      <c r="R1481" s="1794">
        <v>6000000</v>
      </c>
      <c r="S1481" s="1822">
        <v>44071.5940625</v>
      </c>
      <c r="T1481" s="1794">
        <v>6000000</v>
      </c>
      <c r="U1481" s="1822">
        <v>44071.5940625</v>
      </c>
      <c r="V1481" s="1794">
        <v>6000000</v>
      </c>
      <c r="W1481" s="1822">
        <v>44071.5940625</v>
      </c>
      <c r="X1481" s="1794">
        <v>6000000</v>
      </c>
      <c r="Y1481" s="1822">
        <v>44071.5940625</v>
      </c>
      <c r="Z1481" s="1363"/>
      <c r="AA1481" s="1391"/>
      <c r="AB1481" s="1363"/>
      <c r="AC1481" s="1391"/>
      <c r="AD1481" s="1476"/>
      <c r="AE1481" s="1391"/>
      <c r="AF1481" s="1430"/>
      <c r="AG1481" s="1391"/>
      <c r="AH1481" s="2064" t="str">
        <f t="shared" si="509"/>
        <v>MPI-S3</v>
      </c>
      <c r="AI1481" s="1963">
        <f t="shared" si="521"/>
        <v>44750000</v>
      </c>
      <c r="AJ1481" s="1963">
        <f t="shared" si="518"/>
        <v>44750000</v>
      </c>
      <c r="AK1481" s="1836">
        <f t="shared" si="522"/>
        <v>0</v>
      </c>
      <c r="AL1481" s="1855" t="str">
        <f t="shared" si="523"/>
        <v>Lunas</v>
      </c>
      <c r="AM1481" s="1410"/>
      <c r="AN1481" s="1411"/>
      <c r="AO1481" s="1410"/>
      <c r="AP1481" s="1411"/>
      <c r="AQ1481" s="1880">
        <v>2000000</v>
      </c>
      <c r="AR1481" s="1885">
        <v>44077</v>
      </c>
      <c r="AS1481" s="1731"/>
      <c r="AT1481" s="1871"/>
      <c r="AU1481" s="1731"/>
      <c r="AV1481" s="1870"/>
      <c r="AW1481" s="1731"/>
      <c r="AX1481" s="1870"/>
      <c r="AY1481" s="1906"/>
      <c r="AZ1481" s="1870"/>
      <c r="BA1481" s="1906"/>
      <c r="BB1481" s="1870"/>
    </row>
    <row r="1482" spans="1:55" s="2" customFormat="1" x14ac:dyDescent="0.25">
      <c r="A1482" s="663"/>
      <c r="B1482" s="663"/>
      <c r="C1482" s="665"/>
      <c r="D1482" s="664" t="s">
        <v>1990</v>
      </c>
      <c r="E1482" s="666"/>
      <c r="F1482" s="667" t="s">
        <v>61</v>
      </c>
      <c r="G1482" s="668"/>
      <c r="H1482" s="669"/>
      <c r="I1482" s="669"/>
      <c r="J1482" s="2151"/>
      <c r="K1482" s="2152"/>
      <c r="L1482" s="2151"/>
      <c r="M1482" s="2152"/>
      <c r="N1482" s="2151"/>
      <c r="O1482" s="2152"/>
      <c r="P1482" s="2153"/>
      <c r="Q1482" s="2168"/>
      <c r="R1482" s="2169"/>
      <c r="S1482" s="2169"/>
      <c r="T1482" s="2169"/>
      <c r="U1482" s="2169"/>
      <c r="V1482" s="2169"/>
      <c r="W1482" s="2169"/>
      <c r="X1482" s="1731">
        <v>0</v>
      </c>
      <c r="Y1482" s="1367"/>
      <c r="Z1482" s="2169" t="str">
        <f t="shared" si="516"/>
        <v xml:space="preserve">  </v>
      </c>
      <c r="AA1482" s="2169" t="str">
        <f t="shared" si="517"/>
        <v xml:space="preserve">  </v>
      </c>
      <c r="AB1482" s="2169"/>
      <c r="AC1482" s="2172"/>
      <c r="AD1482" s="2169"/>
      <c r="AE1482" s="2169"/>
      <c r="AF1482" s="2169"/>
      <c r="AG1482" s="2169"/>
      <c r="AH1482" s="2169">
        <f t="shared" si="509"/>
        <v>0</v>
      </c>
      <c r="AI1482" s="2169"/>
      <c r="AJ1482" s="2169"/>
      <c r="AK1482" s="2169"/>
      <c r="AL1482" s="2169"/>
      <c r="AM1482" s="2169"/>
      <c r="AN1482" s="2179"/>
      <c r="AO1482" s="2169"/>
      <c r="AP1482" s="2179"/>
      <c r="AQ1482" s="2151"/>
      <c r="AR1482" s="2188"/>
      <c r="AS1482" s="2151"/>
      <c r="AT1482" s="2189"/>
      <c r="AU1482" s="2151"/>
      <c r="AV1482" s="2188"/>
      <c r="AW1482" s="2151"/>
      <c r="AX1482" s="2188"/>
      <c r="AY1482" s="2191"/>
      <c r="AZ1482" s="2188"/>
      <c r="BA1482" s="2191"/>
      <c r="BB1482" s="2188"/>
      <c r="BC1482" s="2192"/>
    </row>
    <row r="1483" spans="1:55" s="2" customFormat="1" x14ac:dyDescent="0.25">
      <c r="A1483" s="670">
        <v>1370</v>
      </c>
      <c r="B1483" s="671">
        <v>1</v>
      </c>
      <c r="C1483" s="2014">
        <v>841917009</v>
      </c>
      <c r="D1483" s="173" t="s">
        <v>1991</v>
      </c>
      <c r="E1483" s="585" t="s">
        <v>1477</v>
      </c>
      <c r="F1483" s="579">
        <v>2017</v>
      </c>
      <c r="G1483" s="272" t="s">
        <v>33</v>
      </c>
      <c r="H1483" s="628">
        <f t="shared" ref="H1483:H1546" si="524">IFERROR(VLOOKUP(C1483,Tlus,3,FALSE),"   ")</f>
        <v>44109</v>
      </c>
      <c r="I1483" s="574">
        <f t="shared" ref="I1483:I1546" si="525">IFERROR(VLOOKUP(C1483,Wis,4,FALSE),"   ")</f>
        <v>44186</v>
      </c>
      <c r="J1483" s="1358">
        <v>750000</v>
      </c>
      <c r="K1483" s="1357">
        <v>42954</v>
      </c>
      <c r="L1483" s="1358">
        <v>6000000</v>
      </c>
      <c r="M1483" s="1357">
        <v>42954</v>
      </c>
      <c r="N1483" s="2154">
        <v>6000000</v>
      </c>
      <c r="O1483" s="1793">
        <v>43605</v>
      </c>
      <c r="P1483" s="1801">
        <v>6000000</v>
      </c>
      <c r="Q1483" s="1799">
        <v>43605</v>
      </c>
      <c r="R1483" s="1801">
        <v>6000000</v>
      </c>
      <c r="S1483" s="1799">
        <v>43605</v>
      </c>
      <c r="T1483" s="1934">
        <v>6000000</v>
      </c>
      <c r="U1483" s="2056">
        <v>43826.439814814803</v>
      </c>
      <c r="V1483" s="1876">
        <v>6000000</v>
      </c>
      <c r="W1483" s="1793">
        <v>43861.832812499997</v>
      </c>
      <c r="X1483" s="1876">
        <v>6000000</v>
      </c>
      <c r="Y1483" s="2056">
        <v>44053.362094907403</v>
      </c>
      <c r="Z1483" s="2173"/>
      <c r="AA1483" s="1391"/>
      <c r="AB1483" s="1363"/>
      <c r="AC1483" s="1391"/>
      <c r="AD1483" s="1476"/>
      <c r="AE1483" s="1391"/>
      <c r="AF1483" s="1430"/>
      <c r="AG1483" s="1391"/>
      <c r="AH1483" s="1625" t="str">
        <f t="shared" si="509"/>
        <v>MPI-S3</v>
      </c>
      <c r="AI1483" s="2180">
        <f t="shared" ref="AI1483:AI1487" si="526">SUM(J1483,L1483,N1483,P1483,R1483,T1483,V1483,X1483,Z1483,AB1483,AD1483,AF1483,AM1483,AO1483,AQ1483,AS1483,AU1483,AW1483,AY1483,BA1483)</f>
        <v>62750000</v>
      </c>
      <c r="AJ1483" s="2181">
        <f>(COUNT(L1483,N1483,P1483,R1483,T1483,V1483,X1483,Z1483,AB1483,AD1483,AF1483,AM1483,AO1483)*$G$1473)+(COUNT(J1483)*$J$1473)+(COUNT(AQ1483)*$AR$1473)+(COUNT(AS1483)*$AT$1473)+(COUNT(AU1483)*$AV$1473)++(COUNT(AW1483)*$AX$1473)+(COUNT(AY1483)*$AZ$1473)+(COUNT(BA1483)*$BB$1473)</f>
        <v>62750000</v>
      </c>
      <c r="AK1483" s="2181">
        <f t="shared" ref="AK1483:AK1487" si="527">AJ1483-AI1483</f>
        <v>0</v>
      </c>
      <c r="AL1483" s="1426" t="str">
        <f t="shared" ref="AL1483:AL1487" si="528">IF(AK1483=0,"Lunas","Cek")</f>
        <v>Lunas</v>
      </c>
      <c r="AM1483" s="1410"/>
      <c r="AN1483" s="1411"/>
      <c r="AO1483" s="1410"/>
      <c r="AP1483" s="1411"/>
      <c r="AQ1483" s="1876">
        <v>2000000</v>
      </c>
      <c r="AR1483" s="1799">
        <v>43605</v>
      </c>
      <c r="AS1483" s="1876">
        <v>1500000</v>
      </c>
      <c r="AT1483" s="2056">
        <v>43826.439814814803</v>
      </c>
      <c r="AU1483" s="1876">
        <v>2000000</v>
      </c>
      <c r="AV1483" s="1882">
        <v>43950</v>
      </c>
      <c r="AW1483" s="1876">
        <v>4000000</v>
      </c>
      <c r="AX1483" s="1882">
        <v>44053.362094907403</v>
      </c>
      <c r="AY1483" s="1966">
        <v>10000000</v>
      </c>
      <c r="AZ1483" s="1882">
        <v>44083</v>
      </c>
      <c r="BA1483" s="1912">
        <v>500000</v>
      </c>
      <c r="BB1483" s="1887">
        <v>44113</v>
      </c>
    </row>
    <row r="1484" spans="1:55" s="2" customFormat="1" x14ac:dyDescent="0.25">
      <c r="A1484" s="670">
        <v>1371</v>
      </c>
      <c r="B1484" s="671">
        <v>2</v>
      </c>
      <c r="C1484" s="673">
        <v>841917010</v>
      </c>
      <c r="D1484" s="672" t="s">
        <v>1992</v>
      </c>
      <c r="E1484" s="674" t="s">
        <v>1477</v>
      </c>
      <c r="F1484" s="675">
        <v>2017</v>
      </c>
      <c r="G1484" s="214" t="s">
        <v>1077</v>
      </c>
      <c r="H1484" s="676" t="str">
        <f t="shared" si="524"/>
        <v xml:space="preserve">   </v>
      </c>
      <c r="I1484" s="676" t="str">
        <f t="shared" si="525"/>
        <v xml:space="preserve">   </v>
      </c>
      <c r="J1484" s="1455"/>
      <c r="K1484" s="1454"/>
      <c r="L1484" s="1455">
        <v>6000000</v>
      </c>
      <c r="M1484" s="1454">
        <v>42950</v>
      </c>
      <c r="N1484" s="1455"/>
      <c r="O1484" s="1454"/>
      <c r="P1484" s="1455"/>
      <c r="Q1484" s="1454"/>
      <c r="R1484" s="1455"/>
      <c r="S1484" s="1454"/>
      <c r="T1484" s="1363" t="s">
        <v>1993</v>
      </c>
      <c r="U1484" s="1367" t="s">
        <v>783</v>
      </c>
      <c r="V1484" s="1731"/>
      <c r="W1484" s="1367"/>
      <c r="X1484" s="1731">
        <v>0</v>
      </c>
      <c r="Y1484" s="1367"/>
      <c r="Z1484" s="1363" t="str">
        <f>IFERROR(VLOOKUP(C1484,BSP,3,FALSE),"  ")</f>
        <v xml:space="preserve">  </v>
      </c>
      <c r="AA1484" s="1391" t="str">
        <f>IFERROR((VLOOKUP(C1484,BSP,4,FALSE)),"  ")</f>
        <v xml:space="preserve">  </v>
      </c>
      <c r="AB1484" s="1363"/>
      <c r="AC1484" s="1391"/>
      <c r="AD1484" s="1476"/>
      <c r="AE1484" s="1391"/>
      <c r="AF1484" s="1430"/>
      <c r="AG1484" s="1391"/>
      <c r="AH1484" s="1625" t="str">
        <f t="shared" si="509"/>
        <v>MPI-S3</v>
      </c>
      <c r="AI1484" s="2182">
        <f t="shared" si="526"/>
        <v>6000000</v>
      </c>
      <c r="AJ1484" s="2183">
        <f>(COUNT(L1484,N1484,P1484,R1484,T1484,V1484,X1484,Z1484,AB1484,AD1484,AF1484,AM1484,AO1484)*$G$1473)+(COUNT(J1484)*$J$1473)+(COUNT(AQ1484)*$AR$1473)+(COUNT(AS1484)*$AT$1473)+(COUNT(AU1484)*$AV$1473)++(COUNT(AW1484)*$AX$1473)+(COUNT(AY1484)*$AZ$1473)+(COUNT(BA1484)*$BB$1473)</f>
        <v>12000000</v>
      </c>
      <c r="AK1484" s="2183">
        <f t="shared" si="527"/>
        <v>6000000</v>
      </c>
      <c r="AL1484" s="1426" t="str">
        <f t="shared" si="528"/>
        <v>Cek</v>
      </c>
      <c r="AM1484" s="1410"/>
      <c r="AN1484" s="1411"/>
      <c r="AO1484" s="1410"/>
      <c r="AP1484" s="1411"/>
      <c r="AQ1484" s="1731"/>
      <c r="AR1484" s="1870"/>
      <c r="AS1484" s="1731"/>
      <c r="AT1484" s="1871"/>
      <c r="AU1484" s="1731"/>
      <c r="AV1484" s="1870"/>
      <c r="AW1484" s="1731"/>
      <c r="AX1484" s="1870"/>
      <c r="AY1484" s="1906"/>
      <c r="AZ1484" s="1870"/>
      <c r="BA1484" s="1906"/>
      <c r="BB1484" s="1870"/>
    </row>
    <row r="1485" spans="1:55" s="2" customFormat="1" x14ac:dyDescent="0.25">
      <c r="A1485" s="670">
        <v>1372</v>
      </c>
      <c r="B1485" s="671">
        <v>3</v>
      </c>
      <c r="C1485" s="660">
        <v>841917011</v>
      </c>
      <c r="D1485" s="166" t="s">
        <v>1994</v>
      </c>
      <c r="E1485" s="585" t="s">
        <v>1477</v>
      </c>
      <c r="F1485" s="579">
        <v>2017</v>
      </c>
      <c r="G1485" s="1758" t="s">
        <v>28</v>
      </c>
      <c r="H1485" s="574" t="str">
        <f t="shared" si="524"/>
        <v xml:space="preserve">   </v>
      </c>
      <c r="I1485" s="574" t="str">
        <f t="shared" si="525"/>
        <v xml:space="preserve">   </v>
      </c>
      <c r="J1485" s="1363">
        <v>750000</v>
      </c>
      <c r="K1485" s="1367">
        <v>42951</v>
      </c>
      <c r="L1485" s="1363">
        <v>6000000</v>
      </c>
      <c r="M1485" s="1367">
        <v>42951</v>
      </c>
      <c r="N1485" s="2052">
        <v>6000000</v>
      </c>
      <c r="O1485" s="2051">
        <v>43116</v>
      </c>
      <c r="P1485" s="1430">
        <v>0</v>
      </c>
      <c r="Q1485" s="1360"/>
      <c r="R1485" s="1430">
        <v>0</v>
      </c>
      <c r="S1485" s="1360"/>
      <c r="T1485" s="1430">
        <v>0</v>
      </c>
      <c r="U1485" s="1367" t="s">
        <v>783</v>
      </c>
      <c r="V1485" s="1731">
        <v>0</v>
      </c>
      <c r="W1485" s="1367"/>
      <c r="X1485" s="1731">
        <v>0</v>
      </c>
      <c r="Y1485" s="1367"/>
      <c r="Z1485" s="1363" t="str">
        <f>IFERROR(VLOOKUP(C1485,BSP,3,FALSE),"  ")</f>
        <v xml:space="preserve">  </v>
      </c>
      <c r="AA1485" s="1391" t="str">
        <f>IFERROR((VLOOKUP(C1485,BSP,4,FALSE)),"  ")</f>
        <v xml:space="preserve">  </v>
      </c>
      <c r="AB1485" s="1363"/>
      <c r="AC1485" s="1391"/>
      <c r="AD1485" s="1476"/>
      <c r="AE1485" s="1391"/>
      <c r="AF1485" s="1430"/>
      <c r="AG1485" s="1391"/>
      <c r="AH1485" s="1625" t="str">
        <f t="shared" si="509"/>
        <v>MPI-S3</v>
      </c>
      <c r="AI1485" s="2180">
        <f t="shared" si="526"/>
        <v>12750000</v>
      </c>
      <c r="AJ1485" s="2181">
        <f>(COUNT(L1485,N1485,P1485,R1485,T1485,V1485,X1485,Z1485,AB1485,AD1485,AF1485,AM1485,AO1485)*$G$1473)+(COUNT(J1485)*$J$1473)+(COUNT(AQ1485)*$AR$1473)+(COUNT(AS1485)*$AT$1473)+(COUNT(AU1485)*$AV$1473)++(COUNT(AW1485)*$AX$1473)+(COUNT(AY1485)*$AZ$1473)+(COUNT(BA1485)*$BB$1473)</f>
        <v>42750000</v>
      </c>
      <c r="AK1485" s="2181">
        <f t="shared" si="527"/>
        <v>30000000</v>
      </c>
      <c r="AL1485" s="1426" t="str">
        <f t="shared" si="528"/>
        <v>Cek</v>
      </c>
      <c r="AM1485" s="1410"/>
      <c r="AN1485" s="1411"/>
      <c r="AO1485" s="1410"/>
      <c r="AP1485" s="1411"/>
      <c r="AQ1485" s="1731"/>
      <c r="AR1485" s="1870"/>
      <c r="AS1485" s="1731"/>
      <c r="AT1485" s="1871"/>
      <c r="AU1485" s="1731"/>
      <c r="AV1485" s="1870"/>
      <c r="AW1485" s="1731"/>
      <c r="AX1485" s="1870"/>
      <c r="AY1485" s="1906"/>
      <c r="AZ1485" s="1870"/>
      <c r="BA1485" s="1906"/>
      <c r="BB1485" s="1870"/>
    </row>
    <row r="1486" spans="1:55" s="2" customFormat="1" x14ac:dyDescent="0.25">
      <c r="A1486" s="670">
        <v>1373</v>
      </c>
      <c r="B1486" s="671">
        <v>4</v>
      </c>
      <c r="C1486" s="660">
        <v>841917012</v>
      </c>
      <c r="D1486" s="166" t="s">
        <v>1995</v>
      </c>
      <c r="E1486" s="585" t="s">
        <v>1477</v>
      </c>
      <c r="F1486" s="579">
        <v>2017</v>
      </c>
      <c r="G1486" s="1758" t="s">
        <v>28</v>
      </c>
      <c r="H1486" s="574" t="str">
        <f t="shared" si="524"/>
        <v xml:space="preserve">   </v>
      </c>
      <c r="I1486" s="574" t="str">
        <f t="shared" si="525"/>
        <v xml:space="preserve">   </v>
      </c>
      <c r="J1486" s="1363">
        <v>750000</v>
      </c>
      <c r="K1486" s="1367"/>
      <c r="L1486" s="1363">
        <v>6000000</v>
      </c>
      <c r="M1486" s="1367"/>
      <c r="N1486" s="2052">
        <v>6000000</v>
      </c>
      <c r="O1486" s="2051">
        <v>43115</v>
      </c>
      <c r="P1486" s="2052">
        <v>6000000</v>
      </c>
      <c r="Q1486" s="1822">
        <v>43325</v>
      </c>
      <c r="R1486" s="1794">
        <v>6000000</v>
      </c>
      <c r="S1486" s="1822">
        <v>43628</v>
      </c>
      <c r="T1486" s="1794">
        <v>6000000</v>
      </c>
      <c r="U1486" s="2051">
        <v>43901</v>
      </c>
      <c r="V1486" s="1794">
        <v>6000000</v>
      </c>
      <c r="W1486" s="2051">
        <v>43901</v>
      </c>
      <c r="X1486" s="1731">
        <v>0</v>
      </c>
      <c r="Y1486" s="1367"/>
      <c r="Z1486" s="1363" t="str">
        <f>IFERROR(VLOOKUP(C1486,BSP,3,FALSE),"  ")</f>
        <v xml:space="preserve">  </v>
      </c>
      <c r="AA1486" s="1391" t="str">
        <f>IFERROR((VLOOKUP(C1486,BSP,4,FALSE)),"  ")</f>
        <v xml:space="preserve">  </v>
      </c>
      <c r="AB1486" s="1363"/>
      <c r="AC1486" s="1391"/>
      <c r="AD1486" s="1476"/>
      <c r="AE1486" s="1391"/>
      <c r="AF1486" s="1430"/>
      <c r="AG1486" s="1391"/>
      <c r="AH1486" s="1625" t="str">
        <f t="shared" si="509"/>
        <v>MPI-S3</v>
      </c>
      <c r="AI1486" s="2180">
        <f t="shared" si="526"/>
        <v>40250000</v>
      </c>
      <c r="AJ1486" s="2181">
        <f>(COUNT(L1486,N1486,P1486,R1486,T1486,V1486,X1486,Z1486,AB1486,AD1486,AF1486,AM1486,AO1486)*$G$1473)+(COUNT(J1486)*$J$1473)+(COUNT(AQ1486)*$AR$1473)+(COUNT(AS1486)*$AT$1473)+(COUNT(AU1486)*$AV$1473)++(COUNT(AW1486)*$AX$1473)+(COUNT(AY1486)*$AZ$1473)+(COUNT(BA1486)*$BB$1473)</f>
        <v>46250000</v>
      </c>
      <c r="AK1486" s="2181">
        <f t="shared" si="527"/>
        <v>6000000</v>
      </c>
      <c r="AL1486" s="1426" t="str">
        <f t="shared" si="528"/>
        <v>Cek</v>
      </c>
      <c r="AM1486" s="1410"/>
      <c r="AN1486" s="1411"/>
      <c r="AO1486" s="1410"/>
      <c r="AP1486" s="1411"/>
      <c r="AQ1486" s="1889">
        <v>2000000</v>
      </c>
      <c r="AR1486" s="1891">
        <v>43671</v>
      </c>
      <c r="AS1486" s="1880">
        <v>1500000</v>
      </c>
      <c r="AT1486" s="2051">
        <v>43901</v>
      </c>
      <c r="AU1486" s="1731"/>
      <c r="AV1486" s="1870"/>
      <c r="AW1486" s="1731"/>
      <c r="AX1486" s="1870"/>
      <c r="AY1486" s="1906"/>
      <c r="AZ1486" s="1870"/>
      <c r="BA1486" s="1906"/>
      <c r="BB1486" s="1870"/>
    </row>
    <row r="1487" spans="1:55" s="2" customFormat="1" x14ac:dyDescent="0.25">
      <c r="A1487" s="670">
        <v>1374</v>
      </c>
      <c r="B1487" s="678">
        <v>5</v>
      </c>
      <c r="C1487" s="679">
        <v>841917013</v>
      </c>
      <c r="D1487" s="362" t="s">
        <v>1996</v>
      </c>
      <c r="E1487" s="680" t="s">
        <v>1477</v>
      </c>
      <c r="F1487" s="645">
        <v>2017</v>
      </c>
      <c r="G1487" s="413" t="s">
        <v>1483</v>
      </c>
      <c r="H1487" s="604" t="str">
        <f t="shared" si="524"/>
        <v xml:space="preserve">   </v>
      </c>
      <c r="I1487" s="604" t="str">
        <f t="shared" si="525"/>
        <v xml:space="preserve">   </v>
      </c>
      <c r="J1487" s="1446">
        <v>750000</v>
      </c>
      <c r="K1487" s="1445">
        <v>42948</v>
      </c>
      <c r="L1487" s="1363">
        <v>6000000</v>
      </c>
      <c r="M1487" s="1445">
        <v>42951</v>
      </c>
      <c r="N1487" s="2155">
        <v>6000000</v>
      </c>
      <c r="O1487" s="2156">
        <v>43116</v>
      </c>
      <c r="P1487" s="2052">
        <v>6000000</v>
      </c>
      <c r="Q1487" s="1557">
        <v>43964</v>
      </c>
      <c r="R1487" s="2052">
        <v>6000000</v>
      </c>
      <c r="S1487" s="1557">
        <v>43964</v>
      </c>
      <c r="T1487" s="1982" t="s">
        <v>1078</v>
      </c>
      <c r="U1487" s="2000">
        <v>43640</v>
      </c>
      <c r="V1487" s="2052">
        <v>6000000</v>
      </c>
      <c r="W1487" s="1557">
        <v>43964</v>
      </c>
      <c r="X1487" s="1731">
        <v>6000000</v>
      </c>
      <c r="Y1487" s="1367">
        <v>44070.343634259298</v>
      </c>
      <c r="Z1487" s="1446">
        <f>IFERROR(VLOOKUP(C1487,BSP,3,FALSE),"  ")</f>
        <v>1500000</v>
      </c>
      <c r="AA1487" s="1944">
        <f>IFERROR((VLOOKUP(C1487,BSP,4,FALSE)),"  ")</f>
        <v>44070.384814814803</v>
      </c>
      <c r="AB1487" s="1446"/>
      <c r="AC1487" s="1944"/>
      <c r="AD1487" s="2174"/>
      <c r="AE1487" s="1944"/>
      <c r="AF1487" s="1448"/>
      <c r="AG1487" s="1944"/>
      <c r="AH1487" s="1626" t="str">
        <f t="shared" si="509"/>
        <v>MPI-S3</v>
      </c>
      <c r="AI1487" s="2184">
        <f t="shared" si="526"/>
        <v>40250000</v>
      </c>
      <c r="AJ1487" s="2185">
        <f>(COUNT(L1487,N1487,P1487,R1487,T1487,V1487,X1487,Z1487,AB1487,AD1487,AF1487,AM1487,AO1487)*$G$1473)+(COUNT(J1487)*$J$1473)+(COUNT(AQ1487)*$AR$1473)+(COUNT(AS1487)*$AT$1473)+(COUNT(AU1487)*$AV$1473)++(COUNT(AW1487)*$AX$1473)+(COUNT(AY1487)*$AZ$1473)+(COUNT(BA1487)*$BB$1473)</f>
        <v>44750000</v>
      </c>
      <c r="AK1487" s="2185">
        <f t="shared" si="527"/>
        <v>4500000</v>
      </c>
      <c r="AL1487" s="1509" t="str">
        <f t="shared" si="528"/>
        <v>Cek</v>
      </c>
      <c r="AM1487" s="1410"/>
      <c r="AN1487" s="1411"/>
      <c r="AO1487" s="1410"/>
      <c r="AP1487" s="1411"/>
      <c r="AQ1487" s="1889">
        <v>2000000</v>
      </c>
      <c r="AR1487" s="1557">
        <v>43964</v>
      </c>
      <c r="AS1487" s="1731"/>
      <c r="AT1487" s="1871"/>
      <c r="AU1487" s="1731"/>
      <c r="AV1487" s="1870"/>
      <c r="AW1487" s="1731"/>
      <c r="AX1487" s="1870"/>
      <c r="AY1487" s="1906"/>
      <c r="AZ1487" s="1870"/>
      <c r="BA1487" s="1906"/>
      <c r="BB1487" s="1870"/>
    </row>
    <row r="1488" spans="1:55" s="2" customFormat="1" x14ac:dyDescent="0.25">
      <c r="A1488" s="434"/>
      <c r="B1488" s="434"/>
      <c r="C1488" s="471"/>
      <c r="D1488" s="435"/>
      <c r="E1488" s="227" t="s">
        <v>61</v>
      </c>
      <c r="F1488" s="606" t="s">
        <v>61</v>
      </c>
      <c r="G1488" s="192" t="s">
        <v>61</v>
      </c>
      <c r="H1488" s="439" t="str">
        <f t="shared" si="524"/>
        <v xml:space="preserve">   </v>
      </c>
      <c r="I1488" s="439" t="str">
        <f t="shared" si="525"/>
        <v xml:space="preserve">   </v>
      </c>
      <c r="J1488" s="2024"/>
      <c r="K1488" s="1348"/>
      <c r="L1488" s="2024"/>
      <c r="M1488" s="1348"/>
      <c r="N1488" s="2024"/>
      <c r="O1488" s="1348"/>
      <c r="P1488" s="2024"/>
      <c r="Q1488" s="1348"/>
      <c r="R1488" s="2024"/>
      <c r="S1488" s="1378"/>
      <c r="T1488" s="2024"/>
      <c r="U1488" s="1348"/>
      <c r="V1488" s="2024"/>
      <c r="W1488" s="1348"/>
      <c r="X1488" s="2024"/>
      <c r="Y1488" s="1348"/>
      <c r="Z1488" s="2024"/>
      <c r="AA1488" s="1348"/>
      <c r="AB1488" s="2024"/>
      <c r="AC1488" s="1348"/>
      <c r="AD1488" s="2175"/>
      <c r="AE1488" s="1396"/>
      <c r="AF1488" s="1769"/>
      <c r="AG1488" s="1396"/>
      <c r="AH1488" s="1408" t="str">
        <f t="shared" si="509"/>
        <v>-</v>
      </c>
      <c r="AI1488" s="1512"/>
      <c r="AJ1488" s="1409"/>
      <c r="AK1488" s="1409"/>
      <c r="AL1488" s="1513"/>
      <c r="AM1488" s="1513"/>
      <c r="AN1488" s="1514"/>
      <c r="AO1488" s="1513"/>
      <c r="AP1488" s="1514"/>
      <c r="AQ1488" s="1857"/>
      <c r="AR1488" s="1858"/>
      <c r="AS1488" s="1859"/>
      <c r="AT1488" s="1860"/>
      <c r="AU1488" s="1861"/>
      <c r="AV1488" s="1862"/>
      <c r="AW1488" s="1898"/>
      <c r="AX1488" s="1899"/>
      <c r="AY1488" s="1900"/>
      <c r="AZ1488" s="1901"/>
    </row>
    <row r="1489" spans="1:54" s="2" customFormat="1" x14ac:dyDescent="0.25">
      <c r="A1489" s="682" t="s">
        <v>1997</v>
      </c>
      <c r="B1489" s="682"/>
      <c r="C1489" s="436"/>
      <c r="D1489" s="125"/>
      <c r="E1489" s="657" t="s">
        <v>1096</v>
      </c>
      <c r="F1489" s="683" t="s">
        <v>1096</v>
      </c>
      <c r="G1489" s="192" t="s">
        <v>61</v>
      </c>
      <c r="H1489" s="439" t="str">
        <f t="shared" si="524"/>
        <v xml:space="preserve">   </v>
      </c>
      <c r="I1489" s="439" t="str">
        <f t="shared" si="525"/>
        <v xml:space="preserve">   </v>
      </c>
      <c r="J1489" s="2024"/>
      <c r="K1489" s="1348"/>
      <c r="L1489" s="2149" t="s">
        <v>1979</v>
      </c>
      <c r="M1489" s="1438" t="s">
        <v>1066</v>
      </c>
      <c r="N1489" s="2149" t="s">
        <v>1739</v>
      </c>
      <c r="O1489" s="1438" t="s">
        <v>1068</v>
      </c>
      <c r="P1489" s="2149" t="s">
        <v>1740</v>
      </c>
      <c r="Q1489" s="1438" t="s">
        <v>1141</v>
      </c>
      <c r="R1489" s="2149" t="s">
        <v>1741</v>
      </c>
      <c r="S1489" s="1438" t="s">
        <v>1325</v>
      </c>
      <c r="T1489" s="2149" t="s">
        <v>1742</v>
      </c>
      <c r="U1489" s="1438" t="s">
        <v>1463</v>
      </c>
      <c r="V1489" s="2149" t="s">
        <v>1059</v>
      </c>
      <c r="W1489" s="1438" t="s">
        <v>1464</v>
      </c>
      <c r="X1489" s="1771" t="s">
        <v>1061</v>
      </c>
      <c r="Y1489" s="1438" t="s">
        <v>1466</v>
      </c>
      <c r="Z1489" s="1771" t="s">
        <v>1063</v>
      </c>
      <c r="AA1489" s="1438" t="s">
        <v>1468</v>
      </c>
      <c r="AB1489" s="1813" t="s">
        <v>1065</v>
      </c>
      <c r="AC1489" s="1814" t="s">
        <v>1470</v>
      </c>
      <c r="AD1489" s="1815" t="s">
        <v>1067</v>
      </c>
      <c r="AE1489" s="1814" t="s">
        <v>1718</v>
      </c>
      <c r="AF1489" s="1815" t="s">
        <v>1465</v>
      </c>
      <c r="AG1489" s="1814" t="s">
        <v>1719</v>
      </c>
      <c r="AH1489" s="1408" t="str">
        <f t="shared" si="509"/>
        <v>#</v>
      </c>
      <c r="AI1489" s="2088"/>
      <c r="AJ1489" s="2088"/>
      <c r="AK1489" s="2088"/>
      <c r="AL1489" s="1513"/>
      <c r="AM1489" s="1815" t="s">
        <v>1467</v>
      </c>
      <c r="AN1489" s="1814" t="s">
        <v>1980</v>
      </c>
      <c r="AO1489" s="1815" t="s">
        <v>1469</v>
      </c>
      <c r="AP1489" s="1814" t="s">
        <v>1981</v>
      </c>
      <c r="AQ1489" s="1450" t="s">
        <v>1471</v>
      </c>
      <c r="AR1489" s="1863">
        <v>2000000</v>
      </c>
      <c r="AS1489" s="1450" t="s">
        <v>1472</v>
      </c>
      <c r="AT1489" s="1863">
        <v>1500000</v>
      </c>
      <c r="AU1489" s="1450" t="s">
        <v>1473</v>
      </c>
      <c r="AV1489" s="1863">
        <v>2000000</v>
      </c>
      <c r="AW1489" s="1450" t="s">
        <v>1474</v>
      </c>
      <c r="AX1489" s="1863">
        <v>4000000</v>
      </c>
      <c r="AY1489" s="1450" t="s">
        <v>1475</v>
      </c>
      <c r="AZ1489" s="1863">
        <v>10000000</v>
      </c>
      <c r="BA1489" s="1450" t="s">
        <v>22</v>
      </c>
      <c r="BB1489" s="1902">
        <v>500000</v>
      </c>
    </row>
    <row r="1490" spans="1:54" s="2" customFormat="1" x14ac:dyDescent="0.25">
      <c r="A1490" s="694">
        <v>1375</v>
      </c>
      <c r="B1490" s="695">
        <v>1</v>
      </c>
      <c r="C1490" s="2130">
        <v>841917014</v>
      </c>
      <c r="D1490" s="324" t="s">
        <v>1998</v>
      </c>
      <c r="E1490" s="326" t="s">
        <v>1506</v>
      </c>
      <c r="F1490" s="687">
        <v>2017</v>
      </c>
      <c r="G1490" s="569" t="s">
        <v>1483</v>
      </c>
      <c r="H1490" s="570" t="str">
        <f t="shared" si="524"/>
        <v xml:space="preserve">   </v>
      </c>
      <c r="I1490" s="570" t="str">
        <f t="shared" si="525"/>
        <v xml:space="preserve">   </v>
      </c>
      <c r="J1490" s="2157"/>
      <c r="K1490" s="2158"/>
      <c r="L1490" s="2159"/>
      <c r="M1490" s="2160" t="s">
        <v>475</v>
      </c>
      <c r="N1490" s="2159"/>
      <c r="O1490" s="2160" t="s">
        <v>475</v>
      </c>
      <c r="P1490" s="2159"/>
      <c r="Q1490" s="2160" t="s">
        <v>475</v>
      </c>
      <c r="R1490" s="2159"/>
      <c r="S1490" s="2160" t="s">
        <v>475</v>
      </c>
      <c r="T1490" s="2159"/>
      <c r="U1490" s="2160" t="s">
        <v>475</v>
      </c>
      <c r="V1490" s="2159"/>
      <c r="W1490" s="2160" t="s">
        <v>475</v>
      </c>
      <c r="X1490" s="1731">
        <v>6000000</v>
      </c>
      <c r="Y1490" s="1367">
        <v>44057.375532407401</v>
      </c>
      <c r="Z1490" s="2024"/>
      <c r="AA1490" s="1348"/>
      <c r="AB1490" s="2024"/>
      <c r="AC1490" s="1348"/>
      <c r="AD1490" s="2175"/>
      <c r="AE1490" s="1396"/>
      <c r="AF1490" s="2175"/>
      <c r="AG1490" s="1396"/>
      <c r="AH1490" s="1408" t="str">
        <f t="shared" si="509"/>
        <v>5000 Dok</v>
      </c>
      <c r="AI1490" s="2088">
        <f t="shared" ref="AI1490:AI1506" si="529">SUM(J1490,L1490,N1490,P1490,R1490,T1490,V1490,X1490,Z1490,AB1490,AD1490,AF1490,AM1490,AO1490,AQ1490,AS1490,AU1490,AW1490,AY1490,BA1490)</f>
        <v>6000000</v>
      </c>
      <c r="AJ1490" s="2088">
        <f t="shared" ref="AJ1490:AJ1506" si="530">(COUNT(L1490,N1490,P1490,R1490,T1490,V1490,X1490,Z1490,AB1490,AD1490,AF1490,AM1490,AO1490)*$G$1473)+(COUNT(J1490)*$J$1473)+(COUNT(AQ1490)*$AR$1473)+(COUNT(AS1490)*$AT$1473)+(COUNT(AU1490)*$AV$1473)++(COUNT(AW1490)*$AX$1473)+(COUNT(AY1490)*$AZ$1473)+(COUNT(BA1490)*$BB$1473)</f>
        <v>6000000</v>
      </c>
      <c r="AK1490" s="2088">
        <f t="shared" ref="AK1490:AK1506" si="531">AJ1490-AI1490</f>
        <v>0</v>
      </c>
      <c r="AL1490" s="1513" t="str">
        <f t="shared" ref="AL1490:AL1506" si="532">IF(AK1490=0,"Lunas","Cek")</f>
        <v>Lunas</v>
      </c>
      <c r="AM1490" s="1513"/>
      <c r="AN1490" s="1514"/>
      <c r="AO1490" s="1513"/>
      <c r="AP1490" s="1514"/>
      <c r="AQ1490" s="1731"/>
      <c r="AR1490" s="1870"/>
      <c r="AS1490" s="1731"/>
      <c r="AT1490" s="1871"/>
      <c r="AU1490" s="1731"/>
      <c r="AV1490" s="1870"/>
      <c r="AW1490" s="1731"/>
      <c r="AX1490" s="1870"/>
      <c r="AY1490" s="1906"/>
      <c r="AZ1490" s="1870"/>
      <c r="BA1490" s="1906"/>
      <c r="BB1490" s="1870"/>
    </row>
    <row r="1491" spans="1:54" s="2" customFormat="1" x14ac:dyDescent="0.25">
      <c r="A1491" s="670">
        <v>1376</v>
      </c>
      <c r="B1491" s="671">
        <v>2</v>
      </c>
      <c r="C1491" s="2131">
        <v>841917015</v>
      </c>
      <c r="D1491" s="173" t="s">
        <v>1999</v>
      </c>
      <c r="E1491" s="264" t="s">
        <v>1506</v>
      </c>
      <c r="F1491" s="661">
        <v>2017</v>
      </c>
      <c r="G1491" s="360" t="s">
        <v>1483</v>
      </c>
      <c r="H1491" s="574" t="str">
        <f t="shared" si="524"/>
        <v xml:space="preserve">   </v>
      </c>
      <c r="I1491" s="574" t="str">
        <f t="shared" si="525"/>
        <v xml:space="preserve">   </v>
      </c>
      <c r="J1491" s="1960"/>
      <c r="K1491" s="1734"/>
      <c r="L1491" s="2161"/>
      <c r="M1491" s="2160" t="s">
        <v>475</v>
      </c>
      <c r="N1491" s="2161"/>
      <c r="O1491" s="2160" t="s">
        <v>475</v>
      </c>
      <c r="P1491" s="2161"/>
      <c r="Q1491" s="2160" t="s">
        <v>475</v>
      </c>
      <c r="R1491" s="2161"/>
      <c r="S1491" s="2160" t="s">
        <v>475</v>
      </c>
      <c r="T1491" s="2161"/>
      <c r="U1491" s="2160" t="s">
        <v>475</v>
      </c>
      <c r="V1491" s="2161"/>
      <c r="W1491" s="2160" t="s">
        <v>475</v>
      </c>
      <c r="X1491" s="1731">
        <v>6000000</v>
      </c>
      <c r="Y1491" s="1367">
        <v>44070.383229166699</v>
      </c>
      <c r="Z1491" s="2024"/>
      <c r="AA1491" s="1348"/>
      <c r="AB1491" s="2024"/>
      <c r="AC1491" s="1348"/>
      <c r="AD1491" s="2175"/>
      <c r="AE1491" s="1396"/>
      <c r="AF1491" s="2175"/>
      <c r="AG1491" s="1396"/>
      <c r="AH1491" s="1408" t="str">
        <f t="shared" si="509"/>
        <v>5000 Dok</v>
      </c>
      <c r="AI1491" s="2088">
        <f t="shared" si="529"/>
        <v>6000000</v>
      </c>
      <c r="AJ1491" s="2088">
        <f t="shared" si="530"/>
        <v>6000000</v>
      </c>
      <c r="AK1491" s="2088">
        <f t="shared" si="531"/>
        <v>0</v>
      </c>
      <c r="AL1491" s="1513" t="str">
        <f t="shared" si="532"/>
        <v>Lunas</v>
      </c>
      <c r="AM1491" s="1513"/>
      <c r="AN1491" s="1514"/>
      <c r="AO1491" s="1513"/>
      <c r="AP1491" s="1514"/>
      <c r="AQ1491" s="1731"/>
      <c r="AR1491" s="1870"/>
      <c r="AS1491" s="1731"/>
      <c r="AT1491" s="1871"/>
      <c r="AU1491" s="1731"/>
      <c r="AV1491" s="1870"/>
      <c r="AW1491" s="1731"/>
      <c r="AX1491" s="1870"/>
      <c r="AY1491" s="1906"/>
      <c r="AZ1491" s="1870"/>
      <c r="BA1491" s="1906"/>
      <c r="BB1491" s="1870"/>
    </row>
    <row r="1492" spans="1:54" s="2" customFormat="1" x14ac:dyDescent="0.25">
      <c r="A1492" s="2132">
        <v>1377</v>
      </c>
      <c r="B1492" s="2133">
        <v>3</v>
      </c>
      <c r="C1492" s="2015">
        <v>841917016</v>
      </c>
      <c r="D1492" s="158" t="s">
        <v>2000</v>
      </c>
      <c r="E1492" s="160" t="s">
        <v>1506</v>
      </c>
      <c r="F1492" s="2134">
        <v>2017</v>
      </c>
      <c r="G1492" s="272" t="s">
        <v>33</v>
      </c>
      <c r="H1492" s="628">
        <f t="shared" si="524"/>
        <v>44112</v>
      </c>
      <c r="I1492" s="574">
        <f t="shared" si="525"/>
        <v>44186</v>
      </c>
      <c r="J1492" s="1960"/>
      <c r="K1492" s="1734"/>
      <c r="L1492" s="2162"/>
      <c r="M1492" s="1264" t="s">
        <v>475</v>
      </c>
      <c r="N1492" s="2162"/>
      <c r="O1492" s="1264" t="s">
        <v>475</v>
      </c>
      <c r="P1492" s="2162"/>
      <c r="Q1492" s="1264" t="s">
        <v>475</v>
      </c>
      <c r="R1492" s="2162"/>
      <c r="S1492" s="1264" t="s">
        <v>475</v>
      </c>
      <c r="T1492" s="2162"/>
      <c r="U1492" s="1264" t="s">
        <v>475</v>
      </c>
      <c r="V1492" s="2162"/>
      <c r="W1492" s="1264" t="s">
        <v>475</v>
      </c>
      <c r="X1492" s="1874">
        <v>6000000</v>
      </c>
      <c r="Y1492" s="1357">
        <v>44067.709560185198</v>
      </c>
      <c r="Z1492" s="2024"/>
      <c r="AA1492" s="1348"/>
      <c r="AB1492" s="2024"/>
      <c r="AC1492" s="1348"/>
      <c r="AD1492" s="2175"/>
      <c r="AE1492" s="1396"/>
      <c r="AF1492" s="2175"/>
      <c r="AG1492" s="1396"/>
      <c r="AH1492" s="1408" t="str">
        <f t="shared" si="509"/>
        <v>5000 Dok</v>
      </c>
      <c r="AI1492" s="2088">
        <f t="shared" si="529"/>
        <v>6000000</v>
      </c>
      <c r="AJ1492" s="2088">
        <f t="shared" si="530"/>
        <v>6000000</v>
      </c>
      <c r="AK1492" s="2088">
        <f t="shared" si="531"/>
        <v>0</v>
      </c>
      <c r="AL1492" s="1513" t="str">
        <f t="shared" si="532"/>
        <v>Lunas</v>
      </c>
      <c r="AM1492" s="1513"/>
      <c r="AN1492" s="1514"/>
      <c r="AO1492" s="1513"/>
      <c r="AP1492" s="1514"/>
      <c r="AQ1492" s="1731"/>
      <c r="AR1492" s="1870"/>
      <c r="AS1492" s="1731"/>
      <c r="AT1492" s="1871"/>
      <c r="AU1492" s="1731"/>
      <c r="AV1492" s="1870"/>
      <c r="AW1492" s="1731"/>
      <c r="AX1492" s="1870"/>
      <c r="AY1492" s="1906"/>
      <c r="AZ1492" s="1870"/>
      <c r="BA1492" s="1906"/>
      <c r="BB1492" s="1870"/>
    </row>
    <row r="1493" spans="1:54" s="2" customFormat="1" x14ac:dyDescent="0.25">
      <c r="A1493" s="2132">
        <v>1378</v>
      </c>
      <c r="B1493" s="2133">
        <v>4</v>
      </c>
      <c r="C1493" s="2015">
        <v>841917017</v>
      </c>
      <c r="D1493" s="158" t="s">
        <v>2001</v>
      </c>
      <c r="E1493" s="160" t="s">
        <v>1506</v>
      </c>
      <c r="F1493" s="2134">
        <v>2017</v>
      </c>
      <c r="G1493" s="272" t="s">
        <v>33</v>
      </c>
      <c r="H1493" s="628">
        <f t="shared" si="524"/>
        <v>43941</v>
      </c>
      <c r="I1493" s="574">
        <f t="shared" si="525"/>
        <v>44186</v>
      </c>
      <c r="J1493" s="1960"/>
      <c r="K1493" s="1734"/>
      <c r="L1493" s="2162"/>
      <c r="M1493" s="1264" t="s">
        <v>475</v>
      </c>
      <c r="N1493" s="2162"/>
      <c r="O1493" s="1264" t="s">
        <v>475</v>
      </c>
      <c r="P1493" s="2162"/>
      <c r="Q1493" s="1264" t="s">
        <v>475</v>
      </c>
      <c r="R1493" s="2162"/>
      <c r="S1493" s="1264" t="s">
        <v>475</v>
      </c>
      <c r="T1493" s="2162"/>
      <c r="U1493" s="1264" t="s">
        <v>475</v>
      </c>
      <c r="V1493" s="2162"/>
      <c r="W1493" s="1264" t="s">
        <v>475</v>
      </c>
      <c r="X1493" s="1714"/>
      <c r="Y1493" s="1391"/>
      <c r="Z1493" s="2024" t="str">
        <f>IFERROR(VLOOKUP(C1493,BSP,3,FALSE),"  ")</f>
        <v xml:space="preserve">  </v>
      </c>
      <c r="AA1493" s="1348" t="str">
        <f>IFERROR((VLOOKUP(C1493,BSP,4,FALSE)),"  ")</f>
        <v xml:space="preserve">  </v>
      </c>
      <c r="AB1493" s="2024"/>
      <c r="AC1493" s="1348"/>
      <c r="AD1493" s="223"/>
      <c r="AE1493" s="1155"/>
      <c r="AF1493" s="223"/>
      <c r="AG1493" s="1155"/>
      <c r="AH1493" s="1627" t="str">
        <f t="shared" si="509"/>
        <v>5000 Dok</v>
      </c>
      <c r="AI1493" s="2088">
        <f t="shared" si="529"/>
        <v>0</v>
      </c>
      <c r="AJ1493" s="2088">
        <f t="shared" si="530"/>
        <v>0</v>
      </c>
      <c r="AK1493" s="2088">
        <f t="shared" si="531"/>
        <v>0</v>
      </c>
      <c r="AL1493" s="1513" t="str">
        <f t="shared" si="532"/>
        <v>Lunas</v>
      </c>
      <c r="AM1493" s="1513"/>
      <c r="AN1493" s="1514"/>
      <c r="AO1493" s="1513"/>
      <c r="AP1493" s="1514"/>
      <c r="AQ1493" s="1731"/>
      <c r="AR1493" s="1870"/>
      <c r="AS1493" s="1731"/>
      <c r="AT1493" s="1871"/>
      <c r="AU1493" s="1731"/>
      <c r="AV1493" s="1870"/>
      <c r="AW1493" s="1731"/>
      <c r="AX1493" s="1870"/>
      <c r="AY1493" s="1906"/>
      <c r="AZ1493" s="1870"/>
      <c r="BA1493" s="1906"/>
      <c r="BB1493" s="1870"/>
    </row>
    <row r="1494" spans="1:54" s="2" customFormat="1" x14ac:dyDescent="0.25">
      <c r="A1494" s="670">
        <v>1379</v>
      </c>
      <c r="B1494" s="671">
        <v>5</v>
      </c>
      <c r="C1494" s="2131">
        <v>841917018</v>
      </c>
      <c r="D1494" s="173" t="s">
        <v>2002</v>
      </c>
      <c r="E1494" s="264" t="s">
        <v>1506</v>
      </c>
      <c r="F1494" s="661">
        <v>2017</v>
      </c>
      <c r="G1494" s="360" t="s">
        <v>1483</v>
      </c>
      <c r="H1494" s="574" t="str">
        <f t="shared" si="524"/>
        <v xml:space="preserve">   </v>
      </c>
      <c r="I1494" s="574" t="str">
        <f t="shared" si="525"/>
        <v xml:space="preserve">   </v>
      </c>
      <c r="J1494" s="1960"/>
      <c r="K1494" s="1734"/>
      <c r="L1494" s="2161"/>
      <c r="M1494" s="2160" t="s">
        <v>475</v>
      </c>
      <c r="N1494" s="2161"/>
      <c r="O1494" s="2160" t="s">
        <v>475</v>
      </c>
      <c r="P1494" s="2161"/>
      <c r="Q1494" s="2160" t="s">
        <v>475</v>
      </c>
      <c r="R1494" s="2161"/>
      <c r="S1494" s="2160" t="s">
        <v>475</v>
      </c>
      <c r="T1494" s="2161"/>
      <c r="U1494" s="2160" t="s">
        <v>475</v>
      </c>
      <c r="V1494" s="2161"/>
      <c r="W1494" s="2160" t="s">
        <v>475</v>
      </c>
      <c r="X1494" s="1731">
        <v>6000000</v>
      </c>
      <c r="Y1494" s="1367">
        <v>44053.693287037</v>
      </c>
      <c r="Z1494" s="2024"/>
      <c r="AA1494" s="1348"/>
      <c r="AB1494" s="2024"/>
      <c r="AC1494" s="1348"/>
      <c r="AD1494" s="223"/>
      <c r="AE1494" s="1155"/>
      <c r="AF1494" s="223"/>
      <c r="AG1494" s="1155"/>
      <c r="AH1494" s="1627" t="str">
        <f t="shared" si="509"/>
        <v>5000 Dok</v>
      </c>
      <c r="AI1494" s="2088">
        <f t="shared" si="529"/>
        <v>6000000</v>
      </c>
      <c r="AJ1494" s="2088">
        <f t="shared" si="530"/>
        <v>6000000</v>
      </c>
      <c r="AK1494" s="2088">
        <f t="shared" si="531"/>
        <v>0</v>
      </c>
      <c r="AL1494" s="1513" t="str">
        <f t="shared" si="532"/>
        <v>Lunas</v>
      </c>
      <c r="AM1494" s="1513"/>
      <c r="AN1494" s="1514"/>
      <c r="AO1494" s="1513"/>
      <c r="AP1494" s="1514"/>
      <c r="AQ1494" s="1731"/>
      <c r="AR1494" s="1870"/>
      <c r="AS1494" s="1731"/>
      <c r="AT1494" s="1871"/>
      <c r="AU1494" s="1731"/>
      <c r="AV1494" s="1870"/>
      <c r="AW1494" s="1731"/>
      <c r="AX1494" s="1870"/>
      <c r="AY1494" s="1906"/>
      <c r="AZ1494" s="1870"/>
      <c r="BA1494" s="1906"/>
      <c r="BB1494" s="1870"/>
    </row>
    <row r="1495" spans="1:54" s="2" customFormat="1" x14ac:dyDescent="0.25">
      <c r="A1495" s="670">
        <v>1380</v>
      </c>
      <c r="B1495" s="671">
        <v>6</v>
      </c>
      <c r="C1495" s="2131">
        <v>841917019</v>
      </c>
      <c r="D1495" s="173" t="s">
        <v>2003</v>
      </c>
      <c r="E1495" s="264" t="s">
        <v>1506</v>
      </c>
      <c r="F1495" s="661">
        <v>2017</v>
      </c>
      <c r="G1495" s="272" t="s">
        <v>33</v>
      </c>
      <c r="H1495" s="574" t="str">
        <f t="shared" si="524"/>
        <v xml:space="preserve">   </v>
      </c>
      <c r="I1495" s="574" t="str">
        <f t="shared" si="525"/>
        <v xml:space="preserve">   </v>
      </c>
      <c r="J1495" s="1960"/>
      <c r="K1495" s="1734"/>
      <c r="L1495" s="2161"/>
      <c r="M1495" s="2160" t="s">
        <v>475</v>
      </c>
      <c r="N1495" s="2161"/>
      <c r="O1495" s="2160" t="s">
        <v>475</v>
      </c>
      <c r="P1495" s="2161"/>
      <c r="Q1495" s="2160" t="s">
        <v>475</v>
      </c>
      <c r="R1495" s="2161"/>
      <c r="S1495" s="2160" t="s">
        <v>475</v>
      </c>
      <c r="T1495" s="2161"/>
      <c r="U1495" s="2160" t="s">
        <v>475</v>
      </c>
      <c r="V1495" s="2161"/>
      <c r="W1495" s="2160" t="s">
        <v>475</v>
      </c>
      <c r="X1495" s="1731">
        <v>6000000</v>
      </c>
      <c r="Y1495" s="1367">
        <v>44071.541250000002</v>
      </c>
      <c r="Z1495" s="2024"/>
      <c r="AA1495" s="1348"/>
      <c r="AB1495" s="2024"/>
      <c r="AC1495" s="1348"/>
      <c r="AD1495" s="223"/>
      <c r="AE1495" s="1155"/>
      <c r="AF1495" s="223"/>
      <c r="AG1495" s="1155"/>
      <c r="AH1495" s="1627" t="str">
        <f t="shared" si="509"/>
        <v>5000 Dok</v>
      </c>
      <c r="AI1495" s="2088">
        <f t="shared" si="529"/>
        <v>6000000</v>
      </c>
      <c r="AJ1495" s="2088">
        <f t="shared" si="530"/>
        <v>6000000</v>
      </c>
      <c r="AK1495" s="2088">
        <f t="shared" si="531"/>
        <v>0</v>
      </c>
      <c r="AL1495" s="1513" t="str">
        <f t="shared" si="532"/>
        <v>Lunas</v>
      </c>
      <c r="AM1495" s="1513"/>
      <c r="AN1495" s="1514"/>
      <c r="AO1495" s="1513"/>
      <c r="AP1495" s="1514"/>
      <c r="AQ1495" s="1731"/>
      <c r="AR1495" s="1870"/>
      <c r="AS1495" s="1731"/>
      <c r="AT1495" s="1871"/>
      <c r="AU1495" s="1731"/>
      <c r="AV1495" s="1870"/>
      <c r="AW1495" s="1731"/>
      <c r="AX1495" s="1870"/>
      <c r="AY1495" s="1906"/>
      <c r="AZ1495" s="1870"/>
      <c r="BA1495" s="1906"/>
      <c r="BB1495" s="1870"/>
    </row>
    <row r="1496" spans="1:54" s="2" customFormat="1" x14ac:dyDescent="0.25">
      <c r="A1496" s="670">
        <v>1381</v>
      </c>
      <c r="B1496" s="671">
        <v>7</v>
      </c>
      <c r="C1496" s="2131">
        <v>841917020</v>
      </c>
      <c r="D1496" s="173" t="s">
        <v>2004</v>
      </c>
      <c r="E1496" s="264" t="s">
        <v>1506</v>
      </c>
      <c r="F1496" s="661">
        <v>2017</v>
      </c>
      <c r="G1496" s="360" t="s">
        <v>1483</v>
      </c>
      <c r="H1496" s="574" t="str">
        <f t="shared" si="524"/>
        <v xml:space="preserve">   </v>
      </c>
      <c r="I1496" s="574" t="str">
        <f t="shared" si="525"/>
        <v xml:space="preserve">   </v>
      </c>
      <c r="J1496" s="1960"/>
      <c r="K1496" s="1734"/>
      <c r="L1496" s="2161"/>
      <c r="M1496" s="2160" t="s">
        <v>475</v>
      </c>
      <c r="N1496" s="2161"/>
      <c r="O1496" s="2160" t="s">
        <v>475</v>
      </c>
      <c r="P1496" s="2161"/>
      <c r="Q1496" s="2160" t="s">
        <v>475</v>
      </c>
      <c r="R1496" s="2161"/>
      <c r="S1496" s="2160" t="s">
        <v>475</v>
      </c>
      <c r="T1496" s="2161"/>
      <c r="U1496" s="2160" t="s">
        <v>475</v>
      </c>
      <c r="V1496" s="2161"/>
      <c r="W1496" s="2160" t="s">
        <v>475</v>
      </c>
      <c r="X1496" s="1731">
        <v>6000000</v>
      </c>
      <c r="Y1496" s="1367">
        <v>44054.561030092598</v>
      </c>
      <c r="Z1496" s="2024"/>
      <c r="AA1496" s="1348"/>
      <c r="AB1496" s="2024"/>
      <c r="AC1496" s="1348"/>
      <c r="AD1496" s="223"/>
      <c r="AE1496" s="1155"/>
      <c r="AF1496" s="223"/>
      <c r="AG1496" s="1155"/>
      <c r="AH1496" s="1627" t="str">
        <f t="shared" si="509"/>
        <v>5000 Dok</v>
      </c>
      <c r="AI1496" s="2088">
        <f t="shared" si="529"/>
        <v>6000000</v>
      </c>
      <c r="AJ1496" s="2088">
        <f t="shared" si="530"/>
        <v>6000000</v>
      </c>
      <c r="AK1496" s="2088">
        <f t="shared" si="531"/>
        <v>0</v>
      </c>
      <c r="AL1496" s="1513" t="str">
        <f t="shared" si="532"/>
        <v>Lunas</v>
      </c>
      <c r="AM1496" s="1513"/>
      <c r="AN1496" s="1514"/>
      <c r="AO1496" s="1513"/>
      <c r="AP1496" s="1514"/>
      <c r="AQ1496" s="1731"/>
      <c r="AR1496" s="1870"/>
      <c r="AS1496" s="1731"/>
      <c r="AT1496" s="1871"/>
      <c r="AU1496" s="1731"/>
      <c r="AV1496" s="1870"/>
      <c r="AW1496" s="1731"/>
      <c r="AX1496" s="1870"/>
      <c r="AY1496" s="1906"/>
      <c r="AZ1496" s="1870"/>
      <c r="BA1496" s="1906"/>
      <c r="BB1496" s="1870"/>
    </row>
    <row r="1497" spans="1:54" s="2" customFormat="1" x14ac:dyDescent="0.25">
      <c r="A1497" s="2132">
        <v>1382</v>
      </c>
      <c r="B1497" s="2133">
        <v>8</v>
      </c>
      <c r="C1497" s="2015">
        <v>841917021</v>
      </c>
      <c r="D1497" s="158" t="s">
        <v>2005</v>
      </c>
      <c r="E1497" s="160" t="s">
        <v>1506</v>
      </c>
      <c r="F1497" s="2134">
        <v>2017</v>
      </c>
      <c r="G1497" s="272" t="s">
        <v>33</v>
      </c>
      <c r="H1497" s="628">
        <f t="shared" si="524"/>
        <v>44040</v>
      </c>
      <c r="I1497" s="574">
        <f t="shared" si="525"/>
        <v>44168</v>
      </c>
      <c r="J1497" s="1960"/>
      <c r="K1497" s="1734"/>
      <c r="L1497" s="2162"/>
      <c r="M1497" s="1264" t="s">
        <v>475</v>
      </c>
      <c r="N1497" s="2162"/>
      <c r="O1497" s="1264" t="s">
        <v>475</v>
      </c>
      <c r="P1497" s="2162"/>
      <c r="Q1497" s="1264" t="s">
        <v>475</v>
      </c>
      <c r="R1497" s="2162"/>
      <c r="S1497" s="1264" t="s">
        <v>475</v>
      </c>
      <c r="T1497" s="2162"/>
      <c r="U1497" s="1264" t="s">
        <v>475</v>
      </c>
      <c r="V1497" s="2162"/>
      <c r="W1497" s="1264" t="s">
        <v>475</v>
      </c>
      <c r="X1497" s="1714"/>
      <c r="Y1497" s="1391"/>
      <c r="Z1497" s="2024" t="str">
        <f>IFERROR(VLOOKUP(C1497,BSP,3,FALSE),"  ")</f>
        <v xml:space="preserve">  </v>
      </c>
      <c r="AA1497" s="1348" t="str">
        <f>IFERROR((VLOOKUP(C1497,BSP,4,FALSE)),"  ")</f>
        <v xml:space="preserve">  </v>
      </c>
      <c r="AB1497" s="2024"/>
      <c r="AC1497" s="1348"/>
      <c r="AD1497" s="223"/>
      <c r="AE1497" s="1155"/>
      <c r="AF1497" s="223"/>
      <c r="AG1497" s="1155"/>
      <c r="AH1497" s="1627" t="str">
        <f t="shared" si="509"/>
        <v>5000 Dok</v>
      </c>
      <c r="AI1497" s="2088">
        <f t="shared" si="529"/>
        <v>0</v>
      </c>
      <c r="AJ1497" s="2088">
        <f t="shared" si="530"/>
        <v>0</v>
      </c>
      <c r="AK1497" s="2088">
        <f t="shared" si="531"/>
        <v>0</v>
      </c>
      <c r="AL1497" s="1513" t="str">
        <f t="shared" si="532"/>
        <v>Lunas</v>
      </c>
      <c r="AM1497" s="1513"/>
      <c r="AN1497" s="1514"/>
      <c r="AO1497" s="1513"/>
      <c r="AP1497" s="1514"/>
      <c r="AQ1497" s="1731"/>
      <c r="AR1497" s="1870"/>
      <c r="AS1497" s="1731"/>
      <c r="AT1497" s="1871"/>
      <c r="AU1497" s="1731"/>
      <c r="AV1497" s="1870"/>
      <c r="AW1497" s="1731"/>
      <c r="AX1497" s="1870"/>
      <c r="AY1497" s="1906"/>
      <c r="AZ1497" s="1870"/>
      <c r="BA1497" s="1906"/>
      <c r="BB1497" s="1870"/>
    </row>
    <row r="1498" spans="1:54" s="2" customFormat="1" x14ac:dyDescent="0.25">
      <c r="A1498" s="670">
        <v>1383</v>
      </c>
      <c r="B1498" s="671">
        <v>9</v>
      </c>
      <c r="C1498" s="2131">
        <v>841917022</v>
      </c>
      <c r="D1498" s="173" t="s">
        <v>2006</v>
      </c>
      <c r="E1498" s="264" t="s">
        <v>1506</v>
      </c>
      <c r="F1498" s="661">
        <v>2017</v>
      </c>
      <c r="G1498" s="360" t="s">
        <v>1483</v>
      </c>
      <c r="H1498" s="574" t="str">
        <f t="shared" si="524"/>
        <v xml:space="preserve">   </v>
      </c>
      <c r="I1498" s="574" t="str">
        <f t="shared" si="525"/>
        <v xml:space="preserve">   </v>
      </c>
      <c r="J1498" s="1960"/>
      <c r="K1498" s="1734"/>
      <c r="L1498" s="2161"/>
      <c r="M1498" s="2160" t="s">
        <v>475</v>
      </c>
      <c r="N1498" s="2161"/>
      <c r="O1498" s="2160" t="s">
        <v>475</v>
      </c>
      <c r="P1498" s="2161"/>
      <c r="Q1498" s="2160" t="s">
        <v>475</v>
      </c>
      <c r="R1498" s="2161"/>
      <c r="S1498" s="2160" t="s">
        <v>475</v>
      </c>
      <c r="T1498" s="2161"/>
      <c r="U1498" s="2160" t="s">
        <v>475</v>
      </c>
      <c r="V1498" s="2161"/>
      <c r="W1498" s="2160" t="s">
        <v>475</v>
      </c>
      <c r="X1498" s="1731">
        <v>6000000</v>
      </c>
      <c r="Y1498" s="1367">
        <v>44071.369398148097</v>
      </c>
      <c r="Z1498" s="2024"/>
      <c r="AA1498" s="1348"/>
      <c r="AB1498" s="2024"/>
      <c r="AC1498" s="1348"/>
      <c r="AD1498" s="223"/>
      <c r="AE1498" s="1155"/>
      <c r="AF1498" s="223"/>
      <c r="AG1498" s="1155"/>
      <c r="AH1498" s="1627" t="str">
        <f t="shared" si="509"/>
        <v>5000 Dok</v>
      </c>
      <c r="AI1498" s="2088">
        <f t="shared" si="529"/>
        <v>6000000</v>
      </c>
      <c r="AJ1498" s="2088">
        <f t="shared" si="530"/>
        <v>6000000</v>
      </c>
      <c r="AK1498" s="2088">
        <f t="shared" si="531"/>
        <v>0</v>
      </c>
      <c r="AL1498" s="1513" t="str">
        <f t="shared" si="532"/>
        <v>Lunas</v>
      </c>
      <c r="AM1498" s="1513"/>
      <c r="AN1498" s="1514"/>
      <c r="AO1498" s="1513"/>
      <c r="AP1498" s="1514"/>
      <c r="AQ1498" s="1731"/>
      <c r="AR1498" s="1870"/>
      <c r="AS1498" s="1731"/>
      <c r="AT1498" s="1871"/>
      <c r="AU1498" s="1731"/>
      <c r="AV1498" s="1870"/>
      <c r="AW1498" s="1731"/>
      <c r="AX1498" s="1870"/>
      <c r="AY1498" s="1906"/>
      <c r="AZ1498" s="1870"/>
      <c r="BA1498" s="1906"/>
      <c r="BB1498" s="1870"/>
    </row>
    <row r="1499" spans="1:54" s="2" customFormat="1" x14ac:dyDescent="0.25">
      <c r="A1499" s="670">
        <v>1384</v>
      </c>
      <c r="B1499" s="671">
        <v>10</v>
      </c>
      <c r="C1499" s="2131">
        <v>841917023</v>
      </c>
      <c r="D1499" s="173" t="s">
        <v>2007</v>
      </c>
      <c r="E1499" s="264" t="s">
        <v>1506</v>
      </c>
      <c r="F1499" s="661">
        <v>2017</v>
      </c>
      <c r="G1499" s="360" t="s">
        <v>1483</v>
      </c>
      <c r="H1499" s="574" t="str">
        <f t="shared" si="524"/>
        <v xml:space="preserve">   </v>
      </c>
      <c r="I1499" s="574" t="str">
        <f t="shared" si="525"/>
        <v xml:space="preserve">   </v>
      </c>
      <c r="J1499" s="1960"/>
      <c r="K1499" s="1734"/>
      <c r="L1499" s="2161"/>
      <c r="M1499" s="2160" t="s">
        <v>475</v>
      </c>
      <c r="N1499" s="2161"/>
      <c r="O1499" s="2160" t="s">
        <v>475</v>
      </c>
      <c r="P1499" s="2161"/>
      <c r="Q1499" s="2160" t="s">
        <v>475</v>
      </c>
      <c r="R1499" s="2161"/>
      <c r="S1499" s="2160" t="s">
        <v>475</v>
      </c>
      <c r="T1499" s="2161"/>
      <c r="U1499" s="2160" t="s">
        <v>475</v>
      </c>
      <c r="V1499" s="2161"/>
      <c r="W1499" s="2160" t="s">
        <v>475</v>
      </c>
      <c r="X1499" s="1731">
        <v>6000000</v>
      </c>
      <c r="Y1499" s="1367">
        <v>44068.496307870402</v>
      </c>
      <c r="Z1499" s="2024"/>
      <c r="AA1499" s="1348"/>
      <c r="AB1499" s="2024"/>
      <c r="AC1499" s="1348"/>
      <c r="AD1499" s="223"/>
      <c r="AE1499" s="1155"/>
      <c r="AF1499" s="223"/>
      <c r="AG1499" s="1155"/>
      <c r="AH1499" s="1627" t="str">
        <f t="shared" si="509"/>
        <v>5000 Dok</v>
      </c>
      <c r="AI1499" s="2088">
        <f t="shared" si="529"/>
        <v>6000000</v>
      </c>
      <c r="AJ1499" s="2088">
        <f t="shared" si="530"/>
        <v>6000000</v>
      </c>
      <c r="AK1499" s="2088">
        <f t="shared" si="531"/>
        <v>0</v>
      </c>
      <c r="AL1499" s="1513" t="str">
        <f t="shared" si="532"/>
        <v>Lunas</v>
      </c>
      <c r="AM1499" s="1513"/>
      <c r="AN1499" s="1514"/>
      <c r="AO1499" s="1513"/>
      <c r="AP1499" s="1514"/>
      <c r="AQ1499" s="1731"/>
      <c r="AR1499" s="1870"/>
      <c r="AS1499" s="1731"/>
      <c r="AT1499" s="1871"/>
      <c r="AU1499" s="1731"/>
      <c r="AV1499" s="1870"/>
      <c r="AW1499" s="1731"/>
      <c r="AX1499" s="1870"/>
      <c r="AY1499" s="1906"/>
      <c r="AZ1499" s="1870"/>
      <c r="BA1499" s="1906"/>
      <c r="BB1499" s="1870"/>
    </row>
    <row r="1500" spans="1:54" s="2" customFormat="1" x14ac:dyDescent="0.25">
      <c r="A1500" s="2132">
        <v>1385</v>
      </c>
      <c r="B1500" s="2133">
        <v>11</v>
      </c>
      <c r="C1500" s="2015">
        <v>841917024</v>
      </c>
      <c r="D1500" s="158" t="s">
        <v>2008</v>
      </c>
      <c r="E1500" s="160" t="s">
        <v>1506</v>
      </c>
      <c r="F1500" s="2134">
        <v>2017</v>
      </c>
      <c r="G1500" s="272" t="s">
        <v>33</v>
      </c>
      <c r="H1500" s="628">
        <f t="shared" si="524"/>
        <v>44138</v>
      </c>
      <c r="I1500" s="574">
        <f t="shared" si="525"/>
        <v>44186</v>
      </c>
      <c r="J1500" s="1960"/>
      <c r="K1500" s="1734"/>
      <c r="L1500" s="2162"/>
      <c r="M1500" s="1264" t="s">
        <v>475</v>
      </c>
      <c r="N1500" s="2162"/>
      <c r="O1500" s="1264" t="s">
        <v>475</v>
      </c>
      <c r="P1500" s="2162"/>
      <c r="Q1500" s="1264" t="s">
        <v>475</v>
      </c>
      <c r="R1500" s="2162"/>
      <c r="S1500" s="1264" t="s">
        <v>475</v>
      </c>
      <c r="T1500" s="2162"/>
      <c r="U1500" s="1264" t="s">
        <v>475</v>
      </c>
      <c r="V1500" s="2162"/>
      <c r="W1500" s="1264" t="s">
        <v>475</v>
      </c>
      <c r="X1500" s="1874">
        <v>6000000</v>
      </c>
      <c r="Y1500" s="1357">
        <v>44053.618993055599</v>
      </c>
      <c r="Z1500" s="2024"/>
      <c r="AA1500" s="1348"/>
      <c r="AB1500" s="2024"/>
      <c r="AC1500" s="1348"/>
      <c r="AD1500" s="223"/>
      <c r="AE1500" s="1155"/>
      <c r="AF1500" s="223"/>
      <c r="AG1500" s="1155"/>
      <c r="AH1500" s="1627" t="str">
        <f t="shared" si="509"/>
        <v>5000 Dok</v>
      </c>
      <c r="AI1500" s="2088">
        <f t="shared" si="529"/>
        <v>6000000</v>
      </c>
      <c r="AJ1500" s="2088">
        <f t="shared" si="530"/>
        <v>6000000</v>
      </c>
      <c r="AK1500" s="2088">
        <f t="shared" si="531"/>
        <v>0</v>
      </c>
      <c r="AL1500" s="1513" t="str">
        <f t="shared" si="532"/>
        <v>Lunas</v>
      </c>
      <c r="AM1500" s="1513"/>
      <c r="AN1500" s="1514"/>
      <c r="AO1500" s="1513"/>
      <c r="AP1500" s="1514"/>
      <c r="AQ1500" s="1731"/>
      <c r="AR1500" s="1870"/>
      <c r="AS1500" s="1731"/>
      <c r="AT1500" s="1871"/>
      <c r="AU1500" s="1731"/>
      <c r="AV1500" s="1870"/>
      <c r="AW1500" s="1731"/>
      <c r="AX1500" s="1870"/>
      <c r="AY1500" s="1906"/>
      <c r="AZ1500" s="1870"/>
      <c r="BA1500" s="1906"/>
      <c r="BB1500" s="1870"/>
    </row>
    <row r="1501" spans="1:54" s="2" customFormat="1" x14ac:dyDescent="0.25">
      <c r="A1501" s="670">
        <v>1386</v>
      </c>
      <c r="B1501" s="671">
        <v>12</v>
      </c>
      <c r="C1501" s="2131">
        <v>841917025</v>
      </c>
      <c r="D1501" s="173" t="s">
        <v>2009</v>
      </c>
      <c r="E1501" s="264" t="s">
        <v>1506</v>
      </c>
      <c r="F1501" s="661">
        <v>2017</v>
      </c>
      <c r="G1501" s="272" t="s">
        <v>33</v>
      </c>
      <c r="H1501" s="574" t="str">
        <f t="shared" si="524"/>
        <v xml:space="preserve">   </v>
      </c>
      <c r="I1501" s="574" t="str">
        <f t="shared" si="525"/>
        <v xml:space="preserve">   </v>
      </c>
      <c r="J1501" s="1960"/>
      <c r="K1501" s="1734"/>
      <c r="L1501" s="2161"/>
      <c r="M1501" s="2160" t="s">
        <v>475</v>
      </c>
      <c r="N1501" s="2161"/>
      <c r="O1501" s="2160" t="s">
        <v>475</v>
      </c>
      <c r="P1501" s="2161"/>
      <c r="Q1501" s="2160" t="s">
        <v>475</v>
      </c>
      <c r="R1501" s="2161"/>
      <c r="S1501" s="2160" t="s">
        <v>475</v>
      </c>
      <c r="T1501" s="2161"/>
      <c r="U1501" s="2160" t="s">
        <v>475</v>
      </c>
      <c r="V1501" s="2161"/>
      <c r="W1501" s="2160" t="s">
        <v>475</v>
      </c>
      <c r="X1501" s="1731">
        <v>6000000</v>
      </c>
      <c r="Y1501" s="1367">
        <v>44053.609201388899</v>
      </c>
      <c r="Z1501" s="2024"/>
      <c r="AA1501" s="1348"/>
      <c r="AB1501" s="2024"/>
      <c r="AC1501" s="1348"/>
      <c r="AD1501" s="223"/>
      <c r="AE1501" s="1155"/>
      <c r="AF1501" s="223"/>
      <c r="AG1501" s="1155"/>
      <c r="AH1501" s="1627" t="str">
        <f t="shared" si="509"/>
        <v>5000 Dok</v>
      </c>
      <c r="AI1501" s="2088">
        <f t="shared" si="529"/>
        <v>6000000</v>
      </c>
      <c r="AJ1501" s="2088">
        <f t="shared" si="530"/>
        <v>6000000</v>
      </c>
      <c r="AK1501" s="2088">
        <f t="shared" si="531"/>
        <v>0</v>
      </c>
      <c r="AL1501" s="1513" t="str">
        <f t="shared" si="532"/>
        <v>Lunas</v>
      </c>
      <c r="AM1501" s="1513"/>
      <c r="AN1501" s="1514"/>
      <c r="AO1501" s="1513"/>
      <c r="AP1501" s="1514"/>
      <c r="AQ1501" s="1731"/>
      <c r="AR1501" s="1870"/>
      <c r="AS1501" s="1731"/>
      <c r="AT1501" s="1871"/>
      <c r="AU1501" s="1731"/>
      <c r="AV1501" s="1870"/>
      <c r="AW1501" s="1731"/>
      <c r="AX1501" s="1870"/>
      <c r="AY1501" s="1906"/>
      <c r="AZ1501" s="1870"/>
      <c r="BA1501" s="1906"/>
      <c r="BB1501" s="1870"/>
    </row>
    <row r="1502" spans="1:54" s="2" customFormat="1" x14ac:dyDescent="0.25">
      <c r="A1502" s="2132">
        <v>1387</v>
      </c>
      <c r="B1502" s="2133">
        <v>13</v>
      </c>
      <c r="C1502" s="2015">
        <v>841917026</v>
      </c>
      <c r="D1502" s="158" t="s">
        <v>2010</v>
      </c>
      <c r="E1502" s="160" t="s">
        <v>1506</v>
      </c>
      <c r="F1502" s="2134">
        <v>2017</v>
      </c>
      <c r="G1502" s="272" t="s">
        <v>33</v>
      </c>
      <c r="H1502" s="628">
        <f t="shared" si="524"/>
        <v>44124</v>
      </c>
      <c r="I1502" s="574">
        <f t="shared" si="525"/>
        <v>44186</v>
      </c>
      <c r="J1502" s="1960"/>
      <c r="K1502" s="1734"/>
      <c r="L1502" s="2162"/>
      <c r="M1502" s="1264" t="s">
        <v>475</v>
      </c>
      <c r="N1502" s="2162"/>
      <c r="O1502" s="1264" t="s">
        <v>475</v>
      </c>
      <c r="P1502" s="2162"/>
      <c r="Q1502" s="1264" t="s">
        <v>475</v>
      </c>
      <c r="R1502" s="2162"/>
      <c r="S1502" s="1264" t="s">
        <v>475</v>
      </c>
      <c r="T1502" s="2162"/>
      <c r="U1502" s="1264" t="s">
        <v>475</v>
      </c>
      <c r="V1502" s="2162"/>
      <c r="W1502" s="1264" t="s">
        <v>475</v>
      </c>
      <c r="X1502" s="1874">
        <v>6000000</v>
      </c>
      <c r="Y1502" s="1357">
        <v>44053.6180439815</v>
      </c>
      <c r="Z1502" s="2024"/>
      <c r="AA1502" s="1348"/>
      <c r="AB1502" s="2024"/>
      <c r="AC1502" s="1348"/>
      <c r="AD1502" s="223"/>
      <c r="AE1502" s="1155"/>
      <c r="AF1502" s="223"/>
      <c r="AG1502" s="1155"/>
      <c r="AH1502" s="1627" t="str">
        <f t="shared" si="509"/>
        <v>5000 Dok</v>
      </c>
      <c r="AI1502" s="2088">
        <f t="shared" si="529"/>
        <v>6000000</v>
      </c>
      <c r="AJ1502" s="2088">
        <f t="shared" si="530"/>
        <v>6000000</v>
      </c>
      <c r="AK1502" s="2088">
        <f t="shared" si="531"/>
        <v>0</v>
      </c>
      <c r="AL1502" s="1513" t="str">
        <f t="shared" si="532"/>
        <v>Lunas</v>
      </c>
      <c r="AM1502" s="1513"/>
      <c r="AN1502" s="1514"/>
      <c r="AO1502" s="1513"/>
      <c r="AP1502" s="1514"/>
      <c r="AQ1502" s="1731"/>
      <c r="AR1502" s="1870"/>
      <c r="AS1502" s="1731"/>
      <c r="AT1502" s="1871"/>
      <c r="AU1502" s="1731"/>
      <c r="AV1502" s="1870"/>
      <c r="AW1502" s="1731"/>
      <c r="AX1502" s="1870"/>
      <c r="AY1502" s="1906"/>
      <c r="AZ1502" s="1870"/>
      <c r="BA1502" s="1906"/>
      <c r="BB1502" s="1870"/>
    </row>
    <row r="1503" spans="1:54" s="2" customFormat="1" x14ac:dyDescent="0.25">
      <c r="A1503" s="670">
        <v>1388</v>
      </c>
      <c r="B1503" s="671">
        <v>14</v>
      </c>
      <c r="C1503" s="2131">
        <v>841917027</v>
      </c>
      <c r="D1503" s="173" t="s">
        <v>2011</v>
      </c>
      <c r="E1503" s="264" t="s">
        <v>1506</v>
      </c>
      <c r="F1503" s="661">
        <v>2017</v>
      </c>
      <c r="G1503" s="272" t="s">
        <v>33</v>
      </c>
      <c r="H1503" s="574" t="str">
        <f t="shared" si="524"/>
        <v xml:space="preserve">   </v>
      </c>
      <c r="I1503" s="574" t="str">
        <f t="shared" si="525"/>
        <v xml:space="preserve">   </v>
      </c>
      <c r="J1503" s="1960"/>
      <c r="K1503" s="1734"/>
      <c r="L1503" s="2161"/>
      <c r="M1503" s="2160" t="s">
        <v>475</v>
      </c>
      <c r="N1503" s="2161"/>
      <c r="O1503" s="2160" t="s">
        <v>475</v>
      </c>
      <c r="P1503" s="2161"/>
      <c r="Q1503" s="2160" t="s">
        <v>475</v>
      </c>
      <c r="R1503" s="2161"/>
      <c r="S1503" s="2160" t="s">
        <v>475</v>
      </c>
      <c r="T1503" s="2161"/>
      <c r="U1503" s="2160" t="s">
        <v>475</v>
      </c>
      <c r="V1503" s="2161"/>
      <c r="W1503" s="2160" t="s">
        <v>475</v>
      </c>
      <c r="X1503" s="1731">
        <v>6000000</v>
      </c>
      <c r="Y1503" s="1367">
        <v>44057.638460648202</v>
      </c>
      <c r="Z1503" s="2024"/>
      <c r="AA1503" s="1348"/>
      <c r="AB1503" s="2024"/>
      <c r="AC1503" s="1348"/>
      <c r="AD1503" s="223"/>
      <c r="AE1503" s="1155"/>
      <c r="AF1503" s="223"/>
      <c r="AG1503" s="1155"/>
      <c r="AH1503" s="1627" t="str">
        <f t="shared" si="509"/>
        <v>5000 Dok</v>
      </c>
      <c r="AI1503" s="2088">
        <f t="shared" si="529"/>
        <v>6000000</v>
      </c>
      <c r="AJ1503" s="2088">
        <f t="shared" si="530"/>
        <v>6000000</v>
      </c>
      <c r="AK1503" s="2088">
        <f t="shared" si="531"/>
        <v>0</v>
      </c>
      <c r="AL1503" s="1513" t="str">
        <f t="shared" si="532"/>
        <v>Lunas</v>
      </c>
      <c r="AM1503" s="1513"/>
      <c r="AN1503" s="1514"/>
      <c r="AO1503" s="1513"/>
      <c r="AP1503" s="1514"/>
      <c r="AQ1503" s="1731"/>
      <c r="AR1503" s="1870"/>
      <c r="AS1503" s="1731"/>
      <c r="AT1503" s="1871"/>
      <c r="AU1503" s="1731"/>
      <c r="AV1503" s="1870"/>
      <c r="AW1503" s="1731"/>
      <c r="AX1503" s="1870"/>
      <c r="AY1503" s="1906"/>
      <c r="AZ1503" s="1870"/>
      <c r="BA1503" s="1906"/>
      <c r="BB1503" s="1870"/>
    </row>
    <row r="1504" spans="1:54" s="2" customFormat="1" x14ac:dyDescent="0.25">
      <c r="A1504" s="2132">
        <v>1389</v>
      </c>
      <c r="B1504" s="2133">
        <v>15</v>
      </c>
      <c r="C1504" s="2015">
        <v>841917028</v>
      </c>
      <c r="D1504" s="158" t="s">
        <v>2012</v>
      </c>
      <c r="E1504" s="160" t="s">
        <v>1506</v>
      </c>
      <c r="F1504" s="2134">
        <v>2017</v>
      </c>
      <c r="G1504" s="272" t="s">
        <v>33</v>
      </c>
      <c r="H1504" s="628">
        <f t="shared" ref="H1504:H1505" si="533">IFERROR(VLOOKUP(C1504,Tlus,3,FALSE),"   ")</f>
        <v>44119</v>
      </c>
      <c r="I1504" s="574">
        <f t="shared" si="525"/>
        <v>44186</v>
      </c>
      <c r="J1504" s="1960"/>
      <c r="K1504" s="1734"/>
      <c r="L1504" s="2161"/>
      <c r="M1504" s="2160" t="s">
        <v>475</v>
      </c>
      <c r="N1504" s="2161"/>
      <c r="O1504" s="2160" t="s">
        <v>475</v>
      </c>
      <c r="P1504" s="2161"/>
      <c r="Q1504" s="2160" t="s">
        <v>475</v>
      </c>
      <c r="R1504" s="2161"/>
      <c r="S1504" s="2160" t="s">
        <v>475</v>
      </c>
      <c r="T1504" s="2161"/>
      <c r="U1504" s="2160" t="s">
        <v>475</v>
      </c>
      <c r="V1504" s="2161"/>
      <c r="W1504" s="2160" t="s">
        <v>475</v>
      </c>
      <c r="X1504" s="1731">
        <v>6000000</v>
      </c>
      <c r="Y1504" s="1367">
        <v>44054.455763888902</v>
      </c>
      <c r="Z1504" s="2024"/>
      <c r="AA1504" s="1348"/>
      <c r="AB1504" s="2024"/>
      <c r="AC1504" s="1348"/>
      <c r="AD1504" s="223"/>
      <c r="AE1504" s="1155"/>
      <c r="AF1504" s="223"/>
      <c r="AG1504" s="1155"/>
      <c r="AH1504" s="1627" t="str">
        <f t="shared" si="509"/>
        <v>5000 Dok</v>
      </c>
      <c r="AI1504" s="2088">
        <f t="shared" si="529"/>
        <v>6000000</v>
      </c>
      <c r="AJ1504" s="2088">
        <f t="shared" si="530"/>
        <v>6000000</v>
      </c>
      <c r="AK1504" s="2088">
        <f t="shared" si="531"/>
        <v>0</v>
      </c>
      <c r="AL1504" s="1513" t="str">
        <f t="shared" si="532"/>
        <v>Lunas</v>
      </c>
      <c r="AM1504" s="1513"/>
      <c r="AN1504" s="1514"/>
      <c r="AO1504" s="1513"/>
      <c r="AP1504" s="1514"/>
      <c r="AQ1504" s="1731"/>
      <c r="AR1504" s="1870"/>
      <c r="AS1504" s="1731"/>
      <c r="AT1504" s="1871"/>
      <c r="AU1504" s="1731"/>
      <c r="AV1504" s="1870"/>
      <c r="AW1504" s="1731"/>
      <c r="AX1504" s="1870"/>
      <c r="AY1504" s="1906"/>
      <c r="AZ1504" s="1870"/>
      <c r="BA1504" s="1906"/>
      <c r="BB1504" s="1870"/>
    </row>
    <row r="1505" spans="1:54" s="2" customFormat="1" x14ac:dyDescent="0.25">
      <c r="A1505" s="2135">
        <v>1390</v>
      </c>
      <c r="B1505" s="2136">
        <v>16</v>
      </c>
      <c r="C1505" s="2137">
        <v>841917029</v>
      </c>
      <c r="D1505" s="182" t="s">
        <v>1658</v>
      </c>
      <c r="E1505" s="184" t="s">
        <v>1506</v>
      </c>
      <c r="F1505" s="2138">
        <v>2017</v>
      </c>
      <c r="G1505" s="272" t="s">
        <v>33</v>
      </c>
      <c r="H1505" s="628">
        <f t="shared" si="533"/>
        <v>44140</v>
      </c>
      <c r="I1505" s="604">
        <f t="shared" si="525"/>
        <v>44186</v>
      </c>
      <c r="J1505" s="1960"/>
      <c r="K1505" s="1734"/>
      <c r="L1505" s="2161"/>
      <c r="M1505" s="2160" t="s">
        <v>475</v>
      </c>
      <c r="N1505" s="2161"/>
      <c r="O1505" s="2160" t="s">
        <v>475</v>
      </c>
      <c r="P1505" s="2161"/>
      <c r="Q1505" s="2160" t="s">
        <v>475</v>
      </c>
      <c r="R1505" s="2161"/>
      <c r="S1505" s="2160" t="s">
        <v>475</v>
      </c>
      <c r="T1505" s="2161"/>
      <c r="U1505" s="2160" t="s">
        <v>475</v>
      </c>
      <c r="V1505" s="2161"/>
      <c r="W1505" s="2160" t="s">
        <v>475</v>
      </c>
      <c r="X1505" s="1731">
        <v>6000000</v>
      </c>
      <c r="Y1505" s="1367">
        <v>44071.359907407401</v>
      </c>
      <c r="Z1505" s="2024"/>
      <c r="AA1505" s="1348"/>
      <c r="AB1505" s="2024"/>
      <c r="AC1505" s="1348"/>
      <c r="AD1505" s="223"/>
      <c r="AE1505" s="1155"/>
      <c r="AF1505" s="223"/>
      <c r="AG1505" s="1155"/>
      <c r="AH1505" s="1627" t="str">
        <f t="shared" si="509"/>
        <v>5000 Dok</v>
      </c>
      <c r="AI1505" s="2088">
        <f t="shared" si="529"/>
        <v>6000000</v>
      </c>
      <c r="AJ1505" s="2088">
        <f t="shared" si="530"/>
        <v>6000000</v>
      </c>
      <c r="AK1505" s="2088">
        <f t="shared" si="531"/>
        <v>0</v>
      </c>
      <c r="AL1505" s="1513" t="str">
        <f t="shared" si="532"/>
        <v>Lunas</v>
      </c>
      <c r="AM1505" s="1513"/>
      <c r="AN1505" s="1514"/>
      <c r="AO1505" s="1513"/>
      <c r="AP1505" s="1514"/>
      <c r="AQ1505" s="1731"/>
      <c r="AR1505" s="1870"/>
      <c r="AS1505" s="1731"/>
      <c r="AT1505" s="1871"/>
      <c r="AU1505" s="1731"/>
      <c r="AV1505" s="1870"/>
      <c r="AW1505" s="1731"/>
      <c r="AX1505" s="1870"/>
      <c r="AY1505" s="1906"/>
      <c r="AZ1505" s="1870"/>
      <c r="BA1505" s="1906"/>
      <c r="BB1505" s="1870"/>
    </row>
    <row r="1506" spans="1:54" s="2" customFormat="1" x14ac:dyDescent="0.25">
      <c r="A1506" s="434" t="s">
        <v>2013</v>
      </c>
      <c r="B1506" s="434"/>
      <c r="C1506" s="436"/>
      <c r="D1506" s="435"/>
      <c r="E1506" s="437"/>
      <c r="F1506" s="438" t="s">
        <v>61</v>
      </c>
      <c r="G1506" s="192" t="s">
        <v>61</v>
      </c>
      <c r="H1506" s="693" t="str">
        <f t="shared" si="524"/>
        <v xml:space="preserve">   </v>
      </c>
      <c r="I1506" s="693" t="str">
        <f t="shared" si="525"/>
        <v xml:space="preserve">   </v>
      </c>
      <c r="J1506" s="2024"/>
      <c r="K1506" s="1348"/>
      <c r="L1506" s="2024"/>
      <c r="M1506" s="1348"/>
      <c r="N1506" s="2024"/>
      <c r="O1506" s="1348"/>
      <c r="P1506" s="2024"/>
      <c r="Q1506" s="1348"/>
      <c r="R1506" s="2024"/>
      <c r="S1506" s="1378"/>
      <c r="T1506" s="2024"/>
      <c r="U1506" s="1348"/>
      <c r="V1506" s="2024"/>
      <c r="W1506" s="1348"/>
      <c r="X1506" s="2024"/>
      <c r="Y1506" s="1348"/>
      <c r="Z1506" s="2024"/>
      <c r="AA1506" s="1348"/>
      <c r="AB1506" s="2024"/>
      <c r="AC1506" s="1348"/>
      <c r="AD1506" s="223"/>
      <c r="AE1506" s="1155"/>
      <c r="AF1506" s="223"/>
      <c r="AG1506" s="1155"/>
      <c r="AH1506" s="1627">
        <f t="shared" si="509"/>
        <v>0</v>
      </c>
      <c r="AI1506" s="2088">
        <f t="shared" si="529"/>
        <v>0</v>
      </c>
      <c r="AJ1506" s="2088">
        <f t="shared" si="530"/>
        <v>0</v>
      </c>
      <c r="AK1506" s="2088">
        <f t="shared" si="531"/>
        <v>0</v>
      </c>
      <c r="AL1506" s="1513" t="str">
        <f t="shared" si="532"/>
        <v>Lunas</v>
      </c>
      <c r="AM1506" s="1513"/>
      <c r="AN1506" s="1514"/>
      <c r="AO1506" s="1513"/>
      <c r="AP1506" s="1514"/>
      <c r="AQ1506" s="1128"/>
      <c r="AR1506" s="1173"/>
      <c r="AT1506" s="1173"/>
      <c r="AV1506" s="1173"/>
      <c r="AX1506" s="1173"/>
      <c r="AY1506" s="1176"/>
      <c r="AZ1506" s="1173"/>
    </row>
    <row r="1507" spans="1:54" s="2" customFormat="1" x14ac:dyDescent="0.25">
      <c r="A1507" s="625" t="s">
        <v>2014</v>
      </c>
      <c r="B1507" s="625"/>
      <c r="C1507" s="366"/>
      <c r="D1507" s="625"/>
      <c r="E1507" s="198" t="s">
        <v>1096</v>
      </c>
      <c r="F1507" s="199" t="s">
        <v>1096</v>
      </c>
      <c r="G1507" s="565">
        <v>3750000</v>
      </c>
      <c r="H1507" s="147" t="str">
        <f t="shared" si="524"/>
        <v xml:space="preserve">   </v>
      </c>
      <c r="I1507" s="147" t="str">
        <f t="shared" si="525"/>
        <v xml:space="preserve">   </v>
      </c>
      <c r="J1507" s="2035">
        <v>2700000</v>
      </c>
      <c r="K1507" s="2036"/>
      <c r="L1507" s="2163" t="s">
        <v>1049</v>
      </c>
      <c r="M1507" s="2164" t="s">
        <v>1141</v>
      </c>
      <c r="N1507" s="2163" t="s">
        <v>1051</v>
      </c>
      <c r="O1507" s="2164" t="s">
        <v>1325</v>
      </c>
      <c r="P1507" s="2016" t="s">
        <v>1053</v>
      </c>
      <c r="Q1507" s="1438" t="s">
        <v>1463</v>
      </c>
      <c r="R1507" s="2016" t="s">
        <v>1055</v>
      </c>
      <c r="S1507" s="1438" t="s">
        <v>1464</v>
      </c>
      <c r="T1507" s="2016" t="s">
        <v>1057</v>
      </c>
      <c r="U1507" s="1438" t="s">
        <v>1466</v>
      </c>
      <c r="V1507" s="2016" t="s">
        <v>1059</v>
      </c>
      <c r="W1507" s="1438" t="s">
        <v>1468</v>
      </c>
      <c r="X1507" s="1582" t="s">
        <v>1061</v>
      </c>
      <c r="Y1507" s="1438" t="s">
        <v>1470</v>
      </c>
      <c r="Z1507" s="1582" t="s">
        <v>1063</v>
      </c>
      <c r="AA1507" s="2176" t="s">
        <v>1718</v>
      </c>
      <c r="AB1507" s="2177">
        <v>1000000</v>
      </c>
      <c r="AC1507" s="2178" t="s">
        <v>2015</v>
      </c>
      <c r="AD1507" s="1450">
        <v>1200000</v>
      </c>
      <c r="AE1507" s="1663" t="s">
        <v>2016</v>
      </c>
      <c r="AF1507" s="1450">
        <v>1600000</v>
      </c>
      <c r="AG1507" s="1663" t="s">
        <v>1326</v>
      </c>
      <c r="AH1507" s="1408" t="str">
        <f t="shared" ref="AH1507:AH1570" si="534">E1507</f>
        <v>#</v>
      </c>
      <c r="AI1507" s="1512"/>
      <c r="AJ1507" s="1409"/>
      <c r="AK1507" s="1409"/>
      <c r="AL1507" s="1513"/>
      <c r="AM1507" s="1450">
        <v>500000</v>
      </c>
      <c r="AN1507" s="1663" t="s">
        <v>22</v>
      </c>
      <c r="AO1507" s="1513"/>
      <c r="AP1507" s="1514"/>
      <c r="AQ1507" s="1128"/>
      <c r="AR1507" s="1173"/>
      <c r="AT1507" s="1173"/>
      <c r="AV1507" s="1173"/>
      <c r="AX1507" s="1173"/>
      <c r="AY1507" s="1176"/>
      <c r="AZ1507" s="1173"/>
    </row>
    <row r="1508" spans="1:54" s="7" customFormat="1" ht="15" customHeight="1" x14ac:dyDescent="0.25">
      <c r="A1508" s="2139">
        <v>1391</v>
      </c>
      <c r="B1508" s="2140">
        <v>1</v>
      </c>
      <c r="C1508" s="697">
        <v>849118036</v>
      </c>
      <c r="D1508" s="2141" t="s">
        <v>2017</v>
      </c>
      <c r="E1508" s="2142" t="s">
        <v>2018</v>
      </c>
      <c r="F1508" s="2143">
        <v>2018</v>
      </c>
      <c r="G1508" s="360" t="s">
        <v>1483</v>
      </c>
      <c r="H1508" s="2144" t="str">
        <f t="shared" si="524"/>
        <v xml:space="preserve">   </v>
      </c>
      <c r="I1508" s="700" t="str">
        <f t="shared" si="525"/>
        <v xml:space="preserve">   </v>
      </c>
      <c r="J1508" s="2165">
        <v>2700000</v>
      </c>
      <c r="K1508" s="2054">
        <v>43654</v>
      </c>
      <c r="L1508" s="2166">
        <v>3750000</v>
      </c>
      <c r="M1508" s="1727">
        <v>43346</v>
      </c>
      <c r="N1508" s="1941">
        <v>3750000</v>
      </c>
      <c r="O1508" s="2054">
        <v>43651</v>
      </c>
      <c r="P1508" s="2097">
        <v>3750000</v>
      </c>
      <c r="Q1508" s="2054">
        <v>43654</v>
      </c>
      <c r="R1508" s="2170">
        <v>3750000</v>
      </c>
      <c r="S1508" s="2054">
        <v>43861.584594907399</v>
      </c>
      <c r="T1508" s="1731">
        <v>3750000</v>
      </c>
      <c r="U1508" s="1367">
        <v>44070.414618055598</v>
      </c>
      <c r="V1508" s="1941"/>
      <c r="W1508" s="2171"/>
      <c r="X1508" s="1543"/>
      <c r="Y1508" s="2171"/>
      <c r="Z1508" s="1543"/>
      <c r="AA1508" s="2171"/>
      <c r="AB1508" s="1666"/>
      <c r="AC1508" s="1590"/>
      <c r="AD1508" s="1666"/>
      <c r="AE1508" s="1590"/>
      <c r="AF1508" s="1666"/>
      <c r="AG1508" s="1590"/>
      <c r="AH1508" s="1625" t="str">
        <f t="shared" si="534"/>
        <v>MPI-3A</v>
      </c>
      <c r="AI1508" s="2186">
        <f>SUM(J1508,L1508,N1508,P1508,R1508,T1508,V1508,X1508,Z1508,AB1508,AD1508,AF1508,AM1508)</f>
        <v>21450000</v>
      </c>
      <c r="AJ1508" s="1675">
        <f t="shared" ref="AJ1508:AJ1539" si="535">(COUNT(L1508,N1508,P1508,R1508,T1508,V1508,X1508,Z1508)*$G$1507)+(COUNT(J1508)*$J$1507)+(COUNT(AB1508)*$AB$1507)+(COUNT(AD1508)*$AD$1507)+(COUNT(AF1508)*$AF$1507)+(COUNT(AM1508)*$AM$1507)</f>
        <v>21450000</v>
      </c>
      <c r="AK1508" s="1520">
        <f t="shared" ref="AK1508" si="536">AJ1508-AI1508</f>
        <v>0</v>
      </c>
      <c r="AL1508" s="2187" t="str">
        <f t="shared" ref="AL1508" si="537">IF(AK1508=0,"Lunas","Cek")</f>
        <v>Lunas</v>
      </c>
      <c r="AM1508" s="1666"/>
      <c r="AN1508" s="1590"/>
      <c r="AO1508"/>
      <c r="AP1508"/>
      <c r="AQ1508" s="747"/>
      <c r="AR1508" s="2190"/>
      <c r="AT1508" s="2190"/>
      <c r="AV1508" s="2190"/>
      <c r="AX1508" s="2190"/>
      <c r="AY1508" s="1176"/>
      <c r="AZ1508" s="2190"/>
    </row>
    <row r="1509" spans="1:54" s="7" customFormat="1" ht="15" customHeight="1" x14ac:dyDescent="0.25">
      <c r="A1509" s="2132">
        <v>1392</v>
      </c>
      <c r="B1509" s="2133">
        <v>2</v>
      </c>
      <c r="C1509" s="2145">
        <v>849118039</v>
      </c>
      <c r="D1509" s="2146" t="s">
        <v>2019</v>
      </c>
      <c r="E1509" s="179" t="s">
        <v>2018</v>
      </c>
      <c r="F1509" s="161">
        <v>2018</v>
      </c>
      <c r="G1509" s="272" t="s">
        <v>33</v>
      </c>
      <c r="H1509" s="628">
        <f t="shared" si="524"/>
        <v>43971</v>
      </c>
      <c r="I1509" s="628">
        <f t="shared" si="525"/>
        <v>44168</v>
      </c>
      <c r="J1509" s="1364">
        <v>2700000</v>
      </c>
      <c r="K1509" s="1365">
        <v>43308</v>
      </c>
      <c r="L1509" s="1358">
        <v>3750000</v>
      </c>
      <c r="M1509" s="1365">
        <v>43308</v>
      </c>
      <c r="N1509" s="1358">
        <v>3750000</v>
      </c>
      <c r="O1509" s="1357">
        <v>43481</v>
      </c>
      <c r="P1509" s="1385">
        <v>3750000</v>
      </c>
      <c r="Q1509" s="1357">
        <v>43641</v>
      </c>
      <c r="R1509" s="1874">
        <v>3750000</v>
      </c>
      <c r="S1509" s="1357">
        <v>43859.453055555598</v>
      </c>
      <c r="T1509" s="1714"/>
      <c r="U1509" s="1391"/>
      <c r="V1509" s="1363"/>
      <c r="W1509" s="1391"/>
      <c r="X1509" s="1363"/>
      <c r="Y1509" s="1391"/>
      <c r="Z1509" s="1363"/>
      <c r="AA1509" s="1391"/>
      <c r="AB1509" s="1874">
        <v>1000000</v>
      </c>
      <c r="AC1509" s="1357">
        <v>44154</v>
      </c>
      <c r="AD1509" s="1809">
        <v>1200000</v>
      </c>
      <c r="AE1509" s="1357">
        <v>44154</v>
      </c>
      <c r="AF1509" s="1809">
        <v>1600000</v>
      </c>
      <c r="AG1509" s="1357">
        <v>44154</v>
      </c>
      <c r="AH1509" s="1625" t="str">
        <f t="shared" si="534"/>
        <v>MPI-3A</v>
      </c>
      <c r="AI1509" s="2186">
        <f t="shared" ref="AI1509:AI1558" si="538">SUM(J1509,L1509,N1509,P1509,R1509,T1509,V1509,X1509,Z1509,AB1509,AD1509,AF1509,AM1509)</f>
        <v>22000000</v>
      </c>
      <c r="AJ1509" s="1675">
        <f t="shared" si="535"/>
        <v>22000000</v>
      </c>
      <c r="AK1509" s="1520">
        <f t="shared" ref="AK1509:AK1558" si="539">AJ1509-AI1509</f>
        <v>0</v>
      </c>
      <c r="AL1509" s="2187" t="str">
        <f t="shared" ref="AL1509:AL1558" si="540">IF(AK1509=0,"Lunas","Cek")</f>
        <v>Lunas</v>
      </c>
      <c r="AM1509" s="1666">
        <v>500000</v>
      </c>
      <c r="AN1509" s="1590">
        <v>44006</v>
      </c>
      <c r="AO1509"/>
      <c r="AP1509"/>
      <c r="AQ1509" s="747"/>
      <c r="AR1509" s="2190"/>
      <c r="AT1509" s="2190"/>
      <c r="AV1509" s="2190"/>
      <c r="AX1509" s="2190"/>
      <c r="AY1509" s="1176"/>
      <c r="AZ1509" s="2190"/>
    </row>
    <row r="1510" spans="1:54" s="7" customFormat="1" ht="15" customHeight="1" x14ac:dyDescent="0.25">
      <c r="A1510" s="670">
        <v>1393</v>
      </c>
      <c r="B1510" s="671">
        <v>3</v>
      </c>
      <c r="C1510" s="2147">
        <v>849118040</v>
      </c>
      <c r="D1510" s="701" t="s">
        <v>2020</v>
      </c>
      <c r="E1510" s="441" t="s">
        <v>2018</v>
      </c>
      <c r="F1510" s="175">
        <v>2018</v>
      </c>
      <c r="G1510" s="1758" t="s">
        <v>28</v>
      </c>
      <c r="H1510" s="580" t="str">
        <f t="shared" si="524"/>
        <v xml:space="preserve">   </v>
      </c>
      <c r="I1510" s="580" t="str">
        <f t="shared" si="525"/>
        <v xml:space="preserve">   </v>
      </c>
      <c r="J1510" s="1366">
        <v>2700000</v>
      </c>
      <c r="K1510" s="1360">
        <v>43314</v>
      </c>
      <c r="L1510" s="1363">
        <v>3750000</v>
      </c>
      <c r="M1510" s="1360">
        <v>43314</v>
      </c>
      <c r="N1510" s="1363">
        <v>3750000</v>
      </c>
      <c r="O1510" s="1367">
        <v>43479</v>
      </c>
      <c r="P1510" s="1714">
        <v>3750000</v>
      </c>
      <c r="Q1510" s="1367">
        <v>43642.635844907403</v>
      </c>
      <c r="R1510" s="1731">
        <v>3750000</v>
      </c>
      <c r="S1510" s="1367">
        <v>43860.7484259259</v>
      </c>
      <c r="T1510" s="1731">
        <v>0</v>
      </c>
      <c r="U1510" s="1367"/>
      <c r="V1510" s="1363"/>
      <c r="W1510" s="1391"/>
      <c r="X1510" s="1363"/>
      <c r="Y1510" s="1391"/>
      <c r="Z1510" s="1363"/>
      <c r="AA1510" s="1391"/>
      <c r="AB1510" s="1731"/>
      <c r="AC1510" s="1367"/>
      <c r="AD1510" s="1666"/>
      <c r="AE1510" s="1590"/>
      <c r="AF1510" s="1666"/>
      <c r="AG1510" s="1590"/>
      <c r="AH1510" s="1625" t="str">
        <f t="shared" si="534"/>
        <v>MPI-3A</v>
      </c>
      <c r="AI1510" s="1675">
        <f t="shared" si="538"/>
        <v>17700000</v>
      </c>
      <c r="AJ1510" s="1675">
        <f t="shared" si="535"/>
        <v>21450000</v>
      </c>
      <c r="AK1510" s="1520">
        <f t="shared" si="539"/>
        <v>3750000</v>
      </c>
      <c r="AL1510" s="2187" t="str">
        <f t="shared" si="540"/>
        <v>Cek</v>
      </c>
      <c r="AM1510" s="1666"/>
      <c r="AN1510" s="1590"/>
      <c r="AO1510"/>
      <c r="AP1510"/>
      <c r="AQ1510" s="747"/>
      <c r="AR1510" s="2190"/>
      <c r="AT1510" s="2190"/>
      <c r="AV1510" s="2190"/>
      <c r="AX1510" s="2190"/>
      <c r="AY1510" s="1176"/>
      <c r="AZ1510" s="2190"/>
    </row>
    <row r="1511" spans="1:54" s="7" customFormat="1" ht="15" customHeight="1" x14ac:dyDescent="0.25">
      <c r="A1511" s="670">
        <v>1394</v>
      </c>
      <c r="B1511" s="671">
        <v>4</v>
      </c>
      <c r="C1511" s="2147">
        <v>849118041</v>
      </c>
      <c r="D1511" s="701" t="s">
        <v>2021</v>
      </c>
      <c r="E1511" s="441" t="s">
        <v>2018</v>
      </c>
      <c r="F1511" s="175">
        <v>2018</v>
      </c>
      <c r="G1511" s="1758" t="s">
        <v>28</v>
      </c>
      <c r="H1511" s="580" t="str">
        <f t="shared" si="524"/>
        <v xml:space="preserve">   </v>
      </c>
      <c r="I1511" s="580" t="str">
        <f t="shared" si="525"/>
        <v xml:space="preserve">   </v>
      </c>
      <c r="J1511" s="1366">
        <v>2700000</v>
      </c>
      <c r="K1511" s="1360">
        <v>43313</v>
      </c>
      <c r="L1511" s="1363">
        <v>3750000</v>
      </c>
      <c r="M1511" s="1360">
        <v>43313</v>
      </c>
      <c r="N1511" s="1363">
        <v>3750000</v>
      </c>
      <c r="O1511" s="1367">
        <v>43480</v>
      </c>
      <c r="P1511" s="1714">
        <v>3750000</v>
      </c>
      <c r="Q1511" s="1367">
        <v>43634.571550925903</v>
      </c>
      <c r="R1511" s="1731">
        <v>3750000</v>
      </c>
      <c r="S1511" s="1367">
        <v>43854.569398148102</v>
      </c>
      <c r="T1511" s="1731">
        <v>0</v>
      </c>
      <c r="U1511" s="1367"/>
      <c r="V1511" s="1363"/>
      <c r="W1511" s="1391"/>
      <c r="X1511" s="1363"/>
      <c r="Y1511" s="1391"/>
      <c r="Z1511" s="1363"/>
      <c r="AA1511" s="1391"/>
      <c r="AB1511" s="1731"/>
      <c r="AC1511" s="1367"/>
      <c r="AD1511" s="1666"/>
      <c r="AE1511" s="1590"/>
      <c r="AF1511" s="1666"/>
      <c r="AG1511" s="1590"/>
      <c r="AH1511" s="1625" t="str">
        <f t="shared" si="534"/>
        <v>MPI-3A</v>
      </c>
      <c r="AI1511" s="1675">
        <f t="shared" si="538"/>
        <v>17700000</v>
      </c>
      <c r="AJ1511" s="1675">
        <f t="shared" si="535"/>
        <v>21450000</v>
      </c>
      <c r="AK1511" s="1520">
        <f t="shared" si="539"/>
        <v>3750000</v>
      </c>
      <c r="AL1511" s="2187" t="str">
        <f t="shared" si="540"/>
        <v>Cek</v>
      </c>
      <c r="AM1511" s="1666"/>
      <c r="AN1511" s="1590"/>
      <c r="AO1511"/>
      <c r="AP1511"/>
      <c r="AQ1511" s="747"/>
      <c r="AR1511" s="2190"/>
      <c r="AT1511" s="2190"/>
      <c r="AV1511" s="2190"/>
      <c r="AX1511" s="2190"/>
      <c r="AY1511" s="1176"/>
      <c r="AZ1511" s="2190"/>
    </row>
    <row r="1512" spans="1:54" s="7" customFormat="1" ht="15" customHeight="1" x14ac:dyDescent="0.25">
      <c r="A1512" s="670">
        <v>1395</v>
      </c>
      <c r="B1512" s="671">
        <v>5</v>
      </c>
      <c r="C1512" s="2147">
        <v>849118042</v>
      </c>
      <c r="D1512" s="701" t="s">
        <v>2022</v>
      </c>
      <c r="E1512" s="441" t="s">
        <v>2018</v>
      </c>
      <c r="F1512" s="175">
        <v>2018</v>
      </c>
      <c r="G1512" s="360" t="s">
        <v>1483</v>
      </c>
      <c r="H1512" s="580" t="str">
        <f t="shared" si="524"/>
        <v xml:space="preserve">   </v>
      </c>
      <c r="I1512" s="580" t="str">
        <f t="shared" si="525"/>
        <v xml:space="preserve">   </v>
      </c>
      <c r="J1512" s="1366">
        <v>2700000</v>
      </c>
      <c r="K1512" s="1360">
        <v>43321</v>
      </c>
      <c r="L1512" s="1363">
        <v>3750000</v>
      </c>
      <c r="M1512" s="1360">
        <v>43321</v>
      </c>
      <c r="N1512" s="1363">
        <v>3750000</v>
      </c>
      <c r="O1512" s="1367">
        <v>43483</v>
      </c>
      <c r="P1512" s="1714">
        <v>3750000</v>
      </c>
      <c r="Q1512" s="1367">
        <v>43641</v>
      </c>
      <c r="R1512" s="1731">
        <v>3750000</v>
      </c>
      <c r="S1512" s="1367">
        <v>43861.6230208333</v>
      </c>
      <c r="T1512" s="1731">
        <v>3750000</v>
      </c>
      <c r="U1512" s="1367">
        <v>44071.427106481497</v>
      </c>
      <c r="V1512" s="1363"/>
      <c r="W1512" s="1391"/>
      <c r="X1512" s="1363"/>
      <c r="Y1512" s="1391"/>
      <c r="Z1512" s="1363"/>
      <c r="AA1512" s="1391"/>
      <c r="AB1512" s="1731"/>
      <c r="AC1512" s="1367"/>
      <c r="AD1512" s="1666"/>
      <c r="AE1512" s="1590"/>
      <c r="AF1512" s="1666"/>
      <c r="AG1512" s="1590"/>
      <c r="AH1512" s="1625" t="str">
        <f t="shared" si="534"/>
        <v>MPI-3A</v>
      </c>
      <c r="AI1512" s="1675">
        <f t="shared" si="538"/>
        <v>21450000</v>
      </c>
      <c r="AJ1512" s="1675">
        <f t="shared" si="535"/>
        <v>21450000</v>
      </c>
      <c r="AK1512" s="1520">
        <f t="shared" si="539"/>
        <v>0</v>
      </c>
      <c r="AL1512" s="2187" t="str">
        <f t="shared" si="540"/>
        <v>Lunas</v>
      </c>
      <c r="AM1512" s="1666"/>
      <c r="AN1512" s="1590"/>
      <c r="AO1512"/>
      <c r="AP1512"/>
      <c r="AQ1512" s="747"/>
      <c r="AR1512" s="2190"/>
      <c r="AT1512" s="2190"/>
      <c r="AV1512" s="2190"/>
      <c r="AX1512" s="2190"/>
      <c r="AY1512" s="1176"/>
      <c r="AZ1512" s="2190"/>
    </row>
    <row r="1513" spans="1:54" s="7" customFormat="1" ht="15" customHeight="1" x14ac:dyDescent="0.25">
      <c r="A1513" s="670">
        <v>1396</v>
      </c>
      <c r="B1513" s="671">
        <v>6</v>
      </c>
      <c r="C1513" s="2147">
        <v>849118043</v>
      </c>
      <c r="D1513" s="701" t="s">
        <v>2023</v>
      </c>
      <c r="E1513" s="441" t="s">
        <v>2018</v>
      </c>
      <c r="F1513" s="175">
        <v>2018</v>
      </c>
      <c r="G1513" s="360" t="s">
        <v>1483</v>
      </c>
      <c r="H1513" s="580" t="str">
        <f t="shared" si="524"/>
        <v xml:space="preserve">   </v>
      </c>
      <c r="I1513" s="580" t="str">
        <f t="shared" si="525"/>
        <v xml:space="preserve">   </v>
      </c>
      <c r="J1513" s="1366">
        <v>2700000</v>
      </c>
      <c r="K1513" s="1360">
        <v>43307</v>
      </c>
      <c r="L1513" s="1363">
        <v>3750000</v>
      </c>
      <c r="M1513" s="1360">
        <v>43307</v>
      </c>
      <c r="N1513" s="1363">
        <v>3750000</v>
      </c>
      <c r="O1513" s="1367">
        <v>43481</v>
      </c>
      <c r="P1513" s="1714">
        <v>3750000</v>
      </c>
      <c r="Q1513" s="1367">
        <v>43642</v>
      </c>
      <c r="R1513" s="1731">
        <v>3750000</v>
      </c>
      <c r="S1513" s="1367">
        <v>43859.733726851897</v>
      </c>
      <c r="T1513" s="1731">
        <v>3750000</v>
      </c>
      <c r="U1513" s="1367">
        <v>44069.733819444402</v>
      </c>
      <c r="V1513" s="1363"/>
      <c r="W1513" s="1391"/>
      <c r="X1513" s="1363"/>
      <c r="Y1513" s="1391"/>
      <c r="Z1513" s="1363"/>
      <c r="AA1513" s="1391"/>
      <c r="AB1513" s="1731"/>
      <c r="AC1513" s="1367"/>
      <c r="AD1513" s="1666"/>
      <c r="AE1513" s="1590"/>
      <c r="AF1513" s="1666"/>
      <c r="AG1513" s="1590"/>
      <c r="AH1513" s="1625" t="str">
        <f t="shared" si="534"/>
        <v>MPI-3A</v>
      </c>
      <c r="AI1513" s="1675">
        <f t="shared" si="538"/>
        <v>21450000</v>
      </c>
      <c r="AJ1513" s="1675">
        <f t="shared" si="535"/>
        <v>21450000</v>
      </c>
      <c r="AK1513" s="1520">
        <f t="shared" si="539"/>
        <v>0</v>
      </c>
      <c r="AL1513" s="2187" t="str">
        <f t="shared" si="540"/>
        <v>Lunas</v>
      </c>
      <c r="AM1513" s="1666"/>
      <c r="AN1513" s="1590"/>
      <c r="AO1513"/>
      <c r="AP1513"/>
      <c r="AQ1513" s="747"/>
      <c r="AR1513" s="2190"/>
      <c r="AT1513" s="2190"/>
      <c r="AV1513" s="2190"/>
      <c r="AX1513" s="2190"/>
      <c r="AY1513" s="1176"/>
      <c r="AZ1513" s="2190"/>
    </row>
    <row r="1514" spans="1:54" s="7" customFormat="1" ht="15" customHeight="1" x14ac:dyDescent="0.25">
      <c r="A1514" s="670">
        <v>1397</v>
      </c>
      <c r="B1514" s="671">
        <v>7</v>
      </c>
      <c r="C1514" s="2147">
        <v>849118044</v>
      </c>
      <c r="D1514" s="701" t="s">
        <v>2024</v>
      </c>
      <c r="E1514" s="441" t="s">
        <v>2018</v>
      </c>
      <c r="F1514" s="175">
        <v>2018</v>
      </c>
      <c r="G1514" s="360" t="s">
        <v>1483</v>
      </c>
      <c r="H1514" s="580" t="str">
        <f t="shared" si="524"/>
        <v xml:space="preserve">   </v>
      </c>
      <c r="I1514" s="580" t="str">
        <f t="shared" si="525"/>
        <v xml:space="preserve">   </v>
      </c>
      <c r="J1514" s="1366">
        <v>2700000</v>
      </c>
      <c r="K1514" s="1360">
        <v>43308</v>
      </c>
      <c r="L1514" s="1363">
        <v>3750000</v>
      </c>
      <c r="M1514" s="1360">
        <v>43308</v>
      </c>
      <c r="N1514" s="1363">
        <v>3750000</v>
      </c>
      <c r="O1514" s="1367">
        <v>43481</v>
      </c>
      <c r="P1514" s="1714">
        <v>3750000</v>
      </c>
      <c r="Q1514" s="1367">
        <v>43641.410740740699</v>
      </c>
      <c r="R1514" s="1731">
        <v>3750000</v>
      </c>
      <c r="S1514" s="1367">
        <v>43854.372476851902</v>
      </c>
      <c r="T1514" s="1731">
        <v>3750000</v>
      </c>
      <c r="U1514" s="1367">
        <v>44062.393912036998</v>
      </c>
      <c r="V1514" s="1363"/>
      <c r="W1514" s="1391"/>
      <c r="X1514" s="1363"/>
      <c r="Y1514" s="1391"/>
      <c r="Z1514" s="1363"/>
      <c r="AA1514" s="1391"/>
      <c r="AB1514" s="1731">
        <v>1000000</v>
      </c>
      <c r="AC1514" s="1367">
        <v>44139</v>
      </c>
      <c r="AD1514" s="1666"/>
      <c r="AE1514" s="1590"/>
      <c r="AF1514" s="1666"/>
      <c r="AG1514" s="1590"/>
      <c r="AH1514" s="1625" t="str">
        <f t="shared" si="534"/>
        <v>MPI-3A</v>
      </c>
      <c r="AI1514" s="1675">
        <f t="shared" si="538"/>
        <v>22450000</v>
      </c>
      <c r="AJ1514" s="1675">
        <f t="shared" si="535"/>
        <v>22450000</v>
      </c>
      <c r="AK1514" s="1520">
        <f t="shared" si="539"/>
        <v>0</v>
      </c>
      <c r="AL1514" s="2187" t="str">
        <f t="shared" si="540"/>
        <v>Lunas</v>
      </c>
      <c r="AM1514" s="1666"/>
      <c r="AN1514" s="1590"/>
      <c r="AO1514"/>
      <c r="AP1514"/>
      <c r="AQ1514" s="747"/>
      <c r="AR1514" s="2190"/>
      <c r="AT1514" s="2190"/>
      <c r="AV1514" s="2190"/>
      <c r="AX1514" s="2190"/>
      <c r="AY1514" s="1176"/>
      <c r="AZ1514" s="2190"/>
    </row>
    <row r="1515" spans="1:54" s="7" customFormat="1" ht="15" customHeight="1" x14ac:dyDescent="0.25">
      <c r="A1515" s="670">
        <v>1398</v>
      </c>
      <c r="B1515" s="671">
        <v>8</v>
      </c>
      <c r="C1515" s="2147">
        <v>849118045</v>
      </c>
      <c r="D1515" s="701" t="s">
        <v>2025</v>
      </c>
      <c r="E1515" s="441" t="s">
        <v>2018</v>
      </c>
      <c r="F1515" s="175">
        <v>2018</v>
      </c>
      <c r="G1515" s="360" t="s">
        <v>1483</v>
      </c>
      <c r="H1515" s="580" t="str">
        <f t="shared" si="524"/>
        <v xml:space="preserve">   </v>
      </c>
      <c r="I1515" s="580" t="str">
        <f t="shared" si="525"/>
        <v xml:space="preserve">   </v>
      </c>
      <c r="J1515" s="1366">
        <v>2700000</v>
      </c>
      <c r="K1515" s="1360">
        <v>43311</v>
      </c>
      <c r="L1515" s="1363">
        <v>3750000</v>
      </c>
      <c r="M1515" s="1360">
        <v>43311</v>
      </c>
      <c r="N1515" s="1363">
        <v>3750000</v>
      </c>
      <c r="O1515" s="1367">
        <v>43480</v>
      </c>
      <c r="P1515" s="1714">
        <v>3750000</v>
      </c>
      <c r="Q1515" s="1367">
        <v>43642.391643518502</v>
      </c>
      <c r="R1515" s="1731">
        <v>3750000</v>
      </c>
      <c r="S1515" s="1367">
        <v>43852.448298611103</v>
      </c>
      <c r="T1515" s="1731">
        <v>3750000</v>
      </c>
      <c r="U1515" s="1367">
        <v>44047</v>
      </c>
      <c r="V1515" s="1363"/>
      <c r="W1515" s="1391"/>
      <c r="X1515" s="1363"/>
      <c r="Y1515" s="1391"/>
      <c r="Z1515" s="1363"/>
      <c r="AA1515" s="1391"/>
      <c r="AB1515" s="1731"/>
      <c r="AC1515" s="1367"/>
      <c r="AD1515" s="1666"/>
      <c r="AE1515" s="1590"/>
      <c r="AF1515" s="1666"/>
      <c r="AG1515" s="1590"/>
      <c r="AH1515" s="1625" t="str">
        <f t="shared" si="534"/>
        <v>MPI-3A</v>
      </c>
      <c r="AI1515" s="1675">
        <f t="shared" si="538"/>
        <v>21450000</v>
      </c>
      <c r="AJ1515" s="1675">
        <f t="shared" si="535"/>
        <v>21450000</v>
      </c>
      <c r="AK1515" s="1520">
        <f t="shared" si="539"/>
        <v>0</v>
      </c>
      <c r="AL1515" s="2187" t="str">
        <f t="shared" si="540"/>
        <v>Lunas</v>
      </c>
      <c r="AM1515" s="1666"/>
      <c r="AN1515" s="1590"/>
      <c r="AO1515"/>
      <c r="AP1515"/>
      <c r="AQ1515" s="747"/>
      <c r="AR1515" s="2190"/>
      <c r="AT1515" s="2190"/>
      <c r="AV1515" s="2190"/>
      <c r="AX1515" s="2190"/>
      <c r="AY1515" s="1176"/>
      <c r="AZ1515" s="2190"/>
    </row>
    <row r="1516" spans="1:54" s="2" customFormat="1" x14ac:dyDescent="0.25">
      <c r="A1516" s="670">
        <v>1399</v>
      </c>
      <c r="B1516" s="671">
        <v>9</v>
      </c>
      <c r="C1516" s="2147">
        <v>849118001</v>
      </c>
      <c r="D1516" s="701" t="s">
        <v>2026</v>
      </c>
      <c r="E1516" s="441" t="s">
        <v>2027</v>
      </c>
      <c r="F1516" s="175">
        <v>2018</v>
      </c>
      <c r="G1516" s="360" t="s">
        <v>1483</v>
      </c>
      <c r="H1516" s="580" t="str">
        <f t="shared" si="524"/>
        <v xml:space="preserve">   </v>
      </c>
      <c r="I1516" s="580" t="str">
        <f t="shared" si="525"/>
        <v xml:space="preserve">   </v>
      </c>
      <c r="J1516" s="1366">
        <v>2700000</v>
      </c>
      <c r="K1516" s="1360">
        <v>43314</v>
      </c>
      <c r="L1516" s="1363">
        <v>3750000</v>
      </c>
      <c r="M1516" s="1360">
        <v>43314</v>
      </c>
      <c r="N1516" s="1363">
        <v>3750000</v>
      </c>
      <c r="O1516" s="1367">
        <v>43483</v>
      </c>
      <c r="P1516" s="1714">
        <v>3750000</v>
      </c>
      <c r="Q1516" s="1367">
        <v>43644</v>
      </c>
      <c r="R1516" s="1731">
        <v>3750000</v>
      </c>
      <c r="S1516" s="1367">
        <v>43858.574722222198</v>
      </c>
      <c r="T1516" s="1731">
        <v>3750000</v>
      </c>
      <c r="U1516" s="1367">
        <v>44071.6074884259</v>
      </c>
      <c r="V1516" s="1363"/>
      <c r="W1516" s="1391"/>
      <c r="X1516" s="1363"/>
      <c r="Y1516" s="1391"/>
      <c r="Z1516" s="1363"/>
      <c r="AA1516" s="1391"/>
      <c r="AB1516" s="1731"/>
      <c r="AC1516" s="1367"/>
      <c r="AD1516" s="1666"/>
      <c r="AE1516" s="1590"/>
      <c r="AF1516" s="1666"/>
      <c r="AG1516" s="1590"/>
      <c r="AH1516" s="1625" t="str">
        <f t="shared" si="534"/>
        <v>MPI-3B</v>
      </c>
      <c r="AI1516" s="1675">
        <f t="shared" si="538"/>
        <v>21450000</v>
      </c>
      <c r="AJ1516" s="1675">
        <f t="shared" si="535"/>
        <v>21450000</v>
      </c>
      <c r="AK1516" s="1520">
        <f t="shared" si="539"/>
        <v>0</v>
      </c>
      <c r="AL1516" s="2187" t="str">
        <f t="shared" si="540"/>
        <v>Lunas</v>
      </c>
      <c r="AM1516" s="1666"/>
      <c r="AN1516" s="1590"/>
      <c r="AO1516"/>
      <c r="AP1516"/>
      <c r="AQ1516" s="1128"/>
      <c r="AR1516" s="1173"/>
      <c r="AT1516" s="1173"/>
      <c r="AV1516" s="1173"/>
      <c r="AX1516" s="1173"/>
      <c r="AY1516" s="1176"/>
      <c r="AZ1516" s="1173"/>
    </row>
    <row r="1517" spans="1:54" s="2" customFormat="1" x14ac:dyDescent="0.25">
      <c r="A1517" s="670">
        <v>1400</v>
      </c>
      <c r="B1517" s="671">
        <v>10</v>
      </c>
      <c r="C1517" s="2147">
        <v>849118002</v>
      </c>
      <c r="D1517" s="701" t="s">
        <v>2028</v>
      </c>
      <c r="E1517" s="441" t="s">
        <v>2027</v>
      </c>
      <c r="F1517" s="175">
        <v>2018</v>
      </c>
      <c r="G1517" s="360" t="s">
        <v>1483</v>
      </c>
      <c r="H1517" s="580" t="str">
        <f t="shared" si="524"/>
        <v xml:space="preserve">   </v>
      </c>
      <c r="I1517" s="580" t="str">
        <f t="shared" si="525"/>
        <v xml:space="preserve">   </v>
      </c>
      <c r="J1517" s="1366">
        <v>2700000</v>
      </c>
      <c r="K1517" s="1360">
        <v>43313</v>
      </c>
      <c r="L1517" s="1363">
        <v>3750000</v>
      </c>
      <c r="M1517" s="1360">
        <v>43313</v>
      </c>
      <c r="N1517" s="1363">
        <v>3750000</v>
      </c>
      <c r="O1517" s="1367">
        <v>43482</v>
      </c>
      <c r="P1517" s="1714">
        <v>3750000</v>
      </c>
      <c r="Q1517" s="1367">
        <v>43640</v>
      </c>
      <c r="R1517" s="1731">
        <v>3750000</v>
      </c>
      <c r="S1517" s="1367">
        <v>43853.4793055556</v>
      </c>
      <c r="T1517" s="1731">
        <v>3750000</v>
      </c>
      <c r="U1517" s="1367">
        <v>44071.542361111096</v>
      </c>
      <c r="V1517" s="1363"/>
      <c r="W1517" s="1391"/>
      <c r="X1517" s="1363"/>
      <c r="Y1517" s="1391"/>
      <c r="Z1517" s="1363"/>
      <c r="AA1517" s="1391"/>
      <c r="AB1517" s="1731"/>
      <c r="AC1517" s="1367"/>
      <c r="AD1517" s="1666"/>
      <c r="AE1517" s="1590"/>
      <c r="AF1517" s="1666"/>
      <c r="AG1517" s="1590"/>
      <c r="AH1517" s="1625" t="str">
        <f t="shared" si="534"/>
        <v>MPI-3B</v>
      </c>
      <c r="AI1517" s="1675">
        <f t="shared" si="538"/>
        <v>21450000</v>
      </c>
      <c r="AJ1517" s="1675">
        <f t="shared" si="535"/>
        <v>21450000</v>
      </c>
      <c r="AK1517" s="1520">
        <f t="shared" si="539"/>
        <v>0</v>
      </c>
      <c r="AL1517" s="2187" t="str">
        <f t="shared" si="540"/>
        <v>Lunas</v>
      </c>
      <c r="AM1517" s="1666"/>
      <c r="AN1517" s="1590"/>
      <c r="AO1517"/>
      <c r="AP1517"/>
      <c r="AQ1517" s="1128"/>
      <c r="AR1517" s="1173"/>
      <c r="AT1517" s="1173"/>
      <c r="AV1517" s="1173"/>
      <c r="AX1517" s="1173"/>
      <c r="AY1517" s="1176"/>
      <c r="AZ1517" s="1173"/>
    </row>
    <row r="1518" spans="1:54" s="2" customFormat="1" x14ac:dyDescent="0.25">
      <c r="A1518" s="670">
        <v>1401</v>
      </c>
      <c r="B1518" s="671">
        <v>11</v>
      </c>
      <c r="C1518" s="2147">
        <v>849118003</v>
      </c>
      <c r="D1518" s="701" t="s">
        <v>2029</v>
      </c>
      <c r="E1518" s="441" t="s">
        <v>2027</v>
      </c>
      <c r="F1518" s="175">
        <v>2018</v>
      </c>
      <c r="G1518" s="581" t="s">
        <v>1833</v>
      </c>
      <c r="H1518" s="580" t="str">
        <f t="shared" si="524"/>
        <v xml:space="preserve">   </v>
      </c>
      <c r="I1518" s="580" t="str">
        <f t="shared" si="525"/>
        <v xml:space="preserve">   </v>
      </c>
      <c r="J1518" s="1366">
        <v>2700000</v>
      </c>
      <c r="K1518" s="1360">
        <v>43312</v>
      </c>
      <c r="L1518" s="1363">
        <v>3750000</v>
      </c>
      <c r="M1518" s="1360">
        <v>43312</v>
      </c>
      <c r="N1518" s="1363">
        <v>3750000</v>
      </c>
      <c r="O1518" s="1367">
        <v>43483</v>
      </c>
      <c r="P1518" s="1714">
        <v>3750000</v>
      </c>
      <c r="Q1518" s="1367">
        <v>43642.605451388903</v>
      </c>
      <c r="R1518" s="1731">
        <v>3750000</v>
      </c>
      <c r="S1518" s="1367">
        <v>43859.511886574102</v>
      </c>
      <c r="T1518" s="1186" t="s">
        <v>1078</v>
      </c>
      <c r="U1518" s="1386">
        <v>44071</v>
      </c>
      <c r="V1518" s="1363"/>
      <c r="W1518" s="1391"/>
      <c r="X1518" s="1363"/>
      <c r="Y1518" s="1391"/>
      <c r="Z1518" s="1363"/>
      <c r="AA1518" s="1391"/>
      <c r="AB1518" s="1731"/>
      <c r="AC1518" s="1367"/>
      <c r="AD1518" s="1666"/>
      <c r="AE1518" s="1590"/>
      <c r="AF1518" s="1666"/>
      <c r="AG1518" s="1590"/>
      <c r="AH1518" s="1625" t="str">
        <f t="shared" si="534"/>
        <v>MPI-3B</v>
      </c>
      <c r="AI1518" s="1675">
        <f t="shared" si="538"/>
        <v>17700000</v>
      </c>
      <c r="AJ1518" s="1675">
        <f t="shared" si="535"/>
        <v>17700000</v>
      </c>
      <c r="AK1518" s="1520">
        <f t="shared" si="539"/>
        <v>0</v>
      </c>
      <c r="AL1518" s="2187" t="str">
        <f t="shared" si="540"/>
        <v>Lunas</v>
      </c>
      <c r="AM1518" s="1666"/>
      <c r="AN1518" s="1590"/>
      <c r="AO1518"/>
      <c r="AP1518"/>
      <c r="AQ1518" s="1128"/>
      <c r="AR1518" s="1173"/>
      <c r="AT1518" s="1173"/>
      <c r="AV1518" s="1173"/>
      <c r="AX1518" s="1173"/>
      <c r="AY1518" s="1176"/>
      <c r="AZ1518" s="1173"/>
    </row>
    <row r="1519" spans="1:54" s="2" customFormat="1" x14ac:dyDescent="0.25">
      <c r="A1519" s="670">
        <v>1402</v>
      </c>
      <c r="B1519" s="671">
        <v>12</v>
      </c>
      <c r="C1519" s="2147">
        <v>849118004</v>
      </c>
      <c r="D1519" s="701" t="s">
        <v>2030</v>
      </c>
      <c r="E1519" s="441" t="s">
        <v>2027</v>
      </c>
      <c r="F1519" s="175">
        <v>2018</v>
      </c>
      <c r="G1519" s="360" t="s">
        <v>1483</v>
      </c>
      <c r="H1519" s="580" t="str">
        <f t="shared" si="524"/>
        <v xml:space="preserve">   </v>
      </c>
      <c r="I1519" s="580" t="str">
        <f t="shared" si="525"/>
        <v xml:space="preserve">   </v>
      </c>
      <c r="J1519" s="1366">
        <v>2700000</v>
      </c>
      <c r="K1519" s="1360">
        <v>43314</v>
      </c>
      <c r="L1519" s="1363">
        <v>3750000</v>
      </c>
      <c r="M1519" s="1360">
        <v>43314</v>
      </c>
      <c r="N1519" s="1363">
        <v>3750000</v>
      </c>
      <c r="O1519" s="1367">
        <v>43483</v>
      </c>
      <c r="P1519" s="1714">
        <v>3750000</v>
      </c>
      <c r="Q1519" s="1367">
        <v>43644</v>
      </c>
      <c r="R1519" s="1731">
        <v>3750000</v>
      </c>
      <c r="S1519" s="1367">
        <v>43861.573171296302</v>
      </c>
      <c r="T1519" s="1731">
        <v>3750000</v>
      </c>
      <c r="U1519" s="1367">
        <v>44057.479074074101</v>
      </c>
      <c r="V1519" s="1363"/>
      <c r="W1519" s="1391"/>
      <c r="X1519" s="1363"/>
      <c r="Y1519" s="1391"/>
      <c r="Z1519" s="1363"/>
      <c r="AA1519" s="1391"/>
      <c r="AB1519" s="1731">
        <v>1000000</v>
      </c>
      <c r="AC1519" s="1367">
        <v>44153</v>
      </c>
      <c r="AD1519" s="1666"/>
      <c r="AE1519" s="1590"/>
      <c r="AF1519" s="1666"/>
      <c r="AG1519" s="1590"/>
      <c r="AH1519" s="1625" t="str">
        <f t="shared" si="534"/>
        <v>MPI-3B</v>
      </c>
      <c r="AI1519" s="1675">
        <f t="shared" si="538"/>
        <v>22450000</v>
      </c>
      <c r="AJ1519" s="1675">
        <f t="shared" si="535"/>
        <v>22450000</v>
      </c>
      <c r="AK1519" s="1520">
        <f t="shared" si="539"/>
        <v>0</v>
      </c>
      <c r="AL1519" s="2187" t="str">
        <f t="shared" si="540"/>
        <v>Lunas</v>
      </c>
      <c r="AM1519" s="1666"/>
      <c r="AN1519" s="1590"/>
      <c r="AO1519"/>
      <c r="AP1519"/>
      <c r="AQ1519" s="1128"/>
      <c r="AR1519" s="1173"/>
      <c r="AT1519" s="1173"/>
      <c r="AV1519" s="1173"/>
      <c r="AX1519" s="1173"/>
      <c r="AY1519" s="1176"/>
      <c r="AZ1519" s="1173"/>
    </row>
    <row r="1520" spans="1:54" s="2" customFormat="1" x14ac:dyDescent="0.25">
      <c r="A1520" s="670">
        <v>1403</v>
      </c>
      <c r="B1520" s="671">
        <v>13</v>
      </c>
      <c r="C1520" s="2147">
        <v>849118005</v>
      </c>
      <c r="D1520" s="701" t="s">
        <v>2031</v>
      </c>
      <c r="E1520" s="441" t="s">
        <v>2027</v>
      </c>
      <c r="F1520" s="175">
        <v>2018</v>
      </c>
      <c r="G1520" s="360" t="s">
        <v>1483</v>
      </c>
      <c r="H1520" s="580" t="str">
        <f t="shared" si="524"/>
        <v xml:space="preserve">   </v>
      </c>
      <c r="I1520" s="580" t="str">
        <f t="shared" si="525"/>
        <v xml:space="preserve">   </v>
      </c>
      <c r="J1520" s="1366">
        <v>2700000</v>
      </c>
      <c r="K1520" s="1360">
        <v>43314</v>
      </c>
      <c r="L1520" s="1363">
        <v>3750000</v>
      </c>
      <c r="M1520" s="1360">
        <v>43314</v>
      </c>
      <c r="N1520" s="1363">
        <v>3750000</v>
      </c>
      <c r="O1520" s="1367">
        <v>43483</v>
      </c>
      <c r="P1520" s="1714">
        <v>3750000</v>
      </c>
      <c r="Q1520" s="1367">
        <v>43642.471307870401</v>
      </c>
      <c r="R1520" s="1731">
        <v>3750000</v>
      </c>
      <c r="S1520" s="1367">
        <v>43860.434768518498</v>
      </c>
      <c r="T1520" s="1731">
        <v>3750000</v>
      </c>
      <c r="U1520" s="1367">
        <v>44070.574444444399</v>
      </c>
      <c r="V1520" s="1363"/>
      <c r="W1520" s="1391"/>
      <c r="X1520" s="1363"/>
      <c r="Y1520" s="1391"/>
      <c r="Z1520" s="1363"/>
      <c r="AA1520" s="1391"/>
      <c r="AB1520" s="1731">
        <v>1000000</v>
      </c>
      <c r="AC1520" s="1367">
        <v>44123</v>
      </c>
      <c r="AD1520" s="1666"/>
      <c r="AE1520" s="1590"/>
      <c r="AF1520" s="1666"/>
      <c r="AG1520" s="1590"/>
      <c r="AH1520" s="1625" t="str">
        <f t="shared" si="534"/>
        <v>MPI-3B</v>
      </c>
      <c r="AI1520" s="1675">
        <f t="shared" si="538"/>
        <v>22450000</v>
      </c>
      <c r="AJ1520" s="1675">
        <f t="shared" si="535"/>
        <v>22450000</v>
      </c>
      <c r="AK1520" s="1520">
        <f t="shared" si="539"/>
        <v>0</v>
      </c>
      <c r="AL1520" s="2187" t="str">
        <f t="shared" si="540"/>
        <v>Lunas</v>
      </c>
      <c r="AM1520" s="1666"/>
      <c r="AN1520" s="1590"/>
      <c r="AO1520"/>
      <c r="AP1520"/>
      <c r="AQ1520" s="1128"/>
      <c r="AR1520" s="1173"/>
      <c r="AT1520" s="1173"/>
      <c r="AV1520" s="1173"/>
      <c r="AX1520" s="1173"/>
      <c r="AY1520" s="1176"/>
      <c r="AZ1520" s="1173"/>
    </row>
    <row r="1521" spans="1:52" s="2" customFormat="1" x14ac:dyDescent="0.25">
      <c r="A1521" s="670">
        <v>1404</v>
      </c>
      <c r="B1521" s="671">
        <v>14</v>
      </c>
      <c r="C1521" s="2147">
        <v>849118006</v>
      </c>
      <c r="D1521" s="701" t="s">
        <v>2032</v>
      </c>
      <c r="E1521" s="441" t="s">
        <v>2027</v>
      </c>
      <c r="F1521" s="175">
        <v>2018</v>
      </c>
      <c r="G1521" s="360" t="s">
        <v>1483</v>
      </c>
      <c r="H1521" s="580" t="str">
        <f t="shared" si="524"/>
        <v xml:space="preserve">   </v>
      </c>
      <c r="I1521" s="580" t="str">
        <f t="shared" si="525"/>
        <v xml:space="preserve">   </v>
      </c>
      <c r="J1521" s="1366">
        <v>2700000</v>
      </c>
      <c r="K1521" s="1360">
        <v>43314</v>
      </c>
      <c r="L1521" s="1363">
        <v>3750000</v>
      </c>
      <c r="M1521" s="1360">
        <v>43314</v>
      </c>
      <c r="N1521" s="1363">
        <v>3750000</v>
      </c>
      <c r="O1521" s="1367">
        <v>43483</v>
      </c>
      <c r="P1521" s="1714">
        <v>3750000</v>
      </c>
      <c r="Q1521" s="1367">
        <v>43643</v>
      </c>
      <c r="R1521" s="1731">
        <v>3750000</v>
      </c>
      <c r="S1521" s="1367">
        <v>43859.579120370399</v>
      </c>
      <c r="T1521" s="1731">
        <v>3750000</v>
      </c>
      <c r="U1521" s="1367">
        <v>44046</v>
      </c>
      <c r="V1521" s="1363">
        <v>3750000</v>
      </c>
      <c r="W1521" s="1391">
        <v>37367</v>
      </c>
      <c r="X1521" s="1363"/>
      <c r="Y1521" s="1391"/>
      <c r="Z1521" s="1363"/>
      <c r="AA1521" s="1391"/>
      <c r="AB1521" s="1731"/>
      <c r="AC1521" s="1367"/>
      <c r="AD1521" s="1666"/>
      <c r="AE1521" s="1590"/>
      <c r="AF1521" s="1666"/>
      <c r="AG1521" s="1590"/>
      <c r="AH1521" s="1625" t="str">
        <f t="shared" si="534"/>
        <v>MPI-3B</v>
      </c>
      <c r="AI1521" s="1675">
        <f t="shared" si="538"/>
        <v>25200000</v>
      </c>
      <c r="AJ1521" s="1675">
        <f t="shared" si="535"/>
        <v>25200000</v>
      </c>
      <c r="AK1521" s="1520">
        <f t="shared" si="539"/>
        <v>0</v>
      </c>
      <c r="AL1521" s="2187" t="str">
        <f t="shared" si="540"/>
        <v>Lunas</v>
      </c>
      <c r="AM1521" s="1666"/>
      <c r="AN1521" s="1590"/>
      <c r="AO1521"/>
      <c r="AP1521"/>
      <c r="AQ1521" s="1128"/>
      <c r="AR1521" s="1173"/>
      <c r="AT1521" s="1173"/>
      <c r="AV1521" s="1173"/>
      <c r="AX1521" s="1173"/>
      <c r="AY1521" s="1176"/>
      <c r="AZ1521" s="1173"/>
    </row>
    <row r="1522" spans="1:52" s="2" customFormat="1" x14ac:dyDescent="0.25">
      <c r="A1522" s="670">
        <v>1405</v>
      </c>
      <c r="B1522" s="671">
        <v>15</v>
      </c>
      <c r="C1522" s="2147">
        <v>849118007</v>
      </c>
      <c r="D1522" s="701" t="s">
        <v>2033</v>
      </c>
      <c r="E1522" s="441" t="s">
        <v>2027</v>
      </c>
      <c r="F1522" s="175">
        <v>2018</v>
      </c>
      <c r="G1522" s="360" t="s">
        <v>1483</v>
      </c>
      <c r="H1522" s="580" t="str">
        <f t="shared" si="524"/>
        <v xml:space="preserve">   </v>
      </c>
      <c r="I1522" s="580" t="str">
        <f t="shared" si="525"/>
        <v xml:space="preserve">   </v>
      </c>
      <c r="J1522" s="1366">
        <v>2700000</v>
      </c>
      <c r="K1522" s="1360">
        <v>43314</v>
      </c>
      <c r="L1522" s="1363">
        <v>3750000</v>
      </c>
      <c r="M1522" s="1360">
        <v>43314</v>
      </c>
      <c r="N1522" s="1363">
        <v>3750000</v>
      </c>
      <c r="O1522" s="1367">
        <v>43483</v>
      </c>
      <c r="P1522" s="1714">
        <v>3750000</v>
      </c>
      <c r="Q1522" s="1367">
        <v>43644</v>
      </c>
      <c r="R1522" s="1731">
        <v>3750000</v>
      </c>
      <c r="S1522" s="1367">
        <v>43860.648738425902</v>
      </c>
      <c r="T1522" s="1731">
        <v>3750000</v>
      </c>
      <c r="U1522" s="1367">
        <v>44071.614386574103</v>
      </c>
      <c r="V1522" s="1363"/>
      <c r="W1522" s="1391"/>
      <c r="X1522" s="1363"/>
      <c r="Y1522" s="1391"/>
      <c r="Z1522" s="1363"/>
      <c r="AA1522" s="1391"/>
      <c r="AB1522" s="1731"/>
      <c r="AC1522" s="1367"/>
      <c r="AD1522" s="1666"/>
      <c r="AE1522" s="1590"/>
      <c r="AF1522" s="1666"/>
      <c r="AG1522" s="1590"/>
      <c r="AH1522" s="1625" t="str">
        <f t="shared" si="534"/>
        <v>MPI-3B</v>
      </c>
      <c r="AI1522" s="1675">
        <f t="shared" si="538"/>
        <v>21450000</v>
      </c>
      <c r="AJ1522" s="1675">
        <f t="shared" si="535"/>
        <v>21450000</v>
      </c>
      <c r="AK1522" s="1520">
        <f t="shared" si="539"/>
        <v>0</v>
      </c>
      <c r="AL1522" s="2187" t="str">
        <f t="shared" si="540"/>
        <v>Lunas</v>
      </c>
      <c r="AM1522" s="1666"/>
      <c r="AN1522" s="1590"/>
      <c r="AO1522"/>
      <c r="AP1522"/>
      <c r="AQ1522" s="1128"/>
      <c r="AR1522" s="1173"/>
      <c r="AT1522" s="1173"/>
      <c r="AV1522" s="1173"/>
      <c r="AX1522" s="1173"/>
      <c r="AY1522" s="1176"/>
      <c r="AZ1522" s="1173"/>
    </row>
    <row r="1523" spans="1:52" s="2" customFormat="1" x14ac:dyDescent="0.25">
      <c r="A1523" s="670">
        <v>1406</v>
      </c>
      <c r="B1523" s="671">
        <v>16</v>
      </c>
      <c r="C1523" s="2147">
        <v>849118008</v>
      </c>
      <c r="D1523" s="701" t="s">
        <v>2034</v>
      </c>
      <c r="E1523" s="441" t="s">
        <v>2027</v>
      </c>
      <c r="F1523" s="175">
        <v>2018</v>
      </c>
      <c r="G1523" s="360" t="s">
        <v>1483</v>
      </c>
      <c r="H1523" s="580" t="str">
        <f t="shared" si="524"/>
        <v xml:space="preserve">   </v>
      </c>
      <c r="I1523" s="580" t="str">
        <f t="shared" si="525"/>
        <v xml:space="preserve">   </v>
      </c>
      <c r="J1523" s="1366">
        <v>2700000</v>
      </c>
      <c r="K1523" s="1360">
        <v>43314</v>
      </c>
      <c r="L1523" s="1363">
        <v>3750000</v>
      </c>
      <c r="M1523" s="1360">
        <v>43314</v>
      </c>
      <c r="N1523" s="1363">
        <v>3750000</v>
      </c>
      <c r="O1523" s="1367">
        <v>43483</v>
      </c>
      <c r="P1523" s="1714">
        <v>3750000</v>
      </c>
      <c r="Q1523" s="1367">
        <v>43644</v>
      </c>
      <c r="R1523" s="1731">
        <v>3750000</v>
      </c>
      <c r="S1523" s="1367">
        <v>43861.5714814815</v>
      </c>
      <c r="T1523" s="1731">
        <v>3750000</v>
      </c>
      <c r="U1523" s="1367">
        <v>44057.481157407397</v>
      </c>
      <c r="V1523" s="1363"/>
      <c r="W1523" s="1391"/>
      <c r="X1523" s="1363"/>
      <c r="Y1523" s="1391"/>
      <c r="Z1523" s="1363"/>
      <c r="AA1523" s="1391"/>
      <c r="AB1523" s="1731"/>
      <c r="AC1523" s="1367"/>
      <c r="AD1523" s="1666"/>
      <c r="AE1523" s="1590"/>
      <c r="AF1523" s="1666"/>
      <c r="AG1523" s="1590"/>
      <c r="AH1523" s="1625" t="str">
        <f t="shared" si="534"/>
        <v>MPI-3B</v>
      </c>
      <c r="AI1523" s="1675">
        <f t="shared" si="538"/>
        <v>21450000</v>
      </c>
      <c r="AJ1523" s="1675">
        <f t="shared" si="535"/>
        <v>21450000</v>
      </c>
      <c r="AK1523" s="1520">
        <f t="shared" si="539"/>
        <v>0</v>
      </c>
      <c r="AL1523" s="2187" t="str">
        <f t="shared" si="540"/>
        <v>Lunas</v>
      </c>
      <c r="AM1523" s="1666"/>
      <c r="AN1523" s="1590"/>
      <c r="AO1523"/>
      <c r="AP1523"/>
      <c r="AQ1523" s="1128"/>
      <c r="AR1523" s="1173"/>
      <c r="AT1523" s="1173"/>
      <c r="AV1523" s="1173"/>
      <c r="AX1523" s="1173"/>
      <c r="AY1523" s="1176"/>
      <c r="AZ1523" s="1173"/>
    </row>
    <row r="1524" spans="1:52" s="2" customFormat="1" x14ac:dyDescent="0.25">
      <c r="A1524" s="670">
        <v>1407</v>
      </c>
      <c r="B1524" s="671">
        <v>17</v>
      </c>
      <c r="C1524" s="2147">
        <v>849118010</v>
      </c>
      <c r="D1524" s="701" t="s">
        <v>2035</v>
      </c>
      <c r="E1524" s="441" t="s">
        <v>2027</v>
      </c>
      <c r="F1524" s="175">
        <v>2018</v>
      </c>
      <c r="G1524" s="1758" t="s">
        <v>28</v>
      </c>
      <c r="H1524" s="580" t="str">
        <f t="shared" si="524"/>
        <v xml:space="preserve">   </v>
      </c>
      <c r="I1524" s="580" t="str">
        <f t="shared" si="525"/>
        <v xml:space="preserve">   </v>
      </c>
      <c r="J1524" s="1366">
        <v>2700000</v>
      </c>
      <c r="K1524" s="1360">
        <v>43314</v>
      </c>
      <c r="L1524" s="1363">
        <v>3750000</v>
      </c>
      <c r="M1524" s="1360">
        <v>43314</v>
      </c>
      <c r="N1524" s="1363">
        <v>3750000</v>
      </c>
      <c r="O1524" s="1367">
        <v>43483</v>
      </c>
      <c r="P1524" s="1714">
        <v>3750000</v>
      </c>
      <c r="Q1524" s="1367">
        <v>43644</v>
      </c>
      <c r="R1524" s="1731">
        <v>3750000</v>
      </c>
      <c r="S1524" s="1367">
        <v>43861.4616550926</v>
      </c>
      <c r="T1524" s="1731">
        <v>0</v>
      </c>
      <c r="U1524" s="1367"/>
      <c r="V1524" s="1363"/>
      <c r="W1524" s="1391"/>
      <c r="X1524" s="1363"/>
      <c r="Y1524" s="1391"/>
      <c r="Z1524" s="1363"/>
      <c r="AA1524" s="1391"/>
      <c r="AB1524" s="1731"/>
      <c r="AC1524" s="1367"/>
      <c r="AD1524" s="1666"/>
      <c r="AE1524" s="1590"/>
      <c r="AF1524" s="1666"/>
      <c r="AG1524" s="1590"/>
      <c r="AH1524" s="1625" t="str">
        <f t="shared" si="534"/>
        <v>MPI-3B</v>
      </c>
      <c r="AI1524" s="1675">
        <f t="shared" si="538"/>
        <v>17700000</v>
      </c>
      <c r="AJ1524" s="1675">
        <f t="shared" si="535"/>
        <v>21450000</v>
      </c>
      <c r="AK1524" s="1520">
        <f t="shared" si="539"/>
        <v>3750000</v>
      </c>
      <c r="AL1524" s="2187" t="str">
        <f t="shared" si="540"/>
        <v>Cek</v>
      </c>
      <c r="AM1524" s="1666"/>
      <c r="AN1524" s="1590"/>
      <c r="AO1524"/>
      <c r="AP1524"/>
      <c r="AQ1524" s="1128"/>
      <c r="AR1524" s="1173"/>
      <c r="AT1524" s="1173"/>
      <c r="AV1524" s="1173"/>
      <c r="AX1524" s="1173"/>
      <c r="AY1524" s="1176"/>
      <c r="AZ1524" s="1173"/>
    </row>
    <row r="1525" spans="1:52" s="2" customFormat="1" x14ac:dyDescent="0.25">
      <c r="A1525" s="670">
        <v>1408</v>
      </c>
      <c r="B1525" s="671">
        <v>18</v>
      </c>
      <c r="C1525" s="2147">
        <v>849118011</v>
      </c>
      <c r="D1525" s="701" t="s">
        <v>2036</v>
      </c>
      <c r="E1525" s="441" t="s">
        <v>2027</v>
      </c>
      <c r="F1525" s="175">
        <v>2018</v>
      </c>
      <c r="G1525" s="360" t="s">
        <v>1483</v>
      </c>
      <c r="H1525" s="580" t="str">
        <f t="shared" si="524"/>
        <v xml:space="preserve">   </v>
      </c>
      <c r="I1525" s="580" t="str">
        <f t="shared" si="525"/>
        <v xml:space="preserve">   </v>
      </c>
      <c r="J1525" s="1366">
        <v>2700000</v>
      </c>
      <c r="K1525" s="1360">
        <v>43314</v>
      </c>
      <c r="L1525" s="1363">
        <v>3750000</v>
      </c>
      <c r="M1525" s="1360">
        <v>43314</v>
      </c>
      <c r="N1525" s="1363">
        <v>3750000</v>
      </c>
      <c r="O1525" s="1367">
        <v>43483</v>
      </c>
      <c r="P1525" s="1714">
        <v>3750000</v>
      </c>
      <c r="Q1525" s="1367">
        <v>43644</v>
      </c>
      <c r="R1525" s="1731">
        <v>3750000</v>
      </c>
      <c r="S1525" s="1367">
        <v>43861.613541666702</v>
      </c>
      <c r="T1525" s="1731">
        <v>3750000</v>
      </c>
      <c r="U1525" s="1367">
        <v>44071.578645833302</v>
      </c>
      <c r="V1525" s="1363"/>
      <c r="W1525" s="1391"/>
      <c r="X1525" s="1363"/>
      <c r="Y1525" s="1391"/>
      <c r="Z1525" s="1363"/>
      <c r="AA1525" s="1391"/>
      <c r="AB1525" s="1731"/>
      <c r="AC1525" s="1367"/>
      <c r="AD1525" s="1666"/>
      <c r="AE1525" s="1590"/>
      <c r="AF1525" s="1666"/>
      <c r="AG1525" s="1590"/>
      <c r="AH1525" s="1625" t="str">
        <f t="shared" si="534"/>
        <v>MPI-3B</v>
      </c>
      <c r="AI1525" s="1675">
        <f t="shared" si="538"/>
        <v>21450000</v>
      </c>
      <c r="AJ1525" s="1675">
        <f t="shared" si="535"/>
        <v>21450000</v>
      </c>
      <c r="AK1525" s="1520">
        <f t="shared" si="539"/>
        <v>0</v>
      </c>
      <c r="AL1525" s="2187" t="str">
        <f t="shared" si="540"/>
        <v>Lunas</v>
      </c>
      <c r="AM1525" s="1666"/>
      <c r="AN1525" s="1590"/>
      <c r="AO1525"/>
      <c r="AP1525"/>
      <c r="AQ1525" s="1128"/>
      <c r="AR1525" s="1173"/>
      <c r="AT1525" s="1173"/>
      <c r="AV1525" s="1173"/>
      <c r="AX1525" s="1173"/>
      <c r="AY1525" s="1176"/>
      <c r="AZ1525" s="1173"/>
    </row>
    <row r="1526" spans="1:52" s="2" customFormat="1" x14ac:dyDescent="0.25">
      <c r="A1526" s="670">
        <v>1409</v>
      </c>
      <c r="B1526" s="671">
        <v>19</v>
      </c>
      <c r="C1526" s="2147">
        <v>849118012</v>
      </c>
      <c r="D1526" s="701" t="s">
        <v>2037</v>
      </c>
      <c r="E1526" s="441" t="s">
        <v>2027</v>
      </c>
      <c r="F1526" s="175">
        <v>2018</v>
      </c>
      <c r="G1526" s="581" t="s">
        <v>1833</v>
      </c>
      <c r="H1526" s="580" t="str">
        <f t="shared" si="524"/>
        <v xml:space="preserve">   </v>
      </c>
      <c r="I1526" s="580" t="str">
        <f t="shared" si="525"/>
        <v xml:space="preserve">   </v>
      </c>
      <c r="J1526" s="1366">
        <v>2700000</v>
      </c>
      <c r="K1526" s="1360">
        <v>43312</v>
      </c>
      <c r="L1526" s="1363">
        <v>3750000</v>
      </c>
      <c r="M1526" s="1360">
        <v>43312</v>
      </c>
      <c r="N1526" s="1363">
        <v>3750000</v>
      </c>
      <c r="O1526" s="1367">
        <v>43482</v>
      </c>
      <c r="P1526" s="1714">
        <v>3750000</v>
      </c>
      <c r="Q1526" s="1367">
        <v>43642</v>
      </c>
      <c r="R1526" s="1731">
        <v>3750000</v>
      </c>
      <c r="S1526" s="1367">
        <v>43858.483101851903</v>
      </c>
      <c r="T1526" s="1186" t="s">
        <v>1078</v>
      </c>
      <c r="U1526" s="1386">
        <v>44071</v>
      </c>
      <c r="V1526" s="1363"/>
      <c r="W1526" s="1391"/>
      <c r="X1526" s="1363"/>
      <c r="Y1526" s="1391"/>
      <c r="Z1526" s="1363"/>
      <c r="AA1526" s="1391"/>
      <c r="AB1526" s="1731"/>
      <c r="AC1526" s="1367"/>
      <c r="AD1526" s="1666"/>
      <c r="AE1526" s="1590"/>
      <c r="AF1526" s="1666"/>
      <c r="AG1526" s="1590"/>
      <c r="AH1526" s="1625" t="str">
        <f t="shared" si="534"/>
        <v>MPI-3B</v>
      </c>
      <c r="AI1526" s="1675">
        <f t="shared" si="538"/>
        <v>17700000</v>
      </c>
      <c r="AJ1526" s="1675">
        <f t="shared" si="535"/>
        <v>17700000</v>
      </c>
      <c r="AK1526" s="1520">
        <f t="shared" si="539"/>
        <v>0</v>
      </c>
      <c r="AL1526" s="2187" t="str">
        <f t="shared" si="540"/>
        <v>Lunas</v>
      </c>
      <c r="AM1526" s="1666"/>
      <c r="AN1526" s="1590"/>
      <c r="AO1526"/>
      <c r="AP1526"/>
      <c r="AQ1526" s="1128"/>
      <c r="AR1526" s="1173"/>
      <c r="AT1526" s="1173"/>
      <c r="AV1526" s="1173"/>
      <c r="AX1526" s="1173"/>
      <c r="AY1526" s="1176"/>
      <c r="AZ1526" s="1173"/>
    </row>
    <row r="1527" spans="1:52" s="2" customFormat="1" x14ac:dyDescent="0.25">
      <c r="A1527" s="670">
        <v>1410</v>
      </c>
      <c r="B1527" s="671">
        <v>20</v>
      </c>
      <c r="C1527" s="2147">
        <v>849118013</v>
      </c>
      <c r="D1527" s="701" t="s">
        <v>2038</v>
      </c>
      <c r="E1527" s="441" t="s">
        <v>2027</v>
      </c>
      <c r="F1527" s="175">
        <v>2018</v>
      </c>
      <c r="G1527" s="360" t="s">
        <v>1483</v>
      </c>
      <c r="H1527" s="580" t="str">
        <f t="shared" si="524"/>
        <v xml:space="preserve">   </v>
      </c>
      <c r="I1527" s="580" t="str">
        <f t="shared" si="525"/>
        <v xml:space="preserve">   </v>
      </c>
      <c r="J1527" s="1366">
        <v>2700000</v>
      </c>
      <c r="K1527" s="1360">
        <v>43314</v>
      </c>
      <c r="L1527" s="1363">
        <v>3750000</v>
      </c>
      <c r="M1527" s="1360">
        <v>43314</v>
      </c>
      <c r="N1527" s="1363">
        <v>3750000</v>
      </c>
      <c r="O1527" s="1367">
        <v>43483</v>
      </c>
      <c r="P1527" s="1714">
        <v>3750000</v>
      </c>
      <c r="Q1527" s="1367">
        <v>43644.646076388897</v>
      </c>
      <c r="R1527" s="1731">
        <v>3750000</v>
      </c>
      <c r="S1527" s="1367">
        <v>43860.835810185199</v>
      </c>
      <c r="T1527" s="1731">
        <v>3750000</v>
      </c>
      <c r="U1527" s="1367">
        <v>44070.801319444399</v>
      </c>
      <c r="V1527" s="1363"/>
      <c r="W1527" s="1391"/>
      <c r="X1527" s="1363"/>
      <c r="Y1527" s="1391"/>
      <c r="Z1527" s="1363"/>
      <c r="AA1527" s="1391"/>
      <c r="AB1527" s="1731">
        <v>1000000</v>
      </c>
      <c r="AC1527" s="1367">
        <v>44131</v>
      </c>
      <c r="AD1527" s="1666"/>
      <c r="AE1527" s="1590"/>
      <c r="AF1527" s="1666"/>
      <c r="AG1527" s="1590"/>
      <c r="AH1527" s="1625" t="str">
        <f t="shared" si="534"/>
        <v>MPI-3B</v>
      </c>
      <c r="AI1527" s="1675">
        <f t="shared" si="538"/>
        <v>22450000</v>
      </c>
      <c r="AJ1527" s="1675">
        <f t="shared" si="535"/>
        <v>22450000</v>
      </c>
      <c r="AK1527" s="1520">
        <f t="shared" si="539"/>
        <v>0</v>
      </c>
      <c r="AL1527" s="2187" t="str">
        <f t="shared" si="540"/>
        <v>Lunas</v>
      </c>
      <c r="AM1527" s="1666"/>
      <c r="AN1527" s="1590"/>
      <c r="AO1527"/>
      <c r="AP1527"/>
      <c r="AQ1527" s="1128"/>
      <c r="AR1527" s="1173"/>
      <c r="AT1527" s="1173"/>
      <c r="AV1527" s="1173"/>
      <c r="AX1527" s="1173"/>
      <c r="AY1527" s="1176"/>
      <c r="AZ1527" s="1173"/>
    </row>
    <row r="1528" spans="1:52" s="2" customFormat="1" x14ac:dyDescent="0.25">
      <c r="A1528" s="670">
        <v>1411</v>
      </c>
      <c r="B1528" s="671">
        <v>21</v>
      </c>
      <c r="C1528" s="2147">
        <v>849118014</v>
      </c>
      <c r="D1528" s="701" t="s">
        <v>2039</v>
      </c>
      <c r="E1528" s="441" t="s">
        <v>2027</v>
      </c>
      <c r="F1528" s="175">
        <v>2018</v>
      </c>
      <c r="G1528" s="360" t="s">
        <v>1483</v>
      </c>
      <c r="H1528" s="580" t="str">
        <f t="shared" si="524"/>
        <v xml:space="preserve">   </v>
      </c>
      <c r="I1528" s="580" t="str">
        <f t="shared" si="525"/>
        <v xml:space="preserve">   </v>
      </c>
      <c r="J1528" s="1366">
        <v>2700000</v>
      </c>
      <c r="K1528" s="1360">
        <v>43314</v>
      </c>
      <c r="L1528" s="1363">
        <v>3750000</v>
      </c>
      <c r="M1528" s="1360">
        <v>43314</v>
      </c>
      <c r="N1528" s="1363">
        <v>3750000</v>
      </c>
      <c r="O1528" s="1367">
        <v>43482</v>
      </c>
      <c r="P1528" s="1714">
        <v>3750000</v>
      </c>
      <c r="Q1528" s="1367">
        <v>43650.420821759297</v>
      </c>
      <c r="R1528" s="1731">
        <v>3750000</v>
      </c>
      <c r="S1528" s="1367">
        <v>43859.449293981503</v>
      </c>
      <c r="T1528" s="1731">
        <v>3750000</v>
      </c>
      <c r="U1528" s="1386">
        <v>44057</v>
      </c>
      <c r="V1528" s="1363"/>
      <c r="W1528" s="1391"/>
      <c r="X1528" s="1363"/>
      <c r="Y1528" s="1391"/>
      <c r="Z1528" s="1363"/>
      <c r="AA1528" s="1391"/>
      <c r="AB1528" s="1731"/>
      <c r="AC1528" s="1367"/>
      <c r="AD1528" s="1666"/>
      <c r="AE1528" s="1590"/>
      <c r="AF1528" s="1666"/>
      <c r="AG1528" s="1590"/>
      <c r="AH1528" s="1625" t="str">
        <f t="shared" si="534"/>
        <v>MPI-3B</v>
      </c>
      <c r="AI1528" s="1675">
        <f t="shared" si="538"/>
        <v>21450000</v>
      </c>
      <c r="AJ1528" s="1675">
        <f t="shared" si="535"/>
        <v>21450000</v>
      </c>
      <c r="AK1528" s="1520">
        <f t="shared" si="539"/>
        <v>0</v>
      </c>
      <c r="AL1528" s="2187" t="str">
        <f t="shared" si="540"/>
        <v>Lunas</v>
      </c>
      <c r="AM1528" s="1666"/>
      <c r="AN1528" s="1590"/>
      <c r="AO1528"/>
      <c r="AP1528"/>
      <c r="AQ1528" s="1128"/>
      <c r="AR1528" s="1173"/>
      <c r="AT1528" s="1173"/>
      <c r="AV1528" s="1173"/>
      <c r="AX1528" s="1173"/>
      <c r="AY1528" s="1176"/>
      <c r="AZ1528" s="1173"/>
    </row>
    <row r="1529" spans="1:52" s="2" customFormat="1" x14ac:dyDescent="0.25">
      <c r="A1529" s="670">
        <v>1412</v>
      </c>
      <c r="B1529" s="671">
        <v>22</v>
      </c>
      <c r="C1529" s="2147">
        <v>849118015</v>
      </c>
      <c r="D1529" s="701" t="s">
        <v>2040</v>
      </c>
      <c r="E1529" s="441" t="s">
        <v>2027</v>
      </c>
      <c r="F1529" s="175">
        <v>2018</v>
      </c>
      <c r="G1529" s="581" t="s">
        <v>1833</v>
      </c>
      <c r="H1529" s="580" t="str">
        <f t="shared" si="524"/>
        <v xml:space="preserve">   </v>
      </c>
      <c r="I1529" s="580" t="str">
        <f t="shared" si="525"/>
        <v xml:space="preserve">   </v>
      </c>
      <c r="J1529" s="1366">
        <v>2700000</v>
      </c>
      <c r="K1529" s="1360">
        <v>43313</v>
      </c>
      <c r="L1529" s="1363">
        <v>3750000</v>
      </c>
      <c r="M1529" s="1360">
        <v>43313</v>
      </c>
      <c r="N1529" s="1363">
        <v>3750000</v>
      </c>
      <c r="O1529" s="1367">
        <v>43481</v>
      </c>
      <c r="P1529" s="1714">
        <v>3750000</v>
      </c>
      <c r="Q1529" s="1367">
        <v>43637</v>
      </c>
      <c r="R1529" s="1731">
        <v>3750000</v>
      </c>
      <c r="S1529" s="1367">
        <v>43857.600902777798</v>
      </c>
      <c r="T1529" s="1186" t="s">
        <v>1078</v>
      </c>
      <c r="U1529" s="1386">
        <v>44071</v>
      </c>
      <c r="V1529" s="1363"/>
      <c r="W1529" s="1391"/>
      <c r="X1529" s="1363"/>
      <c r="Y1529" s="1391"/>
      <c r="Z1529" s="1363"/>
      <c r="AA1529" s="1391"/>
      <c r="AB1529" s="1731"/>
      <c r="AC1529" s="1367"/>
      <c r="AD1529" s="1666"/>
      <c r="AE1529" s="1590"/>
      <c r="AF1529" s="1666"/>
      <c r="AG1529" s="1590"/>
      <c r="AH1529" s="1625" t="str">
        <f t="shared" si="534"/>
        <v>MPI-3B</v>
      </c>
      <c r="AI1529" s="1675">
        <f t="shared" si="538"/>
        <v>17700000</v>
      </c>
      <c r="AJ1529" s="1675">
        <f t="shared" si="535"/>
        <v>17700000</v>
      </c>
      <c r="AK1529" s="1520">
        <f t="shared" si="539"/>
        <v>0</v>
      </c>
      <c r="AL1529" s="2187" t="str">
        <f t="shared" si="540"/>
        <v>Lunas</v>
      </c>
      <c r="AM1529" s="1666"/>
      <c r="AN1529" s="1590"/>
      <c r="AO1529"/>
      <c r="AP1529"/>
      <c r="AQ1529" s="1128"/>
      <c r="AR1529" s="1173"/>
      <c r="AT1529" s="1173"/>
      <c r="AV1529" s="1173"/>
      <c r="AX1529" s="1173"/>
      <c r="AY1529" s="1176"/>
      <c r="AZ1529" s="1173"/>
    </row>
    <row r="1530" spans="1:52" s="2" customFormat="1" x14ac:dyDescent="0.25">
      <c r="A1530" s="670">
        <v>1413</v>
      </c>
      <c r="B1530" s="671">
        <v>23</v>
      </c>
      <c r="C1530" s="2147">
        <v>849118016</v>
      </c>
      <c r="D1530" s="701" t="s">
        <v>2041</v>
      </c>
      <c r="E1530" s="441" t="s">
        <v>2027</v>
      </c>
      <c r="F1530" s="175">
        <v>2018</v>
      </c>
      <c r="G1530" s="360" t="s">
        <v>1483</v>
      </c>
      <c r="H1530" s="580" t="str">
        <f t="shared" si="524"/>
        <v xml:space="preserve">   </v>
      </c>
      <c r="I1530" s="580" t="str">
        <f t="shared" si="525"/>
        <v xml:space="preserve">   </v>
      </c>
      <c r="J1530" s="1366">
        <v>2700000</v>
      </c>
      <c r="K1530" s="1360">
        <v>43312</v>
      </c>
      <c r="L1530" s="1363">
        <v>3750000</v>
      </c>
      <c r="M1530" s="1360">
        <v>43312</v>
      </c>
      <c r="N1530" s="1363">
        <v>3750000</v>
      </c>
      <c r="O1530" s="1367">
        <v>43482</v>
      </c>
      <c r="P1530" s="1714">
        <v>3750000</v>
      </c>
      <c r="Q1530" s="1367">
        <v>43643.394537036998</v>
      </c>
      <c r="R1530" s="1731">
        <v>3750000</v>
      </c>
      <c r="S1530" s="1367">
        <v>43859.580324074101</v>
      </c>
      <c r="T1530" s="1731">
        <v>3750000</v>
      </c>
      <c r="U1530" s="1367">
        <v>44126</v>
      </c>
      <c r="V1530" s="1363"/>
      <c r="W1530" s="1391"/>
      <c r="X1530" s="1363"/>
      <c r="Y1530" s="1391"/>
      <c r="Z1530" s="1363"/>
      <c r="AA1530" s="1391"/>
      <c r="AB1530" s="1731"/>
      <c r="AC1530" s="1367"/>
      <c r="AD1530" s="1666"/>
      <c r="AE1530" s="1590"/>
      <c r="AF1530" s="1666"/>
      <c r="AG1530" s="1590"/>
      <c r="AH1530" s="1625" t="str">
        <f t="shared" si="534"/>
        <v>MPI-3B</v>
      </c>
      <c r="AI1530" s="1675">
        <f t="shared" si="538"/>
        <v>21450000</v>
      </c>
      <c r="AJ1530" s="1675">
        <f t="shared" si="535"/>
        <v>21450000</v>
      </c>
      <c r="AK1530" s="1520">
        <f t="shared" si="539"/>
        <v>0</v>
      </c>
      <c r="AL1530" s="2187" t="str">
        <f t="shared" si="540"/>
        <v>Lunas</v>
      </c>
      <c r="AM1530" s="1666"/>
      <c r="AN1530" s="1590"/>
      <c r="AO1530"/>
      <c r="AP1530"/>
      <c r="AQ1530" s="1128"/>
      <c r="AR1530" s="1173"/>
      <c r="AT1530" s="1173"/>
      <c r="AV1530" s="1173"/>
      <c r="AX1530" s="1173"/>
      <c r="AY1530" s="1176"/>
      <c r="AZ1530" s="1173"/>
    </row>
    <row r="1531" spans="1:52" s="2" customFormat="1" x14ac:dyDescent="0.25">
      <c r="A1531" s="670">
        <v>1414</v>
      </c>
      <c r="B1531" s="671">
        <v>24</v>
      </c>
      <c r="C1531" s="2147">
        <v>849118017</v>
      </c>
      <c r="D1531" s="701" t="s">
        <v>2042</v>
      </c>
      <c r="E1531" s="441" t="s">
        <v>2027</v>
      </c>
      <c r="F1531" s="175">
        <v>2018</v>
      </c>
      <c r="G1531" s="360" t="s">
        <v>1483</v>
      </c>
      <c r="H1531" s="580" t="str">
        <f t="shared" si="524"/>
        <v xml:space="preserve">   </v>
      </c>
      <c r="I1531" s="580" t="str">
        <f t="shared" si="525"/>
        <v xml:space="preserve">   </v>
      </c>
      <c r="J1531" s="1366">
        <v>2700000</v>
      </c>
      <c r="K1531" s="1360">
        <v>43314</v>
      </c>
      <c r="L1531" s="1363">
        <v>3750000</v>
      </c>
      <c r="M1531" s="1360">
        <v>43314</v>
      </c>
      <c r="N1531" s="1363">
        <v>3750000</v>
      </c>
      <c r="O1531" s="1367">
        <v>43483</v>
      </c>
      <c r="P1531" s="1714">
        <v>3750000</v>
      </c>
      <c r="Q1531" s="1367">
        <v>43644.621307870402</v>
      </c>
      <c r="R1531" s="1731">
        <v>3750000</v>
      </c>
      <c r="S1531" s="1367">
        <v>43859.525694444397</v>
      </c>
      <c r="T1531" s="1731">
        <v>3750000</v>
      </c>
      <c r="U1531" s="1367">
        <v>44070.485740740703</v>
      </c>
      <c r="V1531" s="1363"/>
      <c r="W1531" s="1391"/>
      <c r="X1531" s="1363"/>
      <c r="Y1531" s="1391"/>
      <c r="Z1531" s="1363"/>
      <c r="AA1531" s="1391"/>
      <c r="AB1531" s="1731"/>
      <c r="AC1531" s="1367"/>
      <c r="AD1531" s="1666"/>
      <c r="AE1531" s="1590"/>
      <c r="AF1531" s="1666"/>
      <c r="AG1531" s="1590"/>
      <c r="AH1531" s="1625" t="str">
        <f t="shared" si="534"/>
        <v>MPI-3B</v>
      </c>
      <c r="AI1531" s="1675">
        <f t="shared" si="538"/>
        <v>21450000</v>
      </c>
      <c r="AJ1531" s="1675">
        <f t="shared" si="535"/>
        <v>21450000</v>
      </c>
      <c r="AK1531" s="1520">
        <f t="shared" si="539"/>
        <v>0</v>
      </c>
      <c r="AL1531" s="2187" t="str">
        <f t="shared" si="540"/>
        <v>Lunas</v>
      </c>
      <c r="AM1531" s="1666"/>
      <c r="AN1531" s="1590"/>
      <c r="AO1531"/>
      <c r="AP1531"/>
      <c r="AQ1531" s="1128"/>
      <c r="AR1531" s="1173"/>
      <c r="AT1531" s="1173"/>
      <c r="AV1531" s="1173"/>
      <c r="AX1531" s="1173"/>
      <c r="AY1531" s="1176"/>
      <c r="AZ1531" s="1173"/>
    </row>
    <row r="1532" spans="1:52" s="2" customFormat="1" x14ac:dyDescent="0.25">
      <c r="A1532" s="670">
        <v>1415</v>
      </c>
      <c r="B1532" s="671">
        <v>25</v>
      </c>
      <c r="C1532" s="2147">
        <v>849118019</v>
      </c>
      <c r="D1532" s="701" t="s">
        <v>2043</v>
      </c>
      <c r="E1532" s="441" t="s">
        <v>2027</v>
      </c>
      <c r="F1532" s="175">
        <v>2018</v>
      </c>
      <c r="G1532" s="360" t="s">
        <v>1483</v>
      </c>
      <c r="H1532" s="580" t="str">
        <f t="shared" si="524"/>
        <v xml:space="preserve">   </v>
      </c>
      <c r="I1532" s="580" t="str">
        <f t="shared" si="525"/>
        <v xml:space="preserve">   </v>
      </c>
      <c r="J1532" s="1366">
        <v>2700000</v>
      </c>
      <c r="K1532" s="1360">
        <v>43313</v>
      </c>
      <c r="L1532" s="1363">
        <v>3750000</v>
      </c>
      <c r="M1532" s="1360">
        <v>43313</v>
      </c>
      <c r="N1532" s="1363">
        <v>3750000</v>
      </c>
      <c r="O1532" s="1367">
        <v>43483</v>
      </c>
      <c r="P1532" s="1714">
        <v>3750000</v>
      </c>
      <c r="Q1532" s="1367">
        <v>43643</v>
      </c>
      <c r="R1532" s="1731">
        <v>3750000</v>
      </c>
      <c r="S1532" s="1367">
        <v>43859.412685185198</v>
      </c>
      <c r="T1532" s="1731">
        <v>3750000</v>
      </c>
      <c r="U1532" s="1367">
        <v>44069.561087962997</v>
      </c>
      <c r="V1532" s="1363"/>
      <c r="W1532" s="1391"/>
      <c r="X1532" s="1363"/>
      <c r="Y1532" s="1391"/>
      <c r="Z1532" s="1363"/>
      <c r="AA1532" s="1391"/>
      <c r="AB1532" s="1731"/>
      <c r="AC1532" s="1367"/>
      <c r="AD1532" s="1666"/>
      <c r="AE1532" s="1590"/>
      <c r="AF1532" s="1666"/>
      <c r="AG1532" s="1590"/>
      <c r="AH1532" s="1625" t="str">
        <f t="shared" si="534"/>
        <v>MPI-3B</v>
      </c>
      <c r="AI1532" s="1675">
        <f t="shared" si="538"/>
        <v>21450000</v>
      </c>
      <c r="AJ1532" s="1675">
        <f t="shared" si="535"/>
        <v>21450000</v>
      </c>
      <c r="AK1532" s="1520">
        <f t="shared" si="539"/>
        <v>0</v>
      </c>
      <c r="AL1532" s="2187" t="str">
        <f t="shared" si="540"/>
        <v>Lunas</v>
      </c>
      <c r="AM1532" s="1666"/>
      <c r="AN1532" s="1590"/>
      <c r="AO1532"/>
      <c r="AP1532"/>
      <c r="AQ1532" s="1128"/>
      <c r="AR1532" s="1173"/>
      <c r="AT1532" s="1173"/>
      <c r="AV1532" s="1173"/>
      <c r="AX1532" s="1173"/>
      <c r="AY1532" s="1176"/>
      <c r="AZ1532" s="1173"/>
    </row>
    <row r="1533" spans="1:52" s="2" customFormat="1" x14ac:dyDescent="0.25">
      <c r="A1533" s="670">
        <v>1416</v>
      </c>
      <c r="B1533" s="671">
        <v>26</v>
      </c>
      <c r="C1533" s="2147">
        <v>849118020</v>
      </c>
      <c r="D1533" s="703" t="s">
        <v>2044</v>
      </c>
      <c r="E1533" s="441" t="s">
        <v>2027</v>
      </c>
      <c r="F1533" s="175">
        <v>2018</v>
      </c>
      <c r="G1533" s="1758" t="s">
        <v>28</v>
      </c>
      <c r="H1533" s="580" t="str">
        <f t="shared" si="524"/>
        <v xml:space="preserve">   </v>
      </c>
      <c r="I1533" s="580" t="str">
        <f t="shared" si="525"/>
        <v xml:space="preserve">   </v>
      </c>
      <c r="J1533" s="1453">
        <v>0</v>
      </c>
      <c r="K1533" s="1367"/>
      <c r="L1533" s="1530">
        <v>3750000</v>
      </c>
      <c r="M1533" s="1360">
        <v>43346</v>
      </c>
      <c r="N1533" s="1530">
        <v>3750000</v>
      </c>
      <c r="O1533" s="1367">
        <v>43882</v>
      </c>
      <c r="P1533" s="1186" t="s">
        <v>1842</v>
      </c>
      <c r="Q1533" s="1386"/>
      <c r="R1533" s="1530">
        <v>3750000</v>
      </c>
      <c r="S1533" s="1367">
        <v>43882</v>
      </c>
      <c r="T1533" s="1731">
        <v>0</v>
      </c>
      <c r="U1533" s="1367"/>
      <c r="V1533" s="1363"/>
      <c r="W1533" s="1391"/>
      <c r="X1533" s="1363"/>
      <c r="Y1533" s="1391"/>
      <c r="Z1533" s="1363"/>
      <c r="AA1533" s="1391"/>
      <c r="AB1533" s="1731"/>
      <c r="AC1533" s="1367"/>
      <c r="AD1533" s="1666"/>
      <c r="AE1533" s="1590"/>
      <c r="AF1533" s="1666"/>
      <c r="AG1533" s="1590"/>
      <c r="AH1533" s="1625" t="str">
        <f t="shared" si="534"/>
        <v>MPI-3B</v>
      </c>
      <c r="AI1533" s="1675">
        <f t="shared" si="538"/>
        <v>11250000</v>
      </c>
      <c r="AJ1533" s="1675">
        <f t="shared" si="535"/>
        <v>17700000</v>
      </c>
      <c r="AK1533" s="1520">
        <f t="shared" si="539"/>
        <v>6450000</v>
      </c>
      <c r="AL1533" s="2187" t="str">
        <f t="shared" si="540"/>
        <v>Cek</v>
      </c>
      <c r="AM1533" s="1666"/>
      <c r="AN1533" s="1590"/>
      <c r="AO1533"/>
      <c r="AP1533"/>
      <c r="AQ1533" s="1128"/>
      <c r="AR1533" s="1173"/>
      <c r="AT1533" s="1173"/>
      <c r="AV1533" s="1173"/>
      <c r="AX1533" s="1173"/>
      <c r="AY1533" s="1176"/>
      <c r="AZ1533" s="1173"/>
    </row>
    <row r="1534" spans="1:52" s="2" customFormat="1" x14ac:dyDescent="0.25">
      <c r="A1534" s="670">
        <v>1417</v>
      </c>
      <c r="B1534" s="671">
        <v>27</v>
      </c>
      <c r="C1534" s="2147">
        <v>849118022</v>
      </c>
      <c r="D1534" s="701" t="s">
        <v>2045</v>
      </c>
      <c r="E1534" s="441" t="s">
        <v>2046</v>
      </c>
      <c r="F1534" s="175">
        <v>2018</v>
      </c>
      <c r="G1534" s="360" t="s">
        <v>1483</v>
      </c>
      <c r="H1534" s="580" t="str">
        <f t="shared" si="524"/>
        <v xml:space="preserve">   </v>
      </c>
      <c r="I1534" s="580" t="str">
        <f t="shared" si="525"/>
        <v xml:space="preserve">   </v>
      </c>
      <c r="J1534" s="1366">
        <v>2700000</v>
      </c>
      <c r="K1534" s="1360">
        <v>43312</v>
      </c>
      <c r="L1534" s="1363">
        <v>3750000</v>
      </c>
      <c r="M1534" s="1360">
        <v>43312</v>
      </c>
      <c r="N1534" s="1363">
        <v>3750000</v>
      </c>
      <c r="O1534" s="1367">
        <v>43482</v>
      </c>
      <c r="P1534" s="1714">
        <v>3750000</v>
      </c>
      <c r="Q1534" s="1367">
        <v>43642.479629629597</v>
      </c>
      <c r="R1534" s="1731">
        <v>3750000</v>
      </c>
      <c r="S1534" s="1367">
        <v>43859.550081018497</v>
      </c>
      <c r="T1534" s="1731">
        <v>3750000</v>
      </c>
      <c r="U1534" s="1367">
        <v>44047</v>
      </c>
      <c r="V1534" s="1363"/>
      <c r="W1534" s="1391"/>
      <c r="X1534" s="1363"/>
      <c r="Y1534" s="1391"/>
      <c r="Z1534" s="1363"/>
      <c r="AA1534" s="1391"/>
      <c r="AB1534" s="1731">
        <v>1000000</v>
      </c>
      <c r="AC1534" s="1367">
        <v>44124</v>
      </c>
      <c r="AD1534" s="1666">
        <v>1200000</v>
      </c>
      <c r="AE1534" s="1367">
        <v>44124</v>
      </c>
      <c r="AF1534" s="1666"/>
      <c r="AG1534" s="1590"/>
      <c r="AH1534" s="1625" t="str">
        <f t="shared" si="534"/>
        <v>MPI-3C</v>
      </c>
      <c r="AI1534" s="1675">
        <f t="shared" si="538"/>
        <v>23650000</v>
      </c>
      <c r="AJ1534" s="1675">
        <f t="shared" si="535"/>
        <v>23650000</v>
      </c>
      <c r="AK1534" s="1520">
        <f t="shared" si="539"/>
        <v>0</v>
      </c>
      <c r="AL1534" s="2187" t="str">
        <f t="shared" si="540"/>
        <v>Lunas</v>
      </c>
      <c r="AM1534" s="1666"/>
      <c r="AN1534" s="1590"/>
      <c r="AO1534"/>
      <c r="AP1534"/>
      <c r="AQ1534" s="1128"/>
      <c r="AR1534" s="1173"/>
      <c r="AT1534" s="1173"/>
      <c r="AV1534" s="1173"/>
      <c r="AX1534" s="1173"/>
      <c r="AY1534" s="1176"/>
      <c r="AZ1534" s="1173"/>
    </row>
    <row r="1535" spans="1:52" s="2" customFormat="1" x14ac:dyDescent="0.25">
      <c r="A1535" s="670">
        <v>1418</v>
      </c>
      <c r="B1535" s="671">
        <v>28</v>
      </c>
      <c r="C1535" s="2147">
        <v>849118023</v>
      </c>
      <c r="D1535" s="701" t="s">
        <v>2047</v>
      </c>
      <c r="E1535" s="441" t="s">
        <v>2046</v>
      </c>
      <c r="F1535" s="175">
        <v>2018</v>
      </c>
      <c r="G1535" s="360" t="s">
        <v>1483</v>
      </c>
      <c r="H1535" s="580" t="str">
        <f t="shared" si="524"/>
        <v xml:space="preserve">   </v>
      </c>
      <c r="I1535" s="580" t="str">
        <f t="shared" si="525"/>
        <v xml:space="preserve">   </v>
      </c>
      <c r="J1535" s="1366">
        <v>2700000</v>
      </c>
      <c r="K1535" s="1360">
        <v>43314</v>
      </c>
      <c r="L1535" s="1363">
        <v>3750000</v>
      </c>
      <c r="M1535" s="1360">
        <v>43314</v>
      </c>
      <c r="N1535" s="1363">
        <v>3750000</v>
      </c>
      <c r="O1535" s="1367">
        <v>43480</v>
      </c>
      <c r="P1535" s="1714">
        <v>3750000</v>
      </c>
      <c r="Q1535" s="1367">
        <v>43644.483888888899</v>
      </c>
      <c r="R1535" s="1731">
        <v>3750000</v>
      </c>
      <c r="S1535" s="1367">
        <v>43858.463067129604</v>
      </c>
      <c r="T1535" s="1731">
        <v>3750000</v>
      </c>
      <c r="U1535" s="1367">
        <v>44078.626736111102</v>
      </c>
      <c r="V1535" s="1363"/>
      <c r="W1535" s="1391"/>
      <c r="X1535" s="1363"/>
      <c r="Y1535" s="1391"/>
      <c r="Z1535" s="1363"/>
      <c r="AA1535" s="1391"/>
      <c r="AB1535" s="1731"/>
      <c r="AC1535" s="1367"/>
      <c r="AD1535" s="1666"/>
      <c r="AE1535" s="1590"/>
      <c r="AF1535" s="1666"/>
      <c r="AG1535" s="1590"/>
      <c r="AH1535" s="1625" t="str">
        <f t="shared" si="534"/>
        <v>MPI-3C</v>
      </c>
      <c r="AI1535" s="1675">
        <f t="shared" si="538"/>
        <v>21450000</v>
      </c>
      <c r="AJ1535" s="1675">
        <f t="shared" si="535"/>
        <v>21450000</v>
      </c>
      <c r="AK1535" s="1520">
        <f t="shared" si="539"/>
        <v>0</v>
      </c>
      <c r="AL1535" s="2187" t="str">
        <f t="shared" si="540"/>
        <v>Lunas</v>
      </c>
      <c r="AM1535" s="1666"/>
      <c r="AN1535" s="1590"/>
      <c r="AO1535"/>
      <c r="AP1535"/>
      <c r="AQ1535" s="1128"/>
      <c r="AR1535" s="1173"/>
      <c r="AT1535" s="1173"/>
      <c r="AV1535" s="1173"/>
      <c r="AX1535" s="1173"/>
      <c r="AY1535" s="1176"/>
      <c r="AZ1535" s="1173"/>
    </row>
    <row r="1536" spans="1:52" s="2" customFormat="1" x14ac:dyDescent="0.25">
      <c r="A1536" s="670">
        <v>1419</v>
      </c>
      <c r="B1536" s="2133">
        <v>29</v>
      </c>
      <c r="C1536" s="2147">
        <v>849118025</v>
      </c>
      <c r="D1536" s="2146" t="s">
        <v>2048</v>
      </c>
      <c r="E1536" s="179" t="s">
        <v>2046</v>
      </c>
      <c r="F1536" s="161">
        <v>2018</v>
      </c>
      <c r="G1536" s="272" t="s">
        <v>33</v>
      </c>
      <c r="H1536" s="628">
        <f t="shared" si="524"/>
        <v>44061</v>
      </c>
      <c r="I1536" s="580">
        <f t="shared" si="525"/>
        <v>44186</v>
      </c>
      <c r="J1536" s="1366">
        <v>2700000</v>
      </c>
      <c r="K1536" s="1360">
        <v>43312</v>
      </c>
      <c r="L1536" s="1363">
        <v>3750000</v>
      </c>
      <c r="M1536" s="1360">
        <v>43312</v>
      </c>
      <c r="N1536" s="1363">
        <v>3750000</v>
      </c>
      <c r="O1536" s="1367">
        <v>43482</v>
      </c>
      <c r="P1536" s="1714">
        <v>3750000</v>
      </c>
      <c r="Q1536" s="1367">
        <v>43643.612974536998</v>
      </c>
      <c r="R1536" s="1731">
        <v>3750000</v>
      </c>
      <c r="S1536" s="1367">
        <v>43853.424502314803</v>
      </c>
      <c r="T1536" s="1714"/>
      <c r="U1536" s="1391"/>
      <c r="V1536" s="1363"/>
      <c r="W1536" s="1391"/>
      <c r="X1536" s="1363"/>
      <c r="Y1536" s="1391"/>
      <c r="Z1536" s="1363"/>
      <c r="AA1536" s="1391"/>
      <c r="AB1536" s="1874">
        <v>1000000</v>
      </c>
      <c r="AC1536" s="1357">
        <v>44153</v>
      </c>
      <c r="AD1536" s="1809">
        <v>1200000</v>
      </c>
      <c r="AE1536" s="1357">
        <v>44153</v>
      </c>
      <c r="AF1536" s="1809">
        <v>1600000</v>
      </c>
      <c r="AG1536" s="1357">
        <v>44153</v>
      </c>
      <c r="AH1536" s="1625" t="str">
        <f t="shared" si="534"/>
        <v>MPI-3C</v>
      </c>
      <c r="AI1536" s="1675">
        <f t="shared" si="538"/>
        <v>22000000</v>
      </c>
      <c r="AJ1536" s="1675">
        <f t="shared" si="535"/>
        <v>22000000</v>
      </c>
      <c r="AK1536" s="1520">
        <f t="shared" si="539"/>
        <v>0</v>
      </c>
      <c r="AL1536" s="2187" t="str">
        <f t="shared" si="540"/>
        <v>Lunas</v>
      </c>
      <c r="AM1536" s="1666">
        <v>500000</v>
      </c>
      <c r="AN1536" s="1590">
        <v>44153</v>
      </c>
      <c r="AO1536"/>
      <c r="AP1536"/>
      <c r="AQ1536" s="1128"/>
      <c r="AR1536" s="1173"/>
      <c r="AT1536" s="1173"/>
      <c r="AV1536" s="1173"/>
      <c r="AX1536" s="1173"/>
      <c r="AY1536" s="1176"/>
      <c r="AZ1536" s="1173"/>
    </row>
    <row r="1537" spans="1:52" s="2" customFormat="1" x14ac:dyDescent="0.25">
      <c r="A1537" s="670">
        <v>1420</v>
      </c>
      <c r="B1537" s="671">
        <v>30</v>
      </c>
      <c r="C1537" s="2147">
        <v>849118026</v>
      </c>
      <c r="D1537" s="701" t="s">
        <v>2049</v>
      </c>
      <c r="E1537" s="441" t="s">
        <v>2046</v>
      </c>
      <c r="F1537" s="175">
        <v>2018</v>
      </c>
      <c r="G1537" s="360" t="s">
        <v>1483</v>
      </c>
      <c r="H1537" s="580" t="str">
        <f t="shared" si="524"/>
        <v xml:space="preserve">   </v>
      </c>
      <c r="I1537" s="580" t="str">
        <f t="shared" si="525"/>
        <v xml:space="preserve">   </v>
      </c>
      <c r="J1537" s="1366">
        <v>2700000</v>
      </c>
      <c r="K1537" s="1360">
        <v>43313</v>
      </c>
      <c r="L1537" s="1363">
        <v>3750000</v>
      </c>
      <c r="M1537" s="1360">
        <v>43313</v>
      </c>
      <c r="N1537" s="1363">
        <v>3750000</v>
      </c>
      <c r="O1537" s="1367">
        <v>43481</v>
      </c>
      <c r="P1537" s="1714">
        <v>3750000</v>
      </c>
      <c r="Q1537" s="1367">
        <v>43640.442592592597</v>
      </c>
      <c r="R1537" s="1731">
        <v>3750000</v>
      </c>
      <c r="S1537" s="1367">
        <v>43858.5765046296</v>
      </c>
      <c r="T1537" s="1731">
        <v>3750000</v>
      </c>
      <c r="U1537" s="1367">
        <v>44070.554525462998</v>
      </c>
      <c r="V1537" s="1363"/>
      <c r="W1537" s="1391"/>
      <c r="X1537" s="1363"/>
      <c r="Y1537" s="1391"/>
      <c r="Z1537" s="1363"/>
      <c r="AA1537" s="1391"/>
      <c r="AB1537" s="1731"/>
      <c r="AC1537" s="1367"/>
      <c r="AD1537" s="1666"/>
      <c r="AE1537" s="1590"/>
      <c r="AF1537" s="1666"/>
      <c r="AG1537" s="1590"/>
      <c r="AH1537" s="1625" t="str">
        <f t="shared" si="534"/>
        <v>MPI-3C</v>
      </c>
      <c r="AI1537" s="1675">
        <f t="shared" si="538"/>
        <v>21450000</v>
      </c>
      <c r="AJ1537" s="1675">
        <f t="shared" si="535"/>
        <v>21450000</v>
      </c>
      <c r="AK1537" s="1520">
        <f t="shared" si="539"/>
        <v>0</v>
      </c>
      <c r="AL1537" s="2187" t="str">
        <f t="shared" si="540"/>
        <v>Lunas</v>
      </c>
      <c r="AM1537" s="1666"/>
      <c r="AN1537" s="1590"/>
      <c r="AO1537"/>
      <c r="AP1537"/>
      <c r="AQ1537" s="1128"/>
      <c r="AR1537" s="1173"/>
      <c r="AT1537" s="1173"/>
      <c r="AV1537" s="1173"/>
      <c r="AX1537" s="1173"/>
      <c r="AY1537" s="1176"/>
      <c r="AZ1537" s="1173"/>
    </row>
    <row r="1538" spans="1:52" s="2" customFormat="1" x14ac:dyDescent="0.25">
      <c r="A1538" s="670">
        <v>1421</v>
      </c>
      <c r="B1538" s="2193">
        <v>31</v>
      </c>
      <c r="C1538" s="2147">
        <v>849118027</v>
      </c>
      <c r="D1538" s="2194" t="s">
        <v>2050</v>
      </c>
      <c r="E1538" s="179" t="s">
        <v>2046</v>
      </c>
      <c r="F1538" s="161">
        <v>2018</v>
      </c>
      <c r="G1538" s="272" t="s">
        <v>33</v>
      </c>
      <c r="H1538" s="628">
        <f t="shared" si="524"/>
        <v>44046</v>
      </c>
      <c r="I1538" s="580">
        <f t="shared" si="525"/>
        <v>44186</v>
      </c>
      <c r="J1538" s="1366">
        <v>2700000</v>
      </c>
      <c r="K1538" s="1360">
        <v>43314</v>
      </c>
      <c r="L1538" s="1363">
        <v>3750000</v>
      </c>
      <c r="M1538" s="1360">
        <v>43314</v>
      </c>
      <c r="N1538" s="1363">
        <v>3750000</v>
      </c>
      <c r="O1538" s="1367">
        <v>43481</v>
      </c>
      <c r="P1538" s="1714">
        <v>3750000</v>
      </c>
      <c r="Q1538" s="1367">
        <v>43642.426597222198</v>
      </c>
      <c r="R1538" s="1731">
        <v>3750000</v>
      </c>
      <c r="S1538" s="1367">
        <v>43859.477615740703</v>
      </c>
      <c r="T1538" s="1714"/>
      <c r="U1538" s="1391"/>
      <c r="V1538" s="1363"/>
      <c r="W1538" s="1391"/>
      <c r="X1538" s="1363"/>
      <c r="Y1538" s="1391"/>
      <c r="Z1538" s="1363"/>
      <c r="AA1538" s="1391"/>
      <c r="AB1538" s="1731"/>
      <c r="AC1538" s="1367"/>
      <c r="AD1538" s="1666"/>
      <c r="AE1538" s="1590"/>
      <c r="AF1538" s="1666"/>
      <c r="AG1538" s="1590"/>
      <c r="AH1538" s="1625" t="str">
        <f t="shared" si="534"/>
        <v>MPI-3C</v>
      </c>
      <c r="AI1538" s="1675">
        <f t="shared" si="538"/>
        <v>17700000</v>
      </c>
      <c r="AJ1538" s="1675">
        <f t="shared" si="535"/>
        <v>17700000</v>
      </c>
      <c r="AK1538" s="1520">
        <f t="shared" si="539"/>
        <v>0</v>
      </c>
      <c r="AL1538" s="2187" t="str">
        <f t="shared" si="540"/>
        <v>Lunas</v>
      </c>
      <c r="AM1538" s="1666"/>
      <c r="AN1538" s="1590"/>
      <c r="AO1538"/>
      <c r="AP1538"/>
      <c r="AQ1538" s="1128"/>
      <c r="AR1538" s="1173"/>
      <c r="AT1538" s="1173"/>
      <c r="AV1538" s="1173"/>
      <c r="AX1538" s="1173"/>
      <c r="AY1538" s="1176"/>
      <c r="AZ1538" s="1173"/>
    </row>
    <row r="1539" spans="1:52" s="2" customFormat="1" x14ac:dyDescent="0.25">
      <c r="A1539" s="670">
        <v>1422</v>
      </c>
      <c r="B1539" s="671">
        <v>32</v>
      </c>
      <c r="C1539" s="2147">
        <v>849118028</v>
      </c>
      <c r="D1539" s="701" t="s">
        <v>2051</v>
      </c>
      <c r="E1539" s="441" t="s">
        <v>2046</v>
      </c>
      <c r="F1539" s="175">
        <v>2018</v>
      </c>
      <c r="G1539" s="360" t="s">
        <v>1483</v>
      </c>
      <c r="H1539" s="580" t="str">
        <f t="shared" si="524"/>
        <v xml:space="preserve">   </v>
      </c>
      <c r="I1539" s="580" t="str">
        <f t="shared" si="525"/>
        <v xml:space="preserve">   </v>
      </c>
      <c r="J1539" s="1366">
        <v>2700000</v>
      </c>
      <c r="K1539" s="1360">
        <v>43313</v>
      </c>
      <c r="L1539" s="1363">
        <v>3750000</v>
      </c>
      <c r="M1539" s="1360">
        <v>43313</v>
      </c>
      <c r="N1539" s="1363">
        <v>3750000</v>
      </c>
      <c r="O1539" s="1367">
        <v>43483</v>
      </c>
      <c r="P1539" s="1714">
        <v>3750000</v>
      </c>
      <c r="Q1539" s="1367">
        <v>43640.639155092598</v>
      </c>
      <c r="R1539" s="1731">
        <v>3750000</v>
      </c>
      <c r="S1539" s="1367">
        <v>43861.409907407397</v>
      </c>
      <c r="T1539" s="1731">
        <v>3750000</v>
      </c>
      <c r="U1539" s="1367">
        <v>44077</v>
      </c>
      <c r="V1539" s="1363"/>
      <c r="W1539" s="1391"/>
      <c r="X1539" s="1363"/>
      <c r="Y1539" s="1391"/>
      <c r="Z1539" s="1363"/>
      <c r="AA1539" s="1391"/>
      <c r="AB1539" s="1731"/>
      <c r="AC1539" s="1367"/>
      <c r="AD1539" s="1666"/>
      <c r="AE1539" s="1590"/>
      <c r="AF1539" s="1666"/>
      <c r="AG1539" s="1590"/>
      <c r="AH1539" s="1625" t="str">
        <f t="shared" si="534"/>
        <v>MPI-3C</v>
      </c>
      <c r="AI1539" s="1675">
        <f t="shared" si="538"/>
        <v>21450000</v>
      </c>
      <c r="AJ1539" s="1675">
        <f t="shared" si="535"/>
        <v>21450000</v>
      </c>
      <c r="AK1539" s="1520">
        <f t="shared" si="539"/>
        <v>0</v>
      </c>
      <c r="AL1539" s="2187" t="str">
        <f t="shared" si="540"/>
        <v>Lunas</v>
      </c>
      <c r="AM1539" s="1666"/>
      <c r="AN1539" s="1590"/>
      <c r="AO1539"/>
      <c r="AP1539"/>
      <c r="AQ1539" s="1128"/>
      <c r="AR1539" s="1173"/>
      <c r="AT1539" s="1173"/>
      <c r="AV1539" s="1173"/>
      <c r="AX1539" s="1173"/>
      <c r="AY1539" s="1176"/>
      <c r="AZ1539" s="1173"/>
    </row>
    <row r="1540" spans="1:52" s="2" customFormat="1" x14ac:dyDescent="0.25">
      <c r="A1540" s="670">
        <v>1423</v>
      </c>
      <c r="B1540" s="671">
        <v>33</v>
      </c>
      <c r="C1540" s="2147">
        <v>849118030</v>
      </c>
      <c r="D1540" s="701" t="s">
        <v>2052</v>
      </c>
      <c r="E1540" s="441" t="s">
        <v>2046</v>
      </c>
      <c r="F1540" s="175">
        <v>2018</v>
      </c>
      <c r="G1540" s="360" t="s">
        <v>1483</v>
      </c>
      <c r="H1540" s="580" t="str">
        <f t="shared" si="524"/>
        <v xml:space="preserve">   </v>
      </c>
      <c r="I1540" s="580" t="str">
        <f t="shared" si="525"/>
        <v xml:space="preserve">   </v>
      </c>
      <c r="J1540" s="1366">
        <v>2700000</v>
      </c>
      <c r="K1540" s="1360">
        <v>43314</v>
      </c>
      <c r="L1540" s="1363">
        <v>3750000</v>
      </c>
      <c r="M1540" s="1360">
        <v>43314</v>
      </c>
      <c r="N1540" s="1363">
        <v>3750000</v>
      </c>
      <c r="O1540" s="1367">
        <v>43483</v>
      </c>
      <c r="P1540" s="1714">
        <v>3750000</v>
      </c>
      <c r="Q1540" s="1367">
        <v>43644.3693055556</v>
      </c>
      <c r="R1540" s="1731">
        <v>3750000</v>
      </c>
      <c r="S1540" s="1367">
        <v>43859.498888888898</v>
      </c>
      <c r="T1540" s="1731">
        <v>3750000</v>
      </c>
      <c r="U1540" s="1367">
        <v>44069.3811458333</v>
      </c>
      <c r="V1540" s="1363"/>
      <c r="W1540" s="1391"/>
      <c r="X1540" s="1363"/>
      <c r="Y1540" s="1391"/>
      <c r="Z1540" s="1363"/>
      <c r="AA1540" s="1391"/>
      <c r="AB1540" s="1731"/>
      <c r="AC1540" s="1367"/>
      <c r="AD1540" s="1666"/>
      <c r="AE1540" s="1590"/>
      <c r="AF1540" s="1666"/>
      <c r="AG1540" s="1590"/>
      <c r="AH1540" s="1625" t="str">
        <f t="shared" si="534"/>
        <v>MPI-3C</v>
      </c>
      <c r="AI1540" s="1675">
        <f t="shared" si="538"/>
        <v>21450000</v>
      </c>
      <c r="AJ1540" s="1675">
        <f t="shared" ref="AJ1540:AJ1558" si="541">(COUNT(L1540,N1540,P1540,R1540,T1540,V1540,X1540,Z1540)*$G$1507)+(COUNT(J1540)*$J$1507)+(COUNT(AB1540)*$AB$1507)+(COUNT(AD1540)*$AD$1507)+(COUNT(AF1540)*$AF$1507)+(COUNT(AM1540)*$AM$1507)</f>
        <v>21450000</v>
      </c>
      <c r="AK1540" s="1520">
        <f t="shared" si="539"/>
        <v>0</v>
      </c>
      <c r="AL1540" s="2187" t="str">
        <f t="shared" si="540"/>
        <v>Lunas</v>
      </c>
      <c r="AM1540" s="1666"/>
      <c r="AN1540" s="1590"/>
      <c r="AO1540"/>
      <c r="AP1540"/>
      <c r="AQ1540" s="1128"/>
      <c r="AR1540" s="1173"/>
      <c r="AT1540" s="1173"/>
      <c r="AV1540" s="1173"/>
      <c r="AX1540" s="1173"/>
      <c r="AY1540" s="1176"/>
      <c r="AZ1540" s="1173"/>
    </row>
    <row r="1541" spans="1:52" s="2" customFormat="1" x14ac:dyDescent="0.25">
      <c r="A1541" s="670">
        <v>1424</v>
      </c>
      <c r="B1541" s="2193">
        <v>34</v>
      </c>
      <c r="C1541" s="2147">
        <v>849118031</v>
      </c>
      <c r="D1541" s="2194" t="s">
        <v>2053</v>
      </c>
      <c r="E1541" s="179" t="s">
        <v>2046</v>
      </c>
      <c r="F1541" s="161">
        <v>2018</v>
      </c>
      <c r="G1541" s="272" t="s">
        <v>33</v>
      </c>
      <c r="H1541" s="628">
        <f t="shared" si="524"/>
        <v>43961</v>
      </c>
      <c r="I1541" s="580">
        <f t="shared" si="525"/>
        <v>44168</v>
      </c>
      <c r="J1541" s="1366">
        <v>2700000</v>
      </c>
      <c r="K1541" s="1360">
        <v>43313</v>
      </c>
      <c r="L1541" s="1363">
        <v>3750000</v>
      </c>
      <c r="M1541" s="1360">
        <v>43313</v>
      </c>
      <c r="N1541" s="1363">
        <v>3750000</v>
      </c>
      <c r="O1541" s="1367">
        <v>43482</v>
      </c>
      <c r="P1541" s="1714">
        <v>3750000</v>
      </c>
      <c r="Q1541" s="1367">
        <v>43644.623969907399</v>
      </c>
      <c r="R1541" s="1731">
        <v>3750000</v>
      </c>
      <c r="S1541" s="1367">
        <v>43854.429861111101</v>
      </c>
      <c r="T1541" s="1714"/>
      <c r="U1541" s="1391"/>
      <c r="V1541" s="1363"/>
      <c r="W1541" s="1391"/>
      <c r="X1541" s="1363"/>
      <c r="Y1541" s="1391"/>
      <c r="Z1541" s="1363"/>
      <c r="AA1541" s="1391"/>
      <c r="AB1541" s="1874">
        <v>0</v>
      </c>
      <c r="AC1541" s="1357"/>
      <c r="AD1541" s="1809">
        <v>0</v>
      </c>
      <c r="AE1541" s="1440"/>
      <c r="AF1541" s="1809">
        <v>0</v>
      </c>
      <c r="AG1541" s="1440"/>
      <c r="AH1541" s="1625" t="str">
        <f t="shared" si="534"/>
        <v>MPI-3C</v>
      </c>
      <c r="AI1541" s="1675">
        <f t="shared" si="538"/>
        <v>18200000</v>
      </c>
      <c r="AJ1541" s="1675">
        <f t="shared" si="541"/>
        <v>22000000</v>
      </c>
      <c r="AK1541" s="1520">
        <f t="shared" si="539"/>
        <v>3800000</v>
      </c>
      <c r="AL1541" s="2187" t="str">
        <f t="shared" si="540"/>
        <v>Cek</v>
      </c>
      <c r="AM1541" s="1666">
        <v>500000</v>
      </c>
      <c r="AN1541" s="1590">
        <v>44019</v>
      </c>
      <c r="AO1541"/>
      <c r="AP1541"/>
      <c r="AQ1541" s="1128"/>
      <c r="AR1541" s="1173"/>
      <c r="AT1541" s="1173"/>
      <c r="AV1541" s="1173"/>
      <c r="AX1541" s="1173"/>
      <c r="AY1541" s="1176"/>
      <c r="AZ1541" s="1173"/>
    </row>
    <row r="1542" spans="1:52" s="2" customFormat="1" x14ac:dyDescent="0.25">
      <c r="A1542" s="670">
        <v>1425</v>
      </c>
      <c r="B1542" s="671">
        <v>35</v>
      </c>
      <c r="C1542" s="2147">
        <v>849118032</v>
      </c>
      <c r="D1542" s="701" t="s">
        <v>2054</v>
      </c>
      <c r="E1542" s="441" t="s">
        <v>2046</v>
      </c>
      <c r="F1542" s="175">
        <v>2018</v>
      </c>
      <c r="G1542" s="360" t="s">
        <v>1483</v>
      </c>
      <c r="H1542" s="580" t="str">
        <f t="shared" si="524"/>
        <v xml:space="preserve">   </v>
      </c>
      <c r="I1542" s="580" t="str">
        <f t="shared" si="525"/>
        <v xml:space="preserve">   </v>
      </c>
      <c r="J1542" s="1366">
        <v>2700000</v>
      </c>
      <c r="K1542" s="1360">
        <v>43311</v>
      </c>
      <c r="L1542" s="1363">
        <v>3750000</v>
      </c>
      <c r="M1542" s="1360">
        <v>43311</v>
      </c>
      <c r="N1542" s="1363">
        <v>3750000</v>
      </c>
      <c r="O1542" s="1367">
        <v>43482</v>
      </c>
      <c r="P1542" s="1714">
        <v>3750000</v>
      </c>
      <c r="Q1542" s="1367">
        <v>43641.486365740697</v>
      </c>
      <c r="R1542" s="1731">
        <v>3750000</v>
      </c>
      <c r="S1542" s="1367">
        <v>43858.508993055599</v>
      </c>
      <c r="T1542" s="1731">
        <v>3750000</v>
      </c>
      <c r="U1542" s="1367">
        <v>44069.478738425903</v>
      </c>
      <c r="V1542" s="1363"/>
      <c r="W1542" s="1391"/>
      <c r="X1542" s="1363"/>
      <c r="Y1542" s="1391"/>
      <c r="Z1542" s="1363"/>
      <c r="AA1542" s="1391"/>
      <c r="AB1542" s="1731">
        <v>1000000</v>
      </c>
      <c r="AC1542" s="1367">
        <v>44126</v>
      </c>
      <c r="AD1542" s="1666"/>
      <c r="AE1542" s="1590"/>
      <c r="AF1542" s="1666"/>
      <c r="AG1542" s="1590"/>
      <c r="AH1542" s="1625" t="str">
        <f t="shared" si="534"/>
        <v>MPI-3C</v>
      </c>
      <c r="AI1542" s="1675">
        <f t="shared" si="538"/>
        <v>22450000</v>
      </c>
      <c r="AJ1542" s="1675">
        <f t="shared" si="541"/>
        <v>22450000</v>
      </c>
      <c r="AK1542" s="1520">
        <f t="shared" si="539"/>
        <v>0</v>
      </c>
      <c r="AL1542" s="2187" t="str">
        <f t="shared" si="540"/>
        <v>Lunas</v>
      </c>
      <c r="AM1542" s="1666"/>
      <c r="AN1542" s="1590"/>
      <c r="AO1542"/>
      <c r="AP1542"/>
      <c r="AQ1542" s="1128"/>
      <c r="AR1542" s="1173"/>
      <c r="AT1542" s="1173"/>
      <c r="AV1542" s="1173"/>
      <c r="AX1542" s="1173"/>
      <c r="AY1542" s="1176"/>
      <c r="AZ1542" s="1173"/>
    </row>
    <row r="1543" spans="1:52" s="2" customFormat="1" x14ac:dyDescent="0.25">
      <c r="A1543" s="670">
        <v>1426</v>
      </c>
      <c r="B1543" s="671">
        <v>36</v>
      </c>
      <c r="C1543" s="2147">
        <v>849118033</v>
      </c>
      <c r="D1543" s="701" t="s">
        <v>2055</v>
      </c>
      <c r="E1543" s="441" t="s">
        <v>2046</v>
      </c>
      <c r="F1543" s="175">
        <v>2018</v>
      </c>
      <c r="G1543" s="360" t="s">
        <v>1483</v>
      </c>
      <c r="H1543" s="580" t="str">
        <f t="shared" si="524"/>
        <v xml:space="preserve">   </v>
      </c>
      <c r="I1543" s="580" t="str">
        <f t="shared" si="525"/>
        <v xml:space="preserve">   </v>
      </c>
      <c r="J1543" s="1366">
        <v>2700000</v>
      </c>
      <c r="K1543" s="1360">
        <v>43312</v>
      </c>
      <c r="L1543" s="1363">
        <v>3750000</v>
      </c>
      <c r="M1543" s="1360">
        <v>43312</v>
      </c>
      <c r="N1543" s="1363">
        <v>3750000</v>
      </c>
      <c r="O1543" s="1367">
        <v>43483</v>
      </c>
      <c r="P1543" s="1714">
        <v>3750000</v>
      </c>
      <c r="Q1543" s="1367">
        <v>43649.368009259299</v>
      </c>
      <c r="R1543" s="1731">
        <v>3750000</v>
      </c>
      <c r="S1543" s="1367">
        <v>43858.472812499997</v>
      </c>
      <c r="T1543" s="1731">
        <v>3750000</v>
      </c>
      <c r="U1543" s="1367">
        <v>44070.401724536998</v>
      </c>
      <c r="V1543" s="1363"/>
      <c r="W1543" s="1391"/>
      <c r="X1543" s="1363"/>
      <c r="Y1543" s="1391"/>
      <c r="Z1543" s="1363"/>
      <c r="AA1543" s="1391"/>
      <c r="AB1543" s="1731"/>
      <c r="AC1543" s="1367"/>
      <c r="AD1543" s="1666"/>
      <c r="AE1543" s="1590"/>
      <c r="AF1543" s="1666"/>
      <c r="AG1543" s="1590"/>
      <c r="AH1543" s="1625" t="str">
        <f t="shared" si="534"/>
        <v>MPI-3C</v>
      </c>
      <c r="AI1543" s="1675">
        <f t="shared" si="538"/>
        <v>21450000</v>
      </c>
      <c r="AJ1543" s="1675">
        <f t="shared" si="541"/>
        <v>21450000</v>
      </c>
      <c r="AK1543" s="1520">
        <f t="shared" si="539"/>
        <v>0</v>
      </c>
      <c r="AL1543" s="2187" t="str">
        <f t="shared" si="540"/>
        <v>Lunas</v>
      </c>
      <c r="AM1543" s="1666"/>
      <c r="AN1543" s="1590"/>
      <c r="AO1543"/>
      <c r="AP1543"/>
      <c r="AQ1543" s="1128"/>
      <c r="AR1543" s="1173"/>
      <c r="AT1543" s="1173"/>
      <c r="AV1543" s="1173"/>
      <c r="AX1543" s="1173"/>
      <c r="AY1543" s="1176"/>
      <c r="AZ1543" s="1173"/>
    </row>
    <row r="1544" spans="1:52" s="2" customFormat="1" x14ac:dyDescent="0.25">
      <c r="A1544" s="670">
        <v>1427</v>
      </c>
      <c r="B1544" s="671">
        <v>37</v>
      </c>
      <c r="C1544" s="2147">
        <v>849118034</v>
      </c>
      <c r="D1544" s="701" t="s">
        <v>2056</v>
      </c>
      <c r="E1544" s="441" t="s">
        <v>2046</v>
      </c>
      <c r="F1544" s="175">
        <v>2018</v>
      </c>
      <c r="G1544" s="360" t="s">
        <v>1483</v>
      </c>
      <c r="H1544" s="580" t="str">
        <f t="shared" si="524"/>
        <v xml:space="preserve">   </v>
      </c>
      <c r="I1544" s="580" t="str">
        <f t="shared" si="525"/>
        <v xml:space="preserve">   </v>
      </c>
      <c r="J1544" s="1366">
        <v>2700000</v>
      </c>
      <c r="K1544" s="1360">
        <v>43314</v>
      </c>
      <c r="L1544" s="1363">
        <v>3750000</v>
      </c>
      <c r="M1544" s="1360">
        <v>43314</v>
      </c>
      <c r="N1544" s="1363">
        <v>3750000</v>
      </c>
      <c r="O1544" s="1367">
        <v>43481</v>
      </c>
      <c r="P1544" s="1714">
        <v>3750000</v>
      </c>
      <c r="Q1544" s="1367">
        <v>43641.400092592601</v>
      </c>
      <c r="R1544" s="1731">
        <v>3750000</v>
      </c>
      <c r="S1544" s="1367">
        <v>43861.429814814801</v>
      </c>
      <c r="T1544" s="1731">
        <v>3750000</v>
      </c>
      <c r="U1544" s="1367">
        <v>44071</v>
      </c>
      <c r="V1544" s="1363"/>
      <c r="W1544" s="1391"/>
      <c r="X1544" s="1363"/>
      <c r="Y1544" s="1391"/>
      <c r="Z1544" s="1363"/>
      <c r="AA1544" s="1391"/>
      <c r="AB1544" s="1731">
        <v>1000000</v>
      </c>
      <c r="AC1544" s="1367">
        <v>44125</v>
      </c>
      <c r="AD1544" s="1666">
        <v>1200000</v>
      </c>
      <c r="AE1544" s="1590">
        <v>44125</v>
      </c>
      <c r="AF1544" s="1666"/>
      <c r="AG1544" s="1590"/>
      <c r="AH1544" s="1625" t="str">
        <f t="shared" si="534"/>
        <v>MPI-3C</v>
      </c>
      <c r="AI1544" s="1675">
        <f t="shared" si="538"/>
        <v>23650000</v>
      </c>
      <c r="AJ1544" s="1675">
        <f t="shared" si="541"/>
        <v>23650000</v>
      </c>
      <c r="AK1544" s="1520">
        <f t="shared" si="539"/>
        <v>0</v>
      </c>
      <c r="AL1544" s="2187" t="str">
        <f t="shared" si="540"/>
        <v>Lunas</v>
      </c>
      <c r="AM1544" s="1666"/>
      <c r="AN1544" s="1590"/>
      <c r="AO1544"/>
      <c r="AP1544"/>
      <c r="AQ1544" s="1128"/>
      <c r="AR1544" s="1173"/>
      <c r="AT1544" s="1173"/>
      <c r="AV1544" s="1173"/>
      <c r="AX1544" s="1173"/>
      <c r="AY1544" s="1176"/>
      <c r="AZ1544" s="1173"/>
    </row>
    <row r="1545" spans="1:52" s="2" customFormat="1" x14ac:dyDescent="0.25">
      <c r="A1545" s="670">
        <v>1428</v>
      </c>
      <c r="B1545" s="671">
        <v>38</v>
      </c>
      <c r="C1545" s="2147">
        <v>849118035</v>
      </c>
      <c r="D1545" s="701" t="s">
        <v>2057</v>
      </c>
      <c r="E1545" s="441" t="s">
        <v>2046</v>
      </c>
      <c r="F1545" s="175">
        <v>2018</v>
      </c>
      <c r="G1545" s="360" t="s">
        <v>1483</v>
      </c>
      <c r="H1545" s="580" t="str">
        <f t="shared" si="524"/>
        <v xml:space="preserve">   </v>
      </c>
      <c r="I1545" s="580" t="str">
        <f t="shared" si="525"/>
        <v xml:space="preserve">   </v>
      </c>
      <c r="J1545" s="1366">
        <v>2700000</v>
      </c>
      <c r="K1545" s="1360">
        <v>43314</v>
      </c>
      <c r="L1545" s="1363">
        <v>3750000</v>
      </c>
      <c r="M1545" s="1360">
        <v>43314</v>
      </c>
      <c r="N1545" s="1363">
        <v>3750000</v>
      </c>
      <c r="O1545" s="1367">
        <v>43483</v>
      </c>
      <c r="P1545" s="1714">
        <v>3750000</v>
      </c>
      <c r="Q1545" s="1367">
        <v>43650.366793981499</v>
      </c>
      <c r="R1545" s="1731">
        <v>3750000</v>
      </c>
      <c r="S1545" s="1367">
        <v>43861.587349537003</v>
      </c>
      <c r="T1545" s="1731">
        <v>3750000</v>
      </c>
      <c r="U1545" s="1367">
        <v>44070.562384259298</v>
      </c>
      <c r="V1545" s="1363"/>
      <c r="W1545" s="1391"/>
      <c r="X1545" s="1363"/>
      <c r="Y1545" s="1391"/>
      <c r="Z1545" s="1363"/>
      <c r="AA1545" s="1391"/>
      <c r="AB1545" s="1731"/>
      <c r="AC1545" s="1367"/>
      <c r="AD1545" s="1666"/>
      <c r="AE1545" s="1590"/>
      <c r="AF1545" s="1666"/>
      <c r="AG1545" s="1590"/>
      <c r="AH1545" s="1625" t="str">
        <f t="shared" si="534"/>
        <v>MPI-3C</v>
      </c>
      <c r="AI1545" s="1675">
        <f t="shared" si="538"/>
        <v>21450000</v>
      </c>
      <c r="AJ1545" s="1675">
        <f t="shared" si="541"/>
        <v>21450000</v>
      </c>
      <c r="AK1545" s="1520">
        <f t="shared" si="539"/>
        <v>0</v>
      </c>
      <c r="AL1545" s="2187" t="str">
        <f t="shared" si="540"/>
        <v>Lunas</v>
      </c>
      <c r="AM1545" s="1666"/>
      <c r="AN1545" s="1590"/>
      <c r="AO1545"/>
      <c r="AP1545"/>
      <c r="AQ1545" s="1128"/>
      <c r="AR1545" s="1173"/>
      <c r="AT1545" s="1173"/>
      <c r="AV1545" s="1173"/>
      <c r="AX1545" s="1173"/>
      <c r="AY1545" s="1176"/>
      <c r="AZ1545" s="1173"/>
    </row>
    <row r="1546" spans="1:52" s="2" customFormat="1" x14ac:dyDescent="0.25">
      <c r="A1546" s="2132">
        <v>1429</v>
      </c>
      <c r="B1546" s="2133">
        <v>39</v>
      </c>
      <c r="C1546" s="2145">
        <v>849118049</v>
      </c>
      <c r="D1546" s="2146" t="s">
        <v>2058</v>
      </c>
      <c r="E1546" s="179" t="s">
        <v>2046</v>
      </c>
      <c r="F1546" s="161">
        <v>2018</v>
      </c>
      <c r="G1546" s="272" t="s">
        <v>33</v>
      </c>
      <c r="H1546" s="628">
        <f t="shared" si="524"/>
        <v>43984</v>
      </c>
      <c r="I1546" s="628">
        <f t="shared" si="525"/>
        <v>44168</v>
      </c>
      <c r="J1546" s="1364">
        <v>2700000</v>
      </c>
      <c r="K1546" s="1365">
        <v>43314</v>
      </c>
      <c r="L1546" s="1358">
        <v>3750000</v>
      </c>
      <c r="M1546" s="1365">
        <v>43314</v>
      </c>
      <c r="N1546" s="1358">
        <v>3750000</v>
      </c>
      <c r="O1546" s="1357">
        <v>43481</v>
      </c>
      <c r="P1546" s="1385">
        <v>3750000</v>
      </c>
      <c r="Q1546" s="1357">
        <v>43636.426354166702</v>
      </c>
      <c r="R1546" s="1874">
        <v>3750000</v>
      </c>
      <c r="S1546" s="1357">
        <v>43853.489409722199</v>
      </c>
      <c r="T1546" s="1714"/>
      <c r="U1546" s="1391"/>
      <c r="V1546" s="1363"/>
      <c r="W1546" s="1391"/>
      <c r="X1546" s="1363"/>
      <c r="Y1546" s="1391"/>
      <c r="Z1546" s="1363"/>
      <c r="AA1546" s="1391"/>
      <c r="AB1546" s="1874">
        <v>1000000</v>
      </c>
      <c r="AC1546" s="1357">
        <v>44154</v>
      </c>
      <c r="AD1546" s="1809">
        <v>120000</v>
      </c>
      <c r="AE1546" s="1357">
        <v>44154</v>
      </c>
      <c r="AF1546" s="1809">
        <v>1600000</v>
      </c>
      <c r="AG1546" s="1357">
        <v>44154</v>
      </c>
      <c r="AH1546" s="1625" t="str">
        <f t="shared" si="534"/>
        <v>MPI-3C</v>
      </c>
      <c r="AI1546" s="1675">
        <f t="shared" si="538"/>
        <v>20920000</v>
      </c>
      <c r="AJ1546" s="1675">
        <f t="shared" si="541"/>
        <v>22000000</v>
      </c>
      <c r="AK1546" s="1520">
        <f t="shared" si="539"/>
        <v>1080000</v>
      </c>
      <c r="AL1546" s="2187" t="str">
        <f t="shared" si="540"/>
        <v>Cek</v>
      </c>
      <c r="AM1546" s="1666">
        <v>500000</v>
      </c>
      <c r="AN1546" s="1590">
        <v>44004</v>
      </c>
      <c r="AO1546"/>
      <c r="AP1546"/>
      <c r="AQ1546" s="1128"/>
      <c r="AR1546" s="1173"/>
      <c r="AT1546" s="1173"/>
      <c r="AV1546" s="1173"/>
      <c r="AX1546" s="1173"/>
      <c r="AY1546" s="1176"/>
      <c r="AZ1546" s="1173"/>
    </row>
    <row r="1547" spans="1:52" s="2" customFormat="1" x14ac:dyDescent="0.25">
      <c r="A1547" s="670">
        <v>1430</v>
      </c>
      <c r="B1547" s="671">
        <v>40</v>
      </c>
      <c r="C1547" s="2147">
        <v>849118050</v>
      </c>
      <c r="D1547" s="701" t="s">
        <v>2059</v>
      </c>
      <c r="E1547" s="441" t="s">
        <v>2046</v>
      </c>
      <c r="F1547" s="175">
        <v>2018</v>
      </c>
      <c r="G1547" s="360" t="s">
        <v>1483</v>
      </c>
      <c r="H1547" s="580" t="str">
        <f t="shared" ref="H1547:H1610" si="542">IFERROR(VLOOKUP(C1547,Tlus,3,FALSE),"   ")</f>
        <v xml:space="preserve">   </v>
      </c>
      <c r="I1547" s="580" t="str">
        <f t="shared" ref="I1547:I1610" si="543">IFERROR(VLOOKUP(C1547,Wis,4,FALSE),"   ")</f>
        <v xml:space="preserve">   </v>
      </c>
      <c r="J1547" s="1366">
        <v>2700000</v>
      </c>
      <c r="K1547" s="1360">
        <v>43314</v>
      </c>
      <c r="L1547" s="1363">
        <v>3750000</v>
      </c>
      <c r="M1547" s="1360">
        <v>43314</v>
      </c>
      <c r="N1547" s="1363">
        <v>3750000</v>
      </c>
      <c r="O1547" s="1367">
        <v>43481</v>
      </c>
      <c r="P1547" s="1714">
        <v>3750000</v>
      </c>
      <c r="Q1547" s="1367">
        <v>43641.499085648102</v>
      </c>
      <c r="R1547" s="1731">
        <v>3750000</v>
      </c>
      <c r="S1547" s="1367">
        <v>43860.459537037001</v>
      </c>
      <c r="T1547" s="1731">
        <v>3750000</v>
      </c>
      <c r="U1547" s="1367">
        <v>44070.534409722197</v>
      </c>
      <c r="V1547" s="1363"/>
      <c r="W1547" s="1391"/>
      <c r="X1547" s="1363"/>
      <c r="Y1547" s="1391"/>
      <c r="Z1547" s="1363"/>
      <c r="AA1547" s="1391"/>
      <c r="AB1547" s="1731"/>
      <c r="AC1547" s="1367"/>
      <c r="AD1547" s="1666"/>
      <c r="AE1547" s="1590"/>
      <c r="AF1547" s="1666"/>
      <c r="AG1547" s="1590"/>
      <c r="AH1547" s="1625" t="str">
        <f t="shared" si="534"/>
        <v>MPI-3C</v>
      </c>
      <c r="AI1547" s="1675">
        <f t="shared" si="538"/>
        <v>21450000</v>
      </c>
      <c r="AJ1547" s="1675">
        <f t="shared" si="541"/>
        <v>21450000</v>
      </c>
      <c r="AK1547" s="1520">
        <f t="shared" si="539"/>
        <v>0</v>
      </c>
      <c r="AL1547" s="2187" t="str">
        <f t="shared" si="540"/>
        <v>Lunas</v>
      </c>
      <c r="AM1547" s="1666"/>
      <c r="AN1547" s="1590"/>
      <c r="AO1547"/>
      <c r="AP1547"/>
      <c r="AQ1547" s="1128"/>
      <c r="AR1547" s="1173"/>
      <c r="AT1547" s="1173"/>
      <c r="AV1547" s="1173"/>
      <c r="AX1547" s="1173"/>
      <c r="AY1547" s="1176"/>
      <c r="AZ1547" s="1173"/>
    </row>
    <row r="1548" spans="1:52" s="2" customFormat="1" x14ac:dyDescent="0.25">
      <c r="A1548" s="670">
        <v>1431</v>
      </c>
      <c r="B1548" s="671">
        <v>41</v>
      </c>
      <c r="C1548" s="2147">
        <v>849118052</v>
      </c>
      <c r="D1548" s="701" t="s">
        <v>2060</v>
      </c>
      <c r="E1548" s="441" t="s">
        <v>2046</v>
      </c>
      <c r="F1548" s="175">
        <v>2018</v>
      </c>
      <c r="G1548" s="360" t="s">
        <v>1483</v>
      </c>
      <c r="H1548" s="580" t="str">
        <f t="shared" si="542"/>
        <v xml:space="preserve">   </v>
      </c>
      <c r="I1548" s="580" t="str">
        <f t="shared" si="543"/>
        <v xml:space="preserve">   </v>
      </c>
      <c r="J1548" s="1366">
        <v>2700000</v>
      </c>
      <c r="K1548" s="1360">
        <v>43314</v>
      </c>
      <c r="L1548" s="1363">
        <v>3750000</v>
      </c>
      <c r="M1548" s="1360">
        <v>43314</v>
      </c>
      <c r="N1548" s="1363">
        <v>3750000</v>
      </c>
      <c r="O1548" s="1367">
        <v>43482</v>
      </c>
      <c r="P1548" s="1714">
        <v>3750000</v>
      </c>
      <c r="Q1548" s="1367">
        <v>43642.552685185197</v>
      </c>
      <c r="R1548" s="1731">
        <v>3750000</v>
      </c>
      <c r="S1548" s="1367">
        <v>43859.497650463003</v>
      </c>
      <c r="T1548" s="1731">
        <v>3750000</v>
      </c>
      <c r="U1548" s="1367">
        <v>44071</v>
      </c>
      <c r="V1548" s="1363"/>
      <c r="W1548" s="1391"/>
      <c r="X1548" s="1363"/>
      <c r="Y1548" s="1391"/>
      <c r="Z1548" s="1363"/>
      <c r="AA1548" s="1391"/>
      <c r="AB1548" s="1731">
        <v>1000000</v>
      </c>
      <c r="AC1548" s="1367">
        <v>44143</v>
      </c>
      <c r="AD1548" s="1666"/>
      <c r="AE1548" s="1590"/>
      <c r="AF1548" s="1666"/>
      <c r="AG1548" s="1590"/>
      <c r="AH1548" s="1625" t="str">
        <f t="shared" si="534"/>
        <v>MPI-3C</v>
      </c>
      <c r="AI1548" s="1675">
        <f t="shared" si="538"/>
        <v>22450000</v>
      </c>
      <c r="AJ1548" s="1675">
        <f t="shared" si="541"/>
        <v>22450000</v>
      </c>
      <c r="AK1548" s="1520">
        <f t="shared" si="539"/>
        <v>0</v>
      </c>
      <c r="AL1548" s="2187" t="str">
        <f t="shared" si="540"/>
        <v>Lunas</v>
      </c>
      <c r="AM1548" s="1666"/>
      <c r="AN1548" s="1590"/>
      <c r="AO1548"/>
      <c r="AP1548"/>
      <c r="AQ1548" s="1128"/>
      <c r="AR1548" s="1173"/>
      <c r="AT1548" s="1173"/>
      <c r="AV1548" s="1173"/>
      <c r="AX1548" s="1173"/>
      <c r="AY1548" s="1176"/>
      <c r="AZ1548" s="1173"/>
    </row>
    <row r="1549" spans="1:52" s="2" customFormat="1" x14ac:dyDescent="0.25">
      <c r="A1549" s="670">
        <v>1432</v>
      </c>
      <c r="B1549" s="671">
        <v>42</v>
      </c>
      <c r="C1549" s="2147">
        <v>849118054</v>
      </c>
      <c r="D1549" s="701" t="s">
        <v>2061</v>
      </c>
      <c r="E1549" s="441" t="s">
        <v>2046</v>
      </c>
      <c r="F1549" s="175">
        <v>2018</v>
      </c>
      <c r="G1549" s="1758" t="s">
        <v>28</v>
      </c>
      <c r="H1549" s="580" t="str">
        <f t="shared" si="542"/>
        <v xml:space="preserve">   </v>
      </c>
      <c r="I1549" s="580" t="str">
        <f t="shared" si="543"/>
        <v xml:space="preserve">   </v>
      </c>
      <c r="J1549" s="1366">
        <v>2700000</v>
      </c>
      <c r="K1549" s="1360">
        <v>43315</v>
      </c>
      <c r="L1549" s="1363">
        <v>3750000</v>
      </c>
      <c r="M1549" s="1360">
        <v>43315</v>
      </c>
      <c r="N1549" s="1363">
        <v>0</v>
      </c>
      <c r="O1549" s="1367"/>
      <c r="P1549" s="1714">
        <v>0</v>
      </c>
      <c r="Q1549" s="1367"/>
      <c r="R1549" s="1731">
        <v>0</v>
      </c>
      <c r="S1549" s="1367"/>
      <c r="T1549" s="1731">
        <v>0</v>
      </c>
      <c r="U1549" s="1367"/>
      <c r="V1549" s="1363"/>
      <c r="W1549" s="1391"/>
      <c r="X1549" s="1363"/>
      <c r="Y1549" s="1391"/>
      <c r="Z1549" s="1363"/>
      <c r="AA1549" s="1391"/>
      <c r="AB1549" s="1731"/>
      <c r="AC1549" s="1367"/>
      <c r="AD1549" s="1666"/>
      <c r="AE1549" s="1590"/>
      <c r="AF1549" s="1666"/>
      <c r="AG1549" s="1590"/>
      <c r="AH1549" s="1625" t="str">
        <f t="shared" si="534"/>
        <v>MPI-3C</v>
      </c>
      <c r="AI1549" s="1675">
        <f t="shared" si="538"/>
        <v>6450000</v>
      </c>
      <c r="AJ1549" s="1675">
        <f t="shared" si="541"/>
        <v>21450000</v>
      </c>
      <c r="AK1549" s="1520">
        <f t="shared" si="539"/>
        <v>15000000</v>
      </c>
      <c r="AL1549" s="2187" t="str">
        <f t="shared" si="540"/>
        <v>Cek</v>
      </c>
      <c r="AM1549" s="1666"/>
      <c r="AN1549" s="1590"/>
      <c r="AO1549"/>
      <c r="AP1549"/>
      <c r="AQ1549" s="1128"/>
      <c r="AR1549" s="1173"/>
      <c r="AT1549" s="1173"/>
      <c r="AV1549" s="1173"/>
      <c r="AX1549" s="1173"/>
      <c r="AY1549" s="1176"/>
      <c r="AZ1549" s="1173"/>
    </row>
    <row r="1550" spans="1:52" s="2" customFormat="1" x14ac:dyDescent="0.25">
      <c r="A1550" s="670">
        <v>1433</v>
      </c>
      <c r="B1550" s="671">
        <v>43</v>
      </c>
      <c r="C1550" s="2147">
        <v>849118055</v>
      </c>
      <c r="D1550" s="701" t="s">
        <v>2062</v>
      </c>
      <c r="E1550" s="441" t="s">
        <v>2046</v>
      </c>
      <c r="F1550" s="175">
        <v>2018</v>
      </c>
      <c r="G1550" s="1758" t="s">
        <v>28</v>
      </c>
      <c r="H1550" s="580">
        <f t="shared" si="542"/>
        <v>44084</v>
      </c>
      <c r="I1550" s="580" t="str">
        <f t="shared" si="543"/>
        <v xml:space="preserve">   </v>
      </c>
      <c r="J1550" s="1366">
        <v>2700000</v>
      </c>
      <c r="K1550" s="1360">
        <v>43315</v>
      </c>
      <c r="L1550" s="1363">
        <v>3750000</v>
      </c>
      <c r="M1550" s="1360">
        <v>43315</v>
      </c>
      <c r="N1550" s="1363">
        <v>3750000</v>
      </c>
      <c r="O1550" s="1367">
        <v>43483</v>
      </c>
      <c r="P1550" s="1714">
        <v>3750000</v>
      </c>
      <c r="Q1550" s="1367">
        <v>43644</v>
      </c>
      <c r="R1550" s="1731">
        <v>3750000</v>
      </c>
      <c r="S1550" s="1367">
        <v>43858.5860300926</v>
      </c>
      <c r="T1550" s="1731">
        <v>0</v>
      </c>
      <c r="U1550" s="1367"/>
      <c r="V1550" s="1363"/>
      <c r="W1550" s="1391"/>
      <c r="X1550" s="1363"/>
      <c r="Y1550" s="1391"/>
      <c r="Z1550" s="1363"/>
      <c r="AA1550" s="1391"/>
      <c r="AB1550" s="1731"/>
      <c r="AC1550" s="1367"/>
      <c r="AD1550" s="1666"/>
      <c r="AE1550" s="1590"/>
      <c r="AF1550" s="1666"/>
      <c r="AG1550" s="1590"/>
      <c r="AH1550" s="1625" t="str">
        <f t="shared" si="534"/>
        <v>MPI-3C</v>
      </c>
      <c r="AI1550" s="1675">
        <f t="shared" si="538"/>
        <v>17700000</v>
      </c>
      <c r="AJ1550" s="1675">
        <f t="shared" si="541"/>
        <v>21450000</v>
      </c>
      <c r="AK1550" s="1520">
        <f t="shared" si="539"/>
        <v>3750000</v>
      </c>
      <c r="AL1550" s="2187" t="str">
        <f t="shared" si="540"/>
        <v>Cek</v>
      </c>
      <c r="AM1550" s="1666"/>
      <c r="AN1550" s="1590"/>
      <c r="AO1550"/>
      <c r="AP1550"/>
      <c r="AQ1550" s="1128"/>
      <c r="AR1550" s="1173"/>
      <c r="AT1550" s="1173"/>
      <c r="AV1550" s="1173"/>
      <c r="AX1550" s="1173"/>
      <c r="AY1550" s="1176"/>
      <c r="AZ1550" s="1173"/>
    </row>
    <row r="1551" spans="1:52" s="2" customFormat="1" x14ac:dyDescent="0.25">
      <c r="A1551" s="677">
        <v>1434</v>
      </c>
      <c r="B1551" s="678">
        <v>44</v>
      </c>
      <c r="C1551" s="2195">
        <v>849118056</v>
      </c>
      <c r="D1551" s="704" t="s">
        <v>2063</v>
      </c>
      <c r="E1551" s="489" t="s">
        <v>2046</v>
      </c>
      <c r="F1551" s="221">
        <v>2018</v>
      </c>
      <c r="G1551" s="1758" t="s">
        <v>28</v>
      </c>
      <c r="H1551" s="646" t="str">
        <f t="shared" si="542"/>
        <v xml:space="preserve">   </v>
      </c>
      <c r="I1551" s="646" t="str">
        <f t="shared" si="543"/>
        <v xml:space="preserve">   </v>
      </c>
      <c r="J1551" s="1444">
        <v>2700000</v>
      </c>
      <c r="K1551" s="1557">
        <v>43315</v>
      </c>
      <c r="L1551" s="1446">
        <v>3750000</v>
      </c>
      <c r="M1551" s="1557">
        <v>43315</v>
      </c>
      <c r="N1551" s="1446">
        <v>3750000</v>
      </c>
      <c r="O1551" s="1445">
        <v>43483</v>
      </c>
      <c r="P1551" s="1724">
        <v>3750000</v>
      </c>
      <c r="Q1551" s="1445">
        <v>43649.566273148099</v>
      </c>
      <c r="R1551" s="1893">
        <v>3750000</v>
      </c>
      <c r="S1551" s="1445">
        <v>43861.444780092599</v>
      </c>
      <c r="T1551" s="1731">
        <v>0</v>
      </c>
      <c r="U1551" s="1367"/>
      <c r="V1551" s="1446"/>
      <c r="W1551" s="1944"/>
      <c r="X1551" s="1446"/>
      <c r="Y1551" s="1944"/>
      <c r="Z1551" s="1446"/>
      <c r="AA1551" s="1944"/>
      <c r="AB1551" s="1893"/>
      <c r="AC1551" s="1445"/>
      <c r="AD1551" s="1666"/>
      <c r="AE1551" s="1590"/>
      <c r="AF1551" s="1666"/>
      <c r="AG1551" s="1590"/>
      <c r="AH1551" s="1625" t="str">
        <f t="shared" si="534"/>
        <v>MPI-3C</v>
      </c>
      <c r="AI1551" s="1675">
        <f t="shared" si="538"/>
        <v>17700000</v>
      </c>
      <c r="AJ1551" s="1675">
        <f t="shared" si="541"/>
        <v>21450000</v>
      </c>
      <c r="AK1551" s="1520">
        <f t="shared" si="539"/>
        <v>3750000</v>
      </c>
      <c r="AL1551" s="2187" t="str">
        <f t="shared" si="540"/>
        <v>Cek</v>
      </c>
      <c r="AM1551" s="1666"/>
      <c r="AN1551" s="1590"/>
      <c r="AO1551"/>
      <c r="AP1551"/>
      <c r="AQ1551" s="1128"/>
      <c r="AR1551" s="1173"/>
      <c r="AT1551" s="1173"/>
      <c r="AV1551" s="1173"/>
      <c r="AX1551" s="1173"/>
      <c r="AY1551" s="1176"/>
      <c r="AZ1551" s="1173"/>
    </row>
    <row r="1552" spans="1:52" s="2" customFormat="1" x14ac:dyDescent="0.25">
      <c r="A1552" s="2196">
        <v>1435</v>
      </c>
      <c r="B1552" s="2197">
        <v>45</v>
      </c>
      <c r="C1552" s="2198">
        <v>849118057</v>
      </c>
      <c r="D1552" s="2199" t="s">
        <v>2064</v>
      </c>
      <c r="E1552" s="311" t="s">
        <v>2046</v>
      </c>
      <c r="F1552" s="153">
        <v>2018</v>
      </c>
      <c r="G1552" s="272" t="s">
        <v>33</v>
      </c>
      <c r="H1552" s="628">
        <f t="shared" si="542"/>
        <v>44032</v>
      </c>
      <c r="I1552" s="700" t="str">
        <f t="shared" si="543"/>
        <v xml:space="preserve">   </v>
      </c>
      <c r="J1552" s="1780"/>
      <c r="K1552" s="1727" t="s">
        <v>2065</v>
      </c>
      <c r="L1552" s="1363">
        <v>3750000</v>
      </c>
      <c r="M1552" s="1360">
        <v>43852.542881944399</v>
      </c>
      <c r="N1552" s="1363">
        <v>3750000</v>
      </c>
      <c r="O1552" s="1360">
        <v>43852.542881944399</v>
      </c>
      <c r="P1552" s="1714">
        <v>3750000</v>
      </c>
      <c r="Q1552" s="1360">
        <v>43852.542881944399</v>
      </c>
      <c r="R1552" s="1731">
        <v>3750000</v>
      </c>
      <c r="S1552" s="1367">
        <v>43861.444780092599</v>
      </c>
      <c r="T1552" s="1714"/>
      <c r="U1552" s="1391"/>
      <c r="V1552" s="1363"/>
      <c r="W1552" s="1391"/>
      <c r="X1552" s="1363"/>
      <c r="Y1552" s="1391"/>
      <c r="Z1552" s="1363"/>
      <c r="AA1552" s="1391"/>
      <c r="AB1552" s="1874">
        <v>0</v>
      </c>
      <c r="AC1552" s="1357"/>
      <c r="AD1552" s="1809">
        <v>0</v>
      </c>
      <c r="AE1552" s="1440"/>
      <c r="AF1552" s="1809">
        <v>0</v>
      </c>
      <c r="AG1552" s="1440"/>
      <c r="AH1552" s="1625" t="str">
        <f t="shared" si="534"/>
        <v>MPI-3C</v>
      </c>
      <c r="AI1552" s="1675">
        <f t="shared" si="538"/>
        <v>15000000</v>
      </c>
      <c r="AJ1552" s="1675">
        <f t="shared" si="541"/>
        <v>18800000</v>
      </c>
      <c r="AK1552" s="1520">
        <f t="shared" si="539"/>
        <v>3800000</v>
      </c>
      <c r="AL1552" s="2187" t="str">
        <f t="shared" si="540"/>
        <v>Cek</v>
      </c>
      <c r="AM1552" s="1666"/>
      <c r="AN1552" s="1590"/>
      <c r="AO1552"/>
      <c r="AP1552"/>
      <c r="AQ1552" s="1128"/>
      <c r="AR1552" s="1173"/>
      <c r="AT1552" s="1173"/>
      <c r="AV1552" s="1173"/>
      <c r="AX1552" s="1173"/>
      <c r="AY1552" s="1176"/>
      <c r="AZ1552" s="1173"/>
    </row>
    <row r="1553" spans="1:52" s="2" customFormat="1" x14ac:dyDescent="0.25">
      <c r="A1553" s="670">
        <v>1436</v>
      </c>
      <c r="B1553" s="709">
        <v>46</v>
      </c>
      <c r="C1553" s="2200">
        <v>849118058</v>
      </c>
      <c r="D1553" s="710" t="s">
        <v>2066</v>
      </c>
      <c r="E1553" s="441" t="s">
        <v>2046</v>
      </c>
      <c r="F1553" s="175">
        <v>2018</v>
      </c>
      <c r="G1553" s="1758" t="s">
        <v>28</v>
      </c>
      <c r="H1553" s="580" t="str">
        <f t="shared" si="542"/>
        <v xml:space="preserve">   </v>
      </c>
      <c r="I1553" s="580" t="str">
        <f t="shared" si="543"/>
        <v xml:space="preserve">   </v>
      </c>
      <c r="J1553" s="1366"/>
      <c r="K1553" s="1360" t="s">
        <v>2065</v>
      </c>
      <c r="L1553" s="1363">
        <v>3750000</v>
      </c>
      <c r="M1553" s="1360">
        <v>43852.542546296303</v>
      </c>
      <c r="N1553" s="1363">
        <v>3750000</v>
      </c>
      <c r="O1553" s="1360">
        <v>43852.542546296303</v>
      </c>
      <c r="P1553" s="1714">
        <v>3750000</v>
      </c>
      <c r="Q1553" s="1360">
        <v>43852.542546296303</v>
      </c>
      <c r="R1553" s="1731">
        <v>3750000</v>
      </c>
      <c r="S1553" s="1367">
        <v>43861.444780092599</v>
      </c>
      <c r="T1553" s="1731">
        <v>0</v>
      </c>
      <c r="U1553" s="1367"/>
      <c r="V1553" s="1363"/>
      <c r="W1553" s="1391"/>
      <c r="X1553" s="1363"/>
      <c r="Y1553" s="1391"/>
      <c r="Z1553" s="1363"/>
      <c r="AA1553" s="1391"/>
      <c r="AB1553" s="1731"/>
      <c r="AC1553" s="1367"/>
      <c r="AD1553" s="1666"/>
      <c r="AE1553" s="1590"/>
      <c r="AF1553" s="1666"/>
      <c r="AG1553" s="1590"/>
      <c r="AH1553" s="1625" t="str">
        <f t="shared" si="534"/>
        <v>MPI-3C</v>
      </c>
      <c r="AI1553" s="1675">
        <f t="shared" si="538"/>
        <v>15000000</v>
      </c>
      <c r="AJ1553" s="1675">
        <f t="shared" si="541"/>
        <v>18750000</v>
      </c>
      <c r="AK1553" s="1520">
        <f t="shared" si="539"/>
        <v>3750000</v>
      </c>
      <c r="AL1553" s="2187" t="str">
        <f t="shared" si="540"/>
        <v>Cek</v>
      </c>
      <c r="AM1553" s="1666"/>
      <c r="AN1553" s="1590"/>
      <c r="AO1553"/>
      <c r="AP1553"/>
      <c r="AQ1553" s="1128"/>
      <c r="AR1553" s="1173"/>
      <c r="AT1553" s="1173"/>
      <c r="AV1553" s="1173"/>
      <c r="AX1553" s="1173"/>
      <c r="AY1553" s="1176"/>
      <c r="AZ1553" s="1173"/>
    </row>
    <row r="1554" spans="1:52" s="2" customFormat="1" x14ac:dyDescent="0.25">
      <c r="A1554" s="670">
        <v>1437</v>
      </c>
      <c r="B1554" s="709">
        <v>47</v>
      </c>
      <c r="C1554" s="2200">
        <v>849118059</v>
      </c>
      <c r="D1554" s="710" t="s">
        <v>179</v>
      </c>
      <c r="E1554" s="441" t="s">
        <v>2046</v>
      </c>
      <c r="F1554" s="175">
        <v>2018</v>
      </c>
      <c r="G1554" s="1758" t="s">
        <v>28</v>
      </c>
      <c r="H1554" s="580" t="str">
        <f t="shared" si="542"/>
        <v xml:space="preserve">   </v>
      </c>
      <c r="I1554" s="580" t="str">
        <f t="shared" si="543"/>
        <v xml:space="preserve">   </v>
      </c>
      <c r="J1554" s="1366"/>
      <c r="K1554" s="1360" t="s">
        <v>2065</v>
      </c>
      <c r="L1554" s="1363">
        <v>3750000</v>
      </c>
      <c r="M1554" s="1360">
        <v>43852.542256944398</v>
      </c>
      <c r="N1554" s="1363">
        <v>3750000</v>
      </c>
      <c r="O1554" s="1360">
        <v>43852.542256944398</v>
      </c>
      <c r="P1554" s="1714">
        <v>3750000</v>
      </c>
      <c r="Q1554" s="1360">
        <v>43852.542256944398</v>
      </c>
      <c r="R1554" s="1731">
        <v>0</v>
      </c>
      <c r="S1554" s="1367"/>
      <c r="T1554" s="1731">
        <v>0</v>
      </c>
      <c r="U1554" s="1367"/>
      <c r="V1554" s="1363"/>
      <c r="W1554" s="1391"/>
      <c r="X1554" s="1363"/>
      <c r="Y1554" s="1391"/>
      <c r="Z1554" s="1363"/>
      <c r="AA1554" s="1391"/>
      <c r="AB1554" s="1731"/>
      <c r="AC1554" s="1367"/>
      <c r="AD1554" s="1666"/>
      <c r="AE1554" s="1590"/>
      <c r="AF1554" s="1666"/>
      <c r="AG1554" s="1590"/>
      <c r="AH1554" s="1625" t="str">
        <f t="shared" si="534"/>
        <v>MPI-3C</v>
      </c>
      <c r="AI1554" s="1675">
        <f t="shared" si="538"/>
        <v>11250000</v>
      </c>
      <c r="AJ1554" s="1675">
        <f t="shared" si="541"/>
        <v>18750000</v>
      </c>
      <c r="AK1554" s="1520">
        <f t="shared" si="539"/>
        <v>7500000</v>
      </c>
      <c r="AL1554" s="2187" t="str">
        <f t="shared" si="540"/>
        <v>Cek</v>
      </c>
      <c r="AM1554" s="1666"/>
      <c r="AN1554" s="1590"/>
      <c r="AO1554"/>
      <c r="AP1554"/>
      <c r="AQ1554" s="1128"/>
      <c r="AR1554" s="1173"/>
      <c r="AT1554" s="1173"/>
      <c r="AV1554" s="1173"/>
      <c r="AX1554" s="1173"/>
      <c r="AY1554" s="1176"/>
      <c r="AZ1554" s="1173"/>
    </row>
    <row r="1555" spans="1:52" s="2" customFormat="1" x14ac:dyDescent="0.25">
      <c r="A1555" s="670">
        <v>1438</v>
      </c>
      <c r="B1555" s="709">
        <v>48</v>
      </c>
      <c r="C1555" s="2200">
        <v>849118060</v>
      </c>
      <c r="D1555" s="710" t="s">
        <v>172</v>
      </c>
      <c r="E1555" s="441" t="s">
        <v>2046</v>
      </c>
      <c r="F1555" s="175">
        <v>2018</v>
      </c>
      <c r="G1555" s="1758" t="s">
        <v>28</v>
      </c>
      <c r="H1555" s="580" t="str">
        <f t="shared" si="542"/>
        <v xml:space="preserve">   </v>
      </c>
      <c r="I1555" s="580" t="str">
        <f t="shared" si="543"/>
        <v xml:space="preserve">   </v>
      </c>
      <c r="J1555" s="1366"/>
      <c r="K1555" s="1360" t="s">
        <v>2065</v>
      </c>
      <c r="L1555" s="1363">
        <v>3750000</v>
      </c>
      <c r="M1555" s="1360">
        <v>43852.541898148098</v>
      </c>
      <c r="N1555" s="1363">
        <v>3750000</v>
      </c>
      <c r="O1555" s="1360">
        <v>43852.541898148098</v>
      </c>
      <c r="P1555" s="1714">
        <v>3750000</v>
      </c>
      <c r="Q1555" s="1360">
        <v>43852.541898148098</v>
      </c>
      <c r="R1555" s="1731">
        <v>3750000</v>
      </c>
      <c r="S1555" s="1367">
        <v>43854</v>
      </c>
      <c r="T1555" s="1731">
        <v>0</v>
      </c>
      <c r="U1555" s="1367"/>
      <c r="V1555" s="1363"/>
      <c r="W1555" s="1391"/>
      <c r="X1555" s="1363"/>
      <c r="Y1555" s="1391"/>
      <c r="Z1555" s="1363"/>
      <c r="AA1555" s="1391"/>
      <c r="AB1555" s="1731"/>
      <c r="AC1555" s="1367"/>
      <c r="AD1555" s="1666"/>
      <c r="AE1555" s="1590"/>
      <c r="AF1555" s="1666"/>
      <c r="AG1555" s="1590"/>
      <c r="AH1555" s="1625" t="str">
        <f t="shared" si="534"/>
        <v>MPI-3C</v>
      </c>
      <c r="AI1555" s="1675">
        <f t="shared" si="538"/>
        <v>15000000</v>
      </c>
      <c r="AJ1555" s="1675">
        <f t="shared" si="541"/>
        <v>18750000</v>
      </c>
      <c r="AK1555" s="1520">
        <f t="shared" si="539"/>
        <v>3750000</v>
      </c>
      <c r="AL1555" s="2187" t="str">
        <f t="shared" si="540"/>
        <v>Cek</v>
      </c>
      <c r="AM1555" s="1666"/>
      <c r="AN1555" s="1590"/>
      <c r="AO1555"/>
      <c r="AP1555"/>
      <c r="AQ1555" s="1128"/>
      <c r="AR1555" s="1173"/>
      <c r="AT1555" s="1173"/>
      <c r="AV1555" s="1173"/>
      <c r="AX1555" s="1173"/>
      <c r="AY1555" s="1176"/>
      <c r="AZ1555" s="1173"/>
    </row>
    <row r="1556" spans="1:52" s="2" customFormat="1" x14ac:dyDescent="0.25">
      <c r="A1556" s="670">
        <v>1439</v>
      </c>
      <c r="B1556" s="709">
        <v>49</v>
      </c>
      <c r="C1556" s="2200">
        <v>849118061</v>
      </c>
      <c r="D1556" s="710" t="s">
        <v>2067</v>
      </c>
      <c r="E1556" s="441" t="s">
        <v>2046</v>
      </c>
      <c r="F1556" s="175">
        <v>2018</v>
      </c>
      <c r="G1556" s="1758" t="s">
        <v>28</v>
      </c>
      <c r="H1556" s="580" t="str">
        <f t="shared" si="542"/>
        <v xml:space="preserve">   </v>
      </c>
      <c r="I1556" s="580" t="str">
        <f t="shared" si="543"/>
        <v xml:space="preserve">   </v>
      </c>
      <c r="J1556" s="1366"/>
      <c r="K1556" s="1360" t="s">
        <v>2065</v>
      </c>
      <c r="L1556" s="1363">
        <v>3750000</v>
      </c>
      <c r="M1556" s="1360">
        <v>43852.541620370401</v>
      </c>
      <c r="N1556" s="1363">
        <v>3750000</v>
      </c>
      <c r="O1556" s="1360">
        <v>43852.541620370401</v>
      </c>
      <c r="P1556" s="1714">
        <v>3750000</v>
      </c>
      <c r="Q1556" s="1360">
        <v>43852.541620370401</v>
      </c>
      <c r="R1556" s="1731">
        <v>0</v>
      </c>
      <c r="S1556" s="1367"/>
      <c r="T1556" s="1731">
        <v>0</v>
      </c>
      <c r="U1556" s="1367"/>
      <c r="V1556" s="1363"/>
      <c r="W1556" s="1391"/>
      <c r="X1556" s="1363"/>
      <c r="Y1556" s="1391"/>
      <c r="Z1556" s="1363"/>
      <c r="AA1556" s="1391"/>
      <c r="AB1556" s="1731"/>
      <c r="AC1556" s="1367"/>
      <c r="AD1556" s="1666"/>
      <c r="AE1556" s="1590"/>
      <c r="AF1556" s="1666"/>
      <c r="AG1556" s="1590"/>
      <c r="AH1556" s="1625" t="str">
        <f t="shared" si="534"/>
        <v>MPI-3C</v>
      </c>
      <c r="AI1556" s="1675">
        <f t="shared" si="538"/>
        <v>11250000</v>
      </c>
      <c r="AJ1556" s="1675">
        <f t="shared" si="541"/>
        <v>18750000</v>
      </c>
      <c r="AK1556" s="1520">
        <f t="shared" si="539"/>
        <v>7500000</v>
      </c>
      <c r="AL1556" s="2187" t="str">
        <f t="shared" si="540"/>
        <v>Cek</v>
      </c>
      <c r="AM1556" s="1666"/>
      <c r="AN1556" s="1590"/>
      <c r="AO1556"/>
      <c r="AP1556"/>
      <c r="AQ1556" s="1128"/>
      <c r="AR1556" s="1173"/>
      <c r="AT1556" s="1173"/>
      <c r="AV1556" s="1173"/>
      <c r="AX1556" s="1173"/>
      <c r="AY1556" s="1176"/>
      <c r="AZ1556" s="1173"/>
    </row>
    <row r="1557" spans="1:52" s="2" customFormat="1" x14ac:dyDescent="0.25">
      <c r="A1557" s="670">
        <v>1440</v>
      </c>
      <c r="B1557" s="709">
        <v>50</v>
      </c>
      <c r="C1557" s="2200">
        <v>849118062</v>
      </c>
      <c r="D1557" s="710" t="s">
        <v>2068</v>
      </c>
      <c r="E1557" s="441" t="s">
        <v>2046</v>
      </c>
      <c r="F1557" s="175">
        <v>2018</v>
      </c>
      <c r="G1557" s="1758" t="s">
        <v>28</v>
      </c>
      <c r="H1557" s="580" t="str">
        <f t="shared" si="542"/>
        <v xml:space="preserve">   </v>
      </c>
      <c r="I1557" s="580" t="str">
        <f t="shared" si="543"/>
        <v xml:space="preserve">   </v>
      </c>
      <c r="J1557" s="1366"/>
      <c r="K1557" s="1360" t="s">
        <v>2065</v>
      </c>
      <c r="L1557" s="1363">
        <v>3750000</v>
      </c>
      <c r="M1557" s="1360">
        <v>43852.538877314801</v>
      </c>
      <c r="N1557" s="1363">
        <v>3750000</v>
      </c>
      <c r="O1557" s="1360">
        <v>43852.538877314801</v>
      </c>
      <c r="P1557" s="1714">
        <v>3750000</v>
      </c>
      <c r="Q1557" s="1360">
        <v>43852.538877314801</v>
      </c>
      <c r="R1557" s="1731">
        <v>3750000</v>
      </c>
      <c r="S1557" s="1367">
        <v>43900</v>
      </c>
      <c r="T1557" s="1731">
        <v>0</v>
      </c>
      <c r="U1557" s="1367"/>
      <c r="V1557" s="1363"/>
      <c r="W1557" s="1391"/>
      <c r="X1557" s="1363"/>
      <c r="Y1557" s="1391"/>
      <c r="Z1557" s="1363"/>
      <c r="AA1557" s="1391"/>
      <c r="AB1557" s="1731"/>
      <c r="AC1557" s="1367"/>
      <c r="AD1557" s="1666"/>
      <c r="AE1557" s="1590"/>
      <c r="AF1557" s="1666"/>
      <c r="AG1557" s="1590"/>
      <c r="AH1557" s="1625" t="str">
        <f t="shared" si="534"/>
        <v>MPI-3C</v>
      </c>
      <c r="AI1557" s="1675">
        <f t="shared" si="538"/>
        <v>15000000</v>
      </c>
      <c r="AJ1557" s="1675">
        <f t="shared" si="541"/>
        <v>18750000</v>
      </c>
      <c r="AK1557" s="1520">
        <f t="shared" si="539"/>
        <v>3750000</v>
      </c>
      <c r="AL1557" s="2187" t="str">
        <f t="shared" si="540"/>
        <v>Cek</v>
      </c>
      <c r="AM1557" s="1666"/>
      <c r="AN1557" s="1590"/>
      <c r="AO1557"/>
      <c r="AP1557"/>
      <c r="AQ1557" s="1128"/>
      <c r="AR1557" s="1173"/>
      <c r="AT1557" s="1173"/>
      <c r="AV1557" s="1173"/>
      <c r="AX1557" s="1173"/>
      <c r="AY1557" s="1176"/>
      <c r="AZ1557" s="1173"/>
    </row>
    <row r="1558" spans="1:52" s="2" customFormat="1" x14ac:dyDescent="0.25">
      <c r="A1558" s="670"/>
      <c r="B1558" s="709">
        <v>51</v>
      </c>
      <c r="C1558" s="2200">
        <v>849118063</v>
      </c>
      <c r="D1558" s="710" t="s">
        <v>2069</v>
      </c>
      <c r="E1558" s="441" t="s">
        <v>2046</v>
      </c>
      <c r="F1558" s="175">
        <v>2018</v>
      </c>
      <c r="G1558" s="1758" t="s">
        <v>28</v>
      </c>
      <c r="H1558" s="580" t="str">
        <f t="shared" si="542"/>
        <v xml:space="preserve">   </v>
      </c>
      <c r="I1558" s="580" t="str">
        <f t="shared" si="543"/>
        <v xml:space="preserve">   </v>
      </c>
      <c r="J1558" s="1366"/>
      <c r="K1558" s="1360" t="s">
        <v>2065</v>
      </c>
      <c r="L1558" s="1363">
        <v>0</v>
      </c>
      <c r="M1558" s="1360"/>
      <c r="N1558" s="1363">
        <v>0</v>
      </c>
      <c r="O1558" s="1367"/>
      <c r="P1558" s="1714">
        <v>0</v>
      </c>
      <c r="Q1558" s="1367"/>
      <c r="R1558" s="1731">
        <v>0</v>
      </c>
      <c r="S1558" s="1367"/>
      <c r="T1558" s="1731">
        <v>0</v>
      </c>
      <c r="U1558" s="1367"/>
      <c r="V1558" s="1363"/>
      <c r="W1558" s="1391"/>
      <c r="X1558" s="1363"/>
      <c r="Y1558" s="1391"/>
      <c r="Z1558" s="1363"/>
      <c r="AA1558" s="1391"/>
      <c r="AB1558" s="1731"/>
      <c r="AC1558" s="1367"/>
      <c r="AD1558" s="1666"/>
      <c r="AE1558" s="1590"/>
      <c r="AF1558" s="1666"/>
      <c r="AG1558" s="1590"/>
      <c r="AH1558" s="1625" t="str">
        <f t="shared" si="534"/>
        <v>MPI-3C</v>
      </c>
      <c r="AI1558" s="1675">
        <f t="shared" si="538"/>
        <v>0</v>
      </c>
      <c r="AJ1558" s="1675">
        <f t="shared" si="541"/>
        <v>18750000</v>
      </c>
      <c r="AK1558" s="1520">
        <f t="shared" si="539"/>
        <v>18750000</v>
      </c>
      <c r="AL1558" s="2187" t="str">
        <f t="shared" si="540"/>
        <v>Cek</v>
      </c>
      <c r="AM1558" s="1666"/>
      <c r="AN1558" s="1590"/>
      <c r="AO1558"/>
      <c r="AP1558"/>
      <c r="AQ1558" s="1128"/>
      <c r="AR1558" s="1173"/>
      <c r="AT1558" s="1173"/>
      <c r="AV1558" s="1173"/>
      <c r="AX1558" s="1173"/>
      <c r="AY1558" s="1176"/>
      <c r="AZ1558" s="1173"/>
    </row>
    <row r="1559" spans="1:52" s="2" customFormat="1" x14ac:dyDescent="0.25">
      <c r="A1559" s="434"/>
      <c r="B1559" s="434"/>
      <c r="C1559" s="2201"/>
      <c r="D1559" s="437"/>
      <c r="E1559" s="437"/>
      <c r="F1559" s="437" t="s">
        <v>61</v>
      </c>
      <c r="G1559" s="192" t="s">
        <v>61</v>
      </c>
      <c r="H1559" s="437" t="str">
        <f t="shared" si="542"/>
        <v xml:space="preserve">   </v>
      </c>
      <c r="I1559" s="437" t="str">
        <f t="shared" si="543"/>
        <v xml:space="preserve">   </v>
      </c>
      <c r="J1559" s="437"/>
      <c r="K1559" s="437"/>
      <c r="L1559" s="437"/>
      <c r="M1559" s="437"/>
      <c r="N1559" s="437"/>
      <c r="O1559" s="437"/>
      <c r="P1559" s="437"/>
      <c r="Q1559" s="2204"/>
      <c r="R1559" s="437"/>
      <c r="S1559" s="2205"/>
      <c r="T1559" s="2206"/>
      <c r="U1559" s="437"/>
      <c r="V1559" s="2206"/>
      <c r="W1559" s="437"/>
      <c r="X1559" s="2206"/>
      <c r="Y1559" s="437"/>
      <c r="Z1559" s="2206"/>
      <c r="AA1559" s="437"/>
      <c r="AB1559" s="437"/>
      <c r="AC1559" s="2209"/>
      <c r="AD1559" s="223"/>
      <c r="AE1559" s="1155"/>
      <c r="AF1559" s="223"/>
      <c r="AG1559" s="1155"/>
      <c r="AH1559" s="1627">
        <f t="shared" si="534"/>
        <v>0</v>
      </c>
      <c r="AI1559" s="1512"/>
      <c r="AJ1559" s="1409"/>
      <c r="AK1559" s="1409"/>
      <c r="AL1559" s="1513"/>
      <c r="AM1559"/>
      <c r="AN1559"/>
      <c r="AO1559"/>
      <c r="AP1559"/>
      <c r="AQ1559" s="1128"/>
      <c r="AR1559" s="1173"/>
      <c r="AT1559" s="1173"/>
      <c r="AV1559" s="1173"/>
      <c r="AX1559" s="1173"/>
      <c r="AY1559" s="1176"/>
      <c r="AZ1559" s="1173"/>
    </row>
    <row r="1560" spans="1:52" s="2" customFormat="1" x14ac:dyDescent="0.25">
      <c r="A1560" s="434"/>
      <c r="B1560" s="434"/>
      <c r="C1560" s="2201"/>
      <c r="D1560" s="437"/>
      <c r="E1560" s="437"/>
      <c r="F1560" s="437" t="s">
        <v>61</v>
      </c>
      <c r="G1560" s="192" t="s">
        <v>61</v>
      </c>
      <c r="H1560" s="437" t="str">
        <f t="shared" si="542"/>
        <v xml:space="preserve">   </v>
      </c>
      <c r="I1560" s="437" t="str">
        <f t="shared" si="543"/>
        <v xml:space="preserve">   </v>
      </c>
      <c r="J1560" s="437"/>
      <c r="K1560" s="437"/>
      <c r="L1560" s="437"/>
      <c r="M1560" s="437"/>
      <c r="N1560" s="437"/>
      <c r="O1560" s="437"/>
      <c r="P1560" s="437"/>
      <c r="Q1560" s="2204"/>
      <c r="R1560" s="437"/>
      <c r="S1560" s="2205"/>
      <c r="T1560" s="2206"/>
      <c r="U1560" s="437"/>
      <c r="V1560" s="2206"/>
      <c r="W1560" s="437"/>
      <c r="X1560" s="2206"/>
      <c r="Y1560" s="437"/>
      <c r="Z1560" s="2206"/>
      <c r="AA1560" s="437"/>
      <c r="AB1560" s="437"/>
      <c r="AC1560" s="2209"/>
      <c r="AD1560" s="223"/>
      <c r="AE1560" s="1155"/>
      <c r="AF1560" s="223"/>
      <c r="AG1560" s="1155"/>
      <c r="AH1560" s="1627">
        <f t="shared" si="534"/>
        <v>0</v>
      </c>
      <c r="AI1560" s="1512"/>
      <c r="AJ1560" s="1409"/>
      <c r="AK1560" s="1409"/>
      <c r="AL1560" s="1513"/>
      <c r="AM1560"/>
      <c r="AN1560"/>
      <c r="AO1560"/>
      <c r="AP1560"/>
      <c r="AQ1560" s="1128"/>
      <c r="AR1560" s="1173"/>
      <c r="AT1560" s="1173"/>
      <c r="AV1560" s="1173"/>
      <c r="AX1560" s="1173"/>
      <c r="AY1560" s="1176"/>
      <c r="AZ1560" s="1173"/>
    </row>
    <row r="1561" spans="1:52" s="2" customFormat="1" x14ac:dyDescent="0.25">
      <c r="A1561" s="625" t="s">
        <v>2070</v>
      </c>
      <c r="B1561" s="625"/>
      <c r="C1561" s="366"/>
      <c r="D1561" s="625"/>
      <c r="E1561" s="198" t="s">
        <v>1096</v>
      </c>
      <c r="F1561" s="199" t="s">
        <v>1096</v>
      </c>
      <c r="G1561" s="565">
        <v>3750000</v>
      </c>
      <c r="H1561" s="147" t="str">
        <f t="shared" si="542"/>
        <v xml:space="preserve">   </v>
      </c>
      <c r="I1561" s="147" t="str">
        <f t="shared" si="543"/>
        <v xml:space="preserve">   </v>
      </c>
      <c r="J1561" s="2035">
        <v>2700000</v>
      </c>
      <c r="K1561" s="2036"/>
      <c r="L1561" s="2163" t="s">
        <v>1049</v>
      </c>
      <c r="M1561" s="2164" t="s">
        <v>1141</v>
      </c>
      <c r="N1561" s="2163" t="s">
        <v>1051</v>
      </c>
      <c r="O1561" s="2164" t="s">
        <v>1325</v>
      </c>
      <c r="P1561" s="2016" t="s">
        <v>1053</v>
      </c>
      <c r="Q1561" s="1438" t="s">
        <v>1463</v>
      </c>
      <c r="R1561" s="2016" t="s">
        <v>1055</v>
      </c>
      <c r="S1561" s="1438" t="s">
        <v>1464</v>
      </c>
      <c r="T1561" s="2016" t="s">
        <v>1057</v>
      </c>
      <c r="U1561" s="1438" t="s">
        <v>1466</v>
      </c>
      <c r="V1561" s="2016" t="s">
        <v>1059</v>
      </c>
      <c r="W1561" s="1438" t="s">
        <v>1468</v>
      </c>
      <c r="X1561" s="1582" t="s">
        <v>1061</v>
      </c>
      <c r="Y1561" s="1438" t="s">
        <v>1470</v>
      </c>
      <c r="Z1561" s="1582" t="s">
        <v>1063</v>
      </c>
      <c r="AA1561" s="1438" t="s">
        <v>1718</v>
      </c>
      <c r="AB1561" s="2177">
        <v>1000000</v>
      </c>
      <c r="AC1561" s="2178" t="s">
        <v>2016</v>
      </c>
      <c r="AD1561" s="1450">
        <v>1200000</v>
      </c>
      <c r="AE1561" s="1663" t="s">
        <v>2071</v>
      </c>
      <c r="AF1561" s="1450">
        <v>1600000</v>
      </c>
      <c r="AG1561" s="1663" t="s">
        <v>2072</v>
      </c>
      <c r="AH1561" s="1408" t="str">
        <f t="shared" si="534"/>
        <v>#</v>
      </c>
      <c r="AI1561" s="1512"/>
      <c r="AJ1561" s="1409"/>
      <c r="AK1561" s="1409"/>
      <c r="AL1561" s="1513"/>
      <c r="AM1561" s="1450">
        <v>500000</v>
      </c>
      <c r="AN1561" s="1663" t="s">
        <v>22</v>
      </c>
      <c r="AO1561"/>
      <c r="AP1561"/>
      <c r="AQ1561" s="1128"/>
      <c r="AR1561" s="1173"/>
      <c r="AT1561" s="1173"/>
      <c r="AV1561" s="1173"/>
      <c r="AX1561" s="1173"/>
      <c r="AY1561" s="1176"/>
      <c r="AZ1561" s="1173"/>
    </row>
    <row r="1562" spans="1:52" s="2" customFormat="1" x14ac:dyDescent="0.25">
      <c r="A1562" s="694">
        <v>1441</v>
      </c>
      <c r="B1562" s="695">
        <v>1</v>
      </c>
      <c r="C1562" s="2202">
        <v>849318043</v>
      </c>
      <c r="D1562" s="712" t="s">
        <v>2073</v>
      </c>
      <c r="E1562" s="698" t="s">
        <v>2074</v>
      </c>
      <c r="F1562" s="327">
        <v>2018</v>
      </c>
      <c r="G1562" s="581" t="s">
        <v>1833</v>
      </c>
      <c r="H1562" s="700" t="str">
        <f t="shared" si="542"/>
        <v xml:space="preserve">   </v>
      </c>
      <c r="I1562" s="700" t="str">
        <f t="shared" si="543"/>
        <v xml:space="preserve">   </v>
      </c>
      <c r="J1562" s="1780">
        <v>2700000</v>
      </c>
      <c r="K1562" s="1727">
        <v>43314</v>
      </c>
      <c r="L1562" s="1941">
        <v>3750000</v>
      </c>
      <c r="M1562" s="1727">
        <v>43314</v>
      </c>
      <c r="N1562" s="1941">
        <v>3750000</v>
      </c>
      <c r="O1562" s="2054">
        <v>43482</v>
      </c>
      <c r="P1562" s="2097">
        <v>3750000</v>
      </c>
      <c r="Q1562" s="2054">
        <v>43642.365810185198</v>
      </c>
      <c r="R1562" s="2170">
        <v>3750000</v>
      </c>
      <c r="S1562" s="2054">
        <v>43910</v>
      </c>
      <c r="T1562" s="1186" t="s">
        <v>1078</v>
      </c>
      <c r="U1562" s="1386">
        <v>44071</v>
      </c>
      <c r="V1562" s="1543"/>
      <c r="W1562" s="2171"/>
      <c r="X1562" s="1543"/>
      <c r="Y1562" s="2171"/>
      <c r="Z1562" s="1543"/>
      <c r="AA1562" s="2171"/>
      <c r="AB1562" s="1666"/>
      <c r="AC1562" s="1590"/>
      <c r="AD1562" s="1666"/>
      <c r="AE1562" s="1590"/>
      <c r="AF1562" s="1666"/>
      <c r="AG1562" s="1590"/>
      <c r="AH1562" s="1625" t="str">
        <f t="shared" si="534"/>
        <v>PAI-3A</v>
      </c>
      <c r="AI1562" s="1675">
        <f t="shared" ref="AI1562:AI1618" si="544">SUM(J1562,L1562,N1562,P1562,R1562,T1562,V1562,X1562,Z1562,AB1562,AD1562,AF1562,AM1562)</f>
        <v>17700000</v>
      </c>
      <c r="AJ1562" s="1675">
        <f t="shared" ref="AJ1562:AJ1593" si="545">(COUNT(L1562,N1562,P1562,R1562,T1562,V1562,X1562,Z1562)*$G$1507)+(COUNT(J1562)*$J$1507)+(COUNT(AB1562)*$AB$1507)+(COUNT(AD1562)*$AD$1507)+(COUNT(AF1562)*$AF$1507)+(COUNT(AM1562)*$AM$1507)</f>
        <v>17700000</v>
      </c>
      <c r="AK1562" s="1520">
        <f t="shared" ref="AK1562" si="546">AJ1562-AI1562</f>
        <v>0</v>
      </c>
      <c r="AL1562" s="2187" t="str">
        <f t="shared" ref="AL1562" si="547">IF(AK1562=0,"Lunas","Cek")</f>
        <v>Lunas</v>
      </c>
      <c r="AM1562" s="1666"/>
      <c r="AN1562" s="1590"/>
      <c r="AO1562"/>
      <c r="AP1562"/>
      <c r="AQ1562" s="1128"/>
      <c r="AR1562" s="1173"/>
      <c r="AT1562" s="1173"/>
      <c r="AV1562" s="1173"/>
      <c r="AX1562" s="1173"/>
      <c r="AY1562" s="1176"/>
      <c r="AZ1562" s="1173"/>
    </row>
    <row r="1563" spans="1:52" s="2" customFormat="1" x14ac:dyDescent="0.25">
      <c r="A1563" s="670">
        <v>1442</v>
      </c>
      <c r="B1563" s="671">
        <v>2</v>
      </c>
      <c r="C1563" s="2147">
        <v>849318044</v>
      </c>
      <c r="D1563" s="701" t="s">
        <v>2075</v>
      </c>
      <c r="E1563" s="441" t="s">
        <v>2074</v>
      </c>
      <c r="F1563" s="175">
        <v>2018</v>
      </c>
      <c r="G1563" s="360" t="s">
        <v>1483</v>
      </c>
      <c r="H1563" s="580" t="str">
        <f t="shared" si="542"/>
        <v xml:space="preserve">   </v>
      </c>
      <c r="I1563" s="580" t="str">
        <f t="shared" si="543"/>
        <v xml:space="preserve">   </v>
      </c>
      <c r="J1563" s="1366">
        <v>2700000</v>
      </c>
      <c r="K1563" s="1360">
        <v>43308</v>
      </c>
      <c r="L1563" s="1363">
        <v>3750000</v>
      </c>
      <c r="M1563" s="1360">
        <v>43308</v>
      </c>
      <c r="N1563" s="1363">
        <v>3750000</v>
      </c>
      <c r="O1563" s="1367">
        <v>43482</v>
      </c>
      <c r="P1563" s="1714">
        <v>3750000</v>
      </c>
      <c r="Q1563" s="1367">
        <v>43644.357141203698</v>
      </c>
      <c r="R1563" s="1731">
        <v>3750000</v>
      </c>
      <c r="S1563" s="1367">
        <v>43861.369687500002</v>
      </c>
      <c r="T1563" s="1731">
        <v>3750000</v>
      </c>
      <c r="U1563" s="1367">
        <v>44070.438425925902</v>
      </c>
      <c r="V1563" s="1363"/>
      <c r="W1563" s="1391"/>
      <c r="X1563" s="1363"/>
      <c r="Y1563" s="1391"/>
      <c r="Z1563" s="1363"/>
      <c r="AA1563" s="1391"/>
      <c r="AB1563" s="1731"/>
      <c r="AC1563" s="1367"/>
      <c r="AD1563" s="1666"/>
      <c r="AE1563" s="1590"/>
      <c r="AF1563" s="1666"/>
      <c r="AG1563" s="1590"/>
      <c r="AH1563" s="1625" t="str">
        <f t="shared" si="534"/>
        <v>PAI-3A</v>
      </c>
      <c r="AI1563" s="1675">
        <f t="shared" si="544"/>
        <v>21450000</v>
      </c>
      <c r="AJ1563" s="1675">
        <f t="shared" si="545"/>
        <v>21450000</v>
      </c>
      <c r="AK1563" s="1520">
        <f t="shared" ref="AK1563" si="548">AJ1563-AI1563</f>
        <v>0</v>
      </c>
      <c r="AL1563" s="2210" t="str">
        <f t="shared" ref="AL1563" si="549">IF(AK1563=0,"Lunas","Cek")</f>
        <v>Lunas</v>
      </c>
      <c r="AM1563" s="1666"/>
      <c r="AN1563" s="1590"/>
      <c r="AO1563"/>
      <c r="AP1563"/>
      <c r="AQ1563" s="1128"/>
      <c r="AR1563" s="1173"/>
      <c r="AT1563" s="1173"/>
      <c r="AV1563" s="1173"/>
      <c r="AX1563" s="1173"/>
      <c r="AY1563" s="1176"/>
      <c r="AZ1563" s="1173"/>
    </row>
    <row r="1564" spans="1:52" s="2" customFormat="1" x14ac:dyDescent="0.25">
      <c r="A1564" s="670">
        <v>1443</v>
      </c>
      <c r="B1564" s="671">
        <v>3</v>
      </c>
      <c r="C1564" s="2147">
        <v>849318045</v>
      </c>
      <c r="D1564" s="701" t="s">
        <v>2076</v>
      </c>
      <c r="E1564" s="441" t="s">
        <v>2074</v>
      </c>
      <c r="F1564" s="175">
        <v>2018</v>
      </c>
      <c r="G1564" s="360" t="s">
        <v>1483</v>
      </c>
      <c r="H1564" s="580" t="str">
        <f t="shared" si="542"/>
        <v xml:space="preserve">   </v>
      </c>
      <c r="I1564" s="580" t="str">
        <f t="shared" si="543"/>
        <v xml:space="preserve">   </v>
      </c>
      <c r="J1564" s="1366">
        <v>2700000</v>
      </c>
      <c r="K1564" s="1360">
        <v>43308</v>
      </c>
      <c r="L1564" s="1363">
        <v>3750000</v>
      </c>
      <c r="M1564" s="1360">
        <v>43308</v>
      </c>
      <c r="N1564" s="1363">
        <v>3750000</v>
      </c>
      <c r="O1564" s="1367">
        <v>43482</v>
      </c>
      <c r="P1564" s="1714">
        <v>3750000</v>
      </c>
      <c r="Q1564" s="1367">
        <v>43644.357615740701</v>
      </c>
      <c r="R1564" s="1731">
        <v>3750000</v>
      </c>
      <c r="S1564" s="1367">
        <v>43861.371041666702</v>
      </c>
      <c r="T1564" s="1731">
        <v>3750000</v>
      </c>
      <c r="U1564" s="1367">
        <v>44070.4374074074</v>
      </c>
      <c r="V1564" s="1363"/>
      <c r="W1564" s="1391"/>
      <c r="X1564" s="1363"/>
      <c r="Y1564" s="1391"/>
      <c r="Z1564" s="1363"/>
      <c r="AA1564" s="1391"/>
      <c r="AB1564" s="1731"/>
      <c r="AC1564" s="1367"/>
      <c r="AD1564" s="1666"/>
      <c r="AE1564" s="1590"/>
      <c r="AF1564" s="1666"/>
      <c r="AG1564" s="1590"/>
      <c r="AH1564" s="1625" t="str">
        <f t="shared" si="534"/>
        <v>PAI-3A</v>
      </c>
      <c r="AI1564" s="1675">
        <f t="shared" si="544"/>
        <v>21450000</v>
      </c>
      <c r="AJ1564" s="1675">
        <f t="shared" si="545"/>
        <v>21450000</v>
      </c>
      <c r="AK1564" s="1520">
        <f t="shared" ref="AK1564:AK1618" si="550">AJ1564-AI1564</f>
        <v>0</v>
      </c>
      <c r="AL1564" s="2210" t="str">
        <f t="shared" ref="AL1564:AL1618" si="551">IF(AK1564=0,"Lunas","Cek")</f>
        <v>Lunas</v>
      </c>
      <c r="AM1564" s="1666"/>
      <c r="AN1564" s="1590"/>
      <c r="AO1564"/>
      <c r="AP1564"/>
      <c r="AQ1564" s="1128"/>
      <c r="AR1564" s="1173"/>
      <c r="AT1564" s="1173"/>
      <c r="AV1564" s="1173"/>
      <c r="AX1564" s="1173"/>
      <c r="AY1564" s="1176"/>
      <c r="AZ1564" s="1173"/>
    </row>
    <row r="1565" spans="1:52" s="2" customFormat="1" x14ac:dyDescent="0.25">
      <c r="A1565" s="670">
        <v>1444</v>
      </c>
      <c r="B1565" s="671">
        <v>4</v>
      </c>
      <c r="C1565" s="2147">
        <v>849318046</v>
      </c>
      <c r="D1565" s="701" t="s">
        <v>2077</v>
      </c>
      <c r="E1565" s="441" t="s">
        <v>2074</v>
      </c>
      <c r="F1565" s="175">
        <v>2018</v>
      </c>
      <c r="G1565" s="581" t="s">
        <v>1833</v>
      </c>
      <c r="H1565" s="580" t="str">
        <f t="shared" si="542"/>
        <v xml:space="preserve">   </v>
      </c>
      <c r="I1565" s="580" t="str">
        <f t="shared" si="543"/>
        <v xml:space="preserve">   </v>
      </c>
      <c r="J1565" s="1366">
        <v>2700000</v>
      </c>
      <c r="K1565" s="1360">
        <v>43314</v>
      </c>
      <c r="L1565" s="1363">
        <v>3750000</v>
      </c>
      <c r="M1565" s="1360">
        <v>43314</v>
      </c>
      <c r="N1565" s="1363">
        <v>3750000</v>
      </c>
      <c r="O1565" s="1367">
        <v>43483</v>
      </c>
      <c r="P1565" s="1714">
        <v>3750000</v>
      </c>
      <c r="Q1565" s="1367">
        <v>43642.628993055601</v>
      </c>
      <c r="R1565" s="1731">
        <v>3750000</v>
      </c>
      <c r="S1565" s="1367">
        <v>43861.560682870397</v>
      </c>
      <c r="T1565" s="1186" t="s">
        <v>1078</v>
      </c>
      <c r="U1565" s="1386">
        <v>44071</v>
      </c>
      <c r="V1565" s="1363"/>
      <c r="W1565" s="1391"/>
      <c r="X1565" s="1363"/>
      <c r="Y1565" s="1391"/>
      <c r="Z1565" s="1363"/>
      <c r="AA1565" s="1391"/>
      <c r="AB1565" s="1731"/>
      <c r="AC1565" s="1367"/>
      <c r="AD1565" s="1666"/>
      <c r="AE1565" s="1590"/>
      <c r="AF1565" s="1666"/>
      <c r="AG1565" s="1590"/>
      <c r="AH1565" s="1625" t="str">
        <f t="shared" si="534"/>
        <v>PAI-3A</v>
      </c>
      <c r="AI1565" s="1675">
        <f t="shared" si="544"/>
        <v>17700000</v>
      </c>
      <c r="AJ1565" s="1675">
        <f t="shared" si="545"/>
        <v>17700000</v>
      </c>
      <c r="AK1565" s="1520">
        <f t="shared" si="550"/>
        <v>0</v>
      </c>
      <c r="AL1565" s="2210" t="str">
        <f t="shared" si="551"/>
        <v>Lunas</v>
      </c>
      <c r="AM1565" s="1666"/>
      <c r="AN1565" s="1590"/>
      <c r="AO1565"/>
      <c r="AP1565"/>
      <c r="AQ1565" s="1128"/>
      <c r="AR1565" s="1173"/>
      <c r="AT1565" s="1173"/>
      <c r="AV1565" s="1173"/>
      <c r="AX1565" s="1173"/>
      <c r="AY1565" s="1176"/>
      <c r="AZ1565" s="1173"/>
    </row>
    <row r="1566" spans="1:52" s="2" customFormat="1" x14ac:dyDescent="0.25">
      <c r="A1566" s="670">
        <v>1445</v>
      </c>
      <c r="B1566" s="2193">
        <v>5</v>
      </c>
      <c r="C1566" s="2147">
        <v>849318047</v>
      </c>
      <c r="D1566" s="2194" t="s">
        <v>2078</v>
      </c>
      <c r="E1566" s="179" t="s">
        <v>2074</v>
      </c>
      <c r="F1566" s="161">
        <v>2018</v>
      </c>
      <c r="G1566" s="272" t="s">
        <v>33</v>
      </c>
      <c r="H1566" s="628">
        <f t="shared" si="542"/>
        <v>44091</v>
      </c>
      <c r="I1566" s="580" t="str">
        <f t="shared" si="543"/>
        <v xml:space="preserve">   </v>
      </c>
      <c r="J1566" s="1366">
        <v>2700000</v>
      </c>
      <c r="K1566" s="1360">
        <v>43311</v>
      </c>
      <c r="L1566" s="1363">
        <v>3750000</v>
      </c>
      <c r="M1566" s="1360">
        <v>43311</v>
      </c>
      <c r="N1566" s="1363">
        <v>3750000</v>
      </c>
      <c r="O1566" s="1367">
        <v>43481</v>
      </c>
      <c r="P1566" s="1714">
        <v>3750000</v>
      </c>
      <c r="Q1566" s="1367">
        <v>43635.4148726852</v>
      </c>
      <c r="R1566" s="1731">
        <v>3750000</v>
      </c>
      <c r="S1566" s="1367">
        <v>43861.557974536998</v>
      </c>
      <c r="T1566" s="1731">
        <v>0</v>
      </c>
      <c r="U1566" s="1367" t="s">
        <v>262</v>
      </c>
      <c r="V1566" s="1363"/>
      <c r="W1566" s="1391"/>
      <c r="X1566" s="1363"/>
      <c r="Y1566" s="1391"/>
      <c r="Z1566" s="1363"/>
      <c r="AA1566" s="1391"/>
      <c r="AB1566" s="1874">
        <v>0</v>
      </c>
      <c r="AC1566" s="1357"/>
      <c r="AD1566" s="1809">
        <v>0</v>
      </c>
      <c r="AE1566" s="1440"/>
      <c r="AF1566" s="1809">
        <v>0</v>
      </c>
      <c r="AG1566" s="1440"/>
      <c r="AH1566" s="1625" t="str">
        <f t="shared" si="534"/>
        <v>PAI-3A</v>
      </c>
      <c r="AI1566" s="1675">
        <f t="shared" si="544"/>
        <v>17700000</v>
      </c>
      <c r="AJ1566" s="1675">
        <f t="shared" si="545"/>
        <v>25250000</v>
      </c>
      <c r="AK1566" s="1520">
        <f t="shared" si="550"/>
        <v>7550000</v>
      </c>
      <c r="AL1566" s="2210" t="str">
        <f t="shared" si="551"/>
        <v>Cek</v>
      </c>
      <c r="AM1566" s="1666"/>
      <c r="AN1566" s="1590"/>
      <c r="AO1566"/>
      <c r="AP1566"/>
      <c r="AQ1566" s="1128"/>
      <c r="AR1566" s="1173"/>
      <c r="AT1566" s="1173"/>
      <c r="AV1566" s="1173"/>
      <c r="AX1566" s="1173"/>
      <c r="AY1566" s="1176"/>
      <c r="AZ1566" s="1173"/>
    </row>
    <row r="1567" spans="1:52" s="2" customFormat="1" x14ac:dyDescent="0.25">
      <c r="A1567" s="2132">
        <v>1446</v>
      </c>
      <c r="B1567" s="2133">
        <v>6</v>
      </c>
      <c r="C1567" s="2147">
        <v>849318050</v>
      </c>
      <c r="D1567" s="2146" t="s">
        <v>2079</v>
      </c>
      <c r="E1567" s="179" t="s">
        <v>2074</v>
      </c>
      <c r="F1567" s="161">
        <v>2018</v>
      </c>
      <c r="G1567" s="272" t="s">
        <v>33</v>
      </c>
      <c r="H1567" s="628">
        <f t="shared" si="542"/>
        <v>44083</v>
      </c>
      <c r="I1567" s="580">
        <f t="shared" si="543"/>
        <v>44186</v>
      </c>
      <c r="J1567" s="1366">
        <v>2700000</v>
      </c>
      <c r="K1567" s="1360">
        <v>43311</v>
      </c>
      <c r="L1567" s="1363">
        <v>3750000</v>
      </c>
      <c r="M1567" s="1360">
        <v>43311</v>
      </c>
      <c r="N1567" s="1363">
        <v>3750000</v>
      </c>
      <c r="O1567" s="1367">
        <v>43481</v>
      </c>
      <c r="P1567" s="1714">
        <v>3750000</v>
      </c>
      <c r="Q1567" s="1367">
        <v>43640.423668981501</v>
      </c>
      <c r="R1567" s="1731">
        <v>3750000</v>
      </c>
      <c r="S1567" s="1367">
        <v>43852.372280092597</v>
      </c>
      <c r="T1567" s="1714"/>
      <c r="U1567" s="1391"/>
      <c r="V1567" s="1363"/>
      <c r="W1567" s="1391"/>
      <c r="X1567" s="1363"/>
      <c r="Y1567" s="1391"/>
      <c r="Z1567" s="1363"/>
      <c r="AA1567" s="1391"/>
      <c r="AB1567" s="1874">
        <v>1000000</v>
      </c>
      <c r="AC1567" s="1357">
        <v>44131</v>
      </c>
      <c r="AD1567" s="1809">
        <v>1200000</v>
      </c>
      <c r="AE1567" s="1357">
        <v>44131</v>
      </c>
      <c r="AF1567" s="1809">
        <v>1600000</v>
      </c>
      <c r="AG1567" s="1357">
        <v>44131</v>
      </c>
      <c r="AH1567" s="1625" t="str">
        <f t="shared" si="534"/>
        <v>PAI-3A</v>
      </c>
      <c r="AI1567" s="1675">
        <f t="shared" si="544"/>
        <v>22000000</v>
      </c>
      <c r="AJ1567" s="1675">
        <f t="shared" si="545"/>
        <v>22000000</v>
      </c>
      <c r="AK1567" s="1520">
        <f t="shared" si="550"/>
        <v>0</v>
      </c>
      <c r="AL1567" s="2210" t="str">
        <f t="shared" si="551"/>
        <v>Lunas</v>
      </c>
      <c r="AM1567" s="1809">
        <v>500000</v>
      </c>
      <c r="AN1567" s="1357">
        <v>44131</v>
      </c>
      <c r="AO1567"/>
      <c r="AP1567"/>
      <c r="AQ1567" s="1128"/>
      <c r="AR1567" s="1173"/>
      <c r="AT1567" s="1173"/>
      <c r="AV1567" s="1173"/>
      <c r="AX1567" s="1173"/>
      <c r="AY1567" s="1176"/>
      <c r="AZ1567" s="1173"/>
    </row>
    <row r="1568" spans="1:52" s="2" customFormat="1" x14ac:dyDescent="0.25">
      <c r="A1568" s="670">
        <v>1447</v>
      </c>
      <c r="B1568" s="671">
        <v>7</v>
      </c>
      <c r="C1568" s="2147">
        <v>849318051</v>
      </c>
      <c r="D1568" s="701" t="s">
        <v>2080</v>
      </c>
      <c r="E1568" s="441" t="s">
        <v>2074</v>
      </c>
      <c r="F1568" s="175">
        <v>2018</v>
      </c>
      <c r="G1568" s="1758" t="s">
        <v>28</v>
      </c>
      <c r="H1568" s="580" t="str">
        <f t="shared" si="542"/>
        <v xml:space="preserve">   </v>
      </c>
      <c r="I1568" s="580" t="str">
        <f t="shared" si="543"/>
        <v xml:space="preserve">   </v>
      </c>
      <c r="J1568" s="1366">
        <v>2700000</v>
      </c>
      <c r="K1568" s="1360">
        <v>43313</v>
      </c>
      <c r="L1568" s="1363">
        <v>3750000</v>
      </c>
      <c r="M1568" s="1360">
        <v>43313</v>
      </c>
      <c r="N1568" s="1186" t="s">
        <v>1842</v>
      </c>
      <c r="O1568" s="1386"/>
      <c r="P1568" s="1714">
        <v>0</v>
      </c>
      <c r="Q1568" s="1367" t="s">
        <v>783</v>
      </c>
      <c r="R1568" s="1731">
        <v>0</v>
      </c>
      <c r="S1568" s="1367"/>
      <c r="T1568" s="1731">
        <v>0</v>
      </c>
      <c r="U1568" s="1367"/>
      <c r="V1568" s="1363"/>
      <c r="W1568" s="1391"/>
      <c r="X1568" s="1363"/>
      <c r="Y1568" s="1391"/>
      <c r="Z1568" s="1363"/>
      <c r="AA1568" s="1391"/>
      <c r="AB1568" s="1731"/>
      <c r="AC1568" s="1367"/>
      <c r="AD1568" s="1666"/>
      <c r="AE1568" s="1590"/>
      <c r="AF1568" s="1666"/>
      <c r="AG1568" s="1590"/>
      <c r="AH1568" s="1625" t="str">
        <f t="shared" si="534"/>
        <v>PAI-3A</v>
      </c>
      <c r="AI1568" s="1675">
        <f t="shared" si="544"/>
        <v>6450000</v>
      </c>
      <c r="AJ1568" s="1675">
        <f t="shared" si="545"/>
        <v>17700000</v>
      </c>
      <c r="AK1568" s="1520">
        <f t="shared" si="550"/>
        <v>11250000</v>
      </c>
      <c r="AL1568" s="2210" t="str">
        <f t="shared" si="551"/>
        <v>Cek</v>
      </c>
      <c r="AM1568" s="1666"/>
      <c r="AN1568" s="1590"/>
      <c r="AO1568"/>
      <c r="AP1568"/>
      <c r="AQ1568" s="1128"/>
      <c r="AR1568" s="1173"/>
      <c r="AT1568" s="1173"/>
      <c r="AV1568" s="1173"/>
      <c r="AX1568" s="1173"/>
      <c r="AY1568" s="1176"/>
      <c r="AZ1568" s="1173"/>
    </row>
    <row r="1569" spans="1:52" s="2" customFormat="1" x14ac:dyDescent="0.25">
      <c r="A1569" s="670">
        <v>1448</v>
      </c>
      <c r="B1569" s="671">
        <v>8</v>
      </c>
      <c r="C1569" s="2147">
        <v>849318052</v>
      </c>
      <c r="D1569" s="701" t="s">
        <v>2081</v>
      </c>
      <c r="E1569" s="441" t="s">
        <v>2074</v>
      </c>
      <c r="F1569" s="175">
        <v>2018</v>
      </c>
      <c r="G1569" s="360" t="s">
        <v>1483</v>
      </c>
      <c r="H1569" s="580" t="str">
        <f t="shared" si="542"/>
        <v xml:space="preserve">   </v>
      </c>
      <c r="I1569" s="580" t="str">
        <f t="shared" si="543"/>
        <v xml:space="preserve">   </v>
      </c>
      <c r="J1569" s="1366">
        <v>2700000</v>
      </c>
      <c r="K1569" s="1360">
        <v>43314</v>
      </c>
      <c r="L1569" s="1363">
        <v>3750000</v>
      </c>
      <c r="M1569" s="1360">
        <v>43314</v>
      </c>
      <c r="N1569" s="1363">
        <v>3750000</v>
      </c>
      <c r="O1569" s="1367">
        <v>43482</v>
      </c>
      <c r="P1569" s="1714">
        <v>3750000</v>
      </c>
      <c r="Q1569" s="1367">
        <v>43644.415821759299</v>
      </c>
      <c r="R1569" s="1731">
        <v>3750000</v>
      </c>
      <c r="S1569" s="1367">
        <v>43860.406979166699</v>
      </c>
      <c r="T1569" s="1731">
        <v>3750000</v>
      </c>
      <c r="U1569" s="1367">
        <v>44071.475775462997</v>
      </c>
      <c r="V1569" s="1363"/>
      <c r="W1569" s="1391"/>
      <c r="X1569" s="1363"/>
      <c r="Y1569" s="1391"/>
      <c r="Z1569" s="1363"/>
      <c r="AA1569" s="1391"/>
      <c r="AB1569" s="1731"/>
      <c r="AC1569" s="1367"/>
      <c r="AD1569" s="1666"/>
      <c r="AE1569" s="1590"/>
      <c r="AF1569" s="1666"/>
      <c r="AG1569" s="1590"/>
      <c r="AH1569" s="1625" t="str">
        <f t="shared" si="534"/>
        <v>PAI-3A</v>
      </c>
      <c r="AI1569" s="1675">
        <f t="shared" si="544"/>
        <v>21450000</v>
      </c>
      <c r="AJ1569" s="1675">
        <f t="shared" si="545"/>
        <v>21450000</v>
      </c>
      <c r="AK1569" s="1520">
        <f t="shared" si="550"/>
        <v>0</v>
      </c>
      <c r="AL1569" s="2210" t="str">
        <f t="shared" si="551"/>
        <v>Lunas</v>
      </c>
      <c r="AM1569" s="1666"/>
      <c r="AN1569" s="1590"/>
      <c r="AO1569"/>
      <c r="AP1569"/>
      <c r="AQ1569" s="1128"/>
      <c r="AR1569" s="1173"/>
      <c r="AT1569" s="1173"/>
      <c r="AV1569" s="1173"/>
      <c r="AX1569" s="1173"/>
      <c r="AY1569" s="1176"/>
      <c r="AZ1569" s="1173"/>
    </row>
    <row r="1570" spans="1:52" s="2" customFormat="1" x14ac:dyDescent="0.25">
      <c r="A1570" s="670">
        <v>1449</v>
      </c>
      <c r="B1570" s="671">
        <v>9</v>
      </c>
      <c r="C1570" s="2147">
        <v>849318055</v>
      </c>
      <c r="D1570" s="701" t="s">
        <v>2082</v>
      </c>
      <c r="E1570" s="441" t="s">
        <v>2074</v>
      </c>
      <c r="F1570" s="175">
        <v>2018</v>
      </c>
      <c r="G1570" s="1758" t="s">
        <v>28</v>
      </c>
      <c r="H1570" s="580" t="str">
        <f t="shared" si="542"/>
        <v xml:space="preserve">   </v>
      </c>
      <c r="I1570" s="580" t="str">
        <f t="shared" si="543"/>
        <v xml:space="preserve">   </v>
      </c>
      <c r="J1570" s="1366">
        <v>2700000</v>
      </c>
      <c r="K1570" s="1360">
        <v>43314</v>
      </c>
      <c r="L1570" s="1363">
        <v>3750000</v>
      </c>
      <c r="M1570" s="1360">
        <v>43314</v>
      </c>
      <c r="N1570" s="1363">
        <v>3750000</v>
      </c>
      <c r="O1570" s="1367">
        <v>43483</v>
      </c>
      <c r="P1570" s="1714">
        <v>0</v>
      </c>
      <c r="Q1570" s="1367"/>
      <c r="R1570" s="1731">
        <v>0</v>
      </c>
      <c r="S1570" s="1367"/>
      <c r="T1570" s="1731">
        <v>0</v>
      </c>
      <c r="U1570" s="1367"/>
      <c r="V1570" s="1363"/>
      <c r="W1570" s="1391"/>
      <c r="X1570" s="1363"/>
      <c r="Y1570" s="1391"/>
      <c r="Z1570" s="1363"/>
      <c r="AA1570" s="1391"/>
      <c r="AB1570" s="1731"/>
      <c r="AC1570" s="1367"/>
      <c r="AD1570" s="1666"/>
      <c r="AE1570" s="1590"/>
      <c r="AF1570" s="1666"/>
      <c r="AG1570" s="1590"/>
      <c r="AH1570" s="1625" t="str">
        <f t="shared" si="534"/>
        <v>PAI-3A</v>
      </c>
      <c r="AI1570" s="1675">
        <f t="shared" si="544"/>
        <v>10200000</v>
      </c>
      <c r="AJ1570" s="1675">
        <f t="shared" si="545"/>
        <v>21450000</v>
      </c>
      <c r="AK1570" s="1520">
        <f t="shared" si="550"/>
        <v>11250000</v>
      </c>
      <c r="AL1570" s="2210" t="str">
        <f t="shared" si="551"/>
        <v>Cek</v>
      </c>
      <c r="AM1570" s="1666"/>
      <c r="AN1570" s="1590"/>
      <c r="AO1570"/>
      <c r="AP1570"/>
      <c r="AQ1570" s="1128"/>
      <c r="AR1570" s="1173"/>
      <c r="AT1570" s="1173"/>
      <c r="AV1570" s="1173"/>
      <c r="AX1570" s="1173"/>
      <c r="AY1570" s="1176"/>
      <c r="AZ1570" s="1173"/>
    </row>
    <row r="1571" spans="1:52" s="2" customFormat="1" x14ac:dyDescent="0.25">
      <c r="A1571" s="670">
        <v>1450</v>
      </c>
      <c r="B1571" s="671">
        <v>10</v>
      </c>
      <c r="C1571" s="2147">
        <v>849318058</v>
      </c>
      <c r="D1571" s="701" t="s">
        <v>2083</v>
      </c>
      <c r="E1571" s="441" t="s">
        <v>2074</v>
      </c>
      <c r="F1571" s="175">
        <v>2018</v>
      </c>
      <c r="G1571" s="581" t="s">
        <v>1833</v>
      </c>
      <c r="H1571" s="580" t="str">
        <f t="shared" si="542"/>
        <v xml:space="preserve">   </v>
      </c>
      <c r="I1571" s="580" t="str">
        <f t="shared" si="543"/>
        <v xml:space="preserve">   </v>
      </c>
      <c r="J1571" s="1366">
        <v>2700000</v>
      </c>
      <c r="K1571" s="1360">
        <v>43314</v>
      </c>
      <c r="L1571" s="1363">
        <v>3750000</v>
      </c>
      <c r="M1571" s="1360">
        <v>43314</v>
      </c>
      <c r="N1571" s="1363">
        <v>3750000</v>
      </c>
      <c r="O1571" s="1367">
        <v>43481</v>
      </c>
      <c r="P1571" s="1714">
        <v>3750000</v>
      </c>
      <c r="Q1571" s="1367">
        <v>43636.631782407399</v>
      </c>
      <c r="R1571" s="2077" t="s">
        <v>1078</v>
      </c>
      <c r="S1571" s="2207">
        <v>43861</v>
      </c>
      <c r="T1571" s="1186" t="s">
        <v>1078</v>
      </c>
      <c r="U1571" s="1386">
        <v>44071</v>
      </c>
      <c r="V1571" s="1363"/>
      <c r="W1571" s="1391"/>
      <c r="X1571" s="1363"/>
      <c r="Y1571" s="1391"/>
      <c r="Z1571" s="1363"/>
      <c r="AA1571" s="1391"/>
      <c r="AB1571" s="1731"/>
      <c r="AC1571" s="1367"/>
      <c r="AD1571" s="1666"/>
      <c r="AE1571" s="1590"/>
      <c r="AF1571" s="1666"/>
      <c r="AG1571" s="1590"/>
      <c r="AH1571" s="1625" t="str">
        <f t="shared" ref="AH1571:AH1634" si="552">E1571</f>
        <v>PAI-3A</v>
      </c>
      <c r="AI1571" s="1675">
        <f t="shared" si="544"/>
        <v>13950000</v>
      </c>
      <c r="AJ1571" s="1675">
        <f t="shared" si="545"/>
        <v>13950000</v>
      </c>
      <c r="AK1571" s="1520">
        <f t="shared" si="550"/>
        <v>0</v>
      </c>
      <c r="AL1571" s="2210" t="str">
        <f t="shared" si="551"/>
        <v>Lunas</v>
      </c>
      <c r="AM1571" s="1666"/>
      <c r="AN1571" s="1590"/>
      <c r="AO1571"/>
      <c r="AP1571"/>
      <c r="AQ1571" s="1128"/>
      <c r="AR1571" s="1173"/>
      <c r="AT1571" s="1173"/>
      <c r="AV1571" s="1173"/>
      <c r="AX1571" s="1173"/>
      <c r="AY1571" s="1176"/>
      <c r="AZ1571" s="1173"/>
    </row>
    <row r="1572" spans="1:52" s="2" customFormat="1" x14ac:dyDescent="0.25">
      <c r="A1572" s="670">
        <v>1451</v>
      </c>
      <c r="B1572" s="671">
        <v>11</v>
      </c>
      <c r="C1572" s="2147">
        <v>849318059</v>
      </c>
      <c r="D1572" s="701" t="s">
        <v>2084</v>
      </c>
      <c r="E1572" s="441" t="s">
        <v>2074</v>
      </c>
      <c r="F1572" s="175">
        <v>2018</v>
      </c>
      <c r="G1572" s="272" t="s">
        <v>33</v>
      </c>
      <c r="H1572" s="628">
        <f t="shared" si="542"/>
        <v>44077</v>
      </c>
      <c r="I1572" s="580" t="str">
        <f t="shared" si="543"/>
        <v xml:space="preserve">   </v>
      </c>
      <c r="J1572" s="1366">
        <v>2700000</v>
      </c>
      <c r="K1572" s="1360">
        <v>43314</v>
      </c>
      <c r="L1572" s="1363">
        <v>3750000</v>
      </c>
      <c r="M1572" s="1360">
        <v>43314</v>
      </c>
      <c r="N1572" s="1363">
        <v>3750000</v>
      </c>
      <c r="O1572" s="1367">
        <v>43482</v>
      </c>
      <c r="P1572" s="1714">
        <v>3750000</v>
      </c>
      <c r="Q1572" s="1367">
        <v>43644.415821759299</v>
      </c>
      <c r="R1572" s="1731">
        <v>3750000</v>
      </c>
      <c r="S1572" s="1367">
        <v>43851.5552314815</v>
      </c>
      <c r="T1572" s="1714"/>
      <c r="U1572" s="1391"/>
      <c r="V1572" s="1363"/>
      <c r="W1572" s="1391"/>
      <c r="X1572" s="1363"/>
      <c r="Y1572" s="1391"/>
      <c r="Z1572" s="1363"/>
      <c r="AA1572" s="1391"/>
      <c r="AB1572" s="1731"/>
      <c r="AC1572" s="1367"/>
      <c r="AD1572" s="1666"/>
      <c r="AE1572" s="1590"/>
      <c r="AF1572" s="1666"/>
      <c r="AG1572" s="1590"/>
      <c r="AH1572" s="1625" t="str">
        <f t="shared" si="552"/>
        <v>PAI-3A</v>
      </c>
      <c r="AI1572" s="1675">
        <f t="shared" si="544"/>
        <v>17700000</v>
      </c>
      <c r="AJ1572" s="1675">
        <f t="shared" si="545"/>
        <v>17700000</v>
      </c>
      <c r="AK1572" s="1520">
        <f t="shared" si="550"/>
        <v>0</v>
      </c>
      <c r="AL1572" s="2210" t="str">
        <f t="shared" si="551"/>
        <v>Lunas</v>
      </c>
      <c r="AM1572" s="1666"/>
      <c r="AN1572" s="1590"/>
      <c r="AO1572"/>
      <c r="AP1572"/>
      <c r="AQ1572" s="1128"/>
      <c r="AR1572" s="1173"/>
      <c r="AT1572" s="1173"/>
      <c r="AV1572" s="1173"/>
      <c r="AX1572" s="1173"/>
      <c r="AY1572" s="1176"/>
      <c r="AZ1572" s="1173"/>
    </row>
    <row r="1573" spans="1:52" s="2" customFormat="1" x14ac:dyDescent="0.25">
      <c r="A1573" s="670">
        <v>1452</v>
      </c>
      <c r="B1573" s="671">
        <v>12</v>
      </c>
      <c r="C1573" s="2147">
        <v>849318060</v>
      </c>
      <c r="D1573" s="701" t="s">
        <v>2085</v>
      </c>
      <c r="E1573" s="441" t="s">
        <v>2074</v>
      </c>
      <c r="F1573" s="175">
        <v>2018</v>
      </c>
      <c r="G1573" s="360" t="s">
        <v>1483</v>
      </c>
      <c r="H1573" s="580" t="str">
        <f t="shared" si="542"/>
        <v xml:space="preserve">   </v>
      </c>
      <c r="I1573" s="580" t="str">
        <f t="shared" si="543"/>
        <v xml:space="preserve">   </v>
      </c>
      <c r="J1573" s="1366">
        <v>2700000</v>
      </c>
      <c r="K1573" s="1360">
        <v>43314</v>
      </c>
      <c r="L1573" s="1363">
        <v>3750000</v>
      </c>
      <c r="M1573" s="1360">
        <v>43314</v>
      </c>
      <c r="N1573" s="1363">
        <v>3750000</v>
      </c>
      <c r="O1573" s="1367">
        <v>43481</v>
      </c>
      <c r="P1573" s="1714">
        <v>3750000</v>
      </c>
      <c r="Q1573" s="1367">
        <v>43640.386168981502</v>
      </c>
      <c r="R1573" s="1731">
        <v>3750000</v>
      </c>
      <c r="S1573" s="1367">
        <v>43857.507442129601</v>
      </c>
      <c r="T1573" s="1731">
        <v>3750000</v>
      </c>
      <c r="U1573" s="1367">
        <v>44068.609340277799</v>
      </c>
      <c r="V1573" s="1363"/>
      <c r="W1573" s="1391"/>
      <c r="X1573" s="1363"/>
      <c r="Y1573" s="1391"/>
      <c r="Z1573" s="1363"/>
      <c r="AA1573" s="1391"/>
      <c r="AB1573" s="1731">
        <v>1000000</v>
      </c>
      <c r="AC1573" s="1367">
        <v>44140</v>
      </c>
      <c r="AD1573" s="1666"/>
      <c r="AE1573" s="1590"/>
      <c r="AF1573" s="1666"/>
      <c r="AG1573" s="1590"/>
      <c r="AH1573" s="1625" t="str">
        <f t="shared" si="552"/>
        <v>PAI-3A</v>
      </c>
      <c r="AI1573" s="1675">
        <f t="shared" si="544"/>
        <v>22450000</v>
      </c>
      <c r="AJ1573" s="1675">
        <f t="shared" si="545"/>
        <v>22450000</v>
      </c>
      <c r="AK1573" s="1520">
        <f t="shared" si="550"/>
        <v>0</v>
      </c>
      <c r="AL1573" s="2210" t="str">
        <f t="shared" si="551"/>
        <v>Lunas</v>
      </c>
      <c r="AM1573" s="1666"/>
      <c r="AN1573" s="1590"/>
      <c r="AO1573"/>
      <c r="AP1573"/>
      <c r="AQ1573" s="1128"/>
      <c r="AR1573" s="1173"/>
      <c r="AT1573" s="1173"/>
      <c r="AV1573" s="1173"/>
      <c r="AX1573" s="1173"/>
      <c r="AY1573" s="1176"/>
      <c r="AZ1573" s="1173"/>
    </row>
    <row r="1574" spans="1:52" s="2" customFormat="1" x14ac:dyDescent="0.25">
      <c r="A1574" s="670">
        <v>1453</v>
      </c>
      <c r="B1574" s="671">
        <v>13</v>
      </c>
      <c r="C1574" s="2147">
        <v>849318061</v>
      </c>
      <c r="D1574" s="701" t="s">
        <v>2086</v>
      </c>
      <c r="E1574" s="441" t="s">
        <v>2074</v>
      </c>
      <c r="F1574" s="175">
        <v>2018</v>
      </c>
      <c r="G1574" s="360" t="s">
        <v>1483</v>
      </c>
      <c r="H1574" s="580" t="str">
        <f t="shared" si="542"/>
        <v xml:space="preserve">   </v>
      </c>
      <c r="I1574" s="580" t="str">
        <f t="shared" si="543"/>
        <v xml:space="preserve">   </v>
      </c>
      <c r="J1574" s="1366">
        <v>2700000</v>
      </c>
      <c r="K1574" s="1360">
        <v>43314</v>
      </c>
      <c r="L1574" s="1363">
        <v>3750000</v>
      </c>
      <c r="M1574" s="1360">
        <v>43314</v>
      </c>
      <c r="N1574" s="1363">
        <v>3750000</v>
      </c>
      <c r="O1574" s="1367">
        <v>43482</v>
      </c>
      <c r="P1574" s="1714">
        <v>3750000</v>
      </c>
      <c r="Q1574" s="1367">
        <v>43642.631296296298</v>
      </c>
      <c r="R1574" s="1731">
        <v>3750000</v>
      </c>
      <c r="S1574" s="1367">
        <v>43858.591377314799</v>
      </c>
      <c r="T1574" s="1731">
        <v>3750000</v>
      </c>
      <c r="U1574" s="1367">
        <v>44053.574155092603</v>
      </c>
      <c r="V1574" s="1363"/>
      <c r="W1574" s="1391"/>
      <c r="X1574" s="1363"/>
      <c r="Y1574" s="1391"/>
      <c r="Z1574" s="1363"/>
      <c r="AA1574" s="1391"/>
      <c r="AB1574" s="1731">
        <v>1000000</v>
      </c>
      <c r="AC1574" s="1367">
        <v>44131</v>
      </c>
      <c r="AD1574" s="1666"/>
      <c r="AE1574" s="1590"/>
      <c r="AF1574" s="1666"/>
      <c r="AG1574" s="1590"/>
      <c r="AH1574" s="1625" t="str">
        <f t="shared" si="552"/>
        <v>PAI-3A</v>
      </c>
      <c r="AI1574" s="1675">
        <f t="shared" si="544"/>
        <v>22450000</v>
      </c>
      <c r="AJ1574" s="1675">
        <f t="shared" si="545"/>
        <v>22450000</v>
      </c>
      <c r="AK1574" s="1520">
        <f t="shared" si="550"/>
        <v>0</v>
      </c>
      <c r="AL1574" s="2210" t="str">
        <f t="shared" si="551"/>
        <v>Lunas</v>
      </c>
      <c r="AM1574" s="1666"/>
      <c r="AN1574" s="1590"/>
      <c r="AO1574"/>
      <c r="AP1574"/>
      <c r="AQ1574" s="1128"/>
      <c r="AR1574" s="1173"/>
      <c r="AT1574" s="1173"/>
      <c r="AV1574" s="1173"/>
      <c r="AX1574" s="1173"/>
      <c r="AY1574" s="1176"/>
      <c r="AZ1574" s="1173"/>
    </row>
    <row r="1575" spans="1:52" s="2" customFormat="1" x14ac:dyDescent="0.25">
      <c r="A1575" s="670">
        <v>1454</v>
      </c>
      <c r="B1575" s="671">
        <v>14</v>
      </c>
      <c r="C1575" s="2147">
        <v>849318062</v>
      </c>
      <c r="D1575" s="701" t="s">
        <v>1461</v>
      </c>
      <c r="E1575" s="441" t="s">
        <v>2074</v>
      </c>
      <c r="F1575" s="175">
        <v>2018</v>
      </c>
      <c r="G1575" s="581" t="s">
        <v>1833</v>
      </c>
      <c r="H1575" s="580" t="str">
        <f t="shared" si="542"/>
        <v xml:space="preserve">   </v>
      </c>
      <c r="I1575" s="580" t="str">
        <f t="shared" si="543"/>
        <v xml:space="preserve">   </v>
      </c>
      <c r="J1575" s="1366">
        <v>2700000</v>
      </c>
      <c r="K1575" s="1360">
        <v>43314</v>
      </c>
      <c r="L1575" s="1363">
        <v>3750000</v>
      </c>
      <c r="M1575" s="1360">
        <v>43314</v>
      </c>
      <c r="N1575" s="1363">
        <v>3750000</v>
      </c>
      <c r="O1575" s="1367">
        <v>43482</v>
      </c>
      <c r="P1575" s="1714">
        <v>3750000</v>
      </c>
      <c r="Q1575" s="1367">
        <v>43644.612476851798</v>
      </c>
      <c r="R1575" s="1731">
        <v>3750000</v>
      </c>
      <c r="S1575" s="1367">
        <v>43859.599687499998</v>
      </c>
      <c r="T1575" s="1186" t="s">
        <v>1078</v>
      </c>
      <c r="U1575" s="1386">
        <v>44071</v>
      </c>
      <c r="V1575" s="1363"/>
      <c r="W1575" s="1391"/>
      <c r="X1575" s="1363"/>
      <c r="Y1575" s="1391"/>
      <c r="Z1575" s="1363"/>
      <c r="AA1575" s="1391"/>
      <c r="AB1575" s="1731"/>
      <c r="AC1575" s="1367"/>
      <c r="AD1575" s="1666"/>
      <c r="AE1575" s="1590"/>
      <c r="AF1575" s="1666"/>
      <c r="AG1575" s="1590"/>
      <c r="AH1575" s="1625" t="str">
        <f t="shared" si="552"/>
        <v>PAI-3A</v>
      </c>
      <c r="AI1575" s="1675">
        <f t="shared" si="544"/>
        <v>17700000</v>
      </c>
      <c r="AJ1575" s="1675">
        <f t="shared" si="545"/>
        <v>17700000</v>
      </c>
      <c r="AK1575" s="1520">
        <f t="shared" si="550"/>
        <v>0</v>
      </c>
      <c r="AL1575" s="2210" t="str">
        <f t="shared" si="551"/>
        <v>Lunas</v>
      </c>
      <c r="AM1575" s="1666"/>
      <c r="AN1575" s="1590"/>
      <c r="AO1575"/>
      <c r="AP1575"/>
      <c r="AQ1575" s="1128"/>
      <c r="AR1575" s="1173"/>
      <c r="AT1575" s="1173"/>
      <c r="AV1575" s="1173"/>
      <c r="AX1575" s="1173"/>
      <c r="AY1575" s="1176"/>
      <c r="AZ1575" s="1173"/>
    </row>
    <row r="1576" spans="1:52" s="2" customFormat="1" x14ac:dyDescent="0.25">
      <c r="A1576" s="670">
        <v>1455</v>
      </c>
      <c r="B1576" s="671">
        <v>15</v>
      </c>
      <c r="C1576" s="2147">
        <v>849318063</v>
      </c>
      <c r="D1576" s="701" t="s">
        <v>2087</v>
      </c>
      <c r="E1576" s="441" t="s">
        <v>2074</v>
      </c>
      <c r="F1576" s="175">
        <v>2018</v>
      </c>
      <c r="G1576" s="360" t="s">
        <v>1483</v>
      </c>
      <c r="H1576" s="580" t="str">
        <f t="shared" si="542"/>
        <v xml:space="preserve">   </v>
      </c>
      <c r="I1576" s="580" t="str">
        <f t="shared" si="543"/>
        <v xml:space="preserve">   </v>
      </c>
      <c r="J1576" s="1366">
        <v>2700000</v>
      </c>
      <c r="K1576" s="2027">
        <v>43308</v>
      </c>
      <c r="L1576" s="1363">
        <v>3750000</v>
      </c>
      <c r="M1576" s="2027">
        <v>43308</v>
      </c>
      <c r="N1576" s="1363">
        <v>3750000</v>
      </c>
      <c r="O1576" s="1367">
        <v>43482</v>
      </c>
      <c r="P1576" s="1714">
        <v>3750000</v>
      </c>
      <c r="Q1576" s="1367">
        <v>43643.465266203697</v>
      </c>
      <c r="R1576" s="1731">
        <v>3750000</v>
      </c>
      <c r="S1576" s="1367">
        <v>43857.611550925903</v>
      </c>
      <c r="T1576" s="1731">
        <v>3750000</v>
      </c>
      <c r="U1576" s="1367">
        <v>44067.471273148098</v>
      </c>
      <c r="V1576" s="1363"/>
      <c r="W1576" s="1391"/>
      <c r="X1576" s="1363"/>
      <c r="Y1576" s="1391"/>
      <c r="Z1576" s="1363"/>
      <c r="AA1576" s="1391"/>
      <c r="AB1576" s="1731"/>
      <c r="AC1576" s="1367"/>
      <c r="AD1576" s="1666"/>
      <c r="AE1576" s="1590"/>
      <c r="AF1576" s="1666"/>
      <c r="AG1576" s="1590"/>
      <c r="AH1576" s="1625" t="str">
        <f t="shared" si="552"/>
        <v>PAI-3A</v>
      </c>
      <c r="AI1576" s="1675">
        <f t="shared" si="544"/>
        <v>21450000</v>
      </c>
      <c r="AJ1576" s="1675">
        <f t="shared" si="545"/>
        <v>21450000</v>
      </c>
      <c r="AK1576" s="1520">
        <f t="shared" si="550"/>
        <v>0</v>
      </c>
      <c r="AL1576" s="2210" t="str">
        <f t="shared" si="551"/>
        <v>Lunas</v>
      </c>
      <c r="AM1576" s="1666"/>
      <c r="AN1576" s="1590"/>
      <c r="AO1576"/>
      <c r="AP1576"/>
      <c r="AQ1576" s="1128"/>
      <c r="AR1576" s="1173"/>
      <c r="AT1576" s="1173"/>
      <c r="AV1576" s="1173"/>
      <c r="AX1576" s="1173"/>
      <c r="AY1576" s="1176"/>
      <c r="AZ1576" s="1173"/>
    </row>
    <row r="1577" spans="1:52" s="2" customFormat="1" x14ac:dyDescent="0.25">
      <c r="A1577" s="670">
        <v>1456</v>
      </c>
      <c r="B1577" s="671">
        <v>16</v>
      </c>
      <c r="C1577" s="2147">
        <v>849318001</v>
      </c>
      <c r="D1577" s="701" t="s">
        <v>2088</v>
      </c>
      <c r="E1577" s="441" t="s">
        <v>2089</v>
      </c>
      <c r="F1577" s="175">
        <v>2018</v>
      </c>
      <c r="G1577" s="581" t="s">
        <v>1833</v>
      </c>
      <c r="H1577" s="580" t="str">
        <f t="shared" si="542"/>
        <v xml:space="preserve">   </v>
      </c>
      <c r="I1577" s="580" t="str">
        <f t="shared" si="543"/>
        <v xml:space="preserve">   </v>
      </c>
      <c r="J1577" s="1366">
        <v>2700000</v>
      </c>
      <c r="K1577" s="1360">
        <v>43313</v>
      </c>
      <c r="L1577" s="1363">
        <v>3750000</v>
      </c>
      <c r="M1577" s="1360">
        <v>43313</v>
      </c>
      <c r="N1577" s="1363">
        <v>3750000</v>
      </c>
      <c r="O1577" s="1367">
        <v>43481</v>
      </c>
      <c r="P1577" s="1714">
        <v>3750000</v>
      </c>
      <c r="Q1577" s="1367">
        <v>43643.465266203697</v>
      </c>
      <c r="R1577" s="1731">
        <v>3750000</v>
      </c>
      <c r="S1577" s="1367">
        <v>43861.4071064815</v>
      </c>
      <c r="T1577" s="1186" t="s">
        <v>1078</v>
      </c>
      <c r="U1577" s="1386">
        <v>44071</v>
      </c>
      <c r="V1577" s="1363"/>
      <c r="W1577" s="1391"/>
      <c r="X1577" s="1363"/>
      <c r="Y1577" s="1391"/>
      <c r="Z1577" s="1363"/>
      <c r="AA1577" s="1391"/>
      <c r="AB1577" s="1731"/>
      <c r="AC1577" s="1367"/>
      <c r="AD1577" s="1666"/>
      <c r="AE1577" s="1590"/>
      <c r="AF1577" s="1666"/>
      <c r="AG1577" s="1590"/>
      <c r="AH1577" s="1625" t="str">
        <f t="shared" si="552"/>
        <v>PAI-3B</v>
      </c>
      <c r="AI1577" s="1675">
        <f t="shared" si="544"/>
        <v>17700000</v>
      </c>
      <c r="AJ1577" s="1675">
        <f t="shared" si="545"/>
        <v>17700000</v>
      </c>
      <c r="AK1577" s="1520">
        <f t="shared" si="550"/>
        <v>0</v>
      </c>
      <c r="AL1577" s="2210" t="str">
        <f t="shared" si="551"/>
        <v>Lunas</v>
      </c>
      <c r="AM1577" s="1666"/>
      <c r="AN1577" s="1590"/>
      <c r="AO1577"/>
      <c r="AP1577"/>
      <c r="AQ1577" s="1128"/>
      <c r="AR1577" s="1173"/>
      <c r="AT1577" s="1173"/>
      <c r="AV1577" s="1173"/>
      <c r="AX1577" s="1173"/>
      <c r="AY1577" s="1176"/>
      <c r="AZ1577" s="1173"/>
    </row>
    <row r="1578" spans="1:52" s="2" customFormat="1" x14ac:dyDescent="0.25">
      <c r="A1578" s="670">
        <v>1457</v>
      </c>
      <c r="B1578" s="2193">
        <v>17</v>
      </c>
      <c r="C1578" s="2147">
        <v>849318002</v>
      </c>
      <c r="D1578" s="2194" t="s">
        <v>2090</v>
      </c>
      <c r="E1578" s="179" t="s">
        <v>2089</v>
      </c>
      <c r="F1578" s="161">
        <v>2018</v>
      </c>
      <c r="G1578" s="272" t="s">
        <v>33</v>
      </c>
      <c r="H1578" s="628">
        <f t="shared" si="542"/>
        <v>44084</v>
      </c>
      <c r="I1578" s="580">
        <f t="shared" si="543"/>
        <v>44186</v>
      </c>
      <c r="J1578" s="1364">
        <v>2700000</v>
      </c>
      <c r="K1578" s="1365">
        <v>43314</v>
      </c>
      <c r="L1578" s="1358">
        <v>3750000</v>
      </c>
      <c r="M1578" s="1365">
        <v>43314</v>
      </c>
      <c r="N1578" s="1358">
        <v>3750000</v>
      </c>
      <c r="O1578" s="1357">
        <v>43483</v>
      </c>
      <c r="P1578" s="1385">
        <v>3750000</v>
      </c>
      <c r="Q1578" s="1357">
        <v>43644.443599537</v>
      </c>
      <c r="R1578" s="1874">
        <v>3750000</v>
      </c>
      <c r="S1578" s="1357">
        <v>43860.498599537001</v>
      </c>
      <c r="T1578" s="1714"/>
      <c r="U1578" s="1391"/>
      <c r="V1578" s="1363"/>
      <c r="W1578" s="1391"/>
      <c r="X1578" s="1363"/>
      <c r="Y1578" s="1391"/>
      <c r="Z1578" s="1363"/>
      <c r="AA1578" s="1391"/>
      <c r="AB1578" s="1874">
        <v>0</v>
      </c>
      <c r="AC1578" s="1357"/>
      <c r="AD1578" s="1809">
        <v>0</v>
      </c>
      <c r="AE1578" s="1440"/>
      <c r="AF1578" s="1809">
        <v>0</v>
      </c>
      <c r="AG1578" s="1440"/>
      <c r="AH1578" s="1625" t="str">
        <f t="shared" si="552"/>
        <v>PAI-3B</v>
      </c>
      <c r="AI1578" s="1675">
        <f t="shared" si="544"/>
        <v>17700000</v>
      </c>
      <c r="AJ1578" s="1675">
        <f t="shared" si="545"/>
        <v>22000000</v>
      </c>
      <c r="AK1578" s="1520">
        <f t="shared" si="550"/>
        <v>4300000</v>
      </c>
      <c r="AL1578" s="2210" t="str">
        <f t="shared" si="551"/>
        <v>Cek</v>
      </c>
      <c r="AM1578" s="1666">
        <v>0</v>
      </c>
      <c r="AN1578" s="1590"/>
      <c r="AO1578"/>
      <c r="AP1578"/>
      <c r="AQ1578" s="1128"/>
      <c r="AR1578" s="1173"/>
      <c r="AT1578" s="1173"/>
      <c r="AV1578" s="1173"/>
      <c r="AX1578" s="1173"/>
      <c r="AY1578" s="1176"/>
      <c r="AZ1578" s="1173"/>
    </row>
    <row r="1579" spans="1:52" s="2" customFormat="1" x14ac:dyDescent="0.25">
      <c r="A1579" s="670">
        <v>1458</v>
      </c>
      <c r="B1579" s="671">
        <v>18</v>
      </c>
      <c r="C1579" s="2147">
        <v>849318003</v>
      </c>
      <c r="D1579" s="701" t="s">
        <v>2091</v>
      </c>
      <c r="E1579" s="441" t="s">
        <v>2089</v>
      </c>
      <c r="F1579" s="175">
        <v>2018</v>
      </c>
      <c r="G1579" s="360" t="s">
        <v>1483</v>
      </c>
      <c r="H1579" s="580" t="str">
        <f t="shared" si="542"/>
        <v xml:space="preserve">   </v>
      </c>
      <c r="I1579" s="580" t="str">
        <f t="shared" si="543"/>
        <v xml:space="preserve">   </v>
      </c>
      <c r="J1579" s="1366">
        <v>2700000</v>
      </c>
      <c r="K1579" s="1360">
        <v>43313</v>
      </c>
      <c r="L1579" s="1363">
        <v>3750000</v>
      </c>
      <c r="M1579" s="1360">
        <v>43313</v>
      </c>
      <c r="N1579" s="1363">
        <v>3750000</v>
      </c>
      <c r="O1579" s="1367">
        <v>43481</v>
      </c>
      <c r="P1579" s="1714">
        <v>3750000</v>
      </c>
      <c r="Q1579" s="1367">
        <v>43643.557766203703</v>
      </c>
      <c r="R1579" s="1731">
        <v>3750000</v>
      </c>
      <c r="S1579" s="1367">
        <v>43860.384803240697</v>
      </c>
      <c r="T1579" s="1731">
        <v>3750000</v>
      </c>
      <c r="U1579" s="1367">
        <v>44062.578761574099</v>
      </c>
      <c r="V1579" s="1363"/>
      <c r="W1579" s="1391"/>
      <c r="X1579" s="1363"/>
      <c r="Y1579" s="1391"/>
      <c r="Z1579" s="1363"/>
      <c r="AA1579" s="1391"/>
      <c r="AB1579" s="1731"/>
      <c r="AC1579" s="1367"/>
      <c r="AD1579" s="1666"/>
      <c r="AE1579" s="1590"/>
      <c r="AF1579" s="1666"/>
      <c r="AG1579" s="1590"/>
      <c r="AH1579" s="1625" t="str">
        <f t="shared" si="552"/>
        <v>PAI-3B</v>
      </c>
      <c r="AI1579" s="1675">
        <f t="shared" si="544"/>
        <v>21450000</v>
      </c>
      <c r="AJ1579" s="1675">
        <f t="shared" si="545"/>
        <v>21450000</v>
      </c>
      <c r="AK1579" s="1520">
        <f t="shared" si="550"/>
        <v>0</v>
      </c>
      <c r="AL1579" s="2210" t="str">
        <f t="shared" si="551"/>
        <v>Lunas</v>
      </c>
      <c r="AM1579" s="1666"/>
      <c r="AN1579" s="1590"/>
      <c r="AO1579"/>
      <c r="AP1579"/>
      <c r="AQ1579" s="1128"/>
      <c r="AR1579" s="1173"/>
      <c r="AT1579" s="1173"/>
      <c r="AV1579" s="1173"/>
      <c r="AX1579" s="1173"/>
      <c r="AY1579" s="1176"/>
      <c r="AZ1579" s="1173"/>
    </row>
    <row r="1580" spans="1:52" s="2" customFormat="1" x14ac:dyDescent="0.25">
      <c r="A1580" s="670">
        <v>1459</v>
      </c>
      <c r="B1580" s="671">
        <v>19</v>
      </c>
      <c r="C1580" s="2147">
        <v>849318004</v>
      </c>
      <c r="D1580" s="701" t="s">
        <v>2092</v>
      </c>
      <c r="E1580" s="441" t="s">
        <v>2089</v>
      </c>
      <c r="F1580" s="175">
        <v>2018</v>
      </c>
      <c r="G1580" s="360" t="s">
        <v>1483</v>
      </c>
      <c r="H1580" s="580" t="str">
        <f t="shared" si="542"/>
        <v xml:space="preserve">   </v>
      </c>
      <c r="I1580" s="580" t="str">
        <f t="shared" si="543"/>
        <v xml:space="preserve">   </v>
      </c>
      <c r="J1580" s="1366">
        <v>2700000</v>
      </c>
      <c r="K1580" s="1360">
        <v>43314</v>
      </c>
      <c r="L1580" s="1363">
        <v>3750000</v>
      </c>
      <c r="M1580" s="1360">
        <v>43314</v>
      </c>
      <c r="N1580" s="1363">
        <v>3750000</v>
      </c>
      <c r="O1580" s="1367">
        <v>43483</v>
      </c>
      <c r="P1580" s="1714">
        <v>3750000</v>
      </c>
      <c r="Q1580" s="1367">
        <v>43644.597465277802</v>
      </c>
      <c r="R1580" s="1731">
        <v>3750000</v>
      </c>
      <c r="S1580" s="1367">
        <v>43858.555798611102</v>
      </c>
      <c r="T1580" s="1731">
        <v>3750000</v>
      </c>
      <c r="U1580" s="1367">
        <v>44097</v>
      </c>
      <c r="V1580" s="1363"/>
      <c r="W1580" s="1391"/>
      <c r="X1580" s="1363"/>
      <c r="Y1580" s="1391"/>
      <c r="Z1580" s="1363"/>
      <c r="AA1580" s="1391"/>
      <c r="AB1580" s="1731"/>
      <c r="AC1580" s="1367"/>
      <c r="AD1580" s="1666"/>
      <c r="AE1580" s="1590"/>
      <c r="AF1580" s="1666"/>
      <c r="AG1580" s="1590"/>
      <c r="AH1580" s="1625" t="str">
        <f t="shared" si="552"/>
        <v>PAI-3B</v>
      </c>
      <c r="AI1580" s="1675">
        <f t="shared" si="544"/>
        <v>21450000</v>
      </c>
      <c r="AJ1580" s="1675">
        <f t="shared" si="545"/>
        <v>21450000</v>
      </c>
      <c r="AK1580" s="1520">
        <f t="shared" si="550"/>
        <v>0</v>
      </c>
      <c r="AL1580" s="2210" t="str">
        <f t="shared" si="551"/>
        <v>Lunas</v>
      </c>
      <c r="AM1580" s="1666"/>
      <c r="AN1580" s="1590"/>
      <c r="AO1580"/>
      <c r="AP1580"/>
      <c r="AQ1580" s="1128"/>
      <c r="AR1580" s="1173"/>
      <c r="AT1580" s="1173"/>
      <c r="AV1580" s="1173"/>
      <c r="AX1580" s="1173"/>
      <c r="AY1580" s="1176"/>
      <c r="AZ1580" s="1173"/>
    </row>
    <row r="1581" spans="1:52" s="2" customFormat="1" x14ac:dyDescent="0.25">
      <c r="A1581" s="670">
        <v>1460</v>
      </c>
      <c r="B1581" s="671">
        <v>20</v>
      </c>
      <c r="C1581" s="2147">
        <v>849318005</v>
      </c>
      <c r="D1581" s="701" t="s">
        <v>2093</v>
      </c>
      <c r="E1581" s="441" t="s">
        <v>2089</v>
      </c>
      <c r="F1581" s="175">
        <v>2018</v>
      </c>
      <c r="G1581" s="360" t="s">
        <v>1483</v>
      </c>
      <c r="H1581" s="580" t="str">
        <f t="shared" si="542"/>
        <v xml:space="preserve">   </v>
      </c>
      <c r="I1581" s="580" t="str">
        <f t="shared" si="543"/>
        <v xml:space="preserve">   </v>
      </c>
      <c r="J1581" s="1366">
        <v>2700000</v>
      </c>
      <c r="K1581" s="1360">
        <v>43311</v>
      </c>
      <c r="L1581" s="1363">
        <v>3750000</v>
      </c>
      <c r="M1581" s="1360">
        <v>43311</v>
      </c>
      <c r="N1581" s="1363">
        <v>3750000</v>
      </c>
      <c r="O1581" s="1367">
        <v>43480</v>
      </c>
      <c r="P1581" s="1714">
        <v>3750000</v>
      </c>
      <c r="Q1581" s="1367">
        <v>43642.453055555598</v>
      </c>
      <c r="R1581" s="1731">
        <v>3750000</v>
      </c>
      <c r="S1581" s="1367">
        <v>43858.604884259301</v>
      </c>
      <c r="T1581" s="1731">
        <v>3750000</v>
      </c>
      <c r="U1581" s="1367">
        <v>44067.373229166697</v>
      </c>
      <c r="V1581" s="1363"/>
      <c r="W1581" s="1391"/>
      <c r="X1581" s="1363"/>
      <c r="Y1581" s="1391"/>
      <c r="Z1581" s="1363"/>
      <c r="AA1581" s="1391"/>
      <c r="AB1581" s="1731"/>
      <c r="AC1581" s="1367"/>
      <c r="AD1581" s="1666"/>
      <c r="AE1581" s="1590"/>
      <c r="AF1581" s="1666"/>
      <c r="AG1581" s="1590"/>
      <c r="AH1581" s="1625" t="str">
        <f t="shared" si="552"/>
        <v>PAI-3B</v>
      </c>
      <c r="AI1581" s="1675">
        <f t="shared" si="544"/>
        <v>21450000</v>
      </c>
      <c r="AJ1581" s="1675">
        <f t="shared" si="545"/>
        <v>21450000</v>
      </c>
      <c r="AK1581" s="1520">
        <f t="shared" si="550"/>
        <v>0</v>
      </c>
      <c r="AL1581" s="2210" t="str">
        <f t="shared" si="551"/>
        <v>Lunas</v>
      </c>
      <c r="AM1581" s="1666"/>
      <c r="AN1581" s="1590"/>
      <c r="AO1581"/>
      <c r="AP1581"/>
      <c r="AQ1581" s="1128"/>
      <c r="AR1581" s="1173"/>
      <c r="AT1581" s="1173"/>
      <c r="AV1581" s="1173"/>
      <c r="AX1581" s="1173"/>
      <c r="AY1581" s="1176"/>
      <c r="AZ1581" s="1173"/>
    </row>
    <row r="1582" spans="1:52" s="2" customFormat="1" x14ac:dyDescent="0.25">
      <c r="A1582" s="670">
        <v>1461</v>
      </c>
      <c r="B1582" s="671">
        <v>21</v>
      </c>
      <c r="C1582" s="2147">
        <v>849318006</v>
      </c>
      <c r="D1582" s="701" t="s">
        <v>2094</v>
      </c>
      <c r="E1582" s="441" t="s">
        <v>2089</v>
      </c>
      <c r="F1582" s="175">
        <v>2018</v>
      </c>
      <c r="G1582" s="1758" t="s">
        <v>28</v>
      </c>
      <c r="H1582" s="580" t="str">
        <f t="shared" si="542"/>
        <v xml:space="preserve">   </v>
      </c>
      <c r="I1582" s="580" t="str">
        <f t="shared" si="543"/>
        <v xml:space="preserve">   </v>
      </c>
      <c r="J1582" s="1366">
        <v>2700000</v>
      </c>
      <c r="K1582" s="1360">
        <v>43311</v>
      </c>
      <c r="L1582" s="1363">
        <v>3750000</v>
      </c>
      <c r="M1582" s="1360">
        <v>43311</v>
      </c>
      <c r="N1582" s="1186" t="s">
        <v>1842</v>
      </c>
      <c r="O1582" s="1386"/>
      <c r="P1582" s="1714">
        <v>0</v>
      </c>
      <c r="Q1582" s="1367"/>
      <c r="R1582" s="1731">
        <v>0</v>
      </c>
      <c r="S1582" s="1367" t="s">
        <v>783</v>
      </c>
      <c r="T1582" s="1731">
        <v>0</v>
      </c>
      <c r="U1582" s="1367"/>
      <c r="V1582" s="1363"/>
      <c r="W1582" s="1391"/>
      <c r="X1582" s="1363"/>
      <c r="Y1582" s="1391"/>
      <c r="Z1582" s="1363"/>
      <c r="AA1582" s="1391"/>
      <c r="AB1582" s="1731"/>
      <c r="AC1582" s="1367"/>
      <c r="AD1582" s="1666"/>
      <c r="AE1582" s="1590"/>
      <c r="AF1582" s="1666"/>
      <c r="AG1582" s="1590"/>
      <c r="AH1582" s="1625" t="str">
        <f t="shared" si="552"/>
        <v>PAI-3B</v>
      </c>
      <c r="AI1582" s="1675">
        <f t="shared" si="544"/>
        <v>6450000</v>
      </c>
      <c r="AJ1582" s="1675">
        <f t="shared" si="545"/>
        <v>17700000</v>
      </c>
      <c r="AK1582" s="1520">
        <f t="shared" si="550"/>
        <v>11250000</v>
      </c>
      <c r="AL1582" s="2210" t="str">
        <f t="shared" si="551"/>
        <v>Cek</v>
      </c>
      <c r="AM1582" s="1666"/>
      <c r="AN1582" s="1590"/>
      <c r="AO1582"/>
      <c r="AP1582"/>
      <c r="AQ1582" s="1128"/>
      <c r="AR1582" s="1173"/>
      <c r="AT1582" s="1173"/>
      <c r="AV1582" s="1173"/>
      <c r="AX1582" s="1173"/>
      <c r="AY1582" s="1176"/>
      <c r="AZ1582" s="1173"/>
    </row>
    <row r="1583" spans="1:52" s="2" customFormat="1" x14ac:dyDescent="0.25">
      <c r="A1583" s="670">
        <v>1462</v>
      </c>
      <c r="B1583" s="671">
        <v>22</v>
      </c>
      <c r="C1583" s="2147">
        <v>849318007</v>
      </c>
      <c r="D1583" s="701" t="s">
        <v>2095</v>
      </c>
      <c r="E1583" s="441" t="s">
        <v>2089</v>
      </c>
      <c r="F1583" s="175">
        <v>2018</v>
      </c>
      <c r="G1583" s="1758" t="s">
        <v>28</v>
      </c>
      <c r="H1583" s="580" t="str">
        <f t="shared" si="542"/>
        <v xml:space="preserve">   </v>
      </c>
      <c r="I1583" s="580" t="str">
        <f t="shared" si="543"/>
        <v xml:space="preserve">   </v>
      </c>
      <c r="J1583" s="1366">
        <v>2700000</v>
      </c>
      <c r="K1583" s="1360">
        <v>43314</v>
      </c>
      <c r="L1583" s="1363">
        <v>3750000</v>
      </c>
      <c r="M1583" s="1360">
        <v>43314</v>
      </c>
      <c r="N1583" s="1363">
        <v>3750000</v>
      </c>
      <c r="O1583" s="1367">
        <v>43481</v>
      </c>
      <c r="P1583" s="1714">
        <v>3750000</v>
      </c>
      <c r="Q1583" s="1367">
        <v>43643.557766203703</v>
      </c>
      <c r="R1583" s="1731">
        <v>3750000</v>
      </c>
      <c r="S1583" s="1367">
        <v>43860.556076388901</v>
      </c>
      <c r="T1583" s="1731">
        <v>0</v>
      </c>
      <c r="U1583" s="1367"/>
      <c r="V1583" s="1363"/>
      <c r="W1583" s="1391"/>
      <c r="X1583" s="1363"/>
      <c r="Y1583" s="1391"/>
      <c r="Z1583" s="1363"/>
      <c r="AA1583" s="1391"/>
      <c r="AB1583" s="1731"/>
      <c r="AC1583" s="1367"/>
      <c r="AD1583" s="1666"/>
      <c r="AE1583" s="1590"/>
      <c r="AF1583" s="1666"/>
      <c r="AG1583" s="1590"/>
      <c r="AH1583" s="1625" t="str">
        <f t="shared" si="552"/>
        <v>PAI-3B</v>
      </c>
      <c r="AI1583" s="1675">
        <f t="shared" si="544"/>
        <v>17700000</v>
      </c>
      <c r="AJ1583" s="1675">
        <f t="shared" si="545"/>
        <v>21450000</v>
      </c>
      <c r="AK1583" s="1520">
        <f t="shared" si="550"/>
        <v>3750000</v>
      </c>
      <c r="AL1583" s="2210" t="str">
        <f t="shared" si="551"/>
        <v>Cek</v>
      </c>
      <c r="AM1583" s="1666"/>
      <c r="AN1583" s="1590"/>
      <c r="AO1583"/>
      <c r="AP1583"/>
      <c r="AQ1583" s="1128"/>
      <c r="AR1583" s="1173"/>
      <c r="AT1583" s="1173"/>
      <c r="AV1583" s="1173"/>
      <c r="AX1583" s="1173"/>
      <c r="AY1583" s="1176"/>
      <c r="AZ1583" s="1173"/>
    </row>
    <row r="1584" spans="1:52" s="2" customFormat="1" x14ac:dyDescent="0.25">
      <c r="A1584" s="670">
        <v>1463</v>
      </c>
      <c r="B1584" s="671">
        <v>23</v>
      </c>
      <c r="C1584" s="2147">
        <v>849318008</v>
      </c>
      <c r="D1584" s="701" t="s">
        <v>2096</v>
      </c>
      <c r="E1584" s="441" t="s">
        <v>2089</v>
      </c>
      <c r="F1584" s="175">
        <v>2018</v>
      </c>
      <c r="G1584" s="1758" t="s">
        <v>28</v>
      </c>
      <c r="H1584" s="580" t="str">
        <f t="shared" si="542"/>
        <v xml:space="preserve">   </v>
      </c>
      <c r="I1584" s="580" t="str">
        <f t="shared" si="543"/>
        <v xml:space="preserve">   </v>
      </c>
      <c r="J1584" s="1366">
        <v>2700000</v>
      </c>
      <c r="K1584" s="1360">
        <v>43313</v>
      </c>
      <c r="L1584" s="1363">
        <v>3750000</v>
      </c>
      <c r="M1584" s="1360">
        <v>43313</v>
      </c>
      <c r="N1584" s="1186" t="s">
        <v>1078</v>
      </c>
      <c r="O1584" s="1386">
        <v>43125</v>
      </c>
      <c r="P1584" s="1714">
        <v>0</v>
      </c>
      <c r="Q1584" s="1367"/>
      <c r="R1584" s="1731">
        <v>0</v>
      </c>
      <c r="S1584" s="1367" t="s">
        <v>783</v>
      </c>
      <c r="T1584" s="1731">
        <v>0</v>
      </c>
      <c r="U1584" s="1367"/>
      <c r="V1584" s="1363"/>
      <c r="W1584" s="1391"/>
      <c r="X1584" s="1363"/>
      <c r="Y1584" s="1391"/>
      <c r="Z1584" s="1363"/>
      <c r="AA1584" s="1391"/>
      <c r="AB1584" s="1731"/>
      <c r="AC1584" s="1367"/>
      <c r="AD1584" s="1666"/>
      <c r="AE1584" s="1590"/>
      <c r="AF1584" s="1666"/>
      <c r="AG1584" s="1590"/>
      <c r="AH1584" s="1625" t="str">
        <f t="shared" si="552"/>
        <v>PAI-3B</v>
      </c>
      <c r="AI1584" s="1675">
        <f t="shared" si="544"/>
        <v>6450000</v>
      </c>
      <c r="AJ1584" s="1675">
        <f t="shared" si="545"/>
        <v>17700000</v>
      </c>
      <c r="AK1584" s="1520">
        <f t="shared" si="550"/>
        <v>11250000</v>
      </c>
      <c r="AL1584" s="2210" t="str">
        <f t="shared" si="551"/>
        <v>Cek</v>
      </c>
      <c r="AM1584" s="1666"/>
      <c r="AN1584" s="1590"/>
      <c r="AO1584"/>
      <c r="AP1584"/>
      <c r="AQ1584" s="1128"/>
      <c r="AR1584" s="1173"/>
      <c r="AT1584" s="1173"/>
      <c r="AV1584" s="1173"/>
      <c r="AX1584" s="1173"/>
      <c r="AY1584" s="1176"/>
      <c r="AZ1584" s="1173"/>
    </row>
    <row r="1585" spans="1:52" s="2" customFormat="1" x14ac:dyDescent="0.25">
      <c r="A1585" s="670">
        <v>1464</v>
      </c>
      <c r="B1585" s="671">
        <v>24</v>
      </c>
      <c r="C1585" s="2147">
        <v>849318009</v>
      </c>
      <c r="D1585" s="701" t="s">
        <v>2097</v>
      </c>
      <c r="E1585" s="441" t="s">
        <v>2089</v>
      </c>
      <c r="F1585" s="175">
        <v>2018</v>
      </c>
      <c r="G1585" s="581" t="s">
        <v>1833</v>
      </c>
      <c r="H1585" s="580" t="str">
        <f t="shared" si="542"/>
        <v xml:space="preserve">   </v>
      </c>
      <c r="I1585" s="580" t="str">
        <f t="shared" si="543"/>
        <v xml:space="preserve">   </v>
      </c>
      <c r="J1585" s="1366">
        <v>2700000</v>
      </c>
      <c r="K1585" s="1360">
        <v>43314</v>
      </c>
      <c r="L1585" s="1363">
        <v>3750000</v>
      </c>
      <c r="M1585" s="1360">
        <v>43314</v>
      </c>
      <c r="N1585" s="1363">
        <v>3750000</v>
      </c>
      <c r="O1585" s="1367">
        <v>43483</v>
      </c>
      <c r="P1585" s="1714">
        <v>3750000</v>
      </c>
      <c r="Q1585" s="1367">
        <v>43644.556724536997</v>
      </c>
      <c r="R1585" s="1731">
        <v>3750000</v>
      </c>
      <c r="S1585" s="1367">
        <v>43861</v>
      </c>
      <c r="T1585" s="1186" t="s">
        <v>1078</v>
      </c>
      <c r="U1585" s="1386">
        <v>44071</v>
      </c>
      <c r="V1585" s="1363"/>
      <c r="W1585" s="1391"/>
      <c r="X1585" s="1363"/>
      <c r="Y1585" s="1391"/>
      <c r="Z1585" s="1363"/>
      <c r="AA1585" s="1391"/>
      <c r="AB1585" s="1731"/>
      <c r="AC1585" s="1367"/>
      <c r="AD1585" s="1666"/>
      <c r="AE1585" s="1590"/>
      <c r="AF1585" s="1666"/>
      <c r="AG1585" s="1590"/>
      <c r="AH1585" s="1625" t="str">
        <f t="shared" si="552"/>
        <v>PAI-3B</v>
      </c>
      <c r="AI1585" s="1675">
        <f t="shared" si="544"/>
        <v>17700000</v>
      </c>
      <c r="AJ1585" s="1675">
        <f t="shared" si="545"/>
        <v>17700000</v>
      </c>
      <c r="AK1585" s="1520">
        <f t="shared" si="550"/>
        <v>0</v>
      </c>
      <c r="AL1585" s="2210" t="str">
        <f t="shared" si="551"/>
        <v>Lunas</v>
      </c>
      <c r="AM1585" s="1666"/>
      <c r="AN1585" s="1590"/>
      <c r="AO1585"/>
      <c r="AP1585"/>
      <c r="AQ1585" s="1128"/>
      <c r="AR1585" s="1173"/>
      <c r="AT1585" s="1173"/>
      <c r="AV1585" s="1173"/>
      <c r="AX1585" s="1173"/>
      <c r="AY1585" s="1176"/>
      <c r="AZ1585" s="1173"/>
    </row>
    <row r="1586" spans="1:52" s="2" customFormat="1" x14ac:dyDescent="0.25">
      <c r="A1586" s="670">
        <v>1465</v>
      </c>
      <c r="B1586" s="671">
        <v>25</v>
      </c>
      <c r="C1586" s="2147">
        <v>849318010</v>
      </c>
      <c r="D1586" s="701" t="s">
        <v>2098</v>
      </c>
      <c r="E1586" s="441" t="s">
        <v>2089</v>
      </c>
      <c r="F1586" s="175">
        <v>2018</v>
      </c>
      <c r="G1586" s="581" t="s">
        <v>1833</v>
      </c>
      <c r="H1586" s="580" t="str">
        <f t="shared" si="542"/>
        <v xml:space="preserve">   </v>
      </c>
      <c r="I1586" s="580" t="str">
        <f t="shared" si="543"/>
        <v xml:space="preserve">   </v>
      </c>
      <c r="J1586" s="1366">
        <v>2700000</v>
      </c>
      <c r="K1586" s="1360">
        <v>43314</v>
      </c>
      <c r="L1586" s="1363">
        <v>3750000</v>
      </c>
      <c r="M1586" s="1360">
        <v>43314</v>
      </c>
      <c r="N1586" s="1363">
        <v>3750000</v>
      </c>
      <c r="O1586" s="2203">
        <v>43500</v>
      </c>
      <c r="P1586" s="1714">
        <v>3750000</v>
      </c>
      <c r="Q1586" s="1367">
        <v>43644.453564814801</v>
      </c>
      <c r="R1586" s="1731">
        <v>3750000</v>
      </c>
      <c r="S1586" s="1367">
        <v>43861.489212963003</v>
      </c>
      <c r="T1586" s="1186" t="s">
        <v>1078</v>
      </c>
      <c r="U1586" s="1386">
        <v>44071</v>
      </c>
      <c r="V1586" s="1363"/>
      <c r="W1586" s="1391"/>
      <c r="X1586" s="1363"/>
      <c r="Y1586" s="1391"/>
      <c r="Z1586" s="1363"/>
      <c r="AA1586" s="1391"/>
      <c r="AB1586" s="1731"/>
      <c r="AC1586" s="1367"/>
      <c r="AD1586" s="1666"/>
      <c r="AE1586" s="1590"/>
      <c r="AF1586" s="1666"/>
      <c r="AG1586" s="1590"/>
      <c r="AH1586" s="1625" t="str">
        <f t="shared" si="552"/>
        <v>PAI-3B</v>
      </c>
      <c r="AI1586" s="1675">
        <f t="shared" si="544"/>
        <v>17700000</v>
      </c>
      <c r="AJ1586" s="1675">
        <f t="shared" si="545"/>
        <v>17700000</v>
      </c>
      <c r="AK1586" s="1520">
        <f t="shared" si="550"/>
        <v>0</v>
      </c>
      <c r="AL1586" s="2210" t="str">
        <f t="shared" si="551"/>
        <v>Lunas</v>
      </c>
      <c r="AM1586" s="1666"/>
      <c r="AN1586" s="1590"/>
      <c r="AO1586"/>
      <c r="AP1586"/>
      <c r="AQ1586" s="1128"/>
      <c r="AR1586" s="1173"/>
      <c r="AT1586" s="1173"/>
      <c r="AV1586" s="1173"/>
      <c r="AX1586" s="1173"/>
      <c r="AY1586" s="1176"/>
      <c r="AZ1586" s="1173"/>
    </row>
    <row r="1587" spans="1:52" s="2" customFormat="1" x14ac:dyDescent="0.25">
      <c r="A1587" s="670">
        <v>1466</v>
      </c>
      <c r="B1587" s="671">
        <v>26</v>
      </c>
      <c r="C1587" s="2147">
        <v>849318011</v>
      </c>
      <c r="D1587" s="701" t="s">
        <v>2099</v>
      </c>
      <c r="E1587" s="441" t="s">
        <v>2089</v>
      </c>
      <c r="F1587" s="175">
        <v>2018</v>
      </c>
      <c r="G1587" s="581" t="s">
        <v>1833</v>
      </c>
      <c r="H1587" s="580" t="str">
        <f t="shared" si="542"/>
        <v xml:space="preserve">   </v>
      </c>
      <c r="I1587" s="580" t="str">
        <f t="shared" si="543"/>
        <v xml:space="preserve">   </v>
      </c>
      <c r="J1587" s="1366">
        <v>2700000</v>
      </c>
      <c r="K1587" s="1360">
        <v>43314</v>
      </c>
      <c r="L1587" s="1363">
        <v>3750000</v>
      </c>
      <c r="M1587" s="1360">
        <v>43314</v>
      </c>
      <c r="N1587" s="1363">
        <v>3750000</v>
      </c>
      <c r="O1587" s="1367">
        <v>43482</v>
      </c>
      <c r="P1587" s="1714">
        <v>3750000</v>
      </c>
      <c r="Q1587" s="1367">
        <v>43644.3520138889</v>
      </c>
      <c r="R1587" s="1731">
        <v>3750000</v>
      </c>
      <c r="S1587" s="1367">
        <v>43861.5219560185</v>
      </c>
      <c r="T1587" s="1186" t="s">
        <v>1078</v>
      </c>
      <c r="U1587" s="1386">
        <v>44071</v>
      </c>
      <c r="V1587" s="1363"/>
      <c r="W1587" s="1391"/>
      <c r="X1587" s="1363"/>
      <c r="Y1587" s="1391"/>
      <c r="Z1587" s="1363"/>
      <c r="AA1587" s="1391"/>
      <c r="AB1587" s="1731"/>
      <c r="AC1587" s="1367"/>
      <c r="AD1587" s="1666"/>
      <c r="AE1587" s="1590"/>
      <c r="AF1587" s="1666"/>
      <c r="AG1587" s="1590"/>
      <c r="AH1587" s="1625" t="str">
        <f t="shared" si="552"/>
        <v>PAI-3B</v>
      </c>
      <c r="AI1587" s="1675">
        <f t="shared" si="544"/>
        <v>17700000</v>
      </c>
      <c r="AJ1587" s="1675">
        <f t="shared" si="545"/>
        <v>17700000</v>
      </c>
      <c r="AK1587" s="1520">
        <f t="shared" si="550"/>
        <v>0</v>
      </c>
      <c r="AL1587" s="2210" t="str">
        <f t="shared" si="551"/>
        <v>Lunas</v>
      </c>
      <c r="AM1587" s="1666"/>
      <c r="AN1587" s="1590"/>
      <c r="AO1587"/>
      <c r="AP1587"/>
      <c r="AQ1587" s="1128"/>
      <c r="AR1587" s="1173"/>
      <c r="AT1587" s="1173"/>
      <c r="AV1587" s="1173"/>
      <c r="AX1587" s="1173"/>
      <c r="AY1587" s="1176"/>
      <c r="AZ1587" s="1173"/>
    </row>
    <row r="1588" spans="1:52" s="2" customFormat="1" x14ac:dyDescent="0.25">
      <c r="A1588" s="670">
        <v>1467</v>
      </c>
      <c r="B1588" s="2193">
        <v>27</v>
      </c>
      <c r="C1588" s="2147">
        <v>849318012</v>
      </c>
      <c r="D1588" s="2194" t="s">
        <v>2100</v>
      </c>
      <c r="E1588" s="179" t="s">
        <v>2089</v>
      </c>
      <c r="F1588" s="161">
        <v>2018</v>
      </c>
      <c r="G1588" s="272" t="s">
        <v>33</v>
      </c>
      <c r="H1588" s="628">
        <f t="shared" si="542"/>
        <v>43992</v>
      </c>
      <c r="I1588" s="580">
        <f t="shared" si="543"/>
        <v>44168</v>
      </c>
      <c r="J1588" s="1364">
        <v>2700000</v>
      </c>
      <c r="K1588" s="1365">
        <v>43312</v>
      </c>
      <c r="L1588" s="1358">
        <v>3750000</v>
      </c>
      <c r="M1588" s="1365">
        <v>43312</v>
      </c>
      <c r="N1588" s="1358">
        <v>3750000</v>
      </c>
      <c r="O1588" s="1357">
        <v>43482</v>
      </c>
      <c r="P1588" s="1385">
        <v>3750000</v>
      </c>
      <c r="Q1588" s="1357">
        <v>43643.559606481504</v>
      </c>
      <c r="R1588" s="1874">
        <v>3750000</v>
      </c>
      <c r="S1588" s="1357">
        <v>43858.476932870399</v>
      </c>
      <c r="T1588" s="1714"/>
      <c r="U1588" s="1391"/>
      <c r="V1588" s="1363"/>
      <c r="W1588" s="1391"/>
      <c r="X1588" s="1363"/>
      <c r="Y1588" s="1391"/>
      <c r="Z1588" s="1363"/>
      <c r="AA1588" s="1391"/>
      <c r="AB1588" s="1874">
        <v>0</v>
      </c>
      <c r="AC1588" s="1357"/>
      <c r="AD1588" s="1809">
        <v>0</v>
      </c>
      <c r="AE1588" s="1440"/>
      <c r="AF1588" s="1809">
        <v>0</v>
      </c>
      <c r="AG1588" s="1440"/>
      <c r="AH1588" s="1625" t="str">
        <f t="shared" si="552"/>
        <v>PAI-3B</v>
      </c>
      <c r="AI1588" s="1675">
        <f t="shared" si="544"/>
        <v>18200000</v>
      </c>
      <c r="AJ1588" s="1675">
        <f t="shared" si="545"/>
        <v>22000000</v>
      </c>
      <c r="AK1588" s="1520">
        <f t="shared" si="550"/>
        <v>3800000</v>
      </c>
      <c r="AL1588" s="2210" t="str">
        <f t="shared" si="551"/>
        <v>Cek</v>
      </c>
      <c r="AM1588" s="1666">
        <v>500000</v>
      </c>
      <c r="AN1588" s="1590">
        <v>44054.435185185197</v>
      </c>
      <c r="AO1588"/>
      <c r="AP1588"/>
      <c r="AQ1588" s="1128"/>
      <c r="AR1588" s="1173"/>
      <c r="AT1588" s="1173"/>
      <c r="AV1588" s="1173"/>
      <c r="AX1588" s="1173"/>
      <c r="AY1588" s="1176"/>
      <c r="AZ1588" s="1173"/>
    </row>
    <row r="1589" spans="1:52" s="2" customFormat="1" x14ac:dyDescent="0.25">
      <c r="A1589" s="670">
        <v>1468</v>
      </c>
      <c r="B1589" s="671">
        <v>28</v>
      </c>
      <c r="C1589" s="2147">
        <v>849318013</v>
      </c>
      <c r="D1589" s="701" t="s">
        <v>2101</v>
      </c>
      <c r="E1589" s="441" t="s">
        <v>2089</v>
      </c>
      <c r="F1589" s="175">
        <v>2018</v>
      </c>
      <c r="G1589" s="360" t="s">
        <v>1483</v>
      </c>
      <c r="H1589" s="580" t="str">
        <f t="shared" si="542"/>
        <v xml:space="preserve">   </v>
      </c>
      <c r="I1589" s="580" t="str">
        <f t="shared" si="543"/>
        <v xml:space="preserve">   </v>
      </c>
      <c r="J1589" s="1366">
        <v>2700000</v>
      </c>
      <c r="K1589" s="1360">
        <v>43313</v>
      </c>
      <c r="L1589" s="1363">
        <v>3750000</v>
      </c>
      <c r="M1589" s="1360">
        <v>43313</v>
      </c>
      <c r="N1589" s="1363">
        <v>3750000</v>
      </c>
      <c r="O1589" s="1367">
        <v>43483</v>
      </c>
      <c r="P1589" s="1714">
        <v>3750000</v>
      </c>
      <c r="Q1589" s="2208">
        <v>43644.601979166699</v>
      </c>
      <c r="R1589" s="1731">
        <v>3750000</v>
      </c>
      <c r="S1589" s="1367">
        <v>43854.494282407402</v>
      </c>
      <c r="T1589" s="1731">
        <v>3750000</v>
      </c>
      <c r="U1589" s="1367">
        <v>44062</v>
      </c>
      <c r="V1589" s="1363"/>
      <c r="W1589" s="1391"/>
      <c r="X1589" s="1363"/>
      <c r="Y1589" s="1391"/>
      <c r="Z1589" s="1363"/>
      <c r="AA1589" s="1391"/>
      <c r="AB1589" s="1731"/>
      <c r="AC1589" s="1367"/>
      <c r="AD1589" s="1666">
        <v>1200000</v>
      </c>
      <c r="AE1589" s="1590">
        <v>44208</v>
      </c>
      <c r="AF1589" s="1666"/>
      <c r="AG1589" s="1590"/>
      <c r="AH1589" s="1625" t="str">
        <f t="shared" si="552"/>
        <v>PAI-3B</v>
      </c>
      <c r="AI1589" s="1675">
        <f t="shared" si="544"/>
        <v>22650000</v>
      </c>
      <c r="AJ1589" s="1675">
        <f t="shared" si="545"/>
        <v>22650000</v>
      </c>
      <c r="AK1589" s="1520">
        <f t="shared" si="550"/>
        <v>0</v>
      </c>
      <c r="AL1589" s="2210" t="str">
        <f t="shared" si="551"/>
        <v>Lunas</v>
      </c>
      <c r="AM1589" s="1666"/>
      <c r="AN1589" s="1590"/>
      <c r="AO1589"/>
      <c r="AP1589"/>
      <c r="AQ1589" s="1128"/>
      <c r="AR1589" s="1173"/>
      <c r="AT1589" s="1173"/>
      <c r="AV1589" s="1173"/>
      <c r="AX1589" s="1173"/>
      <c r="AY1589" s="1176"/>
      <c r="AZ1589" s="1173"/>
    </row>
    <row r="1590" spans="1:52" s="2" customFormat="1" x14ac:dyDescent="0.25">
      <c r="A1590" s="670">
        <v>1469</v>
      </c>
      <c r="B1590" s="671">
        <v>29</v>
      </c>
      <c r="C1590" s="2147">
        <v>849318014</v>
      </c>
      <c r="D1590" s="701" t="s">
        <v>2102</v>
      </c>
      <c r="E1590" s="441" t="s">
        <v>2089</v>
      </c>
      <c r="F1590" s="175">
        <v>2018</v>
      </c>
      <c r="G1590" s="360" t="s">
        <v>1483</v>
      </c>
      <c r="H1590" s="580" t="str">
        <f t="shared" si="542"/>
        <v xml:space="preserve">   </v>
      </c>
      <c r="I1590" s="580" t="str">
        <f t="shared" si="543"/>
        <v xml:space="preserve">   </v>
      </c>
      <c r="J1590" s="1366">
        <v>2700000</v>
      </c>
      <c r="K1590" s="1360">
        <v>43314</v>
      </c>
      <c r="L1590" s="1363">
        <v>3750000</v>
      </c>
      <c r="M1590" s="1360">
        <v>43314</v>
      </c>
      <c r="N1590" s="1363">
        <v>3750000</v>
      </c>
      <c r="O1590" s="1367">
        <v>43482</v>
      </c>
      <c r="P1590" s="1714">
        <v>3750000</v>
      </c>
      <c r="Q1590" s="2208">
        <v>43644.601979166699</v>
      </c>
      <c r="R1590" s="1731">
        <v>3750000</v>
      </c>
      <c r="S1590" s="1367">
        <v>43859.399629629603</v>
      </c>
      <c r="T1590" s="1731">
        <v>3750000</v>
      </c>
      <c r="U1590" s="1367">
        <v>44070.3566319444</v>
      </c>
      <c r="V1590" s="1363"/>
      <c r="W1590" s="1391"/>
      <c r="X1590" s="1363"/>
      <c r="Y1590" s="1391"/>
      <c r="Z1590" s="1363"/>
      <c r="AA1590" s="1391"/>
      <c r="AB1590" s="1731"/>
      <c r="AC1590" s="1367"/>
      <c r="AD1590" s="1666"/>
      <c r="AE1590" s="1590"/>
      <c r="AF1590" s="1666"/>
      <c r="AG1590" s="1590"/>
      <c r="AH1590" s="1625" t="str">
        <f t="shared" si="552"/>
        <v>PAI-3B</v>
      </c>
      <c r="AI1590" s="1675">
        <f t="shared" si="544"/>
        <v>21450000</v>
      </c>
      <c r="AJ1590" s="1675">
        <f t="shared" si="545"/>
        <v>21450000</v>
      </c>
      <c r="AK1590" s="1520">
        <f t="shared" si="550"/>
        <v>0</v>
      </c>
      <c r="AL1590" s="2210" t="str">
        <f t="shared" si="551"/>
        <v>Lunas</v>
      </c>
      <c r="AM1590" s="1666"/>
      <c r="AN1590" s="1590"/>
      <c r="AO1590"/>
      <c r="AP1590"/>
      <c r="AQ1590" s="1128"/>
      <c r="AR1590" s="1173"/>
      <c r="AT1590" s="1173"/>
      <c r="AV1590" s="1173"/>
      <c r="AX1590" s="1173"/>
      <c r="AY1590" s="1176"/>
      <c r="AZ1590" s="1173"/>
    </row>
    <row r="1591" spans="1:52" s="2" customFormat="1" x14ac:dyDescent="0.25">
      <c r="A1591" s="670">
        <v>1470</v>
      </c>
      <c r="B1591" s="671">
        <v>30</v>
      </c>
      <c r="C1591" s="2147">
        <v>849318015</v>
      </c>
      <c r="D1591" s="701" t="s">
        <v>2103</v>
      </c>
      <c r="E1591" s="441" t="s">
        <v>2089</v>
      </c>
      <c r="F1591" s="175">
        <v>2018</v>
      </c>
      <c r="G1591" s="581" t="s">
        <v>1833</v>
      </c>
      <c r="H1591" s="580" t="str">
        <f t="shared" si="542"/>
        <v xml:space="preserve">   </v>
      </c>
      <c r="I1591" s="580" t="str">
        <f t="shared" si="543"/>
        <v xml:space="preserve">   </v>
      </c>
      <c r="J1591" s="1366">
        <v>2700000</v>
      </c>
      <c r="K1591" s="1360">
        <v>43313</v>
      </c>
      <c r="L1591" s="1363">
        <v>3750000</v>
      </c>
      <c r="M1591" s="1360">
        <v>43313</v>
      </c>
      <c r="N1591" s="1363">
        <v>3750000</v>
      </c>
      <c r="O1591" s="1367">
        <v>43482</v>
      </c>
      <c r="P1591" s="1714">
        <v>3750000</v>
      </c>
      <c r="Q1591" s="1367">
        <v>43643.402013888903</v>
      </c>
      <c r="R1591" s="1731">
        <v>3750000</v>
      </c>
      <c r="S1591" s="1367">
        <v>43861.441990740699</v>
      </c>
      <c r="T1591" s="1186" t="s">
        <v>1078</v>
      </c>
      <c r="U1591" s="1386">
        <v>44071</v>
      </c>
      <c r="V1591" s="1363"/>
      <c r="W1591" s="1391"/>
      <c r="X1591" s="1363"/>
      <c r="Y1591" s="1391"/>
      <c r="Z1591" s="1363"/>
      <c r="AA1591" s="1391"/>
      <c r="AB1591" s="1731"/>
      <c r="AC1591" s="1367"/>
      <c r="AD1591" s="1666"/>
      <c r="AE1591" s="1590"/>
      <c r="AF1591" s="1666"/>
      <c r="AG1591" s="1590"/>
      <c r="AH1591" s="1625" t="str">
        <f t="shared" si="552"/>
        <v>PAI-3B</v>
      </c>
      <c r="AI1591" s="1675">
        <f t="shared" si="544"/>
        <v>17700000</v>
      </c>
      <c r="AJ1591" s="1675">
        <f t="shared" si="545"/>
        <v>17700000</v>
      </c>
      <c r="AK1591" s="1520">
        <f t="shared" si="550"/>
        <v>0</v>
      </c>
      <c r="AL1591" s="2210" t="str">
        <f t="shared" si="551"/>
        <v>Lunas</v>
      </c>
      <c r="AM1591" s="1666"/>
      <c r="AN1591" s="1590"/>
      <c r="AO1591"/>
      <c r="AP1591"/>
      <c r="AQ1591" s="1128"/>
      <c r="AR1591" s="1173"/>
      <c r="AT1591" s="1173"/>
      <c r="AV1591" s="1173"/>
      <c r="AX1591" s="1173"/>
      <c r="AY1591" s="1176"/>
      <c r="AZ1591" s="1173"/>
    </row>
    <row r="1592" spans="1:52" s="2" customFormat="1" x14ac:dyDescent="0.25">
      <c r="A1592" s="670">
        <v>1471</v>
      </c>
      <c r="B1592" s="671">
        <v>31</v>
      </c>
      <c r="C1592" s="2147">
        <v>849318016</v>
      </c>
      <c r="D1592" s="701" t="s">
        <v>2104</v>
      </c>
      <c r="E1592" s="441" t="s">
        <v>2089</v>
      </c>
      <c r="F1592" s="175">
        <v>2018</v>
      </c>
      <c r="G1592" s="360" t="s">
        <v>1483</v>
      </c>
      <c r="H1592" s="580" t="str">
        <f t="shared" si="542"/>
        <v xml:space="preserve">   </v>
      </c>
      <c r="I1592" s="580" t="str">
        <f t="shared" si="543"/>
        <v xml:space="preserve">   </v>
      </c>
      <c r="J1592" s="1366">
        <v>2700000</v>
      </c>
      <c r="K1592" s="1360">
        <v>43314</v>
      </c>
      <c r="L1592" s="1363">
        <v>3750000</v>
      </c>
      <c r="M1592" s="1360">
        <v>43314</v>
      </c>
      <c r="N1592" s="1363">
        <v>3750000</v>
      </c>
      <c r="O1592" s="1367">
        <v>43481</v>
      </c>
      <c r="P1592" s="1714">
        <v>3750000</v>
      </c>
      <c r="Q1592" s="1367">
        <v>43644.418738425898</v>
      </c>
      <c r="R1592" s="1731">
        <v>3750000</v>
      </c>
      <c r="S1592" s="1367">
        <v>43858.443807870397</v>
      </c>
      <c r="T1592" s="1731">
        <v>3750000</v>
      </c>
      <c r="U1592" s="1367">
        <v>44071.420868055597</v>
      </c>
      <c r="V1592" s="1363"/>
      <c r="W1592" s="1391"/>
      <c r="X1592" s="1363"/>
      <c r="Y1592" s="1391"/>
      <c r="Z1592" s="1363"/>
      <c r="AA1592" s="1391"/>
      <c r="AB1592" s="1731"/>
      <c r="AC1592" s="1367"/>
      <c r="AD1592" s="1666"/>
      <c r="AE1592" s="1590"/>
      <c r="AF1592" s="1666"/>
      <c r="AG1592" s="1590"/>
      <c r="AH1592" s="1625" t="str">
        <f t="shared" si="552"/>
        <v>PAI-3B</v>
      </c>
      <c r="AI1592" s="1675">
        <f t="shared" si="544"/>
        <v>21450000</v>
      </c>
      <c r="AJ1592" s="1675">
        <f t="shared" si="545"/>
        <v>21450000</v>
      </c>
      <c r="AK1592" s="1520">
        <f t="shared" si="550"/>
        <v>0</v>
      </c>
      <c r="AL1592" s="2210" t="str">
        <f t="shared" si="551"/>
        <v>Lunas</v>
      </c>
      <c r="AM1592" s="1666"/>
      <c r="AN1592" s="1590"/>
      <c r="AO1592"/>
      <c r="AP1592"/>
      <c r="AQ1592" s="1128"/>
      <c r="AR1592" s="1173"/>
      <c r="AT1592" s="1173"/>
      <c r="AV1592" s="1173"/>
      <c r="AX1592" s="1173"/>
      <c r="AY1592" s="1176"/>
      <c r="AZ1592" s="1173"/>
    </row>
    <row r="1593" spans="1:52" s="2" customFormat="1" x14ac:dyDescent="0.25">
      <c r="A1593" s="670">
        <v>1472</v>
      </c>
      <c r="B1593" s="2193">
        <v>32</v>
      </c>
      <c r="C1593" s="2147">
        <v>849318017</v>
      </c>
      <c r="D1593" s="2194" t="s">
        <v>2105</v>
      </c>
      <c r="E1593" s="179" t="s">
        <v>2089</v>
      </c>
      <c r="F1593" s="161">
        <v>2018</v>
      </c>
      <c r="G1593" s="272" t="s">
        <v>33</v>
      </c>
      <c r="H1593" s="628">
        <f t="shared" si="542"/>
        <v>44089</v>
      </c>
      <c r="I1593" s="580" t="str">
        <f t="shared" si="543"/>
        <v xml:space="preserve">   </v>
      </c>
      <c r="J1593" s="1364">
        <v>2700000</v>
      </c>
      <c r="K1593" s="1365">
        <v>43314</v>
      </c>
      <c r="L1593" s="1358">
        <v>3750000</v>
      </c>
      <c r="M1593" s="1365">
        <v>43314</v>
      </c>
      <c r="N1593" s="1358">
        <v>3750000</v>
      </c>
      <c r="O1593" s="1357">
        <v>43481</v>
      </c>
      <c r="P1593" s="1385">
        <v>3750000</v>
      </c>
      <c r="Q1593" s="1357">
        <v>43643.563032407401</v>
      </c>
      <c r="R1593" s="1874">
        <v>3750000</v>
      </c>
      <c r="S1593" s="1357">
        <v>43858.581712963001</v>
      </c>
      <c r="T1593" s="1714"/>
      <c r="U1593" s="1391"/>
      <c r="V1593" s="1363"/>
      <c r="W1593" s="1391"/>
      <c r="X1593" s="1363"/>
      <c r="Y1593" s="1391"/>
      <c r="Z1593" s="1363"/>
      <c r="AA1593" s="1391"/>
      <c r="AB1593" s="1874">
        <v>0</v>
      </c>
      <c r="AC1593" s="1357"/>
      <c r="AD1593" s="1809">
        <v>0</v>
      </c>
      <c r="AE1593" s="1440"/>
      <c r="AF1593" s="1809">
        <v>0</v>
      </c>
      <c r="AG1593" s="1440"/>
      <c r="AH1593" s="1625" t="str">
        <f t="shared" si="552"/>
        <v>PAI-3B</v>
      </c>
      <c r="AI1593" s="1675">
        <f t="shared" si="544"/>
        <v>17700000</v>
      </c>
      <c r="AJ1593" s="1675">
        <f t="shared" si="545"/>
        <v>22000000</v>
      </c>
      <c r="AK1593" s="1520">
        <f t="shared" si="550"/>
        <v>4300000</v>
      </c>
      <c r="AL1593" s="2210" t="str">
        <f t="shared" si="551"/>
        <v>Cek</v>
      </c>
      <c r="AM1593" s="1666">
        <v>0</v>
      </c>
      <c r="AN1593" s="1590"/>
      <c r="AO1593"/>
      <c r="AP1593"/>
      <c r="AQ1593" s="1128"/>
      <c r="AR1593" s="1173"/>
      <c r="AT1593" s="1173"/>
      <c r="AV1593" s="1173"/>
      <c r="AX1593" s="1173"/>
      <c r="AY1593" s="1176"/>
      <c r="AZ1593" s="1173"/>
    </row>
    <row r="1594" spans="1:52" s="2" customFormat="1" x14ac:dyDescent="0.25">
      <c r="A1594" s="670">
        <v>1473</v>
      </c>
      <c r="B1594" s="671">
        <v>33</v>
      </c>
      <c r="C1594" s="2147">
        <v>849318018</v>
      </c>
      <c r="D1594" s="701" t="s">
        <v>2106</v>
      </c>
      <c r="E1594" s="441" t="s">
        <v>2089</v>
      </c>
      <c r="F1594" s="175">
        <v>2018</v>
      </c>
      <c r="G1594" s="581" t="s">
        <v>1833</v>
      </c>
      <c r="H1594" s="580" t="str">
        <f t="shared" si="542"/>
        <v xml:space="preserve">   </v>
      </c>
      <c r="I1594" s="580" t="str">
        <f t="shared" si="543"/>
        <v xml:space="preserve">   </v>
      </c>
      <c r="J1594" s="1366">
        <v>2700000</v>
      </c>
      <c r="K1594" s="1360">
        <v>43314</v>
      </c>
      <c r="L1594" s="1363">
        <v>3750000</v>
      </c>
      <c r="M1594" s="1360">
        <v>43314</v>
      </c>
      <c r="N1594" s="1363">
        <v>3750000</v>
      </c>
      <c r="O1594" s="1367">
        <v>43481</v>
      </c>
      <c r="P1594" s="1714">
        <v>3750000</v>
      </c>
      <c r="Q1594" s="1367">
        <v>43644.545856481498</v>
      </c>
      <c r="R1594" s="1731">
        <v>3750000</v>
      </c>
      <c r="S1594" s="1367">
        <v>43861.491087962997</v>
      </c>
      <c r="T1594" s="1186" t="s">
        <v>1078</v>
      </c>
      <c r="U1594" s="1386">
        <v>44071</v>
      </c>
      <c r="V1594" s="1363"/>
      <c r="W1594" s="1391"/>
      <c r="X1594" s="1363"/>
      <c r="Y1594" s="1391"/>
      <c r="Z1594" s="1363"/>
      <c r="AA1594" s="1391"/>
      <c r="AB1594" s="1731"/>
      <c r="AC1594" s="1367"/>
      <c r="AD1594" s="1666"/>
      <c r="AE1594" s="1590"/>
      <c r="AF1594" s="1666"/>
      <c r="AG1594" s="1590"/>
      <c r="AH1594" s="1625" t="str">
        <f t="shared" si="552"/>
        <v>PAI-3B</v>
      </c>
      <c r="AI1594" s="1675">
        <f t="shared" si="544"/>
        <v>17700000</v>
      </c>
      <c r="AJ1594" s="1675">
        <f t="shared" ref="AJ1594:AJ1618" si="553">(COUNT(L1594,N1594,P1594,R1594,T1594,V1594,X1594,Z1594)*$G$1507)+(COUNT(J1594)*$J$1507)+(COUNT(AB1594)*$AB$1507)+(COUNT(AD1594)*$AD$1507)+(COUNT(AF1594)*$AF$1507)+(COUNT(AM1594)*$AM$1507)</f>
        <v>17700000</v>
      </c>
      <c r="AK1594" s="1520">
        <f t="shared" si="550"/>
        <v>0</v>
      </c>
      <c r="AL1594" s="2210" t="str">
        <f t="shared" si="551"/>
        <v>Lunas</v>
      </c>
      <c r="AM1594" s="1666"/>
      <c r="AN1594" s="1590"/>
      <c r="AO1594"/>
      <c r="AP1594"/>
      <c r="AQ1594" s="1128"/>
      <c r="AR1594" s="1173"/>
      <c r="AT1594" s="1173"/>
      <c r="AV1594" s="1173"/>
      <c r="AX1594" s="1173"/>
      <c r="AY1594" s="1176"/>
      <c r="AZ1594" s="1173"/>
    </row>
    <row r="1595" spans="1:52" s="2" customFormat="1" x14ac:dyDescent="0.25">
      <c r="A1595" s="670">
        <v>1474</v>
      </c>
      <c r="B1595" s="671">
        <v>34</v>
      </c>
      <c r="C1595" s="2147">
        <v>849318019</v>
      </c>
      <c r="D1595" s="701" t="s">
        <v>2107</v>
      </c>
      <c r="E1595" s="441" t="s">
        <v>2089</v>
      </c>
      <c r="F1595" s="175">
        <v>2018</v>
      </c>
      <c r="G1595" s="1758" t="s">
        <v>28</v>
      </c>
      <c r="H1595" s="580" t="str">
        <f t="shared" si="542"/>
        <v xml:space="preserve">   </v>
      </c>
      <c r="I1595" s="580" t="str">
        <f t="shared" si="543"/>
        <v xml:space="preserve">   </v>
      </c>
      <c r="J1595" s="1366">
        <v>2700000</v>
      </c>
      <c r="K1595" s="1360">
        <v>43315</v>
      </c>
      <c r="L1595" s="1363">
        <v>3750000</v>
      </c>
      <c r="M1595" s="1360">
        <v>43315</v>
      </c>
      <c r="N1595" s="1363">
        <v>3750000</v>
      </c>
      <c r="O1595" s="1367">
        <v>43494</v>
      </c>
      <c r="P1595" s="1714">
        <v>3750000</v>
      </c>
      <c r="Q1595" s="1367">
        <v>43644.432627314804</v>
      </c>
      <c r="R1595" s="1731">
        <v>0</v>
      </c>
      <c r="S1595" s="1367" t="s">
        <v>783</v>
      </c>
      <c r="T1595" s="1731">
        <v>0</v>
      </c>
      <c r="U1595" s="1367"/>
      <c r="V1595" s="1363"/>
      <c r="W1595" s="1391"/>
      <c r="X1595" s="1363"/>
      <c r="Y1595" s="1391"/>
      <c r="Z1595" s="1363"/>
      <c r="AA1595" s="1391"/>
      <c r="AB1595" s="1731"/>
      <c r="AC1595" s="1367"/>
      <c r="AD1595" s="1666"/>
      <c r="AE1595" s="1590"/>
      <c r="AF1595" s="1666"/>
      <c r="AG1595" s="1590"/>
      <c r="AH1595" s="1625" t="str">
        <f t="shared" si="552"/>
        <v>PAI-3B</v>
      </c>
      <c r="AI1595" s="1675">
        <f t="shared" si="544"/>
        <v>13950000</v>
      </c>
      <c r="AJ1595" s="1675">
        <f t="shared" si="553"/>
        <v>21450000</v>
      </c>
      <c r="AK1595" s="1520">
        <f t="shared" si="550"/>
        <v>7500000</v>
      </c>
      <c r="AL1595" s="2210" t="str">
        <f t="shared" si="551"/>
        <v>Cek</v>
      </c>
      <c r="AM1595" s="1666"/>
      <c r="AN1595" s="1590"/>
      <c r="AO1595"/>
      <c r="AP1595"/>
      <c r="AQ1595" s="1128"/>
      <c r="AR1595" s="1173"/>
      <c r="AT1595" s="1173"/>
      <c r="AV1595" s="1173"/>
      <c r="AX1595" s="1173"/>
      <c r="AY1595" s="1176"/>
      <c r="AZ1595" s="1173"/>
    </row>
    <row r="1596" spans="1:52" s="2" customFormat="1" x14ac:dyDescent="0.25">
      <c r="A1596" s="670">
        <v>1475</v>
      </c>
      <c r="B1596" s="671">
        <v>35</v>
      </c>
      <c r="C1596" s="2147">
        <v>849318020</v>
      </c>
      <c r="D1596" s="701" t="s">
        <v>2108</v>
      </c>
      <c r="E1596" s="441" t="s">
        <v>2089</v>
      </c>
      <c r="F1596" s="175">
        <v>2018</v>
      </c>
      <c r="G1596" s="581" t="s">
        <v>1833</v>
      </c>
      <c r="H1596" s="580" t="str">
        <f t="shared" si="542"/>
        <v xml:space="preserve">   </v>
      </c>
      <c r="I1596" s="580" t="str">
        <f t="shared" si="543"/>
        <v xml:space="preserve">   </v>
      </c>
      <c r="J1596" s="1366">
        <v>2700000</v>
      </c>
      <c r="K1596" s="1360">
        <v>43314</v>
      </c>
      <c r="L1596" s="1363">
        <v>3750000</v>
      </c>
      <c r="M1596" s="1360">
        <v>43314</v>
      </c>
      <c r="N1596" s="1363">
        <v>3750000</v>
      </c>
      <c r="O1596" s="1367">
        <v>43481</v>
      </c>
      <c r="P1596" s="1714">
        <v>3750000</v>
      </c>
      <c r="Q1596" s="1367">
        <v>43644.3694791667</v>
      </c>
      <c r="R1596" s="1731">
        <v>3750000</v>
      </c>
      <c r="S1596" s="1367">
        <v>43861.423275462999</v>
      </c>
      <c r="T1596" s="1186" t="s">
        <v>1078</v>
      </c>
      <c r="U1596" s="1386">
        <v>44071</v>
      </c>
      <c r="V1596" s="1363"/>
      <c r="W1596" s="1391"/>
      <c r="X1596" s="1363"/>
      <c r="Y1596" s="1391"/>
      <c r="Z1596" s="1363"/>
      <c r="AA1596" s="1391"/>
      <c r="AB1596" s="1731"/>
      <c r="AC1596" s="1367"/>
      <c r="AD1596" s="1666"/>
      <c r="AE1596" s="1590"/>
      <c r="AF1596" s="1666"/>
      <c r="AG1596" s="1590"/>
      <c r="AH1596" s="1625" t="str">
        <f t="shared" si="552"/>
        <v>PAI-3B</v>
      </c>
      <c r="AI1596" s="1675">
        <f t="shared" si="544"/>
        <v>17700000</v>
      </c>
      <c r="AJ1596" s="1675">
        <f t="shared" si="553"/>
        <v>17700000</v>
      </c>
      <c r="AK1596" s="1520">
        <f t="shared" si="550"/>
        <v>0</v>
      </c>
      <c r="AL1596" s="2210" t="str">
        <f t="shared" si="551"/>
        <v>Lunas</v>
      </c>
      <c r="AM1596" s="1666"/>
      <c r="AN1596" s="1590"/>
      <c r="AO1596"/>
      <c r="AP1596"/>
      <c r="AQ1596" s="1128"/>
      <c r="AR1596" s="1173"/>
      <c r="AT1596" s="1173"/>
      <c r="AV1596" s="1173"/>
      <c r="AX1596" s="1173"/>
      <c r="AY1596" s="1176"/>
      <c r="AZ1596" s="1173"/>
    </row>
    <row r="1597" spans="1:52" s="2" customFormat="1" x14ac:dyDescent="0.25">
      <c r="A1597" s="670">
        <v>1476</v>
      </c>
      <c r="B1597" s="671">
        <v>36</v>
      </c>
      <c r="C1597" s="2147">
        <v>849318021</v>
      </c>
      <c r="D1597" s="701" t="s">
        <v>2109</v>
      </c>
      <c r="E1597" s="441" t="s">
        <v>2089</v>
      </c>
      <c r="F1597" s="175">
        <v>2018</v>
      </c>
      <c r="G1597" s="360" t="s">
        <v>1483</v>
      </c>
      <c r="H1597" s="580" t="str">
        <f t="shared" si="542"/>
        <v xml:space="preserve">   </v>
      </c>
      <c r="I1597" s="580" t="str">
        <f t="shared" si="543"/>
        <v xml:space="preserve">   </v>
      </c>
      <c r="J1597" s="1366">
        <v>2700000</v>
      </c>
      <c r="K1597" s="1360">
        <v>43311</v>
      </c>
      <c r="L1597" s="1363">
        <v>3750000</v>
      </c>
      <c r="M1597" s="1360">
        <v>43311</v>
      </c>
      <c r="N1597" s="1363">
        <v>3750000</v>
      </c>
      <c r="O1597" s="1367">
        <v>43481</v>
      </c>
      <c r="P1597" s="1714">
        <v>3750000</v>
      </c>
      <c r="Q1597" s="1367">
        <v>43643.449629629598</v>
      </c>
      <c r="R1597" s="1731">
        <v>3750000</v>
      </c>
      <c r="S1597" s="1367">
        <v>43857.3982986111</v>
      </c>
      <c r="T1597" s="1731">
        <v>3750000</v>
      </c>
      <c r="U1597" s="1367">
        <v>44067.616909722201</v>
      </c>
      <c r="V1597" s="1363"/>
      <c r="W1597" s="1391"/>
      <c r="X1597" s="1363"/>
      <c r="Y1597" s="1391"/>
      <c r="Z1597" s="1363"/>
      <c r="AA1597" s="1391"/>
      <c r="AB1597" s="1731"/>
      <c r="AC1597" s="1367"/>
      <c r="AD1597" s="1666"/>
      <c r="AE1597" s="1590"/>
      <c r="AF1597" s="1666"/>
      <c r="AG1597" s="1590"/>
      <c r="AH1597" s="1625" t="str">
        <f t="shared" si="552"/>
        <v>PAI-3B</v>
      </c>
      <c r="AI1597" s="1675">
        <f t="shared" si="544"/>
        <v>21450000</v>
      </c>
      <c r="AJ1597" s="1675">
        <f t="shared" si="553"/>
        <v>21450000</v>
      </c>
      <c r="AK1597" s="1520">
        <f t="shared" si="550"/>
        <v>0</v>
      </c>
      <c r="AL1597" s="2210" t="str">
        <f t="shared" si="551"/>
        <v>Lunas</v>
      </c>
      <c r="AM1597" s="1666"/>
      <c r="AN1597" s="1590"/>
      <c r="AO1597"/>
      <c r="AP1597"/>
      <c r="AQ1597" s="1128"/>
      <c r="AR1597" s="1173"/>
      <c r="AT1597" s="1173"/>
      <c r="AV1597" s="1173"/>
      <c r="AX1597" s="1173"/>
      <c r="AY1597" s="1176"/>
      <c r="AZ1597" s="1173"/>
    </row>
    <row r="1598" spans="1:52" s="2" customFormat="1" x14ac:dyDescent="0.25">
      <c r="A1598" s="670">
        <v>1477</v>
      </c>
      <c r="B1598" s="671">
        <v>37</v>
      </c>
      <c r="C1598" s="2147">
        <v>849318022</v>
      </c>
      <c r="D1598" s="701" t="s">
        <v>2110</v>
      </c>
      <c r="E1598" s="441" t="s">
        <v>2111</v>
      </c>
      <c r="F1598" s="175">
        <v>2018</v>
      </c>
      <c r="G1598" s="360" t="s">
        <v>1483</v>
      </c>
      <c r="H1598" s="580" t="str">
        <f t="shared" si="542"/>
        <v xml:space="preserve">   </v>
      </c>
      <c r="I1598" s="580" t="str">
        <f t="shared" si="543"/>
        <v xml:space="preserve">   </v>
      </c>
      <c r="J1598" s="1366">
        <v>2700000</v>
      </c>
      <c r="K1598" s="1360">
        <v>43314</v>
      </c>
      <c r="L1598" s="1363">
        <v>3750000</v>
      </c>
      <c r="M1598" s="1360">
        <v>43314</v>
      </c>
      <c r="N1598" s="1363">
        <v>3750000</v>
      </c>
      <c r="O1598" s="1367">
        <v>43481</v>
      </c>
      <c r="P1598" s="1714">
        <v>3750000</v>
      </c>
      <c r="Q1598" s="1367">
        <v>43644.419247685197</v>
      </c>
      <c r="R1598" s="2077" t="s">
        <v>1078</v>
      </c>
      <c r="S1598" s="1386" t="s">
        <v>1818</v>
      </c>
      <c r="T1598" s="1731">
        <v>3750000</v>
      </c>
      <c r="U1598" s="1367">
        <v>44070.405324074098</v>
      </c>
      <c r="V1598" s="1363"/>
      <c r="W1598" s="1391"/>
      <c r="X1598" s="1363"/>
      <c r="Y1598" s="1391"/>
      <c r="Z1598" s="1363"/>
      <c r="AA1598" s="1391"/>
      <c r="AB1598" s="1731"/>
      <c r="AC1598" s="1367"/>
      <c r="AD1598" s="1666"/>
      <c r="AE1598" s="1590"/>
      <c r="AF1598" s="1666"/>
      <c r="AG1598" s="1590"/>
      <c r="AH1598" s="1625" t="str">
        <f t="shared" si="552"/>
        <v>PAI-3C</v>
      </c>
      <c r="AI1598" s="1675">
        <f t="shared" si="544"/>
        <v>17700000</v>
      </c>
      <c r="AJ1598" s="1675">
        <f t="shared" si="553"/>
        <v>17700000</v>
      </c>
      <c r="AK1598" s="1520">
        <f t="shared" si="550"/>
        <v>0</v>
      </c>
      <c r="AL1598" s="2210" t="str">
        <f t="shared" si="551"/>
        <v>Lunas</v>
      </c>
      <c r="AM1598" s="1666"/>
      <c r="AN1598" s="1590"/>
      <c r="AO1598"/>
      <c r="AP1598"/>
      <c r="AQ1598" s="1128"/>
      <c r="AR1598" s="1173"/>
      <c r="AT1598" s="1173"/>
      <c r="AV1598" s="1173"/>
      <c r="AX1598" s="1173"/>
      <c r="AY1598" s="1176"/>
      <c r="AZ1598" s="1173"/>
    </row>
    <row r="1599" spans="1:52" s="2" customFormat="1" x14ac:dyDescent="0.25">
      <c r="A1599" s="670">
        <v>1478</v>
      </c>
      <c r="B1599" s="671">
        <v>38</v>
      </c>
      <c r="C1599" s="2147">
        <v>849318023</v>
      </c>
      <c r="D1599" s="701" t="s">
        <v>2112</v>
      </c>
      <c r="E1599" s="441" t="s">
        <v>2111</v>
      </c>
      <c r="F1599" s="175">
        <v>2018</v>
      </c>
      <c r="G1599" s="581" t="s">
        <v>1833</v>
      </c>
      <c r="H1599" s="580" t="str">
        <f t="shared" si="542"/>
        <v xml:space="preserve">   </v>
      </c>
      <c r="I1599" s="580" t="str">
        <f t="shared" si="543"/>
        <v xml:space="preserve">   </v>
      </c>
      <c r="J1599" s="1366">
        <v>2700000</v>
      </c>
      <c r="K1599" s="1360">
        <v>43313</v>
      </c>
      <c r="L1599" s="1363">
        <v>3750000</v>
      </c>
      <c r="M1599" s="1360">
        <v>43313</v>
      </c>
      <c r="N1599" s="1363">
        <v>3750000</v>
      </c>
      <c r="O1599" s="1367">
        <v>43483</v>
      </c>
      <c r="P1599" s="1714">
        <v>3750000</v>
      </c>
      <c r="Q1599" s="1367">
        <v>43635.532962963</v>
      </c>
      <c r="R1599" s="1731">
        <v>3750000</v>
      </c>
      <c r="S1599" s="1367">
        <v>43857.605717592603</v>
      </c>
      <c r="T1599" s="1186" t="s">
        <v>1078</v>
      </c>
      <c r="U1599" s="1386">
        <v>44071</v>
      </c>
      <c r="V1599" s="1363"/>
      <c r="W1599" s="1391"/>
      <c r="X1599" s="1363"/>
      <c r="Y1599" s="1391"/>
      <c r="Z1599" s="1363"/>
      <c r="AA1599" s="1391"/>
      <c r="AB1599" s="1731"/>
      <c r="AC1599" s="1367"/>
      <c r="AD1599" s="1666"/>
      <c r="AE1599" s="1590"/>
      <c r="AF1599" s="1666"/>
      <c r="AG1599" s="1590"/>
      <c r="AH1599" s="1625" t="str">
        <f t="shared" si="552"/>
        <v>PAI-3C</v>
      </c>
      <c r="AI1599" s="1675">
        <f t="shared" si="544"/>
        <v>17700000</v>
      </c>
      <c r="AJ1599" s="1675">
        <f t="shared" si="553"/>
        <v>17700000</v>
      </c>
      <c r="AK1599" s="1520">
        <f t="shared" si="550"/>
        <v>0</v>
      </c>
      <c r="AL1599" s="2210" t="str">
        <f t="shared" si="551"/>
        <v>Lunas</v>
      </c>
      <c r="AM1599" s="1666"/>
      <c r="AN1599" s="1590"/>
      <c r="AO1599"/>
      <c r="AP1599"/>
      <c r="AQ1599" s="1128"/>
      <c r="AR1599" s="1173"/>
      <c r="AT1599" s="1173"/>
      <c r="AV1599" s="1173"/>
      <c r="AX1599" s="1173"/>
      <c r="AY1599" s="1176"/>
      <c r="AZ1599" s="1173"/>
    </row>
    <row r="1600" spans="1:52" s="2" customFormat="1" x14ac:dyDescent="0.25">
      <c r="A1600" s="670">
        <v>1479</v>
      </c>
      <c r="B1600" s="671">
        <v>39</v>
      </c>
      <c r="C1600" s="2147">
        <v>849318024</v>
      </c>
      <c r="D1600" s="701" t="s">
        <v>2113</v>
      </c>
      <c r="E1600" s="441" t="s">
        <v>2111</v>
      </c>
      <c r="F1600" s="175">
        <v>2018</v>
      </c>
      <c r="G1600" s="360" t="s">
        <v>1483</v>
      </c>
      <c r="H1600" s="580" t="str">
        <f t="shared" si="542"/>
        <v xml:space="preserve">   </v>
      </c>
      <c r="I1600" s="580" t="str">
        <f t="shared" si="543"/>
        <v xml:space="preserve">   </v>
      </c>
      <c r="J1600" s="1366">
        <v>2700000</v>
      </c>
      <c r="K1600" s="1360">
        <v>43314</v>
      </c>
      <c r="L1600" s="1363">
        <v>3750000</v>
      </c>
      <c r="M1600" s="1360">
        <v>43314</v>
      </c>
      <c r="N1600" s="1363">
        <v>3750000</v>
      </c>
      <c r="O1600" s="1367">
        <v>43480</v>
      </c>
      <c r="P1600" s="1714">
        <v>3750000</v>
      </c>
      <c r="Q1600" s="1367">
        <v>43643.472928240699</v>
      </c>
      <c r="R1600" s="1731">
        <v>3750000</v>
      </c>
      <c r="S1600" s="1367">
        <v>43861.356203703697</v>
      </c>
      <c r="T1600" s="1731">
        <v>0</v>
      </c>
      <c r="U1600" s="1367"/>
      <c r="V1600" s="1363"/>
      <c r="W1600" s="1391"/>
      <c r="X1600" s="1363"/>
      <c r="Y1600" s="1391"/>
      <c r="Z1600" s="1363"/>
      <c r="AA1600" s="1391"/>
      <c r="AB1600" s="1731"/>
      <c r="AC1600" s="1367"/>
      <c r="AD1600" s="1666"/>
      <c r="AE1600" s="1590"/>
      <c r="AF1600" s="1666"/>
      <c r="AG1600" s="1590"/>
      <c r="AH1600" s="1625" t="str">
        <f t="shared" si="552"/>
        <v>PAI-3C</v>
      </c>
      <c r="AI1600" s="1675">
        <f t="shared" si="544"/>
        <v>17700000</v>
      </c>
      <c r="AJ1600" s="1675">
        <f t="shared" si="553"/>
        <v>21450000</v>
      </c>
      <c r="AK1600" s="1520">
        <f t="shared" si="550"/>
        <v>3750000</v>
      </c>
      <c r="AL1600" s="2210" t="str">
        <f t="shared" si="551"/>
        <v>Cek</v>
      </c>
      <c r="AM1600" s="1666"/>
      <c r="AN1600" s="1590"/>
      <c r="AO1600"/>
      <c r="AP1600"/>
      <c r="AQ1600" s="1128"/>
      <c r="AR1600" s="1173"/>
      <c r="AT1600" s="1173"/>
      <c r="AV1600" s="1173"/>
      <c r="AX1600" s="1173"/>
      <c r="AY1600" s="1176"/>
      <c r="AZ1600" s="1173"/>
    </row>
    <row r="1601" spans="1:52" s="2" customFormat="1" x14ac:dyDescent="0.25">
      <c r="A1601" s="2132">
        <v>1480</v>
      </c>
      <c r="B1601" s="2133">
        <v>40</v>
      </c>
      <c r="C1601" s="2145">
        <v>849318026</v>
      </c>
      <c r="D1601" s="2146" t="s">
        <v>2114</v>
      </c>
      <c r="E1601" s="179" t="s">
        <v>2111</v>
      </c>
      <c r="F1601" s="161">
        <v>2018</v>
      </c>
      <c r="G1601" s="272" t="s">
        <v>33</v>
      </c>
      <c r="H1601" s="628">
        <f t="shared" si="542"/>
        <v>44001</v>
      </c>
      <c r="I1601" s="628">
        <f t="shared" si="543"/>
        <v>44168</v>
      </c>
      <c r="J1601" s="1364">
        <v>2700000</v>
      </c>
      <c r="K1601" s="1365">
        <v>43313</v>
      </c>
      <c r="L1601" s="1358">
        <v>3750000</v>
      </c>
      <c r="M1601" s="1365">
        <v>43313</v>
      </c>
      <c r="N1601" s="1358">
        <v>3750000</v>
      </c>
      <c r="O1601" s="1357">
        <v>43483</v>
      </c>
      <c r="P1601" s="1385">
        <v>3750000</v>
      </c>
      <c r="Q1601" s="1357">
        <v>43644.399131944403</v>
      </c>
      <c r="R1601" s="1874">
        <v>3750000</v>
      </c>
      <c r="S1601" s="1357">
        <v>43860.612939814797</v>
      </c>
      <c r="T1601" s="1714"/>
      <c r="U1601" s="1391"/>
      <c r="V1601" s="1363"/>
      <c r="W1601" s="1391"/>
      <c r="X1601" s="1363"/>
      <c r="Y1601" s="1391"/>
      <c r="Z1601" s="1363"/>
      <c r="AA1601" s="1391"/>
      <c r="AB1601" s="1874">
        <v>1000000</v>
      </c>
      <c r="AC1601" s="1357">
        <v>44137</v>
      </c>
      <c r="AD1601" s="1809">
        <v>1200000</v>
      </c>
      <c r="AE1601" s="1357">
        <v>44137</v>
      </c>
      <c r="AF1601" s="1809">
        <v>1600000</v>
      </c>
      <c r="AG1601" s="1440">
        <v>44123</v>
      </c>
      <c r="AH1601" s="1625" t="str">
        <f t="shared" si="552"/>
        <v>PAI-3C</v>
      </c>
      <c r="AI1601" s="1675">
        <f t="shared" si="544"/>
        <v>22000000</v>
      </c>
      <c r="AJ1601" s="1675">
        <f t="shared" si="553"/>
        <v>22000000</v>
      </c>
      <c r="AK1601" s="1520">
        <f t="shared" si="550"/>
        <v>0</v>
      </c>
      <c r="AL1601" s="2210" t="str">
        <f t="shared" si="551"/>
        <v>Lunas</v>
      </c>
      <c r="AM1601" s="1809">
        <v>500000</v>
      </c>
      <c r="AN1601" s="1440">
        <v>44036</v>
      </c>
      <c r="AO1601"/>
      <c r="AP1601"/>
      <c r="AQ1601" s="1128"/>
      <c r="AR1601" s="1173"/>
      <c r="AT1601" s="1173"/>
      <c r="AV1601" s="1173"/>
      <c r="AX1601" s="1173"/>
      <c r="AY1601" s="1176"/>
      <c r="AZ1601" s="1173"/>
    </row>
    <row r="1602" spans="1:52" s="2" customFormat="1" x14ac:dyDescent="0.25">
      <c r="A1602" s="670">
        <v>1481</v>
      </c>
      <c r="B1602" s="671">
        <v>41</v>
      </c>
      <c r="C1602" s="2147">
        <v>849318027</v>
      </c>
      <c r="D1602" s="701" t="s">
        <v>2115</v>
      </c>
      <c r="E1602" s="441" t="s">
        <v>2111</v>
      </c>
      <c r="F1602" s="175">
        <v>2018</v>
      </c>
      <c r="G1602" s="360" t="s">
        <v>1483</v>
      </c>
      <c r="H1602" s="580" t="str">
        <f t="shared" si="542"/>
        <v xml:space="preserve">   </v>
      </c>
      <c r="I1602" s="580" t="str">
        <f t="shared" si="543"/>
        <v xml:space="preserve">   </v>
      </c>
      <c r="J1602" s="1366">
        <v>2700000</v>
      </c>
      <c r="K1602" s="1360">
        <v>43314</v>
      </c>
      <c r="L1602" s="1363">
        <v>3750000</v>
      </c>
      <c r="M1602" s="1360">
        <v>43314</v>
      </c>
      <c r="N1602" s="1363">
        <v>3750000</v>
      </c>
      <c r="O1602" s="1367">
        <v>43483</v>
      </c>
      <c r="P1602" s="1714">
        <v>3750000</v>
      </c>
      <c r="Q1602" s="1367">
        <v>43644.397499999999</v>
      </c>
      <c r="R1602" s="1731">
        <v>3750000</v>
      </c>
      <c r="S1602" s="1367">
        <v>43859.479594907403</v>
      </c>
      <c r="T1602" s="1731">
        <v>3750000</v>
      </c>
      <c r="U1602" s="1367">
        <v>44071.586736111101</v>
      </c>
      <c r="V1602" s="1363"/>
      <c r="W1602" s="1391"/>
      <c r="X1602" s="1363"/>
      <c r="Y1602" s="1391"/>
      <c r="Z1602" s="1363"/>
      <c r="AA1602" s="1391"/>
      <c r="AB1602" s="1731">
        <v>1000000</v>
      </c>
      <c r="AC1602" s="1367">
        <v>44173</v>
      </c>
      <c r="AD1602" s="1666"/>
      <c r="AE1602" s="1590"/>
      <c r="AF1602" s="1666"/>
      <c r="AG1602" s="1590"/>
      <c r="AH1602" s="1625" t="str">
        <f t="shared" si="552"/>
        <v>PAI-3C</v>
      </c>
      <c r="AI1602" s="1675">
        <f t="shared" si="544"/>
        <v>22450000</v>
      </c>
      <c r="AJ1602" s="1675">
        <f t="shared" si="553"/>
        <v>22450000</v>
      </c>
      <c r="AK1602" s="1520">
        <f t="shared" si="550"/>
        <v>0</v>
      </c>
      <c r="AL1602" s="2210" t="str">
        <f t="shared" si="551"/>
        <v>Lunas</v>
      </c>
      <c r="AM1602" s="1666"/>
      <c r="AN1602" s="1590"/>
      <c r="AO1602"/>
      <c r="AP1602"/>
      <c r="AQ1602" s="1128"/>
      <c r="AR1602" s="1173"/>
      <c r="AT1602" s="1173"/>
      <c r="AV1602" s="1173"/>
      <c r="AX1602" s="1173"/>
      <c r="AY1602" s="1176"/>
      <c r="AZ1602" s="1173"/>
    </row>
    <row r="1603" spans="1:52" s="2" customFormat="1" x14ac:dyDescent="0.25">
      <c r="A1603" s="670">
        <v>1482</v>
      </c>
      <c r="B1603" s="671">
        <v>42</v>
      </c>
      <c r="C1603" s="2147">
        <v>849318028</v>
      </c>
      <c r="D1603" s="701" t="s">
        <v>2116</v>
      </c>
      <c r="E1603" s="441" t="s">
        <v>2111</v>
      </c>
      <c r="F1603" s="175">
        <v>2018</v>
      </c>
      <c r="G1603" s="360" t="s">
        <v>1483</v>
      </c>
      <c r="H1603" s="580" t="str">
        <f t="shared" si="542"/>
        <v xml:space="preserve">   </v>
      </c>
      <c r="I1603" s="580" t="str">
        <f t="shared" si="543"/>
        <v xml:space="preserve">   </v>
      </c>
      <c r="J1603" s="1366">
        <v>2700000</v>
      </c>
      <c r="K1603" s="1360">
        <v>43313</v>
      </c>
      <c r="L1603" s="1363">
        <v>3750000</v>
      </c>
      <c r="M1603" s="1360">
        <v>43313</v>
      </c>
      <c r="N1603" s="1363">
        <v>3750000</v>
      </c>
      <c r="O1603" s="1367">
        <v>43481</v>
      </c>
      <c r="P1603" s="1714">
        <v>3750000</v>
      </c>
      <c r="Q1603" s="1367">
        <v>43642.339293981502</v>
      </c>
      <c r="R1603" s="1731">
        <v>3750000</v>
      </c>
      <c r="S1603" s="1367">
        <v>43853.567986111098</v>
      </c>
      <c r="T1603" s="1731">
        <v>3750000</v>
      </c>
      <c r="U1603" s="1367">
        <v>44062</v>
      </c>
      <c r="V1603" s="1363"/>
      <c r="W1603" s="1391"/>
      <c r="X1603" s="1363"/>
      <c r="Y1603" s="1391"/>
      <c r="Z1603" s="1363"/>
      <c r="AA1603" s="1391"/>
      <c r="AB1603" s="1731">
        <v>1000000</v>
      </c>
      <c r="AC1603" s="1367">
        <v>44168</v>
      </c>
      <c r="AD1603" s="1666">
        <v>1200000</v>
      </c>
      <c r="AE1603" s="1590">
        <v>44168</v>
      </c>
      <c r="AF1603" s="1666">
        <v>1600000</v>
      </c>
      <c r="AG1603" s="1590">
        <v>44168</v>
      </c>
      <c r="AH1603" s="1625" t="str">
        <f t="shared" si="552"/>
        <v>PAI-3C</v>
      </c>
      <c r="AI1603" s="1675">
        <f t="shared" si="544"/>
        <v>25250000</v>
      </c>
      <c r="AJ1603" s="1675">
        <f t="shared" si="553"/>
        <v>25250000</v>
      </c>
      <c r="AK1603" s="1520">
        <f t="shared" si="550"/>
        <v>0</v>
      </c>
      <c r="AL1603" s="2210" t="str">
        <f t="shared" si="551"/>
        <v>Lunas</v>
      </c>
      <c r="AM1603" s="1666"/>
      <c r="AN1603" s="1590"/>
      <c r="AO1603"/>
      <c r="AP1603"/>
      <c r="AQ1603" s="1128"/>
      <c r="AR1603" s="1173"/>
      <c r="AT1603" s="1173"/>
      <c r="AV1603" s="1173"/>
      <c r="AX1603" s="1173"/>
      <c r="AY1603" s="1176"/>
      <c r="AZ1603" s="1173"/>
    </row>
    <row r="1604" spans="1:52" s="2" customFormat="1" x14ac:dyDescent="0.25">
      <c r="A1604" s="670">
        <v>1483</v>
      </c>
      <c r="B1604" s="671">
        <v>43</v>
      </c>
      <c r="C1604" s="2147">
        <v>849318029</v>
      </c>
      <c r="D1604" s="701" t="s">
        <v>2117</v>
      </c>
      <c r="E1604" s="441" t="s">
        <v>2111</v>
      </c>
      <c r="F1604" s="175">
        <v>2018</v>
      </c>
      <c r="G1604" s="360" t="s">
        <v>1483</v>
      </c>
      <c r="H1604" s="580" t="str">
        <f t="shared" si="542"/>
        <v xml:space="preserve">   </v>
      </c>
      <c r="I1604" s="580" t="str">
        <f t="shared" si="543"/>
        <v xml:space="preserve">   </v>
      </c>
      <c r="J1604" s="1366">
        <v>2700000</v>
      </c>
      <c r="K1604" s="1360">
        <v>43314</v>
      </c>
      <c r="L1604" s="1363">
        <v>3750000</v>
      </c>
      <c r="M1604" s="1360">
        <v>43314</v>
      </c>
      <c r="N1604" s="1363">
        <v>3750000</v>
      </c>
      <c r="O1604" s="1367">
        <v>43482</v>
      </c>
      <c r="P1604" s="1714">
        <v>3750000</v>
      </c>
      <c r="Q1604" s="1367">
        <v>43644.6063194444</v>
      </c>
      <c r="R1604" s="1731">
        <v>3750000</v>
      </c>
      <c r="S1604" s="1367">
        <v>43860.478877314803</v>
      </c>
      <c r="T1604" s="1731">
        <v>3750000</v>
      </c>
      <c r="U1604" s="1367">
        <v>44071.583136574103</v>
      </c>
      <c r="V1604" s="1363"/>
      <c r="W1604" s="1391"/>
      <c r="X1604" s="1363"/>
      <c r="Y1604" s="1391"/>
      <c r="Z1604" s="1363"/>
      <c r="AA1604" s="1391"/>
      <c r="AB1604" s="1731">
        <v>1000000</v>
      </c>
      <c r="AC1604" s="1367">
        <v>44173</v>
      </c>
      <c r="AD1604" s="1666"/>
      <c r="AE1604" s="1590"/>
      <c r="AF1604" s="1666"/>
      <c r="AG1604" s="1590"/>
      <c r="AH1604" s="1625" t="str">
        <f t="shared" si="552"/>
        <v>PAI-3C</v>
      </c>
      <c r="AI1604" s="1675">
        <f t="shared" si="544"/>
        <v>22450000</v>
      </c>
      <c r="AJ1604" s="1675">
        <f t="shared" si="553"/>
        <v>22450000</v>
      </c>
      <c r="AK1604" s="1520">
        <f t="shared" si="550"/>
        <v>0</v>
      </c>
      <c r="AL1604" s="2210" t="str">
        <f t="shared" si="551"/>
        <v>Lunas</v>
      </c>
      <c r="AM1604" s="1666"/>
      <c r="AN1604" s="1590"/>
      <c r="AO1604"/>
      <c r="AP1604"/>
      <c r="AQ1604" s="1128"/>
      <c r="AR1604" s="1173"/>
      <c r="AT1604" s="1173"/>
      <c r="AV1604" s="1173"/>
      <c r="AX1604" s="1173"/>
      <c r="AY1604" s="1176"/>
      <c r="AZ1604" s="1173"/>
    </row>
    <row r="1605" spans="1:52" s="2" customFormat="1" x14ac:dyDescent="0.25">
      <c r="A1605" s="670">
        <v>1484</v>
      </c>
      <c r="B1605" s="2193">
        <v>44</v>
      </c>
      <c r="C1605" s="2147">
        <v>849318030</v>
      </c>
      <c r="D1605" s="2194" t="s">
        <v>1090</v>
      </c>
      <c r="E1605" s="179" t="s">
        <v>2111</v>
      </c>
      <c r="F1605" s="161">
        <v>2018</v>
      </c>
      <c r="G1605" s="272" t="s">
        <v>33</v>
      </c>
      <c r="H1605" s="628">
        <f t="shared" si="542"/>
        <v>44046</v>
      </c>
      <c r="I1605" s="580" t="str">
        <f t="shared" si="543"/>
        <v xml:space="preserve">   </v>
      </c>
      <c r="J1605" s="1364">
        <v>2700000</v>
      </c>
      <c r="K1605" s="1365">
        <v>43313</v>
      </c>
      <c r="L1605" s="1358">
        <v>3750000</v>
      </c>
      <c r="M1605" s="1365">
        <v>43313</v>
      </c>
      <c r="N1605" s="1358">
        <v>3750000</v>
      </c>
      <c r="O1605" s="1357">
        <v>43481</v>
      </c>
      <c r="P1605" s="1385">
        <v>3750000</v>
      </c>
      <c r="Q1605" s="1357">
        <v>43640.644085648099</v>
      </c>
      <c r="R1605" s="1874">
        <v>3750000</v>
      </c>
      <c r="S1605" s="1357">
        <v>43852.560231481497</v>
      </c>
      <c r="T1605" s="1714"/>
      <c r="U1605" s="1391"/>
      <c r="V1605" s="1363"/>
      <c r="W1605" s="1391"/>
      <c r="X1605" s="1363"/>
      <c r="Y1605" s="1391"/>
      <c r="Z1605" s="1363"/>
      <c r="AA1605" s="1391"/>
      <c r="AB1605" s="1874">
        <v>0</v>
      </c>
      <c r="AC1605" s="1357"/>
      <c r="AD1605" s="1809">
        <v>0</v>
      </c>
      <c r="AE1605" s="1440"/>
      <c r="AF1605" s="1809">
        <v>0</v>
      </c>
      <c r="AG1605" s="1440"/>
      <c r="AH1605" s="1625" t="str">
        <f t="shared" si="552"/>
        <v>PAI-3C</v>
      </c>
      <c r="AI1605" s="1675">
        <f t="shared" si="544"/>
        <v>17700000</v>
      </c>
      <c r="AJ1605" s="1675">
        <f t="shared" si="553"/>
        <v>21500000</v>
      </c>
      <c r="AK1605" s="1520">
        <f t="shared" si="550"/>
        <v>3800000</v>
      </c>
      <c r="AL1605" s="2210" t="str">
        <f t="shared" si="551"/>
        <v>Cek</v>
      </c>
      <c r="AM1605" s="1666"/>
      <c r="AN1605" s="1590"/>
      <c r="AO1605"/>
      <c r="AP1605"/>
      <c r="AQ1605" s="1128"/>
      <c r="AR1605" s="1173"/>
      <c r="AT1605" s="1173"/>
      <c r="AV1605" s="1173"/>
      <c r="AX1605" s="1173"/>
      <c r="AY1605" s="1176"/>
      <c r="AZ1605" s="1173"/>
    </row>
    <row r="1606" spans="1:52" s="2" customFormat="1" x14ac:dyDescent="0.25">
      <c r="A1606" s="670">
        <v>1485</v>
      </c>
      <c r="B1606" s="671">
        <v>45</v>
      </c>
      <c r="C1606" s="2147">
        <v>849318031</v>
      </c>
      <c r="D1606" s="701" t="s">
        <v>2118</v>
      </c>
      <c r="E1606" s="441" t="s">
        <v>2111</v>
      </c>
      <c r="F1606" s="175">
        <v>2018</v>
      </c>
      <c r="G1606" s="360" t="s">
        <v>1483</v>
      </c>
      <c r="H1606" s="580" t="str">
        <f t="shared" si="542"/>
        <v xml:space="preserve">   </v>
      </c>
      <c r="I1606" s="580" t="str">
        <f t="shared" si="543"/>
        <v xml:space="preserve">   </v>
      </c>
      <c r="J1606" s="1366">
        <v>2700000</v>
      </c>
      <c r="K1606" s="1360">
        <v>43314</v>
      </c>
      <c r="L1606" s="1363">
        <v>3750000</v>
      </c>
      <c r="M1606" s="1360">
        <v>43314</v>
      </c>
      <c r="N1606" s="1186" t="s">
        <v>1078</v>
      </c>
      <c r="O1606" s="1386">
        <v>43125</v>
      </c>
      <c r="P1606" s="1186" t="s">
        <v>1078</v>
      </c>
      <c r="Q1606" s="1386">
        <v>43644</v>
      </c>
      <c r="R1606" s="1731">
        <v>3750000</v>
      </c>
      <c r="S1606" s="1367">
        <v>43860.901099536997</v>
      </c>
      <c r="T1606" s="1731">
        <v>0</v>
      </c>
      <c r="U1606" s="1367"/>
      <c r="V1606" s="1363"/>
      <c r="W1606" s="1391"/>
      <c r="X1606" s="1363"/>
      <c r="Y1606" s="1391"/>
      <c r="Z1606" s="1363"/>
      <c r="AA1606" s="1391"/>
      <c r="AB1606" s="1731"/>
      <c r="AC1606" s="1367"/>
      <c r="AD1606" s="1666"/>
      <c r="AE1606" s="1590"/>
      <c r="AF1606" s="1666"/>
      <c r="AG1606" s="1590"/>
      <c r="AH1606" s="1625" t="str">
        <f t="shared" si="552"/>
        <v>PAI-3C</v>
      </c>
      <c r="AI1606" s="1675">
        <f t="shared" si="544"/>
        <v>10200000</v>
      </c>
      <c r="AJ1606" s="1675">
        <f t="shared" si="553"/>
        <v>13950000</v>
      </c>
      <c r="AK1606" s="1520">
        <f t="shared" si="550"/>
        <v>3750000</v>
      </c>
      <c r="AL1606" s="2210" t="str">
        <f t="shared" si="551"/>
        <v>Cek</v>
      </c>
      <c r="AM1606" s="1666"/>
      <c r="AN1606" s="1590"/>
      <c r="AO1606"/>
      <c r="AP1606"/>
      <c r="AQ1606" s="1128"/>
      <c r="AR1606" s="1173"/>
      <c r="AT1606" s="1173"/>
      <c r="AV1606" s="1173"/>
      <c r="AX1606" s="1173"/>
      <c r="AY1606" s="1176"/>
      <c r="AZ1606" s="1173"/>
    </row>
    <row r="1607" spans="1:52" s="2" customFormat="1" x14ac:dyDescent="0.25">
      <c r="A1607" s="670">
        <v>1486</v>
      </c>
      <c r="B1607" s="671">
        <v>46</v>
      </c>
      <c r="C1607" s="2147">
        <v>849318032</v>
      </c>
      <c r="D1607" s="701" t="s">
        <v>2119</v>
      </c>
      <c r="E1607" s="441" t="s">
        <v>2111</v>
      </c>
      <c r="F1607" s="175">
        <v>2018</v>
      </c>
      <c r="G1607" s="581" t="s">
        <v>1833</v>
      </c>
      <c r="H1607" s="580" t="str">
        <f t="shared" si="542"/>
        <v xml:space="preserve">   </v>
      </c>
      <c r="I1607" s="580" t="str">
        <f t="shared" si="543"/>
        <v xml:space="preserve">   </v>
      </c>
      <c r="J1607" s="1366">
        <v>2700000</v>
      </c>
      <c r="K1607" s="1360">
        <v>43314</v>
      </c>
      <c r="L1607" s="1363">
        <v>3750000</v>
      </c>
      <c r="M1607" s="1360">
        <v>43314</v>
      </c>
      <c r="N1607" s="1363">
        <v>3750000</v>
      </c>
      <c r="O1607" s="1367">
        <v>43483</v>
      </c>
      <c r="P1607" s="1714">
        <v>3750000</v>
      </c>
      <c r="Q1607" s="1367">
        <v>43644.4323842593</v>
      </c>
      <c r="R1607" s="1731">
        <v>3750000</v>
      </c>
      <c r="S1607" s="1367">
        <v>43861</v>
      </c>
      <c r="T1607" s="1186" t="s">
        <v>1078</v>
      </c>
      <c r="U1607" s="1386">
        <v>44071</v>
      </c>
      <c r="V1607" s="1363"/>
      <c r="W1607" s="1391"/>
      <c r="X1607" s="1363"/>
      <c r="Y1607" s="1391"/>
      <c r="Z1607" s="1363"/>
      <c r="AA1607" s="1391"/>
      <c r="AB1607" s="1731"/>
      <c r="AC1607" s="1367"/>
      <c r="AD1607" s="1666"/>
      <c r="AE1607" s="1590"/>
      <c r="AF1607" s="1666"/>
      <c r="AG1607" s="1590"/>
      <c r="AH1607" s="1625" t="str">
        <f t="shared" si="552"/>
        <v>PAI-3C</v>
      </c>
      <c r="AI1607" s="1675">
        <f t="shared" si="544"/>
        <v>17700000</v>
      </c>
      <c r="AJ1607" s="1675">
        <f t="shared" si="553"/>
        <v>17700000</v>
      </c>
      <c r="AK1607" s="1520">
        <f t="shared" si="550"/>
        <v>0</v>
      </c>
      <c r="AL1607" s="2210" t="str">
        <f t="shared" si="551"/>
        <v>Lunas</v>
      </c>
      <c r="AM1607" s="1666"/>
      <c r="AN1607" s="1590"/>
      <c r="AO1607"/>
      <c r="AP1607"/>
      <c r="AQ1607" s="1128"/>
      <c r="AR1607" s="1173"/>
      <c r="AT1607" s="1173"/>
      <c r="AV1607" s="1173"/>
      <c r="AX1607" s="1173"/>
      <c r="AY1607" s="1176"/>
      <c r="AZ1607" s="1173"/>
    </row>
    <row r="1608" spans="1:52" s="2" customFormat="1" x14ac:dyDescent="0.25">
      <c r="A1608" s="670">
        <v>1487</v>
      </c>
      <c r="B1608" s="671">
        <v>47</v>
      </c>
      <c r="C1608" s="2147">
        <v>849318033</v>
      </c>
      <c r="D1608" s="701" t="s">
        <v>2120</v>
      </c>
      <c r="E1608" s="441" t="s">
        <v>2111</v>
      </c>
      <c r="F1608" s="175">
        <v>2018</v>
      </c>
      <c r="G1608" s="581" t="s">
        <v>1833</v>
      </c>
      <c r="H1608" s="580" t="str">
        <f t="shared" si="542"/>
        <v xml:space="preserve">   </v>
      </c>
      <c r="I1608" s="580" t="str">
        <f t="shared" si="543"/>
        <v xml:space="preserve">   </v>
      </c>
      <c r="J1608" s="1366">
        <v>2700000</v>
      </c>
      <c r="K1608" s="1360">
        <v>43314</v>
      </c>
      <c r="L1608" s="1363">
        <v>3750000</v>
      </c>
      <c r="M1608" s="1360">
        <v>43314</v>
      </c>
      <c r="N1608" s="1363">
        <v>3750000</v>
      </c>
      <c r="O1608" s="1367">
        <v>43483</v>
      </c>
      <c r="P1608" s="1714">
        <v>3750000</v>
      </c>
      <c r="Q1608" s="1367">
        <v>43643.567476851902</v>
      </c>
      <c r="R1608" s="1731">
        <v>3750000</v>
      </c>
      <c r="S1608" s="1367">
        <v>43860.594525462999</v>
      </c>
      <c r="T1608" s="1186" t="s">
        <v>1078</v>
      </c>
      <c r="U1608" s="1386">
        <v>44071</v>
      </c>
      <c r="V1608" s="1363"/>
      <c r="W1608" s="1391"/>
      <c r="X1608" s="1363"/>
      <c r="Y1608" s="1391"/>
      <c r="Z1608" s="1363"/>
      <c r="AA1608" s="1391"/>
      <c r="AB1608" s="1731"/>
      <c r="AC1608" s="1367"/>
      <c r="AD1608" s="1666"/>
      <c r="AE1608" s="1590"/>
      <c r="AF1608" s="1666"/>
      <c r="AG1608" s="1590"/>
      <c r="AH1608" s="1625" t="str">
        <f t="shared" si="552"/>
        <v>PAI-3C</v>
      </c>
      <c r="AI1608" s="1675">
        <f t="shared" si="544"/>
        <v>17700000</v>
      </c>
      <c r="AJ1608" s="1675">
        <f t="shared" si="553"/>
        <v>17700000</v>
      </c>
      <c r="AK1608" s="1520">
        <f t="shared" si="550"/>
        <v>0</v>
      </c>
      <c r="AL1608" s="2210" t="str">
        <f t="shared" si="551"/>
        <v>Lunas</v>
      </c>
      <c r="AM1608" s="1666"/>
      <c r="AN1608" s="1590"/>
      <c r="AO1608"/>
      <c r="AP1608"/>
      <c r="AQ1608" s="1128"/>
      <c r="AR1608" s="1173"/>
      <c r="AT1608" s="1173"/>
      <c r="AV1608" s="1173"/>
      <c r="AX1608" s="1173"/>
      <c r="AY1608" s="1176"/>
      <c r="AZ1608" s="1173"/>
    </row>
    <row r="1609" spans="1:52" s="2" customFormat="1" x14ac:dyDescent="0.25">
      <c r="A1609" s="670">
        <v>1488</v>
      </c>
      <c r="B1609" s="671">
        <v>48</v>
      </c>
      <c r="C1609" s="2147">
        <v>849318034</v>
      </c>
      <c r="D1609" s="701" t="s">
        <v>2121</v>
      </c>
      <c r="E1609" s="441" t="s">
        <v>2111</v>
      </c>
      <c r="F1609" s="175">
        <v>2018</v>
      </c>
      <c r="G1609" s="360" t="s">
        <v>1483</v>
      </c>
      <c r="H1609" s="580" t="str">
        <f t="shared" si="542"/>
        <v xml:space="preserve">   </v>
      </c>
      <c r="I1609" s="580" t="str">
        <f t="shared" si="543"/>
        <v xml:space="preserve">   </v>
      </c>
      <c r="J1609" s="1366">
        <v>2700000</v>
      </c>
      <c r="K1609" s="1360">
        <v>43314</v>
      </c>
      <c r="L1609" s="1363">
        <v>3750000</v>
      </c>
      <c r="M1609" s="1360">
        <v>43314</v>
      </c>
      <c r="N1609" s="1363">
        <v>3750000</v>
      </c>
      <c r="O1609" s="1367">
        <v>43481</v>
      </c>
      <c r="P1609" s="1714">
        <v>3750000</v>
      </c>
      <c r="Q1609" s="1367">
        <v>43644.422881944403</v>
      </c>
      <c r="R1609" s="1731">
        <v>3750000</v>
      </c>
      <c r="S1609" s="1367">
        <v>43854.573101851798</v>
      </c>
      <c r="T1609" s="1731">
        <v>3750000</v>
      </c>
      <c r="U1609" s="1367">
        <v>44070.614479166703</v>
      </c>
      <c r="V1609" s="1363"/>
      <c r="W1609" s="1391"/>
      <c r="X1609" s="1363"/>
      <c r="Y1609" s="1391"/>
      <c r="Z1609" s="1363"/>
      <c r="AA1609" s="1391"/>
      <c r="AB1609" s="1731"/>
      <c r="AC1609" s="1367"/>
      <c r="AD1609" s="1666"/>
      <c r="AE1609" s="1590"/>
      <c r="AF1609" s="1666"/>
      <c r="AG1609" s="1590"/>
      <c r="AH1609" s="1625" t="str">
        <f t="shared" si="552"/>
        <v>PAI-3C</v>
      </c>
      <c r="AI1609" s="1675">
        <f t="shared" si="544"/>
        <v>21450000</v>
      </c>
      <c r="AJ1609" s="1675">
        <f t="shared" si="553"/>
        <v>21450000</v>
      </c>
      <c r="AK1609" s="1520">
        <f t="shared" si="550"/>
        <v>0</v>
      </c>
      <c r="AL1609" s="2210" t="str">
        <f t="shared" si="551"/>
        <v>Lunas</v>
      </c>
      <c r="AM1609" s="1666"/>
      <c r="AN1609" s="1590"/>
      <c r="AO1609"/>
      <c r="AP1609"/>
      <c r="AQ1609" s="1128"/>
      <c r="AR1609" s="1173"/>
      <c r="AT1609" s="1173"/>
      <c r="AV1609" s="1173"/>
      <c r="AX1609" s="1173"/>
      <c r="AY1609" s="1176"/>
      <c r="AZ1609" s="1173"/>
    </row>
    <row r="1610" spans="1:52" s="2" customFormat="1" x14ac:dyDescent="0.25">
      <c r="A1610" s="670">
        <v>1489</v>
      </c>
      <c r="B1610" s="671">
        <v>49</v>
      </c>
      <c r="C1610" s="2147">
        <v>849318035</v>
      </c>
      <c r="D1610" s="701" t="s">
        <v>2122</v>
      </c>
      <c r="E1610" s="441" t="s">
        <v>2111</v>
      </c>
      <c r="F1610" s="175">
        <v>2018</v>
      </c>
      <c r="G1610" s="360" t="s">
        <v>1483</v>
      </c>
      <c r="H1610" s="580" t="str">
        <f t="shared" si="542"/>
        <v xml:space="preserve">   </v>
      </c>
      <c r="I1610" s="580" t="str">
        <f t="shared" si="543"/>
        <v xml:space="preserve">   </v>
      </c>
      <c r="J1610" s="1366">
        <v>2700000</v>
      </c>
      <c r="K1610" s="1360">
        <v>43313</v>
      </c>
      <c r="L1610" s="1363">
        <v>3750000</v>
      </c>
      <c r="M1610" s="1360">
        <v>43313</v>
      </c>
      <c r="N1610" s="1363">
        <v>3750000</v>
      </c>
      <c r="O1610" s="1367">
        <v>43482</v>
      </c>
      <c r="P1610" s="1714">
        <v>3750000</v>
      </c>
      <c r="Q1610" s="1367">
        <v>43644.349143518499</v>
      </c>
      <c r="R1610" s="1731">
        <v>3750000</v>
      </c>
      <c r="S1610" s="1367">
        <v>43860.599351851903</v>
      </c>
      <c r="T1610" s="1731">
        <v>3750000</v>
      </c>
      <c r="U1610" s="1367">
        <v>44069.373506944401</v>
      </c>
      <c r="V1610" s="1363"/>
      <c r="W1610" s="1391"/>
      <c r="X1610" s="1363"/>
      <c r="Y1610" s="1391"/>
      <c r="Z1610" s="1363"/>
      <c r="AA1610" s="1391"/>
      <c r="AB1610" s="1731"/>
      <c r="AC1610" s="1367"/>
      <c r="AD1610" s="1666"/>
      <c r="AE1610" s="1590"/>
      <c r="AF1610" s="1666"/>
      <c r="AG1610" s="1590"/>
      <c r="AH1610" s="1625" t="str">
        <f t="shared" si="552"/>
        <v>PAI-3C</v>
      </c>
      <c r="AI1610" s="1675">
        <f t="shared" si="544"/>
        <v>21450000</v>
      </c>
      <c r="AJ1610" s="1675">
        <f t="shared" si="553"/>
        <v>21450000</v>
      </c>
      <c r="AK1610" s="1520">
        <f t="shared" si="550"/>
        <v>0</v>
      </c>
      <c r="AL1610" s="2210" t="str">
        <f t="shared" si="551"/>
        <v>Lunas</v>
      </c>
      <c r="AM1610" s="1666"/>
      <c r="AN1610" s="1590"/>
      <c r="AO1610"/>
      <c r="AP1610"/>
      <c r="AQ1610" s="1128"/>
      <c r="AR1610" s="1173"/>
      <c r="AT1610" s="1173"/>
      <c r="AV1610" s="1173"/>
      <c r="AX1610" s="1173"/>
      <c r="AY1610" s="1176"/>
      <c r="AZ1610" s="1173"/>
    </row>
    <row r="1611" spans="1:52" s="2" customFormat="1" x14ac:dyDescent="0.25">
      <c r="A1611" s="670">
        <v>1490</v>
      </c>
      <c r="B1611" s="671">
        <v>50</v>
      </c>
      <c r="C1611" s="2147">
        <v>849318036</v>
      </c>
      <c r="D1611" s="701" t="s">
        <v>2123</v>
      </c>
      <c r="E1611" s="441" t="s">
        <v>2111</v>
      </c>
      <c r="F1611" s="175">
        <v>2018</v>
      </c>
      <c r="G1611" s="360" t="s">
        <v>1483</v>
      </c>
      <c r="H1611" s="580" t="str">
        <f t="shared" ref="H1611:H1674" si="554">IFERROR(VLOOKUP(C1611,Tlus,3,FALSE),"   ")</f>
        <v xml:space="preserve">   </v>
      </c>
      <c r="I1611" s="580" t="str">
        <f t="shared" ref="I1611:I1674" si="555">IFERROR(VLOOKUP(C1611,Wis,4,FALSE),"   ")</f>
        <v xml:space="preserve">   </v>
      </c>
      <c r="J1611" s="1366">
        <v>2700000</v>
      </c>
      <c r="K1611" s="1360">
        <v>43312</v>
      </c>
      <c r="L1611" s="1363">
        <v>3750000</v>
      </c>
      <c r="M1611" s="1360">
        <v>43312</v>
      </c>
      <c r="N1611" s="1363">
        <v>3750000</v>
      </c>
      <c r="O1611" s="1367">
        <v>43480</v>
      </c>
      <c r="P1611" s="1714">
        <v>3750000</v>
      </c>
      <c r="Q1611" s="1367">
        <v>43643.3905324074</v>
      </c>
      <c r="R1611" s="1731">
        <v>3750000</v>
      </c>
      <c r="S1611" s="1367">
        <v>43858.560243055603</v>
      </c>
      <c r="T1611" s="1731">
        <v>3750000</v>
      </c>
      <c r="U1611" s="1367">
        <v>44069.431747685201</v>
      </c>
      <c r="V1611" s="1363"/>
      <c r="W1611" s="1391"/>
      <c r="X1611" s="1363"/>
      <c r="Y1611" s="1391"/>
      <c r="Z1611" s="1363"/>
      <c r="AA1611" s="1391"/>
      <c r="AB1611" s="1731"/>
      <c r="AC1611" s="1367"/>
      <c r="AD1611" s="1666"/>
      <c r="AE1611" s="1590"/>
      <c r="AF1611" s="1666"/>
      <c r="AG1611" s="1590"/>
      <c r="AH1611" s="1625" t="str">
        <f t="shared" si="552"/>
        <v>PAI-3C</v>
      </c>
      <c r="AI1611" s="1675">
        <f t="shared" si="544"/>
        <v>21450000</v>
      </c>
      <c r="AJ1611" s="1675">
        <f t="shared" si="553"/>
        <v>21450000</v>
      </c>
      <c r="AK1611" s="1520">
        <f t="shared" si="550"/>
        <v>0</v>
      </c>
      <c r="AL1611" s="2210" t="str">
        <f t="shared" si="551"/>
        <v>Lunas</v>
      </c>
      <c r="AM1611" s="1666"/>
      <c r="AN1611" s="1590"/>
      <c r="AO1611"/>
      <c r="AP1611"/>
      <c r="AQ1611" s="1128"/>
      <c r="AR1611" s="1173"/>
      <c r="AT1611" s="1173"/>
      <c r="AV1611" s="1173"/>
      <c r="AX1611" s="1173"/>
      <c r="AY1611" s="1176"/>
      <c r="AZ1611" s="1173"/>
    </row>
    <row r="1612" spans="1:52" s="2" customFormat="1" x14ac:dyDescent="0.25">
      <c r="A1612" s="670">
        <v>1491</v>
      </c>
      <c r="B1612" s="671">
        <v>51</v>
      </c>
      <c r="C1612" s="2147">
        <v>849318037</v>
      </c>
      <c r="D1612" s="701" t="s">
        <v>2124</v>
      </c>
      <c r="E1612" s="441" t="s">
        <v>2111</v>
      </c>
      <c r="F1612" s="175">
        <v>2018</v>
      </c>
      <c r="G1612" s="581" t="s">
        <v>1833</v>
      </c>
      <c r="H1612" s="580" t="str">
        <f t="shared" si="554"/>
        <v xml:space="preserve">   </v>
      </c>
      <c r="I1612" s="580" t="str">
        <f t="shared" si="555"/>
        <v xml:space="preserve">   </v>
      </c>
      <c r="J1612" s="1366">
        <v>2700000</v>
      </c>
      <c r="K1612" s="1360">
        <v>43314</v>
      </c>
      <c r="L1612" s="1363">
        <v>3750000</v>
      </c>
      <c r="M1612" s="1360">
        <v>43314</v>
      </c>
      <c r="N1612" s="1363">
        <v>3750000</v>
      </c>
      <c r="O1612" s="1367">
        <v>43483</v>
      </c>
      <c r="P1612" s="1714">
        <v>3750000</v>
      </c>
      <c r="Q1612" s="1367">
        <v>43644.440254629597</v>
      </c>
      <c r="R1612" s="2077" t="s">
        <v>1078</v>
      </c>
      <c r="S1612" s="2124">
        <v>43861</v>
      </c>
      <c r="T1612" s="1186" t="s">
        <v>1078</v>
      </c>
      <c r="U1612" s="1386">
        <v>44071</v>
      </c>
      <c r="V1612" s="1714">
        <v>3750000</v>
      </c>
      <c r="W1612" s="1391">
        <v>44228</v>
      </c>
      <c r="X1612" s="1363"/>
      <c r="Y1612" s="1391"/>
      <c r="Z1612" s="1363"/>
      <c r="AA1612" s="1391"/>
      <c r="AB1612" s="1731"/>
      <c r="AC1612" s="1367"/>
      <c r="AD1612" s="1666"/>
      <c r="AE1612" s="1590"/>
      <c r="AF1612" s="1666"/>
      <c r="AG1612" s="1590"/>
      <c r="AH1612" s="1625" t="str">
        <f t="shared" si="552"/>
        <v>PAI-3C</v>
      </c>
      <c r="AI1612" s="1675">
        <f t="shared" si="544"/>
        <v>17700000</v>
      </c>
      <c r="AJ1612" s="1675">
        <f t="shared" si="553"/>
        <v>17700000</v>
      </c>
      <c r="AK1612" s="1520">
        <f t="shared" si="550"/>
        <v>0</v>
      </c>
      <c r="AL1612" s="2210" t="str">
        <f t="shared" si="551"/>
        <v>Lunas</v>
      </c>
      <c r="AM1612" s="1666"/>
      <c r="AN1612" s="1590"/>
      <c r="AO1612"/>
      <c r="AP1612"/>
      <c r="AQ1612" s="1128"/>
      <c r="AR1612" s="1173"/>
      <c r="AT1612" s="1173"/>
      <c r="AV1612" s="1173"/>
      <c r="AX1612" s="1173"/>
      <c r="AY1612" s="1176"/>
      <c r="AZ1612" s="1173"/>
    </row>
    <row r="1613" spans="1:52" s="2" customFormat="1" x14ac:dyDescent="0.25">
      <c r="A1613" s="670">
        <v>1492</v>
      </c>
      <c r="B1613" s="671">
        <v>52</v>
      </c>
      <c r="C1613" s="2147">
        <v>849318038</v>
      </c>
      <c r="D1613" s="701" t="s">
        <v>2125</v>
      </c>
      <c r="E1613" s="441" t="s">
        <v>2111</v>
      </c>
      <c r="F1613" s="175">
        <v>2018</v>
      </c>
      <c r="G1613" s="360" t="s">
        <v>1483</v>
      </c>
      <c r="H1613" s="580" t="str">
        <f t="shared" si="554"/>
        <v xml:space="preserve">   </v>
      </c>
      <c r="I1613" s="580" t="str">
        <f t="shared" si="555"/>
        <v xml:space="preserve">   </v>
      </c>
      <c r="J1613" s="1366">
        <v>2700000</v>
      </c>
      <c r="K1613" s="1360">
        <v>43314</v>
      </c>
      <c r="L1613" s="1363">
        <v>3750000</v>
      </c>
      <c r="M1613" s="1360">
        <v>43314</v>
      </c>
      <c r="N1613" s="1363">
        <v>3750000</v>
      </c>
      <c r="O1613" s="1367">
        <v>43481</v>
      </c>
      <c r="P1613" s="1714">
        <v>3750000</v>
      </c>
      <c r="Q1613" s="1367">
        <v>43644.445601851898</v>
      </c>
      <c r="R1613" s="1731">
        <v>3750000</v>
      </c>
      <c r="S1613" s="1367">
        <v>43861.510613425897</v>
      </c>
      <c r="T1613" s="1731">
        <v>3750000</v>
      </c>
      <c r="U1613" s="1367">
        <v>44071.598449074103</v>
      </c>
      <c r="V1613" s="1363"/>
      <c r="W1613" s="1391"/>
      <c r="X1613" s="1363"/>
      <c r="Y1613" s="1391"/>
      <c r="Z1613" s="1363"/>
      <c r="AA1613" s="1391"/>
      <c r="AB1613" s="1731">
        <v>1000000</v>
      </c>
      <c r="AC1613" s="1367">
        <v>44131</v>
      </c>
      <c r="AD1613" s="1666"/>
      <c r="AE1613" s="1590"/>
      <c r="AF1613" s="1666"/>
      <c r="AG1613" s="1590"/>
      <c r="AH1613" s="1625" t="str">
        <f t="shared" si="552"/>
        <v>PAI-3C</v>
      </c>
      <c r="AI1613" s="1675">
        <f t="shared" si="544"/>
        <v>22450000</v>
      </c>
      <c r="AJ1613" s="1675">
        <f t="shared" si="553"/>
        <v>22450000</v>
      </c>
      <c r="AK1613" s="1520">
        <f t="shared" si="550"/>
        <v>0</v>
      </c>
      <c r="AL1613" s="2210" t="str">
        <f t="shared" si="551"/>
        <v>Lunas</v>
      </c>
      <c r="AM1613" s="1666"/>
      <c r="AN1613" s="1590"/>
      <c r="AO1613"/>
      <c r="AP1613"/>
      <c r="AQ1613" s="1128"/>
      <c r="AR1613" s="1173"/>
      <c r="AT1613" s="1173"/>
      <c r="AV1613" s="1173"/>
      <c r="AX1613" s="1173"/>
      <c r="AY1613" s="1176"/>
      <c r="AZ1613" s="1173"/>
    </row>
    <row r="1614" spans="1:52" s="2" customFormat="1" x14ac:dyDescent="0.25">
      <c r="A1614" s="670">
        <v>1493</v>
      </c>
      <c r="B1614" s="671">
        <v>53</v>
      </c>
      <c r="C1614" s="2147">
        <v>849318039</v>
      </c>
      <c r="D1614" s="701" t="s">
        <v>2126</v>
      </c>
      <c r="E1614" s="441" t="s">
        <v>2111</v>
      </c>
      <c r="F1614" s="175">
        <v>2018</v>
      </c>
      <c r="G1614" s="214" t="s">
        <v>1077</v>
      </c>
      <c r="H1614" s="580" t="str">
        <f t="shared" si="554"/>
        <v xml:space="preserve">   </v>
      </c>
      <c r="I1614" s="580" t="str">
        <f t="shared" si="555"/>
        <v xml:space="preserve">   </v>
      </c>
      <c r="J1614" s="1366">
        <v>2700000</v>
      </c>
      <c r="K1614" s="1360">
        <v>43313</v>
      </c>
      <c r="L1614" s="1363">
        <v>3750000</v>
      </c>
      <c r="M1614" s="1360">
        <v>43313</v>
      </c>
      <c r="N1614" s="1186" t="s">
        <v>1842</v>
      </c>
      <c r="O1614" s="1386"/>
      <c r="P1614" s="1714">
        <v>0</v>
      </c>
      <c r="Q1614" s="1367"/>
      <c r="R1614" s="1731">
        <v>0</v>
      </c>
      <c r="S1614" s="1367" t="s">
        <v>783</v>
      </c>
      <c r="T1614" s="1731">
        <v>0</v>
      </c>
      <c r="U1614" s="1367"/>
      <c r="V1614" s="1363"/>
      <c r="W1614" s="1391"/>
      <c r="X1614" s="1363"/>
      <c r="Y1614" s="1391"/>
      <c r="Z1614" s="1363"/>
      <c r="AA1614" s="1391"/>
      <c r="AB1614" s="1731"/>
      <c r="AC1614" s="1367"/>
      <c r="AD1614" s="1666"/>
      <c r="AE1614" s="1590"/>
      <c r="AF1614" s="1666"/>
      <c r="AG1614" s="1590"/>
      <c r="AH1614" s="1625" t="str">
        <f t="shared" si="552"/>
        <v>PAI-3C</v>
      </c>
      <c r="AI1614" s="1675">
        <f t="shared" si="544"/>
        <v>6450000</v>
      </c>
      <c r="AJ1614" s="1675">
        <f t="shared" si="553"/>
        <v>17700000</v>
      </c>
      <c r="AK1614" s="1520">
        <f t="shared" si="550"/>
        <v>11250000</v>
      </c>
      <c r="AL1614" s="2210" t="str">
        <f t="shared" si="551"/>
        <v>Cek</v>
      </c>
      <c r="AM1614" s="1666"/>
      <c r="AN1614" s="1590"/>
      <c r="AO1614"/>
      <c r="AP1614"/>
      <c r="AQ1614" s="1128"/>
      <c r="AR1614" s="1173"/>
      <c r="AT1614" s="1173"/>
      <c r="AV1614" s="1173"/>
      <c r="AX1614" s="1173"/>
      <c r="AY1614" s="1176"/>
      <c r="AZ1614" s="1173"/>
    </row>
    <row r="1615" spans="1:52" s="2" customFormat="1" x14ac:dyDescent="0.25">
      <c r="A1615" s="670">
        <v>1494</v>
      </c>
      <c r="B1615" s="671">
        <v>54</v>
      </c>
      <c r="C1615" s="2147">
        <v>849318040</v>
      </c>
      <c r="D1615" s="701" t="s">
        <v>2127</v>
      </c>
      <c r="E1615" s="441" t="s">
        <v>2111</v>
      </c>
      <c r="F1615" s="175">
        <v>2018</v>
      </c>
      <c r="G1615" s="360" t="s">
        <v>1483</v>
      </c>
      <c r="H1615" s="580" t="str">
        <f t="shared" si="554"/>
        <v xml:space="preserve">   </v>
      </c>
      <c r="I1615" s="580" t="str">
        <f t="shared" si="555"/>
        <v xml:space="preserve">   </v>
      </c>
      <c r="J1615" s="1366">
        <v>2700000</v>
      </c>
      <c r="K1615" s="1360">
        <v>43313</v>
      </c>
      <c r="L1615" s="1363">
        <v>3750000</v>
      </c>
      <c r="M1615" s="1360">
        <v>43313</v>
      </c>
      <c r="N1615" s="1363">
        <v>3750000</v>
      </c>
      <c r="O1615" s="1367">
        <v>43482</v>
      </c>
      <c r="P1615" s="1714">
        <v>3750000</v>
      </c>
      <c r="Q1615" s="1367">
        <v>43644.417951388903</v>
      </c>
      <c r="R1615" s="1731">
        <v>3750000</v>
      </c>
      <c r="S1615" s="1367">
        <v>43861.488055555601</v>
      </c>
      <c r="T1615" s="1731">
        <v>3750000</v>
      </c>
      <c r="U1615" s="1367">
        <v>44067.495358796303</v>
      </c>
      <c r="V1615" s="1363"/>
      <c r="W1615" s="1391"/>
      <c r="X1615" s="1363"/>
      <c r="Y1615" s="1391"/>
      <c r="Z1615" s="1363"/>
      <c r="AA1615" s="1391"/>
      <c r="AB1615" s="1731"/>
      <c r="AC1615" s="1367"/>
      <c r="AD1615" s="1666"/>
      <c r="AE1615" s="1590"/>
      <c r="AF1615" s="1666"/>
      <c r="AG1615" s="1590"/>
      <c r="AH1615" s="1625" t="str">
        <f t="shared" si="552"/>
        <v>PAI-3C</v>
      </c>
      <c r="AI1615" s="1675">
        <f t="shared" si="544"/>
        <v>21450000</v>
      </c>
      <c r="AJ1615" s="1675">
        <f t="shared" si="553"/>
        <v>21450000</v>
      </c>
      <c r="AK1615" s="1520">
        <f t="shared" si="550"/>
        <v>0</v>
      </c>
      <c r="AL1615" s="2210" t="str">
        <f t="shared" si="551"/>
        <v>Lunas</v>
      </c>
      <c r="AM1615" s="1666"/>
      <c r="AN1615" s="1590"/>
      <c r="AO1615"/>
      <c r="AP1615"/>
      <c r="AQ1615" s="1128"/>
      <c r="AR1615" s="1173"/>
      <c r="AT1615" s="1173"/>
      <c r="AV1615" s="1173"/>
      <c r="AX1615" s="1173"/>
      <c r="AY1615" s="1176"/>
      <c r="AZ1615" s="1173"/>
    </row>
    <row r="1616" spans="1:52" s="2" customFormat="1" x14ac:dyDescent="0.25">
      <c r="A1616" s="670">
        <v>1495</v>
      </c>
      <c r="B1616" s="2133">
        <v>55</v>
      </c>
      <c r="C1616" s="2145">
        <v>849318054</v>
      </c>
      <c r="D1616" s="2146" t="s">
        <v>2128</v>
      </c>
      <c r="E1616" s="179" t="s">
        <v>2111</v>
      </c>
      <c r="F1616" s="161">
        <v>2018</v>
      </c>
      <c r="G1616" s="272" t="s">
        <v>1483</v>
      </c>
      <c r="H1616" s="2211" t="str">
        <f t="shared" si="554"/>
        <v xml:space="preserve">   </v>
      </c>
      <c r="I1616" s="2211" t="str">
        <f t="shared" si="555"/>
        <v xml:space="preserve">   </v>
      </c>
      <c r="J1616" s="1364">
        <v>2700000</v>
      </c>
      <c r="K1616" s="1365">
        <v>43314</v>
      </c>
      <c r="L1616" s="1358">
        <v>3750000</v>
      </c>
      <c r="M1616" s="1365">
        <v>43314</v>
      </c>
      <c r="N1616" s="1358">
        <v>3750000</v>
      </c>
      <c r="O1616" s="1357">
        <v>43482</v>
      </c>
      <c r="P1616" s="1385">
        <v>3750000</v>
      </c>
      <c r="Q1616" s="1357">
        <v>43643.546030092599</v>
      </c>
      <c r="R1616" s="1874">
        <v>3750000</v>
      </c>
      <c r="S1616" s="1357">
        <v>43861.435497685197</v>
      </c>
      <c r="T1616" s="1874">
        <v>3750000</v>
      </c>
      <c r="U1616" s="1357">
        <v>44071.550590277802</v>
      </c>
      <c r="V1616" s="1363"/>
      <c r="W1616" s="1391"/>
      <c r="X1616" s="1363"/>
      <c r="Y1616" s="1391"/>
      <c r="Z1616" s="1363"/>
      <c r="AA1616" s="1391"/>
      <c r="AB1616" s="1874">
        <v>1000000</v>
      </c>
      <c r="AC1616" s="1357">
        <v>44155</v>
      </c>
      <c r="AD1616" s="1809">
        <v>1200000</v>
      </c>
      <c r="AE1616" s="1440">
        <v>44155</v>
      </c>
      <c r="AF1616" s="1809">
        <v>1600000</v>
      </c>
      <c r="AG1616" s="1440">
        <v>44155</v>
      </c>
      <c r="AH1616" s="1625" t="str">
        <f t="shared" si="552"/>
        <v>PAI-3C</v>
      </c>
      <c r="AI1616" s="1675">
        <f t="shared" si="544"/>
        <v>25750000</v>
      </c>
      <c r="AJ1616" s="1675">
        <f t="shared" si="553"/>
        <v>25750000</v>
      </c>
      <c r="AK1616" s="1520">
        <f t="shared" si="550"/>
        <v>0</v>
      </c>
      <c r="AL1616" s="2210" t="str">
        <f t="shared" si="551"/>
        <v>Lunas</v>
      </c>
      <c r="AM1616" s="1809">
        <v>500000</v>
      </c>
      <c r="AN1616" s="1440">
        <v>44204</v>
      </c>
      <c r="AO1616"/>
      <c r="AP1616"/>
      <c r="AQ1616" s="1128"/>
      <c r="AR1616" s="1173"/>
      <c r="AT1616" s="1173"/>
      <c r="AV1616" s="1173"/>
      <c r="AX1616" s="1173"/>
      <c r="AY1616" s="1176"/>
      <c r="AZ1616" s="1173"/>
    </row>
    <row r="1617" spans="1:52" s="2" customFormat="1" x14ac:dyDescent="0.25">
      <c r="A1617" s="670">
        <v>1496</v>
      </c>
      <c r="B1617" s="671">
        <v>56</v>
      </c>
      <c r="C1617" s="2147">
        <v>849318056</v>
      </c>
      <c r="D1617" s="701" t="s">
        <v>2129</v>
      </c>
      <c r="E1617" s="441" t="s">
        <v>2111</v>
      </c>
      <c r="F1617" s="175">
        <v>2018</v>
      </c>
      <c r="G1617" s="214" t="s">
        <v>1077</v>
      </c>
      <c r="H1617" s="580" t="str">
        <f t="shared" si="554"/>
        <v xml:space="preserve">   </v>
      </c>
      <c r="I1617" s="580" t="str">
        <f t="shared" si="555"/>
        <v xml:space="preserve">   </v>
      </c>
      <c r="J1617" s="1366">
        <v>2700000</v>
      </c>
      <c r="K1617" s="1360">
        <v>43314</v>
      </c>
      <c r="L1617" s="1363">
        <v>3750000</v>
      </c>
      <c r="M1617" s="1360">
        <v>43314</v>
      </c>
      <c r="N1617" s="1186" t="s">
        <v>1842</v>
      </c>
      <c r="O1617" s="1386"/>
      <c r="P1617" s="1714">
        <v>0</v>
      </c>
      <c r="Q1617" s="1367"/>
      <c r="R1617" s="1731">
        <v>0</v>
      </c>
      <c r="S1617" s="1367" t="s">
        <v>783</v>
      </c>
      <c r="T1617" s="1731">
        <v>0</v>
      </c>
      <c r="U1617" s="1367"/>
      <c r="V1617" s="1363"/>
      <c r="W1617" s="1391"/>
      <c r="X1617" s="1363"/>
      <c r="Y1617" s="1391"/>
      <c r="Z1617" s="1363"/>
      <c r="AA1617" s="1391"/>
      <c r="AB1617" s="1731"/>
      <c r="AC1617" s="1367"/>
      <c r="AD1617" s="1666"/>
      <c r="AE1617" s="1590"/>
      <c r="AF1617" s="1666"/>
      <c r="AG1617" s="1590"/>
      <c r="AH1617" s="1625" t="str">
        <f t="shared" si="552"/>
        <v>PAI-3C</v>
      </c>
      <c r="AI1617" s="1675">
        <f t="shared" si="544"/>
        <v>6450000</v>
      </c>
      <c r="AJ1617" s="1675">
        <f t="shared" si="553"/>
        <v>17700000</v>
      </c>
      <c r="AK1617" s="1520">
        <f t="shared" si="550"/>
        <v>11250000</v>
      </c>
      <c r="AL1617" s="2210" t="str">
        <f t="shared" si="551"/>
        <v>Cek</v>
      </c>
      <c r="AM1617" s="1666"/>
      <c r="AN1617" s="1590"/>
      <c r="AO1617"/>
      <c r="AP1617"/>
      <c r="AQ1617" s="1128"/>
      <c r="AR1617" s="1173"/>
      <c r="AT1617" s="1173"/>
      <c r="AV1617" s="1173"/>
      <c r="AX1617" s="1173"/>
      <c r="AY1617" s="1176"/>
      <c r="AZ1617" s="1173"/>
    </row>
    <row r="1618" spans="1:52" s="2" customFormat="1" x14ac:dyDescent="0.25">
      <c r="A1618" s="670">
        <v>1497</v>
      </c>
      <c r="B1618" s="2212">
        <v>57</v>
      </c>
      <c r="C1618" s="2195">
        <v>849318057</v>
      </c>
      <c r="D1618" s="2213" t="s">
        <v>2130</v>
      </c>
      <c r="E1618" s="2214" t="s">
        <v>2111</v>
      </c>
      <c r="F1618" s="185">
        <v>2018</v>
      </c>
      <c r="G1618" s="272" t="s">
        <v>33</v>
      </c>
      <c r="H1618" s="628">
        <f t="shared" si="554"/>
        <v>43970</v>
      </c>
      <c r="I1618" s="2215">
        <f t="shared" si="555"/>
        <v>44058</v>
      </c>
      <c r="J1618" s="1432">
        <v>2700000</v>
      </c>
      <c r="K1618" s="1433">
        <v>43314</v>
      </c>
      <c r="L1618" s="1434">
        <v>3750000</v>
      </c>
      <c r="M1618" s="1433">
        <v>43314</v>
      </c>
      <c r="N1618" s="1434">
        <v>3750000</v>
      </c>
      <c r="O1618" s="1435">
        <v>43481</v>
      </c>
      <c r="P1618" s="1484">
        <v>3750000</v>
      </c>
      <c r="Q1618" s="1435">
        <v>43644.415821759299</v>
      </c>
      <c r="R1618" s="2002">
        <v>3750000</v>
      </c>
      <c r="S1618" s="1435">
        <v>43860.490335648101</v>
      </c>
      <c r="T1618" s="1714"/>
      <c r="U1618" s="1391"/>
      <c r="V1618" s="1363"/>
      <c r="W1618" s="1944"/>
      <c r="X1618" s="1446"/>
      <c r="Y1618" s="1944"/>
      <c r="Z1618" s="1446"/>
      <c r="AA1618" s="1944"/>
      <c r="AB1618" s="2218">
        <v>0</v>
      </c>
      <c r="AC1618" s="2219"/>
      <c r="AD1618" s="2220">
        <v>0</v>
      </c>
      <c r="AE1618" s="2221"/>
      <c r="AF1618" s="2220">
        <v>0</v>
      </c>
      <c r="AG1618" s="2221"/>
      <c r="AH1618" s="1626" t="str">
        <f t="shared" si="552"/>
        <v>PAI-3C</v>
      </c>
      <c r="AI1618" s="1675">
        <f t="shared" si="544"/>
        <v>18200000</v>
      </c>
      <c r="AJ1618" s="1675">
        <f t="shared" si="553"/>
        <v>22000000</v>
      </c>
      <c r="AK1618" s="1520">
        <f t="shared" si="550"/>
        <v>3800000</v>
      </c>
      <c r="AL1618" s="2210" t="str">
        <f t="shared" si="551"/>
        <v>Cek</v>
      </c>
      <c r="AM1618" s="1809">
        <v>500000</v>
      </c>
      <c r="AN1618" s="1440">
        <v>44041</v>
      </c>
      <c r="AO1618"/>
      <c r="AP1618"/>
      <c r="AQ1618" s="1128"/>
      <c r="AR1618" s="1173"/>
      <c r="AT1618" s="1173"/>
      <c r="AV1618" s="1173"/>
      <c r="AX1618" s="1173"/>
      <c r="AY1618" s="1176"/>
      <c r="AZ1618" s="1173"/>
    </row>
    <row r="1619" spans="1:52" s="2" customFormat="1" x14ac:dyDescent="0.25">
      <c r="A1619" s="434"/>
      <c r="B1619" s="434"/>
      <c r="C1619" s="2201"/>
      <c r="D1619" s="437"/>
      <c r="E1619" s="437"/>
      <c r="F1619" s="438" t="s">
        <v>61</v>
      </c>
      <c r="G1619" s="192" t="s">
        <v>61</v>
      </c>
      <c r="H1619" s="438" t="str">
        <f t="shared" si="554"/>
        <v xml:space="preserve">   </v>
      </c>
      <c r="I1619" s="438" t="str">
        <f t="shared" si="555"/>
        <v xml:space="preserve">   </v>
      </c>
      <c r="J1619" s="438"/>
      <c r="K1619" s="438"/>
      <c r="L1619" s="438"/>
      <c r="M1619" s="438"/>
      <c r="N1619" s="438"/>
      <c r="O1619" s="438"/>
      <c r="P1619" s="438"/>
      <c r="Q1619" s="2204"/>
      <c r="R1619" s="438"/>
      <c r="S1619" s="2217"/>
      <c r="T1619" s="2206"/>
      <c r="U1619" s="438"/>
      <c r="V1619" s="2206"/>
      <c r="W1619" s="438"/>
      <c r="X1619" s="2206"/>
      <c r="Y1619" s="438"/>
      <c r="Z1619" s="2206"/>
      <c r="AA1619" s="438"/>
      <c r="AB1619" s="438"/>
      <c r="AC1619" s="2222"/>
      <c r="AD1619" s="223"/>
      <c r="AE1619" s="1155"/>
      <c r="AF1619" s="223"/>
      <c r="AG1619" s="1155"/>
      <c r="AH1619" s="1627">
        <f t="shared" si="552"/>
        <v>0</v>
      </c>
      <c r="AI1619" s="1512"/>
      <c r="AJ1619" s="1409"/>
      <c r="AK1619" s="1409"/>
      <c r="AL1619" s="1513"/>
      <c r="AM1619"/>
      <c r="AN1619"/>
      <c r="AO1619"/>
      <c r="AP1619"/>
      <c r="AQ1619" s="1128"/>
      <c r="AR1619" s="1173"/>
      <c r="AT1619" s="1173"/>
      <c r="AV1619" s="1173"/>
      <c r="AX1619" s="1173"/>
      <c r="AY1619" s="1176"/>
      <c r="AZ1619" s="1173"/>
    </row>
    <row r="1620" spans="1:52" s="2" customFormat="1" x14ac:dyDescent="0.25">
      <c r="A1620" s="434"/>
      <c r="B1620" s="434"/>
      <c r="C1620" s="2201"/>
      <c r="D1620" s="437"/>
      <c r="E1620" s="437"/>
      <c r="F1620" s="438" t="s">
        <v>61</v>
      </c>
      <c r="G1620" s="192" t="s">
        <v>61</v>
      </c>
      <c r="H1620" s="438" t="str">
        <f t="shared" si="554"/>
        <v xml:space="preserve">   </v>
      </c>
      <c r="I1620" s="438" t="str">
        <f t="shared" si="555"/>
        <v xml:space="preserve">   </v>
      </c>
      <c r="J1620" s="438"/>
      <c r="K1620" s="438"/>
      <c r="L1620" s="438"/>
      <c r="M1620" s="438"/>
      <c r="N1620" s="438"/>
      <c r="O1620" s="438"/>
      <c r="P1620" s="438"/>
      <c r="Q1620" s="2204"/>
      <c r="R1620" s="438"/>
      <c r="S1620" s="2217"/>
      <c r="T1620" s="2206"/>
      <c r="U1620" s="438"/>
      <c r="V1620" s="2206"/>
      <c r="W1620" s="438"/>
      <c r="X1620" s="2206"/>
      <c r="Y1620" s="438"/>
      <c r="Z1620" s="2206"/>
      <c r="AA1620" s="438"/>
      <c r="AB1620" s="438"/>
      <c r="AC1620" s="2222"/>
      <c r="AD1620" s="223"/>
      <c r="AE1620" s="1155"/>
      <c r="AF1620" s="223"/>
      <c r="AG1620" s="1155"/>
      <c r="AH1620" s="1627">
        <f t="shared" si="552"/>
        <v>0</v>
      </c>
      <c r="AI1620" s="1512"/>
      <c r="AJ1620" s="1409"/>
      <c r="AK1620" s="1409"/>
      <c r="AL1620" s="1513"/>
      <c r="AM1620"/>
      <c r="AN1620"/>
      <c r="AO1620"/>
      <c r="AP1620"/>
      <c r="AQ1620" s="1128"/>
      <c r="AR1620" s="1173"/>
      <c r="AT1620" s="1173"/>
      <c r="AV1620" s="1173"/>
      <c r="AX1620" s="1173"/>
      <c r="AY1620" s="1176"/>
      <c r="AZ1620" s="1173"/>
    </row>
    <row r="1621" spans="1:52" s="2" customFormat="1" x14ac:dyDescent="0.25">
      <c r="A1621" s="625" t="s">
        <v>2131</v>
      </c>
      <c r="B1621" s="625"/>
      <c r="C1621" s="366"/>
      <c r="D1621" s="625"/>
      <c r="E1621" s="198" t="s">
        <v>1096</v>
      </c>
      <c r="F1621" s="199" t="s">
        <v>1096</v>
      </c>
      <c r="G1621" s="565">
        <v>3750000</v>
      </c>
      <c r="H1621" s="147" t="str">
        <f t="shared" si="554"/>
        <v xml:space="preserve">   </v>
      </c>
      <c r="I1621" s="147" t="str">
        <f t="shared" si="555"/>
        <v xml:space="preserve">   </v>
      </c>
      <c r="J1621" s="2035">
        <v>2700000</v>
      </c>
      <c r="K1621" s="2036"/>
      <c r="L1621" s="2163" t="s">
        <v>1049</v>
      </c>
      <c r="M1621" s="2164" t="s">
        <v>1141</v>
      </c>
      <c r="N1621" s="2163" t="s">
        <v>1051</v>
      </c>
      <c r="O1621" s="2164" t="s">
        <v>1325</v>
      </c>
      <c r="P1621" s="2016" t="s">
        <v>1053</v>
      </c>
      <c r="Q1621" s="1438" t="s">
        <v>1463</v>
      </c>
      <c r="R1621" s="2016" t="s">
        <v>1055</v>
      </c>
      <c r="S1621" s="1438" t="s">
        <v>1464</v>
      </c>
      <c r="T1621" s="2016" t="s">
        <v>1057</v>
      </c>
      <c r="U1621" s="1438" t="s">
        <v>1466</v>
      </c>
      <c r="V1621" s="2016" t="s">
        <v>1059</v>
      </c>
      <c r="W1621" s="1438" t="s">
        <v>1468</v>
      </c>
      <c r="X1621" s="1582" t="s">
        <v>1061</v>
      </c>
      <c r="Y1621" s="1438" t="s">
        <v>1470</v>
      </c>
      <c r="Z1621" s="1582" t="s">
        <v>1063</v>
      </c>
      <c r="AA1621" s="1438" t="s">
        <v>1718</v>
      </c>
      <c r="AB1621" s="2177">
        <v>1000000</v>
      </c>
      <c r="AC1621" s="2178" t="s">
        <v>2015</v>
      </c>
      <c r="AD1621" s="1450">
        <v>1200000</v>
      </c>
      <c r="AE1621" s="1663" t="s">
        <v>2016</v>
      </c>
      <c r="AF1621" s="1450">
        <v>1600000</v>
      </c>
      <c r="AG1621" s="1663" t="s">
        <v>1326</v>
      </c>
      <c r="AH1621" s="1408" t="str">
        <f t="shared" si="552"/>
        <v>#</v>
      </c>
      <c r="AI1621" s="1512"/>
      <c r="AJ1621" s="1409"/>
      <c r="AK1621" s="1409"/>
      <c r="AL1621" s="1513"/>
      <c r="AM1621" s="1450">
        <v>500000</v>
      </c>
      <c r="AN1621" s="1663" t="s">
        <v>22</v>
      </c>
      <c r="AO1621"/>
      <c r="AP1621"/>
      <c r="AQ1621" s="1128"/>
      <c r="AR1621" s="1173"/>
      <c r="AT1621" s="1173"/>
      <c r="AV1621" s="1173"/>
      <c r="AX1621" s="1173"/>
      <c r="AY1621" s="1176"/>
      <c r="AZ1621" s="1173"/>
    </row>
    <row r="1622" spans="1:52" s="2" customFormat="1" x14ac:dyDescent="0.25">
      <c r="A1622" s="694">
        <v>1498</v>
      </c>
      <c r="B1622" s="695">
        <v>1</v>
      </c>
      <c r="C1622" s="2202">
        <v>839218005</v>
      </c>
      <c r="D1622" s="713" t="s">
        <v>2132</v>
      </c>
      <c r="E1622" s="698" t="s">
        <v>2133</v>
      </c>
      <c r="F1622" s="327">
        <v>2018</v>
      </c>
      <c r="G1622" s="360" t="s">
        <v>1483</v>
      </c>
      <c r="H1622" s="700" t="str">
        <f t="shared" si="554"/>
        <v xml:space="preserve">   </v>
      </c>
      <c r="I1622" s="700" t="str">
        <f t="shared" si="555"/>
        <v xml:space="preserve">   </v>
      </c>
      <c r="J1622" s="1780">
        <v>2700000</v>
      </c>
      <c r="K1622" s="1727">
        <v>43314</v>
      </c>
      <c r="L1622" s="1941">
        <v>3750000</v>
      </c>
      <c r="M1622" s="1727">
        <v>43314</v>
      </c>
      <c r="N1622" s="1941">
        <v>3750000</v>
      </c>
      <c r="O1622" s="2054">
        <v>43482</v>
      </c>
      <c r="P1622" s="2097">
        <v>3750000</v>
      </c>
      <c r="Q1622" s="2054">
        <v>43644.364282407398</v>
      </c>
      <c r="R1622" s="2170">
        <v>3750000</v>
      </c>
      <c r="S1622" s="2054">
        <v>43859.372638888897</v>
      </c>
      <c r="T1622" s="1731">
        <v>3750000</v>
      </c>
      <c r="U1622" s="1367">
        <v>44071.431527777801</v>
      </c>
      <c r="V1622" s="1543"/>
      <c r="W1622" s="2171"/>
      <c r="X1622" s="1543"/>
      <c r="Y1622" s="2171"/>
      <c r="Z1622" s="1543"/>
      <c r="AA1622" s="2171"/>
      <c r="AB1622" s="1666"/>
      <c r="AC1622" s="1590"/>
      <c r="AD1622" s="1666"/>
      <c r="AE1622" s="1590"/>
      <c r="AF1622" s="1666"/>
      <c r="AG1622" s="1590"/>
      <c r="AH1622" s="1625" t="str">
        <f t="shared" si="552"/>
        <v>ES-3A</v>
      </c>
      <c r="AI1622" s="1675">
        <f t="shared" ref="AI1622:AI1675" si="556">SUM(J1622,L1622,N1622,P1622,R1622,T1622,V1622,X1622,Z1622,AB1622,AD1622,AF1622,AM1622)</f>
        <v>21450000</v>
      </c>
      <c r="AJ1622" s="1675">
        <f t="shared" ref="AJ1622:AJ1653" si="557">(COUNT(L1622,N1622,P1622,R1622,T1622,V1622,X1622,Z1622)*$G$1507)+(COUNT(J1622)*$J$1507)+(COUNT(AB1622)*$AB$1507)+(COUNT(AD1622)*$AD$1507)+(COUNT(AF1622)*$AF$1507)+(COUNT(AM1622)*$AM$1507)</f>
        <v>21450000</v>
      </c>
      <c r="AK1622" s="1520">
        <f t="shared" ref="AK1622" si="558">AJ1622-AI1622</f>
        <v>0</v>
      </c>
      <c r="AL1622" s="2187" t="str">
        <f t="shared" ref="AL1622" si="559">IF(AK1622=0,"Lunas","Cek")</f>
        <v>Lunas</v>
      </c>
      <c r="AM1622" s="1666"/>
      <c r="AN1622" s="1590"/>
      <c r="AO1622"/>
      <c r="AP1622"/>
      <c r="AQ1622" s="1128"/>
      <c r="AR1622" s="1173"/>
      <c r="AT1622" s="1173"/>
      <c r="AV1622" s="1173"/>
      <c r="AX1622" s="1173"/>
      <c r="AY1622" s="1176"/>
      <c r="AZ1622" s="1173"/>
    </row>
    <row r="1623" spans="1:52" s="2" customFormat="1" x14ac:dyDescent="0.25">
      <c r="A1623" s="670">
        <v>1499</v>
      </c>
      <c r="B1623" s="671">
        <v>2</v>
      </c>
      <c r="C1623" s="2147">
        <v>839218008</v>
      </c>
      <c r="D1623" s="703" t="s">
        <v>2134</v>
      </c>
      <c r="E1623" s="264" t="s">
        <v>2133</v>
      </c>
      <c r="F1623" s="175">
        <v>2018</v>
      </c>
      <c r="G1623" s="214" t="s">
        <v>1077</v>
      </c>
      <c r="H1623" s="580" t="str">
        <f t="shared" si="554"/>
        <v xml:space="preserve">   </v>
      </c>
      <c r="I1623" s="580" t="str">
        <f t="shared" si="555"/>
        <v xml:space="preserve">   </v>
      </c>
      <c r="J1623" s="1499">
        <v>950000</v>
      </c>
      <c r="K1623" s="1360">
        <v>43315</v>
      </c>
      <c r="L1623" s="2216">
        <v>0</v>
      </c>
      <c r="M1623" s="1360"/>
      <c r="N1623" s="1186" t="s">
        <v>1842</v>
      </c>
      <c r="O1623" s="1386"/>
      <c r="P1623" s="1731"/>
      <c r="Q1623" s="1367"/>
      <c r="R1623" s="1731"/>
      <c r="S1623" s="1367"/>
      <c r="T1623" s="1731"/>
      <c r="U1623" s="1367"/>
      <c r="V1623" s="1363"/>
      <c r="W1623" s="1391"/>
      <c r="X1623" s="1363"/>
      <c r="Y1623" s="1391"/>
      <c r="Z1623" s="1363"/>
      <c r="AA1623" s="1391"/>
      <c r="AB1623" s="1731"/>
      <c r="AC1623" s="1367"/>
      <c r="AD1623" s="1666"/>
      <c r="AE1623" s="1590"/>
      <c r="AF1623" s="1666"/>
      <c r="AG1623" s="1590"/>
      <c r="AH1623" s="1625" t="str">
        <f t="shared" si="552"/>
        <v>ES-3A</v>
      </c>
      <c r="AI1623" s="1675">
        <f t="shared" si="556"/>
        <v>950000</v>
      </c>
      <c r="AJ1623" s="1675">
        <f t="shared" si="557"/>
        <v>6450000</v>
      </c>
      <c r="AK1623" s="1520">
        <f t="shared" ref="AK1623:AK1675" si="560">AJ1623-AI1623</f>
        <v>5500000</v>
      </c>
      <c r="AL1623" s="2187" t="str">
        <f t="shared" ref="AL1623:AL1675" si="561">IF(AK1623=0,"Lunas","Cek")</f>
        <v>Cek</v>
      </c>
      <c r="AM1623" s="1666"/>
      <c r="AN1623" s="1590"/>
      <c r="AO1623"/>
      <c r="AP1623"/>
      <c r="AQ1623" s="1128"/>
      <c r="AR1623" s="1173"/>
      <c r="AT1623" s="1173"/>
      <c r="AV1623" s="1173"/>
      <c r="AX1623" s="1173"/>
      <c r="AY1623" s="1176"/>
      <c r="AZ1623" s="1173"/>
    </row>
    <row r="1624" spans="1:52" s="2" customFormat="1" x14ac:dyDescent="0.25">
      <c r="A1624" s="670">
        <v>1500</v>
      </c>
      <c r="B1624" s="671">
        <v>3</v>
      </c>
      <c r="C1624" s="2147">
        <v>839218017</v>
      </c>
      <c r="D1624" s="701" t="s">
        <v>2135</v>
      </c>
      <c r="E1624" s="441" t="s">
        <v>2133</v>
      </c>
      <c r="F1624" s="175">
        <v>2018</v>
      </c>
      <c r="G1624" s="360" t="s">
        <v>1483</v>
      </c>
      <c r="H1624" s="580" t="str">
        <f t="shared" si="554"/>
        <v xml:space="preserve">   </v>
      </c>
      <c r="I1624" s="580" t="str">
        <f t="shared" si="555"/>
        <v xml:space="preserve">   </v>
      </c>
      <c r="J1624" s="1366">
        <v>2700000</v>
      </c>
      <c r="K1624" s="1360">
        <v>43314</v>
      </c>
      <c r="L1624" s="1363">
        <v>3750000</v>
      </c>
      <c r="M1624" s="1360">
        <v>43314</v>
      </c>
      <c r="N1624" s="1363">
        <v>3750000</v>
      </c>
      <c r="O1624" s="1367">
        <v>43481</v>
      </c>
      <c r="P1624" s="1714">
        <v>3750000</v>
      </c>
      <c r="Q1624" s="1590">
        <v>43644.364282407398</v>
      </c>
      <c r="R1624" s="1731">
        <v>3750000</v>
      </c>
      <c r="S1624" s="1367">
        <v>43866</v>
      </c>
      <c r="T1624" s="1731">
        <v>3750000</v>
      </c>
      <c r="U1624" s="1367">
        <v>44071.643842592603</v>
      </c>
      <c r="V1624" s="1363"/>
      <c r="W1624" s="1391"/>
      <c r="X1624" s="1363"/>
      <c r="Y1624" s="1391"/>
      <c r="Z1624" s="1363"/>
      <c r="AA1624" s="1391"/>
      <c r="AB1624" s="1731"/>
      <c r="AC1624" s="1367"/>
      <c r="AD1624" s="1666"/>
      <c r="AE1624" s="1590"/>
      <c r="AF1624" s="1666"/>
      <c r="AG1624" s="1590"/>
      <c r="AH1624" s="1625" t="str">
        <f t="shared" si="552"/>
        <v>ES-3A</v>
      </c>
      <c r="AI1624" s="1675">
        <f t="shared" si="556"/>
        <v>21450000</v>
      </c>
      <c r="AJ1624" s="1675">
        <f t="shared" si="557"/>
        <v>21450000</v>
      </c>
      <c r="AK1624" s="1520">
        <f t="shared" si="560"/>
        <v>0</v>
      </c>
      <c r="AL1624" s="2187" t="str">
        <f t="shared" si="561"/>
        <v>Lunas</v>
      </c>
      <c r="AM1624" s="1666"/>
      <c r="AN1624" s="1590"/>
      <c r="AO1624"/>
      <c r="AP1624"/>
      <c r="AQ1624" s="1128"/>
      <c r="AR1624" s="1173"/>
      <c r="AT1624" s="1173"/>
      <c r="AV1624" s="1173"/>
      <c r="AX1624" s="1173"/>
      <c r="AY1624" s="1176"/>
      <c r="AZ1624" s="1173"/>
    </row>
    <row r="1625" spans="1:52" s="2" customFormat="1" x14ac:dyDescent="0.25">
      <c r="A1625" s="670">
        <v>1501</v>
      </c>
      <c r="B1625" s="671">
        <v>4</v>
      </c>
      <c r="C1625" s="2147">
        <v>839218020</v>
      </c>
      <c r="D1625" s="701" t="s">
        <v>2136</v>
      </c>
      <c r="E1625" s="441" t="s">
        <v>2133</v>
      </c>
      <c r="F1625" s="175">
        <v>2018</v>
      </c>
      <c r="G1625" s="1758" t="s">
        <v>28</v>
      </c>
      <c r="H1625" s="580" t="str">
        <f t="shared" si="554"/>
        <v xml:space="preserve">   </v>
      </c>
      <c r="I1625" s="580" t="str">
        <f t="shared" si="555"/>
        <v xml:space="preserve">   </v>
      </c>
      <c r="J1625" s="1366">
        <v>2700000</v>
      </c>
      <c r="K1625" s="1360">
        <v>43313</v>
      </c>
      <c r="L1625" s="1363">
        <v>3750000</v>
      </c>
      <c r="M1625" s="1360">
        <v>43313</v>
      </c>
      <c r="N1625" s="1363">
        <v>3750000</v>
      </c>
      <c r="O1625" s="1367">
        <v>43483</v>
      </c>
      <c r="P1625" s="1186" t="s">
        <v>1131</v>
      </c>
      <c r="Q1625" s="1386">
        <v>43630</v>
      </c>
      <c r="R1625" s="1731">
        <v>0</v>
      </c>
      <c r="S1625" s="1367" t="s">
        <v>783</v>
      </c>
      <c r="T1625" s="1731">
        <v>0</v>
      </c>
      <c r="U1625" s="1367"/>
      <c r="V1625" s="1363"/>
      <c r="W1625" s="1391"/>
      <c r="X1625" s="1363"/>
      <c r="Y1625" s="1391"/>
      <c r="Z1625" s="1363"/>
      <c r="AA1625" s="1391"/>
      <c r="AB1625" s="1731"/>
      <c r="AC1625" s="1367"/>
      <c r="AD1625" s="1666"/>
      <c r="AE1625" s="1590"/>
      <c r="AF1625" s="1666"/>
      <c r="AG1625" s="1590"/>
      <c r="AH1625" s="1625" t="str">
        <f t="shared" si="552"/>
        <v>ES-3A</v>
      </c>
      <c r="AI1625" s="1675">
        <f t="shared" si="556"/>
        <v>10200000</v>
      </c>
      <c r="AJ1625" s="1675">
        <f t="shared" si="557"/>
        <v>17700000</v>
      </c>
      <c r="AK1625" s="1520">
        <f t="shared" si="560"/>
        <v>7500000</v>
      </c>
      <c r="AL1625" s="2187" t="str">
        <f t="shared" si="561"/>
        <v>Cek</v>
      </c>
      <c r="AM1625" s="1666"/>
      <c r="AN1625" s="1590"/>
      <c r="AO1625"/>
      <c r="AP1625"/>
      <c r="AQ1625" s="1128"/>
      <c r="AR1625" s="1173"/>
      <c r="AT1625" s="1173"/>
      <c r="AV1625" s="1173"/>
      <c r="AX1625" s="1173"/>
      <c r="AY1625" s="1176"/>
      <c r="AZ1625" s="1173"/>
    </row>
    <row r="1626" spans="1:52" s="2" customFormat="1" x14ac:dyDescent="0.25">
      <c r="A1626" s="670">
        <v>1502</v>
      </c>
      <c r="B1626" s="671">
        <v>5</v>
      </c>
      <c r="C1626" s="2147">
        <v>839218031</v>
      </c>
      <c r="D1626" s="701" t="s">
        <v>2137</v>
      </c>
      <c r="E1626" s="441" t="s">
        <v>2133</v>
      </c>
      <c r="F1626" s="175">
        <v>2018</v>
      </c>
      <c r="G1626" s="360" t="s">
        <v>1483</v>
      </c>
      <c r="H1626" s="580" t="str">
        <f t="shared" si="554"/>
        <v xml:space="preserve">   </v>
      </c>
      <c r="I1626" s="580" t="str">
        <f t="shared" si="555"/>
        <v xml:space="preserve">   </v>
      </c>
      <c r="J1626" s="1366">
        <v>2700000</v>
      </c>
      <c r="K1626" s="1360">
        <v>43314</v>
      </c>
      <c r="L1626" s="1363">
        <v>3750000</v>
      </c>
      <c r="M1626" s="1360">
        <v>43314</v>
      </c>
      <c r="N1626" s="1363">
        <v>3750000</v>
      </c>
      <c r="O1626" s="1367">
        <v>43483</v>
      </c>
      <c r="P1626" s="1714">
        <v>3750000</v>
      </c>
      <c r="Q1626" s="1367">
        <v>43643.432106481501</v>
      </c>
      <c r="R1626" s="1731">
        <v>3750000</v>
      </c>
      <c r="S1626" s="1367">
        <v>43857.4288773148</v>
      </c>
      <c r="T1626" s="1731">
        <v>3750000</v>
      </c>
      <c r="U1626" s="1367">
        <v>44071.436076388898</v>
      </c>
      <c r="V1626" s="1363"/>
      <c r="W1626" s="1391"/>
      <c r="X1626" s="1363"/>
      <c r="Y1626" s="1391"/>
      <c r="Z1626" s="1363"/>
      <c r="AA1626" s="1391"/>
      <c r="AB1626" s="1731"/>
      <c r="AC1626" s="1367"/>
      <c r="AD1626" s="1666"/>
      <c r="AE1626" s="1590"/>
      <c r="AF1626" s="1666"/>
      <c r="AG1626" s="1590"/>
      <c r="AH1626" s="1625" t="str">
        <f t="shared" si="552"/>
        <v>ES-3A</v>
      </c>
      <c r="AI1626" s="1675">
        <f t="shared" si="556"/>
        <v>21450000</v>
      </c>
      <c r="AJ1626" s="1675">
        <f t="shared" si="557"/>
        <v>21450000</v>
      </c>
      <c r="AK1626" s="1520">
        <f t="shared" si="560"/>
        <v>0</v>
      </c>
      <c r="AL1626" s="2187" t="str">
        <f t="shared" si="561"/>
        <v>Lunas</v>
      </c>
      <c r="AM1626" s="1666"/>
      <c r="AN1626" s="1590"/>
      <c r="AO1626"/>
      <c r="AP1626"/>
      <c r="AQ1626" s="1128"/>
      <c r="AR1626" s="1173"/>
      <c r="AT1626" s="1173"/>
      <c r="AV1626" s="1173"/>
      <c r="AX1626" s="1173"/>
      <c r="AY1626" s="1176"/>
      <c r="AZ1626" s="1173"/>
    </row>
    <row r="1627" spans="1:52" s="2" customFormat="1" x14ac:dyDescent="0.25">
      <c r="A1627" s="670">
        <v>1503</v>
      </c>
      <c r="B1627" s="671">
        <v>6</v>
      </c>
      <c r="C1627" s="2147">
        <v>839218037</v>
      </c>
      <c r="D1627" s="701" t="s">
        <v>2138</v>
      </c>
      <c r="E1627" s="441" t="s">
        <v>2133</v>
      </c>
      <c r="F1627" s="175">
        <v>2018</v>
      </c>
      <c r="G1627" s="360" t="s">
        <v>1483</v>
      </c>
      <c r="H1627" s="580" t="str">
        <f t="shared" si="554"/>
        <v xml:space="preserve">   </v>
      </c>
      <c r="I1627" s="580" t="str">
        <f t="shared" si="555"/>
        <v xml:space="preserve">   </v>
      </c>
      <c r="J1627" s="1366">
        <v>2700000</v>
      </c>
      <c r="K1627" s="1360">
        <v>43313</v>
      </c>
      <c r="L1627" s="1363">
        <v>3750000</v>
      </c>
      <c r="M1627" s="1360">
        <v>43313</v>
      </c>
      <c r="N1627" s="1363">
        <v>3750000</v>
      </c>
      <c r="O1627" s="1367">
        <v>43481</v>
      </c>
      <c r="P1627" s="1714">
        <v>3750000</v>
      </c>
      <c r="Q1627" s="1367">
        <v>43644.554710648103</v>
      </c>
      <c r="R1627" s="1731">
        <v>3750000</v>
      </c>
      <c r="S1627" s="1367">
        <v>43861.317268518498</v>
      </c>
      <c r="T1627" s="1731">
        <v>3750000</v>
      </c>
      <c r="U1627" s="1367">
        <v>44068.496192129598</v>
      </c>
      <c r="V1627" s="1363"/>
      <c r="W1627" s="1391"/>
      <c r="X1627" s="1363"/>
      <c r="Y1627" s="1391"/>
      <c r="Z1627" s="1363"/>
      <c r="AA1627" s="1391"/>
      <c r="AB1627" s="1731"/>
      <c r="AC1627" s="1367"/>
      <c r="AD1627" s="1666"/>
      <c r="AE1627" s="1590"/>
      <c r="AF1627" s="1666"/>
      <c r="AG1627" s="1590"/>
      <c r="AH1627" s="1625" t="str">
        <f t="shared" si="552"/>
        <v>ES-3A</v>
      </c>
      <c r="AI1627" s="1675">
        <f t="shared" si="556"/>
        <v>21450000</v>
      </c>
      <c r="AJ1627" s="1675">
        <f t="shared" si="557"/>
        <v>21450000</v>
      </c>
      <c r="AK1627" s="1520">
        <f t="shared" si="560"/>
        <v>0</v>
      </c>
      <c r="AL1627" s="2187" t="str">
        <f t="shared" si="561"/>
        <v>Lunas</v>
      </c>
      <c r="AM1627" s="1666"/>
      <c r="AN1627" s="1590"/>
      <c r="AO1627"/>
      <c r="AP1627"/>
      <c r="AQ1627" s="1128"/>
      <c r="AR1627" s="1173"/>
      <c r="AT1627" s="1173"/>
      <c r="AV1627" s="1173"/>
      <c r="AX1627" s="1173"/>
      <c r="AY1627" s="1176"/>
      <c r="AZ1627" s="1173"/>
    </row>
    <row r="1628" spans="1:52" s="2" customFormat="1" x14ac:dyDescent="0.25">
      <c r="A1628" s="670">
        <v>1504</v>
      </c>
      <c r="B1628" s="671">
        <v>7</v>
      </c>
      <c r="C1628" s="2147">
        <v>839218038</v>
      </c>
      <c r="D1628" s="701" t="s">
        <v>2139</v>
      </c>
      <c r="E1628" s="441" t="s">
        <v>2133</v>
      </c>
      <c r="F1628" s="175">
        <v>2018</v>
      </c>
      <c r="G1628" s="360" t="s">
        <v>1483</v>
      </c>
      <c r="H1628" s="580" t="str">
        <f t="shared" si="554"/>
        <v xml:space="preserve">   </v>
      </c>
      <c r="I1628" s="580" t="str">
        <f t="shared" si="555"/>
        <v xml:space="preserve">   </v>
      </c>
      <c r="J1628" s="1366">
        <v>2700000</v>
      </c>
      <c r="K1628" s="1360">
        <v>43321</v>
      </c>
      <c r="L1628" s="1363">
        <v>3750000</v>
      </c>
      <c r="M1628" s="1360">
        <v>43321</v>
      </c>
      <c r="N1628" s="1363">
        <v>3750000</v>
      </c>
      <c r="O1628" s="1367">
        <v>43483</v>
      </c>
      <c r="P1628" s="1714">
        <v>3750000</v>
      </c>
      <c r="Q1628" s="1367">
        <v>43643.589282407404</v>
      </c>
      <c r="R1628" s="1731">
        <v>3750000</v>
      </c>
      <c r="S1628" s="1367">
        <v>43862.224791666697</v>
      </c>
      <c r="T1628" s="1731">
        <v>3750000</v>
      </c>
      <c r="U1628" s="1367">
        <v>44083</v>
      </c>
      <c r="V1628" s="1363"/>
      <c r="W1628" s="1391"/>
      <c r="X1628" s="1363"/>
      <c r="Y1628" s="1391"/>
      <c r="Z1628" s="1363"/>
      <c r="AA1628" s="1391"/>
      <c r="AB1628" s="1731"/>
      <c r="AC1628" s="1367"/>
      <c r="AD1628" s="1666"/>
      <c r="AE1628" s="1590"/>
      <c r="AF1628" s="1666"/>
      <c r="AG1628" s="1590"/>
      <c r="AH1628" s="1625" t="str">
        <f t="shared" si="552"/>
        <v>ES-3A</v>
      </c>
      <c r="AI1628" s="1675">
        <f t="shared" si="556"/>
        <v>21450000</v>
      </c>
      <c r="AJ1628" s="1675">
        <f t="shared" si="557"/>
        <v>21450000</v>
      </c>
      <c r="AK1628" s="1520">
        <f t="shared" si="560"/>
        <v>0</v>
      </c>
      <c r="AL1628" s="2187" t="str">
        <f t="shared" si="561"/>
        <v>Lunas</v>
      </c>
      <c r="AM1628" s="1666"/>
      <c r="AN1628" s="1590"/>
      <c r="AO1628"/>
      <c r="AP1628"/>
      <c r="AQ1628" s="1128"/>
      <c r="AR1628" s="1173"/>
      <c r="AT1628" s="1173"/>
      <c r="AV1628" s="1173"/>
      <c r="AX1628" s="1173"/>
      <c r="AY1628" s="1176"/>
      <c r="AZ1628" s="1173"/>
    </row>
    <row r="1629" spans="1:52" s="2" customFormat="1" x14ac:dyDescent="0.25">
      <c r="A1629" s="670">
        <v>1505</v>
      </c>
      <c r="B1629" s="671">
        <v>8</v>
      </c>
      <c r="C1629" s="2147">
        <v>839218039</v>
      </c>
      <c r="D1629" s="701" t="s">
        <v>2140</v>
      </c>
      <c r="E1629" s="441" t="s">
        <v>2133</v>
      </c>
      <c r="F1629" s="175">
        <v>2018</v>
      </c>
      <c r="G1629" s="360" t="s">
        <v>1483</v>
      </c>
      <c r="H1629" s="580" t="str">
        <f t="shared" si="554"/>
        <v xml:space="preserve">   </v>
      </c>
      <c r="I1629" s="580" t="str">
        <f t="shared" si="555"/>
        <v xml:space="preserve">   </v>
      </c>
      <c r="J1629" s="1366">
        <v>2700000</v>
      </c>
      <c r="K1629" s="1360">
        <v>43314</v>
      </c>
      <c r="L1629" s="1363">
        <v>3750000</v>
      </c>
      <c r="M1629" s="1360">
        <v>43314</v>
      </c>
      <c r="N1629" s="1363">
        <v>3750000</v>
      </c>
      <c r="O1629" s="1367">
        <v>43482</v>
      </c>
      <c r="P1629" s="1714">
        <v>3750000</v>
      </c>
      <c r="Q1629" s="1367">
        <v>43644.555115740703</v>
      </c>
      <c r="R1629" s="1731">
        <v>3750000</v>
      </c>
      <c r="S1629" s="1367">
        <v>43860.421701388899</v>
      </c>
      <c r="T1629" s="1731">
        <v>3750000</v>
      </c>
      <c r="U1629" s="1367">
        <v>44068.495162036997</v>
      </c>
      <c r="V1629" s="1363"/>
      <c r="W1629" s="1391"/>
      <c r="X1629" s="1363"/>
      <c r="Y1629" s="1391"/>
      <c r="Z1629" s="1363"/>
      <c r="AA1629" s="1391"/>
      <c r="AB1629" s="1731"/>
      <c r="AC1629" s="1367"/>
      <c r="AD1629" s="1666"/>
      <c r="AE1629" s="1590"/>
      <c r="AF1629" s="1666"/>
      <c r="AG1629" s="1590"/>
      <c r="AH1629" s="1625" t="str">
        <f t="shared" si="552"/>
        <v>ES-3A</v>
      </c>
      <c r="AI1629" s="1675">
        <f t="shared" si="556"/>
        <v>21450000</v>
      </c>
      <c r="AJ1629" s="1675">
        <f t="shared" si="557"/>
        <v>21450000</v>
      </c>
      <c r="AK1629" s="1520">
        <f t="shared" si="560"/>
        <v>0</v>
      </c>
      <c r="AL1629" s="2187" t="str">
        <f t="shared" si="561"/>
        <v>Lunas</v>
      </c>
      <c r="AM1629" s="1666"/>
      <c r="AN1629" s="1590"/>
      <c r="AO1629"/>
      <c r="AP1629"/>
      <c r="AQ1629" s="1128"/>
      <c r="AR1629" s="1173"/>
      <c r="AT1629" s="1173"/>
      <c r="AV1629" s="1173"/>
      <c r="AX1629" s="1173"/>
      <c r="AY1629" s="1176"/>
      <c r="AZ1629" s="1173"/>
    </row>
    <row r="1630" spans="1:52" s="2" customFormat="1" x14ac:dyDescent="0.25">
      <c r="A1630" s="2132">
        <v>1506</v>
      </c>
      <c r="B1630" s="2133">
        <v>9</v>
      </c>
      <c r="C1630" s="2145">
        <v>839218040</v>
      </c>
      <c r="D1630" s="2146" t="s">
        <v>2141</v>
      </c>
      <c r="E1630" s="179" t="s">
        <v>2133</v>
      </c>
      <c r="F1630" s="161">
        <v>2018</v>
      </c>
      <c r="G1630" s="272" t="s">
        <v>33</v>
      </c>
      <c r="H1630" s="628">
        <f t="shared" si="554"/>
        <v>44004</v>
      </c>
      <c r="I1630" s="628">
        <f t="shared" si="555"/>
        <v>44168</v>
      </c>
      <c r="J1630" s="1364">
        <v>2700000</v>
      </c>
      <c r="K1630" s="1365">
        <v>43313</v>
      </c>
      <c r="L1630" s="1358">
        <v>3750000</v>
      </c>
      <c r="M1630" s="1365">
        <v>43313</v>
      </c>
      <c r="N1630" s="1358">
        <v>3750000</v>
      </c>
      <c r="O1630" s="1357">
        <v>43482</v>
      </c>
      <c r="P1630" s="1385">
        <v>3750000</v>
      </c>
      <c r="Q1630" s="1357">
        <v>43640.528182870403</v>
      </c>
      <c r="R1630" s="1874">
        <v>3750000</v>
      </c>
      <c r="S1630" s="1357">
        <v>43853.509212962999</v>
      </c>
      <c r="T1630" s="1714"/>
      <c r="U1630" s="1391"/>
      <c r="V1630" s="1363"/>
      <c r="W1630" s="1391"/>
      <c r="X1630" s="1363"/>
      <c r="Y1630" s="1391"/>
      <c r="Z1630" s="1363"/>
      <c r="AA1630" s="1391"/>
      <c r="AB1630" s="1874">
        <v>1000000</v>
      </c>
      <c r="AC1630" s="1357">
        <v>44153</v>
      </c>
      <c r="AD1630" s="1809">
        <v>1200000</v>
      </c>
      <c r="AE1630" s="1357">
        <v>44153</v>
      </c>
      <c r="AF1630" s="1809">
        <v>1600000</v>
      </c>
      <c r="AG1630" s="1357">
        <v>44153</v>
      </c>
      <c r="AH1630" s="1625" t="str">
        <f t="shared" si="552"/>
        <v>ES-3A</v>
      </c>
      <c r="AI1630" s="1675">
        <f t="shared" si="556"/>
        <v>22000000</v>
      </c>
      <c r="AJ1630" s="1675">
        <f t="shared" si="557"/>
        <v>22000000</v>
      </c>
      <c r="AK1630" s="1520">
        <f t="shared" si="560"/>
        <v>0</v>
      </c>
      <c r="AL1630" s="2187" t="str">
        <f t="shared" si="561"/>
        <v>Lunas</v>
      </c>
      <c r="AM1630" s="1666">
        <v>500000</v>
      </c>
      <c r="AN1630" s="1590">
        <v>44028</v>
      </c>
      <c r="AO1630"/>
      <c r="AP1630"/>
      <c r="AQ1630" s="1128"/>
      <c r="AR1630" s="1173"/>
      <c r="AT1630" s="1173"/>
      <c r="AV1630" s="1173"/>
      <c r="AX1630" s="1173"/>
      <c r="AY1630" s="1176"/>
      <c r="AZ1630" s="1173"/>
    </row>
    <row r="1631" spans="1:52" s="2" customFormat="1" x14ac:dyDescent="0.25">
      <c r="A1631" s="670">
        <v>1507</v>
      </c>
      <c r="B1631" s="671">
        <v>10</v>
      </c>
      <c r="C1631" s="2147">
        <v>839218042</v>
      </c>
      <c r="D1631" s="701" t="s">
        <v>2142</v>
      </c>
      <c r="E1631" s="441" t="s">
        <v>2133</v>
      </c>
      <c r="F1631" s="175">
        <v>2018</v>
      </c>
      <c r="G1631" s="360" t="s">
        <v>1483</v>
      </c>
      <c r="H1631" s="580" t="str">
        <f t="shared" si="554"/>
        <v xml:space="preserve">   </v>
      </c>
      <c r="I1631" s="580" t="str">
        <f t="shared" si="555"/>
        <v xml:space="preserve">   </v>
      </c>
      <c r="J1631" s="1366">
        <v>2700000</v>
      </c>
      <c r="K1631" s="1360">
        <v>43312</v>
      </c>
      <c r="L1631" s="1363">
        <v>3750000</v>
      </c>
      <c r="M1631" s="1360">
        <v>43312</v>
      </c>
      <c r="N1631" s="1363">
        <v>3750000</v>
      </c>
      <c r="O1631" s="1367">
        <v>43482</v>
      </c>
      <c r="P1631" s="1714">
        <v>3750000</v>
      </c>
      <c r="Q1631" s="1367">
        <v>43640.478275463</v>
      </c>
      <c r="R1631" s="2077" t="s">
        <v>1131</v>
      </c>
      <c r="S1631" s="1386">
        <v>43861</v>
      </c>
      <c r="T1631" s="1731">
        <v>3750000</v>
      </c>
      <c r="U1631" s="1367">
        <v>44064</v>
      </c>
      <c r="V1631" s="1363"/>
      <c r="W1631" s="1391"/>
      <c r="X1631" s="1363"/>
      <c r="Y1631" s="1391"/>
      <c r="Z1631" s="1363"/>
      <c r="AA1631" s="1391"/>
      <c r="AB1631" s="1731"/>
      <c r="AC1631" s="1367"/>
      <c r="AD1631" s="1666"/>
      <c r="AE1631" s="1590"/>
      <c r="AF1631" s="1666"/>
      <c r="AG1631" s="1590"/>
      <c r="AH1631" s="1625" t="str">
        <f t="shared" si="552"/>
        <v>ES-3A</v>
      </c>
      <c r="AI1631" s="1675">
        <f t="shared" si="556"/>
        <v>17700000</v>
      </c>
      <c r="AJ1631" s="1675">
        <f t="shared" si="557"/>
        <v>17700000</v>
      </c>
      <c r="AK1631" s="1520">
        <f t="shared" si="560"/>
        <v>0</v>
      </c>
      <c r="AL1631" s="2187" t="str">
        <f t="shared" si="561"/>
        <v>Lunas</v>
      </c>
      <c r="AM1631" s="1666"/>
      <c r="AN1631" s="1590"/>
      <c r="AO1631"/>
      <c r="AP1631"/>
      <c r="AQ1631" s="1128"/>
      <c r="AR1631" s="1173"/>
      <c r="AT1631" s="1173"/>
      <c r="AV1631" s="1173"/>
      <c r="AX1631" s="1173"/>
      <c r="AY1631" s="1176"/>
      <c r="AZ1631" s="1173"/>
    </row>
    <row r="1632" spans="1:52" s="2" customFormat="1" x14ac:dyDescent="0.25">
      <c r="A1632" s="670">
        <v>1508</v>
      </c>
      <c r="B1632" s="671">
        <v>11</v>
      </c>
      <c r="C1632" s="2147">
        <v>839218050</v>
      </c>
      <c r="D1632" s="701" t="s">
        <v>2143</v>
      </c>
      <c r="E1632" s="441" t="s">
        <v>2133</v>
      </c>
      <c r="F1632" s="175">
        <v>2018</v>
      </c>
      <c r="G1632" s="581" t="s">
        <v>1833</v>
      </c>
      <c r="H1632" s="580" t="str">
        <f t="shared" si="554"/>
        <v xml:space="preserve">   </v>
      </c>
      <c r="I1632" s="580" t="str">
        <f t="shared" si="555"/>
        <v xml:space="preserve">   </v>
      </c>
      <c r="J1632" s="1366">
        <v>2700000</v>
      </c>
      <c r="K1632" s="1360">
        <v>43314</v>
      </c>
      <c r="L1632" s="1363">
        <v>3750000</v>
      </c>
      <c r="M1632" s="1360">
        <v>43314</v>
      </c>
      <c r="N1632" s="1363">
        <v>3750000</v>
      </c>
      <c r="O1632" s="1367">
        <v>43479</v>
      </c>
      <c r="P1632" s="1714">
        <v>3750000</v>
      </c>
      <c r="Q1632" s="1367">
        <v>43640.6177314815</v>
      </c>
      <c r="R1632" s="1731">
        <v>3750000</v>
      </c>
      <c r="S1632" s="1367">
        <v>43854.5061458333</v>
      </c>
      <c r="T1632" s="1186" t="s">
        <v>1078</v>
      </c>
      <c r="U1632" s="1386">
        <v>44071</v>
      </c>
      <c r="V1632" s="1363"/>
      <c r="W1632" s="1391"/>
      <c r="X1632" s="1363"/>
      <c r="Y1632" s="1391"/>
      <c r="Z1632" s="1363"/>
      <c r="AA1632" s="1391"/>
      <c r="AB1632" s="1731"/>
      <c r="AC1632" s="1367"/>
      <c r="AD1632" s="1666"/>
      <c r="AE1632" s="1590"/>
      <c r="AF1632" s="1666"/>
      <c r="AG1632" s="1590"/>
      <c r="AH1632" s="1625" t="str">
        <f t="shared" si="552"/>
        <v>ES-3A</v>
      </c>
      <c r="AI1632" s="1675">
        <f t="shared" si="556"/>
        <v>17700000</v>
      </c>
      <c r="AJ1632" s="1675">
        <f t="shared" si="557"/>
        <v>17700000</v>
      </c>
      <c r="AK1632" s="1520">
        <f t="shared" si="560"/>
        <v>0</v>
      </c>
      <c r="AL1632" s="2187" t="str">
        <f t="shared" si="561"/>
        <v>Lunas</v>
      </c>
      <c r="AM1632" s="1666"/>
      <c r="AN1632" s="1590"/>
      <c r="AO1632"/>
      <c r="AP1632"/>
      <c r="AQ1632" s="1128"/>
      <c r="AR1632" s="1173"/>
      <c r="AT1632" s="1173"/>
      <c r="AV1632" s="1173"/>
      <c r="AX1632" s="1173"/>
      <c r="AY1632" s="1176"/>
      <c r="AZ1632" s="1173"/>
    </row>
    <row r="1633" spans="1:52" s="2" customFormat="1" x14ac:dyDescent="0.25">
      <c r="A1633" s="670">
        <v>1509</v>
      </c>
      <c r="B1633" s="671">
        <v>12</v>
      </c>
      <c r="C1633" s="2147">
        <v>839218051</v>
      </c>
      <c r="D1633" s="701" t="s">
        <v>2144</v>
      </c>
      <c r="E1633" s="441" t="s">
        <v>2133</v>
      </c>
      <c r="F1633" s="175">
        <v>2018</v>
      </c>
      <c r="G1633" s="360" t="s">
        <v>1483</v>
      </c>
      <c r="H1633" s="580" t="str">
        <f t="shared" si="554"/>
        <v xml:space="preserve">   </v>
      </c>
      <c r="I1633" s="580" t="str">
        <f t="shared" si="555"/>
        <v xml:space="preserve">   </v>
      </c>
      <c r="J1633" s="1366">
        <v>2700000</v>
      </c>
      <c r="K1633" s="1360">
        <v>43321</v>
      </c>
      <c r="L1633" s="1363">
        <v>3750000</v>
      </c>
      <c r="M1633" s="1360">
        <v>43321</v>
      </c>
      <c r="N1633" s="1363">
        <v>3750000</v>
      </c>
      <c r="O1633" s="1367">
        <v>43483</v>
      </c>
      <c r="P1633" s="1714">
        <v>3750000</v>
      </c>
      <c r="Q1633" s="1367">
        <v>43644.485717592601</v>
      </c>
      <c r="R1633" s="1731">
        <v>3750000</v>
      </c>
      <c r="S1633" s="1367">
        <v>43857.367650462998</v>
      </c>
      <c r="T1633" s="1731">
        <v>3750000</v>
      </c>
      <c r="U1633" s="1367">
        <v>44071.560011574104</v>
      </c>
      <c r="V1633" s="1363"/>
      <c r="W1633" s="1391"/>
      <c r="X1633" s="1363"/>
      <c r="Y1633" s="1391"/>
      <c r="Z1633" s="1363"/>
      <c r="AA1633" s="1391"/>
      <c r="AB1633" s="1731"/>
      <c r="AC1633" s="1367"/>
      <c r="AD1633" s="1666"/>
      <c r="AE1633" s="1590"/>
      <c r="AF1633" s="1666"/>
      <c r="AG1633" s="1590"/>
      <c r="AH1633" s="1625" t="str">
        <f t="shared" si="552"/>
        <v>ES-3A</v>
      </c>
      <c r="AI1633" s="1675">
        <f t="shared" si="556"/>
        <v>21450000</v>
      </c>
      <c r="AJ1633" s="1675">
        <f t="shared" si="557"/>
        <v>21450000</v>
      </c>
      <c r="AK1633" s="1520">
        <f t="shared" si="560"/>
        <v>0</v>
      </c>
      <c r="AL1633" s="2187" t="str">
        <f t="shared" si="561"/>
        <v>Lunas</v>
      </c>
      <c r="AM1633" s="1666"/>
      <c r="AN1633" s="1590"/>
      <c r="AO1633"/>
      <c r="AP1633"/>
      <c r="AQ1633" s="1128"/>
      <c r="AR1633" s="1173"/>
      <c r="AT1633" s="1173"/>
      <c r="AV1633" s="1173"/>
      <c r="AX1633" s="1173"/>
      <c r="AY1633" s="1176"/>
      <c r="AZ1633" s="1173"/>
    </row>
    <row r="1634" spans="1:52" s="2" customFormat="1" x14ac:dyDescent="0.25">
      <c r="A1634" s="670">
        <v>1510</v>
      </c>
      <c r="B1634" s="671">
        <v>13</v>
      </c>
      <c r="C1634" s="2147">
        <v>839218052</v>
      </c>
      <c r="D1634" s="701" t="s">
        <v>2145</v>
      </c>
      <c r="E1634" s="441" t="s">
        <v>2133</v>
      </c>
      <c r="F1634" s="175">
        <v>2018</v>
      </c>
      <c r="G1634" s="1758" t="s">
        <v>28</v>
      </c>
      <c r="H1634" s="580" t="str">
        <f t="shared" si="554"/>
        <v xml:space="preserve">   </v>
      </c>
      <c r="I1634" s="580" t="str">
        <f t="shared" si="555"/>
        <v xml:space="preserve">   </v>
      </c>
      <c r="J1634" s="1366">
        <v>2700000</v>
      </c>
      <c r="K1634" s="1360">
        <v>43321</v>
      </c>
      <c r="L1634" s="1363">
        <v>3750000</v>
      </c>
      <c r="M1634" s="1360">
        <v>43321</v>
      </c>
      <c r="N1634" s="1363">
        <v>3750000</v>
      </c>
      <c r="O1634" s="1367">
        <v>43482</v>
      </c>
      <c r="P1634" s="1714">
        <v>3750000</v>
      </c>
      <c r="Q1634" s="1367">
        <v>43641.586724537003</v>
      </c>
      <c r="R1634" s="1731">
        <v>3750000</v>
      </c>
      <c r="S1634" s="1367">
        <v>43860.497824074097</v>
      </c>
      <c r="T1634" s="1731">
        <v>3750000</v>
      </c>
      <c r="U1634" s="1367" t="s">
        <v>2146</v>
      </c>
      <c r="V1634" s="1363"/>
      <c r="W1634" s="1391"/>
      <c r="X1634" s="1363"/>
      <c r="Y1634" s="1391"/>
      <c r="Z1634" s="1363"/>
      <c r="AA1634" s="1391"/>
      <c r="AB1634" s="1731"/>
      <c r="AC1634" s="1367"/>
      <c r="AD1634" s="1666"/>
      <c r="AE1634" s="1590"/>
      <c r="AF1634" s="1666"/>
      <c r="AG1634" s="1590"/>
      <c r="AH1634" s="1625" t="str">
        <f t="shared" si="552"/>
        <v>ES-3A</v>
      </c>
      <c r="AI1634" s="1675">
        <f t="shared" si="556"/>
        <v>21450000</v>
      </c>
      <c r="AJ1634" s="1675">
        <f t="shared" si="557"/>
        <v>21450000</v>
      </c>
      <c r="AK1634" s="1520">
        <f t="shared" si="560"/>
        <v>0</v>
      </c>
      <c r="AL1634" s="2187" t="str">
        <f t="shared" si="561"/>
        <v>Lunas</v>
      </c>
      <c r="AM1634" s="1666"/>
      <c r="AN1634" s="1590"/>
      <c r="AO1634"/>
      <c r="AP1634"/>
      <c r="AQ1634" s="1128"/>
      <c r="AR1634" s="1173"/>
      <c r="AT1634" s="1173"/>
      <c r="AV1634" s="1173"/>
      <c r="AX1634" s="1173"/>
      <c r="AY1634" s="1176"/>
      <c r="AZ1634" s="1173"/>
    </row>
    <row r="1635" spans="1:52" s="2" customFormat="1" x14ac:dyDescent="0.25">
      <c r="A1635" s="670">
        <v>1511</v>
      </c>
      <c r="B1635" s="671">
        <v>14</v>
      </c>
      <c r="C1635" s="2147">
        <v>839218053</v>
      </c>
      <c r="D1635" s="701" t="s">
        <v>2147</v>
      </c>
      <c r="E1635" s="264" t="s">
        <v>2133</v>
      </c>
      <c r="F1635" s="175">
        <v>2018</v>
      </c>
      <c r="G1635" s="360" t="s">
        <v>1483</v>
      </c>
      <c r="H1635" s="580" t="str">
        <f t="shared" si="554"/>
        <v xml:space="preserve">   </v>
      </c>
      <c r="I1635" s="580" t="str">
        <f t="shared" si="555"/>
        <v xml:space="preserve">   </v>
      </c>
      <c r="J1635" s="1366">
        <v>2700000</v>
      </c>
      <c r="K1635" s="1360">
        <v>43314</v>
      </c>
      <c r="L1635" s="1363">
        <v>3750000</v>
      </c>
      <c r="M1635" s="1360">
        <v>43314</v>
      </c>
      <c r="N1635" s="1363">
        <v>3750000</v>
      </c>
      <c r="O1635" s="1367">
        <v>43482</v>
      </c>
      <c r="P1635" s="1714">
        <v>3750000</v>
      </c>
      <c r="Q1635" s="1367">
        <v>43643.645462963003</v>
      </c>
      <c r="R1635" s="1731">
        <v>3750000</v>
      </c>
      <c r="S1635" s="1367">
        <v>43861.5783912037</v>
      </c>
      <c r="T1635" s="1731">
        <v>3750000</v>
      </c>
      <c r="U1635" s="1367">
        <v>44067.487951388903</v>
      </c>
      <c r="V1635" s="1363"/>
      <c r="W1635" s="1391"/>
      <c r="X1635" s="1363"/>
      <c r="Y1635" s="1391"/>
      <c r="Z1635" s="1363"/>
      <c r="AA1635" s="1391"/>
      <c r="AB1635" s="1731"/>
      <c r="AC1635" s="1367"/>
      <c r="AD1635" s="1666"/>
      <c r="AE1635" s="1590"/>
      <c r="AF1635" s="1666"/>
      <c r="AG1635" s="1590"/>
      <c r="AH1635" s="1625" t="str">
        <f t="shared" ref="AH1635:AH1698" si="562">E1635</f>
        <v>ES-3A</v>
      </c>
      <c r="AI1635" s="1675">
        <f t="shared" si="556"/>
        <v>21450000</v>
      </c>
      <c r="AJ1635" s="1675">
        <f t="shared" si="557"/>
        <v>21450000</v>
      </c>
      <c r="AK1635" s="1520">
        <f t="shared" si="560"/>
        <v>0</v>
      </c>
      <c r="AL1635" s="2187" t="str">
        <f t="shared" si="561"/>
        <v>Lunas</v>
      </c>
      <c r="AM1635" s="1666"/>
      <c r="AN1635" s="1590"/>
      <c r="AO1635"/>
      <c r="AP1635"/>
      <c r="AQ1635" s="1128"/>
      <c r="AR1635" s="1173"/>
      <c r="AT1635" s="1173"/>
      <c r="AV1635" s="1173"/>
      <c r="AX1635" s="1173"/>
      <c r="AY1635" s="1176"/>
      <c r="AZ1635" s="1173"/>
    </row>
    <row r="1636" spans="1:52" s="2" customFormat="1" x14ac:dyDescent="0.25">
      <c r="A1636" s="670">
        <v>1512</v>
      </c>
      <c r="B1636" s="671">
        <v>15</v>
      </c>
      <c r="C1636" s="2147">
        <v>839218001</v>
      </c>
      <c r="D1636" s="701" t="s">
        <v>2148</v>
      </c>
      <c r="E1636" s="441" t="s">
        <v>2149</v>
      </c>
      <c r="F1636" s="175">
        <v>2018</v>
      </c>
      <c r="G1636" s="1758" t="s">
        <v>28</v>
      </c>
      <c r="H1636" s="580" t="str">
        <f t="shared" si="554"/>
        <v xml:space="preserve">   </v>
      </c>
      <c r="I1636" s="580" t="str">
        <f t="shared" si="555"/>
        <v xml:space="preserve">   </v>
      </c>
      <c r="J1636" s="1366">
        <v>2700000</v>
      </c>
      <c r="K1636" s="1360">
        <v>43314</v>
      </c>
      <c r="L1636" s="1363">
        <v>3750000</v>
      </c>
      <c r="M1636" s="1360">
        <v>43314</v>
      </c>
      <c r="N1636" s="1363">
        <v>3750000</v>
      </c>
      <c r="O1636" s="1367">
        <v>43482</v>
      </c>
      <c r="P1636" s="1714">
        <v>3750000</v>
      </c>
      <c r="Q1636" s="1367">
        <v>43643.409016203703</v>
      </c>
      <c r="R1636" s="1731">
        <v>3750000</v>
      </c>
      <c r="S1636" s="1367">
        <v>43860.624062499999</v>
      </c>
      <c r="T1636" s="1731">
        <v>0</v>
      </c>
      <c r="U1636" s="1367"/>
      <c r="V1636" s="1363"/>
      <c r="W1636" s="1391"/>
      <c r="X1636" s="1363"/>
      <c r="Y1636" s="1391"/>
      <c r="Z1636" s="1363"/>
      <c r="AA1636" s="1391"/>
      <c r="AB1636" s="1731"/>
      <c r="AC1636" s="1367"/>
      <c r="AD1636" s="1666"/>
      <c r="AE1636" s="1590"/>
      <c r="AF1636" s="1666"/>
      <c r="AG1636" s="1590"/>
      <c r="AH1636" s="1625" t="str">
        <f t="shared" si="562"/>
        <v>ES-3B</v>
      </c>
      <c r="AI1636" s="1675">
        <f t="shared" si="556"/>
        <v>17700000</v>
      </c>
      <c r="AJ1636" s="1675">
        <f t="shared" si="557"/>
        <v>21450000</v>
      </c>
      <c r="AK1636" s="1520">
        <f t="shared" si="560"/>
        <v>3750000</v>
      </c>
      <c r="AL1636" s="2187" t="str">
        <f t="shared" si="561"/>
        <v>Cek</v>
      </c>
      <c r="AM1636" s="1666"/>
      <c r="AN1636" s="1590"/>
      <c r="AO1636"/>
      <c r="AP1636"/>
      <c r="AQ1636" s="1128"/>
      <c r="AR1636" s="1173"/>
      <c r="AT1636" s="1173"/>
      <c r="AV1636" s="1173"/>
      <c r="AX1636" s="1173"/>
      <c r="AY1636" s="1176"/>
      <c r="AZ1636" s="1173"/>
    </row>
    <row r="1637" spans="1:52" s="2" customFormat="1" x14ac:dyDescent="0.25">
      <c r="A1637" s="670">
        <v>1513</v>
      </c>
      <c r="B1637" s="2193">
        <v>16</v>
      </c>
      <c r="C1637" s="2147">
        <v>839218003</v>
      </c>
      <c r="D1637" s="2194" t="s">
        <v>2150</v>
      </c>
      <c r="E1637" s="179" t="s">
        <v>2149</v>
      </c>
      <c r="F1637" s="161">
        <v>2018</v>
      </c>
      <c r="G1637" s="272" t="s">
        <v>33</v>
      </c>
      <c r="H1637" s="628">
        <f t="shared" si="554"/>
        <v>44007</v>
      </c>
      <c r="I1637" s="580">
        <f t="shared" si="555"/>
        <v>44168</v>
      </c>
      <c r="J1637" s="1364">
        <v>2700000</v>
      </c>
      <c r="K1637" s="1365">
        <v>43314</v>
      </c>
      <c r="L1637" s="1358">
        <v>3750000</v>
      </c>
      <c r="M1637" s="1365">
        <v>43314</v>
      </c>
      <c r="N1637" s="1358">
        <v>3750000</v>
      </c>
      <c r="O1637" s="1357">
        <v>43483</v>
      </c>
      <c r="P1637" s="1385">
        <v>3750000</v>
      </c>
      <c r="Q1637" s="1357">
        <v>43641.491678240702</v>
      </c>
      <c r="R1637" s="1874">
        <v>3750000</v>
      </c>
      <c r="S1637" s="1357">
        <v>43854.449525463002</v>
      </c>
      <c r="T1637" s="1714"/>
      <c r="U1637" s="1391"/>
      <c r="V1637" s="1363"/>
      <c r="W1637" s="1391"/>
      <c r="X1637" s="1363"/>
      <c r="Y1637" s="1391"/>
      <c r="Z1637" s="1363"/>
      <c r="AA1637" s="1391"/>
      <c r="AB1637" s="1874">
        <v>1000000</v>
      </c>
      <c r="AC1637" s="1357">
        <v>44173</v>
      </c>
      <c r="AD1637" s="1809">
        <v>1200000</v>
      </c>
      <c r="AE1637" s="1357">
        <v>44173</v>
      </c>
      <c r="AF1637" s="1809">
        <v>1600000</v>
      </c>
      <c r="AG1637" s="1357">
        <v>44173</v>
      </c>
      <c r="AH1637" s="1625" t="str">
        <f t="shared" si="562"/>
        <v>ES-3B</v>
      </c>
      <c r="AI1637" s="1675">
        <f t="shared" si="556"/>
        <v>22000000</v>
      </c>
      <c r="AJ1637" s="1675">
        <f t="shared" si="557"/>
        <v>22000000</v>
      </c>
      <c r="AK1637" s="1520">
        <f t="shared" si="560"/>
        <v>0</v>
      </c>
      <c r="AL1637" s="2187" t="str">
        <f t="shared" si="561"/>
        <v>Lunas</v>
      </c>
      <c r="AM1637" s="1666">
        <v>500000</v>
      </c>
      <c r="AN1637" s="1590">
        <v>44025</v>
      </c>
      <c r="AO1637"/>
      <c r="AP1637"/>
      <c r="AQ1637" s="1128"/>
      <c r="AR1637" s="1173"/>
      <c r="AT1637" s="1173"/>
      <c r="AV1637" s="1173"/>
      <c r="AX1637" s="1173"/>
      <c r="AY1637" s="1176"/>
      <c r="AZ1637" s="1173"/>
    </row>
    <row r="1638" spans="1:52" s="2" customFormat="1" x14ac:dyDescent="0.25">
      <c r="A1638" s="670">
        <v>1514</v>
      </c>
      <c r="B1638" s="671">
        <v>17</v>
      </c>
      <c r="C1638" s="2147">
        <v>839218004</v>
      </c>
      <c r="D1638" s="701" t="s">
        <v>2151</v>
      </c>
      <c r="E1638" s="441" t="s">
        <v>2149</v>
      </c>
      <c r="F1638" s="175">
        <v>2018</v>
      </c>
      <c r="G1638" s="360" t="s">
        <v>1483</v>
      </c>
      <c r="H1638" s="580" t="str">
        <f t="shared" si="554"/>
        <v xml:space="preserve">   </v>
      </c>
      <c r="I1638" s="580" t="str">
        <f t="shared" si="555"/>
        <v xml:space="preserve">   </v>
      </c>
      <c r="J1638" s="1366">
        <v>2700000</v>
      </c>
      <c r="K1638" s="1360">
        <v>43307</v>
      </c>
      <c r="L1638" s="1363">
        <v>3750000</v>
      </c>
      <c r="M1638" s="1360">
        <v>43307</v>
      </c>
      <c r="N1638" s="1363">
        <v>3750000</v>
      </c>
      <c r="O1638" s="1367">
        <v>43483</v>
      </c>
      <c r="P1638" s="1714">
        <v>3750000</v>
      </c>
      <c r="Q1638" s="1367">
        <v>43644.415671296301</v>
      </c>
      <c r="R1638" s="1731">
        <v>3750000</v>
      </c>
      <c r="S1638" s="1367">
        <v>43860.5925347222</v>
      </c>
      <c r="T1638" s="1731">
        <v>3750000</v>
      </c>
      <c r="U1638" s="1367">
        <v>44069.4361921296</v>
      </c>
      <c r="V1638" s="1363"/>
      <c r="W1638" s="1391"/>
      <c r="X1638" s="1363"/>
      <c r="Y1638" s="1391"/>
      <c r="Z1638" s="1363"/>
      <c r="AA1638" s="1391"/>
      <c r="AB1638" s="1874">
        <v>1000000</v>
      </c>
      <c r="AC1638" s="1367">
        <v>44175</v>
      </c>
      <c r="AD1638" s="1809">
        <v>1200000</v>
      </c>
      <c r="AE1638" s="1367">
        <v>44175</v>
      </c>
      <c r="AF1638" s="1666"/>
      <c r="AG1638" s="1590"/>
      <c r="AH1638" s="1625" t="str">
        <f t="shared" si="562"/>
        <v>ES-3B</v>
      </c>
      <c r="AI1638" s="1675">
        <f t="shared" si="556"/>
        <v>23650000</v>
      </c>
      <c r="AJ1638" s="1675">
        <f t="shared" si="557"/>
        <v>23650000</v>
      </c>
      <c r="AK1638" s="1520">
        <f t="shared" si="560"/>
        <v>0</v>
      </c>
      <c r="AL1638" s="2187" t="str">
        <f t="shared" si="561"/>
        <v>Lunas</v>
      </c>
      <c r="AM1638" s="1666"/>
      <c r="AN1638" s="1590"/>
      <c r="AO1638"/>
      <c r="AP1638"/>
      <c r="AQ1638" s="1128"/>
      <c r="AR1638" s="1173"/>
      <c r="AT1638" s="1173"/>
      <c r="AV1638" s="1173"/>
      <c r="AX1638" s="1173"/>
      <c r="AY1638" s="1176"/>
      <c r="AZ1638" s="1173"/>
    </row>
    <row r="1639" spans="1:52" s="2" customFormat="1" x14ac:dyDescent="0.25">
      <c r="A1639" s="670">
        <v>1515</v>
      </c>
      <c r="B1639" s="671">
        <v>18</v>
      </c>
      <c r="C1639" s="2147">
        <v>839218006</v>
      </c>
      <c r="D1639" s="701" t="s">
        <v>2152</v>
      </c>
      <c r="E1639" s="441" t="s">
        <v>2149</v>
      </c>
      <c r="F1639" s="175">
        <v>2018</v>
      </c>
      <c r="G1639" s="360" t="s">
        <v>1483</v>
      </c>
      <c r="H1639" s="580" t="str">
        <f t="shared" si="554"/>
        <v xml:space="preserve">   </v>
      </c>
      <c r="I1639" s="580" t="str">
        <f t="shared" si="555"/>
        <v xml:space="preserve">   </v>
      </c>
      <c r="J1639" s="1366">
        <v>2700000</v>
      </c>
      <c r="K1639" s="1360">
        <v>43314</v>
      </c>
      <c r="L1639" s="1363">
        <v>3750000</v>
      </c>
      <c r="M1639" s="1360">
        <v>43314</v>
      </c>
      <c r="N1639" s="1363">
        <v>3750000</v>
      </c>
      <c r="O1639" s="1367">
        <v>43483</v>
      </c>
      <c r="P1639" s="1714">
        <v>3750000</v>
      </c>
      <c r="Q1639" s="1367">
        <v>43644.366238425901</v>
      </c>
      <c r="R1639" s="1731">
        <v>3750000</v>
      </c>
      <c r="S1639" s="1367">
        <v>43868</v>
      </c>
      <c r="T1639" s="1731">
        <v>3750000</v>
      </c>
      <c r="U1639" s="1367">
        <v>44069.562430555598</v>
      </c>
      <c r="V1639" s="1363"/>
      <c r="W1639" s="1391"/>
      <c r="X1639" s="1363"/>
      <c r="Y1639" s="1391"/>
      <c r="Z1639" s="1363"/>
      <c r="AA1639" s="1391"/>
      <c r="AB1639" s="1731"/>
      <c r="AC1639" s="1367"/>
      <c r="AD1639" s="1666"/>
      <c r="AE1639" s="1590"/>
      <c r="AF1639" s="1666"/>
      <c r="AG1639" s="1590"/>
      <c r="AH1639" s="1625" t="str">
        <f t="shared" si="562"/>
        <v>ES-3B</v>
      </c>
      <c r="AI1639" s="1675">
        <f t="shared" si="556"/>
        <v>21450000</v>
      </c>
      <c r="AJ1639" s="1675">
        <f t="shared" si="557"/>
        <v>21450000</v>
      </c>
      <c r="AK1639" s="1520">
        <f t="shared" si="560"/>
        <v>0</v>
      </c>
      <c r="AL1639" s="2187" t="str">
        <f t="shared" si="561"/>
        <v>Lunas</v>
      </c>
      <c r="AM1639" s="1666"/>
      <c r="AN1639" s="1590"/>
      <c r="AO1639"/>
      <c r="AP1639"/>
      <c r="AQ1639" s="1128"/>
      <c r="AR1639" s="1173"/>
      <c r="AT1639" s="1173"/>
      <c r="AV1639" s="1173"/>
      <c r="AX1639" s="1173"/>
      <c r="AY1639" s="1176"/>
      <c r="AZ1639" s="1173"/>
    </row>
    <row r="1640" spans="1:52" s="2" customFormat="1" x14ac:dyDescent="0.25">
      <c r="A1640" s="670">
        <v>1516</v>
      </c>
      <c r="B1640" s="671">
        <v>19</v>
      </c>
      <c r="C1640" s="2147">
        <v>839218007</v>
      </c>
      <c r="D1640" s="701" t="s">
        <v>2153</v>
      </c>
      <c r="E1640" s="441" t="s">
        <v>2149</v>
      </c>
      <c r="F1640" s="175">
        <v>2018</v>
      </c>
      <c r="G1640" s="1758" t="s">
        <v>28</v>
      </c>
      <c r="H1640" s="580" t="str">
        <f t="shared" si="554"/>
        <v xml:space="preserve">   </v>
      </c>
      <c r="I1640" s="580" t="str">
        <f t="shared" si="555"/>
        <v xml:space="preserve">   </v>
      </c>
      <c r="J1640" s="1366">
        <v>2700000</v>
      </c>
      <c r="K1640" s="1360">
        <v>43314</v>
      </c>
      <c r="L1640" s="1363">
        <v>3750000</v>
      </c>
      <c r="M1640" s="1360">
        <v>43314</v>
      </c>
      <c r="N1640" s="1363">
        <v>3750000</v>
      </c>
      <c r="O1640" s="1367">
        <v>43482</v>
      </c>
      <c r="P1640" s="1714">
        <v>3750000</v>
      </c>
      <c r="Q1640" s="1367">
        <v>43642.562534722201</v>
      </c>
      <c r="R1640" s="1731">
        <v>3750000</v>
      </c>
      <c r="S1640" s="1367">
        <v>43861.427627314799</v>
      </c>
      <c r="T1640" s="1731">
        <v>0</v>
      </c>
      <c r="U1640" s="1367"/>
      <c r="V1640" s="1363"/>
      <c r="W1640" s="1391"/>
      <c r="X1640" s="1363"/>
      <c r="Y1640" s="1391"/>
      <c r="Z1640" s="1363"/>
      <c r="AA1640" s="1391"/>
      <c r="AB1640" s="1731"/>
      <c r="AC1640" s="1367"/>
      <c r="AD1640" s="1666"/>
      <c r="AE1640" s="1590"/>
      <c r="AF1640" s="1666"/>
      <c r="AG1640" s="1590"/>
      <c r="AH1640" s="1625" t="str">
        <f t="shared" si="562"/>
        <v>ES-3B</v>
      </c>
      <c r="AI1640" s="1675">
        <f t="shared" si="556"/>
        <v>17700000</v>
      </c>
      <c r="AJ1640" s="1675">
        <f t="shared" si="557"/>
        <v>21450000</v>
      </c>
      <c r="AK1640" s="1520">
        <f t="shared" si="560"/>
        <v>3750000</v>
      </c>
      <c r="AL1640" s="2187" t="str">
        <f t="shared" si="561"/>
        <v>Cek</v>
      </c>
      <c r="AM1640" s="1666"/>
      <c r="AN1640" s="1590"/>
      <c r="AO1640"/>
      <c r="AP1640"/>
      <c r="AQ1640" s="1128"/>
      <c r="AR1640" s="1173"/>
      <c r="AT1640" s="1173"/>
      <c r="AV1640" s="1173"/>
      <c r="AX1640" s="1173"/>
      <c r="AY1640" s="1176"/>
      <c r="AZ1640" s="1173"/>
    </row>
    <row r="1641" spans="1:52" s="2" customFormat="1" x14ac:dyDescent="0.25">
      <c r="A1641" s="670">
        <v>1517</v>
      </c>
      <c r="B1641" s="671">
        <v>20</v>
      </c>
      <c r="C1641" s="2147">
        <v>839218009</v>
      </c>
      <c r="D1641" s="701" t="s">
        <v>2154</v>
      </c>
      <c r="E1641" s="264" t="s">
        <v>2149</v>
      </c>
      <c r="F1641" s="175">
        <v>2018</v>
      </c>
      <c r="G1641" s="1758" t="s">
        <v>28</v>
      </c>
      <c r="H1641" s="580" t="str">
        <f t="shared" si="554"/>
        <v xml:space="preserve">   </v>
      </c>
      <c r="I1641" s="580" t="str">
        <f t="shared" si="555"/>
        <v xml:space="preserve">   </v>
      </c>
      <c r="J1641" s="1366">
        <v>2700000</v>
      </c>
      <c r="K1641" s="1360">
        <v>43313</v>
      </c>
      <c r="L1641" s="1363">
        <v>3750000</v>
      </c>
      <c r="M1641" s="1360">
        <v>43313</v>
      </c>
      <c r="N1641" s="1186" t="s">
        <v>1842</v>
      </c>
      <c r="O1641" s="1386"/>
      <c r="P1641" s="1731"/>
      <c r="Q1641" s="1367"/>
      <c r="R1641" s="1731"/>
      <c r="S1641" s="1367"/>
      <c r="T1641" s="1731"/>
      <c r="U1641" s="1367"/>
      <c r="V1641" s="1363"/>
      <c r="W1641" s="1391"/>
      <c r="X1641" s="1363"/>
      <c r="Y1641" s="1391"/>
      <c r="Z1641" s="1363"/>
      <c r="AA1641" s="1391"/>
      <c r="AB1641" s="1731"/>
      <c r="AC1641" s="1367"/>
      <c r="AD1641" s="1666"/>
      <c r="AE1641" s="1590"/>
      <c r="AF1641" s="1666"/>
      <c r="AG1641" s="1590"/>
      <c r="AH1641" s="1625" t="str">
        <f t="shared" si="562"/>
        <v>ES-3B</v>
      </c>
      <c r="AI1641" s="1675">
        <f t="shared" si="556"/>
        <v>6450000</v>
      </c>
      <c r="AJ1641" s="1675">
        <f t="shared" si="557"/>
        <v>6450000</v>
      </c>
      <c r="AK1641" s="1520">
        <f t="shared" si="560"/>
        <v>0</v>
      </c>
      <c r="AL1641" s="2187" t="str">
        <f t="shared" si="561"/>
        <v>Lunas</v>
      </c>
      <c r="AM1641" s="1666"/>
      <c r="AN1641" s="1590"/>
      <c r="AO1641"/>
      <c r="AP1641"/>
      <c r="AQ1641" s="1128"/>
      <c r="AR1641" s="1173"/>
      <c r="AT1641" s="1173"/>
      <c r="AV1641" s="1173"/>
      <c r="AX1641" s="1173"/>
      <c r="AY1641" s="1176"/>
      <c r="AZ1641" s="1173"/>
    </row>
    <row r="1642" spans="1:52" s="2" customFormat="1" x14ac:dyDescent="0.25">
      <c r="A1642" s="670">
        <v>1518</v>
      </c>
      <c r="B1642" s="671">
        <v>21</v>
      </c>
      <c r="C1642" s="2147">
        <v>839218010</v>
      </c>
      <c r="D1642" s="701" t="s">
        <v>2155</v>
      </c>
      <c r="E1642" s="441" t="s">
        <v>2149</v>
      </c>
      <c r="F1642" s="175">
        <v>2018</v>
      </c>
      <c r="G1642" s="360" t="s">
        <v>1483</v>
      </c>
      <c r="H1642" s="580" t="str">
        <f t="shared" si="554"/>
        <v xml:space="preserve">   </v>
      </c>
      <c r="I1642" s="580" t="str">
        <f t="shared" si="555"/>
        <v xml:space="preserve">   </v>
      </c>
      <c r="J1642" s="1366">
        <v>2700000</v>
      </c>
      <c r="K1642" s="1360">
        <v>43314</v>
      </c>
      <c r="L1642" s="1363">
        <v>3750000</v>
      </c>
      <c r="M1642" s="1360">
        <v>43314</v>
      </c>
      <c r="N1642" s="1363">
        <v>3750000</v>
      </c>
      <c r="O1642" s="1367">
        <v>43483</v>
      </c>
      <c r="P1642" s="1714">
        <v>3750000</v>
      </c>
      <c r="Q1642" s="1367">
        <v>43644.372141203698</v>
      </c>
      <c r="R1642" s="1731">
        <v>3750000</v>
      </c>
      <c r="S1642" s="1367">
        <v>43861.355347222197</v>
      </c>
      <c r="T1642" s="1731">
        <v>3750000</v>
      </c>
      <c r="U1642" s="1367">
        <v>44071.375613425902</v>
      </c>
      <c r="V1642" s="1363"/>
      <c r="W1642" s="1391"/>
      <c r="X1642" s="1363"/>
      <c r="Y1642" s="1391"/>
      <c r="Z1642" s="1363"/>
      <c r="AA1642" s="1391"/>
      <c r="AB1642" s="1731"/>
      <c r="AC1642" s="1367"/>
      <c r="AD1642" s="1666"/>
      <c r="AE1642" s="1590"/>
      <c r="AF1642" s="1666"/>
      <c r="AG1642" s="1590"/>
      <c r="AH1642" s="1625" t="str">
        <f t="shared" si="562"/>
        <v>ES-3B</v>
      </c>
      <c r="AI1642" s="1675">
        <f t="shared" si="556"/>
        <v>21450000</v>
      </c>
      <c r="AJ1642" s="1675">
        <f t="shared" si="557"/>
        <v>21450000</v>
      </c>
      <c r="AK1642" s="1520">
        <f t="shared" si="560"/>
        <v>0</v>
      </c>
      <c r="AL1642" s="2187" t="str">
        <f t="shared" si="561"/>
        <v>Lunas</v>
      </c>
      <c r="AM1642" s="1666"/>
      <c r="AN1642" s="1590"/>
      <c r="AO1642"/>
      <c r="AP1642"/>
      <c r="AQ1642" s="1128"/>
      <c r="AR1642" s="1173"/>
      <c r="AT1642" s="1173"/>
      <c r="AV1642" s="1173"/>
      <c r="AX1642" s="1173"/>
      <c r="AY1642" s="1176"/>
      <c r="AZ1642" s="1173"/>
    </row>
    <row r="1643" spans="1:52" s="2" customFormat="1" x14ac:dyDescent="0.25">
      <c r="A1643" s="670">
        <v>1519</v>
      </c>
      <c r="B1643" s="2193">
        <v>22</v>
      </c>
      <c r="C1643" s="2147">
        <v>839218012</v>
      </c>
      <c r="D1643" s="2194" t="s">
        <v>2156</v>
      </c>
      <c r="E1643" s="179" t="s">
        <v>2149</v>
      </c>
      <c r="F1643" s="161">
        <v>2018</v>
      </c>
      <c r="G1643" s="272" t="s">
        <v>33</v>
      </c>
      <c r="H1643" s="628">
        <f t="shared" si="554"/>
        <v>44000</v>
      </c>
      <c r="I1643" s="580">
        <f t="shared" si="555"/>
        <v>44168</v>
      </c>
      <c r="J1643" s="1364">
        <v>2700000</v>
      </c>
      <c r="K1643" s="1365">
        <v>43313</v>
      </c>
      <c r="L1643" s="1358">
        <v>3750000</v>
      </c>
      <c r="M1643" s="1365">
        <v>43313</v>
      </c>
      <c r="N1643" s="1358">
        <v>3750000</v>
      </c>
      <c r="O1643" s="1357">
        <v>43480</v>
      </c>
      <c r="P1643" s="1385">
        <v>3750000</v>
      </c>
      <c r="Q1643" s="1357">
        <v>43641.481030092596</v>
      </c>
      <c r="R1643" s="1874">
        <v>3750000</v>
      </c>
      <c r="S1643" s="1357">
        <v>43857.376365740703</v>
      </c>
      <c r="T1643" s="1714"/>
      <c r="U1643" s="1391"/>
      <c r="V1643" s="1363"/>
      <c r="W1643" s="1391"/>
      <c r="X1643" s="1363"/>
      <c r="Y1643" s="1391"/>
      <c r="Z1643" s="1363"/>
      <c r="AA1643" s="1391"/>
      <c r="AB1643" s="1731">
        <v>0</v>
      </c>
      <c r="AC1643" s="1367"/>
      <c r="AD1643" s="1666">
        <v>0</v>
      </c>
      <c r="AE1643" s="1590"/>
      <c r="AF1643" s="1666">
        <v>0</v>
      </c>
      <c r="AG1643" s="1590"/>
      <c r="AH1643" s="1625" t="str">
        <f t="shared" si="562"/>
        <v>ES-3B</v>
      </c>
      <c r="AI1643" s="1675">
        <f t="shared" si="556"/>
        <v>18200000</v>
      </c>
      <c r="AJ1643" s="1675">
        <f t="shared" si="557"/>
        <v>22000000</v>
      </c>
      <c r="AK1643" s="1520">
        <f t="shared" si="560"/>
        <v>3800000</v>
      </c>
      <c r="AL1643" s="2187" t="str">
        <f t="shared" si="561"/>
        <v>Cek</v>
      </c>
      <c r="AM1643" s="1666">
        <v>500000</v>
      </c>
      <c r="AN1643" s="1590">
        <v>44007</v>
      </c>
      <c r="AO1643"/>
      <c r="AP1643"/>
      <c r="AQ1643" s="1128"/>
      <c r="AR1643" s="1173"/>
      <c r="AT1643" s="1173"/>
      <c r="AV1643" s="1173"/>
      <c r="AX1643" s="1173"/>
      <c r="AY1643" s="1176"/>
      <c r="AZ1643" s="1173"/>
    </row>
    <row r="1644" spans="1:52" s="2" customFormat="1" x14ac:dyDescent="0.25">
      <c r="A1644" s="670">
        <v>1520</v>
      </c>
      <c r="B1644" s="671">
        <v>23</v>
      </c>
      <c r="C1644" s="2147">
        <v>839218013</v>
      </c>
      <c r="D1644" s="701" t="s">
        <v>319</v>
      </c>
      <c r="E1644" s="441" t="s">
        <v>2149</v>
      </c>
      <c r="F1644" s="175">
        <v>2018</v>
      </c>
      <c r="G1644" s="360" t="s">
        <v>1483</v>
      </c>
      <c r="H1644" s="580" t="str">
        <f t="shared" si="554"/>
        <v xml:space="preserve">   </v>
      </c>
      <c r="I1644" s="580" t="str">
        <f t="shared" si="555"/>
        <v xml:space="preserve">   </v>
      </c>
      <c r="J1644" s="1366">
        <v>2700000</v>
      </c>
      <c r="K1644" s="1360">
        <v>43306</v>
      </c>
      <c r="L1644" s="1363">
        <v>3750000</v>
      </c>
      <c r="M1644" s="1360">
        <v>43306</v>
      </c>
      <c r="N1644" s="1363">
        <v>3750000</v>
      </c>
      <c r="O1644" s="1367">
        <v>43482</v>
      </c>
      <c r="P1644" s="1714">
        <v>3750000</v>
      </c>
      <c r="Q1644" s="1367">
        <v>43640.580625000002</v>
      </c>
      <c r="R1644" s="1731">
        <v>3750000</v>
      </c>
      <c r="S1644" s="1367">
        <v>43858.416469907403</v>
      </c>
      <c r="T1644" s="1731">
        <v>3750000</v>
      </c>
      <c r="U1644" s="1367">
        <v>44071.586423611101</v>
      </c>
      <c r="V1644" s="1363"/>
      <c r="W1644" s="1391"/>
      <c r="X1644" s="1363"/>
      <c r="Y1644" s="1391"/>
      <c r="Z1644" s="1363"/>
      <c r="AA1644" s="1391"/>
      <c r="AB1644" s="1731"/>
      <c r="AC1644" s="1367"/>
      <c r="AD1644" s="1666"/>
      <c r="AE1644" s="1590"/>
      <c r="AF1644" s="1666"/>
      <c r="AG1644" s="1590"/>
      <c r="AH1644" s="1625" t="str">
        <f t="shared" si="562"/>
        <v>ES-3B</v>
      </c>
      <c r="AI1644" s="1675">
        <f t="shared" si="556"/>
        <v>21450000</v>
      </c>
      <c r="AJ1644" s="1675">
        <f t="shared" si="557"/>
        <v>21450000</v>
      </c>
      <c r="AK1644" s="1520">
        <f t="shared" si="560"/>
        <v>0</v>
      </c>
      <c r="AL1644" s="2187" t="str">
        <f t="shared" si="561"/>
        <v>Lunas</v>
      </c>
      <c r="AM1644" s="1666"/>
      <c r="AN1644" s="1590"/>
      <c r="AO1644"/>
      <c r="AP1644"/>
      <c r="AQ1644" s="1128"/>
      <c r="AR1644" s="1173"/>
      <c r="AT1644" s="1173"/>
      <c r="AV1644" s="1173"/>
      <c r="AX1644" s="1173"/>
      <c r="AY1644" s="1176"/>
      <c r="AZ1644" s="1173"/>
    </row>
    <row r="1645" spans="1:52" s="2" customFormat="1" x14ac:dyDescent="0.25">
      <c r="A1645" s="670">
        <v>1521</v>
      </c>
      <c r="B1645" s="671">
        <v>24</v>
      </c>
      <c r="C1645" s="2147">
        <v>839218014</v>
      </c>
      <c r="D1645" s="701" t="s">
        <v>2157</v>
      </c>
      <c r="E1645" s="441" t="s">
        <v>2149</v>
      </c>
      <c r="F1645" s="175">
        <v>2018</v>
      </c>
      <c r="G1645" s="360" t="s">
        <v>1483</v>
      </c>
      <c r="H1645" s="580" t="str">
        <f t="shared" si="554"/>
        <v xml:space="preserve">   </v>
      </c>
      <c r="I1645" s="580" t="str">
        <f t="shared" si="555"/>
        <v xml:space="preserve">   </v>
      </c>
      <c r="J1645" s="1366">
        <v>2700000</v>
      </c>
      <c r="K1645" s="1360">
        <v>43313</v>
      </c>
      <c r="L1645" s="1363">
        <v>3750000</v>
      </c>
      <c r="M1645" s="1360">
        <v>43313</v>
      </c>
      <c r="N1645" s="1363">
        <v>3750000</v>
      </c>
      <c r="O1645" s="1367">
        <v>43483</v>
      </c>
      <c r="P1645" s="1714">
        <v>3750000</v>
      </c>
      <c r="Q1645" s="1367">
        <v>43644.436631944402</v>
      </c>
      <c r="R1645" s="1731">
        <v>3750000</v>
      </c>
      <c r="S1645" s="1367">
        <v>43861.449363425898</v>
      </c>
      <c r="T1645" s="1731">
        <v>3750000</v>
      </c>
      <c r="U1645" s="1367">
        <v>44070.554652777799</v>
      </c>
      <c r="V1645" s="1363"/>
      <c r="W1645" s="1391"/>
      <c r="X1645" s="1363"/>
      <c r="Y1645" s="1391"/>
      <c r="Z1645" s="1363"/>
      <c r="AA1645" s="1391"/>
      <c r="AB1645" s="1731"/>
      <c r="AC1645" s="1367"/>
      <c r="AD1645" s="1666"/>
      <c r="AE1645" s="1590"/>
      <c r="AF1645" s="1666"/>
      <c r="AG1645" s="1590"/>
      <c r="AH1645" s="1625" t="str">
        <f t="shared" si="562"/>
        <v>ES-3B</v>
      </c>
      <c r="AI1645" s="1675">
        <f t="shared" si="556"/>
        <v>21450000</v>
      </c>
      <c r="AJ1645" s="1675">
        <f t="shared" si="557"/>
        <v>21450000</v>
      </c>
      <c r="AK1645" s="1520">
        <f t="shared" si="560"/>
        <v>0</v>
      </c>
      <c r="AL1645" s="2187" t="str">
        <f t="shared" si="561"/>
        <v>Lunas</v>
      </c>
      <c r="AM1645" s="1666"/>
      <c r="AN1645" s="1590"/>
      <c r="AO1645"/>
      <c r="AP1645"/>
      <c r="AQ1645" s="1128"/>
      <c r="AR1645" s="1173"/>
      <c r="AT1645" s="1173"/>
      <c r="AV1645" s="1173"/>
      <c r="AX1645" s="1173"/>
      <c r="AY1645" s="1176"/>
      <c r="AZ1645" s="1173"/>
    </row>
    <row r="1646" spans="1:52" s="2" customFormat="1" x14ac:dyDescent="0.25">
      <c r="A1646" s="670">
        <v>1522</v>
      </c>
      <c r="B1646" s="671">
        <v>25</v>
      </c>
      <c r="C1646" s="2147">
        <v>839218015</v>
      </c>
      <c r="D1646" s="701" t="s">
        <v>2158</v>
      </c>
      <c r="E1646" s="441" t="s">
        <v>2149</v>
      </c>
      <c r="F1646" s="175">
        <v>2018</v>
      </c>
      <c r="G1646" s="581" t="s">
        <v>1833</v>
      </c>
      <c r="H1646" s="580" t="str">
        <f t="shared" si="554"/>
        <v xml:space="preserve">   </v>
      </c>
      <c r="I1646" s="580" t="str">
        <f t="shared" si="555"/>
        <v xml:space="preserve">   </v>
      </c>
      <c r="J1646" s="1366">
        <v>2700000</v>
      </c>
      <c r="K1646" s="1360">
        <v>43311</v>
      </c>
      <c r="L1646" s="1363">
        <v>3750000</v>
      </c>
      <c r="M1646" s="1360">
        <v>43311</v>
      </c>
      <c r="N1646" s="1363">
        <v>3750000</v>
      </c>
      <c r="O1646" s="1367">
        <v>43481</v>
      </c>
      <c r="P1646" s="1714">
        <v>3750000</v>
      </c>
      <c r="Q1646" s="1367">
        <v>43644.370393518497</v>
      </c>
      <c r="R1646" s="1731">
        <v>3750000</v>
      </c>
      <c r="S1646" s="1367">
        <v>43859.627476851798</v>
      </c>
      <c r="T1646" s="1186" t="s">
        <v>1078</v>
      </c>
      <c r="U1646" s="1386">
        <v>44071</v>
      </c>
      <c r="V1646" s="1363"/>
      <c r="W1646" s="1391"/>
      <c r="X1646" s="1363"/>
      <c r="Y1646" s="1391"/>
      <c r="Z1646" s="1363"/>
      <c r="AA1646" s="1391"/>
      <c r="AB1646" s="1731"/>
      <c r="AC1646" s="1367"/>
      <c r="AD1646" s="1666"/>
      <c r="AE1646" s="1590"/>
      <c r="AF1646" s="1666"/>
      <c r="AG1646" s="1590"/>
      <c r="AH1646" s="1625" t="str">
        <f t="shared" si="562"/>
        <v>ES-3B</v>
      </c>
      <c r="AI1646" s="1675">
        <f t="shared" si="556"/>
        <v>17700000</v>
      </c>
      <c r="AJ1646" s="1675">
        <f t="shared" si="557"/>
        <v>17700000</v>
      </c>
      <c r="AK1646" s="1520">
        <f t="shared" si="560"/>
        <v>0</v>
      </c>
      <c r="AL1646" s="2187" t="str">
        <f t="shared" si="561"/>
        <v>Lunas</v>
      </c>
      <c r="AM1646" s="1666"/>
      <c r="AN1646" s="1590"/>
      <c r="AO1646"/>
      <c r="AP1646"/>
      <c r="AQ1646" s="1128"/>
      <c r="AR1646" s="1173"/>
      <c r="AT1646" s="1173"/>
      <c r="AV1646" s="1173"/>
      <c r="AX1646" s="1173"/>
      <c r="AY1646" s="1176"/>
      <c r="AZ1646" s="1173"/>
    </row>
    <row r="1647" spans="1:52" s="2" customFormat="1" x14ac:dyDescent="0.25">
      <c r="A1647" s="670">
        <v>1523</v>
      </c>
      <c r="B1647" s="2193">
        <v>26</v>
      </c>
      <c r="C1647" s="2147">
        <v>839218016</v>
      </c>
      <c r="D1647" s="2194" t="s">
        <v>2159</v>
      </c>
      <c r="E1647" s="179" t="s">
        <v>2149</v>
      </c>
      <c r="F1647" s="161">
        <v>2018</v>
      </c>
      <c r="G1647" s="272" t="s">
        <v>33</v>
      </c>
      <c r="H1647" s="628">
        <f t="shared" si="554"/>
        <v>44019</v>
      </c>
      <c r="I1647" s="580">
        <f t="shared" si="555"/>
        <v>44186</v>
      </c>
      <c r="J1647" s="1364">
        <v>2700000</v>
      </c>
      <c r="K1647" s="1365">
        <v>43314</v>
      </c>
      <c r="L1647" s="1358">
        <v>3750000</v>
      </c>
      <c r="M1647" s="1365">
        <v>43314</v>
      </c>
      <c r="N1647" s="1358">
        <v>3750000</v>
      </c>
      <c r="O1647" s="1357">
        <v>43483</v>
      </c>
      <c r="P1647" s="1385">
        <v>3750000</v>
      </c>
      <c r="Q1647" s="1357">
        <v>43641.6553472222</v>
      </c>
      <c r="R1647" s="1874">
        <v>3750000</v>
      </c>
      <c r="S1647" s="1357">
        <v>43859.570370370398</v>
      </c>
      <c r="T1647" s="1714"/>
      <c r="U1647" s="1391"/>
      <c r="V1647" s="1363"/>
      <c r="W1647" s="1391"/>
      <c r="X1647" s="1363"/>
      <c r="Y1647" s="1391"/>
      <c r="Z1647" s="1363"/>
      <c r="AA1647" s="1391"/>
      <c r="AB1647" s="1874">
        <v>0</v>
      </c>
      <c r="AC1647" s="1357"/>
      <c r="AD1647" s="1809">
        <v>0</v>
      </c>
      <c r="AE1647" s="1440"/>
      <c r="AF1647" s="1809">
        <v>0</v>
      </c>
      <c r="AG1647" s="1440"/>
      <c r="AH1647" s="1625" t="str">
        <f t="shared" si="562"/>
        <v>ES-3B</v>
      </c>
      <c r="AI1647" s="1675">
        <f t="shared" si="556"/>
        <v>18200000</v>
      </c>
      <c r="AJ1647" s="1675">
        <f t="shared" si="557"/>
        <v>22000000</v>
      </c>
      <c r="AK1647" s="1520">
        <f t="shared" si="560"/>
        <v>3800000</v>
      </c>
      <c r="AL1647" s="2187" t="str">
        <f t="shared" si="561"/>
        <v>Cek</v>
      </c>
      <c r="AM1647" s="1666">
        <v>500000</v>
      </c>
      <c r="AN1647" s="1590">
        <v>44048</v>
      </c>
      <c r="AO1647"/>
      <c r="AP1647"/>
      <c r="AQ1647" s="1128"/>
      <c r="AR1647" s="1173"/>
      <c r="AT1647" s="1173"/>
      <c r="AV1647" s="1173"/>
      <c r="AX1647" s="1173"/>
      <c r="AY1647" s="1176"/>
      <c r="AZ1647" s="1173"/>
    </row>
    <row r="1648" spans="1:52" s="2" customFormat="1" x14ac:dyDescent="0.25">
      <c r="A1648" s="670">
        <v>1524</v>
      </c>
      <c r="B1648" s="2193">
        <v>27</v>
      </c>
      <c r="C1648" s="2147">
        <v>839218018</v>
      </c>
      <c r="D1648" s="2194" t="s">
        <v>2160</v>
      </c>
      <c r="E1648" s="179" t="s">
        <v>2149</v>
      </c>
      <c r="F1648" s="161">
        <v>2018</v>
      </c>
      <c r="G1648" s="272" t="s">
        <v>33</v>
      </c>
      <c r="H1648" s="628">
        <f t="shared" si="554"/>
        <v>44028</v>
      </c>
      <c r="I1648" s="580">
        <f t="shared" si="555"/>
        <v>44168</v>
      </c>
      <c r="J1648" s="1364">
        <v>2700000</v>
      </c>
      <c r="K1648" s="1365">
        <v>43314</v>
      </c>
      <c r="L1648" s="1358">
        <v>3750000</v>
      </c>
      <c r="M1648" s="1365">
        <v>43314</v>
      </c>
      <c r="N1648" s="1186">
        <v>3750000</v>
      </c>
      <c r="O1648" s="1386">
        <v>43671.547523148103</v>
      </c>
      <c r="P1648" s="1668">
        <v>3750000</v>
      </c>
      <c r="Q1648" s="1357">
        <v>43671.547523148103</v>
      </c>
      <c r="R1648" s="1874">
        <v>3750000</v>
      </c>
      <c r="S1648" s="1357">
        <v>43861.565960648099</v>
      </c>
      <c r="T1648" s="1714"/>
      <c r="U1648" s="1391"/>
      <c r="V1648" s="1363"/>
      <c r="W1648" s="1391"/>
      <c r="X1648" s="1363"/>
      <c r="Y1648" s="1391"/>
      <c r="Z1648" s="1363"/>
      <c r="AA1648" s="1391"/>
      <c r="AB1648" s="2218">
        <v>0</v>
      </c>
      <c r="AC1648" s="2219"/>
      <c r="AD1648" s="2220">
        <v>0</v>
      </c>
      <c r="AE1648" s="2221"/>
      <c r="AF1648" s="2220">
        <v>0</v>
      </c>
      <c r="AG1648" s="2221"/>
      <c r="AH1648" s="1625" t="str">
        <f t="shared" si="562"/>
        <v>ES-3B</v>
      </c>
      <c r="AI1648" s="1675">
        <f t="shared" si="556"/>
        <v>18200000</v>
      </c>
      <c r="AJ1648" s="1675">
        <f t="shared" si="557"/>
        <v>22000000</v>
      </c>
      <c r="AK1648" s="1520">
        <f t="shared" si="560"/>
        <v>3800000</v>
      </c>
      <c r="AL1648" s="2187" t="str">
        <f t="shared" si="561"/>
        <v>Cek</v>
      </c>
      <c r="AM1648" s="1666">
        <v>500000</v>
      </c>
      <c r="AN1648" s="1590">
        <v>44061</v>
      </c>
      <c r="AO1648"/>
      <c r="AP1648"/>
      <c r="AQ1648" s="1128"/>
      <c r="AR1648" s="1173"/>
      <c r="AT1648" s="1173"/>
      <c r="AV1648" s="1173"/>
      <c r="AX1648" s="1173"/>
      <c r="AY1648" s="1176"/>
      <c r="AZ1648" s="1173"/>
    </row>
    <row r="1649" spans="1:52" s="2" customFormat="1" x14ac:dyDescent="0.25">
      <c r="A1649" s="670">
        <v>1525</v>
      </c>
      <c r="B1649" s="671">
        <v>28</v>
      </c>
      <c r="C1649" s="2147">
        <v>839218019</v>
      </c>
      <c r="D1649" s="701" t="s">
        <v>2161</v>
      </c>
      <c r="E1649" s="441" t="s">
        <v>2149</v>
      </c>
      <c r="F1649" s="175">
        <v>2018</v>
      </c>
      <c r="G1649" s="360" t="s">
        <v>1483</v>
      </c>
      <c r="H1649" s="580" t="str">
        <f t="shared" si="554"/>
        <v xml:space="preserve">   </v>
      </c>
      <c r="I1649" s="580" t="str">
        <f t="shared" si="555"/>
        <v xml:space="preserve">   </v>
      </c>
      <c r="J1649" s="1366">
        <v>2700000</v>
      </c>
      <c r="K1649" s="1360">
        <v>43311</v>
      </c>
      <c r="L1649" s="1363">
        <v>3750000</v>
      </c>
      <c r="M1649" s="1360">
        <v>43311</v>
      </c>
      <c r="N1649" s="1363">
        <v>3750000</v>
      </c>
      <c r="O1649" s="1367">
        <v>43482</v>
      </c>
      <c r="P1649" s="1714">
        <v>3750000</v>
      </c>
      <c r="Q1649" s="1367">
        <v>43640.428194444401</v>
      </c>
      <c r="R1649" s="1731">
        <v>3750000</v>
      </c>
      <c r="S1649" s="1367">
        <v>43859.339722222197</v>
      </c>
      <c r="T1649" s="1731">
        <v>3750000</v>
      </c>
      <c r="U1649" s="1367">
        <v>44067.579143518502</v>
      </c>
      <c r="V1649" s="1363"/>
      <c r="W1649" s="1391"/>
      <c r="X1649" s="1363"/>
      <c r="Y1649" s="1391"/>
      <c r="Z1649" s="1363"/>
      <c r="AA1649" s="1391"/>
      <c r="AB1649" s="1731"/>
      <c r="AC1649" s="1367"/>
      <c r="AD1649" s="1666"/>
      <c r="AE1649" s="1590"/>
      <c r="AF1649" s="1666"/>
      <c r="AG1649" s="1590"/>
      <c r="AH1649" s="1625" t="str">
        <f t="shared" si="562"/>
        <v>ES-3B</v>
      </c>
      <c r="AI1649" s="1675">
        <f t="shared" si="556"/>
        <v>21450000</v>
      </c>
      <c r="AJ1649" s="1675">
        <f t="shared" si="557"/>
        <v>21450000</v>
      </c>
      <c r="AK1649" s="1520">
        <f t="shared" si="560"/>
        <v>0</v>
      </c>
      <c r="AL1649" s="2187" t="str">
        <f t="shared" si="561"/>
        <v>Lunas</v>
      </c>
      <c r="AM1649" s="1666"/>
      <c r="AN1649" s="1590"/>
      <c r="AO1649"/>
      <c r="AP1649"/>
      <c r="AQ1649" s="1128"/>
      <c r="AR1649" s="1173"/>
      <c r="AT1649" s="1173"/>
      <c r="AV1649" s="1173"/>
      <c r="AX1649" s="1173"/>
      <c r="AY1649" s="1176"/>
      <c r="AZ1649" s="1173"/>
    </row>
    <row r="1650" spans="1:52" s="2" customFormat="1" x14ac:dyDescent="0.25">
      <c r="A1650" s="670">
        <v>1526</v>
      </c>
      <c r="B1650" s="671">
        <v>29</v>
      </c>
      <c r="C1650" s="2147">
        <v>839218021</v>
      </c>
      <c r="D1650" s="703" t="s">
        <v>2162</v>
      </c>
      <c r="E1650" s="441" t="s">
        <v>2149</v>
      </c>
      <c r="F1650" s="175">
        <v>2018</v>
      </c>
      <c r="G1650" s="214" t="s">
        <v>1077</v>
      </c>
      <c r="H1650" s="580" t="str">
        <f t="shared" si="554"/>
        <v xml:space="preserve">   </v>
      </c>
      <c r="I1650" s="580" t="str">
        <f t="shared" si="555"/>
        <v xml:space="preserve">   </v>
      </c>
      <c r="J1650" s="1453">
        <v>0</v>
      </c>
      <c r="K1650" s="1367"/>
      <c r="L1650" s="1530">
        <v>3750000</v>
      </c>
      <c r="M1650" s="1360">
        <v>43315</v>
      </c>
      <c r="N1650" s="1186" t="s">
        <v>1842</v>
      </c>
      <c r="O1650" s="1386"/>
      <c r="P1650" s="1731"/>
      <c r="Q1650" s="1367"/>
      <c r="R1650" s="1731"/>
      <c r="S1650" s="1367"/>
      <c r="T1650" s="1731"/>
      <c r="U1650" s="1367"/>
      <c r="V1650" s="1363"/>
      <c r="W1650" s="1391"/>
      <c r="X1650" s="1363"/>
      <c r="Y1650" s="1391"/>
      <c r="Z1650" s="1363"/>
      <c r="AA1650" s="1391"/>
      <c r="AB1650" s="1731"/>
      <c r="AC1650" s="1367"/>
      <c r="AD1650" s="1666"/>
      <c r="AE1650" s="1590"/>
      <c r="AF1650" s="1666"/>
      <c r="AG1650" s="1590"/>
      <c r="AH1650" s="1625" t="str">
        <f t="shared" si="562"/>
        <v>ES-3B</v>
      </c>
      <c r="AI1650" s="1675">
        <f t="shared" si="556"/>
        <v>3750000</v>
      </c>
      <c r="AJ1650" s="1675">
        <f t="shared" si="557"/>
        <v>6450000</v>
      </c>
      <c r="AK1650" s="1520">
        <f t="shared" si="560"/>
        <v>2700000</v>
      </c>
      <c r="AL1650" s="2187" t="str">
        <f t="shared" si="561"/>
        <v>Cek</v>
      </c>
      <c r="AM1650" s="1666"/>
      <c r="AN1650" s="1590"/>
      <c r="AO1650"/>
      <c r="AP1650"/>
      <c r="AQ1650" s="1128"/>
      <c r="AR1650" s="1173"/>
      <c r="AT1650" s="1173"/>
      <c r="AV1650" s="1173"/>
      <c r="AX1650" s="1173"/>
      <c r="AY1650" s="1176"/>
      <c r="AZ1650" s="1173"/>
    </row>
    <row r="1651" spans="1:52" s="2" customFormat="1" x14ac:dyDescent="0.25">
      <c r="A1651" s="670">
        <v>1527</v>
      </c>
      <c r="B1651" s="671">
        <v>30</v>
      </c>
      <c r="C1651" s="2147">
        <v>839218022</v>
      </c>
      <c r="D1651" s="701" t="s">
        <v>2163</v>
      </c>
      <c r="E1651" s="441" t="s">
        <v>2149</v>
      </c>
      <c r="F1651" s="175">
        <v>2018</v>
      </c>
      <c r="G1651" s="360" t="s">
        <v>1483</v>
      </c>
      <c r="H1651" s="580" t="str">
        <f t="shared" si="554"/>
        <v xml:space="preserve">   </v>
      </c>
      <c r="I1651" s="580" t="str">
        <f t="shared" si="555"/>
        <v xml:space="preserve">   </v>
      </c>
      <c r="J1651" s="1366">
        <v>2700000</v>
      </c>
      <c r="K1651" s="1360">
        <v>43308</v>
      </c>
      <c r="L1651" s="1363">
        <v>3750000</v>
      </c>
      <c r="M1651" s="1360">
        <v>43308</v>
      </c>
      <c r="N1651" s="1363">
        <v>3750000</v>
      </c>
      <c r="O1651" s="1367">
        <v>43483</v>
      </c>
      <c r="P1651" s="1714">
        <v>3750000</v>
      </c>
      <c r="Q1651" s="1367">
        <v>43644.407118055598</v>
      </c>
      <c r="R1651" s="1731">
        <v>3750000</v>
      </c>
      <c r="S1651" s="1367">
        <v>43860.408020833303</v>
      </c>
      <c r="T1651" s="1731">
        <v>3750000</v>
      </c>
      <c r="U1651" s="1367">
        <v>44070.461423611101</v>
      </c>
      <c r="V1651" s="1363"/>
      <c r="W1651" s="1391"/>
      <c r="X1651" s="1363"/>
      <c r="Y1651" s="1391"/>
      <c r="Z1651" s="1363"/>
      <c r="AA1651" s="1391"/>
      <c r="AB1651" s="1731"/>
      <c r="AC1651" s="1367"/>
      <c r="AD1651" s="1666"/>
      <c r="AE1651" s="1590"/>
      <c r="AF1651" s="1666"/>
      <c r="AG1651" s="1590"/>
      <c r="AH1651" s="1625" t="str">
        <f t="shared" si="562"/>
        <v>ES-3B</v>
      </c>
      <c r="AI1651" s="1675">
        <f t="shared" si="556"/>
        <v>21450000</v>
      </c>
      <c r="AJ1651" s="1675">
        <f t="shared" si="557"/>
        <v>21450000</v>
      </c>
      <c r="AK1651" s="1520">
        <f t="shared" si="560"/>
        <v>0</v>
      </c>
      <c r="AL1651" s="2187" t="str">
        <f t="shared" si="561"/>
        <v>Lunas</v>
      </c>
      <c r="AM1651" s="1666"/>
      <c r="AN1651" s="1590"/>
      <c r="AO1651"/>
      <c r="AP1651"/>
      <c r="AQ1651" s="1128"/>
      <c r="AR1651" s="1173"/>
      <c r="AT1651" s="1173"/>
      <c r="AV1651" s="1173"/>
      <c r="AX1651" s="1173"/>
      <c r="AY1651" s="1176"/>
      <c r="AZ1651" s="1173"/>
    </row>
    <row r="1652" spans="1:52" s="2" customFormat="1" x14ac:dyDescent="0.25">
      <c r="A1652" s="670">
        <v>1528</v>
      </c>
      <c r="B1652" s="671">
        <v>31</v>
      </c>
      <c r="C1652" s="2147">
        <v>839218023</v>
      </c>
      <c r="D1652" s="701" t="s">
        <v>2164</v>
      </c>
      <c r="E1652" s="441" t="s">
        <v>2149</v>
      </c>
      <c r="F1652" s="175">
        <v>2018</v>
      </c>
      <c r="G1652" s="581" t="s">
        <v>1833</v>
      </c>
      <c r="H1652" s="580" t="str">
        <f t="shared" si="554"/>
        <v xml:space="preserve">   </v>
      </c>
      <c r="I1652" s="580" t="str">
        <f t="shared" si="555"/>
        <v xml:space="preserve">   </v>
      </c>
      <c r="J1652" s="1366">
        <v>2700000</v>
      </c>
      <c r="K1652" s="1360">
        <v>43313</v>
      </c>
      <c r="L1652" s="1363">
        <v>3750000</v>
      </c>
      <c r="M1652" s="1360">
        <v>43313</v>
      </c>
      <c r="N1652" s="1363">
        <v>3750000</v>
      </c>
      <c r="O1652" s="1367">
        <v>43482</v>
      </c>
      <c r="P1652" s="1714">
        <v>3750000</v>
      </c>
      <c r="Q1652" s="1367">
        <v>43643.516805555599</v>
      </c>
      <c r="R1652" s="1731">
        <v>3750000</v>
      </c>
      <c r="S1652" s="1367">
        <v>43852.5449884259</v>
      </c>
      <c r="T1652" s="1186" t="s">
        <v>1078</v>
      </c>
      <c r="U1652" s="1386">
        <v>44071</v>
      </c>
      <c r="V1652" s="1363"/>
      <c r="W1652" s="1391"/>
      <c r="X1652" s="1363"/>
      <c r="Y1652" s="1391"/>
      <c r="Z1652" s="1363"/>
      <c r="AA1652" s="1391"/>
      <c r="AB1652" s="1731"/>
      <c r="AC1652" s="1367"/>
      <c r="AD1652" s="1666"/>
      <c r="AE1652" s="1590"/>
      <c r="AF1652" s="1666"/>
      <c r="AG1652" s="1590"/>
      <c r="AH1652" s="1625" t="str">
        <f t="shared" si="562"/>
        <v>ES-3B</v>
      </c>
      <c r="AI1652" s="1675">
        <f t="shared" si="556"/>
        <v>17700000</v>
      </c>
      <c r="AJ1652" s="1675">
        <f t="shared" si="557"/>
        <v>17700000</v>
      </c>
      <c r="AK1652" s="1520">
        <f t="shared" si="560"/>
        <v>0</v>
      </c>
      <c r="AL1652" s="2187" t="str">
        <f t="shared" si="561"/>
        <v>Lunas</v>
      </c>
      <c r="AM1652" s="1666"/>
      <c r="AN1652" s="1590"/>
      <c r="AO1652"/>
      <c r="AP1652"/>
      <c r="AQ1652" s="1128"/>
      <c r="AR1652" s="1173"/>
      <c r="AT1652" s="1173"/>
      <c r="AV1652" s="1173"/>
      <c r="AX1652" s="1173"/>
      <c r="AY1652" s="1176"/>
      <c r="AZ1652" s="1173"/>
    </row>
    <row r="1653" spans="1:52" s="2" customFormat="1" x14ac:dyDescent="0.25">
      <c r="A1653" s="670">
        <v>1529</v>
      </c>
      <c r="B1653" s="2193">
        <v>32</v>
      </c>
      <c r="C1653" s="2147">
        <v>839218024</v>
      </c>
      <c r="D1653" s="2194" t="s">
        <v>2165</v>
      </c>
      <c r="E1653" s="179" t="s">
        <v>2149</v>
      </c>
      <c r="F1653" s="161">
        <v>2018</v>
      </c>
      <c r="G1653" s="272" t="s">
        <v>33</v>
      </c>
      <c r="H1653" s="628">
        <f t="shared" si="554"/>
        <v>44007</v>
      </c>
      <c r="I1653" s="580">
        <f t="shared" si="555"/>
        <v>44168</v>
      </c>
      <c r="J1653" s="1364">
        <v>2700000</v>
      </c>
      <c r="K1653" s="1365">
        <v>43313</v>
      </c>
      <c r="L1653" s="1358">
        <v>3750000</v>
      </c>
      <c r="M1653" s="1365">
        <v>43313</v>
      </c>
      <c r="N1653" s="1358">
        <v>3750000</v>
      </c>
      <c r="O1653" s="1357">
        <v>43482</v>
      </c>
      <c r="P1653" s="1385">
        <v>3750000</v>
      </c>
      <c r="Q1653" s="1357">
        <v>43641.509976851798</v>
      </c>
      <c r="R1653" s="1874">
        <v>3750000</v>
      </c>
      <c r="S1653" s="1357">
        <v>43858.547650462999</v>
      </c>
      <c r="T1653" s="1714"/>
      <c r="U1653" s="1391"/>
      <c r="V1653" s="1363"/>
      <c r="W1653" s="1391"/>
      <c r="X1653" s="1363"/>
      <c r="Y1653" s="1391"/>
      <c r="Z1653" s="1363"/>
      <c r="AA1653" s="1391"/>
      <c r="AB1653" s="2218">
        <v>0</v>
      </c>
      <c r="AC1653" s="2219"/>
      <c r="AD1653" s="2220">
        <v>0</v>
      </c>
      <c r="AE1653" s="2221"/>
      <c r="AF1653" s="2220">
        <v>0</v>
      </c>
      <c r="AG1653" s="2221"/>
      <c r="AH1653" s="1625" t="str">
        <f t="shared" si="562"/>
        <v>ES-3B</v>
      </c>
      <c r="AI1653" s="1675">
        <f t="shared" si="556"/>
        <v>18200000</v>
      </c>
      <c r="AJ1653" s="1675">
        <f t="shared" si="557"/>
        <v>22000000</v>
      </c>
      <c r="AK1653" s="1520">
        <f t="shared" si="560"/>
        <v>3800000</v>
      </c>
      <c r="AL1653" s="2187" t="str">
        <f t="shared" si="561"/>
        <v>Cek</v>
      </c>
      <c r="AM1653" s="1666">
        <v>500000</v>
      </c>
      <c r="AN1653" s="1590">
        <v>44026</v>
      </c>
      <c r="AO1653"/>
      <c r="AP1653"/>
      <c r="AQ1653" s="1128"/>
      <c r="AR1653" s="1173"/>
      <c r="AT1653" s="1173"/>
      <c r="AV1653" s="1173"/>
      <c r="AX1653" s="1173"/>
      <c r="AY1653" s="1176"/>
      <c r="AZ1653" s="1173"/>
    </row>
    <row r="1654" spans="1:52" s="2" customFormat="1" x14ac:dyDescent="0.25">
      <c r="A1654" s="670">
        <v>1530</v>
      </c>
      <c r="B1654" s="671">
        <v>33</v>
      </c>
      <c r="C1654" s="2147">
        <v>839218034</v>
      </c>
      <c r="D1654" s="701" t="s">
        <v>2166</v>
      </c>
      <c r="E1654" s="441" t="s">
        <v>2149</v>
      </c>
      <c r="F1654" s="175">
        <v>2018</v>
      </c>
      <c r="G1654" s="360" t="s">
        <v>1483</v>
      </c>
      <c r="H1654" s="580" t="str">
        <f t="shared" si="554"/>
        <v xml:space="preserve">   </v>
      </c>
      <c r="I1654" s="580" t="str">
        <f t="shared" si="555"/>
        <v xml:space="preserve">   </v>
      </c>
      <c r="J1654" s="1366">
        <v>2700000</v>
      </c>
      <c r="K1654" s="1360">
        <v>43313</v>
      </c>
      <c r="L1654" s="1363">
        <v>3750000</v>
      </c>
      <c r="M1654" s="1360">
        <v>43313</v>
      </c>
      <c r="N1654" s="1363">
        <v>3750000</v>
      </c>
      <c r="O1654" s="1367">
        <v>43482</v>
      </c>
      <c r="P1654" s="1714">
        <v>3750000</v>
      </c>
      <c r="Q1654" s="1367">
        <v>43644.428310185198</v>
      </c>
      <c r="R1654" s="1731">
        <v>3750000</v>
      </c>
      <c r="S1654" s="1367">
        <v>43859.5626388889</v>
      </c>
      <c r="T1654" s="1731">
        <v>3750000</v>
      </c>
      <c r="U1654" s="1367">
        <v>44070.4313541667</v>
      </c>
      <c r="V1654" s="1363"/>
      <c r="W1654" s="1391"/>
      <c r="X1654" s="1363"/>
      <c r="Y1654" s="1391"/>
      <c r="Z1654" s="1363"/>
      <c r="AA1654" s="1391"/>
      <c r="AB1654" s="1731"/>
      <c r="AC1654" s="1367"/>
      <c r="AD1654" s="1666"/>
      <c r="AE1654" s="1590"/>
      <c r="AF1654" s="1666"/>
      <c r="AG1654" s="1590"/>
      <c r="AH1654" s="1625" t="str">
        <f t="shared" si="562"/>
        <v>ES-3B</v>
      </c>
      <c r="AI1654" s="1675">
        <f t="shared" si="556"/>
        <v>21450000</v>
      </c>
      <c r="AJ1654" s="1675">
        <f t="shared" ref="AJ1654:AJ1675" si="563">(COUNT(L1654,N1654,P1654,R1654,T1654,V1654,X1654,Z1654)*$G$1507)+(COUNT(J1654)*$J$1507)+(COUNT(AB1654)*$AB$1507)+(COUNT(AD1654)*$AD$1507)+(COUNT(AF1654)*$AF$1507)+(COUNT(AM1654)*$AM$1507)</f>
        <v>21450000</v>
      </c>
      <c r="AK1654" s="1520">
        <f t="shared" si="560"/>
        <v>0</v>
      </c>
      <c r="AL1654" s="2187" t="str">
        <f t="shared" si="561"/>
        <v>Lunas</v>
      </c>
      <c r="AM1654" s="1666"/>
      <c r="AN1654" s="1590"/>
      <c r="AO1654"/>
      <c r="AP1654"/>
      <c r="AQ1654" s="1128"/>
      <c r="AR1654" s="1173"/>
      <c r="AT1654" s="1173"/>
      <c r="AV1654" s="1173"/>
      <c r="AX1654" s="1173"/>
      <c r="AY1654" s="1176"/>
      <c r="AZ1654" s="1173"/>
    </row>
    <row r="1655" spans="1:52" s="2" customFormat="1" x14ac:dyDescent="0.25">
      <c r="A1655" s="2132">
        <v>1531</v>
      </c>
      <c r="B1655" s="2133">
        <v>34</v>
      </c>
      <c r="C1655" s="2145">
        <v>839218011</v>
      </c>
      <c r="D1655" s="2146" t="s">
        <v>2167</v>
      </c>
      <c r="E1655" s="179" t="s">
        <v>2168</v>
      </c>
      <c r="F1655" s="161">
        <v>2018</v>
      </c>
      <c r="G1655" s="272" t="s">
        <v>33</v>
      </c>
      <c r="H1655" s="628">
        <f t="shared" si="554"/>
        <v>43971</v>
      </c>
      <c r="I1655" s="628">
        <f t="shared" si="555"/>
        <v>44058</v>
      </c>
      <c r="J1655" s="1364">
        <v>2700000</v>
      </c>
      <c r="K1655" s="1365">
        <v>43313</v>
      </c>
      <c r="L1655" s="1358">
        <v>3750000</v>
      </c>
      <c r="M1655" s="1365">
        <v>43313</v>
      </c>
      <c r="N1655" s="1358">
        <v>3750000</v>
      </c>
      <c r="O1655" s="1357">
        <v>43482</v>
      </c>
      <c r="P1655" s="1385">
        <v>3750000</v>
      </c>
      <c r="Q1655" s="1357">
        <v>43641.393842592603</v>
      </c>
      <c r="R1655" s="1874">
        <v>3750000</v>
      </c>
      <c r="S1655" s="1357">
        <v>43858.439756944397</v>
      </c>
      <c r="T1655" s="1714"/>
      <c r="U1655" s="1391"/>
      <c r="V1655" s="1363"/>
      <c r="W1655" s="1391"/>
      <c r="X1655" s="1363"/>
      <c r="Y1655" s="1391"/>
      <c r="Z1655" s="1363"/>
      <c r="AA1655" s="1391"/>
      <c r="AB1655" s="1874">
        <v>1000000</v>
      </c>
      <c r="AC1655" s="1357">
        <v>44167</v>
      </c>
      <c r="AD1655" s="1809">
        <v>1200000</v>
      </c>
      <c r="AE1655" s="1357">
        <v>44167</v>
      </c>
      <c r="AF1655" s="1809">
        <v>1600000</v>
      </c>
      <c r="AG1655" s="1357">
        <v>44167</v>
      </c>
      <c r="AH1655" s="1625" t="str">
        <f t="shared" si="562"/>
        <v>ES-3C</v>
      </c>
      <c r="AI1655" s="1675">
        <f t="shared" si="556"/>
        <v>22000000</v>
      </c>
      <c r="AJ1655" s="1675">
        <f t="shared" si="563"/>
        <v>22000000</v>
      </c>
      <c r="AK1655" s="1520">
        <f t="shared" si="560"/>
        <v>0</v>
      </c>
      <c r="AL1655" s="2187" t="str">
        <f t="shared" si="561"/>
        <v>Lunas</v>
      </c>
      <c r="AM1655" s="1666">
        <v>500000</v>
      </c>
      <c r="AN1655" s="1590">
        <v>44006</v>
      </c>
      <c r="AO1655"/>
      <c r="AP1655"/>
      <c r="AQ1655" s="1128"/>
      <c r="AR1655" s="1173"/>
      <c r="AT1655" s="1173"/>
      <c r="AV1655" s="1173"/>
      <c r="AX1655" s="1173"/>
      <c r="AY1655" s="1176"/>
      <c r="AZ1655" s="1173"/>
    </row>
    <row r="1656" spans="1:52" s="2" customFormat="1" x14ac:dyDescent="0.25">
      <c r="A1656" s="670">
        <v>1532</v>
      </c>
      <c r="B1656" s="671">
        <v>35</v>
      </c>
      <c r="C1656" s="2147">
        <v>839218025</v>
      </c>
      <c r="D1656" s="701" t="s">
        <v>2169</v>
      </c>
      <c r="E1656" s="441" t="s">
        <v>2168</v>
      </c>
      <c r="F1656" s="175">
        <v>2018</v>
      </c>
      <c r="G1656" s="360" t="s">
        <v>1483</v>
      </c>
      <c r="H1656" s="580" t="str">
        <f t="shared" si="554"/>
        <v xml:space="preserve">   </v>
      </c>
      <c r="I1656" s="580" t="str">
        <f t="shared" si="555"/>
        <v xml:space="preserve">   </v>
      </c>
      <c r="J1656" s="1366">
        <v>2700000</v>
      </c>
      <c r="K1656" s="1360">
        <v>43308</v>
      </c>
      <c r="L1656" s="1363">
        <v>3750000</v>
      </c>
      <c r="M1656" s="1360">
        <v>43308</v>
      </c>
      <c r="N1656" s="1363">
        <v>3750000</v>
      </c>
      <c r="O1656" s="1367">
        <v>43482</v>
      </c>
      <c r="P1656" s="1714">
        <v>3750000</v>
      </c>
      <c r="Q1656" s="1367">
        <v>43643.374270833301</v>
      </c>
      <c r="R1656" s="2077" t="s">
        <v>1131</v>
      </c>
      <c r="S1656" s="1386">
        <v>43861</v>
      </c>
      <c r="T1656" s="1731">
        <v>3750000</v>
      </c>
      <c r="U1656" s="1367">
        <v>44056.404918981498</v>
      </c>
      <c r="V1656" s="1363"/>
      <c r="W1656" s="1391"/>
      <c r="X1656" s="1363"/>
      <c r="Y1656" s="1391"/>
      <c r="Z1656" s="1363"/>
      <c r="AA1656" s="1391"/>
      <c r="AB1656" s="1731"/>
      <c r="AC1656" s="1367"/>
      <c r="AD1656" s="1666"/>
      <c r="AE1656" s="1590"/>
      <c r="AF1656" s="1666"/>
      <c r="AG1656" s="1590"/>
      <c r="AH1656" s="1625" t="str">
        <f t="shared" si="562"/>
        <v>ES-3C</v>
      </c>
      <c r="AI1656" s="1675">
        <f t="shared" si="556"/>
        <v>17700000</v>
      </c>
      <c r="AJ1656" s="1675">
        <f t="shared" si="563"/>
        <v>17700000</v>
      </c>
      <c r="AK1656" s="1520">
        <f t="shared" si="560"/>
        <v>0</v>
      </c>
      <c r="AL1656" s="2187" t="str">
        <f t="shared" si="561"/>
        <v>Lunas</v>
      </c>
      <c r="AM1656" s="1666"/>
      <c r="AN1656" s="1590"/>
      <c r="AO1656"/>
      <c r="AP1656"/>
      <c r="AQ1656" s="1128"/>
      <c r="AR1656" s="1173"/>
      <c r="AT1656" s="1173"/>
      <c r="AV1656" s="1173"/>
      <c r="AX1656" s="1173"/>
      <c r="AY1656" s="1176"/>
      <c r="AZ1656" s="1173"/>
    </row>
    <row r="1657" spans="1:52" s="2" customFormat="1" x14ac:dyDescent="0.25">
      <c r="A1657" s="670">
        <v>1533</v>
      </c>
      <c r="B1657" s="671">
        <v>36</v>
      </c>
      <c r="C1657" s="2147">
        <v>839218026</v>
      </c>
      <c r="D1657" s="701" t="s">
        <v>2170</v>
      </c>
      <c r="E1657" s="441" t="s">
        <v>2168</v>
      </c>
      <c r="F1657" s="175">
        <v>2018</v>
      </c>
      <c r="G1657" s="360" t="s">
        <v>1483</v>
      </c>
      <c r="H1657" s="580" t="str">
        <f t="shared" si="554"/>
        <v xml:space="preserve">   </v>
      </c>
      <c r="I1657" s="580" t="str">
        <f t="shared" si="555"/>
        <v xml:space="preserve">   </v>
      </c>
      <c r="J1657" s="1366">
        <v>2700000</v>
      </c>
      <c r="K1657" s="1360">
        <v>43314</v>
      </c>
      <c r="L1657" s="1363">
        <v>3750000</v>
      </c>
      <c r="M1657" s="1360">
        <v>43314</v>
      </c>
      <c r="N1657" s="1363">
        <v>3750000</v>
      </c>
      <c r="O1657" s="1367">
        <v>43481</v>
      </c>
      <c r="P1657" s="1714">
        <v>3750000</v>
      </c>
      <c r="Q1657" s="1367">
        <v>43642.492303240702</v>
      </c>
      <c r="R1657" s="1731">
        <v>3750000</v>
      </c>
      <c r="S1657" s="1367">
        <v>43854.353761574101</v>
      </c>
      <c r="T1657" s="1731">
        <v>3750000</v>
      </c>
      <c r="U1657" s="1367">
        <v>44053.524351851898</v>
      </c>
      <c r="V1657" s="1363"/>
      <c r="W1657" s="1391"/>
      <c r="X1657" s="1363"/>
      <c r="Y1657" s="1391"/>
      <c r="Z1657" s="1363"/>
      <c r="AA1657" s="1391"/>
      <c r="AB1657" s="1731"/>
      <c r="AC1657" s="1367"/>
      <c r="AD1657" s="1666"/>
      <c r="AE1657" s="1590"/>
      <c r="AF1657" s="1666"/>
      <c r="AG1657" s="1590"/>
      <c r="AH1657" s="1625" t="str">
        <f t="shared" si="562"/>
        <v>ES-3C</v>
      </c>
      <c r="AI1657" s="1675">
        <f t="shared" si="556"/>
        <v>21450000</v>
      </c>
      <c r="AJ1657" s="1675">
        <f t="shared" si="563"/>
        <v>21450000</v>
      </c>
      <c r="AK1657" s="1520">
        <f t="shared" si="560"/>
        <v>0</v>
      </c>
      <c r="AL1657" s="2187" t="str">
        <f t="shared" si="561"/>
        <v>Lunas</v>
      </c>
      <c r="AM1657" s="1666"/>
      <c r="AN1657" s="1590"/>
      <c r="AO1657"/>
      <c r="AP1657"/>
      <c r="AQ1657" s="1128"/>
      <c r="AR1657" s="1173"/>
      <c r="AT1657" s="1173"/>
      <c r="AV1657" s="1173"/>
      <c r="AX1657" s="1173"/>
      <c r="AY1657" s="1176"/>
      <c r="AZ1657" s="1173"/>
    </row>
    <row r="1658" spans="1:52" s="2" customFormat="1" x14ac:dyDescent="0.25">
      <c r="A1658" s="670">
        <v>1534</v>
      </c>
      <c r="B1658" s="671">
        <v>37</v>
      </c>
      <c r="C1658" s="2147">
        <v>839218027</v>
      </c>
      <c r="D1658" s="701" t="s">
        <v>2171</v>
      </c>
      <c r="E1658" s="441" t="s">
        <v>2168</v>
      </c>
      <c r="F1658" s="175">
        <v>2018</v>
      </c>
      <c r="G1658" s="360" t="s">
        <v>1483</v>
      </c>
      <c r="H1658" s="580" t="str">
        <f t="shared" si="554"/>
        <v xml:space="preserve">   </v>
      </c>
      <c r="I1658" s="580" t="str">
        <f t="shared" si="555"/>
        <v xml:space="preserve">   </v>
      </c>
      <c r="J1658" s="1366">
        <v>2700000</v>
      </c>
      <c r="K1658" s="1360">
        <v>43314</v>
      </c>
      <c r="L1658" s="1363">
        <v>3750000</v>
      </c>
      <c r="M1658" s="1360">
        <v>43314</v>
      </c>
      <c r="N1658" s="1363">
        <v>3750000</v>
      </c>
      <c r="O1658" s="1367">
        <v>43481</v>
      </c>
      <c r="P1658" s="1714">
        <v>3750000</v>
      </c>
      <c r="Q1658" s="1367">
        <v>43642.402997685203</v>
      </c>
      <c r="R1658" s="1731">
        <v>3750000</v>
      </c>
      <c r="S1658" s="1367">
        <v>43860.369733796302</v>
      </c>
      <c r="T1658" s="1731">
        <v>3750000</v>
      </c>
      <c r="U1658" s="1367">
        <v>44069.590497685203</v>
      </c>
      <c r="V1658" s="1363"/>
      <c r="W1658" s="1391"/>
      <c r="X1658" s="1363"/>
      <c r="Y1658" s="1391"/>
      <c r="Z1658" s="1363"/>
      <c r="AA1658" s="1391"/>
      <c r="AB1658" s="1731">
        <v>1000000</v>
      </c>
      <c r="AC1658" s="1367">
        <v>44140</v>
      </c>
      <c r="AD1658" s="1666"/>
      <c r="AE1658" s="1590"/>
      <c r="AF1658" s="1666"/>
      <c r="AG1658" s="1590"/>
      <c r="AH1658" s="1625" t="str">
        <f t="shared" si="562"/>
        <v>ES-3C</v>
      </c>
      <c r="AI1658" s="1675">
        <f t="shared" si="556"/>
        <v>22450000</v>
      </c>
      <c r="AJ1658" s="1675">
        <f t="shared" si="563"/>
        <v>22450000</v>
      </c>
      <c r="AK1658" s="1520">
        <f t="shared" si="560"/>
        <v>0</v>
      </c>
      <c r="AL1658" s="2187" t="str">
        <f t="shared" si="561"/>
        <v>Lunas</v>
      </c>
      <c r="AM1658" s="1666"/>
      <c r="AN1658" s="1590"/>
      <c r="AO1658"/>
      <c r="AP1658"/>
      <c r="AQ1658" s="1128"/>
      <c r="AR1658" s="1173"/>
      <c r="AT1658" s="1173"/>
      <c r="AV1658" s="1173"/>
      <c r="AX1658" s="1173"/>
      <c r="AY1658" s="1176"/>
      <c r="AZ1658" s="1173"/>
    </row>
    <row r="1659" spans="1:52" s="2" customFormat="1" x14ac:dyDescent="0.25">
      <c r="A1659" s="670">
        <v>1535</v>
      </c>
      <c r="B1659" s="671">
        <v>38</v>
      </c>
      <c r="C1659" s="2147">
        <v>839218028</v>
      </c>
      <c r="D1659" s="701" t="s">
        <v>2172</v>
      </c>
      <c r="E1659" s="441" t="s">
        <v>2168</v>
      </c>
      <c r="F1659" s="175">
        <v>2018</v>
      </c>
      <c r="G1659" s="360" t="s">
        <v>1483</v>
      </c>
      <c r="H1659" s="580" t="str">
        <f t="shared" si="554"/>
        <v xml:space="preserve">   </v>
      </c>
      <c r="I1659" s="580" t="str">
        <f t="shared" si="555"/>
        <v xml:space="preserve">   </v>
      </c>
      <c r="J1659" s="1366">
        <v>2700000</v>
      </c>
      <c r="K1659" s="1360">
        <v>43311</v>
      </c>
      <c r="L1659" s="1363">
        <v>3750000</v>
      </c>
      <c r="M1659" s="1360">
        <v>43311</v>
      </c>
      <c r="N1659" s="1363">
        <v>3750000</v>
      </c>
      <c r="O1659" s="1367">
        <v>43482</v>
      </c>
      <c r="P1659" s="1714">
        <v>3750000</v>
      </c>
      <c r="Q1659" s="1367">
        <v>43641.374675925901</v>
      </c>
      <c r="R1659" s="1731">
        <v>3750000</v>
      </c>
      <c r="S1659" s="1367">
        <v>43858.386574074102</v>
      </c>
      <c r="T1659" s="1731">
        <v>3750000</v>
      </c>
      <c r="U1659" s="1367">
        <v>44049.386562500003</v>
      </c>
      <c r="V1659" s="1363"/>
      <c r="W1659" s="1391"/>
      <c r="X1659" s="1363"/>
      <c r="Y1659" s="1391"/>
      <c r="Z1659" s="1363"/>
      <c r="AA1659" s="1391"/>
      <c r="AB1659" s="1731"/>
      <c r="AC1659" s="1367"/>
      <c r="AD1659" s="1666"/>
      <c r="AE1659" s="1590"/>
      <c r="AF1659" s="1666"/>
      <c r="AG1659" s="1590"/>
      <c r="AH1659" s="1625" t="str">
        <f t="shared" si="562"/>
        <v>ES-3C</v>
      </c>
      <c r="AI1659" s="1675">
        <f t="shared" si="556"/>
        <v>21450000</v>
      </c>
      <c r="AJ1659" s="1675">
        <f t="shared" si="563"/>
        <v>21450000</v>
      </c>
      <c r="AK1659" s="1520">
        <f t="shared" si="560"/>
        <v>0</v>
      </c>
      <c r="AL1659" s="2187" t="str">
        <f t="shared" si="561"/>
        <v>Lunas</v>
      </c>
      <c r="AM1659" s="1666"/>
      <c r="AN1659" s="1590"/>
      <c r="AO1659"/>
      <c r="AP1659"/>
      <c r="AQ1659" s="1128"/>
      <c r="AR1659" s="1173"/>
      <c r="AT1659" s="1173"/>
      <c r="AV1659" s="1173"/>
      <c r="AX1659" s="1173"/>
      <c r="AY1659" s="1176"/>
      <c r="AZ1659" s="1173"/>
    </row>
    <row r="1660" spans="1:52" s="2" customFormat="1" x14ac:dyDescent="0.25">
      <c r="A1660" s="670">
        <v>1536</v>
      </c>
      <c r="B1660" s="2193">
        <v>39</v>
      </c>
      <c r="C1660" s="2147">
        <v>839218029</v>
      </c>
      <c r="D1660" s="2194" t="s">
        <v>2173</v>
      </c>
      <c r="E1660" s="179" t="s">
        <v>2168</v>
      </c>
      <c r="F1660" s="161">
        <v>2018</v>
      </c>
      <c r="G1660" s="272" t="s">
        <v>33</v>
      </c>
      <c r="H1660" s="628">
        <f t="shared" si="554"/>
        <v>44095</v>
      </c>
      <c r="I1660" s="580">
        <f t="shared" si="555"/>
        <v>44186</v>
      </c>
      <c r="J1660" s="1364">
        <v>2700000</v>
      </c>
      <c r="K1660" s="1365">
        <v>43311</v>
      </c>
      <c r="L1660" s="1358">
        <v>3750000</v>
      </c>
      <c r="M1660" s="1365">
        <v>43311</v>
      </c>
      <c r="N1660" s="1358">
        <v>3750000</v>
      </c>
      <c r="O1660" s="1357">
        <v>43483</v>
      </c>
      <c r="P1660" s="1385">
        <v>3750000</v>
      </c>
      <c r="Q1660" s="1357">
        <v>43641.483182870397</v>
      </c>
      <c r="R1660" s="1874">
        <v>3750000</v>
      </c>
      <c r="S1660" s="1357">
        <v>43853.464537036998</v>
      </c>
      <c r="T1660" s="1714"/>
      <c r="U1660" s="1391"/>
      <c r="V1660" s="1363"/>
      <c r="W1660" s="1391"/>
      <c r="X1660" s="1363"/>
      <c r="Y1660" s="1391"/>
      <c r="Z1660" s="1363"/>
      <c r="AA1660" s="1391"/>
      <c r="AB1660" s="2218">
        <v>0</v>
      </c>
      <c r="AC1660" s="2219"/>
      <c r="AD1660" s="2220">
        <v>0</v>
      </c>
      <c r="AE1660" s="2221"/>
      <c r="AF1660" s="2220">
        <v>0</v>
      </c>
      <c r="AG1660" s="2221"/>
      <c r="AH1660" s="1625" t="str">
        <f t="shared" si="562"/>
        <v>ES-3C</v>
      </c>
      <c r="AI1660" s="1675">
        <f t="shared" si="556"/>
        <v>18200000</v>
      </c>
      <c r="AJ1660" s="1675">
        <f t="shared" si="563"/>
        <v>22000000</v>
      </c>
      <c r="AK1660" s="1520">
        <f t="shared" si="560"/>
        <v>3800000</v>
      </c>
      <c r="AL1660" s="2187" t="str">
        <f t="shared" si="561"/>
        <v>Cek</v>
      </c>
      <c r="AM1660" s="1666">
        <v>500000</v>
      </c>
      <c r="AN1660" s="1590">
        <v>44097</v>
      </c>
      <c r="AO1660"/>
      <c r="AP1660"/>
      <c r="AQ1660" s="1128"/>
      <c r="AR1660" s="1173"/>
      <c r="AT1660" s="1173"/>
      <c r="AV1660" s="1173"/>
      <c r="AX1660" s="1173"/>
      <c r="AY1660" s="1176"/>
      <c r="AZ1660" s="1173"/>
    </row>
    <row r="1661" spans="1:52" s="2" customFormat="1" x14ac:dyDescent="0.25">
      <c r="A1661" s="670">
        <v>1537</v>
      </c>
      <c r="B1661" s="671">
        <v>40</v>
      </c>
      <c r="C1661" s="2147">
        <v>839218030</v>
      </c>
      <c r="D1661" s="701" t="s">
        <v>2174</v>
      </c>
      <c r="E1661" s="264" t="s">
        <v>2168</v>
      </c>
      <c r="F1661" s="175">
        <v>2018</v>
      </c>
      <c r="G1661" s="360" t="s">
        <v>1483</v>
      </c>
      <c r="H1661" s="580" t="str">
        <f t="shared" si="554"/>
        <v xml:space="preserve">   </v>
      </c>
      <c r="I1661" s="580" t="str">
        <f t="shared" si="555"/>
        <v xml:space="preserve">   </v>
      </c>
      <c r="J1661" s="1366">
        <v>2700000</v>
      </c>
      <c r="K1661" s="1360">
        <v>43311</v>
      </c>
      <c r="L1661" s="1363">
        <v>3750000</v>
      </c>
      <c r="M1661" s="1360">
        <v>43311</v>
      </c>
      <c r="N1661" s="1363">
        <v>3750000</v>
      </c>
      <c r="O1661" s="1367">
        <v>43481</v>
      </c>
      <c r="P1661" s="1714">
        <v>3750000</v>
      </c>
      <c r="Q1661" s="1367">
        <v>43640.646967592598</v>
      </c>
      <c r="R1661" s="1731">
        <v>3750000</v>
      </c>
      <c r="S1661" s="1367">
        <v>43859.496724536999</v>
      </c>
      <c r="T1661" s="1731">
        <v>3750000</v>
      </c>
      <c r="U1661" s="1367">
        <v>44071.393287036997</v>
      </c>
      <c r="V1661" s="1363"/>
      <c r="W1661" s="1391"/>
      <c r="X1661" s="1363"/>
      <c r="Y1661" s="1391"/>
      <c r="Z1661" s="1363"/>
      <c r="AA1661" s="1391"/>
      <c r="AB1661" s="1731"/>
      <c r="AC1661" s="1367"/>
      <c r="AD1661" s="1666"/>
      <c r="AE1661" s="1590"/>
      <c r="AF1661" s="1666"/>
      <c r="AG1661" s="1590"/>
      <c r="AH1661" s="1625" t="str">
        <f t="shared" si="562"/>
        <v>ES-3C</v>
      </c>
      <c r="AI1661" s="1675">
        <f t="shared" si="556"/>
        <v>21450000</v>
      </c>
      <c r="AJ1661" s="1675">
        <f t="shared" si="563"/>
        <v>21450000</v>
      </c>
      <c r="AK1661" s="1520">
        <f t="shared" si="560"/>
        <v>0</v>
      </c>
      <c r="AL1661" s="2187" t="str">
        <f t="shared" si="561"/>
        <v>Lunas</v>
      </c>
      <c r="AM1661" s="1666"/>
      <c r="AN1661" s="1590"/>
      <c r="AO1661"/>
      <c r="AP1661"/>
      <c r="AQ1661" s="1128"/>
      <c r="AR1661" s="1173"/>
      <c r="AT1661" s="1173"/>
      <c r="AV1661" s="1173"/>
      <c r="AX1661" s="1173"/>
      <c r="AY1661" s="1176"/>
      <c r="AZ1661" s="1173"/>
    </row>
    <row r="1662" spans="1:52" s="2" customFormat="1" x14ac:dyDescent="0.25">
      <c r="A1662" s="670">
        <v>1538</v>
      </c>
      <c r="B1662" s="2193">
        <v>32</v>
      </c>
      <c r="C1662" s="2147">
        <v>839218032</v>
      </c>
      <c r="D1662" s="2194" t="s">
        <v>2175</v>
      </c>
      <c r="E1662" s="179" t="s">
        <v>2149</v>
      </c>
      <c r="F1662" s="161">
        <v>2018</v>
      </c>
      <c r="G1662" s="272" t="s">
        <v>33</v>
      </c>
      <c r="H1662" s="628">
        <f t="shared" si="554"/>
        <v>44054</v>
      </c>
      <c r="I1662" s="580">
        <f t="shared" si="555"/>
        <v>44168</v>
      </c>
      <c r="J1662" s="1364">
        <v>2700000</v>
      </c>
      <c r="K1662" s="1365">
        <v>43314</v>
      </c>
      <c r="L1662" s="1358">
        <v>3750000</v>
      </c>
      <c r="M1662" s="1365">
        <v>43314</v>
      </c>
      <c r="N1662" s="1358">
        <v>3750000</v>
      </c>
      <c r="O1662" s="1357">
        <v>43482</v>
      </c>
      <c r="P1662" s="1385">
        <v>3750000</v>
      </c>
      <c r="Q1662" s="1357">
        <v>43640.512303240699</v>
      </c>
      <c r="R1662" s="1874">
        <v>3750000</v>
      </c>
      <c r="S1662" s="1357">
        <v>43858.566990740699</v>
      </c>
      <c r="T1662" s="1714"/>
      <c r="U1662" s="1391"/>
      <c r="V1662" s="1363"/>
      <c r="W1662" s="1391"/>
      <c r="X1662" s="1363"/>
      <c r="Y1662" s="1391"/>
      <c r="Z1662" s="1363"/>
      <c r="AA1662" s="1391"/>
      <c r="AB1662" s="1874">
        <v>0</v>
      </c>
      <c r="AC1662" s="1357"/>
      <c r="AD1662" s="1809">
        <v>0</v>
      </c>
      <c r="AE1662" s="1440"/>
      <c r="AF1662" s="1809">
        <v>0</v>
      </c>
      <c r="AG1662" s="1440"/>
      <c r="AH1662" s="1625" t="str">
        <f t="shared" si="562"/>
        <v>ES-3B</v>
      </c>
      <c r="AI1662" s="1675">
        <f t="shared" si="556"/>
        <v>18200000</v>
      </c>
      <c r="AJ1662" s="1675">
        <f t="shared" si="563"/>
        <v>22000000</v>
      </c>
      <c r="AK1662" s="1520">
        <f t="shared" si="560"/>
        <v>3800000</v>
      </c>
      <c r="AL1662" s="2187" t="str">
        <f t="shared" si="561"/>
        <v>Cek</v>
      </c>
      <c r="AM1662" s="1666">
        <v>500000</v>
      </c>
      <c r="AN1662" s="1590">
        <v>44074</v>
      </c>
      <c r="AO1662"/>
      <c r="AP1662"/>
      <c r="AQ1662" s="1128"/>
      <c r="AR1662" s="1173"/>
      <c r="AT1662" s="1173"/>
      <c r="AV1662" s="1173"/>
      <c r="AX1662" s="1173"/>
      <c r="AY1662" s="1176"/>
      <c r="AZ1662" s="1173"/>
    </row>
    <row r="1663" spans="1:52" s="2" customFormat="1" x14ac:dyDescent="0.25">
      <c r="A1663" s="670">
        <v>1539</v>
      </c>
      <c r="B1663" s="671">
        <v>42</v>
      </c>
      <c r="C1663" s="2147">
        <v>839218033</v>
      </c>
      <c r="D1663" s="701" t="s">
        <v>2176</v>
      </c>
      <c r="E1663" s="264" t="s">
        <v>2168</v>
      </c>
      <c r="F1663" s="175">
        <v>2018</v>
      </c>
      <c r="G1663" s="360" t="s">
        <v>1483</v>
      </c>
      <c r="H1663" s="580" t="str">
        <f t="shared" si="554"/>
        <v xml:space="preserve">   </v>
      </c>
      <c r="I1663" s="580" t="str">
        <f t="shared" si="555"/>
        <v xml:space="preserve">   </v>
      </c>
      <c r="J1663" s="1366">
        <v>2700000</v>
      </c>
      <c r="K1663" s="1360">
        <v>43314</v>
      </c>
      <c r="L1663" s="1363">
        <v>3750000</v>
      </c>
      <c r="M1663" s="1360">
        <v>43314</v>
      </c>
      <c r="N1663" s="1363">
        <v>3750000</v>
      </c>
      <c r="O1663" s="1367">
        <v>43481</v>
      </c>
      <c r="P1663" s="1714">
        <v>3750000</v>
      </c>
      <c r="Q1663" s="1367">
        <v>43643.427974537</v>
      </c>
      <c r="R1663" s="1731">
        <v>3750000</v>
      </c>
      <c r="S1663" s="1367">
        <v>43860.570023148102</v>
      </c>
      <c r="T1663" s="1731">
        <v>3750000</v>
      </c>
      <c r="U1663" s="1367">
        <v>44056.376469907402</v>
      </c>
      <c r="V1663" s="1363"/>
      <c r="W1663" s="1391"/>
      <c r="X1663" s="1363"/>
      <c r="Y1663" s="1391"/>
      <c r="Z1663" s="1363"/>
      <c r="AA1663" s="1391"/>
      <c r="AB1663" s="1731"/>
      <c r="AC1663" s="1367"/>
      <c r="AD1663" s="1666"/>
      <c r="AE1663" s="1590"/>
      <c r="AF1663" s="1666"/>
      <c r="AG1663" s="1590"/>
      <c r="AH1663" s="1625" t="str">
        <f t="shared" si="562"/>
        <v>ES-3C</v>
      </c>
      <c r="AI1663" s="1675">
        <f t="shared" si="556"/>
        <v>21450000</v>
      </c>
      <c r="AJ1663" s="1675">
        <f t="shared" si="563"/>
        <v>21450000</v>
      </c>
      <c r="AK1663" s="1520">
        <f t="shared" si="560"/>
        <v>0</v>
      </c>
      <c r="AL1663" s="2187" t="str">
        <f t="shared" si="561"/>
        <v>Lunas</v>
      </c>
      <c r="AM1663" s="1666"/>
      <c r="AN1663" s="1590"/>
      <c r="AO1663"/>
      <c r="AP1663"/>
      <c r="AQ1663" s="1128"/>
      <c r="AR1663" s="1173"/>
      <c r="AT1663" s="1173"/>
      <c r="AV1663" s="1173"/>
      <c r="AX1663" s="1173"/>
      <c r="AY1663" s="1176"/>
      <c r="AZ1663" s="1173"/>
    </row>
    <row r="1664" spans="1:52" s="2" customFormat="1" x14ac:dyDescent="0.25">
      <c r="A1664" s="670">
        <v>1540</v>
      </c>
      <c r="B1664" s="671">
        <v>43</v>
      </c>
      <c r="C1664" s="2147">
        <v>839218035</v>
      </c>
      <c r="D1664" s="701" t="s">
        <v>2177</v>
      </c>
      <c r="E1664" s="441" t="s">
        <v>2168</v>
      </c>
      <c r="F1664" s="175">
        <v>2018</v>
      </c>
      <c r="G1664" s="581" t="s">
        <v>1833</v>
      </c>
      <c r="H1664" s="580" t="str">
        <f t="shared" si="554"/>
        <v xml:space="preserve">   </v>
      </c>
      <c r="I1664" s="580" t="str">
        <f t="shared" si="555"/>
        <v xml:space="preserve">   </v>
      </c>
      <c r="J1664" s="1366">
        <v>2700000</v>
      </c>
      <c r="K1664" s="1360">
        <v>43312</v>
      </c>
      <c r="L1664" s="1363">
        <v>3750000</v>
      </c>
      <c r="M1664" s="1360">
        <v>43312</v>
      </c>
      <c r="N1664" s="1363">
        <v>3750000</v>
      </c>
      <c r="O1664" s="1367">
        <v>43483</v>
      </c>
      <c r="P1664" s="1714">
        <v>3750000</v>
      </c>
      <c r="Q1664" s="1367">
        <v>43640.3770717593</v>
      </c>
      <c r="R1664" s="1731">
        <v>3750000</v>
      </c>
      <c r="S1664" s="1367">
        <v>43861.579733796301</v>
      </c>
      <c r="T1664" s="1186" t="s">
        <v>1078</v>
      </c>
      <c r="U1664" s="1386">
        <v>44071</v>
      </c>
      <c r="V1664" s="1363"/>
      <c r="W1664" s="1391"/>
      <c r="X1664" s="1363"/>
      <c r="Y1664" s="1391"/>
      <c r="Z1664" s="1363"/>
      <c r="AA1664" s="1391"/>
      <c r="AB1664" s="1731"/>
      <c r="AC1664" s="1367"/>
      <c r="AD1664" s="1666"/>
      <c r="AE1664" s="1590"/>
      <c r="AF1664" s="1666"/>
      <c r="AG1664" s="1590"/>
      <c r="AH1664" s="1625" t="str">
        <f t="shared" si="562"/>
        <v>ES-3C</v>
      </c>
      <c r="AI1664" s="1675">
        <f t="shared" si="556"/>
        <v>17700000</v>
      </c>
      <c r="AJ1664" s="1675">
        <f t="shared" si="563"/>
        <v>17700000</v>
      </c>
      <c r="AK1664" s="1520">
        <f t="shared" si="560"/>
        <v>0</v>
      </c>
      <c r="AL1664" s="2187" t="str">
        <f t="shared" si="561"/>
        <v>Lunas</v>
      </c>
      <c r="AM1664" s="1666"/>
      <c r="AN1664" s="1590"/>
      <c r="AO1664"/>
      <c r="AP1664"/>
      <c r="AQ1664" s="1128"/>
      <c r="AR1664" s="1173"/>
      <c r="AT1664" s="1173"/>
      <c r="AV1664" s="1173"/>
      <c r="AX1664" s="1173"/>
      <c r="AY1664" s="1176"/>
      <c r="AZ1664" s="1173"/>
    </row>
    <row r="1665" spans="1:52" s="2" customFormat="1" x14ac:dyDescent="0.25">
      <c r="A1665" s="670">
        <v>1541</v>
      </c>
      <c r="B1665" s="671">
        <v>44</v>
      </c>
      <c r="C1665" s="2147">
        <v>839218036</v>
      </c>
      <c r="D1665" s="701" t="s">
        <v>2178</v>
      </c>
      <c r="E1665" s="441" t="s">
        <v>2168</v>
      </c>
      <c r="F1665" s="175">
        <v>2018</v>
      </c>
      <c r="G1665" s="360" t="s">
        <v>1483</v>
      </c>
      <c r="H1665" s="580" t="str">
        <f t="shared" si="554"/>
        <v xml:space="preserve">   </v>
      </c>
      <c r="I1665" s="580" t="str">
        <f t="shared" si="555"/>
        <v xml:space="preserve">   </v>
      </c>
      <c r="J1665" s="1366">
        <v>2700000</v>
      </c>
      <c r="K1665" s="1360">
        <v>43314</v>
      </c>
      <c r="L1665" s="1363">
        <v>3750000</v>
      </c>
      <c r="M1665" s="1360">
        <v>43314</v>
      </c>
      <c r="N1665" s="1363">
        <v>3750000</v>
      </c>
      <c r="O1665" s="1367">
        <v>43483</v>
      </c>
      <c r="P1665" s="1714">
        <v>3750000</v>
      </c>
      <c r="Q1665" s="1367">
        <v>43644.613032407397</v>
      </c>
      <c r="R1665" s="1731">
        <v>3750000</v>
      </c>
      <c r="S1665" s="1367">
        <v>43861.386296296303</v>
      </c>
      <c r="T1665" s="1731">
        <v>3750000</v>
      </c>
      <c r="U1665" s="1367">
        <v>44078.414710648103</v>
      </c>
      <c r="V1665" s="1363"/>
      <c r="W1665" s="1391"/>
      <c r="X1665" s="1363"/>
      <c r="Y1665" s="1391"/>
      <c r="Z1665" s="1363"/>
      <c r="AA1665" s="1391"/>
      <c r="AB1665" s="1731"/>
      <c r="AC1665" s="1367"/>
      <c r="AD1665" s="1666"/>
      <c r="AE1665" s="1590"/>
      <c r="AF1665" s="1666"/>
      <c r="AG1665" s="1590"/>
      <c r="AH1665" s="1625" t="str">
        <f t="shared" si="562"/>
        <v>ES-3C</v>
      </c>
      <c r="AI1665" s="1675">
        <f t="shared" si="556"/>
        <v>21450000</v>
      </c>
      <c r="AJ1665" s="1675">
        <f t="shared" si="563"/>
        <v>21450000</v>
      </c>
      <c r="AK1665" s="1520">
        <f t="shared" si="560"/>
        <v>0</v>
      </c>
      <c r="AL1665" s="2187" t="str">
        <f t="shared" si="561"/>
        <v>Lunas</v>
      </c>
      <c r="AM1665" s="1666"/>
      <c r="AN1665" s="1590"/>
      <c r="AO1665"/>
      <c r="AP1665"/>
      <c r="AQ1665" s="1128"/>
      <c r="AR1665" s="1173"/>
      <c r="AT1665" s="1173"/>
      <c r="AV1665" s="1173"/>
      <c r="AX1665" s="1173"/>
      <c r="AY1665" s="1176"/>
      <c r="AZ1665" s="1173"/>
    </row>
    <row r="1666" spans="1:52" s="2" customFormat="1" x14ac:dyDescent="0.25">
      <c r="A1666" s="670">
        <v>1542</v>
      </c>
      <c r="B1666" s="2193">
        <v>45</v>
      </c>
      <c r="C1666" s="2147">
        <v>839218041</v>
      </c>
      <c r="D1666" s="2194" t="s">
        <v>2179</v>
      </c>
      <c r="E1666" s="179" t="s">
        <v>2168</v>
      </c>
      <c r="F1666" s="161">
        <v>2018</v>
      </c>
      <c r="G1666" s="272" t="s">
        <v>33</v>
      </c>
      <c r="H1666" s="628">
        <f t="shared" si="554"/>
        <v>44036</v>
      </c>
      <c r="I1666" s="580">
        <f t="shared" si="555"/>
        <v>44186</v>
      </c>
      <c r="J1666" s="1364">
        <v>2700000</v>
      </c>
      <c r="K1666" s="1365">
        <v>43313</v>
      </c>
      <c r="L1666" s="1358">
        <v>3750000</v>
      </c>
      <c r="M1666" s="1365">
        <v>43313</v>
      </c>
      <c r="N1666" s="1358">
        <v>3750000</v>
      </c>
      <c r="O1666" s="1357">
        <v>43481</v>
      </c>
      <c r="P1666" s="1385">
        <v>3750000</v>
      </c>
      <c r="Q1666" s="1357">
        <v>43642.477650462999</v>
      </c>
      <c r="R1666" s="1874">
        <v>3750000</v>
      </c>
      <c r="S1666" s="1357">
        <v>43853.463576388902</v>
      </c>
      <c r="T1666" s="1714"/>
      <c r="U1666" s="1391"/>
      <c r="V1666" s="1363"/>
      <c r="W1666" s="1391"/>
      <c r="X1666" s="1363"/>
      <c r="Y1666" s="1391"/>
      <c r="Z1666" s="1363"/>
      <c r="AA1666" s="1391"/>
      <c r="AB1666" s="1874">
        <v>0</v>
      </c>
      <c r="AC1666" s="1357"/>
      <c r="AD1666" s="1809">
        <v>0</v>
      </c>
      <c r="AE1666" s="1440"/>
      <c r="AF1666" s="1809">
        <v>0</v>
      </c>
      <c r="AG1666" s="1440"/>
      <c r="AH1666" s="1625" t="str">
        <f t="shared" si="562"/>
        <v>ES-3C</v>
      </c>
      <c r="AI1666" s="1675">
        <f t="shared" si="556"/>
        <v>18200000</v>
      </c>
      <c r="AJ1666" s="1675">
        <f t="shared" si="563"/>
        <v>22000000</v>
      </c>
      <c r="AK1666" s="1520">
        <f t="shared" si="560"/>
        <v>3800000</v>
      </c>
      <c r="AL1666" s="2187" t="str">
        <f t="shared" si="561"/>
        <v>Cek</v>
      </c>
      <c r="AM1666" s="1666">
        <v>500000</v>
      </c>
      <c r="AN1666" s="1590">
        <v>44068.3539930556</v>
      </c>
      <c r="AO1666"/>
      <c r="AP1666"/>
      <c r="AQ1666" s="1128"/>
      <c r="AR1666" s="1173"/>
      <c r="AT1666" s="1173"/>
      <c r="AV1666" s="1173"/>
      <c r="AX1666" s="1173"/>
      <c r="AY1666" s="1176"/>
      <c r="AZ1666" s="1173"/>
    </row>
    <row r="1667" spans="1:52" s="2" customFormat="1" x14ac:dyDescent="0.25">
      <c r="A1667" s="670">
        <v>1543</v>
      </c>
      <c r="B1667" s="2193">
        <v>46</v>
      </c>
      <c r="C1667" s="2147">
        <v>839218043</v>
      </c>
      <c r="D1667" s="2194" t="s">
        <v>2180</v>
      </c>
      <c r="E1667" s="179" t="s">
        <v>2168</v>
      </c>
      <c r="F1667" s="161">
        <v>2018</v>
      </c>
      <c r="G1667" s="272" t="s">
        <v>33</v>
      </c>
      <c r="H1667" s="628">
        <f t="shared" si="554"/>
        <v>44014</v>
      </c>
      <c r="I1667" s="580">
        <f t="shared" si="555"/>
        <v>44168</v>
      </c>
      <c r="J1667" s="1364">
        <v>2700000</v>
      </c>
      <c r="K1667" s="1365">
        <v>43314</v>
      </c>
      <c r="L1667" s="1358">
        <v>3750000</v>
      </c>
      <c r="M1667" s="1365">
        <v>43314</v>
      </c>
      <c r="N1667" s="1358">
        <v>3750000</v>
      </c>
      <c r="O1667" s="1357">
        <v>43481</v>
      </c>
      <c r="P1667" s="1385">
        <v>3750000</v>
      </c>
      <c r="Q1667" s="1357">
        <v>43642.481249999997</v>
      </c>
      <c r="R1667" s="1874">
        <v>3750000</v>
      </c>
      <c r="S1667" s="1357">
        <v>43861.486111111102</v>
      </c>
      <c r="T1667" s="1714"/>
      <c r="U1667" s="1391"/>
      <c r="V1667" s="1363"/>
      <c r="W1667" s="1391"/>
      <c r="X1667" s="1363"/>
      <c r="Y1667" s="1391"/>
      <c r="Z1667" s="1363"/>
      <c r="AA1667" s="1391"/>
      <c r="AB1667" s="1874">
        <v>0</v>
      </c>
      <c r="AC1667" s="1357"/>
      <c r="AD1667" s="1809">
        <v>0</v>
      </c>
      <c r="AE1667" s="1440"/>
      <c r="AF1667" s="1809">
        <v>0</v>
      </c>
      <c r="AG1667" s="1440"/>
      <c r="AH1667" s="1625" t="str">
        <f t="shared" si="562"/>
        <v>ES-3C</v>
      </c>
      <c r="AI1667" s="1675">
        <f t="shared" si="556"/>
        <v>18200000</v>
      </c>
      <c r="AJ1667" s="1675">
        <f t="shared" si="563"/>
        <v>22000000</v>
      </c>
      <c r="AK1667" s="1520">
        <f t="shared" si="560"/>
        <v>3800000</v>
      </c>
      <c r="AL1667" s="2187" t="str">
        <f t="shared" si="561"/>
        <v>Cek</v>
      </c>
      <c r="AM1667" s="1666">
        <v>500000</v>
      </c>
      <c r="AN1667" s="1590">
        <v>44026</v>
      </c>
      <c r="AO1667"/>
      <c r="AP1667"/>
      <c r="AQ1667" s="1128"/>
      <c r="AR1667" s="1173"/>
      <c r="AT1667" s="1173"/>
      <c r="AV1667" s="1173"/>
      <c r="AX1667" s="1173"/>
      <c r="AY1667" s="1176"/>
      <c r="AZ1667" s="1173"/>
    </row>
    <row r="1668" spans="1:52" s="2" customFormat="1" x14ac:dyDescent="0.25">
      <c r="A1668" s="670">
        <v>1544</v>
      </c>
      <c r="B1668" s="671">
        <v>47</v>
      </c>
      <c r="C1668" s="2147">
        <v>839218044</v>
      </c>
      <c r="D1668" s="701" t="s">
        <v>2181</v>
      </c>
      <c r="E1668" s="441" t="s">
        <v>2168</v>
      </c>
      <c r="F1668" s="175">
        <v>2018</v>
      </c>
      <c r="G1668" s="360" t="s">
        <v>1483</v>
      </c>
      <c r="H1668" s="580" t="str">
        <f t="shared" si="554"/>
        <v xml:space="preserve">   </v>
      </c>
      <c r="I1668" s="580" t="str">
        <f t="shared" si="555"/>
        <v xml:space="preserve">   </v>
      </c>
      <c r="J1668" s="1366">
        <v>2700000</v>
      </c>
      <c r="K1668" s="1360">
        <v>43314</v>
      </c>
      <c r="L1668" s="1363">
        <v>3750000</v>
      </c>
      <c r="M1668" s="1360">
        <v>43314</v>
      </c>
      <c r="N1668" s="1363">
        <v>3750000</v>
      </c>
      <c r="O1668" s="1367">
        <v>43481</v>
      </c>
      <c r="P1668" s="1714">
        <v>3750000</v>
      </c>
      <c r="Q1668" s="1367">
        <v>43640.515243055597</v>
      </c>
      <c r="R1668" s="1731">
        <v>3750000</v>
      </c>
      <c r="S1668" s="1367">
        <v>43859.489988425899</v>
      </c>
      <c r="T1668" s="1731">
        <v>3750000</v>
      </c>
      <c r="U1668" s="1367">
        <v>44069.446192129602</v>
      </c>
      <c r="V1668" s="1363"/>
      <c r="W1668" s="1391"/>
      <c r="X1668" s="1363"/>
      <c r="Y1668" s="1391"/>
      <c r="Z1668" s="1363"/>
      <c r="AA1668" s="1391"/>
      <c r="AB1668" s="1731">
        <v>1000000</v>
      </c>
      <c r="AC1668" s="1367">
        <v>44153</v>
      </c>
      <c r="AD1668" s="1666"/>
      <c r="AE1668" s="1590"/>
      <c r="AF1668" s="1666"/>
      <c r="AG1668" s="1590"/>
      <c r="AH1668" s="1625" t="str">
        <f t="shared" si="562"/>
        <v>ES-3C</v>
      </c>
      <c r="AI1668" s="1675">
        <f t="shared" si="556"/>
        <v>22450000</v>
      </c>
      <c r="AJ1668" s="1675">
        <f t="shared" si="563"/>
        <v>22450000</v>
      </c>
      <c r="AK1668" s="1520">
        <f t="shared" si="560"/>
        <v>0</v>
      </c>
      <c r="AL1668" s="2187" t="str">
        <f t="shared" si="561"/>
        <v>Lunas</v>
      </c>
      <c r="AM1668" s="1666"/>
      <c r="AN1668" s="1590"/>
      <c r="AO1668"/>
      <c r="AP1668"/>
      <c r="AQ1668" s="1128"/>
      <c r="AR1668" s="1173"/>
      <c r="AT1668" s="1173"/>
      <c r="AV1668" s="1173"/>
      <c r="AX1668" s="1173"/>
      <c r="AY1668" s="1176"/>
      <c r="AZ1668" s="1173"/>
    </row>
    <row r="1669" spans="1:52" s="2" customFormat="1" x14ac:dyDescent="0.25">
      <c r="A1669" s="670">
        <v>1545</v>
      </c>
      <c r="B1669" s="671">
        <v>48</v>
      </c>
      <c r="C1669" s="2147">
        <v>839218045</v>
      </c>
      <c r="D1669" s="701" t="s">
        <v>2182</v>
      </c>
      <c r="E1669" s="441" t="s">
        <v>2168</v>
      </c>
      <c r="F1669" s="175">
        <v>2018</v>
      </c>
      <c r="G1669" s="360" t="s">
        <v>1483</v>
      </c>
      <c r="H1669" s="580" t="str">
        <f t="shared" si="554"/>
        <v xml:space="preserve">   </v>
      </c>
      <c r="I1669" s="580" t="str">
        <f t="shared" si="555"/>
        <v xml:space="preserve">   </v>
      </c>
      <c r="J1669" s="1366">
        <v>2700000</v>
      </c>
      <c r="K1669" s="1360">
        <v>43314</v>
      </c>
      <c r="L1669" s="1363">
        <v>3750000</v>
      </c>
      <c r="M1669" s="1360">
        <v>43314</v>
      </c>
      <c r="N1669" s="1363">
        <v>3750000</v>
      </c>
      <c r="O1669" s="1367">
        <v>43481</v>
      </c>
      <c r="P1669" s="1714">
        <v>3750000</v>
      </c>
      <c r="Q1669" s="1367">
        <v>43641.452349537001</v>
      </c>
      <c r="R1669" s="1731">
        <v>3750000</v>
      </c>
      <c r="S1669" s="1367">
        <v>43852.593287037002</v>
      </c>
      <c r="T1669" s="1731">
        <v>3750000</v>
      </c>
      <c r="U1669" s="1367">
        <v>44067.583124999997</v>
      </c>
      <c r="V1669" s="1363"/>
      <c r="W1669" s="1391"/>
      <c r="X1669" s="1363"/>
      <c r="Y1669" s="1391"/>
      <c r="Z1669" s="1363"/>
      <c r="AA1669" s="1391"/>
      <c r="AB1669" s="1731"/>
      <c r="AC1669" s="1367"/>
      <c r="AD1669" s="1666"/>
      <c r="AE1669" s="1590"/>
      <c r="AF1669" s="1666"/>
      <c r="AG1669" s="1590"/>
      <c r="AH1669" s="1625" t="str">
        <f t="shared" si="562"/>
        <v>ES-3C</v>
      </c>
      <c r="AI1669" s="1675">
        <f t="shared" si="556"/>
        <v>21450000</v>
      </c>
      <c r="AJ1669" s="1675">
        <f t="shared" si="563"/>
        <v>21450000</v>
      </c>
      <c r="AK1669" s="1520">
        <f t="shared" si="560"/>
        <v>0</v>
      </c>
      <c r="AL1669" s="2187" t="str">
        <f t="shared" si="561"/>
        <v>Lunas</v>
      </c>
      <c r="AM1669" s="1666"/>
      <c r="AN1669" s="1590"/>
      <c r="AO1669"/>
      <c r="AP1669"/>
      <c r="AQ1669" s="1128"/>
      <c r="AR1669" s="1173"/>
      <c r="AT1669" s="1173"/>
      <c r="AV1669" s="1173"/>
      <c r="AX1669" s="1173"/>
      <c r="AY1669" s="1176"/>
      <c r="AZ1669" s="1173"/>
    </row>
    <row r="1670" spans="1:52" s="2" customFormat="1" x14ac:dyDescent="0.25">
      <c r="A1670" s="670">
        <v>1546</v>
      </c>
      <c r="B1670" s="671">
        <v>49</v>
      </c>
      <c r="C1670" s="2147">
        <v>839218046</v>
      </c>
      <c r="D1670" s="701" t="s">
        <v>2183</v>
      </c>
      <c r="E1670" s="441" t="s">
        <v>2168</v>
      </c>
      <c r="F1670" s="175">
        <v>2018</v>
      </c>
      <c r="G1670" s="360" t="s">
        <v>1483</v>
      </c>
      <c r="H1670" s="580" t="str">
        <f t="shared" si="554"/>
        <v xml:space="preserve">   </v>
      </c>
      <c r="I1670" s="580" t="str">
        <f t="shared" si="555"/>
        <v xml:space="preserve">   </v>
      </c>
      <c r="J1670" s="1366">
        <v>2700000</v>
      </c>
      <c r="K1670" s="1360">
        <v>43314</v>
      </c>
      <c r="L1670" s="1363">
        <v>3750000</v>
      </c>
      <c r="M1670" s="1360">
        <v>43314</v>
      </c>
      <c r="N1670" s="1363">
        <v>3750000</v>
      </c>
      <c r="O1670" s="1367">
        <v>43483</v>
      </c>
      <c r="P1670" s="1714">
        <v>3750000</v>
      </c>
      <c r="Q1670" s="1367">
        <v>43643.628692129598</v>
      </c>
      <c r="R1670" s="1731">
        <v>3750000</v>
      </c>
      <c r="S1670" s="1367">
        <v>43858.475717592599</v>
      </c>
      <c r="T1670" s="1731">
        <v>3750000</v>
      </c>
      <c r="U1670" s="1367">
        <v>44071.366851851897</v>
      </c>
      <c r="V1670" s="1363"/>
      <c r="W1670" s="1391"/>
      <c r="X1670" s="1363"/>
      <c r="Y1670" s="1391"/>
      <c r="Z1670" s="1363"/>
      <c r="AA1670" s="1391"/>
      <c r="AB1670" s="1731"/>
      <c r="AC1670" s="1367"/>
      <c r="AD1670" s="1666"/>
      <c r="AE1670" s="1590"/>
      <c r="AF1670" s="1666"/>
      <c r="AG1670" s="1590"/>
      <c r="AH1670" s="1625" t="str">
        <f t="shared" si="562"/>
        <v>ES-3C</v>
      </c>
      <c r="AI1670" s="1675">
        <f t="shared" si="556"/>
        <v>21450000</v>
      </c>
      <c r="AJ1670" s="1675">
        <f t="shared" si="563"/>
        <v>21450000</v>
      </c>
      <c r="AK1670" s="1520">
        <f t="shared" si="560"/>
        <v>0</v>
      </c>
      <c r="AL1670" s="2187" t="str">
        <f t="shared" si="561"/>
        <v>Lunas</v>
      </c>
      <c r="AM1670" s="1666"/>
      <c r="AN1670" s="1590"/>
      <c r="AO1670"/>
      <c r="AP1670"/>
      <c r="AQ1670" s="1128"/>
      <c r="AR1670" s="1173"/>
      <c r="AT1670" s="1173"/>
      <c r="AV1670" s="1173"/>
      <c r="AX1670" s="1173"/>
      <c r="AY1670" s="1176"/>
      <c r="AZ1670" s="1173"/>
    </row>
    <row r="1671" spans="1:52" s="2" customFormat="1" x14ac:dyDescent="0.25">
      <c r="A1671" s="670">
        <v>1547</v>
      </c>
      <c r="B1671" s="671">
        <v>50</v>
      </c>
      <c r="C1671" s="2147">
        <v>839218047</v>
      </c>
      <c r="D1671" s="701" t="s">
        <v>2184</v>
      </c>
      <c r="E1671" s="441" t="s">
        <v>2168</v>
      </c>
      <c r="F1671" s="175">
        <v>2018</v>
      </c>
      <c r="G1671" s="581" t="s">
        <v>1833</v>
      </c>
      <c r="H1671" s="580" t="str">
        <f t="shared" si="554"/>
        <v xml:space="preserve">   </v>
      </c>
      <c r="I1671" s="580" t="str">
        <f t="shared" si="555"/>
        <v xml:space="preserve">   </v>
      </c>
      <c r="J1671" s="1366">
        <v>2700000</v>
      </c>
      <c r="K1671" s="1360">
        <v>43314</v>
      </c>
      <c r="L1671" s="1363">
        <v>3750000</v>
      </c>
      <c r="M1671" s="1360">
        <v>43314</v>
      </c>
      <c r="N1671" s="1363">
        <v>3750000</v>
      </c>
      <c r="O1671" s="1367">
        <v>43479</v>
      </c>
      <c r="P1671" s="1714">
        <v>3750000</v>
      </c>
      <c r="Q1671" s="1367">
        <v>43640.618344907401</v>
      </c>
      <c r="R1671" s="1731">
        <v>3750000</v>
      </c>
      <c r="S1671" s="1367">
        <v>43854.513171296298</v>
      </c>
      <c r="T1671" s="1186" t="s">
        <v>1078</v>
      </c>
      <c r="U1671" s="1386">
        <v>44071</v>
      </c>
      <c r="V1671" s="1363"/>
      <c r="W1671" s="1391"/>
      <c r="X1671" s="1363"/>
      <c r="Y1671" s="1391"/>
      <c r="Z1671" s="1363"/>
      <c r="AA1671" s="1391"/>
      <c r="AB1671" s="1731"/>
      <c r="AC1671" s="1367"/>
      <c r="AD1671" s="1666"/>
      <c r="AE1671" s="1590"/>
      <c r="AF1671" s="1666"/>
      <c r="AG1671" s="1590"/>
      <c r="AH1671" s="1625" t="str">
        <f t="shared" si="562"/>
        <v>ES-3C</v>
      </c>
      <c r="AI1671" s="1675">
        <f t="shared" si="556"/>
        <v>17700000</v>
      </c>
      <c r="AJ1671" s="1675">
        <f t="shared" si="563"/>
        <v>17700000</v>
      </c>
      <c r="AK1671" s="1520">
        <f t="shared" si="560"/>
        <v>0</v>
      </c>
      <c r="AL1671" s="2187" t="str">
        <f t="shared" si="561"/>
        <v>Lunas</v>
      </c>
      <c r="AM1671" s="1666"/>
      <c r="AN1671" s="1590"/>
      <c r="AO1671"/>
      <c r="AP1671"/>
      <c r="AQ1671" s="1128"/>
      <c r="AR1671" s="1173"/>
      <c r="AT1671" s="1173"/>
      <c r="AV1671" s="1173"/>
      <c r="AX1671" s="1173"/>
      <c r="AY1671" s="1176"/>
      <c r="AZ1671" s="1173"/>
    </row>
    <row r="1672" spans="1:52" s="2" customFormat="1" x14ac:dyDescent="0.25">
      <c r="A1672" s="670">
        <v>1548</v>
      </c>
      <c r="B1672" s="671">
        <v>51</v>
      </c>
      <c r="C1672" s="2147">
        <v>839218048</v>
      </c>
      <c r="D1672" s="701" t="s">
        <v>2185</v>
      </c>
      <c r="E1672" s="441" t="s">
        <v>2168</v>
      </c>
      <c r="F1672" s="175">
        <v>2018</v>
      </c>
      <c r="G1672" s="581" t="s">
        <v>1833</v>
      </c>
      <c r="H1672" s="580" t="str">
        <f t="shared" si="554"/>
        <v xml:space="preserve">   </v>
      </c>
      <c r="I1672" s="580" t="str">
        <f t="shared" si="555"/>
        <v xml:space="preserve">   </v>
      </c>
      <c r="J1672" s="1366">
        <v>2700000</v>
      </c>
      <c r="K1672" s="1360">
        <v>43314</v>
      </c>
      <c r="L1672" s="1363">
        <v>3750000</v>
      </c>
      <c r="M1672" s="1360">
        <v>43314</v>
      </c>
      <c r="N1672" s="1363">
        <v>3750000</v>
      </c>
      <c r="O1672" s="1367">
        <v>43479</v>
      </c>
      <c r="P1672" s="1714">
        <v>3750000</v>
      </c>
      <c r="Q1672" s="1367">
        <v>43640.617384259298</v>
      </c>
      <c r="R1672" s="1731">
        <v>3750000</v>
      </c>
      <c r="S1672" s="1367">
        <v>43854.511643518497</v>
      </c>
      <c r="T1672" s="1186" t="s">
        <v>1078</v>
      </c>
      <c r="U1672" s="1386">
        <v>44071</v>
      </c>
      <c r="V1672" s="1363"/>
      <c r="W1672" s="1391"/>
      <c r="X1672" s="1363"/>
      <c r="Y1672" s="1391"/>
      <c r="Z1672" s="1363"/>
      <c r="AA1672" s="1391"/>
      <c r="AB1672" s="1731"/>
      <c r="AC1672" s="1367"/>
      <c r="AD1672" s="1666"/>
      <c r="AE1672" s="1590"/>
      <c r="AF1672" s="1666"/>
      <c r="AG1672" s="1590"/>
      <c r="AH1672" s="1625" t="str">
        <f t="shared" si="562"/>
        <v>ES-3C</v>
      </c>
      <c r="AI1672" s="1675">
        <f t="shared" si="556"/>
        <v>17700000</v>
      </c>
      <c r="AJ1672" s="1675">
        <f t="shared" si="563"/>
        <v>17700000</v>
      </c>
      <c r="AK1672" s="1520">
        <f t="shared" si="560"/>
        <v>0</v>
      </c>
      <c r="AL1672" s="2187" t="str">
        <f t="shared" si="561"/>
        <v>Lunas</v>
      </c>
      <c r="AM1672" s="1666"/>
      <c r="AN1672" s="1590"/>
      <c r="AO1672"/>
      <c r="AP1672"/>
      <c r="AQ1672" s="1128"/>
      <c r="AR1672" s="1173"/>
      <c r="AT1672" s="1173"/>
      <c r="AV1672" s="1173"/>
      <c r="AX1672" s="1173"/>
      <c r="AY1672" s="1176"/>
      <c r="AZ1672" s="1173"/>
    </row>
    <row r="1673" spans="1:52" s="2" customFormat="1" x14ac:dyDescent="0.25">
      <c r="A1673" s="670">
        <v>1549</v>
      </c>
      <c r="B1673" s="678">
        <v>52</v>
      </c>
      <c r="C1673" s="2195">
        <v>839218049</v>
      </c>
      <c r="D1673" s="704" t="s">
        <v>2186</v>
      </c>
      <c r="E1673" s="489" t="s">
        <v>2168</v>
      </c>
      <c r="F1673" s="221">
        <v>2018</v>
      </c>
      <c r="G1673" s="581" t="s">
        <v>1833</v>
      </c>
      <c r="H1673" s="646" t="str">
        <f t="shared" si="554"/>
        <v xml:space="preserve">   </v>
      </c>
      <c r="I1673" s="646" t="str">
        <f t="shared" si="555"/>
        <v xml:space="preserve">   </v>
      </c>
      <c r="J1673" s="1444">
        <v>2700000</v>
      </c>
      <c r="K1673" s="1557">
        <v>43314</v>
      </c>
      <c r="L1673" s="1446">
        <v>3750000</v>
      </c>
      <c r="M1673" s="1557">
        <v>43314</v>
      </c>
      <c r="N1673" s="1446">
        <v>3750000</v>
      </c>
      <c r="O1673" s="1445">
        <v>43479</v>
      </c>
      <c r="P1673" s="1724">
        <v>3750000</v>
      </c>
      <c r="Q1673" s="1445">
        <v>43640.618067129602</v>
      </c>
      <c r="R1673" s="1893">
        <v>3750000</v>
      </c>
      <c r="S1673" s="1445">
        <v>43854.510034722203</v>
      </c>
      <c r="T1673" s="1186" t="s">
        <v>1078</v>
      </c>
      <c r="U1673" s="1386">
        <v>44071</v>
      </c>
      <c r="V1673" s="1446"/>
      <c r="W1673" s="1944"/>
      <c r="X1673" s="1446"/>
      <c r="Y1673" s="1944"/>
      <c r="Z1673" s="1446"/>
      <c r="AA1673" s="1944"/>
      <c r="AB1673" s="1731"/>
      <c r="AC1673" s="1367"/>
      <c r="AD1673" s="1666"/>
      <c r="AE1673" s="1590"/>
      <c r="AF1673" s="1666"/>
      <c r="AG1673" s="1590"/>
      <c r="AH1673" s="1626" t="str">
        <f t="shared" si="562"/>
        <v>ES-3C</v>
      </c>
      <c r="AI1673" s="1675">
        <f t="shared" si="556"/>
        <v>17700000</v>
      </c>
      <c r="AJ1673" s="1675">
        <f t="shared" si="563"/>
        <v>17700000</v>
      </c>
      <c r="AK1673" s="1520">
        <f t="shared" si="560"/>
        <v>0</v>
      </c>
      <c r="AL1673" s="2187" t="str">
        <f t="shared" si="561"/>
        <v>Lunas</v>
      </c>
      <c r="AM1673" s="1666"/>
      <c r="AN1673" s="1590"/>
      <c r="AO1673"/>
      <c r="AP1673"/>
      <c r="AQ1673" s="1128"/>
      <c r="AR1673" s="1173"/>
      <c r="AT1673" s="1173"/>
      <c r="AV1673" s="1173"/>
      <c r="AX1673" s="1173"/>
      <c r="AY1673" s="1176"/>
      <c r="AZ1673" s="1173"/>
    </row>
    <row r="1674" spans="1:52" s="2" customFormat="1" x14ac:dyDescent="0.25">
      <c r="A1674" s="670">
        <v>1550</v>
      </c>
      <c r="B1674" s="671">
        <v>53</v>
      </c>
      <c r="C1674" s="2200">
        <v>839218054</v>
      </c>
      <c r="D1674" s="710" t="s">
        <v>2187</v>
      </c>
      <c r="E1674" s="441" t="s">
        <v>2168</v>
      </c>
      <c r="F1674" s="175">
        <v>2018</v>
      </c>
      <c r="G1674" s="1758" t="s">
        <v>28</v>
      </c>
      <c r="H1674" s="580" t="str">
        <f t="shared" si="554"/>
        <v xml:space="preserve">   </v>
      </c>
      <c r="I1674" s="580" t="str">
        <f t="shared" si="555"/>
        <v xml:space="preserve">   </v>
      </c>
      <c r="J1674" s="1366"/>
      <c r="K1674" s="1360" t="s">
        <v>2065</v>
      </c>
      <c r="L1674" s="1363">
        <v>3750000</v>
      </c>
      <c r="M1674" s="1360">
        <v>43852.5409490741</v>
      </c>
      <c r="N1674" s="1363">
        <v>3750000</v>
      </c>
      <c r="O1674" s="1360">
        <v>43852.5409490741</v>
      </c>
      <c r="P1674" s="1714">
        <v>3750000</v>
      </c>
      <c r="Q1674" s="1360">
        <v>43852.5409490741</v>
      </c>
      <c r="R1674" s="1731">
        <v>0</v>
      </c>
      <c r="S1674" s="1367"/>
      <c r="T1674" s="1731">
        <v>0</v>
      </c>
      <c r="U1674" s="1367"/>
      <c r="V1674" s="1363" t="str">
        <f>IFERROR(VLOOKUP(C1674,BSP,3,FALSE),"  ")</f>
        <v xml:space="preserve">  </v>
      </c>
      <c r="W1674" s="1391" t="str">
        <f>IFERROR((VLOOKUP(C1674,BSP,4,FALSE)),"  ")</f>
        <v xml:space="preserve">  </v>
      </c>
      <c r="X1674" s="1363"/>
      <c r="Y1674" s="1391"/>
      <c r="Z1674" s="1363"/>
      <c r="AA1674" s="1391"/>
      <c r="AB1674" s="1731"/>
      <c r="AC1674" s="1367"/>
      <c r="AD1674" s="1666"/>
      <c r="AE1674" s="1590"/>
      <c r="AF1674" s="1666"/>
      <c r="AG1674" s="1590"/>
      <c r="AH1674" s="1625" t="str">
        <f t="shared" si="562"/>
        <v>ES-3C</v>
      </c>
      <c r="AI1674" s="1675">
        <f t="shared" si="556"/>
        <v>11250000</v>
      </c>
      <c r="AJ1674" s="1675">
        <f t="shared" si="563"/>
        <v>18750000</v>
      </c>
      <c r="AK1674" s="1520">
        <f t="shared" si="560"/>
        <v>7500000</v>
      </c>
      <c r="AL1674" s="2187" t="str">
        <f t="shared" si="561"/>
        <v>Cek</v>
      </c>
      <c r="AM1674" s="1666"/>
      <c r="AN1674" s="1590"/>
      <c r="AO1674"/>
      <c r="AP1674"/>
      <c r="AQ1674" s="1128"/>
      <c r="AR1674" s="1173"/>
      <c r="AT1674" s="1173"/>
      <c r="AV1674" s="1173"/>
      <c r="AX1674" s="1173"/>
      <c r="AY1674" s="1176"/>
      <c r="AZ1674" s="1173"/>
    </row>
    <row r="1675" spans="1:52" s="2" customFormat="1" x14ac:dyDescent="0.25">
      <c r="A1675" s="670">
        <v>1551</v>
      </c>
      <c r="B1675" s="671">
        <v>54</v>
      </c>
      <c r="C1675" s="2200">
        <v>839218055</v>
      </c>
      <c r="D1675" s="710" t="s">
        <v>2188</v>
      </c>
      <c r="E1675" s="441" t="s">
        <v>2168</v>
      </c>
      <c r="F1675" s="175">
        <v>2018</v>
      </c>
      <c r="G1675" s="1758" t="s">
        <v>28</v>
      </c>
      <c r="H1675" s="580" t="str">
        <f t="shared" ref="H1675:H1738" si="564">IFERROR(VLOOKUP(C1675,Tlus,3,FALSE),"   ")</f>
        <v xml:space="preserve">   </v>
      </c>
      <c r="I1675" s="580" t="str">
        <f t="shared" ref="I1675:I1738" si="565">IFERROR(VLOOKUP(C1675,Wis,4,FALSE),"   ")</f>
        <v xml:space="preserve">   </v>
      </c>
      <c r="J1675" s="1366"/>
      <c r="K1675" s="1360" t="s">
        <v>2065</v>
      </c>
      <c r="L1675" s="1363">
        <v>3750000</v>
      </c>
      <c r="M1675" s="1360">
        <v>43852.538599537002</v>
      </c>
      <c r="N1675" s="1363">
        <v>3750000</v>
      </c>
      <c r="O1675" s="1360">
        <v>43852.538599537002</v>
      </c>
      <c r="P1675" s="1714">
        <v>3750000</v>
      </c>
      <c r="Q1675" s="1360">
        <v>43852.538599537002</v>
      </c>
      <c r="R1675" s="1731">
        <v>3750000</v>
      </c>
      <c r="S1675" s="1367">
        <v>43861</v>
      </c>
      <c r="T1675" s="1731">
        <v>0</v>
      </c>
      <c r="U1675" s="1367"/>
      <c r="V1675" s="1363" t="str">
        <f>IFERROR(VLOOKUP(C1675,BSP,3,FALSE),"  ")</f>
        <v xml:space="preserve">  </v>
      </c>
      <c r="W1675" s="1391" t="str">
        <f>IFERROR((VLOOKUP(C1675,BSP,4,FALSE)),"  ")</f>
        <v xml:space="preserve">  </v>
      </c>
      <c r="X1675" s="1363"/>
      <c r="Y1675" s="1391"/>
      <c r="Z1675" s="1363"/>
      <c r="AA1675" s="1391"/>
      <c r="AB1675" s="1731"/>
      <c r="AC1675" s="1367"/>
      <c r="AD1675" s="1666"/>
      <c r="AE1675" s="1590"/>
      <c r="AF1675" s="1666"/>
      <c r="AG1675" s="1590"/>
      <c r="AH1675" s="1625" t="str">
        <f t="shared" si="562"/>
        <v>ES-3C</v>
      </c>
      <c r="AI1675" s="1675">
        <f t="shared" si="556"/>
        <v>15000000</v>
      </c>
      <c r="AJ1675" s="1675">
        <f t="shared" si="563"/>
        <v>18750000</v>
      </c>
      <c r="AK1675" s="1520">
        <f t="shared" si="560"/>
        <v>3750000</v>
      </c>
      <c r="AL1675" s="2187" t="str">
        <f t="shared" si="561"/>
        <v>Cek</v>
      </c>
      <c r="AM1675" s="1666"/>
      <c r="AN1675" s="1590"/>
      <c r="AO1675"/>
      <c r="AP1675"/>
      <c r="AQ1675" s="1128"/>
      <c r="AR1675" s="1173"/>
      <c r="AT1675" s="1173"/>
      <c r="AV1675" s="1173"/>
      <c r="AX1675" s="1173"/>
      <c r="AY1675" s="1176"/>
      <c r="AZ1675" s="1173"/>
    </row>
    <row r="1676" spans="1:52" s="2" customFormat="1" x14ac:dyDescent="0.25">
      <c r="A1676" s="434"/>
      <c r="B1676" s="434"/>
      <c r="C1676" s="2201"/>
      <c r="D1676" s="437"/>
      <c r="E1676" s="437"/>
      <c r="F1676" s="438" t="s">
        <v>61</v>
      </c>
      <c r="G1676" s="192" t="s">
        <v>61</v>
      </c>
      <c r="H1676" s="438" t="str">
        <f t="shared" si="564"/>
        <v xml:space="preserve">   </v>
      </c>
      <c r="I1676" s="438" t="str">
        <f t="shared" si="565"/>
        <v xml:space="preserve">   </v>
      </c>
      <c r="J1676" s="438"/>
      <c r="K1676" s="438"/>
      <c r="L1676" s="438"/>
      <c r="M1676" s="438"/>
      <c r="N1676" s="438"/>
      <c r="O1676" s="438"/>
      <c r="P1676" s="438"/>
      <c r="Q1676" s="2204"/>
      <c r="R1676" s="438"/>
      <c r="S1676" s="2217"/>
      <c r="T1676" s="2206"/>
      <c r="U1676" s="438"/>
      <c r="V1676" s="2206"/>
      <c r="W1676" s="438"/>
      <c r="X1676" s="2206"/>
      <c r="Y1676" s="438"/>
      <c r="Z1676" s="2206"/>
      <c r="AA1676" s="438"/>
      <c r="AB1676" s="438"/>
      <c r="AC1676" s="2222"/>
      <c r="AD1676" s="438"/>
      <c r="AE1676" s="438"/>
      <c r="AF1676" s="438"/>
      <c r="AG1676" s="1155"/>
      <c r="AH1676" s="1627">
        <f t="shared" si="562"/>
        <v>0</v>
      </c>
      <c r="AI1676" s="1512"/>
      <c r="AJ1676" s="1409"/>
      <c r="AK1676" s="1409"/>
      <c r="AL1676" s="1513"/>
      <c r="AM1676"/>
      <c r="AN1676"/>
      <c r="AO1676"/>
      <c r="AP1676"/>
      <c r="AQ1676" s="1128"/>
      <c r="AR1676" s="1173"/>
      <c r="AT1676" s="1173"/>
      <c r="AV1676" s="1173"/>
      <c r="AX1676" s="1173"/>
      <c r="AY1676" s="1176"/>
      <c r="AZ1676" s="1173"/>
    </row>
    <row r="1677" spans="1:52" s="2" customFormat="1" x14ac:dyDescent="0.25">
      <c r="A1677" s="434"/>
      <c r="B1677" s="434"/>
      <c r="C1677" s="2201"/>
      <c r="D1677" s="437"/>
      <c r="E1677" s="437"/>
      <c r="F1677" s="438" t="s">
        <v>61</v>
      </c>
      <c r="G1677" s="192" t="s">
        <v>61</v>
      </c>
      <c r="H1677" s="438" t="str">
        <f t="shared" si="564"/>
        <v xml:space="preserve">   </v>
      </c>
      <c r="I1677" s="438" t="str">
        <f t="shared" si="565"/>
        <v xml:space="preserve">   </v>
      </c>
      <c r="J1677" s="438"/>
      <c r="K1677" s="438"/>
      <c r="L1677" s="438"/>
      <c r="M1677" s="438"/>
      <c r="N1677" s="438"/>
      <c r="O1677" s="438"/>
      <c r="P1677" s="438"/>
      <c r="Q1677" s="2204"/>
      <c r="R1677" s="438"/>
      <c r="S1677" s="2217"/>
      <c r="T1677" s="2206"/>
      <c r="U1677" s="438"/>
      <c r="V1677" s="2206"/>
      <c r="W1677" s="438"/>
      <c r="X1677" s="2206"/>
      <c r="Y1677" s="438"/>
      <c r="Z1677" s="2206"/>
      <c r="AA1677" s="438"/>
      <c r="AB1677" s="438"/>
      <c r="AC1677" s="2222"/>
      <c r="AD1677" s="438"/>
      <c r="AE1677" s="438"/>
      <c r="AF1677" s="438"/>
      <c r="AG1677" s="1155"/>
      <c r="AH1677" s="1627">
        <f t="shared" si="562"/>
        <v>0</v>
      </c>
      <c r="AI1677" s="1512"/>
      <c r="AJ1677" s="1409"/>
      <c r="AK1677" s="1409"/>
      <c r="AL1677" s="1513"/>
      <c r="AM1677"/>
      <c r="AN1677"/>
      <c r="AO1677"/>
      <c r="AP1677"/>
      <c r="AQ1677" s="1128"/>
      <c r="AR1677" s="1173"/>
      <c r="AT1677" s="1173"/>
      <c r="AV1677" s="1173"/>
      <c r="AX1677" s="1173"/>
      <c r="AY1677" s="1176"/>
      <c r="AZ1677" s="1173"/>
    </row>
    <row r="1678" spans="1:52" s="2" customFormat="1" x14ac:dyDescent="0.25">
      <c r="A1678" s="625" t="s">
        <v>2189</v>
      </c>
      <c r="B1678" s="625"/>
      <c r="C1678" s="366"/>
      <c r="D1678" s="625"/>
      <c r="E1678" s="198" t="s">
        <v>1096</v>
      </c>
      <c r="F1678" s="199" t="s">
        <v>1096</v>
      </c>
      <c r="G1678" s="565">
        <v>3750000</v>
      </c>
      <c r="H1678" s="147" t="str">
        <f t="shared" si="564"/>
        <v xml:space="preserve">   </v>
      </c>
      <c r="I1678" s="147" t="str">
        <f t="shared" si="565"/>
        <v xml:space="preserve">   </v>
      </c>
      <c r="J1678" s="2035">
        <v>2700000</v>
      </c>
      <c r="K1678" s="2036"/>
      <c r="L1678" s="2163" t="s">
        <v>1049</v>
      </c>
      <c r="M1678" s="2164" t="s">
        <v>1141</v>
      </c>
      <c r="N1678" s="2163" t="s">
        <v>1051</v>
      </c>
      <c r="O1678" s="2164" t="s">
        <v>1325</v>
      </c>
      <c r="P1678" s="2016" t="s">
        <v>1053</v>
      </c>
      <c r="Q1678" s="1438" t="s">
        <v>1463</v>
      </c>
      <c r="R1678" s="2016" t="s">
        <v>1055</v>
      </c>
      <c r="S1678" s="1438" t="s">
        <v>1464</v>
      </c>
      <c r="T1678" s="2016" t="s">
        <v>1057</v>
      </c>
      <c r="U1678" s="1438" t="s">
        <v>1466</v>
      </c>
      <c r="V1678" s="2016" t="s">
        <v>1059</v>
      </c>
      <c r="W1678" s="1438" t="s">
        <v>1468</v>
      </c>
      <c r="X1678" s="1582" t="s">
        <v>1061</v>
      </c>
      <c r="Y1678" s="1438" t="s">
        <v>1470</v>
      </c>
      <c r="Z1678" s="1582" t="s">
        <v>1063</v>
      </c>
      <c r="AA1678" s="1438" t="s">
        <v>1718</v>
      </c>
      <c r="AB1678" s="2177">
        <v>1000000</v>
      </c>
      <c r="AC1678" s="2178" t="s">
        <v>2015</v>
      </c>
      <c r="AD1678" s="1450">
        <v>1200000</v>
      </c>
      <c r="AE1678" s="1663" t="s">
        <v>2016</v>
      </c>
      <c r="AF1678" s="1450">
        <v>1600000</v>
      </c>
      <c r="AG1678" s="1663" t="s">
        <v>1326</v>
      </c>
      <c r="AH1678" s="1408" t="str">
        <f t="shared" si="562"/>
        <v>#</v>
      </c>
      <c r="AI1678" s="1512"/>
      <c r="AJ1678" s="1409"/>
      <c r="AK1678" s="1409"/>
      <c r="AL1678" s="1513"/>
      <c r="AM1678" s="1450">
        <v>500000</v>
      </c>
      <c r="AN1678" s="1663" t="s">
        <v>22</v>
      </c>
      <c r="AO1678"/>
      <c r="AP1678"/>
      <c r="AQ1678" s="1128"/>
      <c r="AR1678" s="1173"/>
      <c r="AT1678" s="1173"/>
      <c r="AV1678" s="1173"/>
      <c r="AX1678" s="1173"/>
      <c r="AY1678" s="1176"/>
      <c r="AZ1678" s="1173"/>
    </row>
    <row r="1679" spans="1:52" s="2" customFormat="1" x14ac:dyDescent="0.25">
      <c r="A1679" s="694">
        <v>1552</v>
      </c>
      <c r="B1679" s="695">
        <v>1</v>
      </c>
      <c r="C1679" s="2202">
        <v>849218001</v>
      </c>
      <c r="D1679" s="713" t="s">
        <v>2190</v>
      </c>
      <c r="E1679" s="698" t="s">
        <v>2191</v>
      </c>
      <c r="F1679" s="327">
        <v>2018</v>
      </c>
      <c r="G1679" s="360" t="s">
        <v>1483</v>
      </c>
      <c r="H1679" s="580" t="str">
        <f t="shared" si="564"/>
        <v xml:space="preserve">   </v>
      </c>
      <c r="I1679" s="580" t="str">
        <f t="shared" si="565"/>
        <v xml:space="preserve">   </v>
      </c>
      <c r="J1679" s="1780">
        <v>2700000</v>
      </c>
      <c r="K1679" s="1727">
        <v>43313</v>
      </c>
      <c r="L1679" s="1941">
        <v>3750000</v>
      </c>
      <c r="M1679" s="1727">
        <v>43313</v>
      </c>
      <c r="N1679" s="1186" t="s">
        <v>1078</v>
      </c>
      <c r="O1679" s="2229">
        <v>43125</v>
      </c>
      <c r="P1679" s="2097">
        <v>3750000</v>
      </c>
      <c r="Q1679" s="2054">
        <v>43643.470034722202</v>
      </c>
      <c r="R1679" s="1731">
        <v>3750000</v>
      </c>
      <c r="S1679" s="1367">
        <v>43859.517523148097</v>
      </c>
      <c r="T1679" s="1731">
        <v>3750000</v>
      </c>
      <c r="U1679" s="1367">
        <v>44067.570324074099</v>
      </c>
      <c r="V1679" s="1543"/>
      <c r="W1679" s="2171"/>
      <c r="X1679" s="1543"/>
      <c r="Y1679" s="2171"/>
      <c r="Z1679" s="1543"/>
      <c r="AA1679" s="2171"/>
      <c r="AB1679" s="1666"/>
      <c r="AC1679" s="1590"/>
      <c r="AD1679" s="1666"/>
      <c r="AE1679" s="1590"/>
      <c r="AF1679" s="1666"/>
      <c r="AG1679" s="1590"/>
      <c r="AH1679" s="1625" t="str">
        <f t="shared" si="562"/>
        <v>PBA-3</v>
      </c>
      <c r="AI1679" s="1675">
        <f t="shared" ref="AI1679:AI1691" si="566">SUM(J1679,L1679,N1679,P1679,R1679,T1679,V1679,X1679,Z1679,AB1679,AD1679,AF1679,AM1679)</f>
        <v>17700000</v>
      </c>
      <c r="AJ1679" s="1675">
        <f t="shared" ref="AJ1679:AJ1691" si="567">(COUNT(L1679,N1679,P1679,R1679,T1679,V1679,X1679,Z1679)*$G$1507)+(COUNT(J1679)*$J$1507)+(COUNT(AB1679)*$AB$1507)+(COUNT(AD1679)*$AD$1507)+(COUNT(AF1679)*$AF$1507)+(COUNT(AM1679)*$AM$1507)</f>
        <v>17700000</v>
      </c>
      <c r="AK1679" s="1520">
        <f t="shared" ref="AK1679" si="568">AJ1679-AI1679</f>
        <v>0</v>
      </c>
      <c r="AL1679" s="2187" t="str">
        <f t="shared" ref="AL1679" si="569">IF(AK1679=0,"Lunas","Cek")</f>
        <v>Lunas</v>
      </c>
      <c r="AM1679" s="1666"/>
      <c r="AN1679" s="1590"/>
      <c r="AO1679"/>
      <c r="AP1679"/>
      <c r="AQ1679" s="1128"/>
      <c r="AR1679" s="1173"/>
      <c r="AT1679" s="1173"/>
      <c r="AV1679" s="1173"/>
      <c r="AX1679" s="1173"/>
      <c r="AY1679" s="1176"/>
      <c r="AZ1679" s="1173"/>
    </row>
    <row r="1680" spans="1:52" s="2" customFormat="1" x14ac:dyDescent="0.25">
      <c r="A1680" s="670">
        <v>1553</v>
      </c>
      <c r="B1680" s="671">
        <v>2</v>
      </c>
      <c r="C1680" s="2147">
        <v>849218002</v>
      </c>
      <c r="D1680" s="701" t="s">
        <v>2192</v>
      </c>
      <c r="E1680" s="441" t="s">
        <v>2191</v>
      </c>
      <c r="F1680" s="175">
        <v>2018</v>
      </c>
      <c r="G1680" s="360" t="s">
        <v>1483</v>
      </c>
      <c r="H1680" s="580" t="str">
        <f t="shared" si="564"/>
        <v xml:space="preserve">   </v>
      </c>
      <c r="I1680" s="580" t="str">
        <f t="shared" si="565"/>
        <v xml:space="preserve">   </v>
      </c>
      <c r="J1680" s="1366">
        <v>2700000</v>
      </c>
      <c r="K1680" s="1360">
        <v>43314</v>
      </c>
      <c r="L1680" s="1363">
        <v>3750000</v>
      </c>
      <c r="M1680" s="1360">
        <v>43314</v>
      </c>
      <c r="N1680" s="1363">
        <v>3750000</v>
      </c>
      <c r="O1680" s="1367">
        <v>43482</v>
      </c>
      <c r="P1680" s="1714">
        <v>3750000</v>
      </c>
      <c r="Q1680" s="1367">
        <v>43644.613287036998</v>
      </c>
      <c r="R1680" s="1731">
        <v>3750000</v>
      </c>
      <c r="S1680" s="1367">
        <v>43861.738101851799</v>
      </c>
      <c r="T1680" s="1731">
        <v>3750000</v>
      </c>
      <c r="U1680" s="1367">
        <v>44071.533263888901</v>
      </c>
      <c r="V1680" s="1363"/>
      <c r="W1680" s="1391"/>
      <c r="X1680" s="1363"/>
      <c r="Y1680" s="1391"/>
      <c r="Z1680" s="1363"/>
      <c r="AA1680" s="1391"/>
      <c r="AB1680" s="1731"/>
      <c r="AC1680" s="1367"/>
      <c r="AD1680" s="1666"/>
      <c r="AE1680" s="1590"/>
      <c r="AF1680" s="1666"/>
      <c r="AG1680" s="1590"/>
      <c r="AH1680" s="1625" t="str">
        <f t="shared" si="562"/>
        <v>PBA-3</v>
      </c>
      <c r="AI1680" s="1675">
        <f t="shared" si="566"/>
        <v>21450000</v>
      </c>
      <c r="AJ1680" s="1675">
        <f t="shared" si="567"/>
        <v>21450000</v>
      </c>
      <c r="AK1680" s="1520">
        <f t="shared" ref="AK1680" si="570">AJ1680-AI1680</f>
        <v>0</v>
      </c>
      <c r="AL1680" s="2210" t="str">
        <f t="shared" ref="AL1680" si="571">IF(AK1680=0,"Lunas","Cek")</f>
        <v>Lunas</v>
      </c>
      <c r="AM1680" s="1666"/>
      <c r="AN1680" s="1590"/>
      <c r="AO1680"/>
      <c r="AP1680"/>
      <c r="AQ1680" s="1128"/>
      <c r="AR1680" s="1173"/>
      <c r="AT1680" s="1173"/>
      <c r="AV1680" s="1173"/>
      <c r="AX1680" s="1173"/>
      <c r="AY1680" s="1176"/>
      <c r="AZ1680" s="1173"/>
    </row>
    <row r="1681" spans="1:52" s="2" customFormat="1" x14ac:dyDescent="0.25">
      <c r="A1681" s="670">
        <v>1554</v>
      </c>
      <c r="B1681" s="671">
        <v>3</v>
      </c>
      <c r="C1681" s="2147">
        <v>849218004</v>
      </c>
      <c r="D1681" s="701" t="s">
        <v>2193</v>
      </c>
      <c r="E1681" s="441" t="s">
        <v>2191</v>
      </c>
      <c r="F1681" s="175">
        <v>2018</v>
      </c>
      <c r="G1681" s="581" t="s">
        <v>1833</v>
      </c>
      <c r="H1681" s="580" t="str">
        <f t="shared" si="564"/>
        <v xml:space="preserve">   </v>
      </c>
      <c r="I1681" s="580" t="str">
        <f t="shared" si="565"/>
        <v xml:space="preserve">   </v>
      </c>
      <c r="J1681" s="1366">
        <v>2700000</v>
      </c>
      <c r="K1681" s="1360">
        <v>43314</v>
      </c>
      <c r="L1681" s="1363">
        <v>3750000</v>
      </c>
      <c r="M1681" s="1360">
        <v>43314</v>
      </c>
      <c r="N1681" s="1363">
        <v>3750000</v>
      </c>
      <c r="O1681" s="1367">
        <v>43481</v>
      </c>
      <c r="P1681" s="1714">
        <v>3750000</v>
      </c>
      <c r="Q1681" s="1367">
        <v>43640.584756944401</v>
      </c>
      <c r="R1681" s="1731">
        <v>3750000</v>
      </c>
      <c r="S1681" s="1367">
        <v>43861.342476851903</v>
      </c>
      <c r="T1681" s="1186" t="s">
        <v>1078</v>
      </c>
      <c r="U1681" s="1386">
        <v>44071</v>
      </c>
      <c r="V1681" s="1363" t="str">
        <f>IFERROR(VLOOKUP(C1681,BSP,3,FALSE),"  ")</f>
        <v xml:space="preserve">  </v>
      </c>
      <c r="W1681" s="1391" t="str">
        <f>IFERROR((VLOOKUP(C1681,BSP,4,FALSE)),"  ")</f>
        <v xml:space="preserve">  </v>
      </c>
      <c r="X1681" s="1363"/>
      <c r="Y1681" s="1391"/>
      <c r="Z1681" s="1363"/>
      <c r="AA1681" s="1391"/>
      <c r="AB1681" s="1731"/>
      <c r="AC1681" s="1367"/>
      <c r="AD1681" s="1666"/>
      <c r="AE1681" s="1590"/>
      <c r="AF1681" s="1666"/>
      <c r="AG1681" s="1590"/>
      <c r="AH1681" s="1625" t="str">
        <f t="shared" si="562"/>
        <v>PBA-3</v>
      </c>
      <c r="AI1681" s="1675">
        <f t="shared" si="566"/>
        <v>17700000</v>
      </c>
      <c r="AJ1681" s="1675">
        <f t="shared" si="567"/>
        <v>17700000</v>
      </c>
      <c r="AK1681" s="1520">
        <f t="shared" ref="AK1681:AK1691" si="572">AJ1681-AI1681</f>
        <v>0</v>
      </c>
      <c r="AL1681" s="2210" t="str">
        <f t="shared" ref="AL1681:AL1691" si="573">IF(AK1681=0,"Lunas","Cek")</f>
        <v>Lunas</v>
      </c>
      <c r="AM1681" s="1666"/>
      <c r="AN1681" s="1590"/>
      <c r="AO1681"/>
      <c r="AP1681"/>
      <c r="AQ1681" s="1128"/>
      <c r="AR1681" s="1173"/>
      <c r="AT1681" s="1173"/>
      <c r="AV1681" s="1173"/>
      <c r="AX1681" s="1173"/>
      <c r="AY1681" s="1176"/>
      <c r="AZ1681" s="1173"/>
    </row>
    <row r="1682" spans="1:52" s="2" customFormat="1" x14ac:dyDescent="0.25">
      <c r="A1682" s="670">
        <v>1555</v>
      </c>
      <c r="B1682" s="671">
        <v>4</v>
      </c>
      <c r="C1682" s="2147">
        <v>849218005</v>
      </c>
      <c r="D1682" s="701" t="s">
        <v>2194</v>
      </c>
      <c r="E1682" s="441" t="s">
        <v>2191</v>
      </c>
      <c r="F1682" s="175">
        <v>2018</v>
      </c>
      <c r="G1682" s="360" t="s">
        <v>1483</v>
      </c>
      <c r="H1682" s="580" t="str">
        <f t="shared" si="564"/>
        <v xml:space="preserve">   </v>
      </c>
      <c r="I1682" s="580" t="str">
        <f t="shared" si="565"/>
        <v xml:space="preserve">   </v>
      </c>
      <c r="J1682" s="1366">
        <v>2700000</v>
      </c>
      <c r="K1682" s="1360">
        <v>43314</v>
      </c>
      <c r="L1682" s="1363">
        <v>3750000</v>
      </c>
      <c r="M1682" s="1360">
        <v>43314</v>
      </c>
      <c r="N1682" s="1363">
        <v>3750000</v>
      </c>
      <c r="O1682" s="1367">
        <v>43483</v>
      </c>
      <c r="P1682" s="1714">
        <v>3750000</v>
      </c>
      <c r="Q1682" s="1367">
        <v>43644.485405092601</v>
      </c>
      <c r="R1682" s="1731">
        <v>3750000</v>
      </c>
      <c r="S1682" s="1367">
        <v>43861.385787036997</v>
      </c>
      <c r="T1682" s="1731">
        <v>3750000</v>
      </c>
      <c r="U1682" s="1367">
        <v>44071.5623611111</v>
      </c>
      <c r="V1682" s="1363"/>
      <c r="W1682" s="1391"/>
      <c r="X1682" s="1363"/>
      <c r="Y1682" s="1391"/>
      <c r="Z1682" s="1363"/>
      <c r="AA1682" s="1391"/>
      <c r="AB1682" s="1731"/>
      <c r="AC1682" s="1367"/>
      <c r="AD1682" s="1666"/>
      <c r="AE1682" s="1590"/>
      <c r="AF1682" s="1666"/>
      <c r="AG1682" s="1590"/>
      <c r="AH1682" s="1625" t="str">
        <f t="shared" si="562"/>
        <v>PBA-3</v>
      </c>
      <c r="AI1682" s="1675">
        <f t="shared" si="566"/>
        <v>21450000</v>
      </c>
      <c r="AJ1682" s="1675">
        <f t="shared" si="567"/>
        <v>21450000</v>
      </c>
      <c r="AK1682" s="1520">
        <f t="shared" si="572"/>
        <v>0</v>
      </c>
      <c r="AL1682" s="2210" t="str">
        <f t="shared" si="573"/>
        <v>Lunas</v>
      </c>
      <c r="AM1682" s="1666"/>
      <c r="AN1682" s="1590"/>
      <c r="AO1682"/>
      <c r="AP1682"/>
      <c r="AQ1682" s="1128"/>
      <c r="AR1682" s="1173"/>
      <c r="AT1682" s="1173"/>
      <c r="AV1682" s="1173"/>
      <c r="AX1682" s="1173"/>
      <c r="AY1682" s="1176"/>
      <c r="AZ1682" s="1173"/>
    </row>
    <row r="1683" spans="1:52" s="2" customFormat="1" x14ac:dyDescent="0.25">
      <c r="A1683" s="670">
        <v>1556</v>
      </c>
      <c r="B1683" s="671">
        <v>5</v>
      </c>
      <c r="C1683" s="2147">
        <v>849218006</v>
      </c>
      <c r="D1683" s="701" t="s">
        <v>2195</v>
      </c>
      <c r="E1683" s="441" t="s">
        <v>2191</v>
      </c>
      <c r="F1683" s="175">
        <v>2018</v>
      </c>
      <c r="G1683" s="581" t="s">
        <v>1833</v>
      </c>
      <c r="H1683" s="580" t="str">
        <f t="shared" si="564"/>
        <v xml:space="preserve">   </v>
      </c>
      <c r="I1683" s="580" t="str">
        <f t="shared" si="565"/>
        <v xml:space="preserve">   </v>
      </c>
      <c r="J1683" s="1366">
        <v>2700000</v>
      </c>
      <c r="K1683" s="1360">
        <v>43314</v>
      </c>
      <c r="L1683" s="1363">
        <v>3750000</v>
      </c>
      <c r="M1683" s="1360">
        <v>43314</v>
      </c>
      <c r="N1683" s="1363">
        <v>3750000</v>
      </c>
      <c r="O1683" s="1367">
        <v>43482</v>
      </c>
      <c r="P1683" s="1714">
        <v>3750000</v>
      </c>
      <c r="Q1683" s="1367">
        <v>43642.633842592601</v>
      </c>
      <c r="R1683" s="1731">
        <v>3750000</v>
      </c>
      <c r="S1683" s="1367">
        <v>43861.368831018503</v>
      </c>
      <c r="T1683" s="1186" t="s">
        <v>1078</v>
      </c>
      <c r="U1683" s="1386">
        <v>44071</v>
      </c>
      <c r="V1683" s="1363" t="str">
        <f>IFERROR(VLOOKUP(C1683,BSP,3,FALSE),"  ")</f>
        <v xml:space="preserve">  </v>
      </c>
      <c r="W1683" s="1391" t="str">
        <f>IFERROR((VLOOKUP(C1683,BSP,4,FALSE)),"  ")</f>
        <v xml:space="preserve">  </v>
      </c>
      <c r="X1683" s="1363"/>
      <c r="Y1683" s="1391"/>
      <c r="Z1683" s="1363"/>
      <c r="AA1683" s="1391"/>
      <c r="AB1683" s="1731"/>
      <c r="AC1683" s="1367"/>
      <c r="AD1683" s="1666"/>
      <c r="AE1683" s="1590"/>
      <c r="AF1683" s="1666"/>
      <c r="AG1683" s="1590"/>
      <c r="AH1683" s="1625" t="str">
        <f t="shared" si="562"/>
        <v>PBA-3</v>
      </c>
      <c r="AI1683" s="1675">
        <f t="shared" si="566"/>
        <v>17700000</v>
      </c>
      <c r="AJ1683" s="1675">
        <f t="shared" si="567"/>
        <v>17700000</v>
      </c>
      <c r="AK1683" s="1520">
        <f t="shared" si="572"/>
        <v>0</v>
      </c>
      <c r="AL1683" s="2210" t="str">
        <f t="shared" si="573"/>
        <v>Lunas</v>
      </c>
      <c r="AM1683" s="1666"/>
      <c r="AN1683" s="1590"/>
      <c r="AO1683"/>
      <c r="AP1683"/>
      <c r="AQ1683" s="1128"/>
      <c r="AR1683" s="1173"/>
      <c r="AT1683" s="1173"/>
      <c r="AV1683" s="1173"/>
      <c r="AX1683" s="1173"/>
      <c r="AY1683" s="1176"/>
      <c r="AZ1683" s="1173"/>
    </row>
    <row r="1684" spans="1:52" s="2" customFormat="1" x14ac:dyDescent="0.25">
      <c r="A1684" s="670">
        <v>1557</v>
      </c>
      <c r="B1684" s="671">
        <v>6</v>
      </c>
      <c r="C1684" s="2147">
        <v>849218007</v>
      </c>
      <c r="D1684" s="701" t="s">
        <v>2196</v>
      </c>
      <c r="E1684" s="441" t="s">
        <v>2191</v>
      </c>
      <c r="F1684" s="175">
        <v>2018</v>
      </c>
      <c r="G1684" s="1758" t="s">
        <v>28</v>
      </c>
      <c r="H1684" s="580" t="str">
        <f t="shared" si="564"/>
        <v xml:space="preserve">   </v>
      </c>
      <c r="I1684" s="580" t="str">
        <f t="shared" si="565"/>
        <v xml:space="preserve">   </v>
      </c>
      <c r="J1684" s="1366">
        <v>2700000</v>
      </c>
      <c r="K1684" s="1360">
        <v>43314</v>
      </c>
      <c r="L1684" s="1363">
        <v>3750000</v>
      </c>
      <c r="M1684" s="1360">
        <v>43314</v>
      </c>
      <c r="N1684" s="1363">
        <v>3750000</v>
      </c>
      <c r="O1684" s="1367">
        <v>43483</v>
      </c>
      <c r="P1684" s="1714">
        <v>0</v>
      </c>
      <c r="Q1684" s="1367"/>
      <c r="R1684" s="1731">
        <v>0</v>
      </c>
      <c r="S1684" s="1367" t="s">
        <v>783</v>
      </c>
      <c r="T1684" s="1731">
        <v>0</v>
      </c>
      <c r="U1684" s="1367"/>
      <c r="V1684" s="1363" t="str">
        <f>IFERROR(VLOOKUP(C1684,BSP,3,FALSE),"  ")</f>
        <v xml:space="preserve">  </v>
      </c>
      <c r="W1684" s="1391" t="str">
        <f>IFERROR((VLOOKUP(C1684,BSP,4,FALSE)),"  ")</f>
        <v xml:space="preserve">  </v>
      </c>
      <c r="X1684" s="1363"/>
      <c r="Y1684" s="1391"/>
      <c r="Z1684" s="1363"/>
      <c r="AA1684" s="1391"/>
      <c r="AB1684" s="1731"/>
      <c r="AC1684" s="1367"/>
      <c r="AD1684" s="1666"/>
      <c r="AE1684" s="1590"/>
      <c r="AF1684" s="1666"/>
      <c r="AG1684" s="1590"/>
      <c r="AH1684" s="1625" t="str">
        <f t="shared" si="562"/>
        <v>PBA-3</v>
      </c>
      <c r="AI1684" s="1675">
        <f t="shared" si="566"/>
        <v>10200000</v>
      </c>
      <c r="AJ1684" s="1675">
        <f t="shared" si="567"/>
        <v>21450000</v>
      </c>
      <c r="AK1684" s="1520">
        <f t="shared" si="572"/>
        <v>11250000</v>
      </c>
      <c r="AL1684" s="2210" t="str">
        <f t="shared" si="573"/>
        <v>Cek</v>
      </c>
      <c r="AM1684" s="1666"/>
      <c r="AN1684" s="1590"/>
      <c r="AO1684"/>
      <c r="AP1684"/>
      <c r="AQ1684" s="1128"/>
      <c r="AR1684" s="1173"/>
      <c r="AT1684" s="1173"/>
      <c r="AV1684" s="1173"/>
      <c r="AX1684" s="1173"/>
      <c r="AY1684" s="1176"/>
      <c r="AZ1684" s="1173"/>
    </row>
    <row r="1685" spans="1:52" s="2" customFormat="1" x14ac:dyDescent="0.25">
      <c r="A1685" s="670">
        <v>1558</v>
      </c>
      <c r="B1685" s="671">
        <v>7</v>
      </c>
      <c r="C1685" s="2147">
        <v>849218008</v>
      </c>
      <c r="D1685" s="701" t="s">
        <v>2197</v>
      </c>
      <c r="E1685" s="441" t="s">
        <v>2191</v>
      </c>
      <c r="F1685" s="175">
        <v>2018</v>
      </c>
      <c r="G1685" s="360" t="s">
        <v>1483</v>
      </c>
      <c r="H1685" s="580" t="str">
        <f t="shared" si="564"/>
        <v xml:space="preserve">   </v>
      </c>
      <c r="I1685" s="580" t="str">
        <f t="shared" si="565"/>
        <v xml:space="preserve">   </v>
      </c>
      <c r="J1685" s="1366">
        <v>2700000</v>
      </c>
      <c r="K1685" s="1360">
        <v>43314</v>
      </c>
      <c r="L1685" s="1363">
        <v>3750000</v>
      </c>
      <c r="M1685" s="1360">
        <v>43314</v>
      </c>
      <c r="N1685" s="1363">
        <v>3750000</v>
      </c>
      <c r="O1685" s="1367">
        <v>43481</v>
      </c>
      <c r="P1685" s="1714">
        <v>3750000</v>
      </c>
      <c r="Q1685" s="1367">
        <v>43644.609664351898</v>
      </c>
      <c r="R1685" s="1731">
        <v>3750000</v>
      </c>
      <c r="S1685" s="1367">
        <v>43861.437789351898</v>
      </c>
      <c r="T1685" s="1731">
        <v>3750000</v>
      </c>
      <c r="U1685" s="1367">
        <v>44070.411921296298</v>
      </c>
      <c r="V1685" s="1363"/>
      <c r="W1685" s="1391"/>
      <c r="X1685" s="1363"/>
      <c r="Y1685" s="1391"/>
      <c r="Z1685" s="1363"/>
      <c r="AA1685" s="1391"/>
      <c r="AB1685" s="1731">
        <v>1000000</v>
      </c>
      <c r="AC1685" s="1367">
        <v>44201</v>
      </c>
      <c r="AD1685" s="1666">
        <v>1200000</v>
      </c>
      <c r="AE1685" s="1590">
        <v>44201</v>
      </c>
      <c r="AF1685" s="1666">
        <v>1600000</v>
      </c>
      <c r="AG1685" s="1590">
        <v>44201</v>
      </c>
      <c r="AH1685" s="1625" t="str">
        <f t="shared" si="562"/>
        <v>PBA-3</v>
      </c>
      <c r="AI1685" s="1675">
        <f t="shared" si="566"/>
        <v>25250000</v>
      </c>
      <c r="AJ1685" s="1675">
        <f t="shared" si="567"/>
        <v>25250000</v>
      </c>
      <c r="AK1685" s="1520">
        <f t="shared" si="572"/>
        <v>0</v>
      </c>
      <c r="AL1685" s="2210" t="str">
        <f t="shared" si="573"/>
        <v>Lunas</v>
      </c>
      <c r="AM1685" s="1666"/>
      <c r="AN1685" s="1590"/>
      <c r="AO1685"/>
      <c r="AP1685"/>
      <c r="AQ1685" s="1128"/>
      <c r="AR1685" s="1173"/>
      <c r="AT1685" s="1173"/>
      <c r="AV1685" s="1173"/>
      <c r="AX1685" s="1173"/>
      <c r="AY1685" s="1176"/>
      <c r="AZ1685" s="1173"/>
    </row>
    <row r="1686" spans="1:52" s="2" customFormat="1" x14ac:dyDescent="0.25">
      <c r="A1686" s="670">
        <v>1559</v>
      </c>
      <c r="B1686" s="671">
        <v>8</v>
      </c>
      <c r="C1686" s="2147">
        <v>849218010</v>
      </c>
      <c r="D1686" s="701" t="s">
        <v>1210</v>
      </c>
      <c r="E1686" s="441" t="s">
        <v>2191</v>
      </c>
      <c r="F1686" s="175">
        <v>2018</v>
      </c>
      <c r="G1686" s="360" t="s">
        <v>1483</v>
      </c>
      <c r="H1686" s="580" t="str">
        <f t="shared" si="564"/>
        <v xml:space="preserve">   </v>
      </c>
      <c r="I1686" s="580" t="str">
        <f t="shared" si="565"/>
        <v xml:space="preserve">   </v>
      </c>
      <c r="J1686" s="1366">
        <v>2700000</v>
      </c>
      <c r="K1686" s="1360">
        <v>43314</v>
      </c>
      <c r="L1686" s="1363">
        <v>3750000</v>
      </c>
      <c r="M1686" s="1360">
        <v>43314</v>
      </c>
      <c r="N1686" s="1363">
        <v>3750000</v>
      </c>
      <c r="O1686" s="1367">
        <v>43483</v>
      </c>
      <c r="P1686" s="1714">
        <v>3750000</v>
      </c>
      <c r="Q1686" s="1367">
        <v>43644.612708333298</v>
      </c>
      <c r="R1686" s="1731">
        <v>3750000</v>
      </c>
      <c r="S1686" s="1367">
        <v>43861.385069444397</v>
      </c>
      <c r="T1686" s="1731">
        <v>3750000</v>
      </c>
      <c r="U1686" s="1367">
        <v>44071.561354166697</v>
      </c>
      <c r="V1686" s="1363"/>
      <c r="W1686" s="1391"/>
      <c r="X1686" s="1363"/>
      <c r="Y1686" s="1391"/>
      <c r="Z1686" s="1363"/>
      <c r="AA1686" s="1391"/>
      <c r="AB1686" s="1731"/>
      <c r="AC1686" s="1367"/>
      <c r="AD1686" s="1666"/>
      <c r="AE1686" s="1590"/>
      <c r="AF1686" s="1666"/>
      <c r="AG1686" s="1590"/>
      <c r="AH1686" s="1625" t="str">
        <f t="shared" si="562"/>
        <v>PBA-3</v>
      </c>
      <c r="AI1686" s="1675">
        <f t="shared" si="566"/>
        <v>21450000</v>
      </c>
      <c r="AJ1686" s="1675">
        <f t="shared" si="567"/>
        <v>21450000</v>
      </c>
      <c r="AK1686" s="1520">
        <f t="shared" si="572"/>
        <v>0</v>
      </c>
      <c r="AL1686" s="2210" t="str">
        <f t="shared" si="573"/>
        <v>Lunas</v>
      </c>
      <c r="AM1686" s="1666"/>
      <c r="AN1686" s="1590"/>
      <c r="AO1686"/>
      <c r="AP1686"/>
      <c r="AQ1686" s="1128"/>
      <c r="AR1686" s="1173"/>
      <c r="AT1686" s="1173"/>
      <c r="AV1686" s="1173"/>
      <c r="AX1686" s="1173"/>
      <c r="AY1686" s="1176"/>
      <c r="AZ1686" s="1173"/>
    </row>
    <row r="1687" spans="1:52" s="2" customFormat="1" x14ac:dyDescent="0.25">
      <c r="A1687" s="670">
        <v>1560</v>
      </c>
      <c r="B1687" s="671">
        <v>9</v>
      </c>
      <c r="C1687" s="2147">
        <v>849218011</v>
      </c>
      <c r="D1687" s="701" t="s">
        <v>2198</v>
      </c>
      <c r="E1687" s="441" t="s">
        <v>2191</v>
      </c>
      <c r="F1687" s="175">
        <v>2018</v>
      </c>
      <c r="G1687" s="360" t="s">
        <v>1483</v>
      </c>
      <c r="H1687" s="580" t="str">
        <f t="shared" si="564"/>
        <v xml:space="preserve">   </v>
      </c>
      <c r="I1687" s="580" t="str">
        <f t="shared" si="565"/>
        <v xml:space="preserve">   </v>
      </c>
      <c r="J1687" s="1366">
        <v>2700000</v>
      </c>
      <c r="K1687" s="1360">
        <v>43313</v>
      </c>
      <c r="L1687" s="1363">
        <v>3750000</v>
      </c>
      <c r="M1687" s="1360">
        <v>43313</v>
      </c>
      <c r="N1687" s="1363">
        <v>3750000</v>
      </c>
      <c r="O1687" s="1367">
        <v>43482</v>
      </c>
      <c r="P1687" s="1714">
        <v>3750000</v>
      </c>
      <c r="Q1687" s="1367">
        <v>43642.558703703697</v>
      </c>
      <c r="R1687" s="1731">
        <v>3750000</v>
      </c>
      <c r="S1687" s="1367">
        <v>43861.566446759301</v>
      </c>
      <c r="T1687" s="1731">
        <v>3750000</v>
      </c>
      <c r="U1687" s="1367">
        <v>44067.5998958333</v>
      </c>
      <c r="V1687" s="1363"/>
      <c r="W1687" s="1391"/>
      <c r="X1687" s="1363"/>
      <c r="Y1687" s="1391"/>
      <c r="Z1687" s="1363"/>
      <c r="AA1687" s="1391"/>
      <c r="AB1687" s="1731"/>
      <c r="AC1687" s="1367"/>
      <c r="AD1687" s="1666"/>
      <c r="AE1687" s="1590"/>
      <c r="AF1687" s="1666"/>
      <c r="AG1687" s="1590"/>
      <c r="AH1687" s="1625" t="str">
        <f t="shared" si="562"/>
        <v>PBA-3</v>
      </c>
      <c r="AI1687" s="1675">
        <f t="shared" si="566"/>
        <v>21450000</v>
      </c>
      <c r="AJ1687" s="1675">
        <f t="shared" si="567"/>
        <v>21450000</v>
      </c>
      <c r="AK1687" s="1520">
        <f t="shared" si="572"/>
        <v>0</v>
      </c>
      <c r="AL1687" s="2210" t="str">
        <f t="shared" si="573"/>
        <v>Lunas</v>
      </c>
      <c r="AM1687" s="1666"/>
      <c r="AN1687" s="1590"/>
      <c r="AO1687"/>
      <c r="AP1687"/>
      <c r="AQ1687" s="1128"/>
      <c r="AR1687" s="1173"/>
      <c r="AT1687" s="1173"/>
      <c r="AV1687" s="1173"/>
      <c r="AX1687" s="1173"/>
      <c r="AY1687" s="1176"/>
      <c r="AZ1687" s="1173"/>
    </row>
    <row r="1688" spans="1:52" s="2" customFormat="1" x14ac:dyDescent="0.25">
      <c r="A1688" s="670">
        <v>1561</v>
      </c>
      <c r="B1688" s="671">
        <v>10</v>
      </c>
      <c r="C1688" s="2147">
        <v>849218012</v>
      </c>
      <c r="D1688" s="701" t="s">
        <v>2199</v>
      </c>
      <c r="E1688" s="441" t="s">
        <v>2191</v>
      </c>
      <c r="F1688" s="175">
        <v>2018</v>
      </c>
      <c r="G1688" s="1758" t="s">
        <v>28</v>
      </c>
      <c r="H1688" s="580" t="str">
        <f t="shared" si="564"/>
        <v xml:space="preserve">   </v>
      </c>
      <c r="I1688" s="580" t="str">
        <f t="shared" si="565"/>
        <v xml:space="preserve">   </v>
      </c>
      <c r="J1688" s="1366">
        <v>2700000</v>
      </c>
      <c r="K1688" s="1360">
        <v>43314</v>
      </c>
      <c r="L1688" s="1363">
        <v>3750000</v>
      </c>
      <c r="M1688" s="1360">
        <v>43314</v>
      </c>
      <c r="N1688" s="1186" t="s">
        <v>1842</v>
      </c>
      <c r="O1688" s="1386"/>
      <c r="P1688" s="1714"/>
      <c r="Q1688" s="1367"/>
      <c r="R1688" s="1731"/>
      <c r="S1688" s="1367"/>
      <c r="T1688" s="1731"/>
      <c r="U1688" s="1367"/>
      <c r="V1688" s="1363"/>
      <c r="W1688" s="1391"/>
      <c r="X1688" s="1363"/>
      <c r="Y1688" s="1391"/>
      <c r="Z1688" s="1363"/>
      <c r="AA1688" s="1391"/>
      <c r="AB1688" s="1731"/>
      <c r="AC1688" s="1367"/>
      <c r="AD1688" s="1666"/>
      <c r="AE1688" s="1590"/>
      <c r="AF1688" s="1666"/>
      <c r="AG1688" s="1590"/>
      <c r="AH1688" s="1625" t="str">
        <f t="shared" si="562"/>
        <v>PBA-3</v>
      </c>
      <c r="AI1688" s="1675">
        <f t="shared" si="566"/>
        <v>6450000</v>
      </c>
      <c r="AJ1688" s="1675">
        <f t="shared" si="567"/>
        <v>6450000</v>
      </c>
      <c r="AK1688" s="1520">
        <f t="shared" si="572"/>
        <v>0</v>
      </c>
      <c r="AL1688" s="2210" t="str">
        <f t="shared" si="573"/>
        <v>Lunas</v>
      </c>
      <c r="AM1688" s="1666"/>
      <c r="AN1688" s="1590"/>
      <c r="AO1688"/>
      <c r="AP1688"/>
      <c r="AQ1688" s="1128"/>
      <c r="AR1688" s="1173"/>
      <c r="AT1688" s="1173"/>
      <c r="AV1688" s="1173"/>
      <c r="AX1688" s="1173"/>
      <c r="AY1688" s="1176"/>
      <c r="AZ1688" s="1173"/>
    </row>
    <row r="1689" spans="1:52" s="2" customFormat="1" x14ac:dyDescent="0.25">
      <c r="A1689" s="670">
        <v>1562</v>
      </c>
      <c r="B1689" s="671">
        <v>11</v>
      </c>
      <c r="C1689" s="2147">
        <v>849218013</v>
      </c>
      <c r="D1689" s="701" t="s">
        <v>2200</v>
      </c>
      <c r="E1689" s="441" t="s">
        <v>2191</v>
      </c>
      <c r="F1689" s="175">
        <v>2018</v>
      </c>
      <c r="G1689" s="360" t="s">
        <v>1483</v>
      </c>
      <c r="H1689" s="580" t="str">
        <f t="shared" si="564"/>
        <v xml:space="preserve">   </v>
      </c>
      <c r="I1689" s="580" t="str">
        <f t="shared" si="565"/>
        <v xml:space="preserve">   </v>
      </c>
      <c r="J1689" s="1366">
        <v>2700000</v>
      </c>
      <c r="K1689" s="1360">
        <v>43314</v>
      </c>
      <c r="L1689" s="1363">
        <v>3750000</v>
      </c>
      <c r="M1689" s="1360">
        <v>43314</v>
      </c>
      <c r="N1689" s="1363">
        <v>3750000</v>
      </c>
      <c r="O1689" s="1367">
        <v>43483</v>
      </c>
      <c r="P1689" s="1714">
        <v>3750000</v>
      </c>
      <c r="Q1689" s="1367">
        <v>43644.612708333298</v>
      </c>
      <c r="R1689" s="1731">
        <v>3750000</v>
      </c>
      <c r="S1689" s="1367">
        <v>43861.587268518502</v>
      </c>
      <c r="T1689" s="1731">
        <v>3750000</v>
      </c>
      <c r="U1689" s="1367">
        <v>44047</v>
      </c>
      <c r="V1689" s="1363"/>
      <c r="W1689" s="1391"/>
      <c r="X1689" s="1363"/>
      <c r="Y1689" s="1391"/>
      <c r="Z1689" s="1363"/>
      <c r="AA1689" s="1391"/>
      <c r="AB1689" s="1731"/>
      <c r="AC1689" s="1367"/>
      <c r="AD1689" s="1666"/>
      <c r="AE1689" s="1590"/>
      <c r="AF1689" s="1666"/>
      <c r="AG1689" s="1590"/>
      <c r="AH1689" s="1625" t="str">
        <f t="shared" si="562"/>
        <v>PBA-3</v>
      </c>
      <c r="AI1689" s="1675">
        <f t="shared" si="566"/>
        <v>21450000</v>
      </c>
      <c r="AJ1689" s="1675">
        <f t="shared" si="567"/>
        <v>21450000</v>
      </c>
      <c r="AK1689" s="1520">
        <f t="shared" si="572"/>
        <v>0</v>
      </c>
      <c r="AL1689" s="2210" t="str">
        <f t="shared" si="573"/>
        <v>Lunas</v>
      </c>
      <c r="AM1689" s="1666"/>
      <c r="AN1689" s="1590"/>
      <c r="AO1689"/>
      <c r="AP1689"/>
      <c r="AQ1689" s="1128"/>
      <c r="AR1689" s="1173"/>
      <c r="AT1689" s="1173"/>
      <c r="AV1689" s="1173"/>
      <c r="AX1689" s="1173"/>
      <c r="AY1689" s="1176"/>
      <c r="AZ1689" s="1173"/>
    </row>
    <row r="1690" spans="1:52" s="2" customFormat="1" x14ac:dyDescent="0.25">
      <c r="A1690" s="670">
        <v>1563</v>
      </c>
      <c r="B1690" s="671">
        <v>12</v>
      </c>
      <c r="C1690" s="2147">
        <v>849218015</v>
      </c>
      <c r="D1690" s="701" t="s">
        <v>2201</v>
      </c>
      <c r="E1690" s="441" t="s">
        <v>2191</v>
      </c>
      <c r="F1690" s="175">
        <v>2018</v>
      </c>
      <c r="G1690" s="360" t="s">
        <v>28</v>
      </c>
      <c r="H1690" s="580" t="str">
        <f t="shared" si="564"/>
        <v xml:space="preserve">   </v>
      </c>
      <c r="I1690" s="580" t="str">
        <f t="shared" si="565"/>
        <v xml:space="preserve">   </v>
      </c>
      <c r="J1690" s="1366">
        <v>2700000</v>
      </c>
      <c r="K1690" s="1360">
        <v>43321</v>
      </c>
      <c r="L1690" s="1363">
        <v>3750000</v>
      </c>
      <c r="M1690" s="1360">
        <v>43321</v>
      </c>
      <c r="N1690" s="1186" t="s">
        <v>1078</v>
      </c>
      <c r="O1690" s="1386">
        <v>43125</v>
      </c>
      <c r="P1690" s="1186" t="s">
        <v>1078</v>
      </c>
      <c r="Q1690" s="1386">
        <v>43264</v>
      </c>
      <c r="R1690" s="1731">
        <v>3750000</v>
      </c>
      <c r="S1690" s="1367">
        <v>43861.640752314801</v>
      </c>
      <c r="T1690" s="1731">
        <v>3750000</v>
      </c>
      <c r="U1690" s="1367">
        <v>44057.551504629599</v>
      </c>
      <c r="V1690" s="1363"/>
      <c r="W1690" s="1391"/>
      <c r="X1690" s="1363"/>
      <c r="Y1690" s="1391"/>
      <c r="Z1690" s="1363"/>
      <c r="AA1690" s="1391"/>
      <c r="AB1690" s="1731"/>
      <c r="AC1690" s="1367"/>
      <c r="AD1690" s="1666"/>
      <c r="AE1690" s="1590"/>
      <c r="AF1690" s="1666"/>
      <c r="AG1690" s="1590"/>
      <c r="AH1690" s="1625" t="str">
        <f t="shared" si="562"/>
        <v>PBA-3</v>
      </c>
      <c r="AI1690" s="1675">
        <f t="shared" si="566"/>
        <v>13950000</v>
      </c>
      <c r="AJ1690" s="1675">
        <f t="shared" si="567"/>
        <v>13950000</v>
      </c>
      <c r="AK1690" s="1520">
        <f t="shared" si="572"/>
        <v>0</v>
      </c>
      <c r="AL1690" s="2210" t="str">
        <f t="shared" si="573"/>
        <v>Lunas</v>
      </c>
      <c r="AM1690" s="1666"/>
      <c r="AN1690" s="1590"/>
      <c r="AO1690"/>
      <c r="AP1690"/>
      <c r="AQ1690" s="1128"/>
      <c r="AR1690" s="1173"/>
      <c r="AT1690" s="1173"/>
      <c r="AV1690" s="1173"/>
      <c r="AX1690" s="1173"/>
      <c r="AY1690" s="1176"/>
      <c r="AZ1690" s="1173"/>
    </row>
    <row r="1691" spans="1:52" s="2" customFormat="1" x14ac:dyDescent="0.25">
      <c r="A1691" s="670">
        <v>1564</v>
      </c>
      <c r="B1691" s="678">
        <v>13</v>
      </c>
      <c r="C1691" s="2195">
        <v>849218016</v>
      </c>
      <c r="D1691" s="704" t="s">
        <v>2202</v>
      </c>
      <c r="E1691" s="489" t="s">
        <v>2191</v>
      </c>
      <c r="F1691" s="221">
        <v>2018</v>
      </c>
      <c r="G1691" s="360" t="s">
        <v>28</v>
      </c>
      <c r="H1691" s="646" t="str">
        <f t="shared" si="564"/>
        <v xml:space="preserve">   </v>
      </c>
      <c r="I1691" s="646" t="str">
        <f t="shared" si="565"/>
        <v xml:space="preserve">   </v>
      </c>
      <c r="J1691" s="1444">
        <v>2700000</v>
      </c>
      <c r="K1691" s="1557">
        <v>43314</v>
      </c>
      <c r="L1691" s="1446">
        <v>3750000</v>
      </c>
      <c r="M1691" s="1557">
        <v>43314</v>
      </c>
      <c r="N1691" s="1446">
        <v>3750000</v>
      </c>
      <c r="O1691" s="1445">
        <v>43482</v>
      </c>
      <c r="P1691" s="1724">
        <v>3750000</v>
      </c>
      <c r="Q1691" s="1445">
        <v>43643.470034722202</v>
      </c>
      <c r="R1691" s="1731">
        <v>3750000</v>
      </c>
      <c r="S1691" s="1367">
        <v>43860.461192129602</v>
      </c>
      <c r="T1691" s="1731">
        <v>3750000</v>
      </c>
      <c r="U1691" s="1367">
        <v>44071.398310185199</v>
      </c>
      <c r="V1691" s="1446"/>
      <c r="W1691" s="1944"/>
      <c r="X1691" s="1446"/>
      <c r="Y1691" s="1944"/>
      <c r="Z1691" s="1446"/>
      <c r="AA1691" s="1944"/>
      <c r="AB1691" s="1731"/>
      <c r="AC1691" s="1367"/>
      <c r="AD1691" s="1666"/>
      <c r="AE1691" s="1590"/>
      <c r="AF1691" s="1666"/>
      <c r="AG1691" s="1590"/>
      <c r="AH1691" s="1626" t="str">
        <f t="shared" si="562"/>
        <v>PBA-3</v>
      </c>
      <c r="AI1691" s="1675">
        <f t="shared" si="566"/>
        <v>21450000</v>
      </c>
      <c r="AJ1691" s="1675">
        <f t="shared" si="567"/>
        <v>21450000</v>
      </c>
      <c r="AK1691" s="1520">
        <f t="shared" si="572"/>
        <v>0</v>
      </c>
      <c r="AL1691" s="2210" t="str">
        <f t="shared" si="573"/>
        <v>Lunas</v>
      </c>
      <c r="AM1691" s="1666"/>
      <c r="AN1691" s="1590"/>
      <c r="AO1691"/>
      <c r="AP1691"/>
      <c r="AQ1691" s="1128"/>
      <c r="AR1691" s="1173"/>
      <c r="AT1691" s="1173"/>
      <c r="AV1691" s="1173"/>
      <c r="AX1691" s="1173"/>
      <c r="AY1691" s="1176"/>
      <c r="AZ1691" s="1173"/>
    </row>
    <row r="1692" spans="1:52" s="2" customFormat="1" x14ac:dyDescent="0.25">
      <c r="A1692" s="434"/>
      <c r="B1692" s="434"/>
      <c r="C1692" s="2201"/>
      <c r="D1692" s="437"/>
      <c r="E1692" s="437"/>
      <c r="F1692" s="438" t="s">
        <v>61</v>
      </c>
      <c r="G1692" s="192" t="s">
        <v>61</v>
      </c>
      <c r="H1692" s="438" t="str">
        <f t="shared" si="564"/>
        <v xml:space="preserve">   </v>
      </c>
      <c r="I1692" s="438" t="str">
        <f t="shared" si="565"/>
        <v xml:space="preserve">   </v>
      </c>
      <c r="J1692" s="438"/>
      <c r="K1692" s="438"/>
      <c r="L1692" s="438"/>
      <c r="M1692" s="438"/>
      <c r="N1692" s="438"/>
      <c r="O1692" s="438"/>
      <c r="P1692" s="438"/>
      <c r="Q1692" s="2204"/>
      <c r="R1692" s="438"/>
      <c r="S1692" s="2217"/>
      <c r="T1692" s="2206"/>
      <c r="U1692" s="438"/>
      <c r="V1692" s="2206"/>
      <c r="W1692" s="438"/>
      <c r="X1692" s="2206"/>
      <c r="Y1692" s="438"/>
      <c r="Z1692" s="2206"/>
      <c r="AA1692" s="438"/>
      <c r="AB1692" s="438"/>
      <c r="AC1692" s="2222"/>
      <c r="AD1692" s="223"/>
      <c r="AE1692" s="1155"/>
      <c r="AF1692" s="223"/>
      <c r="AG1692" s="1155"/>
      <c r="AH1692" s="1627">
        <f t="shared" si="562"/>
        <v>0</v>
      </c>
      <c r="AI1692" s="1512"/>
      <c r="AJ1692" s="1409"/>
      <c r="AK1692" s="1409"/>
      <c r="AL1692" s="1513"/>
      <c r="AM1692"/>
      <c r="AN1692"/>
      <c r="AO1692"/>
      <c r="AP1692"/>
      <c r="AQ1692" s="1128"/>
      <c r="AR1692" s="1173"/>
      <c r="AT1692" s="1173"/>
      <c r="AV1692" s="1173"/>
      <c r="AX1692" s="1173"/>
      <c r="AY1692" s="1176"/>
      <c r="AZ1692" s="1173"/>
    </row>
    <row r="1693" spans="1:52" s="2" customFormat="1" x14ac:dyDescent="0.25">
      <c r="A1693" s="434"/>
      <c r="B1693" s="434"/>
      <c r="C1693" s="2201"/>
      <c r="D1693" s="437"/>
      <c r="E1693" s="437"/>
      <c r="F1693" s="438" t="s">
        <v>61</v>
      </c>
      <c r="G1693" s="192" t="s">
        <v>61</v>
      </c>
      <c r="H1693" s="438" t="str">
        <f t="shared" si="564"/>
        <v xml:space="preserve">   </v>
      </c>
      <c r="I1693" s="438" t="str">
        <f t="shared" si="565"/>
        <v xml:space="preserve">   </v>
      </c>
      <c r="J1693" s="438"/>
      <c r="K1693" s="438"/>
      <c r="L1693" s="438"/>
      <c r="M1693" s="438"/>
      <c r="N1693" s="438"/>
      <c r="O1693" s="438"/>
      <c r="P1693" s="438"/>
      <c r="Q1693" s="2204"/>
      <c r="R1693" s="438"/>
      <c r="S1693" s="2217"/>
      <c r="T1693" s="2206"/>
      <c r="U1693" s="438"/>
      <c r="V1693" s="2206"/>
      <c r="W1693" s="438"/>
      <c r="X1693" s="2206"/>
      <c r="Y1693" s="438"/>
      <c r="Z1693" s="2206"/>
      <c r="AA1693" s="438"/>
      <c r="AB1693" s="438"/>
      <c r="AC1693" s="2222"/>
      <c r="AD1693" s="223"/>
      <c r="AE1693" s="1155"/>
      <c r="AF1693" s="223"/>
      <c r="AG1693" s="1155"/>
      <c r="AH1693" s="1627">
        <f t="shared" si="562"/>
        <v>0</v>
      </c>
      <c r="AI1693" s="1512"/>
      <c r="AJ1693" s="1409"/>
      <c r="AK1693" s="1409"/>
      <c r="AL1693" s="1513"/>
      <c r="AM1693"/>
      <c r="AN1693"/>
      <c r="AO1693"/>
      <c r="AP1693"/>
      <c r="AQ1693" s="1128"/>
      <c r="AR1693" s="1173"/>
      <c r="AT1693" s="1173"/>
      <c r="AV1693" s="1173"/>
      <c r="AX1693" s="1173"/>
      <c r="AY1693" s="1176"/>
      <c r="AZ1693" s="1173"/>
    </row>
    <row r="1694" spans="1:52" s="2" customFormat="1" x14ac:dyDescent="0.25">
      <c r="A1694" s="625" t="s">
        <v>2203</v>
      </c>
      <c r="B1694" s="625"/>
      <c r="C1694" s="366"/>
      <c r="D1694" s="625"/>
      <c r="E1694" s="198" t="s">
        <v>1096</v>
      </c>
      <c r="F1694" s="199" t="s">
        <v>1096</v>
      </c>
      <c r="G1694" s="565">
        <v>3750000</v>
      </c>
      <c r="H1694" s="147" t="str">
        <f t="shared" si="564"/>
        <v xml:space="preserve">   </v>
      </c>
      <c r="I1694" s="147" t="str">
        <f t="shared" si="565"/>
        <v xml:space="preserve">   </v>
      </c>
      <c r="J1694" s="2035">
        <v>2700000</v>
      </c>
      <c r="K1694" s="2036"/>
      <c r="L1694" s="2163" t="s">
        <v>1049</v>
      </c>
      <c r="M1694" s="2164" t="s">
        <v>1141</v>
      </c>
      <c r="N1694" s="2163" t="s">
        <v>1051</v>
      </c>
      <c r="O1694" s="2164" t="s">
        <v>1325</v>
      </c>
      <c r="P1694" s="2016" t="s">
        <v>1053</v>
      </c>
      <c r="Q1694" s="1438" t="s">
        <v>1463</v>
      </c>
      <c r="R1694" s="2016" t="s">
        <v>1055</v>
      </c>
      <c r="S1694" s="1438" t="s">
        <v>1464</v>
      </c>
      <c r="T1694" s="2016" t="s">
        <v>1057</v>
      </c>
      <c r="U1694" s="1438" t="s">
        <v>1466</v>
      </c>
      <c r="V1694" s="2016" t="s">
        <v>1059</v>
      </c>
      <c r="W1694" s="1438" t="s">
        <v>1468</v>
      </c>
      <c r="X1694" s="1582" t="s">
        <v>1061</v>
      </c>
      <c r="Y1694" s="1438" t="s">
        <v>1470</v>
      </c>
      <c r="Z1694" s="1582" t="s">
        <v>1063</v>
      </c>
      <c r="AA1694" s="1438" t="s">
        <v>1718</v>
      </c>
      <c r="AB1694" s="2177">
        <v>1000000</v>
      </c>
      <c r="AC1694" s="2178" t="s">
        <v>2015</v>
      </c>
      <c r="AD1694" s="1450">
        <v>1200000</v>
      </c>
      <c r="AE1694" s="1663" t="s">
        <v>2016</v>
      </c>
      <c r="AF1694" s="1450">
        <v>1600000</v>
      </c>
      <c r="AG1694" s="1663" t="s">
        <v>1326</v>
      </c>
      <c r="AH1694" s="1408" t="str">
        <f t="shared" si="562"/>
        <v>#</v>
      </c>
      <c r="AI1694" s="1512"/>
      <c r="AJ1694" s="1409"/>
      <c r="AK1694" s="1409"/>
      <c r="AL1694" s="1513"/>
      <c r="AM1694" s="1450">
        <v>500000</v>
      </c>
      <c r="AN1694" s="1663" t="s">
        <v>22</v>
      </c>
      <c r="AO1694"/>
      <c r="AP1694"/>
      <c r="AQ1694" s="1128"/>
      <c r="AR1694" s="1173"/>
      <c r="AT1694" s="1173"/>
      <c r="AV1694" s="1173"/>
      <c r="AX1694" s="1173"/>
      <c r="AY1694" s="1176"/>
      <c r="AZ1694" s="1173"/>
    </row>
    <row r="1695" spans="1:52" s="2" customFormat="1" x14ac:dyDescent="0.25">
      <c r="A1695" s="694">
        <v>1565</v>
      </c>
      <c r="B1695" s="695">
        <v>1</v>
      </c>
      <c r="C1695" s="2202">
        <v>849418001</v>
      </c>
      <c r="D1695" s="713" t="s">
        <v>2204</v>
      </c>
      <c r="E1695" s="698" t="s">
        <v>2205</v>
      </c>
      <c r="F1695" s="327">
        <v>2018</v>
      </c>
      <c r="G1695" s="581" t="s">
        <v>1833</v>
      </c>
      <c r="H1695" s="700" t="str">
        <f t="shared" si="564"/>
        <v xml:space="preserve">   </v>
      </c>
      <c r="I1695" s="700" t="str">
        <f t="shared" si="565"/>
        <v xml:space="preserve">   </v>
      </c>
      <c r="J1695" s="1780">
        <v>2700000</v>
      </c>
      <c r="K1695" s="1727">
        <v>43314</v>
      </c>
      <c r="L1695" s="1941">
        <v>3750000</v>
      </c>
      <c r="M1695" s="1727">
        <v>43314</v>
      </c>
      <c r="N1695" s="1941">
        <v>3750000</v>
      </c>
      <c r="O1695" s="2054">
        <v>43482</v>
      </c>
      <c r="P1695" s="2097">
        <v>3750000</v>
      </c>
      <c r="Q1695" s="2054">
        <v>43641.674502314803</v>
      </c>
      <c r="R1695" s="2170">
        <v>3750000</v>
      </c>
      <c r="S1695" s="2054">
        <v>43859.560162037</v>
      </c>
      <c r="T1695" s="1186" t="s">
        <v>1078</v>
      </c>
      <c r="U1695" s="1386">
        <v>44071</v>
      </c>
      <c r="V1695" s="1543"/>
      <c r="W1695" s="2171"/>
      <c r="X1695" s="1543"/>
      <c r="Y1695" s="2171"/>
      <c r="Z1695" s="1543"/>
      <c r="AA1695" s="2171"/>
      <c r="AB1695" s="1666"/>
      <c r="AC1695" s="1590"/>
      <c r="AD1695" s="1666"/>
      <c r="AE1695" s="1590"/>
      <c r="AF1695" s="1666"/>
      <c r="AG1695" s="1590"/>
      <c r="AH1695" s="1625" t="str">
        <f t="shared" si="562"/>
        <v>PGMI-3</v>
      </c>
      <c r="AI1695" s="1675">
        <f t="shared" ref="AI1695:AI1717" si="574">SUM(J1695,L1695,N1695,P1695,R1695,T1695,V1695,X1695,Z1695,AB1695,AD1695,AF1695,AM1695)</f>
        <v>17700000</v>
      </c>
      <c r="AJ1695" s="1675">
        <f t="shared" ref="AJ1695:AJ1717" si="575">(COUNT(L1695,N1695,P1695,R1695,T1695,V1695,X1695,Z1695)*$G$1507)+(COUNT(J1695)*$J$1507)+(COUNT(AB1695)*$AB$1507)+(COUNT(AD1695)*$AD$1507)+(COUNT(AF1695)*$AF$1507)+(COUNT(AM1695)*$AM$1507)</f>
        <v>17700000</v>
      </c>
      <c r="AK1695" s="1520">
        <f t="shared" ref="AK1695" si="576">AJ1695-AI1695</f>
        <v>0</v>
      </c>
      <c r="AL1695" s="2187" t="str">
        <f t="shared" ref="AL1695" si="577">IF(AK1695=0,"Lunas","Cek")</f>
        <v>Lunas</v>
      </c>
      <c r="AM1695" s="1666"/>
      <c r="AN1695" s="1590"/>
      <c r="AO1695"/>
      <c r="AP1695"/>
      <c r="AQ1695" s="1128"/>
      <c r="AR1695" s="1173"/>
      <c r="AT1695" s="1173"/>
      <c r="AV1695" s="1173"/>
      <c r="AX1695" s="1173"/>
      <c r="AY1695" s="1176"/>
      <c r="AZ1695" s="1173"/>
    </row>
    <row r="1696" spans="1:52" s="2" customFormat="1" x14ac:dyDescent="0.25">
      <c r="A1696" s="2132">
        <v>1566</v>
      </c>
      <c r="B1696" s="2133">
        <v>2</v>
      </c>
      <c r="C1696" s="2147">
        <v>849418002</v>
      </c>
      <c r="D1696" s="2146" t="s">
        <v>2206</v>
      </c>
      <c r="E1696" s="179" t="s">
        <v>2205</v>
      </c>
      <c r="F1696" s="161">
        <v>2018</v>
      </c>
      <c r="G1696" s="272" t="s">
        <v>33</v>
      </c>
      <c r="H1696" s="628">
        <f t="shared" si="564"/>
        <v>44076</v>
      </c>
      <c r="I1696" s="580">
        <f t="shared" si="565"/>
        <v>44186</v>
      </c>
      <c r="J1696" s="1364">
        <v>2700000</v>
      </c>
      <c r="K1696" s="1365">
        <v>43307</v>
      </c>
      <c r="L1696" s="1358">
        <v>3750000</v>
      </c>
      <c r="M1696" s="1365">
        <v>43307</v>
      </c>
      <c r="N1696" s="1358">
        <v>3750000</v>
      </c>
      <c r="O1696" s="1357">
        <v>43481</v>
      </c>
      <c r="P1696" s="1385">
        <v>3750000</v>
      </c>
      <c r="Q1696" s="1357">
        <v>43644.337847222203</v>
      </c>
      <c r="R1696" s="1874">
        <v>3750000</v>
      </c>
      <c r="S1696" s="1357">
        <v>43858.466157407398</v>
      </c>
      <c r="T1696" s="1714"/>
      <c r="U1696" s="1391"/>
      <c r="V1696" s="1363"/>
      <c r="W1696" s="1391"/>
      <c r="X1696" s="1363"/>
      <c r="Y1696" s="1391"/>
      <c r="Z1696" s="1363"/>
      <c r="AA1696" s="1391"/>
      <c r="AB1696" s="1874">
        <v>1000000</v>
      </c>
      <c r="AC1696" s="1357">
        <v>44145</v>
      </c>
      <c r="AD1696" s="1809">
        <v>1200000</v>
      </c>
      <c r="AE1696" s="1357">
        <v>44145</v>
      </c>
      <c r="AF1696" s="1809">
        <v>1600000</v>
      </c>
      <c r="AG1696" s="1357">
        <v>44145</v>
      </c>
      <c r="AH1696" s="1625" t="str">
        <f t="shared" si="562"/>
        <v>PGMI-3</v>
      </c>
      <c r="AI1696" s="1675">
        <f t="shared" si="574"/>
        <v>22000000</v>
      </c>
      <c r="AJ1696" s="1675">
        <f t="shared" si="575"/>
        <v>22000000</v>
      </c>
      <c r="AK1696" s="1520">
        <f t="shared" ref="AK1696" si="578">AJ1696-AI1696</f>
        <v>0</v>
      </c>
      <c r="AL1696" s="2210" t="str">
        <f t="shared" ref="AL1696" si="579">IF(AK1696=0,"Lunas","Cek")</f>
        <v>Lunas</v>
      </c>
      <c r="AM1696" s="1666">
        <v>500000</v>
      </c>
      <c r="AN1696" s="1590">
        <v>44091</v>
      </c>
      <c r="AO1696"/>
      <c r="AP1696"/>
      <c r="AQ1696" s="1128"/>
      <c r="AR1696" s="1173"/>
      <c r="AT1696" s="1173"/>
      <c r="AV1696" s="1173"/>
      <c r="AX1696" s="1173"/>
      <c r="AY1696" s="1176"/>
      <c r="AZ1696" s="1173"/>
    </row>
    <row r="1697" spans="1:52" s="2" customFormat="1" x14ac:dyDescent="0.25">
      <c r="A1697" s="670">
        <v>1567</v>
      </c>
      <c r="B1697" s="2133">
        <v>3</v>
      </c>
      <c r="C1697" s="2145">
        <v>849418003</v>
      </c>
      <c r="D1697" s="2146" t="s">
        <v>2207</v>
      </c>
      <c r="E1697" s="179" t="s">
        <v>2205</v>
      </c>
      <c r="F1697" s="161">
        <v>2018</v>
      </c>
      <c r="G1697" s="272" t="s">
        <v>1483</v>
      </c>
      <c r="H1697" s="2211" t="str">
        <f t="shared" si="564"/>
        <v xml:space="preserve">   </v>
      </c>
      <c r="I1697" s="2211" t="str">
        <f t="shared" si="565"/>
        <v xml:space="preserve">   </v>
      </c>
      <c r="J1697" s="1364">
        <v>2700000</v>
      </c>
      <c r="K1697" s="1365">
        <v>43313</v>
      </c>
      <c r="L1697" s="1358">
        <v>3750000</v>
      </c>
      <c r="M1697" s="1365">
        <v>43313</v>
      </c>
      <c r="N1697" s="1358">
        <v>3750000</v>
      </c>
      <c r="O1697" s="1357">
        <v>43480</v>
      </c>
      <c r="P1697" s="1385">
        <v>3750000</v>
      </c>
      <c r="Q1697" s="1357">
        <v>43635.492847222202</v>
      </c>
      <c r="R1697" s="1874">
        <v>3750000</v>
      </c>
      <c r="S1697" s="1357">
        <v>43853.621145833298</v>
      </c>
      <c r="T1697" s="1874">
        <v>3750000</v>
      </c>
      <c r="U1697" s="1357">
        <v>44054.412662037001</v>
      </c>
      <c r="V1697" s="1363"/>
      <c r="W1697" s="1391"/>
      <c r="X1697" s="1363"/>
      <c r="Y1697" s="1391"/>
      <c r="Z1697" s="1363"/>
      <c r="AA1697" s="1391"/>
      <c r="AB1697" s="1874">
        <v>1000000</v>
      </c>
      <c r="AC1697" s="1357">
        <v>44137</v>
      </c>
      <c r="AD1697" s="1809">
        <v>1200000</v>
      </c>
      <c r="AE1697" s="1357">
        <v>44137</v>
      </c>
      <c r="AF1697" s="1809">
        <v>1600000</v>
      </c>
      <c r="AG1697" s="1440">
        <v>44179</v>
      </c>
      <c r="AH1697" s="2233" t="str">
        <f t="shared" si="562"/>
        <v>PGMI-3</v>
      </c>
      <c r="AI1697" s="1425">
        <f t="shared" si="574"/>
        <v>25750000</v>
      </c>
      <c r="AJ1697" s="1425">
        <f t="shared" si="575"/>
        <v>25750000</v>
      </c>
      <c r="AK1697" s="1425">
        <f t="shared" ref="AK1697:AK1717" si="580">AJ1697-AI1697</f>
        <v>0</v>
      </c>
      <c r="AL1697" s="2234" t="str">
        <f t="shared" ref="AL1697:AL1717" si="581">IF(AK1697=0,"Lunas","Cek")</f>
        <v>Lunas</v>
      </c>
      <c r="AM1697" s="1809">
        <v>500000</v>
      </c>
      <c r="AN1697" s="1440">
        <v>44202</v>
      </c>
      <c r="AO1697"/>
      <c r="AP1697"/>
      <c r="AQ1697" s="1128"/>
      <c r="AR1697" s="1173"/>
      <c r="AT1697" s="1173"/>
      <c r="AV1697" s="1173"/>
      <c r="AX1697" s="1173"/>
      <c r="AY1697" s="1176"/>
      <c r="AZ1697" s="1173"/>
    </row>
    <row r="1698" spans="1:52" s="2" customFormat="1" x14ac:dyDescent="0.25">
      <c r="A1698" s="670">
        <v>1568</v>
      </c>
      <c r="B1698" s="671">
        <v>4</v>
      </c>
      <c r="C1698" s="2147">
        <v>849418004</v>
      </c>
      <c r="D1698" s="701" t="s">
        <v>2208</v>
      </c>
      <c r="E1698" s="441" t="s">
        <v>2205</v>
      </c>
      <c r="F1698" s="175">
        <v>2018</v>
      </c>
      <c r="G1698" s="581" t="s">
        <v>1833</v>
      </c>
      <c r="H1698" s="580" t="str">
        <f t="shared" si="564"/>
        <v xml:space="preserve">   </v>
      </c>
      <c r="I1698" s="580" t="str">
        <f t="shared" si="565"/>
        <v xml:space="preserve">   </v>
      </c>
      <c r="J1698" s="1366">
        <v>2700000</v>
      </c>
      <c r="K1698" s="1360">
        <v>43312</v>
      </c>
      <c r="L1698" s="1363">
        <v>3750000</v>
      </c>
      <c r="M1698" s="1360">
        <v>43312</v>
      </c>
      <c r="N1698" s="1363">
        <v>3750000</v>
      </c>
      <c r="O1698" s="1367">
        <v>43482</v>
      </c>
      <c r="P1698" s="1714">
        <v>3750000</v>
      </c>
      <c r="Q1698" s="1367">
        <v>43641.378657407397</v>
      </c>
      <c r="R1698" s="1731">
        <v>3750000</v>
      </c>
      <c r="S1698" s="1367">
        <v>43859.343518518501</v>
      </c>
      <c r="T1698" s="1186" t="s">
        <v>1078</v>
      </c>
      <c r="U1698" s="1386">
        <v>44071</v>
      </c>
      <c r="V1698" s="1363"/>
      <c r="W1698" s="1391"/>
      <c r="X1698" s="1363"/>
      <c r="Y1698" s="1391"/>
      <c r="Z1698" s="1363"/>
      <c r="AA1698" s="1391"/>
      <c r="AB1698" s="1731"/>
      <c r="AC1698" s="1367"/>
      <c r="AD1698" s="1666"/>
      <c r="AE1698" s="1590"/>
      <c r="AF1698" s="1666"/>
      <c r="AG1698" s="1590"/>
      <c r="AH1698" s="1625" t="str">
        <f t="shared" si="562"/>
        <v>PGMI-3</v>
      </c>
      <c r="AI1698" s="1675">
        <f t="shared" si="574"/>
        <v>17700000</v>
      </c>
      <c r="AJ1698" s="1675">
        <f t="shared" si="575"/>
        <v>17700000</v>
      </c>
      <c r="AK1698" s="1520">
        <f t="shared" si="580"/>
        <v>0</v>
      </c>
      <c r="AL1698" s="2210" t="str">
        <f t="shared" si="581"/>
        <v>Lunas</v>
      </c>
      <c r="AM1698" s="1666"/>
      <c r="AN1698" s="1590"/>
      <c r="AO1698"/>
      <c r="AP1698"/>
      <c r="AQ1698" s="1128"/>
      <c r="AR1698" s="1173"/>
      <c r="AT1698" s="1173"/>
      <c r="AV1698" s="1173"/>
      <c r="AX1698" s="1173"/>
      <c r="AY1698" s="1176"/>
      <c r="AZ1698" s="1173"/>
    </row>
    <row r="1699" spans="1:52" s="2" customFormat="1" x14ac:dyDescent="0.25">
      <c r="A1699" s="670">
        <v>1569</v>
      </c>
      <c r="B1699" s="671">
        <v>5</v>
      </c>
      <c r="C1699" s="2147">
        <v>849418005</v>
      </c>
      <c r="D1699" s="701" t="s">
        <v>2209</v>
      </c>
      <c r="E1699" s="441" t="s">
        <v>2205</v>
      </c>
      <c r="F1699" s="175">
        <v>2018</v>
      </c>
      <c r="G1699" s="360" t="s">
        <v>1483</v>
      </c>
      <c r="H1699" s="580" t="str">
        <f t="shared" si="564"/>
        <v xml:space="preserve">   </v>
      </c>
      <c r="I1699" s="580" t="str">
        <f t="shared" si="565"/>
        <v xml:space="preserve">   </v>
      </c>
      <c r="J1699" s="1366">
        <v>2700000</v>
      </c>
      <c r="K1699" s="1360">
        <v>43312</v>
      </c>
      <c r="L1699" s="1363">
        <v>3750000</v>
      </c>
      <c r="M1699" s="1360">
        <v>43312</v>
      </c>
      <c r="N1699" s="1363">
        <v>3750000</v>
      </c>
      <c r="O1699" s="1367">
        <v>43481</v>
      </c>
      <c r="P1699" s="1714">
        <v>3750000</v>
      </c>
      <c r="Q1699" s="1367">
        <v>43640.395046296297</v>
      </c>
      <c r="R1699" s="1731">
        <v>3750000</v>
      </c>
      <c r="S1699" s="1367">
        <v>43858.392233796301</v>
      </c>
      <c r="T1699" s="1731">
        <v>3750000</v>
      </c>
      <c r="U1699" s="1367">
        <v>44070.404201388897</v>
      </c>
      <c r="V1699" s="1363"/>
      <c r="W1699" s="1391"/>
      <c r="X1699" s="1363"/>
      <c r="Y1699" s="1391"/>
      <c r="Z1699" s="1363"/>
      <c r="AA1699" s="1391"/>
      <c r="AB1699" s="1731"/>
      <c r="AC1699" s="1367"/>
      <c r="AD1699" s="1666"/>
      <c r="AE1699" s="1590"/>
      <c r="AF1699" s="1666"/>
      <c r="AG1699" s="1590"/>
      <c r="AH1699" s="1625" t="str">
        <f t="shared" ref="AH1699:AH1762" si="582">E1699</f>
        <v>PGMI-3</v>
      </c>
      <c r="AI1699" s="1675">
        <f t="shared" si="574"/>
        <v>21450000</v>
      </c>
      <c r="AJ1699" s="1675">
        <f t="shared" si="575"/>
        <v>21450000</v>
      </c>
      <c r="AK1699" s="1520">
        <f t="shared" si="580"/>
        <v>0</v>
      </c>
      <c r="AL1699" s="2210" t="str">
        <f t="shared" si="581"/>
        <v>Lunas</v>
      </c>
      <c r="AM1699" s="1666"/>
      <c r="AN1699" s="1590"/>
      <c r="AO1699"/>
      <c r="AP1699"/>
      <c r="AQ1699" s="1128"/>
      <c r="AR1699" s="1173"/>
      <c r="AT1699" s="1173"/>
      <c r="AV1699" s="1173"/>
      <c r="AX1699" s="1173"/>
      <c r="AY1699" s="1176"/>
      <c r="AZ1699" s="1173"/>
    </row>
    <row r="1700" spans="1:52" s="2" customFormat="1" x14ac:dyDescent="0.25">
      <c r="A1700" s="670">
        <v>1570</v>
      </c>
      <c r="B1700" s="671">
        <v>6</v>
      </c>
      <c r="C1700" s="2147">
        <v>849418006</v>
      </c>
      <c r="D1700" s="701" t="s">
        <v>2210</v>
      </c>
      <c r="E1700" s="441" t="s">
        <v>2205</v>
      </c>
      <c r="F1700" s="175">
        <v>2018</v>
      </c>
      <c r="G1700" s="581" t="s">
        <v>1833</v>
      </c>
      <c r="H1700" s="580" t="str">
        <f t="shared" si="564"/>
        <v xml:space="preserve">   </v>
      </c>
      <c r="I1700" s="580" t="str">
        <f t="shared" si="565"/>
        <v xml:space="preserve">   </v>
      </c>
      <c r="J1700" s="1366">
        <v>2700000</v>
      </c>
      <c r="K1700" s="1360">
        <v>43314</v>
      </c>
      <c r="L1700" s="1363">
        <v>3750000</v>
      </c>
      <c r="M1700" s="1360">
        <v>43332</v>
      </c>
      <c r="N1700" s="1363">
        <v>3750000</v>
      </c>
      <c r="O1700" s="1367">
        <v>43483</v>
      </c>
      <c r="P1700" s="1714">
        <v>3750000</v>
      </c>
      <c r="Q1700" s="1367">
        <v>43643.584178240701</v>
      </c>
      <c r="R1700" s="2077" t="s">
        <v>1078</v>
      </c>
      <c r="S1700" s="1386">
        <v>43861</v>
      </c>
      <c r="T1700" s="1186" t="s">
        <v>1078</v>
      </c>
      <c r="U1700" s="1386">
        <v>44071</v>
      </c>
      <c r="V1700" s="1363"/>
      <c r="W1700" s="1391"/>
      <c r="X1700" s="1363"/>
      <c r="Y1700" s="1391"/>
      <c r="Z1700" s="1363"/>
      <c r="AA1700" s="1391"/>
      <c r="AB1700" s="1731"/>
      <c r="AC1700" s="1367"/>
      <c r="AD1700" s="1666"/>
      <c r="AE1700" s="1590"/>
      <c r="AF1700" s="1666"/>
      <c r="AG1700" s="1590"/>
      <c r="AH1700" s="1625" t="str">
        <f t="shared" si="582"/>
        <v>PGMI-3</v>
      </c>
      <c r="AI1700" s="1675">
        <f t="shared" si="574"/>
        <v>13950000</v>
      </c>
      <c r="AJ1700" s="1675">
        <f t="shared" si="575"/>
        <v>13950000</v>
      </c>
      <c r="AK1700" s="1520">
        <f t="shared" si="580"/>
        <v>0</v>
      </c>
      <c r="AL1700" s="2210" t="str">
        <f t="shared" si="581"/>
        <v>Lunas</v>
      </c>
      <c r="AM1700" s="1666"/>
      <c r="AN1700" s="1590"/>
      <c r="AO1700"/>
      <c r="AP1700"/>
      <c r="AQ1700" s="1128"/>
      <c r="AR1700" s="1173"/>
      <c r="AT1700" s="1173"/>
      <c r="AV1700" s="1173"/>
      <c r="AX1700" s="1173"/>
      <c r="AY1700" s="1176"/>
      <c r="AZ1700" s="1173"/>
    </row>
    <row r="1701" spans="1:52" s="2" customFormat="1" x14ac:dyDescent="0.25">
      <c r="A1701" s="670">
        <v>1571</v>
      </c>
      <c r="B1701" s="671">
        <v>7</v>
      </c>
      <c r="C1701" s="2147">
        <v>849418007</v>
      </c>
      <c r="D1701" s="701" t="s">
        <v>2211</v>
      </c>
      <c r="E1701" s="441" t="s">
        <v>2205</v>
      </c>
      <c r="F1701" s="175">
        <v>2018</v>
      </c>
      <c r="G1701" s="360" t="s">
        <v>1483</v>
      </c>
      <c r="H1701" s="580" t="str">
        <f t="shared" si="564"/>
        <v xml:space="preserve">   </v>
      </c>
      <c r="I1701" s="580" t="str">
        <f t="shared" si="565"/>
        <v xml:space="preserve">   </v>
      </c>
      <c r="J1701" s="1366">
        <v>2700000</v>
      </c>
      <c r="K1701" s="1360">
        <v>43312</v>
      </c>
      <c r="L1701" s="1363">
        <v>3750000</v>
      </c>
      <c r="M1701" s="1360">
        <v>43312</v>
      </c>
      <c r="N1701" s="1363">
        <v>3750000</v>
      </c>
      <c r="O1701" s="1367">
        <v>43482</v>
      </c>
      <c r="P1701" s="1714">
        <v>3750000</v>
      </c>
      <c r="Q1701" s="1367">
        <v>43643.382835648103</v>
      </c>
      <c r="R1701" s="1731">
        <v>3750000</v>
      </c>
      <c r="S1701" s="1367">
        <v>43861.494594907403</v>
      </c>
      <c r="T1701" s="1731">
        <v>3750000</v>
      </c>
      <c r="U1701" s="1367">
        <v>44071.366215277798</v>
      </c>
      <c r="V1701" s="1363"/>
      <c r="W1701" s="1391"/>
      <c r="X1701" s="1363"/>
      <c r="Y1701" s="1391"/>
      <c r="Z1701" s="1363"/>
      <c r="AA1701" s="1391"/>
      <c r="AB1701" s="1731">
        <v>1000000</v>
      </c>
      <c r="AC1701" s="1367">
        <v>44124</v>
      </c>
      <c r="AD1701" s="1666">
        <v>1200000</v>
      </c>
      <c r="AE1701" s="1367">
        <v>44124</v>
      </c>
      <c r="AF1701" s="1666"/>
      <c r="AG1701" s="1590"/>
      <c r="AH1701" s="1625" t="str">
        <f t="shared" si="582"/>
        <v>PGMI-3</v>
      </c>
      <c r="AI1701" s="1675">
        <f t="shared" si="574"/>
        <v>24150000</v>
      </c>
      <c r="AJ1701" s="1675">
        <f t="shared" si="575"/>
        <v>24150000</v>
      </c>
      <c r="AK1701" s="1520">
        <f t="shared" si="580"/>
        <v>0</v>
      </c>
      <c r="AL1701" s="2210" t="str">
        <f t="shared" si="581"/>
        <v>Lunas</v>
      </c>
      <c r="AM1701" s="1666">
        <v>500000</v>
      </c>
      <c r="AN1701" s="1590"/>
      <c r="AO1701"/>
      <c r="AP1701"/>
      <c r="AQ1701" s="1128"/>
      <c r="AR1701" s="1173"/>
      <c r="AT1701" s="1173"/>
      <c r="AV1701" s="1173"/>
      <c r="AX1701" s="1173"/>
      <c r="AY1701" s="1176"/>
      <c r="AZ1701" s="1173"/>
    </row>
    <row r="1702" spans="1:52" s="2" customFormat="1" x14ac:dyDescent="0.25">
      <c r="A1702" s="670">
        <v>1572</v>
      </c>
      <c r="B1702" s="671">
        <v>8</v>
      </c>
      <c r="C1702" s="2147">
        <v>849418008</v>
      </c>
      <c r="D1702" s="701" t="s">
        <v>2212</v>
      </c>
      <c r="E1702" s="441" t="s">
        <v>2205</v>
      </c>
      <c r="F1702" s="175">
        <v>2018</v>
      </c>
      <c r="G1702" s="581" t="s">
        <v>1833</v>
      </c>
      <c r="H1702" s="580" t="str">
        <f t="shared" si="564"/>
        <v xml:space="preserve">   </v>
      </c>
      <c r="I1702" s="580" t="str">
        <f t="shared" si="565"/>
        <v xml:space="preserve">   </v>
      </c>
      <c r="J1702" s="1366">
        <v>2700000</v>
      </c>
      <c r="K1702" s="1360">
        <v>43314</v>
      </c>
      <c r="L1702" s="1363">
        <v>3750000</v>
      </c>
      <c r="M1702" s="1360">
        <v>43314</v>
      </c>
      <c r="N1702" s="1363">
        <v>3750000</v>
      </c>
      <c r="O1702" s="1367">
        <v>43481</v>
      </c>
      <c r="P1702" s="1714">
        <v>3750000</v>
      </c>
      <c r="Q1702" s="1367">
        <v>43642.453449074099</v>
      </c>
      <c r="R1702" s="1731">
        <v>3750000</v>
      </c>
      <c r="S1702" s="1367">
        <v>43861.551620370403</v>
      </c>
      <c r="T1702" s="1186" t="s">
        <v>1078</v>
      </c>
      <c r="U1702" s="1386">
        <v>44071</v>
      </c>
      <c r="V1702" s="1363"/>
      <c r="W1702" s="1391"/>
      <c r="X1702" s="1363"/>
      <c r="Y1702" s="1391"/>
      <c r="Z1702" s="1363"/>
      <c r="AA1702" s="1391"/>
      <c r="AB1702" s="1731"/>
      <c r="AC1702" s="1367"/>
      <c r="AD1702" s="1666"/>
      <c r="AE1702" s="1590"/>
      <c r="AF1702" s="1666"/>
      <c r="AG1702" s="1590"/>
      <c r="AH1702" s="1625" t="str">
        <f t="shared" si="582"/>
        <v>PGMI-3</v>
      </c>
      <c r="AI1702" s="1675">
        <f t="shared" si="574"/>
        <v>17700000</v>
      </c>
      <c r="AJ1702" s="1675">
        <f t="shared" si="575"/>
        <v>17700000</v>
      </c>
      <c r="AK1702" s="1520">
        <f t="shared" si="580"/>
        <v>0</v>
      </c>
      <c r="AL1702" s="2210" t="str">
        <f t="shared" si="581"/>
        <v>Lunas</v>
      </c>
      <c r="AM1702" s="1666"/>
      <c r="AN1702" s="1590"/>
      <c r="AO1702"/>
      <c r="AP1702"/>
      <c r="AQ1702" s="1128"/>
      <c r="AR1702" s="1173"/>
      <c r="AT1702" s="1173"/>
      <c r="AV1702" s="1173"/>
      <c r="AX1702" s="1173"/>
      <c r="AY1702" s="1176"/>
      <c r="AZ1702" s="1173"/>
    </row>
    <row r="1703" spans="1:52" s="2" customFormat="1" x14ac:dyDescent="0.25">
      <c r="A1703" s="670">
        <v>1573</v>
      </c>
      <c r="B1703" s="671">
        <v>9</v>
      </c>
      <c r="C1703" s="2147">
        <v>849418009</v>
      </c>
      <c r="D1703" s="701" t="s">
        <v>2213</v>
      </c>
      <c r="E1703" s="441" t="s">
        <v>2205</v>
      </c>
      <c r="F1703" s="175">
        <v>2018</v>
      </c>
      <c r="G1703" s="360" t="s">
        <v>1483</v>
      </c>
      <c r="H1703" s="580" t="str">
        <f t="shared" si="564"/>
        <v xml:space="preserve">   </v>
      </c>
      <c r="I1703" s="580" t="str">
        <f t="shared" si="565"/>
        <v xml:space="preserve">   </v>
      </c>
      <c r="J1703" s="1366">
        <v>2700000</v>
      </c>
      <c r="K1703" s="1360">
        <v>43311</v>
      </c>
      <c r="L1703" s="1363">
        <v>3750000</v>
      </c>
      <c r="M1703" s="1360">
        <v>43311</v>
      </c>
      <c r="N1703" s="1363">
        <v>3750000</v>
      </c>
      <c r="O1703" s="1367">
        <v>43482</v>
      </c>
      <c r="P1703" s="1714">
        <v>3750000</v>
      </c>
      <c r="Q1703" s="1367">
        <v>43643.398761574099</v>
      </c>
      <c r="R1703" s="1731">
        <v>3750000</v>
      </c>
      <c r="S1703" s="1367">
        <v>43860.3895486111</v>
      </c>
      <c r="T1703" s="1731">
        <v>3750000</v>
      </c>
      <c r="U1703" s="1367">
        <v>44055.359444444402</v>
      </c>
      <c r="V1703" s="1363"/>
      <c r="W1703" s="1391"/>
      <c r="X1703" s="1363"/>
      <c r="Y1703" s="1391"/>
      <c r="Z1703" s="1363"/>
      <c r="AA1703" s="1391"/>
      <c r="AB1703" s="1731"/>
      <c r="AC1703" s="1367"/>
      <c r="AD1703" s="1666"/>
      <c r="AE1703" s="1590"/>
      <c r="AF1703" s="1666"/>
      <c r="AG1703" s="1590"/>
      <c r="AH1703" s="1625" t="str">
        <f t="shared" si="582"/>
        <v>PGMI-3</v>
      </c>
      <c r="AI1703" s="1675">
        <f t="shared" si="574"/>
        <v>21450000</v>
      </c>
      <c r="AJ1703" s="1675">
        <f t="shared" si="575"/>
        <v>21450000</v>
      </c>
      <c r="AK1703" s="1520">
        <f t="shared" si="580"/>
        <v>0</v>
      </c>
      <c r="AL1703" s="2210" t="str">
        <f t="shared" si="581"/>
        <v>Lunas</v>
      </c>
      <c r="AM1703" s="1666"/>
      <c r="AN1703" s="1590"/>
      <c r="AO1703"/>
      <c r="AP1703"/>
      <c r="AQ1703" s="1128"/>
      <c r="AR1703" s="1173"/>
      <c r="AT1703" s="1173"/>
      <c r="AV1703" s="1173"/>
      <c r="AX1703" s="1173"/>
      <c r="AY1703" s="1176"/>
      <c r="AZ1703" s="1173"/>
    </row>
    <row r="1704" spans="1:52" s="2" customFormat="1" x14ac:dyDescent="0.25">
      <c r="A1704" s="670">
        <v>1574</v>
      </c>
      <c r="B1704" s="671">
        <v>10</v>
      </c>
      <c r="C1704" s="2147">
        <v>849418010</v>
      </c>
      <c r="D1704" s="701" t="s">
        <v>2214</v>
      </c>
      <c r="E1704" s="441" t="s">
        <v>2205</v>
      </c>
      <c r="F1704" s="175">
        <v>2018</v>
      </c>
      <c r="G1704" s="360" t="s">
        <v>1483</v>
      </c>
      <c r="H1704" s="580" t="str">
        <f t="shared" si="564"/>
        <v xml:space="preserve">   </v>
      </c>
      <c r="I1704" s="580" t="str">
        <f t="shared" si="565"/>
        <v xml:space="preserve">   </v>
      </c>
      <c r="J1704" s="1366">
        <v>2700000</v>
      </c>
      <c r="K1704" s="1360">
        <v>43313</v>
      </c>
      <c r="L1704" s="1363">
        <v>3750000</v>
      </c>
      <c r="M1704" s="1360">
        <v>43313</v>
      </c>
      <c r="N1704" s="1363">
        <v>3750000</v>
      </c>
      <c r="O1704" s="1367">
        <v>43481</v>
      </c>
      <c r="P1704" s="1714">
        <v>3750000</v>
      </c>
      <c r="Q1704" s="1367">
        <v>43644.3904861111</v>
      </c>
      <c r="R1704" s="1731">
        <v>3750000</v>
      </c>
      <c r="S1704" s="1367">
        <v>43861.606793981497</v>
      </c>
      <c r="T1704" s="1731">
        <v>3750000</v>
      </c>
      <c r="U1704" s="1386">
        <v>44071.471053240697</v>
      </c>
      <c r="V1704" s="1363"/>
      <c r="W1704" s="1391"/>
      <c r="X1704" s="1363"/>
      <c r="Y1704" s="1391"/>
      <c r="Z1704" s="1363"/>
      <c r="AA1704" s="1391"/>
      <c r="AB1704" s="1731">
        <v>1000000</v>
      </c>
      <c r="AC1704" s="1367">
        <v>44169</v>
      </c>
      <c r="AD1704" s="1666">
        <v>1200000</v>
      </c>
      <c r="AE1704" s="1590">
        <v>44169</v>
      </c>
      <c r="AF1704" s="1666"/>
      <c r="AG1704" s="1590"/>
      <c r="AH1704" s="1625" t="str">
        <f t="shared" si="582"/>
        <v>PGMI-3</v>
      </c>
      <c r="AI1704" s="1675">
        <f t="shared" si="574"/>
        <v>23650000</v>
      </c>
      <c r="AJ1704" s="1675">
        <f t="shared" si="575"/>
        <v>23650000</v>
      </c>
      <c r="AK1704" s="1520">
        <f t="shared" si="580"/>
        <v>0</v>
      </c>
      <c r="AL1704" s="2210" t="str">
        <f t="shared" si="581"/>
        <v>Lunas</v>
      </c>
      <c r="AM1704" s="1666"/>
      <c r="AN1704" s="1590"/>
      <c r="AO1704"/>
      <c r="AP1704"/>
      <c r="AQ1704" s="1128"/>
      <c r="AR1704" s="1173"/>
      <c r="AT1704" s="1173"/>
      <c r="AV1704" s="1173"/>
      <c r="AX1704" s="1173"/>
      <c r="AY1704" s="1176"/>
      <c r="AZ1704" s="1173"/>
    </row>
    <row r="1705" spans="1:52" s="2" customFormat="1" x14ac:dyDescent="0.25">
      <c r="A1705" s="670">
        <v>1575</v>
      </c>
      <c r="B1705" s="671">
        <v>11</v>
      </c>
      <c r="C1705" s="2147">
        <v>849418011</v>
      </c>
      <c r="D1705" s="701" t="s">
        <v>2215</v>
      </c>
      <c r="E1705" s="441" t="s">
        <v>2205</v>
      </c>
      <c r="F1705" s="175">
        <v>2018</v>
      </c>
      <c r="G1705" s="581" t="s">
        <v>1833</v>
      </c>
      <c r="H1705" s="580" t="str">
        <f t="shared" si="564"/>
        <v xml:space="preserve">   </v>
      </c>
      <c r="I1705" s="580" t="str">
        <f t="shared" si="565"/>
        <v xml:space="preserve">   </v>
      </c>
      <c r="J1705" s="1366">
        <v>2700000</v>
      </c>
      <c r="K1705" s="1360">
        <v>43312</v>
      </c>
      <c r="L1705" s="1363">
        <v>3750000</v>
      </c>
      <c r="M1705" s="1360">
        <v>43312</v>
      </c>
      <c r="N1705" s="1363">
        <v>3750000</v>
      </c>
      <c r="O1705" s="1367">
        <v>43482</v>
      </c>
      <c r="P1705" s="1714">
        <v>3750000</v>
      </c>
      <c r="Q1705" s="1367">
        <v>43643.594212962998</v>
      </c>
      <c r="R1705" s="1731">
        <v>3750000</v>
      </c>
      <c r="S1705" s="2231">
        <v>43875</v>
      </c>
      <c r="T1705" s="1186" t="s">
        <v>1078</v>
      </c>
      <c r="U1705" s="1386">
        <v>44071</v>
      </c>
      <c r="V1705" s="1363"/>
      <c r="W1705" s="1391"/>
      <c r="X1705" s="1363"/>
      <c r="Y1705" s="1391"/>
      <c r="Z1705" s="1363"/>
      <c r="AA1705" s="1391"/>
      <c r="AB1705" s="1731"/>
      <c r="AC1705" s="1367"/>
      <c r="AD1705" s="1666"/>
      <c r="AE1705" s="1590"/>
      <c r="AF1705" s="1666"/>
      <c r="AG1705" s="1590"/>
      <c r="AH1705" s="1625" t="str">
        <f t="shared" si="582"/>
        <v>PGMI-3</v>
      </c>
      <c r="AI1705" s="1675">
        <f t="shared" si="574"/>
        <v>17700000</v>
      </c>
      <c r="AJ1705" s="1675">
        <f t="shared" si="575"/>
        <v>17700000</v>
      </c>
      <c r="AK1705" s="1520">
        <f t="shared" si="580"/>
        <v>0</v>
      </c>
      <c r="AL1705" s="2210" t="str">
        <f t="shared" si="581"/>
        <v>Lunas</v>
      </c>
      <c r="AM1705" s="1666"/>
      <c r="AN1705" s="1590"/>
      <c r="AO1705"/>
      <c r="AP1705"/>
      <c r="AQ1705" s="1128"/>
      <c r="AR1705" s="1173"/>
      <c r="AT1705" s="1173"/>
      <c r="AV1705" s="1173"/>
      <c r="AX1705" s="1173"/>
      <c r="AY1705" s="1176"/>
      <c r="AZ1705" s="1173"/>
    </row>
    <row r="1706" spans="1:52" s="2" customFormat="1" x14ac:dyDescent="0.25">
      <c r="A1706" s="670">
        <v>1576</v>
      </c>
      <c r="B1706" s="2133">
        <v>12</v>
      </c>
      <c r="C1706" s="2145">
        <v>849418012</v>
      </c>
      <c r="D1706" s="2146" t="s">
        <v>2216</v>
      </c>
      <c r="E1706" s="179" t="s">
        <v>2205</v>
      </c>
      <c r="F1706" s="161">
        <v>2018</v>
      </c>
      <c r="G1706" s="272" t="s">
        <v>33</v>
      </c>
      <c r="H1706" s="628">
        <f t="shared" si="564"/>
        <v>43948</v>
      </c>
      <c r="I1706" s="2211">
        <f t="shared" si="565"/>
        <v>44168</v>
      </c>
      <c r="J1706" s="1364">
        <v>2700000</v>
      </c>
      <c r="K1706" s="1365">
        <v>43311</v>
      </c>
      <c r="L1706" s="1358">
        <v>3750000</v>
      </c>
      <c r="M1706" s="1365">
        <v>43311</v>
      </c>
      <c r="N1706" s="1358">
        <v>3750000</v>
      </c>
      <c r="O1706" s="1357">
        <v>43481</v>
      </c>
      <c r="P1706" s="1385">
        <v>3750000</v>
      </c>
      <c r="Q1706" s="1357">
        <v>43637.545011574097</v>
      </c>
      <c r="R1706" s="1874">
        <v>3750000</v>
      </c>
      <c r="S1706" s="1357">
        <v>43854.586597222202</v>
      </c>
      <c r="T1706" s="1714"/>
      <c r="U1706" s="1391"/>
      <c r="V1706" s="1363"/>
      <c r="W1706" s="1391"/>
      <c r="X1706" s="1363"/>
      <c r="Y1706" s="1391"/>
      <c r="Z1706" s="1363"/>
      <c r="AA1706" s="1391"/>
      <c r="AB1706" s="1874">
        <v>1000000</v>
      </c>
      <c r="AC1706" s="1357">
        <v>44131</v>
      </c>
      <c r="AD1706" s="1809">
        <v>1200000</v>
      </c>
      <c r="AE1706" s="1357">
        <v>44131</v>
      </c>
      <c r="AF1706" s="1809">
        <v>1600000</v>
      </c>
      <c r="AG1706" s="1357">
        <v>44131</v>
      </c>
      <c r="AH1706" s="1625" t="str">
        <f t="shared" si="582"/>
        <v>PGMI-3</v>
      </c>
      <c r="AI1706" s="1675">
        <f t="shared" si="574"/>
        <v>22000000</v>
      </c>
      <c r="AJ1706" s="1675">
        <f t="shared" si="575"/>
        <v>22000000</v>
      </c>
      <c r="AK1706" s="1520">
        <f t="shared" si="580"/>
        <v>0</v>
      </c>
      <c r="AL1706" s="2210" t="str">
        <f t="shared" si="581"/>
        <v>Lunas</v>
      </c>
      <c r="AM1706" s="1809">
        <v>500000</v>
      </c>
      <c r="AN1706" s="1440">
        <v>44004</v>
      </c>
      <c r="AO1706"/>
      <c r="AP1706"/>
      <c r="AQ1706" s="1128"/>
      <c r="AR1706" s="1173"/>
      <c r="AT1706" s="1173"/>
      <c r="AV1706" s="1173"/>
      <c r="AX1706" s="1173"/>
      <c r="AY1706" s="1176"/>
      <c r="AZ1706" s="1173"/>
    </row>
    <row r="1707" spans="1:52" s="2" customFormat="1" x14ac:dyDescent="0.25">
      <c r="A1707" s="670">
        <v>1577</v>
      </c>
      <c r="B1707" s="671">
        <v>13</v>
      </c>
      <c r="C1707" s="2147">
        <v>849418013</v>
      </c>
      <c r="D1707" s="701" t="s">
        <v>2217</v>
      </c>
      <c r="E1707" s="441" t="s">
        <v>2205</v>
      </c>
      <c r="F1707" s="175">
        <v>2018</v>
      </c>
      <c r="G1707" s="581" t="s">
        <v>1833</v>
      </c>
      <c r="H1707" s="580" t="str">
        <f t="shared" si="564"/>
        <v xml:space="preserve">   </v>
      </c>
      <c r="I1707" s="580" t="str">
        <f t="shared" si="565"/>
        <v xml:space="preserve">   </v>
      </c>
      <c r="J1707" s="1366">
        <v>2700000</v>
      </c>
      <c r="K1707" s="1360">
        <v>43313</v>
      </c>
      <c r="L1707" s="1363">
        <v>3750000</v>
      </c>
      <c r="M1707" s="1360">
        <v>43313</v>
      </c>
      <c r="N1707" s="1363">
        <v>3750000</v>
      </c>
      <c r="O1707" s="1367">
        <v>43482</v>
      </c>
      <c r="P1707" s="1714">
        <v>3750000</v>
      </c>
      <c r="Q1707" s="1367">
        <v>43642.542789351799</v>
      </c>
      <c r="R1707" s="1731">
        <v>3750000</v>
      </c>
      <c r="S1707" s="1367">
        <v>43861.361851851798</v>
      </c>
      <c r="T1707" s="1186" t="s">
        <v>1078</v>
      </c>
      <c r="U1707" s="1386">
        <v>44071</v>
      </c>
      <c r="V1707" s="1363"/>
      <c r="W1707" s="1391"/>
      <c r="X1707" s="1363"/>
      <c r="Y1707" s="1391"/>
      <c r="Z1707" s="1363"/>
      <c r="AA1707" s="1391"/>
      <c r="AB1707" s="1731"/>
      <c r="AC1707" s="1367"/>
      <c r="AD1707" s="1666"/>
      <c r="AE1707" s="1590"/>
      <c r="AF1707" s="1666"/>
      <c r="AG1707" s="1590"/>
      <c r="AH1707" s="1625" t="str">
        <f t="shared" si="582"/>
        <v>PGMI-3</v>
      </c>
      <c r="AI1707" s="1675">
        <f t="shared" si="574"/>
        <v>17700000</v>
      </c>
      <c r="AJ1707" s="1675">
        <f t="shared" si="575"/>
        <v>17700000</v>
      </c>
      <c r="AK1707" s="1520">
        <f t="shared" si="580"/>
        <v>0</v>
      </c>
      <c r="AL1707" s="2210" t="str">
        <f t="shared" si="581"/>
        <v>Lunas</v>
      </c>
      <c r="AM1707" s="1666"/>
      <c r="AN1707" s="1590"/>
      <c r="AO1707"/>
      <c r="AP1707"/>
      <c r="AQ1707" s="1128"/>
      <c r="AR1707" s="1173"/>
      <c r="AT1707" s="1173"/>
      <c r="AV1707" s="1173"/>
      <c r="AX1707" s="1173"/>
      <c r="AY1707" s="1176"/>
      <c r="AZ1707" s="1173"/>
    </row>
    <row r="1708" spans="1:52" s="2" customFormat="1" x14ac:dyDescent="0.25">
      <c r="A1708" s="670">
        <v>1578</v>
      </c>
      <c r="B1708" s="671">
        <v>14</v>
      </c>
      <c r="C1708" s="2147">
        <v>849418014</v>
      </c>
      <c r="D1708" s="701" t="s">
        <v>2218</v>
      </c>
      <c r="E1708" s="441" t="s">
        <v>2205</v>
      </c>
      <c r="F1708" s="175">
        <v>2018</v>
      </c>
      <c r="G1708" s="1758" t="s">
        <v>28</v>
      </c>
      <c r="H1708" s="580" t="str">
        <f t="shared" si="564"/>
        <v xml:space="preserve">   </v>
      </c>
      <c r="I1708" s="580" t="str">
        <f t="shared" si="565"/>
        <v xml:space="preserve">   </v>
      </c>
      <c r="J1708" s="1366">
        <v>2700000</v>
      </c>
      <c r="K1708" s="1360">
        <v>43312</v>
      </c>
      <c r="L1708" s="1363">
        <v>3750000</v>
      </c>
      <c r="M1708" s="1360">
        <v>43312</v>
      </c>
      <c r="N1708" s="1363">
        <v>3750000</v>
      </c>
      <c r="O1708" s="1367">
        <v>43481</v>
      </c>
      <c r="P1708" s="1186" t="s">
        <v>1078</v>
      </c>
      <c r="Q1708" s="1386">
        <v>43630</v>
      </c>
      <c r="R1708" s="1731">
        <v>0</v>
      </c>
      <c r="S1708" s="1367" t="s">
        <v>783</v>
      </c>
      <c r="T1708" s="1731">
        <v>0</v>
      </c>
      <c r="U1708" s="1367"/>
      <c r="V1708" s="1363"/>
      <c r="W1708" s="1391"/>
      <c r="X1708" s="1363"/>
      <c r="Y1708" s="1391"/>
      <c r="Z1708" s="1363"/>
      <c r="AA1708" s="1391"/>
      <c r="AB1708" s="1731"/>
      <c r="AC1708" s="1367"/>
      <c r="AD1708" s="1666"/>
      <c r="AE1708" s="1590"/>
      <c r="AF1708" s="1666"/>
      <c r="AG1708" s="1590"/>
      <c r="AH1708" s="1625" t="str">
        <f t="shared" si="582"/>
        <v>PGMI-3</v>
      </c>
      <c r="AI1708" s="1675">
        <f t="shared" si="574"/>
        <v>10200000</v>
      </c>
      <c r="AJ1708" s="1675">
        <f t="shared" si="575"/>
        <v>17700000</v>
      </c>
      <c r="AK1708" s="1520">
        <f t="shared" si="580"/>
        <v>7500000</v>
      </c>
      <c r="AL1708" s="2210" t="str">
        <f t="shared" si="581"/>
        <v>Cek</v>
      </c>
      <c r="AM1708" s="1666"/>
      <c r="AN1708" s="1590"/>
      <c r="AO1708"/>
      <c r="AP1708"/>
      <c r="AQ1708" s="1128"/>
      <c r="AR1708" s="1173"/>
      <c r="AT1708" s="1173"/>
      <c r="AV1708" s="1173"/>
      <c r="AX1708" s="1173"/>
      <c r="AY1708" s="1176"/>
      <c r="AZ1708" s="1173"/>
    </row>
    <row r="1709" spans="1:52" s="2" customFormat="1" x14ac:dyDescent="0.25">
      <c r="A1709" s="670">
        <v>1579</v>
      </c>
      <c r="B1709" s="671">
        <v>15</v>
      </c>
      <c r="C1709" s="2147">
        <v>849418015</v>
      </c>
      <c r="D1709" s="701" t="s">
        <v>2219</v>
      </c>
      <c r="E1709" s="441" t="s">
        <v>2205</v>
      </c>
      <c r="F1709" s="175">
        <v>2018</v>
      </c>
      <c r="G1709" s="360" t="s">
        <v>1483</v>
      </c>
      <c r="H1709" s="580" t="str">
        <f t="shared" si="564"/>
        <v xml:space="preserve">   </v>
      </c>
      <c r="I1709" s="580" t="str">
        <f t="shared" si="565"/>
        <v xml:space="preserve">   </v>
      </c>
      <c r="J1709" s="1366">
        <v>2700000</v>
      </c>
      <c r="K1709" s="1360">
        <v>43312</v>
      </c>
      <c r="L1709" s="1363">
        <v>3750000</v>
      </c>
      <c r="M1709" s="1360">
        <v>43312</v>
      </c>
      <c r="N1709" s="1363">
        <v>3750000</v>
      </c>
      <c r="O1709" s="1367">
        <v>43481</v>
      </c>
      <c r="P1709" s="1714">
        <v>3750000</v>
      </c>
      <c r="Q1709" s="1367">
        <v>43643.410497685203</v>
      </c>
      <c r="R1709" s="1731">
        <v>3750000</v>
      </c>
      <c r="S1709" s="1367">
        <v>43854.569571759297</v>
      </c>
      <c r="T1709" s="1731">
        <v>3750000</v>
      </c>
      <c r="U1709" s="1367">
        <v>44070.551909722199</v>
      </c>
      <c r="V1709" s="1363"/>
      <c r="W1709" s="1391"/>
      <c r="X1709" s="1363"/>
      <c r="Y1709" s="1391"/>
      <c r="Z1709" s="1363"/>
      <c r="AA1709" s="1391"/>
      <c r="AB1709" s="1731"/>
      <c r="AC1709" s="1367"/>
      <c r="AD1709" s="1666"/>
      <c r="AE1709" s="1590"/>
      <c r="AF1709" s="1666"/>
      <c r="AG1709" s="1590"/>
      <c r="AH1709" s="1625" t="str">
        <f t="shared" si="582"/>
        <v>PGMI-3</v>
      </c>
      <c r="AI1709" s="1675">
        <f t="shared" si="574"/>
        <v>21450000</v>
      </c>
      <c r="AJ1709" s="1675">
        <f t="shared" si="575"/>
        <v>21450000</v>
      </c>
      <c r="AK1709" s="1520">
        <f t="shared" si="580"/>
        <v>0</v>
      </c>
      <c r="AL1709" s="2210" t="str">
        <f t="shared" si="581"/>
        <v>Lunas</v>
      </c>
      <c r="AM1709" s="1666"/>
      <c r="AN1709" s="1590"/>
      <c r="AO1709"/>
      <c r="AP1709"/>
      <c r="AQ1709" s="1128"/>
      <c r="AR1709" s="1173"/>
      <c r="AT1709" s="1173"/>
      <c r="AV1709" s="1173"/>
      <c r="AX1709" s="1173"/>
      <c r="AY1709" s="1176"/>
      <c r="AZ1709" s="1173"/>
    </row>
    <row r="1710" spans="1:52" s="2" customFormat="1" x14ac:dyDescent="0.25">
      <c r="A1710" s="670">
        <v>1580</v>
      </c>
      <c r="B1710" s="671">
        <v>16</v>
      </c>
      <c r="C1710" s="2147">
        <v>849418016</v>
      </c>
      <c r="D1710" s="701" t="s">
        <v>2220</v>
      </c>
      <c r="E1710" s="441" t="s">
        <v>2205</v>
      </c>
      <c r="F1710" s="175">
        <v>2018</v>
      </c>
      <c r="G1710" s="360" t="s">
        <v>1483</v>
      </c>
      <c r="H1710" s="580" t="str">
        <f t="shared" si="564"/>
        <v xml:space="preserve">   </v>
      </c>
      <c r="I1710" s="580" t="str">
        <f t="shared" si="565"/>
        <v xml:space="preserve">   </v>
      </c>
      <c r="J1710" s="1366">
        <v>2700000</v>
      </c>
      <c r="K1710" s="1360">
        <v>43312</v>
      </c>
      <c r="L1710" s="1363">
        <v>3750000</v>
      </c>
      <c r="M1710" s="1360">
        <v>43312</v>
      </c>
      <c r="N1710" s="1363">
        <v>3750000</v>
      </c>
      <c r="O1710" s="1367">
        <v>43483</v>
      </c>
      <c r="P1710" s="1714">
        <v>3750000</v>
      </c>
      <c r="Q1710" s="1367">
        <v>43644.608842592599</v>
      </c>
      <c r="R1710" s="1731">
        <v>3750000</v>
      </c>
      <c r="S1710" s="1367">
        <v>43872</v>
      </c>
      <c r="T1710" s="1731">
        <v>3750000</v>
      </c>
      <c r="U1710" s="1367">
        <v>44069.423587963</v>
      </c>
      <c r="V1710" s="1363"/>
      <c r="W1710" s="1391"/>
      <c r="X1710" s="1363"/>
      <c r="Y1710" s="1391"/>
      <c r="Z1710" s="1363"/>
      <c r="AA1710" s="1391"/>
      <c r="AB1710" s="1731"/>
      <c r="AC1710" s="1367"/>
      <c r="AD1710" s="1666"/>
      <c r="AE1710" s="1590"/>
      <c r="AF1710" s="1666"/>
      <c r="AG1710" s="1590"/>
      <c r="AH1710" s="1625" t="str">
        <f t="shared" si="582"/>
        <v>PGMI-3</v>
      </c>
      <c r="AI1710" s="1675">
        <f t="shared" si="574"/>
        <v>21450000</v>
      </c>
      <c r="AJ1710" s="1675">
        <f t="shared" si="575"/>
        <v>21450000</v>
      </c>
      <c r="AK1710" s="1520">
        <f t="shared" si="580"/>
        <v>0</v>
      </c>
      <c r="AL1710" s="2210" t="str">
        <f t="shared" si="581"/>
        <v>Lunas</v>
      </c>
      <c r="AM1710" s="1666"/>
      <c r="AN1710" s="1590"/>
      <c r="AO1710"/>
      <c r="AP1710"/>
      <c r="AQ1710" s="1128"/>
      <c r="AR1710" s="1173"/>
      <c r="AT1710" s="1173"/>
      <c r="AV1710" s="1173"/>
      <c r="AX1710" s="1173"/>
      <c r="AY1710" s="1176"/>
      <c r="AZ1710" s="1173"/>
    </row>
    <row r="1711" spans="1:52" s="2" customFormat="1" x14ac:dyDescent="0.25">
      <c r="A1711" s="670">
        <v>1581</v>
      </c>
      <c r="B1711" s="671">
        <v>17</v>
      </c>
      <c r="C1711" s="2147">
        <v>849418017</v>
      </c>
      <c r="D1711" s="701" t="s">
        <v>2221</v>
      </c>
      <c r="E1711" s="441" t="s">
        <v>2205</v>
      </c>
      <c r="F1711" s="175">
        <v>2018</v>
      </c>
      <c r="G1711" s="1758" t="s">
        <v>28</v>
      </c>
      <c r="H1711" s="580" t="str">
        <f t="shared" si="564"/>
        <v xml:space="preserve">   </v>
      </c>
      <c r="I1711" s="580" t="str">
        <f t="shared" si="565"/>
        <v xml:space="preserve">   </v>
      </c>
      <c r="J1711" s="1366">
        <v>2700000</v>
      </c>
      <c r="K1711" s="1360">
        <v>43313</v>
      </c>
      <c r="L1711" s="1363">
        <v>3750000</v>
      </c>
      <c r="M1711" s="1360">
        <v>43313</v>
      </c>
      <c r="N1711" s="1363">
        <v>3750000</v>
      </c>
      <c r="O1711" s="1367">
        <v>43483</v>
      </c>
      <c r="P1711" s="1714">
        <v>3750000</v>
      </c>
      <c r="Q1711" s="1367">
        <v>43644.3524189815</v>
      </c>
      <c r="R1711" s="1731">
        <v>0</v>
      </c>
      <c r="S1711" s="1367" t="s">
        <v>783</v>
      </c>
      <c r="T1711" s="1731">
        <v>0</v>
      </c>
      <c r="U1711" s="1367"/>
      <c r="V1711" s="1363"/>
      <c r="W1711" s="1391"/>
      <c r="X1711" s="1363"/>
      <c r="Y1711" s="1391"/>
      <c r="Z1711" s="1363"/>
      <c r="AA1711" s="1391"/>
      <c r="AB1711" s="1731"/>
      <c r="AC1711" s="1367"/>
      <c r="AD1711" s="1666"/>
      <c r="AE1711" s="1590"/>
      <c r="AF1711" s="1666"/>
      <c r="AG1711" s="1590"/>
      <c r="AH1711" s="1625" t="str">
        <f t="shared" si="582"/>
        <v>PGMI-3</v>
      </c>
      <c r="AI1711" s="1675">
        <f t="shared" si="574"/>
        <v>13950000</v>
      </c>
      <c r="AJ1711" s="1675">
        <f t="shared" si="575"/>
        <v>21450000</v>
      </c>
      <c r="AK1711" s="1520">
        <f t="shared" si="580"/>
        <v>7500000</v>
      </c>
      <c r="AL1711" s="2210" t="str">
        <f t="shared" si="581"/>
        <v>Cek</v>
      </c>
      <c r="AM1711" s="1666"/>
      <c r="AN1711" s="1590"/>
      <c r="AO1711"/>
      <c r="AP1711"/>
      <c r="AQ1711" s="1128"/>
      <c r="AR1711" s="1173"/>
      <c r="AT1711" s="1173"/>
      <c r="AV1711" s="1173"/>
      <c r="AX1711" s="1173"/>
      <c r="AY1711" s="1176"/>
      <c r="AZ1711" s="1173"/>
    </row>
    <row r="1712" spans="1:52" s="2" customFormat="1" x14ac:dyDescent="0.25">
      <c r="A1712" s="670">
        <v>1582</v>
      </c>
      <c r="B1712" s="671">
        <v>18</v>
      </c>
      <c r="C1712" s="2147">
        <v>849418018</v>
      </c>
      <c r="D1712" s="701" t="s">
        <v>2222</v>
      </c>
      <c r="E1712" s="441" t="s">
        <v>2205</v>
      </c>
      <c r="F1712" s="175">
        <v>2018</v>
      </c>
      <c r="G1712" s="214" t="s">
        <v>1077</v>
      </c>
      <c r="H1712" s="580" t="str">
        <f t="shared" si="564"/>
        <v xml:space="preserve">   </v>
      </c>
      <c r="I1712" s="580" t="str">
        <f t="shared" si="565"/>
        <v xml:space="preserve">   </v>
      </c>
      <c r="J1712" s="1366">
        <v>2700000</v>
      </c>
      <c r="K1712" s="1360">
        <v>43318</v>
      </c>
      <c r="L1712" s="1363">
        <v>3750000</v>
      </c>
      <c r="M1712" s="1360">
        <v>43318</v>
      </c>
      <c r="N1712" s="1186" t="s">
        <v>1842</v>
      </c>
      <c r="O1712" s="1386"/>
      <c r="P1712" s="1714"/>
      <c r="Q1712" s="1367"/>
      <c r="R1712" s="1731"/>
      <c r="S1712" s="1367"/>
      <c r="T1712" s="1731"/>
      <c r="U1712" s="1367"/>
      <c r="V1712" s="1363"/>
      <c r="W1712" s="1391"/>
      <c r="X1712" s="1363"/>
      <c r="Y1712" s="1391"/>
      <c r="Z1712" s="1363"/>
      <c r="AA1712" s="1391"/>
      <c r="AB1712" s="1731"/>
      <c r="AC1712" s="1367"/>
      <c r="AD1712" s="1666"/>
      <c r="AE1712" s="1590"/>
      <c r="AF1712" s="1666"/>
      <c r="AG1712" s="1590"/>
      <c r="AH1712" s="1625" t="str">
        <f t="shared" si="582"/>
        <v>PGMI-3</v>
      </c>
      <c r="AI1712" s="1675">
        <f t="shared" si="574"/>
        <v>6450000</v>
      </c>
      <c r="AJ1712" s="1675">
        <f t="shared" si="575"/>
        <v>6450000</v>
      </c>
      <c r="AK1712" s="1520">
        <f t="shared" si="580"/>
        <v>0</v>
      </c>
      <c r="AL1712" s="2210" t="str">
        <f t="shared" si="581"/>
        <v>Lunas</v>
      </c>
      <c r="AM1712" s="1666"/>
      <c r="AN1712" s="1590"/>
      <c r="AO1712"/>
      <c r="AP1712"/>
      <c r="AQ1712" s="1128"/>
      <c r="AR1712" s="1173"/>
      <c r="AT1712" s="1173"/>
      <c r="AV1712" s="1173"/>
      <c r="AX1712" s="1173"/>
      <c r="AY1712" s="1176"/>
      <c r="AZ1712" s="1173"/>
    </row>
    <row r="1713" spans="1:52" s="2" customFormat="1" x14ac:dyDescent="0.25">
      <c r="A1713" s="670">
        <v>1583</v>
      </c>
      <c r="B1713" s="671">
        <v>19</v>
      </c>
      <c r="C1713" s="2147">
        <v>849418019</v>
      </c>
      <c r="D1713" s="701" t="s">
        <v>2223</v>
      </c>
      <c r="E1713" s="441" t="s">
        <v>2205</v>
      </c>
      <c r="F1713" s="175">
        <v>2018</v>
      </c>
      <c r="G1713" s="360" t="s">
        <v>1483</v>
      </c>
      <c r="H1713" s="580" t="str">
        <f t="shared" si="564"/>
        <v xml:space="preserve">   </v>
      </c>
      <c r="I1713" s="580" t="str">
        <f t="shared" si="565"/>
        <v xml:space="preserve">   </v>
      </c>
      <c r="J1713" s="1366">
        <v>2700000</v>
      </c>
      <c r="K1713" s="1367">
        <v>43483</v>
      </c>
      <c r="L1713" s="1363">
        <v>3750000</v>
      </c>
      <c r="M1713" s="1360">
        <v>43321</v>
      </c>
      <c r="N1713" s="1363">
        <v>3750000</v>
      </c>
      <c r="O1713" s="1367">
        <v>43483</v>
      </c>
      <c r="P1713" s="1714">
        <v>3750000</v>
      </c>
      <c r="Q1713" s="1367">
        <v>43644.533738425896</v>
      </c>
      <c r="R1713" s="1731">
        <v>3750000</v>
      </c>
      <c r="S1713" s="1367">
        <v>43861.3742824074</v>
      </c>
      <c r="T1713" s="1731">
        <v>3750000</v>
      </c>
      <c r="U1713" s="1367">
        <v>44071.371655092596</v>
      </c>
      <c r="V1713" s="1363"/>
      <c r="W1713" s="1391"/>
      <c r="X1713" s="1363"/>
      <c r="Y1713" s="1391"/>
      <c r="Z1713" s="1363"/>
      <c r="AA1713" s="1391"/>
      <c r="AB1713" s="1731"/>
      <c r="AC1713" s="1367"/>
      <c r="AD1713" s="1666"/>
      <c r="AE1713" s="1590"/>
      <c r="AF1713" s="1666"/>
      <c r="AG1713" s="1590"/>
      <c r="AH1713" s="1625" t="str">
        <f t="shared" si="582"/>
        <v>PGMI-3</v>
      </c>
      <c r="AI1713" s="1675">
        <f t="shared" si="574"/>
        <v>21450000</v>
      </c>
      <c r="AJ1713" s="1675">
        <f t="shared" si="575"/>
        <v>21450000</v>
      </c>
      <c r="AK1713" s="1520">
        <f t="shared" si="580"/>
        <v>0</v>
      </c>
      <c r="AL1713" s="2210" t="str">
        <f t="shared" si="581"/>
        <v>Lunas</v>
      </c>
      <c r="AM1713" s="1666"/>
      <c r="AN1713" s="1590"/>
      <c r="AO1713"/>
      <c r="AP1713"/>
      <c r="AQ1713" s="1128"/>
      <c r="AR1713" s="1173"/>
      <c r="AT1713" s="1173"/>
      <c r="AV1713" s="1173"/>
      <c r="AX1713" s="1173"/>
      <c r="AY1713" s="1176"/>
      <c r="AZ1713" s="1173"/>
    </row>
    <row r="1714" spans="1:52" s="2" customFormat="1" x14ac:dyDescent="0.25">
      <c r="A1714" s="670">
        <v>1584</v>
      </c>
      <c r="B1714" s="671">
        <v>20</v>
      </c>
      <c r="C1714" s="2147">
        <v>849418020</v>
      </c>
      <c r="D1714" s="701" t="s">
        <v>2224</v>
      </c>
      <c r="E1714" s="441" t="s">
        <v>2205</v>
      </c>
      <c r="F1714" s="175">
        <v>2018</v>
      </c>
      <c r="G1714" s="581" t="s">
        <v>1833</v>
      </c>
      <c r="H1714" s="580" t="str">
        <f t="shared" si="564"/>
        <v xml:space="preserve">   </v>
      </c>
      <c r="I1714" s="580" t="str">
        <f t="shared" si="565"/>
        <v xml:space="preserve">   </v>
      </c>
      <c r="J1714" s="1366">
        <v>2700000</v>
      </c>
      <c r="K1714" s="1360">
        <v>43314</v>
      </c>
      <c r="L1714" s="1363">
        <v>3750000</v>
      </c>
      <c r="M1714" s="1360">
        <v>43314</v>
      </c>
      <c r="N1714" s="1363">
        <v>3750000</v>
      </c>
      <c r="O1714" s="1367">
        <v>43482</v>
      </c>
      <c r="P1714" s="1714">
        <v>3750000</v>
      </c>
      <c r="Q1714" s="1367">
        <v>43637.444074074097</v>
      </c>
      <c r="R1714" s="1731">
        <v>3750000</v>
      </c>
      <c r="S1714" s="1367">
        <v>43861.628113425897</v>
      </c>
      <c r="T1714" s="1186" t="s">
        <v>1078</v>
      </c>
      <c r="U1714" s="1386">
        <v>44071</v>
      </c>
      <c r="V1714" s="1363"/>
      <c r="W1714" s="1391"/>
      <c r="X1714" s="1363"/>
      <c r="Y1714" s="1391"/>
      <c r="Z1714" s="1363"/>
      <c r="AA1714" s="1391"/>
      <c r="AB1714" s="1731"/>
      <c r="AC1714" s="1367"/>
      <c r="AD1714" s="1666"/>
      <c r="AE1714" s="1590"/>
      <c r="AF1714" s="1666"/>
      <c r="AG1714" s="1590"/>
      <c r="AH1714" s="1625" t="str">
        <f t="shared" si="582"/>
        <v>PGMI-3</v>
      </c>
      <c r="AI1714" s="1675">
        <f t="shared" si="574"/>
        <v>17700000</v>
      </c>
      <c r="AJ1714" s="1675">
        <f t="shared" si="575"/>
        <v>17700000</v>
      </c>
      <c r="AK1714" s="1520">
        <f t="shared" si="580"/>
        <v>0</v>
      </c>
      <c r="AL1714" s="2210" t="str">
        <f t="shared" si="581"/>
        <v>Lunas</v>
      </c>
      <c r="AM1714" s="1666"/>
      <c r="AN1714" s="1590"/>
      <c r="AO1714"/>
      <c r="AP1714"/>
      <c r="AQ1714" s="1128"/>
      <c r="AR1714" s="1173"/>
      <c r="AT1714" s="1173"/>
      <c r="AV1714" s="1173"/>
      <c r="AX1714" s="1173"/>
      <c r="AY1714" s="1176"/>
      <c r="AZ1714" s="1173"/>
    </row>
    <row r="1715" spans="1:52" s="2" customFormat="1" x14ac:dyDescent="0.25">
      <c r="A1715" s="670">
        <v>1585</v>
      </c>
      <c r="B1715" s="671">
        <v>21</v>
      </c>
      <c r="C1715" s="2147">
        <v>849418021</v>
      </c>
      <c r="D1715" s="701" t="s">
        <v>1212</v>
      </c>
      <c r="E1715" s="441" t="s">
        <v>2205</v>
      </c>
      <c r="F1715" s="175">
        <v>2018</v>
      </c>
      <c r="G1715" s="1758" t="s">
        <v>28</v>
      </c>
      <c r="H1715" s="580" t="str">
        <f t="shared" si="564"/>
        <v xml:space="preserve">   </v>
      </c>
      <c r="I1715" s="580" t="str">
        <f t="shared" si="565"/>
        <v xml:space="preserve">   </v>
      </c>
      <c r="J1715" s="1366">
        <v>2700000</v>
      </c>
      <c r="K1715" s="1360">
        <v>43314</v>
      </c>
      <c r="L1715" s="1363">
        <v>3750000</v>
      </c>
      <c r="M1715" s="1360">
        <v>43314</v>
      </c>
      <c r="N1715" s="1186" t="s">
        <v>1078</v>
      </c>
      <c r="O1715" s="1386">
        <v>43125</v>
      </c>
      <c r="P1715" s="1714">
        <v>3750000</v>
      </c>
      <c r="Q1715" s="1367">
        <v>43643.431087962999</v>
      </c>
      <c r="R1715" s="1731">
        <v>0</v>
      </c>
      <c r="S1715" s="1367" t="s">
        <v>783</v>
      </c>
      <c r="T1715" s="1731">
        <v>0</v>
      </c>
      <c r="U1715" s="1367"/>
      <c r="V1715" s="1363"/>
      <c r="W1715" s="1391"/>
      <c r="X1715" s="1363"/>
      <c r="Y1715" s="1391"/>
      <c r="Z1715" s="1363"/>
      <c r="AA1715" s="1391"/>
      <c r="AB1715" s="1731"/>
      <c r="AC1715" s="1367"/>
      <c r="AD1715" s="1666"/>
      <c r="AE1715" s="1590"/>
      <c r="AF1715" s="1666"/>
      <c r="AG1715" s="1590"/>
      <c r="AH1715" s="1625" t="str">
        <f t="shared" si="582"/>
        <v>PGMI-3</v>
      </c>
      <c r="AI1715" s="1675">
        <f t="shared" si="574"/>
        <v>10200000</v>
      </c>
      <c r="AJ1715" s="1675">
        <f t="shared" si="575"/>
        <v>17700000</v>
      </c>
      <c r="AK1715" s="1520">
        <f t="shared" si="580"/>
        <v>7500000</v>
      </c>
      <c r="AL1715" s="2210" t="str">
        <f t="shared" si="581"/>
        <v>Cek</v>
      </c>
      <c r="AM1715" s="1666"/>
      <c r="AN1715" s="1590"/>
      <c r="AO1715"/>
      <c r="AP1715"/>
      <c r="AQ1715" s="1128"/>
      <c r="AR1715" s="1173"/>
      <c r="AT1715" s="1173"/>
      <c r="AV1715" s="1173"/>
      <c r="AX1715" s="1173"/>
      <c r="AY1715" s="1176"/>
      <c r="AZ1715" s="1173"/>
    </row>
    <row r="1716" spans="1:52" s="2" customFormat="1" x14ac:dyDescent="0.25">
      <c r="A1716" s="670">
        <v>1586</v>
      </c>
      <c r="B1716" s="671">
        <v>22</v>
      </c>
      <c r="C1716" s="2147">
        <v>849418022</v>
      </c>
      <c r="D1716" s="701" t="s">
        <v>2225</v>
      </c>
      <c r="E1716" s="441" t="s">
        <v>2205</v>
      </c>
      <c r="F1716" s="175">
        <v>2018</v>
      </c>
      <c r="G1716" s="360" t="s">
        <v>1483</v>
      </c>
      <c r="H1716" s="580" t="str">
        <f t="shared" si="564"/>
        <v xml:space="preserve">   </v>
      </c>
      <c r="I1716" s="580" t="str">
        <f t="shared" si="565"/>
        <v xml:space="preserve">   </v>
      </c>
      <c r="J1716" s="1366">
        <v>2700000</v>
      </c>
      <c r="K1716" s="1360">
        <v>43314</v>
      </c>
      <c r="L1716" s="1363">
        <v>3750000</v>
      </c>
      <c r="M1716" s="1360">
        <v>43314</v>
      </c>
      <c r="N1716" s="1363">
        <v>3750000</v>
      </c>
      <c r="O1716" s="1367">
        <v>43482</v>
      </c>
      <c r="P1716" s="1714">
        <v>3750000</v>
      </c>
      <c r="Q1716" s="1367">
        <v>43643.597696759301</v>
      </c>
      <c r="R1716" s="1731">
        <v>3750000</v>
      </c>
      <c r="S1716" s="1367">
        <v>43859.612280092602</v>
      </c>
      <c r="T1716" s="1731">
        <v>3750000</v>
      </c>
      <c r="U1716" s="1367">
        <v>44071</v>
      </c>
      <c r="V1716" s="1363"/>
      <c r="W1716" s="1391"/>
      <c r="X1716" s="1363"/>
      <c r="Y1716" s="1391"/>
      <c r="Z1716" s="1363"/>
      <c r="AA1716" s="1391"/>
      <c r="AB1716" s="1731">
        <v>1000000</v>
      </c>
      <c r="AC1716" s="1367">
        <v>44130</v>
      </c>
      <c r="AD1716" s="1666"/>
      <c r="AE1716" s="1590"/>
      <c r="AF1716" s="1666"/>
      <c r="AG1716" s="1590"/>
      <c r="AH1716" s="1625" t="str">
        <f t="shared" si="582"/>
        <v>PGMI-3</v>
      </c>
      <c r="AI1716" s="1675">
        <f t="shared" si="574"/>
        <v>22450000</v>
      </c>
      <c r="AJ1716" s="1675">
        <f t="shared" si="575"/>
        <v>22450000</v>
      </c>
      <c r="AK1716" s="1520">
        <f t="shared" si="580"/>
        <v>0</v>
      </c>
      <c r="AL1716" s="2210" t="str">
        <f t="shared" si="581"/>
        <v>Lunas</v>
      </c>
      <c r="AM1716" s="1666"/>
      <c r="AN1716" s="1590"/>
      <c r="AO1716"/>
      <c r="AP1716"/>
      <c r="AQ1716" s="1128"/>
      <c r="AR1716" s="1173"/>
      <c r="AT1716" s="1173"/>
      <c r="AV1716" s="1173"/>
      <c r="AX1716" s="1173"/>
      <c r="AY1716" s="1176"/>
      <c r="AZ1716" s="1173"/>
    </row>
    <row r="1717" spans="1:52" s="2" customFormat="1" x14ac:dyDescent="0.25">
      <c r="A1717" s="670">
        <v>1587</v>
      </c>
      <c r="B1717" s="2136">
        <v>23</v>
      </c>
      <c r="C1717" s="2223">
        <v>849418023</v>
      </c>
      <c r="D1717" s="2224" t="s">
        <v>2226</v>
      </c>
      <c r="E1717" s="2214" t="s">
        <v>2205</v>
      </c>
      <c r="F1717" s="185">
        <v>2018</v>
      </c>
      <c r="G1717" s="624" t="s">
        <v>33</v>
      </c>
      <c r="H1717" s="643">
        <f t="shared" si="564"/>
        <v>44035</v>
      </c>
      <c r="I1717" s="643">
        <f t="shared" si="565"/>
        <v>44168</v>
      </c>
      <c r="J1717" s="1432">
        <v>2700000</v>
      </c>
      <c r="K1717" s="1433">
        <v>43314</v>
      </c>
      <c r="L1717" s="1434">
        <v>3750000</v>
      </c>
      <c r="M1717" s="1433">
        <v>43314</v>
      </c>
      <c r="N1717" s="1434">
        <v>3750000</v>
      </c>
      <c r="O1717" s="1435">
        <v>43481</v>
      </c>
      <c r="P1717" s="1484">
        <v>3750000</v>
      </c>
      <c r="Q1717" s="1435">
        <v>43643.558217592603</v>
      </c>
      <c r="R1717" s="2002">
        <v>3750000</v>
      </c>
      <c r="S1717" s="1435">
        <v>43857.522037037001</v>
      </c>
      <c r="T1717" s="1714"/>
      <c r="U1717" s="1391"/>
      <c r="V1717" s="1446"/>
      <c r="W1717" s="1944"/>
      <c r="X1717" s="1446"/>
      <c r="Y1717" s="1944"/>
      <c r="Z1717" s="1446"/>
      <c r="AA1717" s="1944"/>
      <c r="AB1717" s="1874">
        <v>1000000</v>
      </c>
      <c r="AC1717" s="1357">
        <v>44138</v>
      </c>
      <c r="AD1717" s="1809">
        <v>1200000</v>
      </c>
      <c r="AE1717" s="1357">
        <v>44138</v>
      </c>
      <c r="AF1717" s="1809">
        <v>1600000</v>
      </c>
      <c r="AG1717" s="1357">
        <v>44138</v>
      </c>
      <c r="AH1717" s="1626" t="str">
        <f t="shared" si="582"/>
        <v>PGMI-3</v>
      </c>
      <c r="AI1717" s="1675">
        <f t="shared" si="574"/>
        <v>22000000</v>
      </c>
      <c r="AJ1717" s="1675">
        <f t="shared" si="575"/>
        <v>22000000</v>
      </c>
      <c r="AK1717" s="1520">
        <f t="shared" si="580"/>
        <v>0</v>
      </c>
      <c r="AL1717" s="2210" t="str">
        <f t="shared" si="581"/>
        <v>Lunas</v>
      </c>
      <c r="AM1717" s="1809">
        <v>500000</v>
      </c>
      <c r="AN1717" s="1440">
        <v>44068.543217592603</v>
      </c>
      <c r="AO1717"/>
      <c r="AP1717"/>
      <c r="AQ1717" s="1128"/>
      <c r="AR1717" s="1173"/>
      <c r="AT1717" s="1173"/>
      <c r="AV1717" s="1173"/>
      <c r="AX1717" s="1173"/>
      <c r="AY1717" s="1176"/>
      <c r="AZ1717" s="1173"/>
    </row>
    <row r="1718" spans="1:52" s="2" customFormat="1" x14ac:dyDescent="0.25">
      <c r="A1718" s="434"/>
      <c r="B1718" s="434"/>
      <c r="C1718" s="2201"/>
      <c r="D1718" s="437"/>
      <c r="E1718" s="437"/>
      <c r="F1718" s="438" t="s">
        <v>61</v>
      </c>
      <c r="G1718" s="192" t="s">
        <v>61</v>
      </c>
      <c r="H1718" s="438" t="str">
        <f t="shared" si="564"/>
        <v xml:space="preserve">   </v>
      </c>
      <c r="I1718" s="438" t="str">
        <f t="shared" si="565"/>
        <v xml:space="preserve">   </v>
      </c>
      <c r="J1718" s="438"/>
      <c r="K1718" s="438"/>
      <c r="L1718" s="438"/>
      <c r="M1718" s="438"/>
      <c r="N1718" s="438"/>
      <c r="O1718" s="438"/>
      <c r="P1718" s="438"/>
      <c r="Q1718" s="2204"/>
      <c r="R1718" s="438"/>
      <c r="S1718" s="2217"/>
      <c r="T1718" s="2206"/>
      <c r="U1718" s="438"/>
      <c r="V1718" s="2206"/>
      <c r="W1718" s="438"/>
      <c r="X1718" s="2206"/>
      <c r="Y1718" s="438"/>
      <c r="Z1718" s="2206"/>
      <c r="AA1718" s="438"/>
      <c r="AB1718" s="438"/>
      <c r="AC1718" s="2222"/>
      <c r="AD1718" s="438"/>
      <c r="AE1718" s="1155"/>
      <c r="AF1718" s="223"/>
      <c r="AG1718" s="1155"/>
      <c r="AH1718" s="1627">
        <f t="shared" si="582"/>
        <v>0</v>
      </c>
      <c r="AI1718" s="1512"/>
      <c r="AJ1718" s="1409"/>
      <c r="AK1718" s="1409"/>
      <c r="AL1718" s="1513"/>
      <c r="AM1718"/>
      <c r="AN1718"/>
      <c r="AO1718"/>
      <c r="AP1718"/>
      <c r="AQ1718" s="1128"/>
      <c r="AR1718" s="1173"/>
      <c r="AT1718" s="1173"/>
      <c r="AV1718" s="1173"/>
      <c r="AX1718" s="1173"/>
      <c r="AY1718" s="1176"/>
      <c r="AZ1718" s="1173"/>
    </row>
    <row r="1719" spans="1:52" s="2" customFormat="1" x14ac:dyDescent="0.25">
      <c r="A1719" s="434"/>
      <c r="B1719" s="434"/>
      <c r="C1719" s="2201"/>
      <c r="D1719" s="437"/>
      <c r="E1719" s="437"/>
      <c r="F1719" s="438" t="s">
        <v>61</v>
      </c>
      <c r="G1719" s="192" t="s">
        <v>61</v>
      </c>
      <c r="H1719" s="438" t="str">
        <f t="shared" si="564"/>
        <v xml:space="preserve">   </v>
      </c>
      <c r="I1719" s="438" t="str">
        <f t="shared" si="565"/>
        <v xml:space="preserve">   </v>
      </c>
      <c r="J1719" s="438"/>
      <c r="K1719" s="438"/>
      <c r="L1719" s="438"/>
      <c r="M1719" s="438"/>
      <c r="N1719" s="438"/>
      <c r="O1719" s="438"/>
      <c r="P1719" s="438"/>
      <c r="Q1719" s="2204"/>
      <c r="R1719" s="438"/>
      <c r="S1719" s="2217"/>
      <c r="T1719" s="2206"/>
      <c r="U1719" s="438"/>
      <c r="V1719" s="2206"/>
      <c r="W1719" s="438"/>
      <c r="X1719" s="2206"/>
      <c r="Y1719" s="438"/>
      <c r="Z1719" s="2206"/>
      <c r="AA1719" s="438"/>
      <c r="AB1719" s="438"/>
      <c r="AC1719" s="2222"/>
      <c r="AD1719" s="438"/>
      <c r="AE1719" s="1155"/>
      <c r="AF1719" s="223"/>
      <c r="AG1719" s="1155"/>
      <c r="AH1719" s="1627">
        <f t="shared" si="582"/>
        <v>0</v>
      </c>
      <c r="AI1719" s="1512"/>
      <c r="AJ1719" s="1409"/>
      <c r="AK1719" s="1409"/>
      <c r="AL1719" s="1513"/>
      <c r="AM1719"/>
      <c r="AN1719"/>
      <c r="AO1719"/>
      <c r="AP1719"/>
      <c r="AQ1719" s="1128"/>
      <c r="AR1719" s="1173"/>
      <c r="AT1719" s="1173"/>
      <c r="AV1719" s="1173"/>
      <c r="AX1719" s="1173"/>
      <c r="AY1719" s="1176"/>
      <c r="AZ1719" s="1173"/>
    </row>
    <row r="1720" spans="1:52" s="2" customFormat="1" x14ac:dyDescent="0.25">
      <c r="A1720" s="625" t="s">
        <v>2227</v>
      </c>
      <c r="B1720" s="625"/>
      <c r="C1720" s="366"/>
      <c r="D1720" s="625"/>
      <c r="E1720" s="198" t="s">
        <v>1096</v>
      </c>
      <c r="F1720" s="199" t="s">
        <v>1096</v>
      </c>
      <c r="G1720" s="565">
        <v>3750000</v>
      </c>
      <c r="H1720" s="147" t="str">
        <f t="shared" si="564"/>
        <v xml:space="preserve">   </v>
      </c>
      <c r="I1720" s="147" t="str">
        <f t="shared" si="565"/>
        <v xml:space="preserve">   </v>
      </c>
      <c r="J1720" s="2035">
        <v>2700000</v>
      </c>
      <c r="K1720" s="2036"/>
      <c r="L1720" s="2163" t="s">
        <v>1049</v>
      </c>
      <c r="M1720" s="2164" t="s">
        <v>1141</v>
      </c>
      <c r="N1720" s="2163" t="s">
        <v>1051</v>
      </c>
      <c r="O1720" s="2164" t="s">
        <v>1325</v>
      </c>
      <c r="P1720" s="2016" t="s">
        <v>1053</v>
      </c>
      <c r="Q1720" s="1438" t="s">
        <v>1463</v>
      </c>
      <c r="R1720" s="2016" t="s">
        <v>1055</v>
      </c>
      <c r="S1720" s="1438" t="s">
        <v>1464</v>
      </c>
      <c r="T1720" s="2016" t="s">
        <v>1057</v>
      </c>
      <c r="U1720" s="1438" t="s">
        <v>1466</v>
      </c>
      <c r="V1720" s="2016" t="s">
        <v>1059</v>
      </c>
      <c r="W1720" s="1438" t="s">
        <v>1468</v>
      </c>
      <c r="X1720" s="1582" t="s">
        <v>1061</v>
      </c>
      <c r="Y1720" s="1438" t="s">
        <v>1470</v>
      </c>
      <c r="Z1720" s="1582" t="s">
        <v>1063</v>
      </c>
      <c r="AA1720" s="1438" t="s">
        <v>1718</v>
      </c>
      <c r="AB1720" s="2177">
        <v>1000000</v>
      </c>
      <c r="AC1720" s="2178" t="s">
        <v>2015</v>
      </c>
      <c r="AD1720" s="1450">
        <v>1200000</v>
      </c>
      <c r="AE1720" s="1663" t="s">
        <v>2016</v>
      </c>
      <c r="AF1720" s="1450">
        <v>1600000</v>
      </c>
      <c r="AG1720" s="1663" t="s">
        <v>1326</v>
      </c>
      <c r="AH1720" s="1408" t="str">
        <f t="shared" si="582"/>
        <v>#</v>
      </c>
      <c r="AI1720" s="1512"/>
      <c r="AJ1720" s="1409"/>
      <c r="AK1720" s="1409"/>
      <c r="AL1720" s="1513"/>
      <c r="AM1720" s="1450">
        <v>500000</v>
      </c>
      <c r="AN1720" s="1663" t="s">
        <v>22</v>
      </c>
      <c r="AO1720"/>
      <c r="AP1720"/>
      <c r="AQ1720" s="1128"/>
      <c r="AR1720" s="1173"/>
      <c r="AT1720" s="1173"/>
      <c r="AV1720" s="1173"/>
      <c r="AX1720" s="1173"/>
      <c r="AY1720" s="1176"/>
      <c r="AZ1720" s="1173"/>
    </row>
    <row r="1721" spans="1:52" s="2" customFormat="1" x14ac:dyDescent="0.25">
      <c r="A1721" s="694">
        <v>1588</v>
      </c>
      <c r="B1721" s="2193">
        <v>1</v>
      </c>
      <c r="C1721" s="2225">
        <v>839118001</v>
      </c>
      <c r="D1721" s="2194" t="s">
        <v>2228</v>
      </c>
      <c r="E1721" s="2226" t="s">
        <v>2229</v>
      </c>
      <c r="F1721" s="2227">
        <v>2018</v>
      </c>
      <c r="G1721" s="272" t="s">
        <v>33</v>
      </c>
      <c r="H1721" s="628">
        <f t="shared" si="564"/>
        <v>44083</v>
      </c>
      <c r="I1721" s="715">
        <f t="shared" si="565"/>
        <v>44186</v>
      </c>
      <c r="J1721" s="2230">
        <v>2700000</v>
      </c>
      <c r="K1721" s="1727">
        <v>43339</v>
      </c>
      <c r="L1721" s="2230">
        <v>3750000</v>
      </c>
      <c r="M1721" s="1727">
        <v>43378</v>
      </c>
      <c r="N1721" s="1941">
        <v>3750000</v>
      </c>
      <c r="O1721" s="2054">
        <v>43483</v>
      </c>
      <c r="P1721" s="2097">
        <v>3750000</v>
      </c>
      <c r="Q1721" s="2054">
        <v>43636.457233796304</v>
      </c>
      <c r="R1721" s="1731">
        <v>3750000</v>
      </c>
      <c r="S1721" s="1367">
        <v>43857.566261574102</v>
      </c>
      <c r="T1721" s="1714"/>
      <c r="U1721" s="1391"/>
      <c r="V1721" s="1363"/>
      <c r="W1721" s="2171"/>
      <c r="X1721" s="1543"/>
      <c r="Y1721" s="2171"/>
      <c r="Z1721" s="1543"/>
      <c r="AA1721" s="2171"/>
      <c r="AB1721" s="2218">
        <v>0</v>
      </c>
      <c r="AC1721" s="2219"/>
      <c r="AD1721" s="2220">
        <v>0</v>
      </c>
      <c r="AE1721" s="2221"/>
      <c r="AF1721" s="2220">
        <v>0</v>
      </c>
      <c r="AG1721" s="2221"/>
      <c r="AH1721" s="1625" t="str">
        <f t="shared" si="582"/>
        <v>HK-3A</v>
      </c>
      <c r="AI1721" s="1675">
        <f t="shared" ref="AI1721:AI1748" si="583">SUM(J1721,L1721,N1721,P1721,R1721,T1721,V1721,X1721,Z1721,AB1721,AD1721,AF1721,AM1721)</f>
        <v>17700000</v>
      </c>
      <c r="AJ1721" s="1675">
        <f t="shared" ref="AJ1721:AJ1748" si="584">(COUNT(L1721,N1721,P1721,R1721,T1721,V1721,X1721,Z1721)*$G$1507)+(COUNT(J1721)*$J$1507)+(COUNT(AB1721)*$AB$1507)+(COUNT(AD1721)*$AD$1507)+(COUNT(AF1721)*$AF$1507)+(COUNT(AM1721)*$AM$1507)</f>
        <v>22000000</v>
      </c>
      <c r="AK1721" s="1520">
        <f t="shared" ref="AK1721" si="585">AJ1721-AI1721</f>
        <v>4300000</v>
      </c>
      <c r="AL1721" s="2187" t="str">
        <f t="shared" ref="AL1721" si="586">IF(AK1721=0,"Lunas","Cek")</f>
        <v>Cek</v>
      </c>
      <c r="AM1721" s="1666">
        <v>0</v>
      </c>
      <c r="AN1721" s="1590"/>
      <c r="AO1721"/>
      <c r="AP1721"/>
      <c r="AQ1721" s="1128"/>
      <c r="AR1721" s="1173"/>
      <c r="AT1721" s="1173"/>
      <c r="AV1721" s="1173"/>
      <c r="AX1721" s="1173"/>
      <c r="AY1721" s="1176"/>
      <c r="AZ1721" s="1173"/>
    </row>
    <row r="1722" spans="1:52" s="2" customFormat="1" x14ac:dyDescent="0.25">
      <c r="A1722" s="670">
        <v>1589</v>
      </c>
      <c r="B1722" s="2133">
        <v>2</v>
      </c>
      <c r="C1722" s="2228">
        <v>839118002</v>
      </c>
      <c r="D1722" s="2146" t="s">
        <v>2230</v>
      </c>
      <c r="E1722" s="179" t="s">
        <v>2229</v>
      </c>
      <c r="F1722" s="161">
        <v>2018</v>
      </c>
      <c r="G1722" s="272" t="s">
        <v>33</v>
      </c>
      <c r="H1722" s="628">
        <f t="shared" si="564"/>
        <v>44132</v>
      </c>
      <c r="I1722" s="215">
        <f t="shared" si="565"/>
        <v>44186</v>
      </c>
      <c r="J1722" s="1366">
        <v>2700000</v>
      </c>
      <c r="K1722" s="1360">
        <v>43308</v>
      </c>
      <c r="L1722" s="1363">
        <v>3750000</v>
      </c>
      <c r="M1722" s="1360">
        <v>43308</v>
      </c>
      <c r="N1722" s="1363">
        <v>3750000</v>
      </c>
      <c r="O1722" s="1367">
        <v>43482</v>
      </c>
      <c r="P1722" s="1714">
        <v>3750000</v>
      </c>
      <c r="Q1722" s="1367">
        <v>43636.548981481501</v>
      </c>
      <c r="R1722" s="1731">
        <v>3750000</v>
      </c>
      <c r="S1722" s="1367">
        <v>43857.432418981502</v>
      </c>
      <c r="T1722" s="1731">
        <v>3750000</v>
      </c>
      <c r="U1722" s="1367">
        <v>44067.339710648099</v>
      </c>
      <c r="V1722" s="1363"/>
      <c r="W1722" s="1391"/>
      <c r="X1722" s="1363"/>
      <c r="Y1722" s="1391"/>
      <c r="Z1722" s="1363"/>
      <c r="AA1722" s="1391"/>
      <c r="AB1722" s="1874">
        <v>1000000</v>
      </c>
      <c r="AC1722" s="1357">
        <v>44141</v>
      </c>
      <c r="AD1722" s="1809">
        <v>1200000</v>
      </c>
      <c r="AE1722" s="1357">
        <v>44141</v>
      </c>
      <c r="AF1722" s="1809">
        <v>1600000</v>
      </c>
      <c r="AG1722" s="1357">
        <v>44141</v>
      </c>
      <c r="AH1722" s="1625" t="str">
        <f t="shared" si="582"/>
        <v>HK-3A</v>
      </c>
      <c r="AI1722" s="1675">
        <f t="shared" si="583"/>
        <v>25750000</v>
      </c>
      <c r="AJ1722" s="1675">
        <f t="shared" si="584"/>
        <v>25750000</v>
      </c>
      <c r="AK1722" s="1520">
        <f t="shared" ref="AK1722" si="587">AJ1722-AI1722</f>
        <v>0</v>
      </c>
      <c r="AL1722" s="2210" t="str">
        <f t="shared" ref="AL1722" si="588">IF(AK1722=0,"Lunas","Cek")</f>
        <v>Lunas</v>
      </c>
      <c r="AM1722" s="1809">
        <v>500000</v>
      </c>
      <c r="AN1722" s="1367">
        <v>44141</v>
      </c>
      <c r="AO1722"/>
      <c r="AP1722"/>
      <c r="AQ1722" s="1128"/>
      <c r="AR1722" s="1173"/>
      <c r="AT1722" s="1173"/>
      <c r="AV1722" s="1173"/>
      <c r="AX1722" s="1173"/>
      <c r="AY1722" s="1176"/>
      <c r="AZ1722" s="1173"/>
    </row>
    <row r="1723" spans="1:52" s="2" customFormat="1" x14ac:dyDescent="0.25">
      <c r="A1723" s="670">
        <v>1590</v>
      </c>
      <c r="B1723" s="671">
        <v>3</v>
      </c>
      <c r="C1723" s="2228">
        <v>839118003</v>
      </c>
      <c r="D1723" s="701" t="s">
        <v>332</v>
      </c>
      <c r="E1723" s="441" t="s">
        <v>2229</v>
      </c>
      <c r="F1723" s="175">
        <v>2018</v>
      </c>
      <c r="G1723" s="360" t="s">
        <v>1483</v>
      </c>
      <c r="H1723" s="215" t="str">
        <f t="shared" si="564"/>
        <v xml:space="preserve">   </v>
      </c>
      <c r="I1723" s="215" t="str">
        <f t="shared" si="565"/>
        <v xml:space="preserve">   </v>
      </c>
      <c r="J1723" s="1366">
        <v>2700000</v>
      </c>
      <c r="K1723" s="1360">
        <v>43308</v>
      </c>
      <c r="L1723" s="1363">
        <v>3750000</v>
      </c>
      <c r="M1723" s="1360">
        <v>43308</v>
      </c>
      <c r="N1723" s="1363">
        <v>3750000</v>
      </c>
      <c r="O1723" s="1367">
        <v>43482</v>
      </c>
      <c r="P1723" s="1714">
        <v>3750000</v>
      </c>
      <c r="Q1723" s="1367">
        <v>43637.328460648103</v>
      </c>
      <c r="R1723" s="1731">
        <v>3750000</v>
      </c>
      <c r="S1723" s="1367">
        <v>43857.541840277801</v>
      </c>
      <c r="T1723" s="1731">
        <v>3750000</v>
      </c>
      <c r="U1723" s="1367">
        <v>44047</v>
      </c>
      <c r="V1723" s="1363"/>
      <c r="W1723" s="1391"/>
      <c r="X1723" s="1363"/>
      <c r="Y1723" s="1391"/>
      <c r="Z1723" s="1363"/>
      <c r="AA1723" s="1391"/>
      <c r="AB1723" s="1731">
        <v>1000000</v>
      </c>
      <c r="AC1723" s="1367">
        <v>44153</v>
      </c>
      <c r="AD1723" s="1666">
        <v>1200000</v>
      </c>
      <c r="AE1723" s="1367">
        <v>44153</v>
      </c>
      <c r="AF1723" s="2232">
        <v>1000000</v>
      </c>
      <c r="AG1723" s="1367">
        <v>44153</v>
      </c>
      <c r="AH1723" s="1625" t="str">
        <f t="shared" si="582"/>
        <v>HK-3A</v>
      </c>
      <c r="AI1723" s="1675">
        <f t="shared" si="583"/>
        <v>24650000</v>
      </c>
      <c r="AJ1723" s="1675">
        <f t="shared" si="584"/>
        <v>25250000</v>
      </c>
      <c r="AK1723" s="1520">
        <f t="shared" ref="AK1723:AK1748" si="589">AJ1723-AI1723</f>
        <v>600000</v>
      </c>
      <c r="AL1723" s="2210" t="str">
        <f t="shared" ref="AL1723:AL1748" si="590">IF(AK1723=0,"Lunas","Cek")</f>
        <v>Cek</v>
      </c>
      <c r="AM1723" s="1666"/>
      <c r="AN1723" s="1590"/>
      <c r="AO1723"/>
      <c r="AP1723"/>
      <c r="AQ1723" s="1128"/>
      <c r="AR1723" s="1173"/>
      <c r="AT1723" s="1173"/>
      <c r="AV1723" s="1173"/>
      <c r="AX1723" s="1173"/>
      <c r="AY1723" s="1176"/>
      <c r="AZ1723" s="1173"/>
    </row>
    <row r="1724" spans="1:52" s="2" customFormat="1" x14ac:dyDescent="0.25">
      <c r="A1724" s="670">
        <v>1591</v>
      </c>
      <c r="B1724" s="671">
        <v>4</v>
      </c>
      <c r="C1724" s="2228">
        <v>839118004</v>
      </c>
      <c r="D1724" s="701" t="s">
        <v>2231</v>
      </c>
      <c r="E1724" s="441" t="s">
        <v>2229</v>
      </c>
      <c r="F1724" s="175">
        <v>2018</v>
      </c>
      <c r="G1724" s="272" t="s">
        <v>33</v>
      </c>
      <c r="H1724" s="628">
        <f t="shared" si="564"/>
        <v>44102</v>
      </c>
      <c r="I1724" s="215" t="str">
        <f t="shared" si="565"/>
        <v xml:space="preserve">   </v>
      </c>
      <c r="J1724" s="1366">
        <v>2700000</v>
      </c>
      <c r="K1724" s="1360">
        <v>43306</v>
      </c>
      <c r="L1724" s="1363">
        <v>3750000</v>
      </c>
      <c r="M1724" s="1360">
        <v>43306</v>
      </c>
      <c r="N1724" s="1363">
        <v>3750000</v>
      </c>
      <c r="O1724" s="1367">
        <v>43482</v>
      </c>
      <c r="P1724" s="1714">
        <v>3750000</v>
      </c>
      <c r="Q1724" s="1367">
        <v>43640.4920486111</v>
      </c>
      <c r="R1724" s="1731">
        <v>3750000</v>
      </c>
      <c r="S1724" s="1367">
        <v>43858.462453703702</v>
      </c>
      <c r="T1724" s="1714"/>
      <c r="U1724" s="1391"/>
      <c r="V1724" s="1363"/>
      <c r="W1724" s="1391"/>
      <c r="X1724" s="1363"/>
      <c r="Y1724" s="1391"/>
      <c r="Z1724" s="1363"/>
      <c r="AA1724" s="1391"/>
      <c r="AB1724" s="1731">
        <v>1000000</v>
      </c>
      <c r="AC1724" s="1367">
        <v>44155</v>
      </c>
      <c r="AD1724" s="1666">
        <v>1200000</v>
      </c>
      <c r="AE1724" s="1590">
        <v>44207</v>
      </c>
      <c r="AF1724" s="1666">
        <v>1600000</v>
      </c>
      <c r="AG1724" s="1590">
        <v>44207</v>
      </c>
      <c r="AH1724" s="1625" t="str">
        <f t="shared" si="582"/>
        <v>HK-3A</v>
      </c>
      <c r="AI1724" s="1675">
        <f t="shared" si="583"/>
        <v>22000000</v>
      </c>
      <c r="AJ1724" s="1675">
        <f t="shared" si="584"/>
        <v>22000000</v>
      </c>
      <c r="AK1724" s="1520">
        <f t="shared" si="589"/>
        <v>0</v>
      </c>
      <c r="AL1724" s="2210" t="str">
        <f t="shared" si="590"/>
        <v>Lunas</v>
      </c>
      <c r="AM1724" s="1666">
        <v>500000</v>
      </c>
      <c r="AN1724" s="1590">
        <v>44207</v>
      </c>
      <c r="AO1724"/>
      <c r="AP1724"/>
      <c r="AQ1724" s="1128"/>
      <c r="AR1724" s="1173"/>
      <c r="AT1724" s="1173"/>
      <c r="AV1724" s="1173"/>
      <c r="AX1724" s="1173"/>
      <c r="AY1724" s="1176"/>
      <c r="AZ1724" s="1173"/>
    </row>
    <row r="1725" spans="1:52" s="2" customFormat="1" x14ac:dyDescent="0.25">
      <c r="A1725" s="670">
        <v>1592</v>
      </c>
      <c r="B1725" s="2133">
        <v>5</v>
      </c>
      <c r="C1725" s="2228">
        <v>839118005</v>
      </c>
      <c r="D1725" s="2146" t="s">
        <v>2232</v>
      </c>
      <c r="E1725" s="179" t="s">
        <v>2229</v>
      </c>
      <c r="F1725" s="161">
        <v>2018</v>
      </c>
      <c r="G1725" s="272" t="s">
        <v>33</v>
      </c>
      <c r="H1725" s="628">
        <f t="shared" si="564"/>
        <v>44031</v>
      </c>
      <c r="I1725" s="215">
        <f t="shared" si="565"/>
        <v>44186</v>
      </c>
      <c r="J1725" s="1366">
        <v>2700000</v>
      </c>
      <c r="K1725" s="1360">
        <v>43311</v>
      </c>
      <c r="L1725" s="1363">
        <v>3750000</v>
      </c>
      <c r="M1725" s="1360">
        <v>43311</v>
      </c>
      <c r="N1725" s="1363">
        <v>3750000</v>
      </c>
      <c r="O1725" s="1367">
        <v>43482</v>
      </c>
      <c r="P1725" s="1714">
        <v>3750000</v>
      </c>
      <c r="Q1725" s="1367">
        <v>43643.484143518501</v>
      </c>
      <c r="R1725" s="1731">
        <v>3750000</v>
      </c>
      <c r="S1725" s="1367">
        <v>43861.624768518501</v>
      </c>
      <c r="T1725" s="1714"/>
      <c r="U1725" s="1391"/>
      <c r="V1725" s="1363"/>
      <c r="W1725" s="1391"/>
      <c r="X1725" s="1363"/>
      <c r="Y1725" s="1391"/>
      <c r="Z1725" s="1363"/>
      <c r="AA1725" s="1391"/>
      <c r="AB1725" s="1874">
        <v>1000000</v>
      </c>
      <c r="AC1725" s="1357">
        <v>44139</v>
      </c>
      <c r="AD1725" s="1809">
        <v>1200000</v>
      </c>
      <c r="AE1725" s="1357">
        <v>44139</v>
      </c>
      <c r="AF1725" s="1809">
        <v>1600000</v>
      </c>
      <c r="AG1725" s="1357">
        <v>44139</v>
      </c>
      <c r="AH1725" s="1625" t="str">
        <f t="shared" si="582"/>
        <v>HK-3A</v>
      </c>
      <c r="AI1725" s="1675">
        <f t="shared" si="583"/>
        <v>22000000</v>
      </c>
      <c r="AJ1725" s="1675">
        <f t="shared" si="584"/>
        <v>22000000</v>
      </c>
      <c r="AK1725" s="1520">
        <f t="shared" si="589"/>
        <v>0</v>
      </c>
      <c r="AL1725" s="2210" t="str">
        <f t="shared" si="590"/>
        <v>Lunas</v>
      </c>
      <c r="AM1725" s="1666">
        <v>500000</v>
      </c>
      <c r="AN1725" s="1590">
        <v>44097</v>
      </c>
      <c r="AO1725"/>
      <c r="AP1725"/>
      <c r="AQ1725" s="1128"/>
      <c r="AR1725" s="1173"/>
      <c r="AT1725" s="1173"/>
      <c r="AV1725" s="1173"/>
      <c r="AX1725" s="1173"/>
      <c r="AY1725" s="1176"/>
      <c r="AZ1725" s="1173"/>
    </row>
    <row r="1726" spans="1:52" s="2" customFormat="1" x14ac:dyDescent="0.25">
      <c r="A1726" s="670">
        <v>1593</v>
      </c>
      <c r="B1726" s="671">
        <v>6</v>
      </c>
      <c r="C1726" s="2228">
        <v>839118006</v>
      </c>
      <c r="D1726" s="701" t="s">
        <v>2233</v>
      </c>
      <c r="E1726" s="441" t="s">
        <v>2229</v>
      </c>
      <c r="F1726" s="175">
        <v>2018</v>
      </c>
      <c r="G1726" s="360" t="s">
        <v>1483</v>
      </c>
      <c r="H1726" s="215" t="str">
        <f t="shared" si="564"/>
        <v xml:space="preserve">   </v>
      </c>
      <c r="I1726" s="215" t="str">
        <f t="shared" si="565"/>
        <v xml:space="preserve">   </v>
      </c>
      <c r="J1726" s="1366">
        <v>2700000</v>
      </c>
      <c r="K1726" s="1360">
        <v>43314</v>
      </c>
      <c r="L1726" s="1363">
        <v>3750000</v>
      </c>
      <c r="M1726" s="1360">
        <v>43314</v>
      </c>
      <c r="N1726" s="1363">
        <v>3750000</v>
      </c>
      <c r="O1726" s="1367">
        <v>43483</v>
      </c>
      <c r="P1726" s="1714">
        <v>3750000</v>
      </c>
      <c r="Q1726" s="1367">
        <v>43636.605787036999</v>
      </c>
      <c r="R1726" s="1731">
        <v>3750000</v>
      </c>
      <c r="S1726" s="1367">
        <v>43860.421400462998</v>
      </c>
      <c r="T1726" s="1731">
        <v>3750000</v>
      </c>
      <c r="U1726" s="1367">
        <v>44068.592615740701</v>
      </c>
      <c r="V1726" s="1363"/>
      <c r="W1726" s="1391"/>
      <c r="X1726" s="1363"/>
      <c r="Y1726" s="1391"/>
      <c r="Z1726" s="1363"/>
      <c r="AA1726" s="1391"/>
      <c r="AB1726" s="1731"/>
      <c r="AC1726" s="1367"/>
      <c r="AD1726" s="1666"/>
      <c r="AE1726" s="1590"/>
      <c r="AF1726" s="1666"/>
      <c r="AG1726" s="1590"/>
      <c r="AH1726" s="1625" t="str">
        <f t="shared" si="582"/>
        <v>HK-3A</v>
      </c>
      <c r="AI1726" s="1675">
        <f t="shared" si="583"/>
        <v>21450000</v>
      </c>
      <c r="AJ1726" s="1675">
        <f t="shared" si="584"/>
        <v>21450000</v>
      </c>
      <c r="AK1726" s="1520">
        <f t="shared" si="589"/>
        <v>0</v>
      </c>
      <c r="AL1726" s="2210" t="str">
        <f t="shared" si="590"/>
        <v>Lunas</v>
      </c>
      <c r="AM1726" s="1666"/>
      <c r="AN1726" s="1590"/>
      <c r="AO1726"/>
      <c r="AP1726"/>
      <c r="AQ1726" s="1128"/>
      <c r="AR1726" s="1173"/>
      <c r="AT1726" s="1173"/>
      <c r="AV1726" s="1173"/>
      <c r="AX1726" s="1173"/>
      <c r="AY1726" s="1176"/>
      <c r="AZ1726" s="1173"/>
    </row>
    <row r="1727" spans="1:52" s="2" customFormat="1" x14ac:dyDescent="0.25">
      <c r="A1727" s="670">
        <v>1594</v>
      </c>
      <c r="B1727" s="671">
        <v>7</v>
      </c>
      <c r="C1727" s="2228">
        <v>839118007</v>
      </c>
      <c r="D1727" s="701" t="s">
        <v>2234</v>
      </c>
      <c r="E1727" s="441" t="s">
        <v>2229</v>
      </c>
      <c r="F1727" s="175">
        <v>2018</v>
      </c>
      <c r="G1727" s="360" t="s">
        <v>1483</v>
      </c>
      <c r="H1727" s="215" t="str">
        <f t="shared" si="564"/>
        <v xml:space="preserve">   </v>
      </c>
      <c r="I1727" s="215" t="str">
        <f t="shared" si="565"/>
        <v xml:space="preserve">   </v>
      </c>
      <c r="J1727" s="1366">
        <v>2700000</v>
      </c>
      <c r="K1727" s="1360">
        <v>43311</v>
      </c>
      <c r="L1727" s="1363">
        <v>3750000</v>
      </c>
      <c r="M1727" s="1360">
        <v>43311</v>
      </c>
      <c r="N1727" s="1363">
        <v>3750000</v>
      </c>
      <c r="O1727" s="1367">
        <v>43483</v>
      </c>
      <c r="P1727" s="1714">
        <v>3750000</v>
      </c>
      <c r="Q1727" s="1367">
        <v>43641.536828703698</v>
      </c>
      <c r="R1727" s="1731">
        <v>3750000</v>
      </c>
      <c r="S1727" s="1367">
        <v>43861.363599536999</v>
      </c>
      <c r="T1727" s="1731">
        <v>3750000</v>
      </c>
      <c r="U1727" s="1367">
        <v>44070.556840277801</v>
      </c>
      <c r="V1727" s="1363"/>
      <c r="W1727" s="1391"/>
      <c r="X1727" s="1363"/>
      <c r="Y1727" s="1391"/>
      <c r="Z1727" s="1363"/>
      <c r="AA1727" s="1391"/>
      <c r="AB1727" s="1731"/>
      <c r="AC1727" s="1367"/>
      <c r="AD1727" s="1666"/>
      <c r="AE1727" s="1590"/>
      <c r="AF1727" s="1666"/>
      <c r="AG1727" s="1590"/>
      <c r="AH1727" s="1625" t="str">
        <f t="shared" si="582"/>
        <v>HK-3A</v>
      </c>
      <c r="AI1727" s="1675">
        <f t="shared" si="583"/>
        <v>21450000</v>
      </c>
      <c r="AJ1727" s="1675">
        <f t="shared" si="584"/>
        <v>21450000</v>
      </c>
      <c r="AK1727" s="1520">
        <f t="shared" si="589"/>
        <v>0</v>
      </c>
      <c r="AL1727" s="2210" t="str">
        <f t="shared" si="590"/>
        <v>Lunas</v>
      </c>
      <c r="AM1727" s="1666"/>
      <c r="AN1727" s="1590"/>
      <c r="AO1727"/>
      <c r="AP1727"/>
      <c r="AQ1727" s="1128"/>
      <c r="AR1727" s="1173"/>
      <c r="AT1727" s="1173"/>
      <c r="AV1727" s="1173"/>
      <c r="AX1727" s="1173"/>
      <c r="AY1727" s="1176"/>
      <c r="AZ1727" s="1173"/>
    </row>
    <row r="1728" spans="1:52" s="2" customFormat="1" x14ac:dyDescent="0.25">
      <c r="A1728" s="670">
        <v>1595</v>
      </c>
      <c r="B1728" s="671">
        <v>8</v>
      </c>
      <c r="C1728" s="2228">
        <v>839118011</v>
      </c>
      <c r="D1728" s="701" t="s">
        <v>2235</v>
      </c>
      <c r="E1728" s="441" t="s">
        <v>2229</v>
      </c>
      <c r="F1728" s="175">
        <v>2018</v>
      </c>
      <c r="G1728" s="360" t="s">
        <v>1483</v>
      </c>
      <c r="H1728" s="215" t="str">
        <f t="shared" si="564"/>
        <v xml:space="preserve">   </v>
      </c>
      <c r="I1728" s="215" t="str">
        <f t="shared" si="565"/>
        <v xml:space="preserve">   </v>
      </c>
      <c r="J1728" s="1366">
        <v>2700000</v>
      </c>
      <c r="K1728" s="1360">
        <v>43306</v>
      </c>
      <c r="L1728" s="1363">
        <v>3750000</v>
      </c>
      <c r="M1728" s="1360">
        <v>43306</v>
      </c>
      <c r="N1728" s="1363">
        <v>3750000</v>
      </c>
      <c r="O1728" s="1367">
        <v>43482</v>
      </c>
      <c r="P1728" s="1714">
        <v>3750000</v>
      </c>
      <c r="Q1728" s="1367">
        <v>43640.581319444398</v>
      </c>
      <c r="R1728" s="1731">
        <v>3750000</v>
      </c>
      <c r="S1728" s="1367">
        <v>43854.412245370397</v>
      </c>
      <c r="T1728" s="1731">
        <v>3750000</v>
      </c>
      <c r="U1728" s="1367">
        <v>44071.587129629603</v>
      </c>
      <c r="V1728" s="1363"/>
      <c r="W1728" s="1391"/>
      <c r="X1728" s="1363"/>
      <c r="Y1728" s="1391"/>
      <c r="Z1728" s="1363"/>
      <c r="AA1728" s="1391"/>
      <c r="AB1728" s="1731"/>
      <c r="AC1728" s="1367"/>
      <c r="AD1728" s="1666"/>
      <c r="AE1728" s="1590"/>
      <c r="AF1728" s="1666"/>
      <c r="AG1728" s="1590"/>
      <c r="AH1728" s="1625" t="str">
        <f t="shared" si="582"/>
        <v>HK-3A</v>
      </c>
      <c r="AI1728" s="1675">
        <f t="shared" si="583"/>
        <v>21450000</v>
      </c>
      <c r="AJ1728" s="1675">
        <f t="shared" si="584"/>
        <v>21450000</v>
      </c>
      <c r="AK1728" s="1520">
        <f t="shared" si="589"/>
        <v>0</v>
      </c>
      <c r="AL1728" s="2210" t="str">
        <f t="shared" si="590"/>
        <v>Lunas</v>
      </c>
      <c r="AM1728" s="1666"/>
      <c r="AN1728" s="1590"/>
      <c r="AO1728"/>
      <c r="AP1728"/>
      <c r="AQ1728" s="1128"/>
      <c r="AR1728" s="1173"/>
      <c r="AT1728" s="1173"/>
      <c r="AV1728" s="1173"/>
      <c r="AX1728" s="1173"/>
      <c r="AY1728" s="1176"/>
      <c r="AZ1728" s="1173"/>
    </row>
    <row r="1729" spans="1:52" s="2" customFormat="1" x14ac:dyDescent="0.25">
      <c r="A1729" s="670">
        <v>1596</v>
      </c>
      <c r="B1729" s="671">
        <v>9</v>
      </c>
      <c r="C1729" s="2228">
        <v>839118012</v>
      </c>
      <c r="D1729" s="701" t="s">
        <v>2236</v>
      </c>
      <c r="E1729" s="441" t="s">
        <v>2229</v>
      </c>
      <c r="F1729" s="175">
        <v>2018</v>
      </c>
      <c r="G1729" s="360" t="s">
        <v>1483</v>
      </c>
      <c r="H1729" s="215" t="str">
        <f t="shared" si="564"/>
        <v xml:space="preserve">   </v>
      </c>
      <c r="I1729" s="215" t="str">
        <f t="shared" si="565"/>
        <v xml:space="preserve">   </v>
      </c>
      <c r="J1729" s="1366">
        <v>2700000</v>
      </c>
      <c r="K1729" s="1360">
        <v>43313</v>
      </c>
      <c r="L1729" s="1363">
        <v>3750000</v>
      </c>
      <c r="M1729" s="1360">
        <v>43313</v>
      </c>
      <c r="N1729" s="1363">
        <v>3750000</v>
      </c>
      <c r="O1729" s="1367">
        <v>43481</v>
      </c>
      <c r="P1729" s="1714">
        <v>3750000</v>
      </c>
      <c r="Q1729" s="1367">
        <v>43640.408483796302</v>
      </c>
      <c r="R1729" s="1731">
        <v>3750000</v>
      </c>
      <c r="S1729" s="1367">
        <v>43860.453321759298</v>
      </c>
      <c r="T1729" s="1731">
        <v>3750000</v>
      </c>
      <c r="U1729" s="1367">
        <v>44067.499409722201</v>
      </c>
      <c r="V1729" s="1363"/>
      <c r="W1729" s="1391"/>
      <c r="X1729" s="1363"/>
      <c r="Y1729" s="1391"/>
      <c r="Z1729" s="1363"/>
      <c r="AA1729" s="1391"/>
      <c r="AB1729" s="1731">
        <v>1000000</v>
      </c>
      <c r="AC1729" s="1367">
        <v>44123</v>
      </c>
      <c r="AD1729" s="1666"/>
      <c r="AE1729" s="1590"/>
      <c r="AF1729" s="1666"/>
      <c r="AG1729" s="1590"/>
      <c r="AH1729" s="1625" t="str">
        <f t="shared" si="582"/>
        <v>HK-3A</v>
      </c>
      <c r="AI1729" s="1675">
        <f t="shared" si="583"/>
        <v>22450000</v>
      </c>
      <c r="AJ1729" s="1675">
        <f t="shared" si="584"/>
        <v>22450000</v>
      </c>
      <c r="AK1729" s="1520">
        <f t="shared" si="589"/>
        <v>0</v>
      </c>
      <c r="AL1729" s="2210" t="str">
        <f t="shared" si="590"/>
        <v>Lunas</v>
      </c>
      <c r="AM1729" s="1666"/>
      <c r="AN1729" s="1590"/>
      <c r="AO1729"/>
      <c r="AP1729"/>
      <c r="AQ1729" s="1128"/>
      <c r="AR1729" s="1173"/>
      <c r="AT1729" s="1173"/>
      <c r="AV1729" s="1173"/>
      <c r="AX1729" s="1173"/>
      <c r="AY1729" s="1176"/>
      <c r="AZ1729" s="1173"/>
    </row>
    <row r="1730" spans="1:52" s="2" customFormat="1" x14ac:dyDescent="0.25">
      <c r="A1730" s="670">
        <v>1597</v>
      </c>
      <c r="B1730" s="671">
        <v>10</v>
      </c>
      <c r="C1730" s="2228">
        <v>839118013</v>
      </c>
      <c r="D1730" s="701" t="s">
        <v>841</v>
      </c>
      <c r="E1730" s="441" t="s">
        <v>2229</v>
      </c>
      <c r="F1730" s="175">
        <v>2018</v>
      </c>
      <c r="G1730" s="360" t="s">
        <v>1483</v>
      </c>
      <c r="H1730" s="215" t="str">
        <f t="shared" si="564"/>
        <v xml:space="preserve">   </v>
      </c>
      <c r="I1730" s="215" t="str">
        <f t="shared" si="565"/>
        <v xml:space="preserve">   </v>
      </c>
      <c r="J1730" s="1366">
        <v>2700000</v>
      </c>
      <c r="K1730" s="1360">
        <v>43314</v>
      </c>
      <c r="L1730" s="1363">
        <v>3750000</v>
      </c>
      <c r="M1730" s="1360">
        <v>43314</v>
      </c>
      <c r="N1730" s="1363">
        <v>3750000</v>
      </c>
      <c r="O1730" s="1367">
        <v>43483</v>
      </c>
      <c r="P1730" s="1714">
        <v>3750000</v>
      </c>
      <c r="Q1730" s="1367">
        <v>43644.485023148103</v>
      </c>
      <c r="R1730" s="1731">
        <v>3750000</v>
      </c>
      <c r="S1730" s="1367">
        <v>43861.384629629603</v>
      </c>
      <c r="T1730" s="1731">
        <v>3750000</v>
      </c>
      <c r="U1730" s="1367">
        <v>44071.5632638889</v>
      </c>
      <c r="V1730" s="1363"/>
      <c r="W1730" s="1391"/>
      <c r="X1730" s="1363"/>
      <c r="Y1730" s="1391"/>
      <c r="Z1730" s="1363"/>
      <c r="AA1730" s="1391"/>
      <c r="AB1730" s="1731"/>
      <c r="AC1730" s="1367"/>
      <c r="AD1730" s="1666"/>
      <c r="AE1730" s="1590"/>
      <c r="AF1730" s="1666"/>
      <c r="AG1730" s="1590"/>
      <c r="AH1730" s="1625" t="str">
        <f t="shared" si="582"/>
        <v>HK-3A</v>
      </c>
      <c r="AI1730" s="1675">
        <f t="shared" si="583"/>
        <v>21450000</v>
      </c>
      <c r="AJ1730" s="1675">
        <f t="shared" si="584"/>
        <v>21450000</v>
      </c>
      <c r="AK1730" s="1520">
        <f t="shared" si="589"/>
        <v>0</v>
      </c>
      <c r="AL1730" s="2210" t="str">
        <f t="shared" si="590"/>
        <v>Lunas</v>
      </c>
      <c r="AM1730" s="1666"/>
      <c r="AN1730" s="1590"/>
      <c r="AO1730"/>
      <c r="AP1730"/>
      <c r="AQ1730" s="1128"/>
      <c r="AR1730" s="1173"/>
      <c r="AT1730" s="1173"/>
      <c r="AV1730" s="1173"/>
      <c r="AX1730" s="1173"/>
      <c r="AY1730" s="1176"/>
      <c r="AZ1730" s="1173"/>
    </row>
    <row r="1731" spans="1:52" s="2" customFormat="1" x14ac:dyDescent="0.25">
      <c r="A1731" s="670">
        <v>1598</v>
      </c>
      <c r="B1731" s="671">
        <v>11</v>
      </c>
      <c r="C1731" s="2228">
        <v>839118014</v>
      </c>
      <c r="D1731" s="701" t="s">
        <v>2237</v>
      </c>
      <c r="E1731" s="441" t="s">
        <v>2229</v>
      </c>
      <c r="F1731" s="175">
        <v>2018</v>
      </c>
      <c r="G1731" s="581" t="s">
        <v>1833</v>
      </c>
      <c r="H1731" s="215" t="str">
        <f t="shared" si="564"/>
        <v xml:space="preserve">   </v>
      </c>
      <c r="I1731" s="215" t="str">
        <f t="shared" si="565"/>
        <v xml:space="preserve">   </v>
      </c>
      <c r="J1731" s="1366">
        <v>2700000</v>
      </c>
      <c r="K1731" s="1360">
        <v>43311</v>
      </c>
      <c r="L1731" s="1363">
        <v>3750000</v>
      </c>
      <c r="M1731" s="1360">
        <v>43311</v>
      </c>
      <c r="N1731" s="1363">
        <v>3750000</v>
      </c>
      <c r="O1731" s="1367">
        <v>43483</v>
      </c>
      <c r="P1731" s="1714">
        <v>3750000</v>
      </c>
      <c r="Q1731" s="1367">
        <v>43644.440879629597</v>
      </c>
      <c r="R1731" s="1731">
        <v>3750000</v>
      </c>
      <c r="S1731" s="1367">
        <v>43861.455324074101</v>
      </c>
      <c r="T1731" s="1186" t="s">
        <v>1078</v>
      </c>
      <c r="U1731" s="1386">
        <v>44071</v>
      </c>
      <c r="V1731" s="1363"/>
      <c r="W1731" s="1391"/>
      <c r="X1731" s="1363"/>
      <c r="Y1731" s="1391"/>
      <c r="Z1731" s="1363"/>
      <c r="AA1731" s="1391"/>
      <c r="AB1731" s="1731"/>
      <c r="AC1731" s="1367"/>
      <c r="AD1731" s="1666"/>
      <c r="AE1731" s="1590"/>
      <c r="AF1731" s="1666"/>
      <c r="AG1731" s="1590"/>
      <c r="AH1731" s="1625" t="str">
        <f t="shared" si="582"/>
        <v>HK-3A</v>
      </c>
      <c r="AI1731" s="1675">
        <f t="shared" si="583"/>
        <v>17700000</v>
      </c>
      <c r="AJ1731" s="1675">
        <f t="shared" si="584"/>
        <v>17700000</v>
      </c>
      <c r="AK1731" s="1520">
        <f t="shared" si="589"/>
        <v>0</v>
      </c>
      <c r="AL1731" s="2210" t="str">
        <f t="shared" si="590"/>
        <v>Lunas</v>
      </c>
      <c r="AM1731" s="1666"/>
      <c r="AN1731" s="1590"/>
      <c r="AO1731"/>
      <c r="AP1731"/>
      <c r="AQ1731" s="1128"/>
      <c r="AR1731" s="1173"/>
      <c r="AT1731" s="1173"/>
      <c r="AV1731" s="1173"/>
      <c r="AX1731" s="1173"/>
      <c r="AY1731" s="1176"/>
      <c r="AZ1731" s="1173"/>
    </row>
    <row r="1732" spans="1:52" s="2" customFormat="1" x14ac:dyDescent="0.25">
      <c r="A1732" s="670">
        <v>1599</v>
      </c>
      <c r="B1732" s="671">
        <v>12</v>
      </c>
      <c r="C1732" s="2228">
        <v>839118017</v>
      </c>
      <c r="D1732" s="701" t="s">
        <v>2238</v>
      </c>
      <c r="E1732" s="441" t="s">
        <v>2229</v>
      </c>
      <c r="F1732" s="175">
        <v>2018</v>
      </c>
      <c r="G1732" s="360" t="s">
        <v>1483</v>
      </c>
      <c r="H1732" s="215" t="str">
        <f t="shared" si="564"/>
        <v xml:space="preserve">   </v>
      </c>
      <c r="I1732" s="215" t="str">
        <f t="shared" si="565"/>
        <v xml:space="preserve">   </v>
      </c>
      <c r="J1732" s="1366">
        <v>2700000</v>
      </c>
      <c r="K1732" s="1360">
        <v>43307</v>
      </c>
      <c r="L1732" s="1363">
        <v>3750000</v>
      </c>
      <c r="M1732" s="1360">
        <v>43307</v>
      </c>
      <c r="N1732" s="1363">
        <v>3750000</v>
      </c>
      <c r="O1732" s="1367">
        <v>43480</v>
      </c>
      <c r="P1732" s="1714">
        <v>3750000</v>
      </c>
      <c r="Q1732" s="1367">
        <v>43635</v>
      </c>
      <c r="R1732" s="1731">
        <v>3750000</v>
      </c>
      <c r="S1732" s="1367">
        <v>43854.402858796297</v>
      </c>
      <c r="T1732" s="1731">
        <v>3750000</v>
      </c>
      <c r="U1732" s="1367">
        <v>44056.678946759297</v>
      </c>
      <c r="V1732" s="1363"/>
      <c r="W1732" s="1391"/>
      <c r="X1732" s="1363"/>
      <c r="Y1732" s="1391"/>
      <c r="Z1732" s="1363"/>
      <c r="AA1732" s="1391"/>
      <c r="AB1732" s="1731"/>
      <c r="AC1732" s="1367"/>
      <c r="AD1732" s="1666"/>
      <c r="AE1732" s="1590"/>
      <c r="AF1732" s="1666"/>
      <c r="AG1732" s="1590"/>
      <c r="AH1732" s="1625" t="str">
        <f t="shared" si="582"/>
        <v>HK-3A</v>
      </c>
      <c r="AI1732" s="1675">
        <f t="shared" si="583"/>
        <v>21450000</v>
      </c>
      <c r="AJ1732" s="1675">
        <f t="shared" si="584"/>
        <v>21450000</v>
      </c>
      <c r="AK1732" s="1520">
        <f t="shared" si="589"/>
        <v>0</v>
      </c>
      <c r="AL1732" s="2210" t="str">
        <f t="shared" si="590"/>
        <v>Lunas</v>
      </c>
      <c r="AM1732" s="1666"/>
      <c r="AN1732" s="1590"/>
      <c r="AO1732"/>
      <c r="AP1732"/>
      <c r="AQ1732" s="1128"/>
      <c r="AR1732" s="1173"/>
      <c r="AT1732" s="1173"/>
      <c r="AV1732" s="1173"/>
      <c r="AX1732" s="1173"/>
      <c r="AY1732" s="1176"/>
      <c r="AZ1732" s="1173"/>
    </row>
    <row r="1733" spans="1:52" s="2" customFormat="1" x14ac:dyDescent="0.25">
      <c r="A1733" s="670">
        <v>1600</v>
      </c>
      <c r="B1733" s="671">
        <v>13</v>
      </c>
      <c r="C1733" s="2228">
        <v>839118024</v>
      </c>
      <c r="D1733" s="701" t="s">
        <v>2239</v>
      </c>
      <c r="E1733" s="441" t="s">
        <v>2229</v>
      </c>
      <c r="F1733" s="175">
        <v>2018</v>
      </c>
      <c r="G1733" s="1758" t="s">
        <v>28</v>
      </c>
      <c r="H1733" s="215" t="str">
        <f t="shared" si="564"/>
        <v xml:space="preserve">   </v>
      </c>
      <c r="I1733" s="215" t="str">
        <f t="shared" si="565"/>
        <v xml:space="preserve">   </v>
      </c>
      <c r="J1733" s="1366">
        <v>2700000</v>
      </c>
      <c r="K1733" s="1360">
        <v>43318</v>
      </c>
      <c r="L1733" s="1363">
        <v>3750000</v>
      </c>
      <c r="M1733" s="1360">
        <v>43318</v>
      </c>
      <c r="N1733" s="1363">
        <v>3750000</v>
      </c>
      <c r="O1733" s="1367">
        <v>43483</v>
      </c>
      <c r="P1733" s="1714">
        <v>3750000</v>
      </c>
      <c r="Q1733" s="1367">
        <v>43642.552627314799</v>
      </c>
      <c r="R1733" s="1731">
        <v>3750000</v>
      </c>
      <c r="S1733" s="1367">
        <v>43861.6179976852</v>
      </c>
      <c r="T1733" s="1731">
        <v>3750000</v>
      </c>
      <c r="U1733" s="1367" t="s">
        <v>2240</v>
      </c>
      <c r="V1733" s="1363">
        <v>3750000</v>
      </c>
      <c r="W1733" s="1391" t="s">
        <v>2241</v>
      </c>
      <c r="X1733" s="1363"/>
      <c r="Y1733" s="1391"/>
      <c r="Z1733" s="1363"/>
      <c r="AA1733" s="1391"/>
      <c r="AB1733" s="1731"/>
      <c r="AC1733" s="1367"/>
      <c r="AD1733" s="1666"/>
      <c r="AE1733" s="1590"/>
      <c r="AF1733" s="1666"/>
      <c r="AG1733" s="1590"/>
      <c r="AH1733" s="1625" t="str">
        <f t="shared" si="582"/>
        <v>HK-3A</v>
      </c>
      <c r="AI1733" s="1675">
        <f t="shared" si="583"/>
        <v>25200000</v>
      </c>
      <c r="AJ1733" s="1675">
        <f t="shared" si="584"/>
        <v>25200000</v>
      </c>
      <c r="AK1733" s="1520">
        <f t="shared" si="589"/>
        <v>0</v>
      </c>
      <c r="AL1733" s="2210" t="str">
        <f t="shared" si="590"/>
        <v>Lunas</v>
      </c>
      <c r="AM1733" s="1666"/>
      <c r="AN1733" s="1590"/>
      <c r="AO1733"/>
      <c r="AP1733"/>
      <c r="AQ1733" s="1128"/>
      <c r="AR1733" s="1173"/>
      <c r="AT1733" s="1173"/>
      <c r="AV1733" s="1173"/>
      <c r="AX1733" s="1173"/>
      <c r="AY1733" s="1176"/>
      <c r="AZ1733" s="1173"/>
    </row>
    <row r="1734" spans="1:52" s="2" customFormat="1" x14ac:dyDescent="0.25">
      <c r="A1734" s="670">
        <v>1601</v>
      </c>
      <c r="B1734" s="671">
        <v>14</v>
      </c>
      <c r="C1734" s="2228">
        <v>839118008</v>
      </c>
      <c r="D1734" s="701" t="s">
        <v>2242</v>
      </c>
      <c r="E1734" s="441" t="s">
        <v>2243</v>
      </c>
      <c r="F1734" s="175">
        <v>2018</v>
      </c>
      <c r="G1734" s="360" t="s">
        <v>1483</v>
      </c>
      <c r="H1734" s="215" t="str">
        <f t="shared" si="564"/>
        <v xml:space="preserve">   </v>
      </c>
      <c r="I1734" s="215" t="str">
        <f t="shared" si="565"/>
        <v xml:space="preserve">   </v>
      </c>
      <c r="J1734" s="1366">
        <v>2700000</v>
      </c>
      <c r="K1734" s="1360">
        <v>43311</v>
      </c>
      <c r="L1734" s="1363">
        <v>3750000</v>
      </c>
      <c r="M1734" s="1360">
        <v>43311</v>
      </c>
      <c r="N1734" s="1363">
        <v>3750000</v>
      </c>
      <c r="O1734" s="1367">
        <v>43480</v>
      </c>
      <c r="P1734" s="1714">
        <v>3750000</v>
      </c>
      <c r="Q1734" s="1367">
        <v>43640.499895833302</v>
      </c>
      <c r="R1734" s="1731">
        <v>3750000</v>
      </c>
      <c r="S1734" s="1367">
        <v>43857.635983796303</v>
      </c>
      <c r="T1734" s="1731">
        <v>3750000</v>
      </c>
      <c r="U1734" s="1367">
        <v>44071.3987037037</v>
      </c>
      <c r="V1734" s="1363"/>
      <c r="W1734" s="1391"/>
      <c r="X1734" s="1363"/>
      <c r="Y1734" s="1391"/>
      <c r="Z1734" s="1363"/>
      <c r="AA1734" s="1391"/>
      <c r="AB1734" s="1731"/>
      <c r="AC1734" s="1367"/>
      <c r="AD1734" s="1666"/>
      <c r="AE1734" s="1590"/>
      <c r="AF1734" s="1666"/>
      <c r="AG1734" s="1590"/>
      <c r="AH1734" s="1625" t="str">
        <f t="shared" si="582"/>
        <v>HK-3B</v>
      </c>
      <c r="AI1734" s="1675">
        <f t="shared" si="583"/>
        <v>21450000</v>
      </c>
      <c r="AJ1734" s="1675">
        <f t="shared" si="584"/>
        <v>21450000</v>
      </c>
      <c r="AK1734" s="1520">
        <f t="shared" si="589"/>
        <v>0</v>
      </c>
      <c r="AL1734" s="2210" t="str">
        <f t="shared" si="590"/>
        <v>Lunas</v>
      </c>
      <c r="AM1734" s="1666"/>
      <c r="AN1734" s="1590"/>
      <c r="AO1734"/>
      <c r="AP1734"/>
      <c r="AQ1734" s="1128"/>
      <c r="AR1734" s="1173"/>
      <c r="AT1734" s="1173"/>
      <c r="AV1734" s="1173"/>
      <c r="AX1734" s="1173"/>
      <c r="AY1734" s="1176"/>
      <c r="AZ1734" s="1173"/>
    </row>
    <row r="1735" spans="1:52" s="2" customFormat="1" x14ac:dyDescent="0.25">
      <c r="A1735" s="670">
        <v>1602</v>
      </c>
      <c r="B1735" s="2193">
        <v>15</v>
      </c>
      <c r="C1735" s="2228">
        <v>839118009</v>
      </c>
      <c r="D1735" s="2194" t="s">
        <v>2244</v>
      </c>
      <c r="E1735" s="179" t="s">
        <v>2243</v>
      </c>
      <c r="F1735" s="161">
        <v>2018</v>
      </c>
      <c r="G1735" s="272" t="s">
        <v>33</v>
      </c>
      <c r="H1735" s="163">
        <f t="shared" si="564"/>
        <v>44088</v>
      </c>
      <c r="I1735" s="215" t="str">
        <f t="shared" si="565"/>
        <v xml:space="preserve">   </v>
      </c>
      <c r="J1735" s="1366">
        <v>2700000</v>
      </c>
      <c r="K1735" s="1360">
        <v>43314</v>
      </c>
      <c r="L1735" s="1363">
        <v>3750000</v>
      </c>
      <c r="M1735" s="1360">
        <v>43314</v>
      </c>
      <c r="N1735" s="1363">
        <v>3750000</v>
      </c>
      <c r="O1735" s="1367">
        <v>43483</v>
      </c>
      <c r="P1735" s="1714">
        <v>3750000</v>
      </c>
      <c r="Q1735" s="1367">
        <v>43642.629664351902</v>
      </c>
      <c r="R1735" s="1731">
        <v>3750000</v>
      </c>
      <c r="S1735" s="1367">
        <v>43858.347060185202</v>
      </c>
      <c r="T1735" s="1714"/>
      <c r="U1735" s="1391"/>
      <c r="V1735" s="1363"/>
      <c r="W1735" s="1391"/>
      <c r="X1735" s="1363"/>
      <c r="Y1735" s="1391"/>
      <c r="Z1735" s="1363"/>
      <c r="AA1735" s="1391"/>
      <c r="AB1735" s="1874">
        <v>0</v>
      </c>
      <c r="AC1735" s="1357"/>
      <c r="AD1735" s="1809">
        <v>0</v>
      </c>
      <c r="AE1735" s="1440"/>
      <c r="AF1735" s="1809">
        <v>0</v>
      </c>
      <c r="AG1735" s="1440"/>
      <c r="AH1735" s="1625" t="str">
        <f t="shared" si="582"/>
        <v>HK-3B</v>
      </c>
      <c r="AI1735" s="1675">
        <f t="shared" si="583"/>
        <v>18200000</v>
      </c>
      <c r="AJ1735" s="1675">
        <f t="shared" si="584"/>
        <v>22000000</v>
      </c>
      <c r="AK1735" s="1520">
        <f t="shared" si="589"/>
        <v>3800000</v>
      </c>
      <c r="AL1735" s="2210" t="str">
        <f t="shared" si="590"/>
        <v>Cek</v>
      </c>
      <c r="AM1735" s="1666">
        <v>500000</v>
      </c>
      <c r="AN1735" s="1590">
        <v>44096</v>
      </c>
      <c r="AO1735"/>
      <c r="AP1735"/>
      <c r="AQ1735" s="1128"/>
      <c r="AR1735" s="1173"/>
      <c r="AT1735" s="1173"/>
      <c r="AV1735" s="1173"/>
      <c r="AX1735" s="1173"/>
      <c r="AY1735" s="1176"/>
      <c r="AZ1735" s="1173"/>
    </row>
    <row r="1736" spans="1:52" s="2" customFormat="1" x14ac:dyDescent="0.25">
      <c r="A1736" s="670">
        <v>1603</v>
      </c>
      <c r="B1736" s="671">
        <v>16</v>
      </c>
      <c r="C1736" s="2228">
        <v>839118015</v>
      </c>
      <c r="D1736" s="701" t="s">
        <v>2245</v>
      </c>
      <c r="E1736" s="441" t="s">
        <v>2243</v>
      </c>
      <c r="F1736" s="175">
        <v>2018</v>
      </c>
      <c r="G1736" s="1758" t="s">
        <v>28</v>
      </c>
      <c r="H1736" s="215" t="str">
        <f t="shared" si="564"/>
        <v xml:space="preserve">   </v>
      </c>
      <c r="I1736" s="215" t="str">
        <f t="shared" si="565"/>
        <v xml:space="preserve">   </v>
      </c>
      <c r="J1736" s="1366">
        <v>2700000</v>
      </c>
      <c r="K1736" s="1360">
        <v>43308</v>
      </c>
      <c r="L1736" s="1363">
        <v>3750000</v>
      </c>
      <c r="M1736" s="1360">
        <v>43308</v>
      </c>
      <c r="N1736" s="1186" t="s">
        <v>1842</v>
      </c>
      <c r="O1736" s="1386"/>
      <c r="P1736" s="1714">
        <v>0</v>
      </c>
      <c r="Q1736" s="1367" t="s">
        <v>783</v>
      </c>
      <c r="R1736" s="1731">
        <v>0</v>
      </c>
      <c r="S1736" s="1367" t="s">
        <v>783</v>
      </c>
      <c r="T1736" s="1731">
        <v>0</v>
      </c>
      <c r="U1736" s="1367"/>
      <c r="V1736" s="1363"/>
      <c r="W1736" s="1391"/>
      <c r="X1736" s="1363"/>
      <c r="Y1736" s="1391"/>
      <c r="Z1736" s="1363"/>
      <c r="AA1736" s="1391"/>
      <c r="AB1736" s="1731"/>
      <c r="AC1736" s="1367"/>
      <c r="AD1736" s="1666"/>
      <c r="AE1736" s="1590"/>
      <c r="AF1736" s="1666"/>
      <c r="AG1736" s="1590"/>
      <c r="AH1736" s="1625" t="str">
        <f t="shared" si="582"/>
        <v>HK-3B</v>
      </c>
      <c r="AI1736" s="1675">
        <f t="shared" si="583"/>
        <v>6450000</v>
      </c>
      <c r="AJ1736" s="1675">
        <f t="shared" si="584"/>
        <v>17700000</v>
      </c>
      <c r="AK1736" s="1520">
        <f t="shared" si="589"/>
        <v>11250000</v>
      </c>
      <c r="AL1736" s="2210" t="str">
        <f t="shared" si="590"/>
        <v>Cek</v>
      </c>
      <c r="AM1736" s="1666"/>
      <c r="AN1736" s="1590"/>
      <c r="AO1736"/>
      <c r="AP1736"/>
      <c r="AQ1736" s="1128"/>
      <c r="AR1736" s="1173"/>
      <c r="AT1736" s="1173"/>
      <c r="AV1736" s="1173"/>
      <c r="AX1736" s="1173"/>
      <c r="AY1736" s="1176"/>
      <c r="AZ1736" s="1173"/>
    </row>
    <row r="1737" spans="1:52" s="2" customFormat="1" x14ac:dyDescent="0.25">
      <c r="A1737" s="670">
        <v>1604</v>
      </c>
      <c r="B1737" s="671">
        <v>17</v>
      </c>
      <c r="C1737" s="2228">
        <v>839118016</v>
      </c>
      <c r="D1737" s="701" t="s">
        <v>2246</v>
      </c>
      <c r="E1737" s="441" t="s">
        <v>2243</v>
      </c>
      <c r="F1737" s="175">
        <v>2018</v>
      </c>
      <c r="G1737" s="360" t="s">
        <v>1483</v>
      </c>
      <c r="H1737" s="215" t="str">
        <f t="shared" si="564"/>
        <v xml:space="preserve">   </v>
      </c>
      <c r="I1737" s="215" t="str">
        <f t="shared" si="565"/>
        <v xml:space="preserve">   </v>
      </c>
      <c r="J1737" s="1366">
        <v>2700000</v>
      </c>
      <c r="K1737" s="1360">
        <v>43308</v>
      </c>
      <c r="L1737" s="1363">
        <v>3750000</v>
      </c>
      <c r="M1737" s="1360">
        <v>43308</v>
      </c>
      <c r="N1737" s="1363">
        <v>3750000</v>
      </c>
      <c r="O1737" s="1367">
        <v>43483</v>
      </c>
      <c r="P1737" s="1714">
        <v>3750000</v>
      </c>
      <c r="Q1737" s="1367">
        <v>43644.407534722202</v>
      </c>
      <c r="R1737" s="1731">
        <v>3750000</v>
      </c>
      <c r="S1737" s="1367">
        <v>43860.409062500003</v>
      </c>
      <c r="T1737" s="1731">
        <v>3750000</v>
      </c>
      <c r="U1737" s="1367">
        <v>44070.460590277798</v>
      </c>
      <c r="V1737" s="1363"/>
      <c r="W1737" s="1391"/>
      <c r="X1737" s="1363"/>
      <c r="Y1737" s="1391"/>
      <c r="Z1737" s="1363"/>
      <c r="AA1737" s="1391"/>
      <c r="AB1737" s="1731"/>
      <c r="AC1737" s="1367"/>
      <c r="AD1737" s="1666"/>
      <c r="AE1737" s="1590"/>
      <c r="AF1737" s="1666"/>
      <c r="AG1737" s="1590"/>
      <c r="AH1737" s="1625" t="str">
        <f t="shared" si="582"/>
        <v>HK-3B</v>
      </c>
      <c r="AI1737" s="1675">
        <f t="shared" si="583"/>
        <v>21450000</v>
      </c>
      <c r="AJ1737" s="1675">
        <f t="shared" si="584"/>
        <v>21450000</v>
      </c>
      <c r="AK1737" s="1520">
        <f t="shared" si="589"/>
        <v>0</v>
      </c>
      <c r="AL1737" s="2210" t="str">
        <f t="shared" si="590"/>
        <v>Lunas</v>
      </c>
      <c r="AM1737" s="1666"/>
      <c r="AN1737" s="1590"/>
      <c r="AO1737"/>
      <c r="AP1737"/>
      <c r="AQ1737" s="1128"/>
      <c r="AR1737" s="1173"/>
      <c r="AT1737" s="1173"/>
      <c r="AV1737" s="1173"/>
      <c r="AX1737" s="1173"/>
      <c r="AY1737" s="1176"/>
      <c r="AZ1737" s="1173"/>
    </row>
    <row r="1738" spans="1:52" s="2" customFormat="1" x14ac:dyDescent="0.25">
      <c r="A1738" s="670">
        <v>1605</v>
      </c>
      <c r="B1738" s="671">
        <v>18</v>
      </c>
      <c r="C1738" s="2228">
        <v>839118018</v>
      </c>
      <c r="D1738" s="701" t="s">
        <v>2247</v>
      </c>
      <c r="E1738" s="441" t="s">
        <v>2243</v>
      </c>
      <c r="F1738" s="175">
        <v>2018</v>
      </c>
      <c r="G1738" s="360" t="s">
        <v>1483</v>
      </c>
      <c r="H1738" s="215" t="str">
        <f t="shared" si="564"/>
        <v xml:space="preserve">   </v>
      </c>
      <c r="I1738" s="215" t="str">
        <f t="shared" si="565"/>
        <v xml:space="preserve">   </v>
      </c>
      <c r="J1738" s="1366">
        <v>2700000</v>
      </c>
      <c r="K1738" s="1360">
        <v>43311</v>
      </c>
      <c r="L1738" s="1363">
        <v>3750000</v>
      </c>
      <c r="M1738" s="1360">
        <v>43311</v>
      </c>
      <c r="N1738" s="1363">
        <v>3750000</v>
      </c>
      <c r="O1738" s="1367">
        <v>43483</v>
      </c>
      <c r="P1738" s="1714">
        <v>3750000</v>
      </c>
      <c r="Q1738" s="1367">
        <v>43643.640185185199</v>
      </c>
      <c r="R1738" s="1731">
        <v>3750000</v>
      </c>
      <c r="S1738" s="1367">
        <v>43861.452592592599</v>
      </c>
      <c r="T1738" s="1731">
        <v>3750000</v>
      </c>
      <c r="U1738" s="1367">
        <v>44070.5455671296</v>
      </c>
      <c r="V1738" s="1363"/>
      <c r="W1738" s="1391"/>
      <c r="X1738" s="1363"/>
      <c r="Y1738" s="1391"/>
      <c r="Z1738" s="1363"/>
      <c r="AA1738" s="1391"/>
      <c r="AB1738" s="1731"/>
      <c r="AC1738" s="1367"/>
      <c r="AD1738" s="1666"/>
      <c r="AE1738" s="1590"/>
      <c r="AF1738" s="1666"/>
      <c r="AG1738" s="1590"/>
      <c r="AH1738" s="1625" t="str">
        <f t="shared" si="582"/>
        <v>HK-3B</v>
      </c>
      <c r="AI1738" s="1675">
        <f t="shared" si="583"/>
        <v>21450000</v>
      </c>
      <c r="AJ1738" s="1675">
        <f t="shared" si="584"/>
        <v>21450000</v>
      </c>
      <c r="AK1738" s="1520">
        <f t="shared" si="589"/>
        <v>0</v>
      </c>
      <c r="AL1738" s="2210" t="str">
        <f t="shared" si="590"/>
        <v>Lunas</v>
      </c>
      <c r="AM1738" s="1666"/>
      <c r="AN1738" s="1590"/>
      <c r="AO1738"/>
      <c r="AP1738"/>
      <c r="AQ1738" s="1128"/>
      <c r="AR1738" s="1173"/>
      <c r="AT1738" s="1173"/>
      <c r="AV1738" s="1173"/>
      <c r="AX1738" s="1173"/>
      <c r="AY1738" s="1176"/>
      <c r="AZ1738" s="1173"/>
    </row>
    <row r="1739" spans="1:52" s="2" customFormat="1" x14ac:dyDescent="0.25">
      <c r="A1739" s="670">
        <v>1606</v>
      </c>
      <c r="B1739" s="2193">
        <v>19</v>
      </c>
      <c r="C1739" s="2228">
        <v>839118019</v>
      </c>
      <c r="D1739" s="2194" t="s">
        <v>2248</v>
      </c>
      <c r="E1739" s="179" t="s">
        <v>2243</v>
      </c>
      <c r="F1739" s="161">
        <v>2018</v>
      </c>
      <c r="G1739" s="272" t="s">
        <v>33</v>
      </c>
      <c r="H1739" s="163">
        <f t="shared" ref="H1739:H1775" si="591">IFERROR(VLOOKUP(C1739,Tlus,3,FALSE),"   ")</f>
        <v>44076</v>
      </c>
      <c r="I1739" s="215" t="str">
        <f t="shared" ref="I1739:I1775" si="592">IFERROR(VLOOKUP(C1739,Wis,4,FALSE),"   ")</f>
        <v xml:space="preserve">   </v>
      </c>
      <c r="J1739" s="1366">
        <v>2700000</v>
      </c>
      <c r="K1739" s="1360">
        <v>43312</v>
      </c>
      <c r="L1739" s="1363">
        <v>3750000</v>
      </c>
      <c r="M1739" s="1360">
        <v>43312</v>
      </c>
      <c r="N1739" s="1363">
        <v>3750000</v>
      </c>
      <c r="O1739" s="1367">
        <v>43483</v>
      </c>
      <c r="P1739" s="1714">
        <v>3750000</v>
      </c>
      <c r="Q1739" s="1367">
        <v>43643.639212962997</v>
      </c>
      <c r="R1739" s="1731">
        <v>3750000</v>
      </c>
      <c r="S1739" s="1367">
        <v>43859</v>
      </c>
      <c r="T1739" s="1714"/>
      <c r="U1739" s="1391"/>
      <c r="V1739" s="1363"/>
      <c r="W1739" s="1391"/>
      <c r="X1739" s="1363"/>
      <c r="Y1739" s="1391"/>
      <c r="Z1739" s="1363"/>
      <c r="AA1739" s="1391"/>
      <c r="AB1739" s="1874">
        <v>0</v>
      </c>
      <c r="AC1739" s="1357"/>
      <c r="AD1739" s="1809">
        <v>0</v>
      </c>
      <c r="AE1739" s="1440"/>
      <c r="AF1739" s="1809">
        <v>0</v>
      </c>
      <c r="AG1739" s="1440"/>
      <c r="AH1739" s="1625" t="str">
        <f t="shared" si="582"/>
        <v>HK-3B</v>
      </c>
      <c r="AI1739" s="1675">
        <f t="shared" si="583"/>
        <v>18200000</v>
      </c>
      <c r="AJ1739" s="1675">
        <f t="shared" si="584"/>
        <v>22000000</v>
      </c>
      <c r="AK1739" s="1520">
        <f t="shared" si="589"/>
        <v>3800000</v>
      </c>
      <c r="AL1739" s="2210" t="str">
        <f t="shared" si="590"/>
        <v>Cek</v>
      </c>
      <c r="AM1739" s="1666">
        <v>500000</v>
      </c>
      <c r="AN1739" s="1590">
        <v>44070.553912037001</v>
      </c>
      <c r="AO1739"/>
      <c r="AP1739"/>
      <c r="AQ1739" s="1128"/>
      <c r="AR1739" s="1173"/>
      <c r="AT1739" s="1173"/>
      <c r="AV1739" s="1173"/>
      <c r="AX1739" s="1173"/>
      <c r="AY1739" s="1176"/>
      <c r="AZ1739" s="1173"/>
    </row>
    <row r="1740" spans="1:52" s="2" customFormat="1" x14ac:dyDescent="0.25">
      <c r="A1740" s="670">
        <v>1607</v>
      </c>
      <c r="B1740" s="671">
        <v>20</v>
      </c>
      <c r="C1740" s="2228">
        <v>839118020</v>
      </c>
      <c r="D1740" s="701" t="s">
        <v>2249</v>
      </c>
      <c r="E1740" s="441" t="s">
        <v>2243</v>
      </c>
      <c r="F1740" s="175">
        <v>2018</v>
      </c>
      <c r="G1740" s="360" t="s">
        <v>1483</v>
      </c>
      <c r="H1740" s="215" t="str">
        <f t="shared" si="591"/>
        <v xml:space="preserve">   </v>
      </c>
      <c r="I1740" s="215" t="str">
        <f t="shared" si="592"/>
        <v xml:space="preserve">   </v>
      </c>
      <c r="J1740" s="1366">
        <v>2700000</v>
      </c>
      <c r="K1740" s="1360">
        <v>43311</v>
      </c>
      <c r="L1740" s="1363">
        <v>3750000</v>
      </c>
      <c r="M1740" s="1360">
        <v>43311</v>
      </c>
      <c r="N1740" s="1363">
        <v>3750000</v>
      </c>
      <c r="O1740" s="1367">
        <v>43483</v>
      </c>
      <c r="P1740" s="1714">
        <v>3750000</v>
      </c>
      <c r="Q1740" s="1367">
        <v>43643.6407638889</v>
      </c>
      <c r="R1740" s="1731">
        <v>3750000</v>
      </c>
      <c r="S1740" s="1367">
        <v>43859</v>
      </c>
      <c r="T1740" s="1731">
        <v>3750000</v>
      </c>
      <c r="U1740" s="1367">
        <v>44070.547222222202</v>
      </c>
      <c r="V1740" s="1363"/>
      <c r="W1740" s="1391"/>
      <c r="X1740" s="1363"/>
      <c r="Y1740" s="1391"/>
      <c r="Z1740" s="1363"/>
      <c r="AA1740" s="1391"/>
      <c r="AB1740" s="1731"/>
      <c r="AC1740" s="1367"/>
      <c r="AD1740" s="1666"/>
      <c r="AE1740" s="1590"/>
      <c r="AF1740" s="1666"/>
      <c r="AG1740" s="1590"/>
      <c r="AH1740" s="1625" t="str">
        <f t="shared" si="582"/>
        <v>HK-3B</v>
      </c>
      <c r="AI1740" s="1675">
        <f t="shared" si="583"/>
        <v>21450000</v>
      </c>
      <c r="AJ1740" s="1675">
        <f t="shared" si="584"/>
        <v>21450000</v>
      </c>
      <c r="AK1740" s="1520">
        <f t="shared" si="589"/>
        <v>0</v>
      </c>
      <c r="AL1740" s="2210" t="str">
        <f t="shared" si="590"/>
        <v>Lunas</v>
      </c>
      <c r="AM1740" s="1666"/>
      <c r="AN1740" s="1590"/>
      <c r="AO1740"/>
      <c r="AP1740"/>
      <c r="AQ1740" s="1128"/>
      <c r="AR1740" s="1173"/>
      <c r="AT1740" s="1173"/>
      <c r="AV1740" s="1173"/>
      <c r="AX1740" s="1173"/>
      <c r="AY1740" s="1176"/>
      <c r="AZ1740" s="1173"/>
    </row>
    <row r="1741" spans="1:52" s="2" customFormat="1" x14ac:dyDescent="0.25">
      <c r="A1741" s="670">
        <v>1608</v>
      </c>
      <c r="B1741" s="671">
        <v>21</v>
      </c>
      <c r="C1741" s="2228">
        <v>839118021</v>
      </c>
      <c r="D1741" s="701" t="s">
        <v>2250</v>
      </c>
      <c r="E1741" s="441" t="s">
        <v>2243</v>
      </c>
      <c r="F1741" s="175">
        <v>2018</v>
      </c>
      <c r="G1741" s="360" t="s">
        <v>1483</v>
      </c>
      <c r="H1741" s="215" t="str">
        <f t="shared" si="591"/>
        <v xml:space="preserve">   </v>
      </c>
      <c r="I1741" s="215" t="str">
        <f t="shared" si="592"/>
        <v xml:space="preserve">   </v>
      </c>
      <c r="J1741" s="1366">
        <v>2700000</v>
      </c>
      <c r="K1741" s="1360">
        <v>43312</v>
      </c>
      <c r="L1741" s="1363">
        <v>3750000</v>
      </c>
      <c r="M1741" s="1360">
        <v>43312</v>
      </c>
      <c r="N1741" s="1363">
        <v>3750000</v>
      </c>
      <c r="O1741" s="1367">
        <v>43483</v>
      </c>
      <c r="P1741" s="1714">
        <v>3750000</v>
      </c>
      <c r="Q1741" s="1367">
        <v>43643.639699074098</v>
      </c>
      <c r="R1741" s="1731">
        <v>3750000</v>
      </c>
      <c r="S1741" s="1367">
        <v>43859</v>
      </c>
      <c r="T1741" s="1731">
        <v>3750000</v>
      </c>
      <c r="U1741" s="1367">
        <v>44070.541782407403</v>
      </c>
      <c r="V1741" s="1363"/>
      <c r="W1741" s="1391"/>
      <c r="X1741" s="1363"/>
      <c r="Y1741" s="1391"/>
      <c r="Z1741" s="1363"/>
      <c r="AA1741" s="1391"/>
      <c r="AB1741" s="1731"/>
      <c r="AC1741" s="1367"/>
      <c r="AD1741" s="1666"/>
      <c r="AE1741" s="1590"/>
      <c r="AF1741" s="1666"/>
      <c r="AG1741" s="1590"/>
      <c r="AH1741" s="1625" t="str">
        <f t="shared" si="582"/>
        <v>HK-3B</v>
      </c>
      <c r="AI1741" s="1675">
        <f t="shared" si="583"/>
        <v>21450000</v>
      </c>
      <c r="AJ1741" s="1675">
        <f t="shared" si="584"/>
        <v>21450000</v>
      </c>
      <c r="AK1741" s="1520">
        <f t="shared" si="589"/>
        <v>0</v>
      </c>
      <c r="AL1741" s="2210" t="str">
        <f t="shared" si="590"/>
        <v>Lunas</v>
      </c>
      <c r="AM1741" s="1666"/>
      <c r="AN1741" s="1590"/>
      <c r="AO1741"/>
      <c r="AP1741"/>
      <c r="AQ1741" s="1128"/>
      <c r="AR1741" s="1173"/>
      <c r="AT1741" s="1173"/>
      <c r="AV1741" s="1173"/>
      <c r="AX1741" s="1173"/>
      <c r="AY1741" s="1176"/>
      <c r="AZ1741" s="1173"/>
    </row>
    <row r="1742" spans="1:52" s="2" customFormat="1" x14ac:dyDescent="0.25">
      <c r="A1742" s="670">
        <v>1609</v>
      </c>
      <c r="B1742" s="2193">
        <v>22</v>
      </c>
      <c r="C1742" s="2228">
        <v>839118022</v>
      </c>
      <c r="D1742" s="2194" t="s">
        <v>2251</v>
      </c>
      <c r="E1742" s="2226" t="s">
        <v>2243</v>
      </c>
      <c r="F1742" s="2227">
        <v>2018</v>
      </c>
      <c r="G1742" s="272" t="s">
        <v>33</v>
      </c>
      <c r="H1742" s="163">
        <f t="shared" si="591"/>
        <v>44084</v>
      </c>
      <c r="I1742" s="215">
        <f t="shared" si="592"/>
        <v>44186</v>
      </c>
      <c r="J1742" s="1366">
        <v>2700000</v>
      </c>
      <c r="K1742" s="1360">
        <v>43319</v>
      </c>
      <c r="L1742" s="1363">
        <v>3750000</v>
      </c>
      <c r="M1742" s="1360">
        <v>43319</v>
      </c>
      <c r="N1742" s="1363">
        <v>3750000</v>
      </c>
      <c r="O1742" s="1367">
        <v>43481</v>
      </c>
      <c r="P1742" s="1714">
        <v>3750000</v>
      </c>
      <c r="Q1742" s="1367">
        <v>43635.5066435185</v>
      </c>
      <c r="R1742" s="1731">
        <v>3750000</v>
      </c>
      <c r="S1742" s="1367">
        <v>43860</v>
      </c>
      <c r="T1742" s="1714"/>
      <c r="U1742" s="1391"/>
      <c r="V1742" s="1363"/>
      <c r="W1742" s="1391"/>
      <c r="X1742" s="1363"/>
      <c r="Y1742" s="1391"/>
      <c r="Z1742" s="1363"/>
      <c r="AA1742" s="1391"/>
      <c r="AB1742" s="2218">
        <v>0</v>
      </c>
      <c r="AC1742" s="2219"/>
      <c r="AD1742" s="2220">
        <v>0</v>
      </c>
      <c r="AE1742" s="2221"/>
      <c r="AF1742" s="2220">
        <v>0</v>
      </c>
      <c r="AG1742" s="2221"/>
      <c r="AH1742" s="1625" t="str">
        <f t="shared" si="582"/>
        <v>HK-3B</v>
      </c>
      <c r="AI1742" s="1675">
        <f t="shared" si="583"/>
        <v>18200000</v>
      </c>
      <c r="AJ1742" s="1675">
        <f t="shared" si="584"/>
        <v>22000000</v>
      </c>
      <c r="AK1742" s="1520">
        <f t="shared" si="589"/>
        <v>3800000</v>
      </c>
      <c r="AL1742" s="2210" t="str">
        <f t="shared" si="590"/>
        <v>Cek</v>
      </c>
      <c r="AM1742" s="1666">
        <v>500000</v>
      </c>
      <c r="AN1742" s="1590">
        <v>44091</v>
      </c>
      <c r="AO1742"/>
      <c r="AP1742"/>
      <c r="AQ1742" s="1128"/>
      <c r="AR1742" s="1173"/>
      <c r="AT1742" s="1173"/>
      <c r="AV1742" s="1173"/>
      <c r="AX1742" s="1173"/>
      <c r="AY1742" s="1176"/>
      <c r="AZ1742" s="1173"/>
    </row>
    <row r="1743" spans="1:52" s="2" customFormat="1" x14ac:dyDescent="0.25">
      <c r="A1743" s="670">
        <v>1610</v>
      </c>
      <c r="B1743" s="671">
        <v>23</v>
      </c>
      <c r="C1743" s="2228">
        <v>839118023</v>
      </c>
      <c r="D1743" s="701" t="s">
        <v>2252</v>
      </c>
      <c r="E1743" s="441" t="s">
        <v>2243</v>
      </c>
      <c r="F1743" s="175">
        <v>2018</v>
      </c>
      <c r="G1743" s="1758" t="s">
        <v>28</v>
      </c>
      <c r="H1743" s="215" t="str">
        <f t="shared" si="591"/>
        <v xml:space="preserve">   </v>
      </c>
      <c r="I1743" s="215" t="str">
        <f t="shared" si="592"/>
        <v xml:space="preserve">   </v>
      </c>
      <c r="J1743" s="1366">
        <v>2700000</v>
      </c>
      <c r="K1743" s="1360">
        <v>43314</v>
      </c>
      <c r="L1743" s="1363">
        <v>3750000</v>
      </c>
      <c r="M1743" s="1360">
        <v>43314</v>
      </c>
      <c r="N1743" s="1186" t="s">
        <v>1078</v>
      </c>
      <c r="O1743" s="1386">
        <v>43125</v>
      </c>
      <c r="P1743" s="1714">
        <v>3750000</v>
      </c>
      <c r="Q1743" s="1367">
        <v>43642.631574074097</v>
      </c>
      <c r="R1743" s="1731">
        <v>0</v>
      </c>
      <c r="S1743" s="1367"/>
      <c r="T1743" s="1731">
        <v>0</v>
      </c>
      <c r="U1743" s="1367"/>
      <c r="V1743" s="1363"/>
      <c r="W1743" s="1391"/>
      <c r="X1743" s="1363"/>
      <c r="Y1743" s="1391"/>
      <c r="Z1743" s="1363"/>
      <c r="AA1743" s="1391"/>
      <c r="AB1743" s="1731"/>
      <c r="AC1743" s="1367"/>
      <c r="AD1743" s="1666"/>
      <c r="AE1743" s="1590"/>
      <c r="AF1743" s="1666"/>
      <c r="AG1743" s="1590"/>
      <c r="AH1743" s="1625" t="str">
        <f t="shared" si="582"/>
        <v>HK-3B</v>
      </c>
      <c r="AI1743" s="1675">
        <f t="shared" si="583"/>
        <v>10200000</v>
      </c>
      <c r="AJ1743" s="1675">
        <f t="shared" si="584"/>
        <v>17700000</v>
      </c>
      <c r="AK1743" s="1520">
        <f t="shared" si="589"/>
        <v>7500000</v>
      </c>
      <c r="AL1743" s="2210" t="str">
        <f t="shared" si="590"/>
        <v>Cek</v>
      </c>
      <c r="AM1743" s="1666"/>
      <c r="AN1743" s="1590"/>
      <c r="AO1743"/>
      <c r="AP1743"/>
      <c r="AQ1743" s="1128"/>
      <c r="AR1743" s="1173"/>
      <c r="AT1743" s="1173"/>
      <c r="AV1743" s="1173"/>
      <c r="AX1743" s="1173"/>
      <c r="AY1743" s="1176"/>
      <c r="AZ1743" s="1173"/>
    </row>
    <row r="1744" spans="1:52" s="2" customFormat="1" x14ac:dyDescent="0.25">
      <c r="A1744" s="670">
        <v>1611</v>
      </c>
      <c r="B1744" s="2133">
        <v>24</v>
      </c>
      <c r="C1744" s="2235">
        <v>839118025</v>
      </c>
      <c r="D1744" s="2146" t="s">
        <v>2253</v>
      </c>
      <c r="E1744" s="179" t="s">
        <v>2243</v>
      </c>
      <c r="F1744" s="161">
        <v>2018</v>
      </c>
      <c r="G1744" s="272" t="s">
        <v>33</v>
      </c>
      <c r="H1744" s="163">
        <f t="shared" si="591"/>
        <v>44018</v>
      </c>
      <c r="I1744" s="273">
        <f t="shared" si="592"/>
        <v>44186</v>
      </c>
      <c r="J1744" s="1364">
        <v>2700000</v>
      </c>
      <c r="K1744" s="1365">
        <v>43314</v>
      </c>
      <c r="L1744" s="1358">
        <v>3750000</v>
      </c>
      <c r="M1744" s="1365">
        <v>43314</v>
      </c>
      <c r="N1744" s="1358">
        <v>3750000</v>
      </c>
      <c r="O1744" s="1357">
        <v>43481</v>
      </c>
      <c r="P1744" s="1385">
        <v>3750000</v>
      </c>
      <c r="Q1744" s="1357">
        <v>43637.605474536998</v>
      </c>
      <c r="R1744" s="1874">
        <v>3750000</v>
      </c>
      <c r="S1744" s="1357">
        <v>43857</v>
      </c>
      <c r="T1744" s="1714"/>
      <c r="U1744" s="1391"/>
      <c r="V1744" s="1363"/>
      <c r="W1744" s="1391"/>
      <c r="X1744" s="1363"/>
      <c r="Y1744" s="1391"/>
      <c r="Z1744" s="1363"/>
      <c r="AA1744" s="1391"/>
      <c r="AB1744" s="1874">
        <v>1000000</v>
      </c>
      <c r="AC1744" s="1357">
        <v>44205</v>
      </c>
      <c r="AD1744" s="1809">
        <v>1200000</v>
      </c>
      <c r="AE1744" s="1440">
        <v>44205</v>
      </c>
      <c r="AF1744" s="1809">
        <v>1600000</v>
      </c>
      <c r="AG1744" s="1440">
        <v>44205</v>
      </c>
      <c r="AH1744" s="1625" t="str">
        <f t="shared" si="582"/>
        <v>HK-3B</v>
      </c>
      <c r="AI1744" s="1675">
        <f t="shared" si="583"/>
        <v>22000000</v>
      </c>
      <c r="AJ1744" s="1675">
        <f t="shared" si="584"/>
        <v>22000000</v>
      </c>
      <c r="AK1744" s="1520">
        <f t="shared" si="589"/>
        <v>0</v>
      </c>
      <c r="AL1744" s="2210" t="str">
        <f t="shared" si="590"/>
        <v>Lunas</v>
      </c>
      <c r="AM1744" s="1809">
        <v>500000</v>
      </c>
      <c r="AN1744" s="1440">
        <v>44069.454618055599</v>
      </c>
      <c r="AO1744"/>
      <c r="AP1744"/>
      <c r="AQ1744" s="1128"/>
      <c r="AR1744" s="1173"/>
      <c r="AT1744" s="1173"/>
      <c r="AV1744" s="1173"/>
      <c r="AX1744" s="1173"/>
      <c r="AY1744" s="1176"/>
      <c r="AZ1744" s="1173"/>
    </row>
    <row r="1745" spans="1:52" s="2" customFormat="1" x14ac:dyDescent="0.25">
      <c r="A1745" s="670">
        <v>1612</v>
      </c>
      <c r="B1745" s="671">
        <v>25</v>
      </c>
      <c r="C1745" s="2228">
        <v>839118026</v>
      </c>
      <c r="D1745" s="701" t="s">
        <v>2254</v>
      </c>
      <c r="E1745" s="441" t="s">
        <v>2243</v>
      </c>
      <c r="F1745" s="175">
        <v>2018</v>
      </c>
      <c r="G1745" s="360" t="s">
        <v>1483</v>
      </c>
      <c r="H1745" s="215" t="str">
        <f t="shared" si="591"/>
        <v xml:space="preserve">   </v>
      </c>
      <c r="I1745" s="215" t="str">
        <f t="shared" si="592"/>
        <v xml:space="preserve">   </v>
      </c>
      <c r="J1745" s="1366">
        <v>2700000</v>
      </c>
      <c r="K1745" s="1360">
        <v>43314</v>
      </c>
      <c r="L1745" s="1363">
        <v>3750000</v>
      </c>
      <c r="M1745" s="1360">
        <v>43314</v>
      </c>
      <c r="N1745" s="1363">
        <v>3750000</v>
      </c>
      <c r="O1745" s="1367">
        <v>43480</v>
      </c>
      <c r="P1745" s="1714">
        <v>3750000</v>
      </c>
      <c r="Q1745" s="1367">
        <v>43639.812939814801</v>
      </c>
      <c r="R1745" s="1731">
        <v>3750000</v>
      </c>
      <c r="S1745" s="1367">
        <v>43857.580902777801</v>
      </c>
      <c r="T1745" s="1731">
        <v>3750000</v>
      </c>
      <c r="U1745" s="1367">
        <v>44068.373796296299</v>
      </c>
      <c r="V1745" s="1363"/>
      <c r="W1745" s="1391"/>
      <c r="X1745" s="1363"/>
      <c r="Y1745" s="1391"/>
      <c r="Z1745" s="1363"/>
      <c r="AA1745" s="1391"/>
      <c r="AB1745" s="1874">
        <v>1000000</v>
      </c>
      <c r="AC1745" s="1357">
        <v>44132</v>
      </c>
      <c r="AD1745" s="1809">
        <v>1200000</v>
      </c>
      <c r="AE1745" s="1440">
        <v>44137</v>
      </c>
      <c r="AF1745" s="2232">
        <v>1000000</v>
      </c>
      <c r="AG1745" s="1440">
        <v>44137</v>
      </c>
      <c r="AH1745" s="1625" t="str">
        <f t="shared" si="582"/>
        <v>HK-3B</v>
      </c>
      <c r="AI1745" s="1675">
        <f t="shared" si="583"/>
        <v>25150000</v>
      </c>
      <c r="AJ1745" s="1675">
        <f t="shared" si="584"/>
        <v>25750000</v>
      </c>
      <c r="AK1745" s="1520">
        <f t="shared" si="589"/>
        <v>600000</v>
      </c>
      <c r="AL1745" s="2210" t="str">
        <f t="shared" si="590"/>
        <v>Cek</v>
      </c>
      <c r="AM1745" s="1809">
        <v>500000</v>
      </c>
      <c r="AN1745" s="1440">
        <v>44137</v>
      </c>
      <c r="AO1745"/>
      <c r="AP1745"/>
      <c r="AQ1745" s="1128"/>
      <c r="AR1745" s="1173"/>
      <c r="AT1745" s="1173"/>
      <c r="AV1745" s="1173"/>
      <c r="AX1745" s="1173"/>
      <c r="AY1745" s="1176"/>
      <c r="AZ1745" s="1173"/>
    </row>
    <row r="1746" spans="1:52" s="2" customFormat="1" x14ac:dyDescent="0.25">
      <c r="A1746" s="670">
        <v>1613</v>
      </c>
      <c r="B1746" s="678">
        <v>26</v>
      </c>
      <c r="C1746" s="2236">
        <v>839118027</v>
      </c>
      <c r="D1746" s="704" t="s">
        <v>2255</v>
      </c>
      <c r="E1746" s="489" t="s">
        <v>2243</v>
      </c>
      <c r="F1746" s="221">
        <v>2018</v>
      </c>
      <c r="G1746" s="360" t="s">
        <v>1483</v>
      </c>
      <c r="H1746" s="222" t="str">
        <f t="shared" si="591"/>
        <v xml:space="preserve">   </v>
      </c>
      <c r="I1746" s="222" t="str">
        <f t="shared" si="592"/>
        <v xml:space="preserve">   </v>
      </c>
      <c r="J1746" s="1444">
        <v>2700000</v>
      </c>
      <c r="K1746" s="1557">
        <v>43326</v>
      </c>
      <c r="L1746" s="1446">
        <v>3750000</v>
      </c>
      <c r="M1746" s="1557">
        <v>43326</v>
      </c>
      <c r="N1746" s="1446">
        <v>3750000</v>
      </c>
      <c r="O1746" s="1445">
        <v>43480</v>
      </c>
      <c r="P1746" s="1724">
        <v>3750000</v>
      </c>
      <c r="Q1746" s="1445">
        <v>43640.4930902778</v>
      </c>
      <c r="R1746" s="1731">
        <v>3750000</v>
      </c>
      <c r="S1746" s="1367">
        <v>43857.633680555598</v>
      </c>
      <c r="T1746" s="1731">
        <v>3750000</v>
      </c>
      <c r="U1746" s="1367">
        <v>44071.4005555556</v>
      </c>
      <c r="V1746" s="1446"/>
      <c r="W1746" s="1944"/>
      <c r="X1746" s="1446"/>
      <c r="Y1746" s="1944"/>
      <c r="Z1746" s="1446"/>
      <c r="AA1746" s="1944"/>
      <c r="AB1746" s="1731">
        <v>0</v>
      </c>
      <c r="AC1746" s="1367"/>
      <c r="AD1746" s="1666">
        <v>1200000</v>
      </c>
      <c r="AE1746" s="1590">
        <v>44138</v>
      </c>
      <c r="AF1746" s="1666"/>
      <c r="AG1746" s="1590"/>
      <c r="AH1746" s="1626" t="str">
        <f t="shared" si="582"/>
        <v>HK-3B</v>
      </c>
      <c r="AI1746" s="1675">
        <f t="shared" si="583"/>
        <v>22650000</v>
      </c>
      <c r="AJ1746" s="1675">
        <f t="shared" si="584"/>
        <v>23650000</v>
      </c>
      <c r="AK1746" s="1520">
        <f t="shared" si="589"/>
        <v>1000000</v>
      </c>
      <c r="AL1746" s="2210" t="str">
        <f t="shared" si="590"/>
        <v>Cek</v>
      </c>
      <c r="AM1746" s="1666"/>
      <c r="AN1746" s="1590"/>
      <c r="AO1746"/>
      <c r="AP1746"/>
      <c r="AQ1746" s="1128"/>
      <c r="AR1746" s="1173"/>
      <c r="AT1746" s="1173"/>
      <c r="AV1746" s="1173"/>
      <c r="AX1746" s="1173"/>
      <c r="AY1746" s="1176"/>
      <c r="AZ1746" s="1173"/>
    </row>
    <row r="1747" spans="1:52" s="2" customFormat="1" x14ac:dyDescent="0.25">
      <c r="A1747" s="670">
        <v>1614</v>
      </c>
      <c r="B1747" s="671">
        <v>27</v>
      </c>
      <c r="C1747" s="2228">
        <v>839118028</v>
      </c>
      <c r="D1747" s="701" t="s">
        <v>2256</v>
      </c>
      <c r="E1747" s="441" t="s">
        <v>2257</v>
      </c>
      <c r="F1747" s="175">
        <v>2018</v>
      </c>
      <c r="G1747" s="1758" t="s">
        <v>28</v>
      </c>
      <c r="H1747" s="215" t="str">
        <f t="shared" si="591"/>
        <v xml:space="preserve">   </v>
      </c>
      <c r="I1747" s="215" t="str">
        <f t="shared" si="592"/>
        <v xml:space="preserve">   </v>
      </c>
      <c r="J1747" s="1366"/>
      <c r="K1747" s="1360" t="s">
        <v>2065</v>
      </c>
      <c r="L1747" s="1363">
        <v>3750000</v>
      </c>
      <c r="M1747" s="1360">
        <v>43852.541250000002</v>
      </c>
      <c r="N1747" s="1363">
        <v>3750000</v>
      </c>
      <c r="O1747" s="1360">
        <v>43852.541250000002</v>
      </c>
      <c r="P1747" s="1714">
        <v>3750000</v>
      </c>
      <c r="Q1747" s="1360">
        <v>43852.541250000002</v>
      </c>
      <c r="R1747" s="1714">
        <v>3750000</v>
      </c>
      <c r="S1747" s="1367">
        <v>43861</v>
      </c>
      <c r="T1747" s="1731">
        <v>0</v>
      </c>
      <c r="U1747" s="1367"/>
      <c r="V1747" s="1363"/>
      <c r="W1747" s="1391"/>
      <c r="X1747" s="1363"/>
      <c r="Y1747" s="1391"/>
      <c r="Z1747" s="1363"/>
      <c r="AA1747" s="1391"/>
      <c r="AB1747" s="1731"/>
      <c r="AC1747" s="1367"/>
      <c r="AD1747" s="1666"/>
      <c r="AE1747" s="1590"/>
      <c r="AF1747" s="1666"/>
      <c r="AG1747" s="1590"/>
      <c r="AH1747" s="1625" t="str">
        <f t="shared" si="582"/>
        <v>HK-Ren</v>
      </c>
      <c r="AI1747" s="1675">
        <f t="shared" si="583"/>
        <v>15000000</v>
      </c>
      <c r="AJ1747" s="1675">
        <f t="shared" si="584"/>
        <v>18750000</v>
      </c>
      <c r="AK1747" s="1520">
        <f t="shared" si="589"/>
        <v>3750000</v>
      </c>
      <c r="AL1747" s="2210" t="str">
        <f t="shared" si="590"/>
        <v>Cek</v>
      </c>
      <c r="AM1747" s="1666"/>
      <c r="AN1747" s="1590"/>
      <c r="AO1747"/>
      <c r="AP1747"/>
      <c r="AQ1747" s="1128"/>
      <c r="AR1747" s="1173"/>
      <c r="AT1747" s="1173"/>
      <c r="AV1747" s="1173"/>
      <c r="AX1747" s="1173"/>
      <c r="AY1747" s="1176"/>
      <c r="AZ1747" s="1173"/>
    </row>
    <row r="1748" spans="1:52" s="2" customFormat="1" x14ac:dyDescent="0.25">
      <c r="A1748" s="670">
        <v>1615</v>
      </c>
      <c r="B1748" s="2193">
        <v>28</v>
      </c>
      <c r="C1748" s="2228">
        <v>839118029</v>
      </c>
      <c r="D1748" s="2194" t="s">
        <v>1972</v>
      </c>
      <c r="E1748" s="179" t="s">
        <v>2257</v>
      </c>
      <c r="F1748" s="161">
        <v>2018</v>
      </c>
      <c r="G1748" s="272" t="s">
        <v>33</v>
      </c>
      <c r="H1748" s="163">
        <f t="shared" si="591"/>
        <v>43942</v>
      </c>
      <c r="I1748" s="215">
        <f t="shared" si="592"/>
        <v>44168</v>
      </c>
      <c r="J1748" s="1366"/>
      <c r="K1748" s="1360" t="s">
        <v>2065</v>
      </c>
      <c r="L1748" s="1363">
        <v>3750000</v>
      </c>
      <c r="M1748" s="1360">
        <v>43852.540219907401</v>
      </c>
      <c r="N1748" s="1363">
        <v>3750000</v>
      </c>
      <c r="O1748" s="1360">
        <v>43852.540219907401</v>
      </c>
      <c r="P1748" s="1714">
        <v>3750000</v>
      </c>
      <c r="Q1748" s="1360">
        <v>43852.540219907401</v>
      </c>
      <c r="R1748" s="1714">
        <v>3750000</v>
      </c>
      <c r="S1748" s="1367">
        <v>43858</v>
      </c>
      <c r="T1748" s="1714"/>
      <c r="U1748" s="1391"/>
      <c r="V1748" s="1363"/>
      <c r="W1748" s="1391"/>
      <c r="X1748" s="1363"/>
      <c r="Y1748" s="1391"/>
      <c r="Z1748" s="1363"/>
      <c r="AA1748" s="1391"/>
      <c r="AB1748" s="1731">
        <v>0</v>
      </c>
      <c r="AC1748" s="1367"/>
      <c r="AD1748" s="1666"/>
      <c r="AE1748" s="1590"/>
      <c r="AF1748" s="2232">
        <v>1000000</v>
      </c>
      <c r="AG1748" s="1590">
        <v>43859</v>
      </c>
      <c r="AH1748" s="1625" t="str">
        <f t="shared" si="582"/>
        <v>HK-Ren</v>
      </c>
      <c r="AI1748" s="1675">
        <f t="shared" si="583"/>
        <v>16500000</v>
      </c>
      <c r="AJ1748" s="1675">
        <f t="shared" si="584"/>
        <v>18100000</v>
      </c>
      <c r="AK1748" s="1520">
        <f t="shared" si="589"/>
        <v>1600000</v>
      </c>
      <c r="AL1748" s="2210" t="str">
        <f t="shared" si="590"/>
        <v>Cek</v>
      </c>
      <c r="AM1748" s="1666">
        <v>500000</v>
      </c>
      <c r="AN1748" s="1590">
        <v>44039</v>
      </c>
      <c r="AO1748"/>
      <c r="AP1748"/>
      <c r="AQ1748" s="1128"/>
      <c r="AR1748" s="1173"/>
      <c r="AT1748" s="1173"/>
      <c r="AV1748" s="1173"/>
      <c r="AX1748" s="1173"/>
      <c r="AY1748" s="1176"/>
      <c r="AZ1748" s="1173"/>
    </row>
    <row r="1749" spans="1:52" s="2" customFormat="1" x14ac:dyDescent="0.25">
      <c r="A1749" s="434"/>
      <c r="B1749" s="434"/>
      <c r="C1749" s="2201"/>
      <c r="D1749" s="719"/>
      <c r="E1749" s="437"/>
      <c r="F1749" s="437" t="s">
        <v>61</v>
      </c>
      <c r="G1749" s="192" t="s">
        <v>61</v>
      </c>
      <c r="H1749" s="437" t="str">
        <f t="shared" si="591"/>
        <v xml:space="preserve">   </v>
      </c>
      <c r="I1749" s="437" t="str">
        <f t="shared" si="592"/>
        <v xml:space="preserve">   </v>
      </c>
      <c r="J1749" s="437"/>
      <c r="K1749" s="437"/>
      <c r="L1749" s="437"/>
      <c r="M1749" s="437"/>
      <c r="N1749" s="437"/>
      <c r="O1749" s="437"/>
      <c r="P1749" s="437"/>
      <c r="Q1749" s="2204"/>
      <c r="R1749" s="437"/>
      <c r="S1749" s="2205"/>
      <c r="T1749" s="2206"/>
      <c r="U1749" s="437"/>
      <c r="V1749" s="2206"/>
      <c r="W1749" s="437"/>
      <c r="X1749" s="2206"/>
      <c r="Y1749" s="437"/>
      <c r="Z1749" s="2206"/>
      <c r="AA1749" s="437"/>
      <c r="AB1749" s="437"/>
      <c r="AC1749" s="2209"/>
      <c r="AD1749" s="437"/>
      <c r="AE1749" s="437"/>
      <c r="AF1749" s="437"/>
      <c r="AG1749" s="437"/>
      <c r="AH1749" s="1627">
        <f t="shared" si="582"/>
        <v>0</v>
      </c>
      <c r="AI1749" s="1512"/>
      <c r="AJ1749" s="1409"/>
      <c r="AK1749" s="1409"/>
      <c r="AL1749" s="1513"/>
      <c r="AM1749"/>
      <c r="AN1749"/>
      <c r="AO1749"/>
      <c r="AP1749"/>
      <c r="AQ1749" s="1128"/>
      <c r="AR1749" s="1173"/>
      <c r="AT1749" s="1173"/>
      <c r="AV1749" s="1173"/>
      <c r="AX1749" s="1173"/>
      <c r="AY1749" s="1176"/>
      <c r="AZ1749" s="1173"/>
    </row>
    <row r="1750" spans="1:52" s="2" customFormat="1" x14ac:dyDescent="0.25">
      <c r="A1750" s="434"/>
      <c r="B1750" s="434"/>
      <c r="C1750" s="2201"/>
      <c r="D1750" s="719"/>
      <c r="E1750" s="437"/>
      <c r="F1750" s="437" t="s">
        <v>61</v>
      </c>
      <c r="G1750" s="192" t="s">
        <v>61</v>
      </c>
      <c r="H1750" s="437" t="str">
        <f t="shared" si="591"/>
        <v xml:space="preserve">   </v>
      </c>
      <c r="I1750" s="437" t="str">
        <f t="shared" si="592"/>
        <v xml:space="preserve">   </v>
      </c>
      <c r="J1750" s="437"/>
      <c r="K1750" s="437"/>
      <c r="L1750" s="437"/>
      <c r="M1750" s="437"/>
      <c r="N1750" s="437"/>
      <c r="O1750" s="437"/>
      <c r="P1750" s="437"/>
      <c r="Q1750" s="2204"/>
      <c r="R1750" s="437"/>
      <c r="S1750" s="2205"/>
      <c r="T1750" s="2206"/>
      <c r="U1750" s="437"/>
      <c r="V1750" s="2206"/>
      <c r="W1750" s="437"/>
      <c r="X1750" s="2206"/>
      <c r="Y1750" s="437"/>
      <c r="Z1750" s="2206"/>
      <c r="AA1750" s="437"/>
      <c r="AB1750" s="437"/>
      <c r="AC1750" s="2209"/>
      <c r="AD1750" s="437"/>
      <c r="AE1750" s="437"/>
      <c r="AF1750" s="437"/>
      <c r="AG1750" s="437"/>
      <c r="AH1750" s="1627">
        <f t="shared" si="582"/>
        <v>0</v>
      </c>
      <c r="AI1750" s="1512"/>
      <c r="AJ1750" s="1409"/>
      <c r="AK1750" s="1409"/>
      <c r="AL1750" s="1513"/>
      <c r="AM1750"/>
      <c r="AN1750"/>
      <c r="AO1750"/>
      <c r="AP1750"/>
      <c r="AQ1750" s="1128"/>
      <c r="AR1750" s="1173"/>
      <c r="AT1750" s="1173"/>
      <c r="AV1750" s="1173"/>
      <c r="AX1750" s="1173"/>
      <c r="AY1750" s="1176"/>
      <c r="AZ1750" s="1173"/>
    </row>
    <row r="1751" spans="1:52" s="2" customFormat="1" x14ac:dyDescent="0.25">
      <c r="A1751" s="434"/>
      <c r="B1751" s="434"/>
      <c r="C1751" s="2201"/>
      <c r="D1751" s="437"/>
      <c r="E1751" s="437"/>
      <c r="F1751" s="437" t="s">
        <v>61</v>
      </c>
      <c r="G1751" s="192" t="s">
        <v>61</v>
      </c>
      <c r="H1751" s="437" t="str">
        <f t="shared" si="591"/>
        <v xml:space="preserve">   </v>
      </c>
      <c r="I1751" s="437" t="str">
        <f t="shared" si="592"/>
        <v xml:space="preserve">   </v>
      </c>
      <c r="J1751" s="437"/>
      <c r="K1751" s="437"/>
      <c r="L1751" s="437"/>
      <c r="M1751" s="437"/>
      <c r="N1751" s="437"/>
      <c r="O1751" s="437"/>
      <c r="P1751" s="437"/>
      <c r="Q1751" s="2204"/>
      <c r="R1751" s="437"/>
      <c r="S1751" s="2205"/>
      <c r="T1751" s="2206"/>
      <c r="U1751" s="437"/>
      <c r="V1751" s="2206"/>
      <c r="W1751" s="437"/>
      <c r="X1751" s="2206"/>
      <c r="Y1751" s="437"/>
      <c r="Z1751" s="2206"/>
      <c r="AA1751" s="437"/>
      <c r="AB1751" s="437"/>
      <c r="AC1751" s="2209"/>
      <c r="AD1751" s="223"/>
      <c r="AE1751" s="1155"/>
      <c r="AF1751" s="223"/>
      <c r="AG1751" s="1155"/>
      <c r="AH1751" s="1627">
        <f t="shared" si="582"/>
        <v>0</v>
      </c>
      <c r="AI1751" s="1512"/>
      <c r="AJ1751" s="1409"/>
      <c r="AK1751" s="1409"/>
      <c r="AL1751" s="1513"/>
      <c r="AM1751"/>
      <c r="AN1751"/>
      <c r="AO1751"/>
      <c r="AP1751"/>
      <c r="AQ1751" s="1128"/>
      <c r="AR1751" s="1173"/>
      <c r="AT1751" s="1173"/>
      <c r="AV1751" s="1173"/>
      <c r="AX1751" s="1173"/>
      <c r="AY1751" s="1176"/>
      <c r="AZ1751" s="1173"/>
    </row>
    <row r="1752" spans="1:52" s="2" customFormat="1" x14ac:dyDescent="0.25">
      <c r="A1752" s="625" t="s">
        <v>2258</v>
      </c>
      <c r="B1752" s="625"/>
      <c r="C1752" s="366"/>
      <c r="D1752" s="625"/>
      <c r="E1752" s="198" t="s">
        <v>1096</v>
      </c>
      <c r="F1752" s="199" t="s">
        <v>1096</v>
      </c>
      <c r="G1752" s="565">
        <v>3750000</v>
      </c>
      <c r="H1752" s="147" t="str">
        <f t="shared" si="591"/>
        <v xml:space="preserve">   </v>
      </c>
      <c r="I1752" s="147" t="str">
        <f t="shared" si="592"/>
        <v xml:space="preserve">   </v>
      </c>
      <c r="J1752" s="2035">
        <v>2700000</v>
      </c>
      <c r="K1752" s="2036"/>
      <c r="L1752" s="2163" t="s">
        <v>1049</v>
      </c>
      <c r="M1752" s="2164" t="s">
        <v>1141</v>
      </c>
      <c r="N1752" s="2163" t="s">
        <v>1051</v>
      </c>
      <c r="O1752" s="2164" t="s">
        <v>1325</v>
      </c>
      <c r="P1752" s="2016" t="s">
        <v>1053</v>
      </c>
      <c r="Q1752" s="1438" t="s">
        <v>1463</v>
      </c>
      <c r="R1752" s="2016" t="s">
        <v>1055</v>
      </c>
      <c r="S1752" s="1438" t="s">
        <v>1464</v>
      </c>
      <c r="T1752" s="2016" t="s">
        <v>1057</v>
      </c>
      <c r="U1752" s="1438" t="s">
        <v>1466</v>
      </c>
      <c r="V1752" s="2016" t="s">
        <v>1059</v>
      </c>
      <c r="W1752" s="1438" t="s">
        <v>1468</v>
      </c>
      <c r="X1752" s="1582" t="s">
        <v>1061</v>
      </c>
      <c r="Y1752" s="1438" t="s">
        <v>1470</v>
      </c>
      <c r="Z1752" s="1582" t="s">
        <v>1063</v>
      </c>
      <c r="AA1752" s="1438" t="s">
        <v>1718</v>
      </c>
      <c r="AB1752" s="2177">
        <v>1000000</v>
      </c>
      <c r="AC1752" s="2178" t="s">
        <v>2015</v>
      </c>
      <c r="AD1752" s="1450">
        <v>1200000</v>
      </c>
      <c r="AE1752" s="1663" t="s">
        <v>2016</v>
      </c>
      <c r="AF1752" s="1450">
        <v>1600000</v>
      </c>
      <c r="AG1752" s="1663" t="s">
        <v>1326</v>
      </c>
      <c r="AH1752" s="1408" t="str">
        <f t="shared" si="582"/>
        <v>#</v>
      </c>
      <c r="AI1752" s="1512"/>
      <c r="AJ1752" s="1409"/>
      <c r="AK1752" s="1409"/>
      <c r="AL1752" s="1513"/>
      <c r="AM1752" s="1450">
        <v>500000</v>
      </c>
      <c r="AN1752" s="1663" t="s">
        <v>22</v>
      </c>
      <c r="AO1752"/>
      <c r="AP1752"/>
      <c r="AQ1752" s="1128"/>
      <c r="AR1752" s="1173"/>
      <c r="AT1752" s="1173"/>
      <c r="AV1752" s="1173"/>
      <c r="AX1752" s="1173"/>
      <c r="AY1752" s="1176"/>
      <c r="AZ1752" s="1173"/>
    </row>
    <row r="1753" spans="1:52" s="2" customFormat="1" x14ac:dyDescent="0.25">
      <c r="A1753" s="694">
        <v>1616</v>
      </c>
      <c r="B1753" s="2237">
        <v>1</v>
      </c>
      <c r="C1753" s="2225">
        <v>829118001</v>
      </c>
      <c r="D1753" s="2238" t="s">
        <v>2259</v>
      </c>
      <c r="E1753" s="2239" t="s">
        <v>2260</v>
      </c>
      <c r="F1753" s="2240">
        <v>2018</v>
      </c>
      <c r="G1753" s="272" t="s">
        <v>33</v>
      </c>
      <c r="H1753" s="163">
        <f t="shared" si="591"/>
        <v>44046</v>
      </c>
      <c r="I1753" s="715">
        <f t="shared" si="592"/>
        <v>44186</v>
      </c>
      <c r="J1753" s="1780">
        <v>2700000</v>
      </c>
      <c r="K1753" s="1727">
        <v>43307</v>
      </c>
      <c r="L1753" s="1941">
        <v>3750000</v>
      </c>
      <c r="M1753" s="1727">
        <v>43307</v>
      </c>
      <c r="N1753" s="1941">
        <v>3750000</v>
      </c>
      <c r="O1753" s="2054">
        <v>43481</v>
      </c>
      <c r="P1753" s="2097">
        <v>3750000</v>
      </c>
      <c r="Q1753" s="2054">
        <v>43637.6030902778</v>
      </c>
      <c r="R1753" s="1543">
        <v>3750000</v>
      </c>
      <c r="S1753" s="1590">
        <v>43852</v>
      </c>
      <c r="T1753" s="1714"/>
      <c r="U1753" s="1391"/>
      <c r="V1753" s="1941"/>
      <c r="W1753" s="1954"/>
      <c r="X1753" s="1543"/>
      <c r="Y1753" s="1940"/>
      <c r="Z1753" s="1543"/>
      <c r="AA1753" s="1940"/>
      <c r="AB1753" s="1874">
        <v>1000000</v>
      </c>
      <c r="AC1753" s="1357">
        <v>44173</v>
      </c>
      <c r="AD1753" s="1809">
        <v>1200000</v>
      </c>
      <c r="AE1753" s="1357">
        <v>44173</v>
      </c>
      <c r="AF1753" s="1809">
        <v>1600000</v>
      </c>
      <c r="AG1753" s="1357">
        <v>44173</v>
      </c>
      <c r="AH1753" s="1625" t="str">
        <f t="shared" si="582"/>
        <v>KPI-3</v>
      </c>
      <c r="AI1753" s="1675">
        <f t="shared" ref="AI1753:AI1760" si="593">SUM(J1753,L1753,N1753,P1753,R1753,T1753,V1753,X1753,Z1753,AB1753,AD1753,AF1753,AM1753)</f>
        <v>22000000</v>
      </c>
      <c r="AJ1753" s="1675">
        <f t="shared" ref="AJ1753:AJ1760" si="594">(COUNT(L1753,N1753,P1753,R1753,T1753,V1753,X1753,Z1753)*$G$1507)+(COUNT(J1753)*$J$1507)+(COUNT(AB1753)*$AB$1507)+(COUNT(AD1753)*$AD$1507)+(COUNT(AF1753)*$AF$1507)+(COUNT(AM1753)*$AM$1507)</f>
        <v>22000000</v>
      </c>
      <c r="AK1753" s="1520">
        <f t="shared" ref="AK1753" si="595">AJ1753-AI1753</f>
        <v>0</v>
      </c>
      <c r="AL1753" s="2187" t="str">
        <f t="shared" ref="AL1753:AL1754" si="596">IF(AK1753=0,"Lunas","Cek")</f>
        <v>Lunas</v>
      </c>
      <c r="AM1753" s="1666">
        <v>500000</v>
      </c>
      <c r="AN1753" s="1590">
        <v>44076</v>
      </c>
      <c r="AO1753"/>
      <c r="AP1753"/>
      <c r="AQ1753" s="1128"/>
      <c r="AR1753" s="1173"/>
      <c r="AT1753" s="1173"/>
      <c r="AV1753" s="1173"/>
      <c r="AX1753" s="1173"/>
      <c r="AY1753" s="1176"/>
      <c r="AZ1753" s="1173"/>
    </row>
    <row r="1754" spans="1:52" s="2" customFormat="1" x14ac:dyDescent="0.25">
      <c r="A1754" s="670">
        <v>1617</v>
      </c>
      <c r="B1754" s="2193">
        <v>2</v>
      </c>
      <c r="C1754" s="2228">
        <v>829118002</v>
      </c>
      <c r="D1754" s="2194" t="s">
        <v>2261</v>
      </c>
      <c r="E1754" s="2226" t="s">
        <v>2260</v>
      </c>
      <c r="F1754" s="2227">
        <v>2018</v>
      </c>
      <c r="G1754" s="272" t="s">
        <v>33</v>
      </c>
      <c r="H1754" s="163">
        <f t="shared" si="591"/>
        <v>44032</v>
      </c>
      <c r="I1754" s="215">
        <f t="shared" si="592"/>
        <v>44168</v>
      </c>
      <c r="J1754" s="1366">
        <v>2700000</v>
      </c>
      <c r="K1754" s="1360">
        <v>43314</v>
      </c>
      <c r="L1754" s="1363">
        <v>3750000</v>
      </c>
      <c r="M1754" s="1360">
        <v>43314</v>
      </c>
      <c r="N1754" s="1363">
        <v>3750000</v>
      </c>
      <c r="O1754" s="1367">
        <v>43481</v>
      </c>
      <c r="P1754" s="1714">
        <v>3750000</v>
      </c>
      <c r="Q1754" s="1367">
        <v>43637.585960648103</v>
      </c>
      <c r="R1754" s="1363">
        <v>3750000</v>
      </c>
      <c r="S1754" s="1367">
        <v>43851</v>
      </c>
      <c r="T1754" s="1714"/>
      <c r="U1754" s="1391"/>
      <c r="V1754" s="1363"/>
      <c r="W1754" s="1391"/>
      <c r="X1754" s="1363"/>
      <c r="Y1754" s="1384"/>
      <c r="Z1754" s="1363"/>
      <c r="AA1754" s="1384"/>
      <c r="AB1754" s="2218">
        <v>0</v>
      </c>
      <c r="AC1754" s="2219"/>
      <c r="AD1754" s="2220">
        <v>0</v>
      </c>
      <c r="AE1754" s="2221"/>
      <c r="AF1754" s="2220">
        <v>0</v>
      </c>
      <c r="AG1754" s="2221"/>
      <c r="AH1754" s="1625" t="str">
        <f t="shared" si="582"/>
        <v>KPI-3</v>
      </c>
      <c r="AI1754" s="1675">
        <f t="shared" si="593"/>
        <v>18200000</v>
      </c>
      <c r="AJ1754" s="1675">
        <f t="shared" si="594"/>
        <v>22000000</v>
      </c>
      <c r="AK1754" s="1520">
        <f t="shared" ref="AK1754" si="597">AJ1754-AI1754</f>
        <v>3800000</v>
      </c>
      <c r="AL1754" s="2187" t="str">
        <f t="shared" si="596"/>
        <v>Cek</v>
      </c>
      <c r="AM1754" s="1666">
        <v>500000</v>
      </c>
      <c r="AN1754" s="1590">
        <v>44061</v>
      </c>
      <c r="AO1754"/>
      <c r="AP1754"/>
      <c r="AQ1754" s="1128"/>
      <c r="AR1754" s="1173"/>
      <c r="AT1754" s="1173"/>
      <c r="AV1754" s="1173"/>
      <c r="AX1754" s="1173"/>
      <c r="AY1754" s="1176"/>
      <c r="AZ1754" s="1173"/>
    </row>
    <row r="1755" spans="1:52" s="2" customFormat="1" x14ac:dyDescent="0.25">
      <c r="A1755" s="670">
        <v>1618</v>
      </c>
      <c r="B1755" s="671">
        <v>3</v>
      </c>
      <c r="C1755" s="716">
        <v>829118003</v>
      </c>
      <c r="D1755" s="703" t="s">
        <v>2262</v>
      </c>
      <c r="E1755" s="441" t="s">
        <v>2260</v>
      </c>
      <c r="F1755" s="175">
        <v>2018</v>
      </c>
      <c r="G1755" s="360" t="s">
        <v>1483</v>
      </c>
      <c r="H1755" s="215" t="str">
        <f t="shared" si="591"/>
        <v xml:space="preserve">   </v>
      </c>
      <c r="I1755" s="215" t="str">
        <f t="shared" si="592"/>
        <v xml:space="preserve">   </v>
      </c>
      <c r="J1755" s="1530">
        <v>2700000</v>
      </c>
      <c r="K1755" s="1360">
        <v>43314</v>
      </c>
      <c r="L1755" s="1363">
        <v>3750000</v>
      </c>
      <c r="M1755" s="1367">
        <v>43671.349826388898</v>
      </c>
      <c r="N1755" s="1186">
        <v>3750000</v>
      </c>
      <c r="O1755" s="1386">
        <v>43910</v>
      </c>
      <c r="P1755" s="1669">
        <v>3750000</v>
      </c>
      <c r="Q1755" s="1367">
        <v>43671.349826388898</v>
      </c>
      <c r="R1755" s="1363">
        <v>3750000</v>
      </c>
      <c r="S1755" s="1367">
        <v>43910</v>
      </c>
      <c r="T1755" s="1731">
        <v>3750000</v>
      </c>
      <c r="U1755" s="1367">
        <v>44035</v>
      </c>
      <c r="V1755" s="1363"/>
      <c r="W1755" s="1391"/>
      <c r="X1755" s="1363"/>
      <c r="Y1755" s="1384"/>
      <c r="Z1755" s="1363"/>
      <c r="AA1755" s="1384"/>
      <c r="AB1755" s="1731"/>
      <c r="AC1755" s="1367"/>
      <c r="AD1755" s="1666"/>
      <c r="AE1755" s="1590"/>
      <c r="AF1755" s="1666"/>
      <c r="AG1755" s="1590"/>
      <c r="AH1755" s="1625" t="str">
        <f t="shared" si="582"/>
        <v>KPI-3</v>
      </c>
      <c r="AI1755" s="1675">
        <f t="shared" si="593"/>
        <v>21450000</v>
      </c>
      <c r="AJ1755" s="1675">
        <f t="shared" si="594"/>
        <v>21450000</v>
      </c>
      <c r="AK1755" s="1520">
        <f t="shared" ref="AK1755:AK1760" si="598">AJ1755-AI1755</f>
        <v>0</v>
      </c>
      <c r="AL1755" s="2210" t="str">
        <f t="shared" ref="AL1755:AL1760" si="599">IF(AK1755=0,"Lunas","Cek")</f>
        <v>Lunas</v>
      </c>
      <c r="AM1755" s="1666"/>
      <c r="AN1755" s="1590"/>
      <c r="AO1755"/>
      <c r="AP1755"/>
      <c r="AQ1755" s="1128"/>
      <c r="AR1755" s="1173"/>
      <c r="AT1755" s="1173"/>
      <c r="AV1755" s="1173"/>
      <c r="AX1755" s="1173"/>
      <c r="AY1755" s="1176"/>
      <c r="AZ1755" s="1173"/>
    </row>
    <row r="1756" spans="1:52" s="2" customFormat="1" x14ac:dyDescent="0.25">
      <c r="A1756" s="670">
        <v>1619</v>
      </c>
      <c r="B1756" s="2133">
        <v>4</v>
      </c>
      <c r="C1756" s="2235">
        <v>829118004</v>
      </c>
      <c r="D1756" s="2146" t="s">
        <v>2263</v>
      </c>
      <c r="E1756" s="179" t="s">
        <v>2260</v>
      </c>
      <c r="F1756" s="161">
        <v>2018</v>
      </c>
      <c r="G1756" s="272" t="s">
        <v>33</v>
      </c>
      <c r="H1756" s="163">
        <f t="shared" si="591"/>
        <v>44053</v>
      </c>
      <c r="I1756" s="215">
        <f t="shared" si="592"/>
        <v>44186</v>
      </c>
      <c r="J1756" s="1364">
        <v>2700000</v>
      </c>
      <c r="K1756" s="1365">
        <v>43311</v>
      </c>
      <c r="L1756" s="1358">
        <v>3750000</v>
      </c>
      <c r="M1756" s="1365">
        <v>43311</v>
      </c>
      <c r="N1756" s="1358">
        <v>3750000</v>
      </c>
      <c r="O1756" s="1357">
        <v>43488</v>
      </c>
      <c r="P1756" s="1385">
        <v>3750000</v>
      </c>
      <c r="Q1756" s="1357">
        <v>43635.582002314797</v>
      </c>
      <c r="R1756" s="1358">
        <v>3750000</v>
      </c>
      <c r="S1756" s="1357">
        <v>43853</v>
      </c>
      <c r="T1756" s="1714"/>
      <c r="U1756" s="1391"/>
      <c r="V1756" s="1363"/>
      <c r="W1756" s="1391"/>
      <c r="X1756" s="1363"/>
      <c r="Y1756" s="1391"/>
      <c r="Z1756" s="1363"/>
      <c r="AA1756" s="1563"/>
      <c r="AB1756" s="1874">
        <v>1000000</v>
      </c>
      <c r="AC1756" s="1357">
        <v>44169</v>
      </c>
      <c r="AD1756" s="1809">
        <v>1200000</v>
      </c>
      <c r="AE1756" s="1357">
        <v>44169</v>
      </c>
      <c r="AF1756" s="1809">
        <v>1600000</v>
      </c>
      <c r="AG1756" s="1357">
        <v>44169</v>
      </c>
      <c r="AH1756" s="1625" t="str">
        <f t="shared" si="582"/>
        <v>KPI-3</v>
      </c>
      <c r="AI1756" s="1675">
        <f t="shared" si="593"/>
        <v>22000000</v>
      </c>
      <c r="AJ1756" s="1675">
        <f t="shared" si="594"/>
        <v>22000000</v>
      </c>
      <c r="AK1756" s="1520">
        <f t="shared" si="598"/>
        <v>0</v>
      </c>
      <c r="AL1756" s="2210" t="str">
        <f t="shared" si="599"/>
        <v>Lunas</v>
      </c>
      <c r="AM1756" s="1666">
        <v>500000</v>
      </c>
      <c r="AN1756" s="1590">
        <v>44141</v>
      </c>
      <c r="AO1756"/>
      <c r="AP1756"/>
      <c r="AQ1756" s="1128"/>
      <c r="AR1756" s="1173"/>
      <c r="AT1756" s="1173"/>
      <c r="AV1756" s="1173"/>
      <c r="AX1756" s="1173"/>
      <c r="AY1756" s="1176"/>
      <c r="AZ1756" s="1173"/>
    </row>
    <row r="1757" spans="1:52" s="2" customFormat="1" x14ac:dyDescent="0.25">
      <c r="A1757" s="2132">
        <v>1620</v>
      </c>
      <c r="B1757" s="2133">
        <v>5</v>
      </c>
      <c r="C1757" s="2235">
        <v>829118005</v>
      </c>
      <c r="D1757" s="2146" t="s">
        <v>2264</v>
      </c>
      <c r="E1757" s="179" t="s">
        <v>2260</v>
      </c>
      <c r="F1757" s="161">
        <v>2018</v>
      </c>
      <c r="G1757" s="272" t="s">
        <v>33</v>
      </c>
      <c r="H1757" s="163">
        <f t="shared" si="591"/>
        <v>44020</v>
      </c>
      <c r="I1757" s="628">
        <f t="shared" si="592"/>
        <v>44168</v>
      </c>
      <c r="J1757" s="1364">
        <v>2700000</v>
      </c>
      <c r="K1757" s="1365">
        <v>43314</v>
      </c>
      <c r="L1757" s="1358">
        <v>3750000</v>
      </c>
      <c r="M1757" s="1365">
        <v>43314</v>
      </c>
      <c r="N1757" s="1358">
        <v>3750000</v>
      </c>
      <c r="O1757" s="1357">
        <v>43489</v>
      </c>
      <c r="P1757" s="1385">
        <v>3750000</v>
      </c>
      <c r="Q1757" s="1357">
        <v>43649.3912962963</v>
      </c>
      <c r="R1757" s="1358">
        <v>3750000</v>
      </c>
      <c r="S1757" s="1357">
        <v>43859</v>
      </c>
      <c r="T1757" s="1714"/>
      <c r="U1757" s="1391"/>
      <c r="V1757" s="1363"/>
      <c r="W1757" s="1391"/>
      <c r="X1757" s="1363"/>
      <c r="Y1757" s="1391"/>
      <c r="Z1757" s="1363"/>
      <c r="AA1757" s="1563"/>
      <c r="AB1757" s="1874">
        <v>1000000</v>
      </c>
      <c r="AC1757" s="1357">
        <v>44153</v>
      </c>
      <c r="AD1757" s="1809">
        <v>1200000</v>
      </c>
      <c r="AE1757" s="1357">
        <v>44153</v>
      </c>
      <c r="AF1757" s="1809">
        <v>1600000</v>
      </c>
      <c r="AG1757" s="1357">
        <v>44153</v>
      </c>
      <c r="AH1757" s="1625" t="str">
        <f t="shared" si="582"/>
        <v>KPI-3</v>
      </c>
      <c r="AI1757" s="2186">
        <f t="shared" si="593"/>
        <v>22000000</v>
      </c>
      <c r="AJ1757" s="1675">
        <f t="shared" si="594"/>
        <v>22000000</v>
      </c>
      <c r="AK1757" s="1520">
        <f t="shared" si="598"/>
        <v>0</v>
      </c>
      <c r="AL1757" s="2210" t="str">
        <f t="shared" si="599"/>
        <v>Lunas</v>
      </c>
      <c r="AM1757" s="1666">
        <v>500000</v>
      </c>
      <c r="AN1757" s="1590">
        <v>44033</v>
      </c>
      <c r="AO1757"/>
      <c r="AP1757"/>
      <c r="AQ1757" s="1128"/>
      <c r="AR1757" s="1173"/>
      <c r="AT1757" s="1173"/>
      <c r="AV1757" s="1173"/>
      <c r="AX1757" s="1173"/>
      <c r="AY1757" s="1176"/>
      <c r="AZ1757" s="1173"/>
    </row>
    <row r="1758" spans="1:52" s="2" customFormat="1" x14ac:dyDescent="0.25">
      <c r="A1758" s="670">
        <v>1621</v>
      </c>
      <c r="B1758" s="678">
        <v>6</v>
      </c>
      <c r="C1758" s="2236">
        <v>829118006</v>
      </c>
      <c r="D1758" s="720" t="s">
        <v>2265</v>
      </c>
      <c r="E1758" s="691" t="s">
        <v>2260</v>
      </c>
      <c r="F1758" s="221">
        <v>2018</v>
      </c>
      <c r="G1758" s="329" t="s">
        <v>1077</v>
      </c>
      <c r="H1758" s="215" t="str">
        <f t="shared" si="591"/>
        <v xml:space="preserve">   </v>
      </c>
      <c r="I1758" s="215" t="str">
        <f t="shared" si="592"/>
        <v xml:space="preserve">   </v>
      </c>
      <c r="J1758" s="2243">
        <v>950000</v>
      </c>
      <c r="K1758" s="1557">
        <v>43314</v>
      </c>
      <c r="L1758" s="2243"/>
      <c r="M1758" s="1557"/>
      <c r="N1758" s="1932" t="s">
        <v>1078</v>
      </c>
      <c r="O1758" s="2000">
        <v>43125</v>
      </c>
      <c r="P1758" s="1724"/>
      <c r="Q1758" s="1445"/>
      <c r="R1758" s="1446"/>
      <c r="S1758" s="1445"/>
      <c r="T1758" s="1446"/>
      <c r="U1758" s="1782"/>
      <c r="V1758" s="1446"/>
      <c r="W1758" s="1782"/>
      <c r="X1758" s="1446"/>
      <c r="Y1758" s="1782"/>
      <c r="Z1758" s="1446"/>
      <c r="AA1758" s="1782"/>
      <c r="AB1758" s="1731"/>
      <c r="AC1758" s="1367"/>
      <c r="AD1758" s="1666"/>
      <c r="AE1758" s="1590"/>
      <c r="AF1758" s="1666"/>
      <c r="AG1758" s="1590"/>
      <c r="AH1758" s="1626" t="str">
        <f t="shared" si="582"/>
        <v>KPI-3</v>
      </c>
      <c r="AI1758" s="1675">
        <f t="shared" si="593"/>
        <v>950000</v>
      </c>
      <c r="AJ1758" s="1675">
        <f t="shared" si="594"/>
        <v>2700000</v>
      </c>
      <c r="AK1758" s="1520">
        <f t="shared" si="598"/>
        <v>1750000</v>
      </c>
      <c r="AL1758" s="2210" t="str">
        <f t="shared" si="599"/>
        <v>Cek</v>
      </c>
      <c r="AM1758" s="1666"/>
      <c r="AN1758" s="1590"/>
      <c r="AO1758"/>
      <c r="AP1758"/>
      <c r="AQ1758" s="1128"/>
      <c r="AR1758" s="1173"/>
      <c r="AT1758" s="1173"/>
      <c r="AV1758" s="1173"/>
      <c r="AX1758" s="1173"/>
      <c r="AY1758" s="1176"/>
      <c r="AZ1758" s="1173"/>
    </row>
    <row r="1759" spans="1:52" s="2" customFormat="1" x14ac:dyDescent="0.25">
      <c r="A1759" s="670">
        <v>1622</v>
      </c>
      <c r="B1759" s="671">
        <v>7</v>
      </c>
      <c r="C1759" s="2241">
        <v>829118007</v>
      </c>
      <c r="D1759" s="710" t="s">
        <v>2266</v>
      </c>
      <c r="E1759" s="441" t="s">
        <v>2260</v>
      </c>
      <c r="F1759" s="175">
        <v>2018</v>
      </c>
      <c r="G1759" s="1758" t="s">
        <v>28</v>
      </c>
      <c r="H1759" s="215" t="str">
        <f t="shared" si="591"/>
        <v xml:space="preserve">   </v>
      </c>
      <c r="I1759" s="215" t="str">
        <f t="shared" si="592"/>
        <v xml:space="preserve">   </v>
      </c>
      <c r="J1759" s="1366"/>
      <c r="K1759" s="1360" t="s">
        <v>2065</v>
      </c>
      <c r="L1759" s="1363">
        <v>3750000</v>
      </c>
      <c r="M1759" s="1360">
        <v>43852.540486111102</v>
      </c>
      <c r="N1759" s="1363">
        <v>3750000</v>
      </c>
      <c r="O1759" s="1360">
        <v>43852.540486111102</v>
      </c>
      <c r="P1759" s="1714">
        <v>3750000</v>
      </c>
      <c r="Q1759" s="1360">
        <v>43852.540486111102</v>
      </c>
      <c r="R1759" s="1363">
        <v>0</v>
      </c>
      <c r="S1759" s="1367"/>
      <c r="T1759" s="1731">
        <v>0</v>
      </c>
      <c r="U1759" s="1367"/>
      <c r="V1759" s="1363"/>
      <c r="W1759" s="1384"/>
      <c r="X1759" s="1363"/>
      <c r="Y1759" s="1384"/>
      <c r="Z1759" s="1363"/>
      <c r="AA1759" s="1384"/>
      <c r="AB1759" s="1731"/>
      <c r="AC1759" s="1367"/>
      <c r="AD1759" s="1666"/>
      <c r="AE1759" s="1590"/>
      <c r="AF1759" s="1666"/>
      <c r="AG1759" s="1590"/>
      <c r="AH1759" s="1625" t="str">
        <f t="shared" si="582"/>
        <v>KPI-3</v>
      </c>
      <c r="AI1759" s="1675">
        <f t="shared" si="593"/>
        <v>11250000</v>
      </c>
      <c r="AJ1759" s="1675">
        <f t="shared" si="594"/>
        <v>18750000</v>
      </c>
      <c r="AK1759" s="1520">
        <f t="shared" si="598"/>
        <v>7500000</v>
      </c>
      <c r="AL1759" s="2210" t="str">
        <f t="shared" si="599"/>
        <v>Cek</v>
      </c>
      <c r="AM1759" s="1666"/>
      <c r="AN1759" s="1590"/>
      <c r="AO1759"/>
      <c r="AP1759"/>
      <c r="AQ1759" s="1128"/>
      <c r="AR1759" s="1173"/>
      <c r="AT1759" s="1173"/>
      <c r="AV1759" s="1173"/>
      <c r="AX1759" s="1173"/>
      <c r="AY1759" s="1176"/>
      <c r="AZ1759" s="1173"/>
    </row>
    <row r="1760" spans="1:52" s="2" customFormat="1" x14ac:dyDescent="0.25">
      <c r="A1760" s="670">
        <v>1623</v>
      </c>
      <c r="B1760" s="671">
        <v>8</v>
      </c>
      <c r="C1760" s="2241">
        <v>829118008</v>
      </c>
      <c r="D1760" s="710" t="s">
        <v>2267</v>
      </c>
      <c r="E1760" s="441" t="s">
        <v>2260</v>
      </c>
      <c r="F1760" s="175">
        <v>2018</v>
      </c>
      <c r="G1760" s="1758" t="s">
        <v>28</v>
      </c>
      <c r="H1760" s="215" t="str">
        <f t="shared" si="591"/>
        <v xml:space="preserve">   </v>
      </c>
      <c r="I1760" s="215" t="str">
        <f t="shared" si="592"/>
        <v xml:space="preserve">   </v>
      </c>
      <c r="J1760" s="1366"/>
      <c r="K1760" s="1360" t="s">
        <v>2065</v>
      </c>
      <c r="L1760" s="1363">
        <v>3750000</v>
      </c>
      <c r="M1760" s="1360">
        <v>43852.539259259298</v>
      </c>
      <c r="N1760" s="1363">
        <v>3750000</v>
      </c>
      <c r="O1760" s="1360">
        <v>43852.539259259298</v>
      </c>
      <c r="P1760" s="1714">
        <v>3750000</v>
      </c>
      <c r="Q1760" s="1360">
        <v>43852.539259259298</v>
      </c>
      <c r="R1760" s="1363">
        <v>0</v>
      </c>
      <c r="S1760" s="1367"/>
      <c r="T1760" s="1731">
        <v>0</v>
      </c>
      <c r="U1760" s="1367"/>
      <c r="V1760" s="1363"/>
      <c r="W1760" s="1384"/>
      <c r="X1760" s="1363"/>
      <c r="Y1760" s="1384"/>
      <c r="Z1760" s="1363"/>
      <c r="AA1760" s="1384"/>
      <c r="AB1760" s="1731"/>
      <c r="AC1760" s="1367"/>
      <c r="AD1760" s="1666"/>
      <c r="AE1760" s="1590"/>
      <c r="AF1760" s="1666"/>
      <c r="AG1760" s="1590"/>
      <c r="AH1760" s="1625" t="str">
        <f t="shared" si="582"/>
        <v>KPI-3</v>
      </c>
      <c r="AI1760" s="1675">
        <f t="shared" si="593"/>
        <v>11250000</v>
      </c>
      <c r="AJ1760" s="1675">
        <f t="shared" si="594"/>
        <v>18750000</v>
      </c>
      <c r="AK1760" s="1520">
        <f t="shared" si="598"/>
        <v>7500000</v>
      </c>
      <c r="AL1760" s="2210" t="str">
        <f t="shared" si="599"/>
        <v>Cek</v>
      </c>
      <c r="AM1760" s="1666"/>
      <c r="AN1760" s="1590"/>
      <c r="AO1760"/>
      <c r="AP1760"/>
      <c r="AQ1760" s="1128"/>
      <c r="AR1760" s="1173"/>
      <c r="AT1760" s="1173"/>
      <c r="AV1760" s="1173"/>
      <c r="AX1760" s="1173"/>
      <c r="AY1760" s="1176"/>
      <c r="AZ1760" s="1173"/>
    </row>
    <row r="1761" spans="1:54" s="2" customFormat="1" x14ac:dyDescent="0.25">
      <c r="A1761" s="434"/>
      <c r="B1761" s="434"/>
      <c r="C1761" s="2201"/>
      <c r="D1761" s="437"/>
      <c r="E1761" s="437"/>
      <c r="F1761" s="438" t="s">
        <v>61</v>
      </c>
      <c r="G1761" s="192" t="s">
        <v>61</v>
      </c>
      <c r="H1761" s="438" t="str">
        <f t="shared" si="591"/>
        <v xml:space="preserve">   </v>
      </c>
      <c r="I1761" s="438" t="str">
        <f t="shared" si="592"/>
        <v xml:space="preserve">   </v>
      </c>
      <c r="J1761" s="438"/>
      <c r="K1761" s="438"/>
      <c r="L1761" s="438"/>
      <c r="M1761" s="438"/>
      <c r="N1761" s="438"/>
      <c r="O1761" s="438"/>
      <c r="P1761" s="438"/>
      <c r="Q1761" s="2204"/>
      <c r="R1761" s="438"/>
      <c r="S1761" s="2217"/>
      <c r="T1761" s="2206"/>
      <c r="U1761" s="438"/>
      <c r="V1761" s="2206"/>
      <c r="W1761" s="438"/>
      <c r="X1761" s="2206"/>
      <c r="Y1761" s="438"/>
      <c r="Z1761" s="2206"/>
      <c r="AA1761" s="438"/>
      <c r="AB1761" s="438"/>
      <c r="AC1761" s="2222"/>
      <c r="AD1761" s="223"/>
      <c r="AE1761" s="1155"/>
      <c r="AF1761" s="223"/>
      <c r="AG1761" s="1155"/>
      <c r="AH1761" s="1627">
        <f t="shared" si="582"/>
        <v>0</v>
      </c>
      <c r="AI1761" s="1512"/>
      <c r="AJ1761" s="1409"/>
      <c r="AK1761" s="1409"/>
      <c r="AL1761" s="1513"/>
      <c r="AM1761"/>
      <c r="AN1761"/>
      <c r="AO1761"/>
      <c r="AP1761"/>
      <c r="AQ1761" s="1128"/>
      <c r="AR1761" s="1173"/>
      <c r="AT1761" s="1173"/>
      <c r="AV1761" s="1173"/>
      <c r="AX1761" s="1173"/>
      <c r="AY1761" s="1176"/>
      <c r="AZ1761" s="1173"/>
    </row>
    <row r="1762" spans="1:54" s="2" customFormat="1" x14ac:dyDescent="0.25">
      <c r="A1762" s="434"/>
      <c r="B1762" s="434"/>
      <c r="C1762" s="2201"/>
      <c r="D1762" s="437"/>
      <c r="E1762" s="437"/>
      <c r="F1762" s="438" t="s">
        <v>61</v>
      </c>
      <c r="G1762" s="192" t="s">
        <v>61</v>
      </c>
      <c r="H1762" s="438" t="str">
        <f t="shared" si="591"/>
        <v xml:space="preserve">   </v>
      </c>
      <c r="I1762" s="438" t="str">
        <f t="shared" si="592"/>
        <v xml:space="preserve">   </v>
      </c>
      <c r="J1762" s="438"/>
      <c r="K1762" s="438"/>
      <c r="L1762" s="438"/>
      <c r="M1762" s="438"/>
      <c r="N1762" s="438"/>
      <c r="O1762" s="438"/>
      <c r="P1762" s="438"/>
      <c r="Q1762" s="2204"/>
      <c r="R1762" s="438"/>
      <c r="S1762" s="2217"/>
      <c r="T1762" s="2206"/>
      <c r="U1762" s="438"/>
      <c r="V1762" s="2206"/>
      <c r="W1762" s="438"/>
      <c r="X1762" s="2206"/>
      <c r="Y1762" s="438"/>
      <c r="Z1762" s="2206"/>
      <c r="AA1762" s="438"/>
      <c r="AB1762" s="438"/>
      <c r="AC1762" s="2222"/>
      <c r="AD1762" s="223"/>
      <c r="AE1762" s="1155"/>
      <c r="AF1762" s="223"/>
      <c r="AG1762" s="1155"/>
      <c r="AH1762" s="1627">
        <f t="shared" si="582"/>
        <v>0</v>
      </c>
      <c r="AI1762" s="1512"/>
      <c r="AJ1762" s="1409"/>
      <c r="AK1762" s="1409"/>
      <c r="AL1762" s="1513"/>
      <c r="AM1762"/>
      <c r="AN1762"/>
      <c r="AO1762"/>
      <c r="AP1762"/>
      <c r="AQ1762" s="1857"/>
      <c r="AR1762" s="1858"/>
      <c r="AS1762" s="1859"/>
      <c r="AT1762" s="1860"/>
      <c r="AU1762" s="1861"/>
      <c r="AV1762" s="1862"/>
      <c r="AW1762" s="1898"/>
      <c r="AX1762" s="1899"/>
      <c r="AY1762" s="1900"/>
      <c r="AZ1762" s="1901"/>
    </row>
    <row r="1763" spans="1:54" s="2" customFormat="1" x14ac:dyDescent="0.25">
      <c r="A1763" s="656" t="s">
        <v>2268</v>
      </c>
      <c r="B1763" s="656"/>
      <c r="C1763" s="417"/>
      <c r="D1763" s="656"/>
      <c r="E1763" s="657" t="s">
        <v>1096</v>
      </c>
      <c r="F1763" s="658" t="s">
        <v>1096</v>
      </c>
      <c r="G1763" s="565">
        <v>8000000</v>
      </c>
      <c r="H1763" s="147" t="str">
        <f t="shared" si="591"/>
        <v xml:space="preserve">   </v>
      </c>
      <c r="I1763" s="147" t="str">
        <f t="shared" si="592"/>
        <v xml:space="preserve">   </v>
      </c>
      <c r="J1763" s="2035">
        <v>4250000</v>
      </c>
      <c r="K1763" s="2244"/>
      <c r="L1763" s="2245" t="s">
        <v>1049</v>
      </c>
      <c r="M1763" s="2164" t="s">
        <v>1141</v>
      </c>
      <c r="N1763" s="2245" t="s">
        <v>1051</v>
      </c>
      <c r="O1763" s="2164" t="s">
        <v>1325</v>
      </c>
      <c r="P1763" s="2149" t="s">
        <v>1053</v>
      </c>
      <c r="Q1763" s="1438" t="s">
        <v>1463</v>
      </c>
      <c r="R1763" s="2149" t="s">
        <v>1055</v>
      </c>
      <c r="S1763" s="1438" t="s">
        <v>1464</v>
      </c>
      <c r="T1763" s="2149" t="s">
        <v>1057</v>
      </c>
      <c r="U1763" s="1438" t="s">
        <v>1466</v>
      </c>
      <c r="V1763" s="2149" t="s">
        <v>1059</v>
      </c>
      <c r="W1763" s="1438" t="s">
        <v>1468</v>
      </c>
      <c r="X1763" s="1771" t="s">
        <v>1061</v>
      </c>
      <c r="Y1763" s="1438" t="s">
        <v>1470</v>
      </c>
      <c r="Z1763" s="1771" t="s">
        <v>1063</v>
      </c>
      <c r="AA1763" s="1438" t="s">
        <v>1718</v>
      </c>
      <c r="AB1763" s="1813" t="s">
        <v>1065</v>
      </c>
      <c r="AC1763" s="1814" t="s">
        <v>1719</v>
      </c>
      <c r="AD1763" s="1815" t="s">
        <v>1067</v>
      </c>
      <c r="AE1763" s="1814" t="s">
        <v>1980</v>
      </c>
      <c r="AF1763" s="1815" t="s">
        <v>1465</v>
      </c>
      <c r="AG1763" s="1814" t="s">
        <v>1981</v>
      </c>
      <c r="AH1763" s="1408" t="str">
        <f t="shared" ref="AH1763:AH1826" si="600">E1763</f>
        <v>#</v>
      </c>
      <c r="AI1763" s="1512"/>
      <c r="AJ1763" s="1409"/>
      <c r="AK1763" s="1409"/>
      <c r="AL1763" s="1513"/>
      <c r="AM1763" s="1815" t="s">
        <v>1467</v>
      </c>
      <c r="AN1763" s="1814" t="s">
        <v>2269</v>
      </c>
      <c r="AO1763" s="1815" t="s">
        <v>1469</v>
      </c>
      <c r="AP1763" s="1814" t="s">
        <v>2270</v>
      </c>
      <c r="AQ1763" s="1450" t="s">
        <v>1471</v>
      </c>
      <c r="AR1763" s="1863">
        <v>1000000</v>
      </c>
      <c r="AS1763" s="1450" t="s">
        <v>1472</v>
      </c>
      <c r="AT1763" s="1863">
        <v>1500000</v>
      </c>
      <c r="AU1763" s="1450" t="s">
        <v>1473</v>
      </c>
      <c r="AV1763" s="1863">
        <v>1500000</v>
      </c>
      <c r="AW1763" s="1450" t="s">
        <v>1474</v>
      </c>
      <c r="AX1763" s="1863">
        <v>4000000</v>
      </c>
      <c r="AY1763" s="1450" t="s">
        <v>1475</v>
      </c>
      <c r="AZ1763" s="1863">
        <v>8000000</v>
      </c>
      <c r="BA1763" s="1450" t="s">
        <v>22</v>
      </c>
      <c r="BB1763" s="1902">
        <v>800000</v>
      </c>
    </row>
    <row r="1764" spans="1:54" s="2" customFormat="1" x14ac:dyDescent="0.25">
      <c r="A1764" s="694">
        <v>1624</v>
      </c>
      <c r="B1764" s="695">
        <v>1</v>
      </c>
      <c r="C1764" s="2242">
        <v>841918002</v>
      </c>
      <c r="D1764" s="722" t="s">
        <v>827</v>
      </c>
      <c r="E1764" s="264" t="s">
        <v>2271</v>
      </c>
      <c r="F1764" s="175">
        <v>2018</v>
      </c>
      <c r="G1764" s="329" t="s">
        <v>1077</v>
      </c>
      <c r="H1764" s="215" t="str">
        <f t="shared" si="591"/>
        <v xml:space="preserve">   </v>
      </c>
      <c r="I1764" s="215" t="str">
        <f t="shared" si="592"/>
        <v xml:space="preserve">   </v>
      </c>
      <c r="J1764" s="1780"/>
      <c r="K1764" s="2054"/>
      <c r="L1764" s="2246"/>
      <c r="M1764" s="2247"/>
      <c r="N1764" s="2246"/>
      <c r="O1764" s="2247"/>
      <c r="P1764" s="2097"/>
      <c r="Q1764" s="2054"/>
      <c r="R1764" s="1731"/>
      <c r="S1764" s="1367"/>
      <c r="T1764" s="1731"/>
      <c r="U1764" s="1367"/>
      <c r="V1764" s="1941" t="str">
        <f>IFERROR(VLOOKUP(C1764,BSP,3,FALSE),"  ")</f>
        <v xml:space="preserve">  </v>
      </c>
      <c r="W1764" s="1954" t="str">
        <f>IFERROR((VLOOKUP(C1764,BSP,4,FALSE)),"  ")</f>
        <v xml:space="preserve">  </v>
      </c>
      <c r="X1764" s="1941"/>
      <c r="Y1764" s="1954"/>
      <c r="Z1764" s="1941"/>
      <c r="AA1764" s="1954"/>
      <c r="AB1764" s="2262"/>
      <c r="AC1764" s="1940"/>
      <c r="AD1764" s="2263"/>
      <c r="AE1764" s="1664"/>
      <c r="AF1764" s="2263"/>
      <c r="AG1764" s="1664"/>
      <c r="AH1764" s="2062" t="str">
        <f t="shared" si="600"/>
        <v>MPI3-1</v>
      </c>
      <c r="AI1764" s="1963">
        <f t="shared" ref="AI1764:AI1776" si="601">SUM(J1764,L1764,N1764,P1764,R1764,T1764,V1764,X1764,Z1764,AB1764,AD1764,AF1764,AM1764,AO1764,AQ1764,AS1764,AU1764,AW1764,AY1764,BA1764)</f>
        <v>0</v>
      </c>
      <c r="AJ1764" s="2063">
        <f t="shared" ref="AJ1764:AJ1775" si="602">(COUNT(L1764,N1764,P1764,R1764,T1764,V1764,X1764,Z1764,AB1764,AD1764,AF1764,AM1764,AO1764)*$G$1763)+(COUNT(J1764)*$J$1763)+(COUNT(AQ1764)*$AR$1763)+(COUNT(AS1764)*$AT$1763)+(COUNT(AU1764)*$AV$1763)++(COUNT(AW1764)*$AX$1763)+(COUNT(AY1764)*$AZ$1763)+(COUNT(BA1764)*$BB$1763)</f>
        <v>0</v>
      </c>
      <c r="AK1764" s="1836">
        <f t="shared" ref="AK1764" si="603">AJ1764-AI1764</f>
        <v>0</v>
      </c>
      <c r="AL1764" s="1855" t="str">
        <f t="shared" ref="AL1764" si="604">IF(AK1764=0,"Lunas","Cek")</f>
        <v>Lunas</v>
      </c>
      <c r="AM1764"/>
      <c r="AN1764"/>
      <c r="AO1764"/>
      <c r="AP1764"/>
      <c r="AQ1764" s="1731"/>
      <c r="AR1764" s="1870"/>
      <c r="AS1764" s="1731"/>
      <c r="AT1764" s="1871"/>
      <c r="AU1764" s="1731"/>
      <c r="AV1764" s="1870"/>
      <c r="AW1764" s="1731"/>
      <c r="AX1764" s="1870"/>
      <c r="AY1764" s="1906"/>
      <c r="AZ1764" s="1870"/>
      <c r="BA1764" s="1906"/>
      <c r="BB1764" s="1870"/>
    </row>
    <row r="1765" spans="1:54" s="2" customFormat="1" x14ac:dyDescent="0.25">
      <c r="A1765" s="670">
        <v>1625</v>
      </c>
      <c r="B1765" s="671">
        <v>2</v>
      </c>
      <c r="C1765" s="2228">
        <v>841918003</v>
      </c>
      <c r="D1765" s="724" t="s">
        <v>1384</v>
      </c>
      <c r="E1765" s="264" t="s">
        <v>2271</v>
      </c>
      <c r="F1765" s="175">
        <v>2018</v>
      </c>
      <c r="G1765" s="581" t="s">
        <v>1833</v>
      </c>
      <c r="H1765" s="215" t="str">
        <f t="shared" si="591"/>
        <v xml:space="preserve">   </v>
      </c>
      <c r="I1765" s="215" t="str">
        <f t="shared" si="592"/>
        <v xml:space="preserve">   </v>
      </c>
      <c r="J1765" s="1366">
        <v>4250000</v>
      </c>
      <c r="K1765" s="1367">
        <v>43489</v>
      </c>
      <c r="L1765" s="1363">
        <v>8000000</v>
      </c>
      <c r="M1765" s="1367">
        <v>43489</v>
      </c>
      <c r="N1765" s="1363">
        <v>8000000</v>
      </c>
      <c r="O1765" s="1367">
        <v>43489</v>
      </c>
      <c r="P1765" s="1714">
        <v>8000000</v>
      </c>
      <c r="Q1765" s="1367">
        <v>43643.571747685201</v>
      </c>
      <c r="R1765" s="1186" t="s">
        <v>1078</v>
      </c>
      <c r="S1765" s="1386">
        <v>43861</v>
      </c>
      <c r="T1765" s="1186" t="s">
        <v>1078</v>
      </c>
      <c r="U1765" s="1386">
        <v>44071</v>
      </c>
      <c r="V1765" s="1363" t="str">
        <f>IFERROR(VLOOKUP(C1765,BSP,3,FALSE),"  ")</f>
        <v xml:space="preserve">  </v>
      </c>
      <c r="W1765" s="1391" t="str">
        <f>IFERROR((VLOOKUP(C1765,BSP,4,FALSE)),"  ")</f>
        <v xml:space="preserve">  </v>
      </c>
      <c r="X1765" s="1363"/>
      <c r="Y1765" s="1391"/>
      <c r="Z1765" s="1363"/>
      <c r="AA1765" s="1391"/>
      <c r="AB1765" s="1872"/>
      <c r="AC1765" s="1384"/>
      <c r="AD1765" s="2264"/>
      <c r="AE1765" s="1654"/>
      <c r="AF1765" s="2264"/>
      <c r="AG1765" s="1654"/>
      <c r="AH1765" s="2064" t="str">
        <f t="shared" si="600"/>
        <v>MPI3-1</v>
      </c>
      <c r="AI1765" s="1963">
        <f t="shared" si="601"/>
        <v>28250000</v>
      </c>
      <c r="AJ1765" s="2063">
        <f t="shared" si="602"/>
        <v>28250000</v>
      </c>
      <c r="AK1765" s="1836">
        <f t="shared" ref="AK1765:AK1775" si="605">AJ1765-AI1765</f>
        <v>0</v>
      </c>
      <c r="AL1765" s="1855" t="str">
        <f t="shared" ref="AL1765:AL1775" si="606">IF(AK1765=0,"Lunas","Cek")</f>
        <v>Lunas</v>
      </c>
      <c r="AM1765"/>
      <c r="AN1765"/>
      <c r="AO1765"/>
      <c r="AP1765"/>
      <c r="AQ1765" s="1731"/>
      <c r="AR1765" s="1870"/>
      <c r="AS1765" s="1731"/>
      <c r="AT1765" s="1871"/>
      <c r="AU1765" s="1731"/>
      <c r="AV1765" s="1870"/>
      <c r="AW1765" s="1731"/>
      <c r="AX1765" s="1870"/>
      <c r="AY1765" s="1906"/>
      <c r="AZ1765" s="1870"/>
      <c r="BA1765" s="1906"/>
      <c r="BB1765" s="1870"/>
    </row>
    <row r="1766" spans="1:54" s="2" customFormat="1" x14ac:dyDescent="0.25">
      <c r="A1766" s="670">
        <v>1626</v>
      </c>
      <c r="B1766" s="671">
        <v>3</v>
      </c>
      <c r="C1766" s="2242">
        <v>841918004</v>
      </c>
      <c r="D1766" s="722" t="s">
        <v>2272</v>
      </c>
      <c r="E1766" s="264" t="s">
        <v>2271</v>
      </c>
      <c r="F1766" s="175">
        <v>2018</v>
      </c>
      <c r="G1766" s="329" t="s">
        <v>1077</v>
      </c>
      <c r="H1766" s="215" t="str">
        <f t="shared" si="591"/>
        <v xml:space="preserve">   </v>
      </c>
      <c r="I1766" s="215" t="str">
        <f t="shared" si="592"/>
        <v xml:space="preserve">   </v>
      </c>
      <c r="J1766" s="1366"/>
      <c r="K1766" s="1367"/>
      <c r="L1766" s="1455"/>
      <c r="M1766" s="1454"/>
      <c r="N1766" s="1455"/>
      <c r="O1766" s="1454"/>
      <c r="P1766" s="1714"/>
      <c r="Q1766" s="1367" t="s">
        <v>783</v>
      </c>
      <c r="R1766" s="1731"/>
      <c r="S1766" s="1367"/>
      <c r="T1766" s="1731"/>
      <c r="U1766" s="1367"/>
      <c r="V1766" s="1363" t="str">
        <f>IFERROR(VLOOKUP(C1766,BSP,3,FALSE),"  ")</f>
        <v xml:space="preserve">  </v>
      </c>
      <c r="W1766" s="1391" t="str">
        <f>IFERROR((VLOOKUP(C1766,BSP,4,FALSE)),"  ")</f>
        <v xml:space="preserve">  </v>
      </c>
      <c r="X1766" s="1363"/>
      <c r="Y1766" s="1391"/>
      <c r="Z1766" s="1363"/>
      <c r="AA1766" s="1391"/>
      <c r="AB1766" s="1872"/>
      <c r="AC1766" s="1384"/>
      <c r="AD1766" s="2264"/>
      <c r="AE1766" s="1654"/>
      <c r="AF1766" s="2264"/>
      <c r="AG1766" s="1654"/>
      <c r="AH1766" s="2064" t="str">
        <f t="shared" si="600"/>
        <v>MPI3-1</v>
      </c>
      <c r="AI1766" s="1963">
        <f t="shared" si="601"/>
        <v>0</v>
      </c>
      <c r="AJ1766" s="2063">
        <f t="shared" si="602"/>
        <v>0</v>
      </c>
      <c r="AK1766" s="1836">
        <f t="shared" si="605"/>
        <v>0</v>
      </c>
      <c r="AL1766" s="1855" t="str">
        <f t="shared" si="606"/>
        <v>Lunas</v>
      </c>
      <c r="AM1766"/>
      <c r="AN1766"/>
      <c r="AO1766"/>
      <c r="AP1766"/>
      <c r="AQ1766" s="1731"/>
      <c r="AR1766" s="1870"/>
      <c r="AS1766" s="1731"/>
      <c r="AT1766" s="1871"/>
      <c r="AU1766" s="1731"/>
      <c r="AV1766" s="1870"/>
      <c r="AW1766" s="1731"/>
      <c r="AX1766" s="1870"/>
      <c r="AY1766" s="1906"/>
      <c r="AZ1766" s="1870"/>
      <c r="BA1766" s="1906"/>
      <c r="BB1766" s="1870"/>
    </row>
    <row r="1767" spans="1:54" s="2" customFormat="1" x14ac:dyDescent="0.25">
      <c r="A1767" s="670">
        <v>1627</v>
      </c>
      <c r="B1767" s="671">
        <v>4</v>
      </c>
      <c r="C1767" s="716">
        <v>841918005</v>
      </c>
      <c r="D1767" s="724" t="s">
        <v>332</v>
      </c>
      <c r="E1767" s="264" t="s">
        <v>2271</v>
      </c>
      <c r="F1767" s="175">
        <v>2018</v>
      </c>
      <c r="G1767" s="360" t="s">
        <v>1483</v>
      </c>
      <c r="H1767" s="215" t="str">
        <f t="shared" si="591"/>
        <v xml:space="preserve">   </v>
      </c>
      <c r="I1767" s="215" t="str">
        <f t="shared" si="592"/>
        <v xml:space="preserve">   </v>
      </c>
      <c r="J1767" s="1366">
        <v>4250000</v>
      </c>
      <c r="K1767" s="1367">
        <v>43495</v>
      </c>
      <c r="L1767" s="1363">
        <v>8000000</v>
      </c>
      <c r="M1767" s="1367">
        <v>43495</v>
      </c>
      <c r="N1767" s="1363">
        <v>8000000</v>
      </c>
      <c r="O1767" s="1367">
        <v>43495</v>
      </c>
      <c r="P1767" s="1714">
        <v>8000000</v>
      </c>
      <c r="Q1767" s="1367">
        <v>43783</v>
      </c>
      <c r="R1767" s="1186" t="s">
        <v>1078</v>
      </c>
      <c r="S1767" s="1386">
        <v>43861</v>
      </c>
      <c r="T1767" s="1731">
        <v>8000000</v>
      </c>
      <c r="U1767" s="1367">
        <v>44068.837766203702</v>
      </c>
      <c r="V1767" s="1363"/>
      <c r="W1767" s="1391"/>
      <c r="X1767" s="1363"/>
      <c r="Y1767" s="1391"/>
      <c r="Z1767" s="1363"/>
      <c r="AA1767" s="1391"/>
      <c r="AB1767" s="1872"/>
      <c r="AC1767" s="1384"/>
      <c r="AD1767" s="2264"/>
      <c r="AE1767" s="1654"/>
      <c r="AF1767" s="2264"/>
      <c r="AG1767" s="1654"/>
      <c r="AH1767" s="2064" t="str">
        <f t="shared" si="600"/>
        <v>MPI3-1</v>
      </c>
      <c r="AI1767" s="1963">
        <f t="shared" si="601"/>
        <v>36250000</v>
      </c>
      <c r="AJ1767" s="2063">
        <f t="shared" si="602"/>
        <v>36250000</v>
      </c>
      <c r="AK1767" s="1836">
        <f t="shared" si="605"/>
        <v>0</v>
      </c>
      <c r="AL1767" s="1855" t="str">
        <f t="shared" si="606"/>
        <v>Lunas</v>
      </c>
      <c r="AM1767"/>
      <c r="AN1767"/>
      <c r="AO1767"/>
      <c r="AP1767"/>
      <c r="AQ1767" s="1731"/>
      <c r="AR1767" s="1870"/>
      <c r="AS1767" s="1731"/>
      <c r="AT1767" s="1871"/>
      <c r="AU1767" s="1731"/>
      <c r="AV1767" s="1870"/>
      <c r="AW1767" s="1731"/>
      <c r="AX1767" s="1870"/>
      <c r="AY1767" s="1906"/>
      <c r="AZ1767" s="1870"/>
      <c r="BA1767" s="1906"/>
      <c r="BB1767" s="1870"/>
    </row>
    <row r="1768" spans="1:54" s="2" customFormat="1" x14ac:dyDescent="0.25">
      <c r="A1768" s="670">
        <v>1628</v>
      </c>
      <c r="B1768" s="671">
        <v>5</v>
      </c>
      <c r="C1768" s="716">
        <v>841918006</v>
      </c>
      <c r="D1768" s="701" t="s">
        <v>2273</v>
      </c>
      <c r="E1768" s="264" t="s">
        <v>2271</v>
      </c>
      <c r="F1768" s="175">
        <v>2018</v>
      </c>
      <c r="G1768" s="581" t="s">
        <v>1833</v>
      </c>
      <c r="H1768" s="215" t="str">
        <f t="shared" si="591"/>
        <v xml:space="preserve">   </v>
      </c>
      <c r="I1768" s="215" t="str">
        <f t="shared" si="592"/>
        <v xml:space="preserve">   </v>
      </c>
      <c r="J1768" s="1366">
        <v>4250000</v>
      </c>
      <c r="K1768" s="1367">
        <v>43861</v>
      </c>
      <c r="L1768" s="1363">
        <v>8000000</v>
      </c>
      <c r="M1768" s="1367">
        <v>43861</v>
      </c>
      <c r="N1768" s="1363">
        <v>8000000</v>
      </c>
      <c r="O1768" s="1367">
        <v>43479</v>
      </c>
      <c r="P1768" s="1714">
        <v>8000000</v>
      </c>
      <c r="Q1768" s="1367">
        <v>43640.616979166698</v>
      </c>
      <c r="R1768" s="1186" t="s">
        <v>1078</v>
      </c>
      <c r="S1768" s="1386">
        <v>43861</v>
      </c>
      <c r="T1768" s="1186" t="s">
        <v>1078</v>
      </c>
      <c r="U1768" s="1386">
        <v>44071</v>
      </c>
      <c r="V1768" s="1363" t="str">
        <f>IFERROR(VLOOKUP(C1768,BSP,3,FALSE),"  ")</f>
        <v xml:space="preserve">  </v>
      </c>
      <c r="W1768" s="1391" t="str">
        <f>IFERROR((VLOOKUP(C1768,BSP,4,FALSE)),"  ")</f>
        <v xml:space="preserve">  </v>
      </c>
      <c r="X1768" s="1363"/>
      <c r="Y1768" s="1391"/>
      <c r="Z1768" s="1363"/>
      <c r="AA1768" s="1391"/>
      <c r="AB1768" s="1872"/>
      <c r="AC1768" s="1384"/>
      <c r="AD1768" s="2264"/>
      <c r="AE1768" s="1654"/>
      <c r="AF1768" s="2264"/>
      <c r="AG1768" s="1654"/>
      <c r="AH1768" s="2064" t="str">
        <f t="shared" si="600"/>
        <v>MPI3-1</v>
      </c>
      <c r="AI1768" s="1963">
        <f t="shared" si="601"/>
        <v>28250000</v>
      </c>
      <c r="AJ1768" s="2063">
        <f t="shared" si="602"/>
        <v>28250000</v>
      </c>
      <c r="AK1768" s="1836">
        <f t="shared" si="605"/>
        <v>0</v>
      </c>
      <c r="AL1768" s="1855" t="str">
        <f t="shared" si="606"/>
        <v>Lunas</v>
      </c>
      <c r="AM1768"/>
      <c r="AN1768"/>
      <c r="AO1768"/>
      <c r="AP1768"/>
      <c r="AQ1768" s="1731"/>
      <c r="AR1768" s="1870"/>
      <c r="AS1768" s="1731"/>
      <c r="AT1768" s="1871"/>
      <c r="AU1768" s="1731"/>
      <c r="AV1768" s="1870"/>
      <c r="AW1768" s="1731"/>
      <c r="AX1768" s="1870"/>
      <c r="AY1768" s="1906"/>
      <c r="AZ1768" s="1870"/>
      <c r="BA1768" s="1906"/>
      <c r="BB1768" s="1870"/>
    </row>
    <row r="1769" spans="1:54" s="2" customFormat="1" x14ac:dyDescent="0.25">
      <c r="A1769" s="2132">
        <v>1629</v>
      </c>
      <c r="B1769" s="2133">
        <v>6</v>
      </c>
      <c r="C1769" s="374">
        <v>841918007</v>
      </c>
      <c r="D1769" s="2146" t="s">
        <v>364</v>
      </c>
      <c r="E1769" s="160" t="s">
        <v>2271</v>
      </c>
      <c r="F1769" s="161">
        <v>2018</v>
      </c>
      <c r="G1769" s="272" t="s">
        <v>33</v>
      </c>
      <c r="H1769" s="628">
        <f t="shared" si="591"/>
        <v>44110</v>
      </c>
      <c r="I1769" s="215">
        <f t="shared" si="592"/>
        <v>44186</v>
      </c>
      <c r="J1769" s="1364">
        <v>4250000</v>
      </c>
      <c r="K1769" s="1357">
        <v>43495</v>
      </c>
      <c r="L1769" s="1358">
        <v>8000000</v>
      </c>
      <c r="M1769" s="1365">
        <v>43328</v>
      </c>
      <c r="N1769" s="1358">
        <v>8000000</v>
      </c>
      <c r="O1769" s="1357">
        <v>43483</v>
      </c>
      <c r="P1769" s="1385">
        <v>8000000</v>
      </c>
      <c r="Q1769" s="1357">
        <v>43642.398761574099</v>
      </c>
      <c r="R1769" s="1874">
        <v>8000000</v>
      </c>
      <c r="S1769" s="1357">
        <v>43861.595358796301</v>
      </c>
      <c r="T1769" s="1874">
        <v>8000000</v>
      </c>
      <c r="U1769" s="1357">
        <v>44054.577395833301</v>
      </c>
      <c r="V1769" s="2173"/>
      <c r="W1769" s="1391"/>
      <c r="X1769" s="1363"/>
      <c r="Y1769" s="1391"/>
      <c r="Z1769" s="1363"/>
      <c r="AA1769" s="1391"/>
      <c r="AB1769" s="1872"/>
      <c r="AC1769" s="1384"/>
      <c r="AD1769" s="2264"/>
      <c r="AE1769" s="1654"/>
      <c r="AF1769" s="2264"/>
      <c r="AG1769" s="1654"/>
      <c r="AH1769" s="2064" t="str">
        <f t="shared" si="600"/>
        <v>MPI3-1</v>
      </c>
      <c r="AI1769" s="1963">
        <f t="shared" si="601"/>
        <v>62550000</v>
      </c>
      <c r="AJ1769" s="2063">
        <f t="shared" si="602"/>
        <v>61050000</v>
      </c>
      <c r="AK1769" s="1836">
        <f t="shared" si="605"/>
        <v>-1500000</v>
      </c>
      <c r="AL1769" s="1855" t="str">
        <f t="shared" si="606"/>
        <v>Cek</v>
      </c>
      <c r="AM1769"/>
      <c r="AN1769"/>
      <c r="AO1769"/>
      <c r="AP1769"/>
      <c r="AQ1769" s="1876">
        <v>2000000</v>
      </c>
      <c r="AR1769" s="1882">
        <v>43790</v>
      </c>
      <c r="AS1769" s="1876">
        <v>1500000</v>
      </c>
      <c r="AT1769" s="1877">
        <v>43907</v>
      </c>
      <c r="AU1769" s="1876">
        <v>2000000</v>
      </c>
      <c r="AV1769" s="1882">
        <v>44018</v>
      </c>
      <c r="AW1769" s="1883">
        <v>4000000</v>
      </c>
      <c r="AX1769" s="1887">
        <v>44054.577395833301</v>
      </c>
      <c r="AY1769" s="1966">
        <v>8000000</v>
      </c>
      <c r="AZ1769" s="1882">
        <v>43366</v>
      </c>
      <c r="BA1769" s="1966">
        <v>800000</v>
      </c>
      <c r="BB1769" s="1882">
        <v>44113</v>
      </c>
    </row>
    <row r="1770" spans="1:54" s="2" customFormat="1" x14ac:dyDescent="0.25">
      <c r="A1770" s="670">
        <v>1630</v>
      </c>
      <c r="B1770" s="671">
        <v>7</v>
      </c>
      <c r="C1770" s="716">
        <v>841918008</v>
      </c>
      <c r="D1770" s="724" t="s">
        <v>606</v>
      </c>
      <c r="E1770" s="264" t="s">
        <v>2271</v>
      </c>
      <c r="F1770" s="175">
        <v>2018</v>
      </c>
      <c r="G1770" s="360" t="s">
        <v>1483</v>
      </c>
      <c r="H1770" s="215" t="str">
        <f t="shared" si="591"/>
        <v xml:space="preserve">   </v>
      </c>
      <c r="I1770" s="215" t="str">
        <f t="shared" si="592"/>
        <v xml:space="preserve">   </v>
      </c>
      <c r="J1770" s="1366">
        <v>4250000</v>
      </c>
      <c r="K1770" s="1360">
        <v>43325</v>
      </c>
      <c r="L1770" s="1363">
        <v>8000000</v>
      </c>
      <c r="M1770" s="1360">
        <v>43325</v>
      </c>
      <c r="N1770" s="1363">
        <v>8000000</v>
      </c>
      <c r="O1770" s="1367">
        <v>43493</v>
      </c>
      <c r="P1770" s="1714">
        <v>8000000</v>
      </c>
      <c r="Q1770" s="1367">
        <v>43651.346990740698</v>
      </c>
      <c r="R1770" s="1186" t="s">
        <v>1078</v>
      </c>
      <c r="S1770" s="1386">
        <v>43861</v>
      </c>
      <c r="T1770" s="1731">
        <v>8000000</v>
      </c>
      <c r="U1770" s="1367">
        <v>44071.572476851798</v>
      </c>
      <c r="V1770" s="1363"/>
      <c r="W1770" s="1391"/>
      <c r="X1770" s="1363"/>
      <c r="Y1770" s="1391"/>
      <c r="Z1770" s="1363"/>
      <c r="AA1770" s="1391"/>
      <c r="AB1770" s="1872"/>
      <c r="AC1770" s="1384"/>
      <c r="AD1770" s="2264"/>
      <c r="AE1770" s="1654"/>
      <c r="AF1770" s="2264"/>
      <c r="AG1770" s="1654"/>
      <c r="AH1770" s="2064" t="str">
        <f t="shared" si="600"/>
        <v>MPI3-1</v>
      </c>
      <c r="AI1770" s="1963">
        <f t="shared" si="601"/>
        <v>37250000</v>
      </c>
      <c r="AJ1770" s="2063">
        <f t="shared" si="602"/>
        <v>37250000</v>
      </c>
      <c r="AK1770" s="1836">
        <f t="shared" si="605"/>
        <v>0</v>
      </c>
      <c r="AL1770" s="1855" t="str">
        <f t="shared" si="606"/>
        <v>Lunas</v>
      </c>
      <c r="AM1770"/>
      <c r="AN1770"/>
      <c r="AO1770"/>
      <c r="AP1770"/>
      <c r="AQ1770" s="1731">
        <v>1000000</v>
      </c>
      <c r="AR1770" s="1870">
        <v>44116</v>
      </c>
      <c r="AS1770" s="1731"/>
      <c r="AT1770" s="1871"/>
      <c r="AU1770" s="1731"/>
      <c r="AV1770" s="1870"/>
      <c r="AW1770" s="1731"/>
      <c r="AX1770" s="1870"/>
      <c r="AY1770" s="1906"/>
      <c r="AZ1770" s="1870"/>
      <c r="BA1770" s="1906"/>
      <c r="BB1770" s="1870"/>
    </row>
    <row r="1771" spans="1:54" s="2" customFormat="1" x14ac:dyDescent="0.25">
      <c r="A1771" s="670">
        <v>1631</v>
      </c>
      <c r="B1771" s="671">
        <v>8</v>
      </c>
      <c r="C1771" s="716">
        <v>841918009</v>
      </c>
      <c r="D1771" s="701" t="s">
        <v>856</v>
      </c>
      <c r="E1771" s="264" t="s">
        <v>2271</v>
      </c>
      <c r="F1771" s="175">
        <v>2018</v>
      </c>
      <c r="G1771" s="360" t="s">
        <v>1483</v>
      </c>
      <c r="H1771" s="215" t="str">
        <f t="shared" si="591"/>
        <v xml:space="preserve">   </v>
      </c>
      <c r="I1771" s="215" t="str">
        <f t="shared" si="592"/>
        <v xml:space="preserve">   </v>
      </c>
      <c r="J1771" s="1366">
        <v>4250000</v>
      </c>
      <c r="K1771" s="1367">
        <v>43860.420509259297</v>
      </c>
      <c r="L1771" s="1363">
        <v>8000000</v>
      </c>
      <c r="M1771" s="1367">
        <v>43860.420509259297</v>
      </c>
      <c r="N1771" s="1363">
        <v>8000000</v>
      </c>
      <c r="O1771" s="1367">
        <v>43483</v>
      </c>
      <c r="P1771" s="1714">
        <v>8000000</v>
      </c>
      <c r="Q1771" s="1367">
        <v>43643.827337962997</v>
      </c>
      <c r="R1771" s="1731">
        <v>8000000</v>
      </c>
      <c r="S1771" s="1367">
        <v>43861.596689814804</v>
      </c>
      <c r="T1771" s="1731">
        <v>8000000</v>
      </c>
      <c r="U1771" s="1367">
        <v>44068.364618055602</v>
      </c>
      <c r="V1771" s="1363"/>
      <c r="W1771" s="1391"/>
      <c r="X1771" s="1363"/>
      <c r="Y1771" s="1391"/>
      <c r="Z1771" s="1363"/>
      <c r="AA1771" s="1391"/>
      <c r="AB1771" s="1872"/>
      <c r="AC1771" s="1384"/>
      <c r="AD1771" s="2264"/>
      <c r="AE1771" s="1654"/>
      <c r="AF1771" s="2264"/>
      <c r="AG1771" s="1654"/>
      <c r="AH1771" s="2064" t="str">
        <f t="shared" si="600"/>
        <v>MPI3-1</v>
      </c>
      <c r="AI1771" s="1963">
        <f t="shared" si="601"/>
        <v>47750000</v>
      </c>
      <c r="AJ1771" s="2063">
        <f t="shared" si="602"/>
        <v>46750000</v>
      </c>
      <c r="AK1771" s="1836">
        <f t="shared" si="605"/>
        <v>-1000000</v>
      </c>
      <c r="AL1771" s="1855" t="str">
        <f t="shared" si="606"/>
        <v>Cek</v>
      </c>
      <c r="AM1771"/>
      <c r="AN1771"/>
      <c r="AO1771"/>
      <c r="AP1771"/>
      <c r="AQ1771" s="1889">
        <v>2000000</v>
      </c>
      <c r="AR1771" s="1891">
        <v>43986</v>
      </c>
      <c r="AS1771" s="1880">
        <v>1500000</v>
      </c>
      <c r="AT1771" s="1881">
        <v>44123</v>
      </c>
      <c r="AU1771" s="1731"/>
      <c r="AV1771" s="1870"/>
      <c r="AW1771" s="1731"/>
      <c r="AX1771" s="1870"/>
      <c r="AY1771" s="1906"/>
      <c r="AZ1771" s="1870"/>
      <c r="BA1771" s="1906"/>
      <c r="BB1771" s="1870"/>
    </row>
    <row r="1772" spans="1:54" s="2" customFormat="1" x14ac:dyDescent="0.25">
      <c r="A1772" s="670">
        <v>1632</v>
      </c>
      <c r="B1772" s="671">
        <v>9</v>
      </c>
      <c r="C1772" s="716">
        <v>841918010</v>
      </c>
      <c r="D1772" s="701" t="s">
        <v>2274</v>
      </c>
      <c r="E1772" s="264" t="s">
        <v>2271</v>
      </c>
      <c r="F1772" s="175">
        <v>2018</v>
      </c>
      <c r="G1772" s="360" t="s">
        <v>1483</v>
      </c>
      <c r="H1772" s="215" t="str">
        <f t="shared" si="591"/>
        <v xml:space="preserve">   </v>
      </c>
      <c r="I1772" s="215" t="str">
        <f t="shared" si="592"/>
        <v xml:space="preserve">   </v>
      </c>
      <c r="J1772" s="2020"/>
      <c r="K1772" s="1362" t="s">
        <v>1099</v>
      </c>
      <c r="L1772" s="2020"/>
      <c r="M1772" s="1362" t="s">
        <v>475</v>
      </c>
      <c r="N1772" s="2020"/>
      <c r="O1772" s="1362" t="s">
        <v>475</v>
      </c>
      <c r="P1772" s="2020"/>
      <c r="Q1772" s="1362" t="s">
        <v>475</v>
      </c>
      <c r="R1772" s="2254"/>
      <c r="S1772" s="2255" t="s">
        <v>475</v>
      </c>
      <c r="T1772" s="2020"/>
      <c r="U1772" s="2256" t="s">
        <v>475</v>
      </c>
      <c r="V1772" s="2020"/>
      <c r="W1772" s="2256" t="s">
        <v>475</v>
      </c>
      <c r="X1772" s="1363"/>
      <c r="Y1772" s="1391"/>
      <c r="Z1772" s="1363"/>
      <c r="AA1772" s="1391"/>
      <c r="AB1772" s="1872"/>
      <c r="AC1772" s="1384"/>
      <c r="AD1772" s="2264"/>
      <c r="AE1772" s="1654"/>
      <c r="AF1772" s="2264"/>
      <c r="AG1772" s="1654"/>
      <c r="AH1772" s="2064" t="str">
        <f t="shared" si="600"/>
        <v>MPI3-1</v>
      </c>
      <c r="AI1772" s="1963">
        <f t="shared" si="601"/>
        <v>0</v>
      </c>
      <c r="AJ1772" s="2063">
        <f t="shared" si="602"/>
        <v>0</v>
      </c>
      <c r="AK1772" s="1836">
        <f t="shared" si="605"/>
        <v>0</v>
      </c>
      <c r="AL1772" s="1855" t="str">
        <f t="shared" si="606"/>
        <v>Lunas</v>
      </c>
      <c r="AM1772"/>
      <c r="AN1772"/>
      <c r="AO1772"/>
      <c r="AP1772"/>
      <c r="AQ1772" s="1731"/>
      <c r="AR1772" s="1870"/>
      <c r="AS1772" s="1731"/>
      <c r="AT1772" s="1871"/>
      <c r="AU1772" s="1731"/>
      <c r="AV1772" s="1870"/>
      <c r="AW1772" s="1731"/>
      <c r="AX1772" s="1870"/>
      <c r="AY1772" s="1906"/>
      <c r="AZ1772" s="1870"/>
      <c r="BA1772" s="1906"/>
      <c r="BB1772" s="1870"/>
    </row>
    <row r="1773" spans="1:54" s="2" customFormat="1" x14ac:dyDescent="0.25">
      <c r="A1773" s="670">
        <v>1633</v>
      </c>
      <c r="B1773" s="671">
        <v>10</v>
      </c>
      <c r="C1773" s="716">
        <v>841918011</v>
      </c>
      <c r="D1773" s="701" t="s">
        <v>2275</v>
      </c>
      <c r="E1773" s="264" t="s">
        <v>2271</v>
      </c>
      <c r="F1773" s="175">
        <v>2018</v>
      </c>
      <c r="G1773" s="360" t="s">
        <v>1483</v>
      </c>
      <c r="H1773" s="215" t="str">
        <f t="shared" si="591"/>
        <v xml:space="preserve">   </v>
      </c>
      <c r="I1773" s="215" t="str">
        <f t="shared" si="592"/>
        <v xml:space="preserve">   </v>
      </c>
      <c r="J1773" s="2020"/>
      <c r="K1773" s="1362" t="s">
        <v>1099</v>
      </c>
      <c r="L1773" s="2020"/>
      <c r="M1773" s="1362" t="s">
        <v>475</v>
      </c>
      <c r="N1773" s="2020"/>
      <c r="O1773" s="1362" t="s">
        <v>475</v>
      </c>
      <c r="P1773" s="2020"/>
      <c r="Q1773" s="1362" t="s">
        <v>475</v>
      </c>
      <c r="R1773" s="2254"/>
      <c r="S1773" s="2255" t="s">
        <v>475</v>
      </c>
      <c r="T1773" s="2020"/>
      <c r="U1773" s="2256" t="s">
        <v>475</v>
      </c>
      <c r="V1773" s="2020"/>
      <c r="W1773" s="2256" t="s">
        <v>475</v>
      </c>
      <c r="X1773" s="1363"/>
      <c r="Y1773" s="1391"/>
      <c r="Z1773" s="1363"/>
      <c r="AA1773" s="1391"/>
      <c r="AB1773" s="1872"/>
      <c r="AC1773" s="1384"/>
      <c r="AD1773" s="2264"/>
      <c r="AE1773" s="1654"/>
      <c r="AF1773" s="2264"/>
      <c r="AG1773" s="1654"/>
      <c r="AH1773" s="2064" t="str">
        <f t="shared" si="600"/>
        <v>MPI3-1</v>
      </c>
      <c r="AI1773" s="1963">
        <f t="shared" si="601"/>
        <v>0</v>
      </c>
      <c r="AJ1773" s="2063">
        <f t="shared" si="602"/>
        <v>0</v>
      </c>
      <c r="AK1773" s="1836">
        <f t="shared" si="605"/>
        <v>0</v>
      </c>
      <c r="AL1773" s="1855" t="str">
        <f t="shared" si="606"/>
        <v>Lunas</v>
      </c>
      <c r="AM1773"/>
      <c r="AN1773"/>
      <c r="AO1773"/>
      <c r="AP1773"/>
      <c r="AQ1773" s="1731"/>
      <c r="AR1773" s="1870"/>
      <c r="AS1773" s="1731"/>
      <c r="AT1773" s="1871"/>
      <c r="AU1773" s="1731"/>
      <c r="AV1773" s="1870"/>
      <c r="AW1773" s="1731"/>
      <c r="AX1773" s="1870"/>
      <c r="AY1773" s="1906"/>
      <c r="AZ1773" s="1870"/>
      <c r="BA1773" s="1906"/>
      <c r="BB1773" s="1870"/>
    </row>
    <row r="1774" spans="1:54" s="2" customFormat="1" x14ac:dyDescent="0.25">
      <c r="A1774" s="670">
        <v>1634</v>
      </c>
      <c r="B1774" s="671">
        <v>11</v>
      </c>
      <c r="C1774" s="716">
        <v>841918012</v>
      </c>
      <c r="D1774" s="701" t="s">
        <v>2276</v>
      </c>
      <c r="E1774" s="264" t="s">
        <v>2271</v>
      </c>
      <c r="F1774" s="175">
        <v>2018</v>
      </c>
      <c r="G1774" s="360" t="s">
        <v>1483</v>
      </c>
      <c r="H1774" s="215" t="str">
        <f t="shared" si="591"/>
        <v xml:space="preserve">   </v>
      </c>
      <c r="I1774" s="215" t="str">
        <f t="shared" si="592"/>
        <v xml:space="preserve">   </v>
      </c>
      <c r="J1774" s="2020"/>
      <c r="K1774" s="1362" t="s">
        <v>1099</v>
      </c>
      <c r="L1774" s="2020"/>
      <c r="M1774" s="1362" t="s">
        <v>475</v>
      </c>
      <c r="N1774" s="2020"/>
      <c r="O1774" s="1362" t="s">
        <v>475</v>
      </c>
      <c r="P1774" s="2020"/>
      <c r="Q1774" s="1362" t="s">
        <v>475</v>
      </c>
      <c r="R1774" s="2254"/>
      <c r="S1774" s="2255" t="s">
        <v>475</v>
      </c>
      <c r="T1774" s="2020"/>
      <c r="U1774" s="2256" t="s">
        <v>475</v>
      </c>
      <c r="V1774" s="2020"/>
      <c r="W1774" s="2256" t="s">
        <v>475</v>
      </c>
      <c r="X1774" s="1363"/>
      <c r="Y1774" s="1391"/>
      <c r="Z1774" s="1363"/>
      <c r="AA1774" s="1391"/>
      <c r="AB1774" s="1872"/>
      <c r="AC1774" s="1384"/>
      <c r="AD1774" s="2264"/>
      <c r="AE1774" s="1654"/>
      <c r="AF1774" s="2264"/>
      <c r="AG1774" s="1654"/>
      <c r="AH1774" s="2064" t="str">
        <f t="shared" si="600"/>
        <v>MPI3-1</v>
      </c>
      <c r="AI1774" s="1963">
        <f t="shared" si="601"/>
        <v>0</v>
      </c>
      <c r="AJ1774" s="2063">
        <f t="shared" si="602"/>
        <v>0</v>
      </c>
      <c r="AK1774" s="1836">
        <f t="shared" si="605"/>
        <v>0</v>
      </c>
      <c r="AL1774" s="1855" t="str">
        <f t="shared" si="606"/>
        <v>Lunas</v>
      </c>
      <c r="AM1774"/>
      <c r="AN1774"/>
      <c r="AO1774"/>
      <c r="AP1774"/>
      <c r="AQ1774" s="1731"/>
      <c r="AR1774" s="1870"/>
      <c r="AS1774" s="1731"/>
      <c r="AT1774" s="1871"/>
      <c r="AU1774" s="1731"/>
      <c r="AV1774" s="1870"/>
      <c r="AW1774" s="1731"/>
      <c r="AX1774" s="1870"/>
      <c r="AY1774" s="1906"/>
      <c r="AZ1774" s="1870"/>
      <c r="BA1774" s="1906"/>
      <c r="BB1774" s="1870"/>
    </row>
    <row r="1775" spans="1:54" s="2" customFormat="1" x14ac:dyDescent="0.25">
      <c r="A1775" s="670">
        <v>1635</v>
      </c>
      <c r="B1775" s="678">
        <v>12</v>
      </c>
      <c r="C1775" s="717">
        <v>841918013</v>
      </c>
      <c r="D1775" s="704" t="s">
        <v>2277</v>
      </c>
      <c r="E1775" s="691" t="s">
        <v>2271</v>
      </c>
      <c r="F1775" s="221">
        <v>2018</v>
      </c>
      <c r="G1775" s="413" t="s">
        <v>1483</v>
      </c>
      <c r="H1775" s="222" t="str">
        <f t="shared" si="591"/>
        <v xml:space="preserve">   </v>
      </c>
      <c r="I1775" s="222" t="str">
        <f t="shared" si="592"/>
        <v xml:space="preserve">   </v>
      </c>
      <c r="J1775" s="2022"/>
      <c r="K1775" s="1926" t="s">
        <v>1099</v>
      </c>
      <c r="L1775" s="2022"/>
      <c r="M1775" s="1926" t="s">
        <v>475</v>
      </c>
      <c r="N1775" s="2022"/>
      <c r="O1775" s="1926" t="s">
        <v>475</v>
      </c>
      <c r="P1775" s="2022"/>
      <c r="Q1775" s="1926" t="s">
        <v>475</v>
      </c>
      <c r="R1775" s="2257"/>
      <c r="S1775" s="2258" t="s">
        <v>475</v>
      </c>
      <c r="T1775" s="2022"/>
      <c r="U1775" s="2259" t="s">
        <v>475</v>
      </c>
      <c r="V1775" s="2022"/>
      <c r="W1775" s="2259" t="s">
        <v>475</v>
      </c>
      <c r="X1775" s="1446"/>
      <c r="Y1775" s="1944"/>
      <c r="Z1775" s="1446"/>
      <c r="AA1775" s="1944"/>
      <c r="AB1775" s="2265"/>
      <c r="AC1775" s="1782"/>
      <c r="AD1775" s="2266"/>
      <c r="AE1775" s="1728"/>
      <c r="AF1775" s="2266"/>
      <c r="AG1775" s="1728"/>
      <c r="AH1775" s="2065" t="str">
        <f t="shared" si="600"/>
        <v>MPI3-1</v>
      </c>
      <c r="AI1775" s="1963">
        <f t="shared" si="601"/>
        <v>0</v>
      </c>
      <c r="AJ1775" s="2063">
        <f t="shared" si="602"/>
        <v>0</v>
      </c>
      <c r="AK1775" s="1836">
        <f t="shared" si="605"/>
        <v>0</v>
      </c>
      <c r="AL1775" s="1855" t="str">
        <f t="shared" si="606"/>
        <v>Lunas</v>
      </c>
      <c r="AM1775"/>
      <c r="AN1775"/>
      <c r="AO1775"/>
      <c r="AP1775"/>
      <c r="AQ1775" s="1731"/>
      <c r="AR1775" s="1870"/>
      <c r="AS1775" s="1731"/>
      <c r="AT1775" s="1871"/>
      <c r="AU1775" s="1731"/>
      <c r="AV1775" s="1870"/>
      <c r="AW1775" s="1731"/>
      <c r="AX1775" s="1870"/>
      <c r="AY1775" s="1906"/>
      <c r="AZ1775" s="1870"/>
      <c r="BA1775" s="1906"/>
      <c r="BB1775" s="1870"/>
    </row>
    <row r="1776" spans="1:54" s="2" customFormat="1" x14ac:dyDescent="0.25">
      <c r="A1776" s="725"/>
      <c r="B1776" s="725"/>
      <c r="C1776" s="33"/>
      <c r="D1776" s="123"/>
      <c r="E1776" s="123"/>
      <c r="F1776" s="120" t="s">
        <v>61</v>
      </c>
      <c r="G1776" s="123"/>
      <c r="H1776" s="124"/>
      <c r="I1776" s="124"/>
      <c r="J1776" s="2248"/>
      <c r="K1776" s="2249"/>
      <c r="L1776" s="2250"/>
      <c r="M1776" s="2251"/>
      <c r="N1776" s="2250"/>
      <c r="O1776" s="2249"/>
      <c r="P1776" s="2250"/>
      <c r="Q1776" s="2249"/>
      <c r="R1776" s="2250"/>
      <c r="S1776" s="2260"/>
      <c r="T1776" s="2250"/>
      <c r="U1776" s="2249"/>
      <c r="V1776" s="2250"/>
      <c r="W1776" s="2249"/>
      <c r="X1776" s="2250"/>
      <c r="Y1776" s="2249"/>
      <c r="Z1776" s="2250"/>
      <c r="AA1776" s="2249"/>
      <c r="AB1776" s="2267"/>
      <c r="AC1776" s="2249"/>
      <c r="AD1776" s="747"/>
      <c r="AE1776" s="1155"/>
      <c r="AF1776" s="747"/>
      <c r="AG1776" s="1155"/>
      <c r="AH1776" s="1168">
        <f t="shared" si="600"/>
        <v>0</v>
      </c>
      <c r="AI1776" s="747">
        <f t="shared" si="601"/>
        <v>0</v>
      </c>
      <c r="AJ1776" s="747">
        <f>(COUNT(L1776,N1776,P1776,R1776,T1776,V1776,X1776,Z1776,AB1776,AD1776,AF1776,AM1776,AO1776)*$G$2008)+(COUNT(J1776)*$J$2008)+(COUNT(AQ1776)*$AR$2008)+(COUNT(AS1776)*$AT$2008)+(COUNT(AU1776)*$AV$2008)++(COUNT(AW1776)*$AX$2008)+(COUNT(AY1776)*$AZ$2008)+(COUNT(BA1776)*$BB$2008)</f>
        <v>0</v>
      </c>
      <c r="AK1776" s="747"/>
      <c r="AL1776" s="1170"/>
      <c r="AM1776" s="1170"/>
      <c r="AN1776" s="1209"/>
      <c r="AO1776" s="1170"/>
      <c r="AP1776" s="1209"/>
      <c r="AQ1776" s="1128"/>
      <c r="AR1776" s="1173"/>
      <c r="AT1776" s="1173"/>
      <c r="AV1776" s="1173"/>
      <c r="AX1776" s="1173"/>
      <c r="AY1776" s="1176"/>
      <c r="AZ1776" s="1173"/>
    </row>
    <row r="1777" spans="1:52" s="2" customFormat="1" x14ac:dyDescent="0.25">
      <c r="A1777" s="725" t="s">
        <v>2278</v>
      </c>
      <c r="B1777" s="725"/>
      <c r="C1777" s="33"/>
      <c r="D1777" s="123"/>
      <c r="E1777" s="123"/>
      <c r="F1777" s="120" t="s">
        <v>61</v>
      </c>
      <c r="G1777" s="123"/>
      <c r="H1777" s="124"/>
      <c r="I1777" s="124"/>
      <c r="J1777" s="1212"/>
      <c r="K1777" s="2252"/>
      <c r="L1777" s="2253"/>
      <c r="M1777" s="1436"/>
      <c r="N1777" s="2253"/>
      <c r="O1777" s="2252"/>
      <c r="P1777" s="2253"/>
      <c r="Q1777" s="2252"/>
      <c r="R1777" s="2253"/>
      <c r="S1777" s="2261"/>
      <c r="T1777" s="2253"/>
      <c r="U1777" s="2252"/>
      <c r="V1777" s="2253"/>
      <c r="W1777" s="2252"/>
      <c r="X1777" s="2253"/>
      <c r="Y1777" s="2252"/>
      <c r="Z1777" s="2253"/>
      <c r="AA1777" s="2252"/>
      <c r="AB1777" s="2268"/>
      <c r="AC1777" s="2252"/>
      <c r="AD1777" s="747"/>
      <c r="AE1777" s="1155"/>
      <c r="AF1777" s="747"/>
      <c r="AG1777" s="1155"/>
      <c r="AH1777" s="1168">
        <f t="shared" si="600"/>
        <v>0</v>
      </c>
      <c r="AI1777" s="747"/>
      <c r="AJ1777" s="747"/>
      <c r="AK1777" s="747"/>
      <c r="AL1777" s="1170"/>
      <c r="AM1777" s="1170"/>
      <c r="AN1777" s="1209"/>
      <c r="AO1777" s="1170"/>
      <c r="AP1777" s="1209"/>
      <c r="AQ1777" s="1128"/>
      <c r="AR1777" s="1173"/>
      <c r="AT1777" s="1173"/>
      <c r="AV1777" s="1173"/>
      <c r="AX1777" s="1173"/>
      <c r="AY1777" s="1176"/>
      <c r="AZ1777" s="1173"/>
    </row>
    <row r="1778" spans="1:52" s="2" customFormat="1" x14ac:dyDescent="0.25">
      <c r="A1778" s="625" t="s">
        <v>2279</v>
      </c>
      <c r="B1778" s="625"/>
      <c r="C1778" s="366"/>
      <c r="D1778" s="625"/>
      <c r="E1778" s="198" t="s">
        <v>1096</v>
      </c>
      <c r="F1778" s="199" t="s">
        <v>1096</v>
      </c>
      <c r="G1778" s="565">
        <v>3750000</v>
      </c>
      <c r="H1778" s="147" t="str">
        <f t="shared" ref="H1778:H1809" si="607">IFERROR(VLOOKUP(C1778,Tlus,3,FALSE),"   ")</f>
        <v xml:space="preserve">   </v>
      </c>
      <c r="I1778" s="147" t="str">
        <f t="shared" ref="I1778:I1809" si="608">IFERROR(VLOOKUP(C1778,Wis,4,FALSE),"   ")</f>
        <v xml:space="preserve">   </v>
      </c>
      <c r="J1778" s="2035">
        <v>2700000</v>
      </c>
      <c r="K1778" s="2036"/>
      <c r="L1778" s="2163" t="s">
        <v>1049</v>
      </c>
      <c r="M1778" s="2164" t="s">
        <v>1463</v>
      </c>
      <c r="N1778" s="2163" t="s">
        <v>1051</v>
      </c>
      <c r="O1778" s="2164" t="s">
        <v>1464</v>
      </c>
      <c r="P1778" s="2016" t="s">
        <v>1053</v>
      </c>
      <c r="Q1778" s="1438" t="s">
        <v>1466</v>
      </c>
      <c r="R1778" s="2016" t="s">
        <v>1055</v>
      </c>
      <c r="S1778" s="1438" t="s">
        <v>1468</v>
      </c>
      <c r="T1778" s="2016" t="s">
        <v>1057</v>
      </c>
      <c r="U1778" s="1438" t="s">
        <v>1470</v>
      </c>
      <c r="V1778" s="2016" t="s">
        <v>1059</v>
      </c>
      <c r="W1778" s="1438" t="s">
        <v>1718</v>
      </c>
      <c r="X1778" s="1582" t="s">
        <v>1061</v>
      </c>
      <c r="Y1778" s="1438" t="s">
        <v>1719</v>
      </c>
      <c r="Z1778" s="1582" t="s">
        <v>1063</v>
      </c>
      <c r="AA1778" s="1438" t="s">
        <v>1980</v>
      </c>
      <c r="AB1778" s="2177">
        <v>1000000</v>
      </c>
      <c r="AC1778" s="2178" t="s">
        <v>2015</v>
      </c>
      <c r="AD1778" s="1450">
        <v>1200000</v>
      </c>
      <c r="AE1778" s="1663" t="s">
        <v>2016</v>
      </c>
      <c r="AF1778" s="1450">
        <v>1600000</v>
      </c>
      <c r="AG1778" s="1663" t="s">
        <v>1326</v>
      </c>
      <c r="AH1778" s="1408" t="str">
        <f t="shared" si="600"/>
        <v>#</v>
      </c>
      <c r="AI1778" s="1512"/>
      <c r="AJ1778" s="1409"/>
      <c r="AK1778" s="1409"/>
      <c r="AL1778" s="1513"/>
      <c r="AM1778" s="1450">
        <v>500000</v>
      </c>
      <c r="AN1778" s="1663" t="s">
        <v>22</v>
      </c>
      <c r="AO1778"/>
      <c r="AP1778"/>
      <c r="AQ1778" s="1128"/>
      <c r="AR1778" s="1173"/>
      <c r="AT1778" s="1173"/>
      <c r="AV1778" s="1173"/>
      <c r="AX1778" s="1173"/>
      <c r="AY1778" s="1176"/>
      <c r="AZ1778" s="1173"/>
    </row>
    <row r="1779" spans="1:52" s="2" customFormat="1" x14ac:dyDescent="0.25">
      <c r="A1779" s="694">
        <v>1636</v>
      </c>
      <c r="B1779" s="706">
        <v>1</v>
      </c>
      <c r="C1779" s="714">
        <v>849319039</v>
      </c>
      <c r="D1779" s="713" t="s">
        <v>2280</v>
      </c>
      <c r="E1779" s="326" t="s">
        <v>2074</v>
      </c>
      <c r="F1779" s="327">
        <v>2019</v>
      </c>
      <c r="G1779" s="1758" t="s">
        <v>28</v>
      </c>
      <c r="H1779" s="715" t="str">
        <f t="shared" si="607"/>
        <v xml:space="preserve">   </v>
      </c>
      <c r="I1779" s="715" t="str">
        <f t="shared" si="608"/>
        <v xml:space="preserve">   </v>
      </c>
      <c r="J1779" s="1359">
        <v>2700000</v>
      </c>
      <c r="K1779" s="1727">
        <v>43692.373402777797</v>
      </c>
      <c r="L1779" s="1941">
        <v>3750000</v>
      </c>
      <c r="M1779" s="1727">
        <v>43692.373402777797</v>
      </c>
      <c r="N1779" s="1731">
        <v>0</v>
      </c>
      <c r="O1779" s="1367"/>
      <c r="P1779" s="1731">
        <v>0</v>
      </c>
      <c r="Q1779" s="1367"/>
      <c r="R1779" s="1941" t="str">
        <f>IFERROR(VLOOKUP(C1779,BSP,3,FALSE),"  ")</f>
        <v xml:space="preserve">  </v>
      </c>
      <c r="S1779" s="1955" t="str">
        <f>IFERROR((VLOOKUP(C1779,BSP,4,FALSE)),"  ")</f>
        <v xml:space="preserve">  </v>
      </c>
      <c r="T1779" s="1941"/>
      <c r="U1779" s="1954"/>
      <c r="V1779" s="1941"/>
      <c r="W1779" s="1954"/>
      <c r="X1779" s="1941"/>
      <c r="Y1779" s="1954"/>
      <c r="Z1779" s="1941"/>
      <c r="AA1779" s="1954"/>
      <c r="AB1779" s="1666"/>
      <c r="AC1779" s="1590"/>
      <c r="AD1779" s="1666"/>
      <c r="AE1779" s="1590"/>
      <c r="AF1779" s="1666"/>
      <c r="AG1779" s="1590"/>
      <c r="AH1779" s="1625" t="str">
        <f t="shared" si="600"/>
        <v>PAI-3A</v>
      </c>
      <c r="AI1779" s="1675">
        <f t="shared" ref="AI1779:AI1842" si="609">SUM(J1779,L1779,N1779,P1779,R1779,T1779,V1779,X1779,Z1779,AB1779,AD1779,AF1779,AM1779)</f>
        <v>6450000</v>
      </c>
      <c r="AJ1779" s="1675">
        <f t="shared" ref="AJ1779:AJ1810" si="610">(COUNT(L1779,N1779,P1779,R1779,T1779,V1779,X1779,Z1779)*$G$1507)+(COUNT(J1779)*$J$1507)+(COUNT(AB1779)*$AB$1507)+(COUNT(AD1779)*$AD$1507)+(COUNT(AF1779)*$AF$1507)+(COUNT(AM1779)*$AM$1507)</f>
        <v>13950000</v>
      </c>
      <c r="AK1779" s="1520">
        <f t="shared" ref="AK1779" si="611">AJ1779-AI1779</f>
        <v>7500000</v>
      </c>
      <c r="AL1779" s="2187" t="str">
        <f t="shared" ref="AL1779" si="612">IF(AK1779=0,"Lunas","Cek")</f>
        <v>Cek</v>
      </c>
      <c r="AM1779" s="1666"/>
      <c r="AN1779" s="1590"/>
      <c r="AO1779"/>
      <c r="AP1779"/>
      <c r="AQ1779" s="1128"/>
      <c r="AR1779" s="1173"/>
      <c r="AT1779" s="1173"/>
      <c r="AV1779" s="1173"/>
      <c r="AX1779" s="1173"/>
      <c r="AY1779" s="1176"/>
      <c r="AZ1779" s="1173"/>
    </row>
    <row r="1780" spans="1:52" s="2" customFormat="1" x14ac:dyDescent="0.25">
      <c r="A1780" s="694">
        <v>1637</v>
      </c>
      <c r="B1780" s="709">
        <v>2</v>
      </c>
      <c r="C1780" s="716">
        <v>849319004</v>
      </c>
      <c r="D1780" s="701" t="s">
        <v>2281</v>
      </c>
      <c r="E1780" s="264" t="s">
        <v>2074</v>
      </c>
      <c r="F1780" s="175">
        <v>2019</v>
      </c>
      <c r="G1780" s="360" t="s">
        <v>1483</v>
      </c>
      <c r="H1780" s="215" t="str">
        <f t="shared" si="607"/>
        <v xml:space="preserve">   </v>
      </c>
      <c r="I1780" s="215" t="str">
        <f t="shared" si="608"/>
        <v xml:space="preserve">   </v>
      </c>
      <c r="J1780" s="1359">
        <v>2700000</v>
      </c>
      <c r="K1780" s="1523">
        <v>43683.592685185198</v>
      </c>
      <c r="L1780" s="2020"/>
      <c r="M1780" s="1362" t="s">
        <v>475</v>
      </c>
      <c r="N1780" s="2020"/>
      <c r="O1780" s="1362" t="s">
        <v>475</v>
      </c>
      <c r="P1780" s="2020"/>
      <c r="Q1780" s="1362" t="s">
        <v>475</v>
      </c>
      <c r="R1780" s="2020"/>
      <c r="S1780" s="1362" t="s">
        <v>475</v>
      </c>
      <c r="T1780" s="1363"/>
      <c r="U1780" s="1391"/>
      <c r="V1780" s="1363"/>
      <c r="W1780" s="1391"/>
      <c r="X1780" s="1363"/>
      <c r="Y1780" s="1391"/>
      <c r="Z1780" s="1363"/>
      <c r="AA1780" s="1391"/>
      <c r="AB1780" s="1731"/>
      <c r="AC1780" s="1367"/>
      <c r="AD1780" s="1666"/>
      <c r="AE1780" s="1590"/>
      <c r="AF1780" s="1666"/>
      <c r="AG1780" s="1590"/>
      <c r="AH1780" s="1625" t="str">
        <f t="shared" si="600"/>
        <v>PAI-3A</v>
      </c>
      <c r="AI1780" s="1675">
        <f t="shared" si="609"/>
        <v>2700000</v>
      </c>
      <c r="AJ1780" s="1675">
        <f t="shared" si="610"/>
        <v>2700000</v>
      </c>
      <c r="AK1780" s="1520">
        <f t="shared" ref="AK1780" si="613">AJ1780-AI1780</f>
        <v>0</v>
      </c>
      <c r="AL1780" s="2210" t="str">
        <f t="shared" ref="AL1780" si="614">IF(AK1780=0,"Lunas","Cek")</f>
        <v>Lunas</v>
      </c>
      <c r="AM1780" s="1666"/>
      <c r="AN1780" s="1590"/>
      <c r="AO1780"/>
      <c r="AP1780"/>
      <c r="AQ1780" s="1128"/>
      <c r="AR1780" s="1173"/>
      <c r="AT1780" s="1173"/>
      <c r="AV1780" s="1173"/>
      <c r="AX1780" s="1173"/>
      <c r="AY1780" s="1176"/>
      <c r="AZ1780" s="1173"/>
    </row>
    <row r="1781" spans="1:52" s="2" customFormat="1" x14ac:dyDescent="0.25">
      <c r="A1781" s="694">
        <v>1638</v>
      </c>
      <c r="B1781" s="706">
        <v>3</v>
      </c>
      <c r="C1781" s="716">
        <v>849319048</v>
      </c>
      <c r="D1781" s="701" t="s">
        <v>2282</v>
      </c>
      <c r="E1781" s="264" t="s">
        <v>2074</v>
      </c>
      <c r="F1781" s="175">
        <v>2019</v>
      </c>
      <c r="G1781" s="360" t="s">
        <v>1483</v>
      </c>
      <c r="H1781" s="215" t="str">
        <f t="shared" si="607"/>
        <v xml:space="preserve">   </v>
      </c>
      <c r="I1781" s="215" t="str">
        <f t="shared" si="608"/>
        <v xml:space="preserve">   </v>
      </c>
      <c r="J1781" s="1359">
        <v>2700000</v>
      </c>
      <c r="K1781" s="1523">
        <v>43691.628935185203</v>
      </c>
      <c r="L1781" s="1363">
        <v>3750000</v>
      </c>
      <c r="M1781" s="1523">
        <v>43691.628935185203</v>
      </c>
      <c r="N1781" s="1731">
        <v>3750000</v>
      </c>
      <c r="O1781" s="1367">
        <v>43861.413287037001</v>
      </c>
      <c r="P1781" s="1731">
        <v>3750000</v>
      </c>
      <c r="Q1781" s="1367">
        <v>44069</v>
      </c>
      <c r="R1781" s="1363"/>
      <c r="S1781" s="1563"/>
      <c r="T1781" s="1363"/>
      <c r="U1781" s="1391"/>
      <c r="V1781" s="1363"/>
      <c r="W1781" s="1391"/>
      <c r="X1781" s="1363"/>
      <c r="Y1781" s="1391"/>
      <c r="Z1781" s="1363"/>
      <c r="AA1781" s="1391"/>
      <c r="AB1781" s="1731">
        <v>1000000</v>
      </c>
      <c r="AC1781" s="1367">
        <v>44123</v>
      </c>
      <c r="AD1781" s="1666"/>
      <c r="AE1781" s="1590"/>
      <c r="AF1781" s="1666"/>
      <c r="AG1781" s="1590"/>
      <c r="AH1781" s="1625" t="str">
        <f t="shared" si="600"/>
        <v>PAI-3A</v>
      </c>
      <c r="AI1781" s="1675">
        <f t="shared" si="609"/>
        <v>14950000</v>
      </c>
      <c r="AJ1781" s="1675">
        <f t="shared" si="610"/>
        <v>14950000</v>
      </c>
      <c r="AK1781" s="1520">
        <f t="shared" ref="AK1781:AK1841" si="615">AJ1781-AI1781</f>
        <v>0</v>
      </c>
      <c r="AL1781" s="2210" t="str">
        <f t="shared" ref="AL1781:AL1841" si="616">IF(AK1781=0,"Lunas","Cek")</f>
        <v>Lunas</v>
      </c>
      <c r="AM1781" s="1666"/>
      <c r="AN1781" s="1590"/>
      <c r="AO1781"/>
      <c r="AP1781"/>
      <c r="AQ1781" s="1128"/>
      <c r="AR1781" s="1173"/>
      <c r="AT1781" s="1173"/>
      <c r="AV1781" s="1173"/>
      <c r="AX1781" s="1173"/>
      <c r="AY1781" s="1176"/>
      <c r="AZ1781" s="1173"/>
    </row>
    <row r="1782" spans="1:52" s="2" customFormat="1" x14ac:dyDescent="0.25">
      <c r="A1782" s="694">
        <v>1639</v>
      </c>
      <c r="B1782" s="709">
        <v>4</v>
      </c>
      <c r="C1782" s="716">
        <v>849319051</v>
      </c>
      <c r="D1782" s="701" t="s">
        <v>2283</v>
      </c>
      <c r="E1782" s="264" t="s">
        <v>2074</v>
      </c>
      <c r="F1782" s="175">
        <v>2019</v>
      </c>
      <c r="G1782" s="360" t="s">
        <v>1483</v>
      </c>
      <c r="H1782" s="215" t="str">
        <f t="shared" si="607"/>
        <v xml:space="preserve">   </v>
      </c>
      <c r="I1782" s="215" t="str">
        <f t="shared" si="608"/>
        <v xml:space="preserve">   </v>
      </c>
      <c r="J1782" s="1359">
        <v>2700000</v>
      </c>
      <c r="K1782" s="1523">
        <v>43691.645011574103</v>
      </c>
      <c r="L1782" s="1363">
        <v>3750000</v>
      </c>
      <c r="M1782" s="1523">
        <v>43691.645011574103</v>
      </c>
      <c r="N1782" s="1731">
        <v>3750000</v>
      </c>
      <c r="O1782" s="1367">
        <v>43860.473611111098</v>
      </c>
      <c r="P1782" s="1731">
        <v>3750000</v>
      </c>
      <c r="Q1782" s="1367">
        <v>44068.588356481501</v>
      </c>
      <c r="R1782" s="1363"/>
      <c r="S1782" s="1563"/>
      <c r="T1782" s="1363"/>
      <c r="U1782" s="1391"/>
      <c r="V1782" s="1363"/>
      <c r="W1782" s="1391"/>
      <c r="X1782" s="1363"/>
      <c r="Y1782" s="1391"/>
      <c r="Z1782" s="1363"/>
      <c r="AA1782" s="1391"/>
      <c r="AB1782" s="1731"/>
      <c r="AC1782" s="1367"/>
      <c r="AD1782" s="1666"/>
      <c r="AE1782" s="1590"/>
      <c r="AF1782" s="1666"/>
      <c r="AG1782" s="1590"/>
      <c r="AH1782" s="1625" t="str">
        <f t="shared" si="600"/>
        <v>PAI-3A</v>
      </c>
      <c r="AI1782" s="1675">
        <f t="shared" si="609"/>
        <v>13950000</v>
      </c>
      <c r="AJ1782" s="1675">
        <f t="shared" si="610"/>
        <v>13950000</v>
      </c>
      <c r="AK1782" s="1520">
        <f t="shared" si="615"/>
        <v>0</v>
      </c>
      <c r="AL1782" s="2210" t="str">
        <f t="shared" si="616"/>
        <v>Lunas</v>
      </c>
      <c r="AM1782" s="1666"/>
      <c r="AN1782" s="1590"/>
      <c r="AO1782"/>
      <c r="AP1782"/>
      <c r="AQ1782" s="1128"/>
      <c r="AR1782" s="1173"/>
      <c r="AT1782" s="1173"/>
      <c r="AV1782" s="1173"/>
      <c r="AX1782" s="1173"/>
      <c r="AY1782" s="1176"/>
      <c r="AZ1782" s="1173"/>
    </row>
    <row r="1783" spans="1:52" s="2" customFormat="1" x14ac:dyDescent="0.25">
      <c r="A1783" s="694">
        <v>1640</v>
      </c>
      <c r="B1783" s="706">
        <v>5</v>
      </c>
      <c r="C1783" s="716">
        <v>849319037</v>
      </c>
      <c r="D1783" s="701" t="s">
        <v>2284</v>
      </c>
      <c r="E1783" s="264" t="s">
        <v>2074</v>
      </c>
      <c r="F1783" s="175">
        <v>2019</v>
      </c>
      <c r="G1783" s="360" t="s">
        <v>1483</v>
      </c>
      <c r="H1783" s="215" t="str">
        <f t="shared" si="607"/>
        <v xml:space="preserve">   </v>
      </c>
      <c r="I1783" s="215" t="str">
        <f t="shared" si="608"/>
        <v xml:space="preserve">   </v>
      </c>
      <c r="J1783" s="1359">
        <v>2700000</v>
      </c>
      <c r="K1783" s="1523">
        <v>43692.430636574099</v>
      </c>
      <c r="L1783" s="1363">
        <v>3750000</v>
      </c>
      <c r="M1783" s="1523">
        <v>43692.430636574099</v>
      </c>
      <c r="N1783" s="1731">
        <v>3750000</v>
      </c>
      <c r="O1783" s="1367">
        <v>43860.593124999999</v>
      </c>
      <c r="P1783" s="1731">
        <v>3750000</v>
      </c>
      <c r="Q1783" s="1367">
        <v>44047.555069444403</v>
      </c>
      <c r="R1783" s="1363"/>
      <c r="S1783" s="1563"/>
      <c r="T1783" s="1363"/>
      <c r="U1783" s="1391"/>
      <c r="V1783" s="1363"/>
      <c r="W1783" s="1391"/>
      <c r="X1783" s="1363"/>
      <c r="Y1783" s="1391"/>
      <c r="Z1783" s="1363"/>
      <c r="AA1783" s="1391"/>
      <c r="AB1783" s="1731">
        <v>1000000</v>
      </c>
      <c r="AC1783" s="1367">
        <v>44139</v>
      </c>
      <c r="AD1783" s="1666"/>
      <c r="AE1783" s="1590"/>
      <c r="AF1783" s="1666"/>
      <c r="AG1783" s="1590"/>
      <c r="AH1783" s="1625" t="str">
        <f t="shared" si="600"/>
        <v>PAI-3A</v>
      </c>
      <c r="AI1783" s="1675">
        <f t="shared" si="609"/>
        <v>14950000</v>
      </c>
      <c r="AJ1783" s="1675">
        <f t="shared" si="610"/>
        <v>14950000</v>
      </c>
      <c r="AK1783" s="1520">
        <f t="shared" si="615"/>
        <v>0</v>
      </c>
      <c r="AL1783" s="2210" t="str">
        <f t="shared" si="616"/>
        <v>Lunas</v>
      </c>
      <c r="AM1783" s="1666"/>
      <c r="AN1783" s="1590"/>
      <c r="AO1783"/>
      <c r="AP1783"/>
      <c r="AQ1783" s="1128"/>
      <c r="AR1783" s="1173"/>
      <c r="AT1783" s="1173"/>
      <c r="AV1783" s="1173"/>
      <c r="AX1783" s="1173"/>
      <c r="AY1783" s="1176"/>
      <c r="AZ1783" s="1173"/>
    </row>
    <row r="1784" spans="1:52" s="2" customFormat="1" x14ac:dyDescent="0.25">
      <c r="A1784" s="694">
        <v>1641</v>
      </c>
      <c r="B1784" s="709">
        <v>6</v>
      </c>
      <c r="C1784" s="716">
        <v>849319022</v>
      </c>
      <c r="D1784" s="701" t="s">
        <v>2285</v>
      </c>
      <c r="E1784" s="264" t="s">
        <v>2074</v>
      </c>
      <c r="F1784" s="175">
        <v>2019</v>
      </c>
      <c r="G1784" s="581" t="s">
        <v>1833</v>
      </c>
      <c r="H1784" s="727" t="str">
        <f t="shared" si="607"/>
        <v xml:space="preserve">   </v>
      </c>
      <c r="I1784" s="727" t="str">
        <f t="shared" si="608"/>
        <v xml:space="preserve">   </v>
      </c>
      <c r="J1784" s="1359">
        <v>2700000</v>
      </c>
      <c r="K1784" s="1523">
        <v>43690.543379629598</v>
      </c>
      <c r="L1784" s="1363">
        <v>3750000</v>
      </c>
      <c r="M1784" s="1523">
        <v>43690.543379629598</v>
      </c>
      <c r="N1784" s="2077" t="s">
        <v>1078</v>
      </c>
      <c r="O1784" s="1386">
        <v>43861</v>
      </c>
      <c r="P1784" s="1186" t="s">
        <v>1078</v>
      </c>
      <c r="Q1784" s="1386">
        <v>44071</v>
      </c>
      <c r="R1784" s="1363" t="str">
        <f>IFERROR(VLOOKUP(C1784,BSP,3,FALSE),"  ")</f>
        <v xml:space="preserve">  </v>
      </c>
      <c r="S1784" s="1563" t="str">
        <f>IFERROR((VLOOKUP(C1784,BSP,4,FALSE)),"  ")</f>
        <v xml:space="preserve">  </v>
      </c>
      <c r="T1784" s="1363"/>
      <c r="U1784" s="1391"/>
      <c r="V1784" s="1363"/>
      <c r="W1784" s="1391"/>
      <c r="X1784" s="1363"/>
      <c r="Y1784" s="1391"/>
      <c r="Z1784" s="1363"/>
      <c r="AA1784" s="1391"/>
      <c r="AB1784" s="1731"/>
      <c r="AC1784" s="1367"/>
      <c r="AD1784" s="1666"/>
      <c r="AE1784" s="1590"/>
      <c r="AF1784" s="1666"/>
      <c r="AG1784" s="1590"/>
      <c r="AH1784" s="1626" t="str">
        <f t="shared" si="600"/>
        <v>PAI-3A</v>
      </c>
      <c r="AI1784" s="1675">
        <f t="shared" si="609"/>
        <v>6450000</v>
      </c>
      <c r="AJ1784" s="1675">
        <f t="shared" si="610"/>
        <v>6450000</v>
      </c>
      <c r="AK1784" s="1520">
        <f t="shared" si="615"/>
        <v>0</v>
      </c>
      <c r="AL1784" s="2210" t="str">
        <f t="shared" si="616"/>
        <v>Lunas</v>
      </c>
      <c r="AM1784" s="1666"/>
      <c r="AN1784" s="1590"/>
      <c r="AO1784"/>
      <c r="AP1784"/>
      <c r="AQ1784" s="1128"/>
      <c r="AR1784" s="1173"/>
      <c r="AT1784" s="1173"/>
      <c r="AV1784" s="1173"/>
      <c r="AX1784" s="1173"/>
      <c r="AY1784" s="1176"/>
      <c r="AZ1784" s="1173"/>
    </row>
    <row r="1785" spans="1:52" s="2" customFormat="1" x14ac:dyDescent="0.25">
      <c r="A1785" s="694">
        <v>1642</v>
      </c>
      <c r="B1785" s="706">
        <v>7</v>
      </c>
      <c r="C1785" s="716">
        <v>849319006</v>
      </c>
      <c r="D1785" s="701" t="s">
        <v>2286</v>
      </c>
      <c r="E1785" s="264" t="s">
        <v>2074</v>
      </c>
      <c r="F1785" s="175">
        <v>2019</v>
      </c>
      <c r="G1785" s="569" t="s">
        <v>1483</v>
      </c>
      <c r="H1785" s="215" t="str">
        <f t="shared" si="607"/>
        <v xml:space="preserve">   </v>
      </c>
      <c r="I1785" s="215" t="str">
        <f t="shared" si="608"/>
        <v xml:space="preserve">   </v>
      </c>
      <c r="J1785" s="1359">
        <v>2700000</v>
      </c>
      <c r="K1785" s="1523">
        <v>43683.543391203697</v>
      </c>
      <c r="L1785" s="1363">
        <v>3750000</v>
      </c>
      <c r="M1785" s="1523">
        <v>43683.543391203697</v>
      </c>
      <c r="N1785" s="1666">
        <v>3750000</v>
      </c>
      <c r="O1785" s="1367">
        <v>43857.471782407403</v>
      </c>
      <c r="P1785" s="1731">
        <v>3750000</v>
      </c>
      <c r="Q1785" s="1367">
        <v>44041.5844097222</v>
      </c>
      <c r="R1785" s="1363"/>
      <c r="S1785" s="1563"/>
      <c r="T1785" s="1363"/>
      <c r="U1785" s="1391"/>
      <c r="V1785" s="1363"/>
      <c r="W1785" s="1391"/>
      <c r="X1785" s="1363"/>
      <c r="Y1785" s="1391"/>
      <c r="Z1785" s="1363"/>
      <c r="AA1785" s="1391"/>
      <c r="AB1785" s="1731"/>
      <c r="AC1785" s="1367"/>
      <c r="AD1785" s="1666"/>
      <c r="AE1785" s="1590"/>
      <c r="AF1785" s="1666"/>
      <c r="AG1785" s="1590"/>
      <c r="AH1785" s="1625" t="str">
        <f t="shared" si="600"/>
        <v>PAI-3A</v>
      </c>
      <c r="AI1785" s="1675">
        <f t="shared" si="609"/>
        <v>13950000</v>
      </c>
      <c r="AJ1785" s="1675">
        <f t="shared" si="610"/>
        <v>13950000</v>
      </c>
      <c r="AK1785" s="1520">
        <f t="shared" si="615"/>
        <v>0</v>
      </c>
      <c r="AL1785" s="2210" t="str">
        <f t="shared" si="616"/>
        <v>Lunas</v>
      </c>
      <c r="AM1785" s="1666"/>
      <c r="AN1785" s="1590"/>
      <c r="AO1785"/>
      <c r="AP1785"/>
      <c r="AQ1785" s="1128"/>
      <c r="AR1785" s="1173"/>
      <c r="AT1785" s="1173"/>
      <c r="AV1785" s="1173"/>
      <c r="AX1785" s="1173"/>
      <c r="AY1785" s="1176"/>
      <c r="AZ1785" s="1173"/>
    </row>
    <row r="1786" spans="1:52" s="2" customFormat="1" x14ac:dyDescent="0.25">
      <c r="A1786" s="694">
        <v>1643</v>
      </c>
      <c r="B1786" s="709">
        <v>8</v>
      </c>
      <c r="C1786" s="716">
        <v>849319031</v>
      </c>
      <c r="D1786" s="701" t="s">
        <v>2287</v>
      </c>
      <c r="E1786" s="264" t="s">
        <v>2074</v>
      </c>
      <c r="F1786" s="175">
        <v>2019</v>
      </c>
      <c r="G1786" s="360" t="s">
        <v>1483</v>
      </c>
      <c r="H1786" s="215" t="str">
        <f t="shared" si="607"/>
        <v xml:space="preserve">   </v>
      </c>
      <c r="I1786" s="215" t="str">
        <f t="shared" si="608"/>
        <v xml:space="preserve">   </v>
      </c>
      <c r="J1786" s="1359">
        <v>2700000</v>
      </c>
      <c r="K1786" s="1523">
        <v>43689.633275462998</v>
      </c>
      <c r="L1786" s="1363">
        <v>3750000</v>
      </c>
      <c r="M1786" s="1523">
        <v>43689.633275462998</v>
      </c>
      <c r="N1786" s="1731">
        <v>3750000</v>
      </c>
      <c r="O1786" s="1367">
        <v>43858.533750000002</v>
      </c>
      <c r="P1786" s="1731">
        <v>3750000</v>
      </c>
      <c r="Q1786" s="1367">
        <v>44068.590451388904</v>
      </c>
      <c r="R1786" s="1363"/>
      <c r="S1786" s="1563"/>
      <c r="T1786" s="1363"/>
      <c r="U1786" s="1391"/>
      <c r="V1786" s="1363"/>
      <c r="W1786" s="1391"/>
      <c r="X1786" s="1363"/>
      <c r="Y1786" s="1391"/>
      <c r="Z1786" s="1363"/>
      <c r="AA1786" s="1391"/>
      <c r="AB1786" s="1731"/>
      <c r="AC1786" s="1367"/>
      <c r="AD1786" s="1666"/>
      <c r="AE1786" s="1590"/>
      <c r="AF1786" s="1666"/>
      <c r="AG1786" s="1590"/>
      <c r="AH1786" s="1625" t="str">
        <f t="shared" si="600"/>
        <v>PAI-3A</v>
      </c>
      <c r="AI1786" s="1675">
        <f t="shared" si="609"/>
        <v>13950000</v>
      </c>
      <c r="AJ1786" s="1675">
        <f t="shared" si="610"/>
        <v>13950000</v>
      </c>
      <c r="AK1786" s="1520">
        <f t="shared" si="615"/>
        <v>0</v>
      </c>
      <c r="AL1786" s="2210" t="str">
        <f t="shared" si="616"/>
        <v>Lunas</v>
      </c>
      <c r="AM1786" s="1666"/>
      <c r="AN1786" s="1590"/>
      <c r="AO1786"/>
      <c r="AP1786"/>
      <c r="AQ1786" s="1128"/>
      <c r="AR1786" s="1173"/>
      <c r="AT1786" s="1173"/>
      <c r="AV1786" s="1173"/>
      <c r="AX1786" s="1173"/>
      <c r="AY1786" s="1176"/>
      <c r="AZ1786" s="1173"/>
    </row>
    <row r="1787" spans="1:52" s="2" customFormat="1" x14ac:dyDescent="0.25">
      <c r="A1787" s="694">
        <v>1644</v>
      </c>
      <c r="B1787" s="706">
        <v>9</v>
      </c>
      <c r="C1787" s="716">
        <v>849319046</v>
      </c>
      <c r="D1787" s="701" t="s">
        <v>2288</v>
      </c>
      <c r="E1787" s="264" t="s">
        <v>2074</v>
      </c>
      <c r="F1787" s="175">
        <v>2019</v>
      </c>
      <c r="G1787" s="360" t="s">
        <v>1483</v>
      </c>
      <c r="H1787" s="215" t="str">
        <f t="shared" si="607"/>
        <v xml:space="preserve">   </v>
      </c>
      <c r="I1787" s="215" t="str">
        <f t="shared" si="608"/>
        <v xml:space="preserve">   </v>
      </c>
      <c r="J1787" s="1359">
        <v>2700000</v>
      </c>
      <c r="K1787" s="1523">
        <v>43692.463472222204</v>
      </c>
      <c r="L1787" s="1363">
        <v>3750000</v>
      </c>
      <c r="M1787" s="1523">
        <v>43692.463472222204</v>
      </c>
      <c r="N1787" s="1731">
        <v>3750000</v>
      </c>
      <c r="O1787" s="1367">
        <v>43861.583831018499</v>
      </c>
      <c r="P1787" s="1731">
        <v>3750000</v>
      </c>
      <c r="Q1787" s="1367">
        <v>44054.550069444398</v>
      </c>
      <c r="R1787" s="1363"/>
      <c r="S1787" s="1563"/>
      <c r="T1787" s="1363"/>
      <c r="U1787" s="1391"/>
      <c r="V1787" s="1363"/>
      <c r="W1787" s="1391"/>
      <c r="X1787" s="1363"/>
      <c r="Y1787" s="1391"/>
      <c r="Z1787" s="1363"/>
      <c r="AA1787" s="1391"/>
      <c r="AB1787" s="1731"/>
      <c r="AC1787" s="1367"/>
      <c r="AD1787" s="1666"/>
      <c r="AE1787" s="1590"/>
      <c r="AF1787" s="1666"/>
      <c r="AG1787" s="1590"/>
      <c r="AH1787" s="1625" t="str">
        <f t="shared" si="600"/>
        <v>PAI-3A</v>
      </c>
      <c r="AI1787" s="1675">
        <f t="shared" si="609"/>
        <v>13950000</v>
      </c>
      <c r="AJ1787" s="1675">
        <f t="shared" si="610"/>
        <v>13950000</v>
      </c>
      <c r="AK1787" s="1520">
        <f t="shared" si="615"/>
        <v>0</v>
      </c>
      <c r="AL1787" s="2210" t="str">
        <f t="shared" si="616"/>
        <v>Lunas</v>
      </c>
      <c r="AM1787" s="1666"/>
      <c r="AN1787" s="1590"/>
      <c r="AO1787"/>
      <c r="AP1787"/>
      <c r="AQ1787" s="1128"/>
      <c r="AR1787" s="1173"/>
      <c r="AT1787" s="1173"/>
      <c r="AV1787" s="1173"/>
      <c r="AX1787" s="1173"/>
      <c r="AY1787" s="1176"/>
      <c r="AZ1787" s="1173"/>
    </row>
    <row r="1788" spans="1:52" s="2" customFormat="1" x14ac:dyDescent="0.25">
      <c r="A1788" s="694">
        <v>1645</v>
      </c>
      <c r="B1788" s="709">
        <v>10</v>
      </c>
      <c r="C1788" s="716">
        <v>849319052</v>
      </c>
      <c r="D1788" s="701" t="s">
        <v>2289</v>
      </c>
      <c r="E1788" s="264" t="s">
        <v>2074</v>
      </c>
      <c r="F1788" s="175">
        <v>2019</v>
      </c>
      <c r="G1788" s="360" t="s">
        <v>1483</v>
      </c>
      <c r="H1788" s="215" t="str">
        <f t="shared" si="607"/>
        <v xml:space="preserve">   </v>
      </c>
      <c r="I1788" s="215" t="str">
        <f t="shared" si="608"/>
        <v xml:space="preserve">   </v>
      </c>
      <c r="J1788" s="1359">
        <v>2700000</v>
      </c>
      <c r="K1788" s="1523">
        <v>43692.563611111102</v>
      </c>
      <c r="L1788" s="1363">
        <v>3750000</v>
      </c>
      <c r="M1788" s="1523">
        <v>43692.563611111102</v>
      </c>
      <c r="N1788" s="1731">
        <v>3750000</v>
      </c>
      <c r="O1788" s="1367">
        <v>43858.565208333297</v>
      </c>
      <c r="P1788" s="1731">
        <v>3750000</v>
      </c>
      <c r="Q1788" s="1367">
        <v>44068.435173611098</v>
      </c>
      <c r="R1788" s="1363"/>
      <c r="S1788" s="1563"/>
      <c r="T1788" s="1363"/>
      <c r="U1788" s="1391"/>
      <c r="V1788" s="1363"/>
      <c r="W1788" s="1391"/>
      <c r="X1788" s="1363"/>
      <c r="Y1788" s="1391"/>
      <c r="Z1788" s="1363"/>
      <c r="AA1788" s="1391"/>
      <c r="AB1788" s="1731"/>
      <c r="AC1788" s="1367"/>
      <c r="AD1788" s="1666"/>
      <c r="AE1788" s="1590"/>
      <c r="AF1788" s="1666"/>
      <c r="AG1788" s="1590"/>
      <c r="AH1788" s="1625" t="str">
        <f t="shared" si="600"/>
        <v>PAI-3A</v>
      </c>
      <c r="AI1788" s="1675">
        <f t="shared" si="609"/>
        <v>13950000</v>
      </c>
      <c r="AJ1788" s="1675">
        <f t="shared" si="610"/>
        <v>13950000</v>
      </c>
      <c r="AK1788" s="1520">
        <f t="shared" si="615"/>
        <v>0</v>
      </c>
      <c r="AL1788" s="2210" t="str">
        <f t="shared" si="616"/>
        <v>Lunas</v>
      </c>
      <c r="AM1788" s="1666"/>
      <c r="AN1788" s="1590"/>
      <c r="AO1788"/>
      <c r="AP1788"/>
      <c r="AQ1788" s="1128"/>
      <c r="AR1788" s="1173"/>
      <c r="AT1788" s="1173"/>
      <c r="AV1788" s="1173"/>
      <c r="AX1788" s="1173"/>
      <c r="AY1788" s="1176"/>
      <c r="AZ1788" s="1173"/>
    </row>
    <row r="1789" spans="1:52" s="2" customFormat="1" x14ac:dyDescent="0.25">
      <c r="A1789" s="694">
        <v>1646</v>
      </c>
      <c r="B1789" s="706">
        <v>11</v>
      </c>
      <c r="C1789" s="716">
        <v>849319074</v>
      </c>
      <c r="D1789" s="701" t="s">
        <v>2290</v>
      </c>
      <c r="E1789" s="264" t="s">
        <v>2074</v>
      </c>
      <c r="F1789" s="175">
        <v>2019</v>
      </c>
      <c r="G1789" s="360" t="s">
        <v>1483</v>
      </c>
      <c r="H1789" s="727" t="str">
        <f t="shared" si="607"/>
        <v xml:space="preserve">   </v>
      </c>
      <c r="I1789" s="727" t="str">
        <f t="shared" si="608"/>
        <v xml:space="preserve">   </v>
      </c>
      <c r="J1789" s="1359">
        <v>2700000</v>
      </c>
      <c r="K1789" s="1523">
        <v>43692.592418981498</v>
      </c>
      <c r="L1789" s="1363">
        <v>3750000</v>
      </c>
      <c r="M1789" s="1523">
        <v>43692.592418981498</v>
      </c>
      <c r="N1789" s="1731">
        <v>3750000</v>
      </c>
      <c r="O1789" s="1367">
        <v>43859.449652777803</v>
      </c>
      <c r="P1789" s="1731">
        <v>3750000</v>
      </c>
      <c r="Q1789" s="1367">
        <v>44056.451932870397</v>
      </c>
      <c r="R1789" s="1363"/>
      <c r="S1789" s="1563"/>
      <c r="T1789" s="1363"/>
      <c r="U1789" s="1391"/>
      <c r="V1789" s="1363"/>
      <c r="W1789" s="1391"/>
      <c r="X1789" s="1363"/>
      <c r="Y1789" s="1391"/>
      <c r="Z1789" s="1363"/>
      <c r="AA1789" s="1391"/>
      <c r="AB1789" s="1731"/>
      <c r="AC1789" s="1367"/>
      <c r="AD1789" s="1666"/>
      <c r="AE1789" s="1590"/>
      <c r="AF1789" s="1666"/>
      <c r="AG1789" s="1590"/>
      <c r="AH1789" s="1626" t="str">
        <f t="shared" si="600"/>
        <v>PAI-3A</v>
      </c>
      <c r="AI1789" s="1675">
        <f t="shared" si="609"/>
        <v>13950000</v>
      </c>
      <c r="AJ1789" s="1675">
        <f t="shared" si="610"/>
        <v>13950000</v>
      </c>
      <c r="AK1789" s="1520">
        <f t="shared" si="615"/>
        <v>0</v>
      </c>
      <c r="AL1789" s="2210" t="str">
        <f t="shared" si="616"/>
        <v>Lunas</v>
      </c>
      <c r="AM1789" s="1666"/>
      <c r="AN1789" s="1590"/>
      <c r="AO1789"/>
      <c r="AP1789"/>
      <c r="AQ1789" s="1128"/>
      <c r="AR1789" s="1173"/>
      <c r="AT1789" s="1173"/>
      <c r="AV1789" s="1173"/>
      <c r="AX1789" s="1173"/>
      <c r="AY1789" s="1176"/>
      <c r="AZ1789" s="1173"/>
    </row>
    <row r="1790" spans="1:52" s="2" customFormat="1" x14ac:dyDescent="0.25">
      <c r="A1790" s="694">
        <v>1647</v>
      </c>
      <c r="B1790" s="709">
        <v>12</v>
      </c>
      <c r="C1790" s="716">
        <v>849319041</v>
      </c>
      <c r="D1790" s="701" t="s">
        <v>2291</v>
      </c>
      <c r="E1790" s="264" t="s">
        <v>2074</v>
      </c>
      <c r="F1790" s="175">
        <v>2019</v>
      </c>
      <c r="G1790" s="360" t="s">
        <v>1483</v>
      </c>
      <c r="H1790" s="215" t="str">
        <f t="shared" si="607"/>
        <v xml:space="preserve">   </v>
      </c>
      <c r="I1790" s="215" t="str">
        <f t="shared" si="608"/>
        <v xml:space="preserve">   </v>
      </c>
      <c r="J1790" s="1359">
        <v>2700000</v>
      </c>
      <c r="K1790" s="1523">
        <v>43691.576180555603</v>
      </c>
      <c r="L1790" s="1363">
        <v>3750000</v>
      </c>
      <c r="M1790" s="1523">
        <v>43691.576180555603</v>
      </c>
      <c r="N1790" s="1731">
        <v>3750000</v>
      </c>
      <c r="O1790" s="1367">
        <v>43861.566550925898</v>
      </c>
      <c r="P1790" s="1731">
        <v>3750000</v>
      </c>
      <c r="Q1790" s="1367">
        <v>44068.367928240703</v>
      </c>
      <c r="R1790" s="1363"/>
      <c r="S1790" s="1563"/>
      <c r="T1790" s="1363"/>
      <c r="U1790" s="1391"/>
      <c r="V1790" s="1363"/>
      <c r="W1790" s="1391"/>
      <c r="X1790" s="1363"/>
      <c r="Y1790" s="1391"/>
      <c r="Z1790" s="1363"/>
      <c r="AA1790" s="1391"/>
      <c r="AB1790" s="1731"/>
      <c r="AC1790" s="1367"/>
      <c r="AD1790" s="1666"/>
      <c r="AE1790" s="1590"/>
      <c r="AF1790" s="1666"/>
      <c r="AG1790" s="1590"/>
      <c r="AH1790" s="1625" t="str">
        <f t="shared" si="600"/>
        <v>PAI-3A</v>
      </c>
      <c r="AI1790" s="1675">
        <f t="shared" si="609"/>
        <v>13950000</v>
      </c>
      <c r="AJ1790" s="1675">
        <f t="shared" si="610"/>
        <v>13950000</v>
      </c>
      <c r="AK1790" s="1520">
        <f t="shared" si="615"/>
        <v>0</v>
      </c>
      <c r="AL1790" s="2210" t="str">
        <f t="shared" si="616"/>
        <v>Lunas</v>
      </c>
      <c r="AM1790" s="1666"/>
      <c r="AN1790" s="1590"/>
      <c r="AO1790"/>
      <c r="AP1790"/>
      <c r="AQ1790" s="1128"/>
      <c r="AR1790" s="1173"/>
      <c r="AT1790" s="1173"/>
      <c r="AV1790" s="1173"/>
      <c r="AX1790" s="1173"/>
      <c r="AY1790" s="1176"/>
      <c r="AZ1790" s="1173"/>
    </row>
    <row r="1791" spans="1:52" s="2" customFormat="1" x14ac:dyDescent="0.25">
      <c r="A1791" s="694">
        <v>1648</v>
      </c>
      <c r="B1791" s="706">
        <v>13</v>
      </c>
      <c r="C1791" s="716">
        <v>849319029</v>
      </c>
      <c r="D1791" s="701" t="s">
        <v>2292</v>
      </c>
      <c r="E1791" s="264" t="s">
        <v>2074</v>
      </c>
      <c r="F1791" s="175">
        <v>2019</v>
      </c>
      <c r="G1791" s="360" t="s">
        <v>1483</v>
      </c>
      <c r="H1791" s="215" t="str">
        <f t="shared" si="607"/>
        <v xml:space="preserve">   </v>
      </c>
      <c r="I1791" s="215" t="str">
        <f t="shared" si="608"/>
        <v xml:space="preserve">   </v>
      </c>
      <c r="J1791" s="1359">
        <v>2700000</v>
      </c>
      <c r="K1791" s="1523">
        <v>43690.423078703701</v>
      </c>
      <c r="L1791" s="1363">
        <v>3750000</v>
      </c>
      <c r="M1791" s="1523">
        <v>43690.423078703701</v>
      </c>
      <c r="N1791" s="1731">
        <v>3750000</v>
      </c>
      <c r="O1791" s="1367">
        <v>43853.560081018499</v>
      </c>
      <c r="P1791" s="1731">
        <v>3750000</v>
      </c>
      <c r="Q1791" s="1367">
        <v>44053.462939814803</v>
      </c>
      <c r="R1791" s="1363"/>
      <c r="S1791" s="1563"/>
      <c r="T1791" s="1363"/>
      <c r="U1791" s="1391"/>
      <c r="V1791" s="1363"/>
      <c r="W1791" s="1391"/>
      <c r="X1791" s="1363"/>
      <c r="Y1791" s="1391"/>
      <c r="Z1791" s="1363"/>
      <c r="AA1791" s="1391"/>
      <c r="AB1791" s="1731"/>
      <c r="AC1791" s="1367"/>
      <c r="AD1791" s="1666"/>
      <c r="AE1791" s="1590"/>
      <c r="AF1791" s="1666"/>
      <c r="AG1791" s="1590"/>
      <c r="AH1791" s="1625" t="str">
        <f t="shared" si="600"/>
        <v>PAI-3A</v>
      </c>
      <c r="AI1791" s="1675">
        <f t="shared" si="609"/>
        <v>13950000</v>
      </c>
      <c r="AJ1791" s="1675">
        <f t="shared" si="610"/>
        <v>13950000</v>
      </c>
      <c r="AK1791" s="1520">
        <f t="shared" si="615"/>
        <v>0</v>
      </c>
      <c r="AL1791" s="2210" t="str">
        <f t="shared" si="616"/>
        <v>Lunas</v>
      </c>
      <c r="AM1791" s="1666"/>
      <c r="AN1791" s="1590"/>
      <c r="AO1791"/>
      <c r="AP1791"/>
      <c r="AQ1791" s="1128"/>
      <c r="AR1791" s="1173"/>
      <c r="AT1791" s="1173"/>
      <c r="AV1791" s="1173"/>
      <c r="AX1791" s="1173"/>
      <c r="AY1791" s="1176"/>
      <c r="AZ1791" s="1173"/>
    </row>
    <row r="1792" spans="1:52" s="2" customFormat="1" x14ac:dyDescent="0.25">
      <c r="A1792" s="694">
        <v>1649</v>
      </c>
      <c r="B1792" s="709">
        <v>14</v>
      </c>
      <c r="C1792" s="716">
        <v>849319040</v>
      </c>
      <c r="D1792" s="701" t="s">
        <v>2293</v>
      </c>
      <c r="E1792" s="264" t="s">
        <v>2074</v>
      </c>
      <c r="F1792" s="175">
        <v>2019</v>
      </c>
      <c r="G1792" s="1758" t="s">
        <v>28</v>
      </c>
      <c r="H1792" s="215" t="str">
        <f t="shared" si="607"/>
        <v xml:space="preserve">   </v>
      </c>
      <c r="I1792" s="215" t="str">
        <f t="shared" si="608"/>
        <v xml:space="preserve">   </v>
      </c>
      <c r="J1792" s="1359">
        <v>2700000</v>
      </c>
      <c r="K1792" s="1523">
        <v>43691.618078703701</v>
      </c>
      <c r="L1792" s="1363">
        <v>3750000</v>
      </c>
      <c r="M1792" s="1523">
        <v>43691.618078703701</v>
      </c>
      <c r="N1792" s="1731">
        <v>0</v>
      </c>
      <c r="O1792" s="1367"/>
      <c r="P1792" s="1731">
        <v>0</v>
      </c>
      <c r="Q1792" s="1367"/>
      <c r="R1792" s="1363" t="str">
        <f>IFERROR(VLOOKUP(C1792,BSP,3,FALSE),"  ")</f>
        <v xml:space="preserve">  </v>
      </c>
      <c r="S1792" s="1563" t="str">
        <f>IFERROR((VLOOKUP(C1792,BSP,4,FALSE)),"  ")</f>
        <v xml:space="preserve">  </v>
      </c>
      <c r="T1792" s="1363"/>
      <c r="U1792" s="1391"/>
      <c r="V1792" s="1363"/>
      <c r="W1792" s="1391"/>
      <c r="X1792" s="1363"/>
      <c r="Y1792" s="1391"/>
      <c r="Z1792" s="1363"/>
      <c r="AA1792" s="1391"/>
      <c r="AB1792" s="1731"/>
      <c r="AC1792" s="1367"/>
      <c r="AD1792" s="1666"/>
      <c r="AE1792" s="1590"/>
      <c r="AF1792" s="1666"/>
      <c r="AG1792" s="1590"/>
      <c r="AH1792" s="1625" t="str">
        <f t="shared" si="600"/>
        <v>PAI-3A</v>
      </c>
      <c r="AI1792" s="1675">
        <f t="shared" si="609"/>
        <v>6450000</v>
      </c>
      <c r="AJ1792" s="1675">
        <f t="shared" si="610"/>
        <v>13950000</v>
      </c>
      <c r="AK1792" s="1520">
        <f t="shared" si="615"/>
        <v>7500000</v>
      </c>
      <c r="AL1792" s="2210" t="str">
        <f t="shared" si="616"/>
        <v>Cek</v>
      </c>
      <c r="AM1792" s="1666"/>
      <c r="AN1792" s="1590"/>
      <c r="AO1792"/>
      <c r="AP1792"/>
      <c r="AQ1792" s="1128"/>
      <c r="AR1792" s="1173"/>
      <c r="AT1792" s="1173"/>
      <c r="AV1792" s="1173"/>
      <c r="AX1792" s="1173"/>
      <c r="AY1792" s="1176"/>
      <c r="AZ1792" s="1173"/>
    </row>
    <row r="1793" spans="1:52" s="2" customFormat="1" x14ac:dyDescent="0.25">
      <c r="A1793" s="694">
        <v>1650</v>
      </c>
      <c r="B1793" s="706">
        <v>15</v>
      </c>
      <c r="C1793" s="716">
        <v>849319019</v>
      </c>
      <c r="D1793" s="701" t="s">
        <v>2294</v>
      </c>
      <c r="E1793" s="264" t="s">
        <v>2074</v>
      </c>
      <c r="F1793" s="175">
        <v>2019</v>
      </c>
      <c r="G1793" s="1758" t="s">
        <v>28</v>
      </c>
      <c r="H1793" s="727" t="str">
        <f t="shared" si="607"/>
        <v xml:space="preserve">   </v>
      </c>
      <c r="I1793" s="727" t="str">
        <f t="shared" si="608"/>
        <v xml:space="preserve">   </v>
      </c>
      <c r="J1793" s="1359">
        <v>2700000</v>
      </c>
      <c r="K1793" s="1523">
        <v>43689.597858796304</v>
      </c>
      <c r="L1793" s="1363">
        <v>3750000</v>
      </c>
      <c r="M1793" s="1523">
        <v>43689.597858796304</v>
      </c>
      <c r="N1793" s="1731">
        <v>0</v>
      </c>
      <c r="O1793" s="1367"/>
      <c r="P1793" s="1731">
        <v>0</v>
      </c>
      <c r="Q1793" s="1367"/>
      <c r="R1793" s="1363" t="str">
        <f>IFERROR(VLOOKUP(C1793,BSP,3,FALSE),"  ")</f>
        <v xml:space="preserve">  </v>
      </c>
      <c r="S1793" s="1563" t="str">
        <f>IFERROR((VLOOKUP(C1793,BSP,4,FALSE)),"  ")</f>
        <v xml:space="preserve">  </v>
      </c>
      <c r="T1793" s="1363"/>
      <c r="U1793" s="1391"/>
      <c r="V1793" s="1363"/>
      <c r="W1793" s="1391"/>
      <c r="X1793" s="1363"/>
      <c r="Y1793" s="1391"/>
      <c r="Z1793" s="1363"/>
      <c r="AA1793" s="1391"/>
      <c r="AB1793" s="1731"/>
      <c r="AC1793" s="1367"/>
      <c r="AD1793" s="1666"/>
      <c r="AE1793" s="1590"/>
      <c r="AF1793" s="1666"/>
      <c r="AG1793" s="1590"/>
      <c r="AH1793" s="1626" t="str">
        <f t="shared" si="600"/>
        <v>PAI-3A</v>
      </c>
      <c r="AI1793" s="1675">
        <f t="shared" si="609"/>
        <v>6450000</v>
      </c>
      <c r="AJ1793" s="1675">
        <f t="shared" si="610"/>
        <v>13950000</v>
      </c>
      <c r="AK1793" s="1520">
        <f t="shared" si="615"/>
        <v>7500000</v>
      </c>
      <c r="AL1793" s="2210" t="str">
        <f t="shared" si="616"/>
        <v>Cek</v>
      </c>
      <c r="AM1793" s="1666"/>
      <c r="AN1793" s="1590"/>
      <c r="AO1793"/>
      <c r="AP1793"/>
      <c r="AQ1793" s="1128"/>
      <c r="AR1793" s="1173"/>
      <c r="AT1793" s="1173"/>
      <c r="AV1793" s="1173"/>
      <c r="AX1793" s="1173"/>
      <c r="AY1793" s="1176"/>
      <c r="AZ1793" s="1173"/>
    </row>
    <row r="1794" spans="1:52" s="2" customFormat="1" x14ac:dyDescent="0.25">
      <c r="A1794" s="694">
        <v>1651</v>
      </c>
      <c r="B1794" s="709">
        <v>16</v>
      </c>
      <c r="C1794" s="716">
        <v>849319017</v>
      </c>
      <c r="D1794" s="701" t="s">
        <v>2295</v>
      </c>
      <c r="E1794" s="264" t="s">
        <v>2074</v>
      </c>
      <c r="F1794" s="175">
        <v>2019</v>
      </c>
      <c r="G1794" s="581" t="s">
        <v>1833</v>
      </c>
      <c r="H1794" s="215" t="str">
        <f t="shared" si="607"/>
        <v xml:space="preserve">   </v>
      </c>
      <c r="I1794" s="215" t="str">
        <f t="shared" si="608"/>
        <v xml:space="preserve">   </v>
      </c>
      <c r="J1794" s="1359">
        <v>2700000</v>
      </c>
      <c r="K1794" s="1523">
        <v>43684.535000000003</v>
      </c>
      <c r="L1794" s="1363">
        <v>3750000</v>
      </c>
      <c r="M1794" s="1523">
        <v>43684.535000000003</v>
      </c>
      <c r="N1794" s="1731">
        <v>0</v>
      </c>
      <c r="O1794" s="1367"/>
      <c r="P1794" s="1186" t="s">
        <v>1078</v>
      </c>
      <c r="Q1794" s="1386">
        <v>44071</v>
      </c>
      <c r="R1794" s="1363" t="str">
        <f>IFERROR(VLOOKUP(C1794,BSP,3,FALSE),"  ")</f>
        <v xml:space="preserve">  </v>
      </c>
      <c r="S1794" s="1563" t="str">
        <f>IFERROR((VLOOKUP(C1794,BSP,4,FALSE)),"  ")</f>
        <v xml:space="preserve">  </v>
      </c>
      <c r="T1794" s="1363"/>
      <c r="U1794" s="1391"/>
      <c r="V1794" s="1363"/>
      <c r="W1794" s="1391"/>
      <c r="X1794" s="1363"/>
      <c r="Y1794" s="1391"/>
      <c r="Z1794" s="1363"/>
      <c r="AA1794" s="1391"/>
      <c r="AB1794" s="1731"/>
      <c r="AC1794" s="1367"/>
      <c r="AD1794" s="1666"/>
      <c r="AE1794" s="1590"/>
      <c r="AF1794" s="1666"/>
      <c r="AG1794" s="1590"/>
      <c r="AH1794" s="1625" t="str">
        <f t="shared" si="600"/>
        <v>PAI-3A</v>
      </c>
      <c r="AI1794" s="1675">
        <f t="shared" si="609"/>
        <v>6450000</v>
      </c>
      <c r="AJ1794" s="1675">
        <f t="shared" si="610"/>
        <v>10200000</v>
      </c>
      <c r="AK1794" s="1520">
        <f t="shared" si="615"/>
        <v>3750000</v>
      </c>
      <c r="AL1794" s="2210" t="str">
        <f t="shared" si="616"/>
        <v>Cek</v>
      </c>
      <c r="AM1794" s="1666"/>
      <c r="AN1794" s="1590"/>
      <c r="AO1794"/>
      <c r="AP1794"/>
      <c r="AQ1794" s="1128"/>
      <c r="AR1794" s="1173"/>
      <c r="AT1794" s="1173"/>
      <c r="AV1794" s="1173"/>
      <c r="AX1794" s="1173"/>
      <c r="AY1794" s="1176"/>
      <c r="AZ1794" s="1173"/>
    </row>
    <row r="1795" spans="1:52" s="2" customFormat="1" x14ac:dyDescent="0.25">
      <c r="A1795" s="694">
        <v>1652</v>
      </c>
      <c r="B1795" s="706">
        <v>17</v>
      </c>
      <c r="C1795" s="716">
        <v>849319001</v>
      </c>
      <c r="D1795" s="701" t="s">
        <v>2296</v>
      </c>
      <c r="E1795" s="264" t="s">
        <v>2074</v>
      </c>
      <c r="F1795" s="175">
        <v>2019</v>
      </c>
      <c r="G1795" s="360" t="s">
        <v>1483</v>
      </c>
      <c r="H1795" s="215" t="str">
        <f t="shared" si="607"/>
        <v xml:space="preserve">   </v>
      </c>
      <c r="I1795" s="215" t="str">
        <f t="shared" si="608"/>
        <v xml:space="preserve">   </v>
      </c>
      <c r="J1795" s="1359">
        <v>2700000</v>
      </c>
      <c r="K1795" s="1523">
        <v>43679.545243055603</v>
      </c>
      <c r="L1795" s="1363">
        <v>3750000</v>
      </c>
      <c r="M1795" s="1523">
        <v>43679.545243055603</v>
      </c>
      <c r="N1795" s="1731">
        <v>3750000</v>
      </c>
      <c r="O1795" s="1367">
        <v>43860.598263888904</v>
      </c>
      <c r="P1795" s="1731">
        <v>3750000</v>
      </c>
      <c r="Q1795" s="1367">
        <v>44055.612199074101</v>
      </c>
      <c r="R1795" s="1363"/>
      <c r="S1795" s="1563"/>
      <c r="T1795" s="1363"/>
      <c r="U1795" s="1391"/>
      <c r="V1795" s="1363"/>
      <c r="W1795" s="1391"/>
      <c r="X1795" s="1363"/>
      <c r="Y1795" s="1391"/>
      <c r="Z1795" s="1363"/>
      <c r="AA1795" s="1391"/>
      <c r="AB1795" s="1731"/>
      <c r="AC1795" s="1367"/>
      <c r="AD1795" s="1666"/>
      <c r="AE1795" s="1590"/>
      <c r="AF1795" s="1666"/>
      <c r="AG1795" s="1590"/>
      <c r="AH1795" s="1625" t="str">
        <f t="shared" si="600"/>
        <v>PAI-3A</v>
      </c>
      <c r="AI1795" s="1675">
        <f t="shared" si="609"/>
        <v>13950000</v>
      </c>
      <c r="AJ1795" s="1675">
        <f t="shared" si="610"/>
        <v>13950000</v>
      </c>
      <c r="AK1795" s="1520">
        <f t="shared" si="615"/>
        <v>0</v>
      </c>
      <c r="AL1795" s="2210" t="str">
        <f t="shared" si="616"/>
        <v>Lunas</v>
      </c>
      <c r="AM1795" s="1666"/>
      <c r="AN1795" s="1590"/>
      <c r="AO1795"/>
      <c r="AP1795"/>
      <c r="AQ1795" s="1128"/>
      <c r="AR1795" s="1173"/>
      <c r="AT1795" s="1173"/>
      <c r="AV1795" s="1173"/>
      <c r="AX1795" s="1173"/>
      <c r="AY1795" s="1176"/>
      <c r="AZ1795" s="1173"/>
    </row>
    <row r="1796" spans="1:52" s="2" customFormat="1" x14ac:dyDescent="0.25">
      <c r="A1796" s="694">
        <v>1653</v>
      </c>
      <c r="B1796" s="709">
        <v>18</v>
      </c>
      <c r="C1796" s="716">
        <v>849319053</v>
      </c>
      <c r="D1796" s="701" t="s">
        <v>2297</v>
      </c>
      <c r="E1796" s="264" t="s">
        <v>2089</v>
      </c>
      <c r="F1796" s="175">
        <v>2019</v>
      </c>
      <c r="G1796" s="360" t="s">
        <v>1483</v>
      </c>
      <c r="H1796" s="215" t="str">
        <f t="shared" si="607"/>
        <v xml:space="preserve">   </v>
      </c>
      <c r="I1796" s="215" t="str">
        <f t="shared" si="608"/>
        <v xml:space="preserve">   </v>
      </c>
      <c r="J1796" s="1537">
        <v>350000</v>
      </c>
      <c r="K1796" s="1523" t="s">
        <v>2298</v>
      </c>
      <c r="L1796" s="2020">
        <v>3500000</v>
      </c>
      <c r="M1796" s="1362" t="s">
        <v>475</v>
      </c>
      <c r="N1796" s="2020"/>
      <c r="O1796" s="1362" t="s">
        <v>475</v>
      </c>
      <c r="P1796" s="2020"/>
      <c r="Q1796" s="1362" t="s">
        <v>475</v>
      </c>
      <c r="R1796" s="2254"/>
      <c r="S1796" s="2255" t="s">
        <v>475</v>
      </c>
      <c r="T1796" s="1363"/>
      <c r="U1796" s="1391"/>
      <c r="V1796" s="1363"/>
      <c r="W1796" s="1391"/>
      <c r="X1796" s="1363"/>
      <c r="Y1796" s="1391"/>
      <c r="Z1796" s="1363"/>
      <c r="AA1796" s="1391"/>
      <c r="AB1796" s="1731"/>
      <c r="AC1796" s="1367"/>
      <c r="AD1796" s="1666"/>
      <c r="AE1796" s="1590"/>
      <c r="AF1796" s="1666"/>
      <c r="AG1796" s="1590"/>
      <c r="AH1796" s="1625" t="str">
        <f t="shared" si="600"/>
        <v>PAI-3B</v>
      </c>
      <c r="AI1796" s="1675">
        <f t="shared" si="609"/>
        <v>3850000</v>
      </c>
      <c r="AJ1796" s="1675">
        <f t="shared" si="610"/>
        <v>6450000</v>
      </c>
      <c r="AK1796" s="1520">
        <f t="shared" si="615"/>
        <v>2600000</v>
      </c>
      <c r="AL1796" s="2210" t="str">
        <f t="shared" si="616"/>
        <v>Cek</v>
      </c>
      <c r="AM1796" s="1666"/>
      <c r="AN1796" s="1590"/>
      <c r="AO1796"/>
      <c r="AP1796"/>
      <c r="AQ1796" s="1128"/>
      <c r="AR1796" s="1173"/>
      <c r="AT1796" s="1173"/>
      <c r="AV1796" s="1173"/>
      <c r="AX1796" s="1173"/>
      <c r="AY1796" s="1176"/>
      <c r="AZ1796" s="1173"/>
    </row>
    <row r="1797" spans="1:52" s="2" customFormat="1" x14ac:dyDescent="0.25">
      <c r="A1797" s="694">
        <v>1654</v>
      </c>
      <c r="B1797" s="706">
        <v>19</v>
      </c>
      <c r="C1797" s="716">
        <v>849319054</v>
      </c>
      <c r="D1797" s="701" t="s">
        <v>2299</v>
      </c>
      <c r="E1797" s="264" t="s">
        <v>2089</v>
      </c>
      <c r="F1797" s="175">
        <v>2019</v>
      </c>
      <c r="G1797" s="360" t="s">
        <v>1483</v>
      </c>
      <c r="H1797" s="215" t="str">
        <f t="shared" si="607"/>
        <v xml:space="preserve">   </v>
      </c>
      <c r="I1797" s="215" t="str">
        <f t="shared" si="608"/>
        <v xml:space="preserve">   </v>
      </c>
      <c r="J1797" s="1537">
        <v>350000</v>
      </c>
      <c r="K1797" s="1523" t="s">
        <v>2298</v>
      </c>
      <c r="L1797" s="2020">
        <v>3500000</v>
      </c>
      <c r="M1797" s="1362" t="s">
        <v>475</v>
      </c>
      <c r="N1797" s="2020"/>
      <c r="O1797" s="1362" t="s">
        <v>475</v>
      </c>
      <c r="P1797" s="2020"/>
      <c r="Q1797" s="1362" t="s">
        <v>475</v>
      </c>
      <c r="R1797" s="2254"/>
      <c r="S1797" s="2255" t="s">
        <v>475</v>
      </c>
      <c r="T1797" s="1363"/>
      <c r="U1797" s="1391"/>
      <c r="V1797" s="1363"/>
      <c r="W1797" s="1391"/>
      <c r="X1797" s="1363"/>
      <c r="Y1797" s="1391"/>
      <c r="Z1797" s="1363"/>
      <c r="AA1797" s="1391"/>
      <c r="AB1797" s="1731"/>
      <c r="AC1797" s="1367"/>
      <c r="AD1797" s="1666"/>
      <c r="AE1797" s="1590"/>
      <c r="AF1797" s="1666"/>
      <c r="AG1797" s="1590"/>
      <c r="AH1797" s="1625" t="str">
        <f t="shared" si="600"/>
        <v>PAI-3B</v>
      </c>
      <c r="AI1797" s="1675">
        <f t="shared" si="609"/>
        <v>3850000</v>
      </c>
      <c r="AJ1797" s="1675">
        <f t="shared" si="610"/>
        <v>6450000</v>
      </c>
      <c r="AK1797" s="1520">
        <f t="shared" si="615"/>
        <v>2600000</v>
      </c>
      <c r="AL1797" s="2210" t="str">
        <f t="shared" si="616"/>
        <v>Cek</v>
      </c>
      <c r="AM1797" s="1666"/>
      <c r="AN1797" s="1590"/>
      <c r="AO1797"/>
      <c r="AP1797"/>
      <c r="AQ1797" s="1128"/>
      <c r="AR1797" s="1173"/>
      <c r="AT1797" s="1173"/>
      <c r="AV1797" s="1173"/>
      <c r="AX1797" s="1173"/>
      <c r="AY1797" s="1176"/>
      <c r="AZ1797" s="1173"/>
    </row>
    <row r="1798" spans="1:52" s="2" customFormat="1" x14ac:dyDescent="0.25">
      <c r="A1798" s="694">
        <v>1655</v>
      </c>
      <c r="B1798" s="709">
        <v>20</v>
      </c>
      <c r="C1798" s="716">
        <v>849319055</v>
      </c>
      <c r="D1798" s="701" t="s">
        <v>2300</v>
      </c>
      <c r="E1798" s="264" t="s">
        <v>2089</v>
      </c>
      <c r="F1798" s="175">
        <v>2019</v>
      </c>
      <c r="G1798" s="360" t="s">
        <v>1483</v>
      </c>
      <c r="H1798" s="727" t="str">
        <f t="shared" si="607"/>
        <v xml:space="preserve">   </v>
      </c>
      <c r="I1798" s="727" t="str">
        <f t="shared" si="608"/>
        <v xml:space="preserve">   </v>
      </c>
      <c r="J1798" s="1537">
        <v>350000</v>
      </c>
      <c r="K1798" s="1523" t="s">
        <v>2298</v>
      </c>
      <c r="L1798" s="2020">
        <v>3500000</v>
      </c>
      <c r="M1798" s="1362" t="s">
        <v>475</v>
      </c>
      <c r="N1798" s="2020"/>
      <c r="O1798" s="1362" t="s">
        <v>475</v>
      </c>
      <c r="P1798" s="2020"/>
      <c r="Q1798" s="1362" t="s">
        <v>475</v>
      </c>
      <c r="R1798" s="2254"/>
      <c r="S1798" s="2255" t="s">
        <v>475</v>
      </c>
      <c r="T1798" s="1363"/>
      <c r="U1798" s="1391"/>
      <c r="V1798" s="1363"/>
      <c r="W1798" s="1391"/>
      <c r="X1798" s="1363"/>
      <c r="Y1798" s="1391"/>
      <c r="Z1798" s="1363"/>
      <c r="AA1798" s="1391"/>
      <c r="AB1798" s="1731"/>
      <c r="AC1798" s="1367"/>
      <c r="AD1798" s="1666"/>
      <c r="AE1798" s="1590"/>
      <c r="AF1798" s="1666"/>
      <c r="AG1798" s="1590"/>
      <c r="AH1798" s="1626" t="str">
        <f t="shared" si="600"/>
        <v>PAI-3B</v>
      </c>
      <c r="AI1798" s="1675">
        <f t="shared" si="609"/>
        <v>3850000</v>
      </c>
      <c r="AJ1798" s="1675">
        <f t="shared" si="610"/>
        <v>6450000</v>
      </c>
      <c r="AK1798" s="1520">
        <f t="shared" si="615"/>
        <v>2600000</v>
      </c>
      <c r="AL1798" s="2210" t="str">
        <f t="shared" si="616"/>
        <v>Cek</v>
      </c>
      <c r="AM1798" s="1666"/>
      <c r="AN1798" s="1590"/>
      <c r="AO1798"/>
      <c r="AP1798"/>
      <c r="AQ1798" s="1128"/>
      <c r="AR1798" s="1173"/>
      <c r="AT1798" s="1173"/>
      <c r="AV1798" s="1173"/>
      <c r="AX1798" s="1173"/>
      <c r="AY1798" s="1176"/>
      <c r="AZ1798" s="1173"/>
    </row>
    <row r="1799" spans="1:52" s="2" customFormat="1" x14ac:dyDescent="0.25">
      <c r="A1799" s="694">
        <v>1656</v>
      </c>
      <c r="B1799" s="706">
        <v>21</v>
      </c>
      <c r="C1799" s="716">
        <v>849319056</v>
      </c>
      <c r="D1799" s="701" t="s">
        <v>2301</v>
      </c>
      <c r="E1799" s="264" t="s">
        <v>2089</v>
      </c>
      <c r="F1799" s="175">
        <v>2019</v>
      </c>
      <c r="G1799" s="360" t="s">
        <v>1483</v>
      </c>
      <c r="H1799" s="215" t="str">
        <f t="shared" si="607"/>
        <v xml:space="preserve">   </v>
      </c>
      <c r="I1799" s="215" t="str">
        <f t="shared" si="608"/>
        <v xml:space="preserve">   </v>
      </c>
      <c r="J1799" s="1537">
        <v>350000</v>
      </c>
      <c r="K1799" s="1523" t="s">
        <v>2298</v>
      </c>
      <c r="L1799" s="2020">
        <v>3500000</v>
      </c>
      <c r="M1799" s="1362" t="s">
        <v>475</v>
      </c>
      <c r="N1799" s="2020"/>
      <c r="O1799" s="1362" t="s">
        <v>475</v>
      </c>
      <c r="P1799" s="2020"/>
      <c r="Q1799" s="1362" t="s">
        <v>475</v>
      </c>
      <c r="R1799" s="2254"/>
      <c r="S1799" s="2255" t="s">
        <v>475</v>
      </c>
      <c r="T1799" s="1363"/>
      <c r="U1799" s="1391"/>
      <c r="V1799" s="1363"/>
      <c r="W1799" s="1391"/>
      <c r="X1799" s="1363"/>
      <c r="Y1799" s="1391"/>
      <c r="Z1799" s="1363"/>
      <c r="AA1799" s="1391"/>
      <c r="AB1799" s="1731"/>
      <c r="AC1799" s="1367"/>
      <c r="AD1799" s="1666"/>
      <c r="AE1799" s="1590"/>
      <c r="AF1799" s="1666"/>
      <c r="AG1799" s="1590"/>
      <c r="AH1799" s="1625" t="str">
        <f t="shared" si="600"/>
        <v>PAI-3B</v>
      </c>
      <c r="AI1799" s="1675">
        <f t="shared" si="609"/>
        <v>3850000</v>
      </c>
      <c r="AJ1799" s="1675">
        <f t="shared" si="610"/>
        <v>6450000</v>
      </c>
      <c r="AK1799" s="1520">
        <f t="shared" si="615"/>
        <v>2600000</v>
      </c>
      <c r="AL1799" s="2210" t="str">
        <f t="shared" si="616"/>
        <v>Cek</v>
      </c>
      <c r="AM1799" s="1666"/>
      <c r="AN1799" s="1590"/>
      <c r="AO1799"/>
      <c r="AP1799"/>
      <c r="AQ1799" s="1128"/>
      <c r="AR1799" s="1173"/>
      <c r="AT1799" s="1173"/>
      <c r="AV1799" s="1173"/>
      <c r="AX1799" s="1173"/>
      <c r="AY1799" s="1176"/>
      <c r="AZ1799" s="1173"/>
    </row>
    <row r="1800" spans="1:52" s="2" customFormat="1" x14ac:dyDescent="0.25">
      <c r="A1800" s="694">
        <v>1657</v>
      </c>
      <c r="B1800" s="709">
        <v>22</v>
      </c>
      <c r="C1800" s="716">
        <v>849319057</v>
      </c>
      <c r="D1800" s="701" t="s">
        <v>2302</v>
      </c>
      <c r="E1800" s="264" t="s">
        <v>2089</v>
      </c>
      <c r="F1800" s="175">
        <v>2019</v>
      </c>
      <c r="G1800" s="360" t="s">
        <v>1483</v>
      </c>
      <c r="H1800" s="215" t="str">
        <f t="shared" si="607"/>
        <v xml:space="preserve">   </v>
      </c>
      <c r="I1800" s="215" t="str">
        <f t="shared" si="608"/>
        <v xml:space="preserve">   </v>
      </c>
      <c r="J1800" s="1537">
        <v>350000</v>
      </c>
      <c r="K1800" s="1523" t="s">
        <v>2298</v>
      </c>
      <c r="L1800" s="2020">
        <v>3500000</v>
      </c>
      <c r="M1800" s="1362" t="s">
        <v>475</v>
      </c>
      <c r="N1800" s="2020"/>
      <c r="O1800" s="1362" t="s">
        <v>475</v>
      </c>
      <c r="P1800" s="2020"/>
      <c r="Q1800" s="1362" t="s">
        <v>475</v>
      </c>
      <c r="R1800" s="2254"/>
      <c r="S1800" s="2255" t="s">
        <v>475</v>
      </c>
      <c r="T1800" s="1363"/>
      <c r="U1800" s="1391"/>
      <c r="V1800" s="1363"/>
      <c r="W1800" s="1391"/>
      <c r="X1800" s="1363"/>
      <c r="Y1800" s="1391"/>
      <c r="Z1800" s="1363"/>
      <c r="AA1800" s="1391"/>
      <c r="AB1800" s="1731"/>
      <c r="AC1800" s="1367"/>
      <c r="AD1800" s="1666"/>
      <c r="AE1800" s="1590"/>
      <c r="AF1800" s="1666"/>
      <c r="AG1800" s="1590"/>
      <c r="AH1800" s="1625" t="str">
        <f t="shared" si="600"/>
        <v>PAI-3B</v>
      </c>
      <c r="AI1800" s="1675">
        <f t="shared" si="609"/>
        <v>3850000</v>
      </c>
      <c r="AJ1800" s="1675">
        <f t="shared" si="610"/>
        <v>6450000</v>
      </c>
      <c r="AK1800" s="1520">
        <f t="shared" si="615"/>
        <v>2600000</v>
      </c>
      <c r="AL1800" s="2210" t="str">
        <f t="shared" si="616"/>
        <v>Cek</v>
      </c>
      <c r="AM1800" s="1666"/>
      <c r="AN1800" s="1590"/>
      <c r="AO1800"/>
      <c r="AP1800"/>
      <c r="AQ1800" s="1128"/>
      <c r="AR1800" s="1173"/>
      <c r="AT1800" s="1173"/>
      <c r="AV1800" s="1173"/>
      <c r="AX1800" s="1173"/>
      <c r="AY1800" s="1176"/>
      <c r="AZ1800" s="1173"/>
    </row>
    <row r="1801" spans="1:52" s="2" customFormat="1" x14ac:dyDescent="0.25">
      <c r="A1801" s="694">
        <v>1658</v>
      </c>
      <c r="B1801" s="706">
        <v>23</v>
      </c>
      <c r="C1801" s="716">
        <v>849319058</v>
      </c>
      <c r="D1801" s="701" t="s">
        <v>2303</v>
      </c>
      <c r="E1801" s="264" t="s">
        <v>2089</v>
      </c>
      <c r="F1801" s="175">
        <v>2019</v>
      </c>
      <c r="G1801" s="360" t="s">
        <v>1483</v>
      </c>
      <c r="H1801" s="215" t="str">
        <f t="shared" si="607"/>
        <v xml:space="preserve">   </v>
      </c>
      <c r="I1801" s="215" t="str">
        <f t="shared" si="608"/>
        <v xml:space="preserve">   </v>
      </c>
      <c r="J1801" s="1537">
        <v>350000</v>
      </c>
      <c r="K1801" s="1523" t="s">
        <v>2298</v>
      </c>
      <c r="L1801" s="2020">
        <v>3500000</v>
      </c>
      <c r="M1801" s="1362" t="s">
        <v>475</v>
      </c>
      <c r="N1801" s="2020"/>
      <c r="O1801" s="1362" t="s">
        <v>475</v>
      </c>
      <c r="P1801" s="2020"/>
      <c r="Q1801" s="1362" t="s">
        <v>475</v>
      </c>
      <c r="R1801" s="2254"/>
      <c r="S1801" s="2255" t="s">
        <v>475</v>
      </c>
      <c r="T1801" s="1363"/>
      <c r="U1801" s="1391"/>
      <c r="V1801" s="1363"/>
      <c r="W1801" s="1391"/>
      <c r="X1801" s="1363"/>
      <c r="Y1801" s="1391"/>
      <c r="Z1801" s="1363"/>
      <c r="AA1801" s="1391"/>
      <c r="AB1801" s="1731"/>
      <c r="AC1801" s="1367"/>
      <c r="AD1801" s="1666"/>
      <c r="AE1801" s="1590"/>
      <c r="AF1801" s="1666"/>
      <c r="AG1801" s="1590"/>
      <c r="AH1801" s="1625" t="str">
        <f t="shared" si="600"/>
        <v>PAI-3B</v>
      </c>
      <c r="AI1801" s="1675">
        <f t="shared" si="609"/>
        <v>3850000</v>
      </c>
      <c r="AJ1801" s="1675">
        <f t="shared" si="610"/>
        <v>6450000</v>
      </c>
      <c r="AK1801" s="1520">
        <f t="shared" si="615"/>
        <v>2600000</v>
      </c>
      <c r="AL1801" s="2210" t="str">
        <f t="shared" si="616"/>
        <v>Cek</v>
      </c>
      <c r="AM1801" s="1666"/>
      <c r="AN1801" s="1590"/>
      <c r="AO1801"/>
      <c r="AP1801"/>
      <c r="AQ1801" s="1128"/>
      <c r="AR1801" s="1173"/>
      <c r="AT1801" s="1173"/>
      <c r="AV1801" s="1173"/>
      <c r="AX1801" s="1173"/>
      <c r="AY1801" s="1176"/>
      <c r="AZ1801" s="1173"/>
    </row>
    <row r="1802" spans="1:52" s="2" customFormat="1" x14ac:dyDescent="0.25">
      <c r="A1802" s="694">
        <v>1659</v>
      </c>
      <c r="B1802" s="709">
        <v>24</v>
      </c>
      <c r="C1802" s="716">
        <v>849319059</v>
      </c>
      <c r="D1802" s="701" t="s">
        <v>2304</v>
      </c>
      <c r="E1802" s="264" t="s">
        <v>2089</v>
      </c>
      <c r="F1802" s="175">
        <v>2019</v>
      </c>
      <c r="G1802" s="360" t="s">
        <v>1483</v>
      </c>
      <c r="H1802" s="215" t="str">
        <f t="shared" si="607"/>
        <v xml:space="preserve">   </v>
      </c>
      <c r="I1802" s="215" t="str">
        <f t="shared" si="608"/>
        <v xml:space="preserve">   </v>
      </c>
      <c r="J1802" s="1537">
        <v>350000</v>
      </c>
      <c r="K1802" s="1523" t="s">
        <v>2298</v>
      </c>
      <c r="L1802" s="2020">
        <v>3500000</v>
      </c>
      <c r="M1802" s="1362" t="s">
        <v>475</v>
      </c>
      <c r="N1802" s="2020"/>
      <c r="O1802" s="1362" t="s">
        <v>475</v>
      </c>
      <c r="P1802" s="2020"/>
      <c r="Q1802" s="1362" t="s">
        <v>475</v>
      </c>
      <c r="R1802" s="2254"/>
      <c r="S1802" s="2255" t="s">
        <v>475</v>
      </c>
      <c r="T1802" s="1363"/>
      <c r="U1802" s="1391"/>
      <c r="V1802" s="1363"/>
      <c r="W1802" s="1391"/>
      <c r="X1802" s="1363"/>
      <c r="Y1802" s="1391"/>
      <c r="Z1802" s="1363"/>
      <c r="AA1802" s="1391"/>
      <c r="AB1802" s="1731"/>
      <c r="AC1802" s="1367"/>
      <c r="AD1802" s="1666"/>
      <c r="AE1802" s="1590"/>
      <c r="AF1802" s="1666"/>
      <c r="AG1802" s="1590"/>
      <c r="AH1802" s="1625" t="str">
        <f t="shared" si="600"/>
        <v>PAI-3B</v>
      </c>
      <c r="AI1802" s="1675">
        <f t="shared" si="609"/>
        <v>3850000</v>
      </c>
      <c r="AJ1802" s="1675">
        <f t="shared" si="610"/>
        <v>6450000</v>
      </c>
      <c r="AK1802" s="1520">
        <f t="shared" si="615"/>
        <v>2600000</v>
      </c>
      <c r="AL1802" s="2210" t="str">
        <f t="shared" si="616"/>
        <v>Cek</v>
      </c>
      <c r="AM1802" s="1666"/>
      <c r="AN1802" s="1590"/>
      <c r="AO1802"/>
      <c r="AP1802"/>
      <c r="AQ1802" s="1128"/>
      <c r="AR1802" s="1173"/>
      <c r="AT1802" s="1173"/>
      <c r="AV1802" s="1173"/>
      <c r="AX1802" s="1173"/>
      <c r="AY1802" s="1176"/>
      <c r="AZ1802" s="1173"/>
    </row>
    <row r="1803" spans="1:52" s="2" customFormat="1" x14ac:dyDescent="0.25">
      <c r="A1803" s="694">
        <v>1660</v>
      </c>
      <c r="B1803" s="706">
        <v>25</v>
      </c>
      <c r="C1803" s="716">
        <v>849319060</v>
      </c>
      <c r="D1803" s="701" t="s">
        <v>2305</v>
      </c>
      <c r="E1803" s="264" t="s">
        <v>2089</v>
      </c>
      <c r="F1803" s="175">
        <v>2019</v>
      </c>
      <c r="G1803" s="360" t="s">
        <v>1483</v>
      </c>
      <c r="H1803" s="727" t="str">
        <f t="shared" si="607"/>
        <v xml:space="preserve">   </v>
      </c>
      <c r="I1803" s="727" t="str">
        <f t="shared" si="608"/>
        <v xml:space="preserve">   </v>
      </c>
      <c r="J1803" s="1537">
        <v>350000</v>
      </c>
      <c r="K1803" s="1523" t="s">
        <v>2298</v>
      </c>
      <c r="L1803" s="2020">
        <v>3500000</v>
      </c>
      <c r="M1803" s="1362" t="s">
        <v>475</v>
      </c>
      <c r="N1803" s="2020"/>
      <c r="O1803" s="1362" t="s">
        <v>475</v>
      </c>
      <c r="P1803" s="2020"/>
      <c r="Q1803" s="1362" t="s">
        <v>475</v>
      </c>
      <c r="R1803" s="2254"/>
      <c r="S1803" s="2255" t="s">
        <v>475</v>
      </c>
      <c r="T1803" s="1363"/>
      <c r="U1803" s="1391"/>
      <c r="V1803" s="1363"/>
      <c r="W1803" s="1391"/>
      <c r="X1803" s="1363"/>
      <c r="Y1803" s="1391"/>
      <c r="Z1803" s="1363"/>
      <c r="AA1803" s="1391"/>
      <c r="AB1803" s="1731"/>
      <c r="AC1803" s="1367"/>
      <c r="AD1803" s="1666"/>
      <c r="AE1803" s="1590"/>
      <c r="AF1803" s="1666"/>
      <c r="AG1803" s="1590"/>
      <c r="AH1803" s="1626" t="str">
        <f t="shared" si="600"/>
        <v>PAI-3B</v>
      </c>
      <c r="AI1803" s="1675">
        <f t="shared" si="609"/>
        <v>3850000</v>
      </c>
      <c r="AJ1803" s="1675">
        <f t="shared" si="610"/>
        <v>6450000</v>
      </c>
      <c r="AK1803" s="1520">
        <f t="shared" si="615"/>
        <v>2600000</v>
      </c>
      <c r="AL1803" s="2210" t="str">
        <f t="shared" si="616"/>
        <v>Cek</v>
      </c>
      <c r="AM1803" s="1666"/>
      <c r="AN1803" s="1590"/>
      <c r="AO1803"/>
      <c r="AP1803"/>
      <c r="AQ1803" s="1128"/>
      <c r="AR1803" s="1173"/>
      <c r="AT1803" s="1173"/>
      <c r="AV1803" s="1173"/>
      <c r="AX1803" s="1173"/>
      <c r="AY1803" s="1176"/>
      <c r="AZ1803" s="1173"/>
    </row>
    <row r="1804" spans="1:52" s="2" customFormat="1" x14ac:dyDescent="0.25">
      <c r="A1804" s="694">
        <v>1661</v>
      </c>
      <c r="B1804" s="709">
        <v>26</v>
      </c>
      <c r="C1804" s="716">
        <v>849319061</v>
      </c>
      <c r="D1804" s="701" t="s">
        <v>2306</v>
      </c>
      <c r="E1804" s="264" t="s">
        <v>2089</v>
      </c>
      <c r="F1804" s="175">
        <v>2019</v>
      </c>
      <c r="G1804" s="360" t="s">
        <v>1483</v>
      </c>
      <c r="H1804" s="215" t="str">
        <f t="shared" si="607"/>
        <v xml:space="preserve">   </v>
      </c>
      <c r="I1804" s="215" t="str">
        <f t="shared" si="608"/>
        <v xml:space="preserve">   </v>
      </c>
      <c r="J1804" s="1537">
        <v>350000</v>
      </c>
      <c r="K1804" s="1523" t="s">
        <v>2298</v>
      </c>
      <c r="L1804" s="2020">
        <v>3500000</v>
      </c>
      <c r="M1804" s="1362" t="s">
        <v>475</v>
      </c>
      <c r="N1804" s="2020"/>
      <c r="O1804" s="1362" t="s">
        <v>475</v>
      </c>
      <c r="P1804" s="2020"/>
      <c r="Q1804" s="1362" t="s">
        <v>475</v>
      </c>
      <c r="R1804" s="2254"/>
      <c r="S1804" s="2255" t="s">
        <v>475</v>
      </c>
      <c r="T1804" s="1363"/>
      <c r="U1804" s="1391"/>
      <c r="V1804" s="1363"/>
      <c r="W1804" s="1391"/>
      <c r="X1804" s="1363"/>
      <c r="Y1804" s="1391"/>
      <c r="Z1804" s="1363"/>
      <c r="AA1804" s="1391"/>
      <c r="AB1804" s="1731"/>
      <c r="AC1804" s="1367"/>
      <c r="AD1804" s="1666"/>
      <c r="AE1804" s="1590"/>
      <c r="AF1804" s="1666"/>
      <c r="AG1804" s="1590"/>
      <c r="AH1804" s="1625" t="str">
        <f t="shared" si="600"/>
        <v>PAI-3B</v>
      </c>
      <c r="AI1804" s="1675">
        <f t="shared" si="609"/>
        <v>3850000</v>
      </c>
      <c r="AJ1804" s="1675">
        <f t="shared" si="610"/>
        <v>6450000</v>
      </c>
      <c r="AK1804" s="1520">
        <f t="shared" si="615"/>
        <v>2600000</v>
      </c>
      <c r="AL1804" s="2210" t="str">
        <f t="shared" si="616"/>
        <v>Cek</v>
      </c>
      <c r="AM1804" s="1666"/>
      <c r="AN1804" s="1590"/>
      <c r="AO1804"/>
      <c r="AP1804"/>
      <c r="AQ1804" s="1128"/>
      <c r="AR1804" s="1173"/>
      <c r="AT1804" s="1173"/>
      <c r="AV1804" s="1173"/>
      <c r="AX1804" s="1173"/>
      <c r="AY1804" s="1176"/>
      <c r="AZ1804" s="1173"/>
    </row>
    <row r="1805" spans="1:52" s="2" customFormat="1" x14ac:dyDescent="0.25">
      <c r="A1805" s="694">
        <v>1662</v>
      </c>
      <c r="B1805" s="706">
        <v>27</v>
      </c>
      <c r="C1805" s="716">
        <v>849319062</v>
      </c>
      <c r="D1805" s="701" t="s">
        <v>2307</v>
      </c>
      <c r="E1805" s="264" t="s">
        <v>2089</v>
      </c>
      <c r="F1805" s="175">
        <v>2019</v>
      </c>
      <c r="G1805" s="360" t="s">
        <v>1483</v>
      </c>
      <c r="H1805" s="215" t="str">
        <f t="shared" si="607"/>
        <v xml:space="preserve">   </v>
      </c>
      <c r="I1805" s="215" t="str">
        <f t="shared" si="608"/>
        <v xml:space="preserve">   </v>
      </c>
      <c r="J1805" s="1537">
        <v>350000</v>
      </c>
      <c r="K1805" s="1523" t="s">
        <v>2298</v>
      </c>
      <c r="L1805" s="2020">
        <v>3500000</v>
      </c>
      <c r="M1805" s="1362" t="s">
        <v>475</v>
      </c>
      <c r="N1805" s="2020"/>
      <c r="O1805" s="1362" t="s">
        <v>475</v>
      </c>
      <c r="P1805" s="2020"/>
      <c r="Q1805" s="1362" t="s">
        <v>475</v>
      </c>
      <c r="R1805" s="2254"/>
      <c r="S1805" s="2255" t="s">
        <v>475</v>
      </c>
      <c r="T1805" s="1363"/>
      <c r="U1805" s="1391"/>
      <c r="V1805" s="1363"/>
      <c r="W1805" s="1391"/>
      <c r="X1805" s="1363"/>
      <c r="Y1805" s="1391"/>
      <c r="Z1805" s="1363"/>
      <c r="AA1805" s="1391"/>
      <c r="AB1805" s="1731"/>
      <c r="AC1805" s="1367"/>
      <c r="AD1805" s="1666"/>
      <c r="AE1805" s="1590"/>
      <c r="AF1805" s="1666"/>
      <c r="AG1805" s="1590"/>
      <c r="AH1805" s="1625" t="str">
        <f t="shared" si="600"/>
        <v>PAI-3B</v>
      </c>
      <c r="AI1805" s="1675">
        <f t="shared" si="609"/>
        <v>3850000</v>
      </c>
      <c r="AJ1805" s="1675">
        <f t="shared" si="610"/>
        <v>6450000</v>
      </c>
      <c r="AK1805" s="1520">
        <f t="shared" si="615"/>
        <v>2600000</v>
      </c>
      <c r="AL1805" s="2210" t="str">
        <f t="shared" si="616"/>
        <v>Cek</v>
      </c>
      <c r="AM1805" s="1666"/>
      <c r="AN1805" s="1590"/>
      <c r="AO1805"/>
      <c r="AP1805"/>
      <c r="AQ1805" s="1128"/>
      <c r="AR1805" s="1173"/>
      <c r="AT1805" s="1173"/>
      <c r="AV1805" s="1173"/>
      <c r="AX1805" s="1173"/>
      <c r="AY1805" s="1176"/>
      <c r="AZ1805" s="1173"/>
    </row>
    <row r="1806" spans="1:52" s="2" customFormat="1" x14ac:dyDescent="0.25">
      <c r="A1806" s="694">
        <v>1663</v>
      </c>
      <c r="B1806" s="709">
        <v>28</v>
      </c>
      <c r="C1806" s="716">
        <v>849319063</v>
      </c>
      <c r="D1806" s="701" t="s">
        <v>2308</v>
      </c>
      <c r="E1806" s="264" t="s">
        <v>2089</v>
      </c>
      <c r="F1806" s="175">
        <v>2019</v>
      </c>
      <c r="G1806" s="360" t="s">
        <v>1483</v>
      </c>
      <c r="H1806" s="215" t="str">
        <f t="shared" si="607"/>
        <v xml:space="preserve">   </v>
      </c>
      <c r="I1806" s="215" t="str">
        <f t="shared" si="608"/>
        <v xml:space="preserve">   </v>
      </c>
      <c r="J1806" s="1537">
        <v>350000</v>
      </c>
      <c r="K1806" s="1523" t="s">
        <v>2298</v>
      </c>
      <c r="L1806" s="2020">
        <v>3500000</v>
      </c>
      <c r="M1806" s="1362" t="s">
        <v>475</v>
      </c>
      <c r="N1806" s="2020"/>
      <c r="O1806" s="1362" t="s">
        <v>475</v>
      </c>
      <c r="P1806" s="2020"/>
      <c r="Q1806" s="1362" t="s">
        <v>475</v>
      </c>
      <c r="R1806" s="2254"/>
      <c r="S1806" s="2255" t="s">
        <v>475</v>
      </c>
      <c r="T1806" s="1363"/>
      <c r="U1806" s="1391"/>
      <c r="V1806" s="1363"/>
      <c r="W1806" s="1391"/>
      <c r="X1806" s="1363"/>
      <c r="Y1806" s="1391"/>
      <c r="Z1806" s="1363"/>
      <c r="AA1806" s="1391"/>
      <c r="AB1806" s="1731"/>
      <c r="AC1806" s="1367"/>
      <c r="AD1806" s="1666"/>
      <c r="AE1806" s="1590"/>
      <c r="AF1806" s="1666"/>
      <c r="AG1806" s="1590"/>
      <c r="AH1806" s="1625" t="str">
        <f t="shared" si="600"/>
        <v>PAI-3B</v>
      </c>
      <c r="AI1806" s="1675">
        <f t="shared" si="609"/>
        <v>3850000</v>
      </c>
      <c r="AJ1806" s="1675">
        <f t="shared" si="610"/>
        <v>6450000</v>
      </c>
      <c r="AK1806" s="1520">
        <f t="shared" si="615"/>
        <v>2600000</v>
      </c>
      <c r="AL1806" s="2210" t="str">
        <f t="shared" si="616"/>
        <v>Cek</v>
      </c>
      <c r="AM1806" s="1666"/>
      <c r="AN1806" s="1590"/>
      <c r="AO1806"/>
      <c r="AP1806"/>
      <c r="AQ1806" s="1128"/>
      <c r="AR1806" s="1173"/>
      <c r="AT1806" s="1173"/>
      <c r="AV1806" s="1173"/>
      <c r="AX1806" s="1173"/>
      <c r="AY1806" s="1176"/>
      <c r="AZ1806" s="1173"/>
    </row>
    <row r="1807" spans="1:52" s="2" customFormat="1" x14ac:dyDescent="0.25">
      <c r="A1807" s="694">
        <v>1664</v>
      </c>
      <c r="B1807" s="706">
        <v>29</v>
      </c>
      <c r="C1807" s="716">
        <v>849319064</v>
      </c>
      <c r="D1807" s="701" t="s">
        <v>2309</v>
      </c>
      <c r="E1807" s="264" t="s">
        <v>2089</v>
      </c>
      <c r="F1807" s="175">
        <v>2019</v>
      </c>
      <c r="G1807" s="360" t="s">
        <v>1483</v>
      </c>
      <c r="H1807" s="215" t="str">
        <f t="shared" si="607"/>
        <v xml:space="preserve">   </v>
      </c>
      <c r="I1807" s="215" t="str">
        <f t="shared" si="608"/>
        <v xml:space="preserve">   </v>
      </c>
      <c r="J1807" s="1537">
        <v>350000</v>
      </c>
      <c r="K1807" s="1523" t="s">
        <v>2298</v>
      </c>
      <c r="L1807" s="2020">
        <v>3500000</v>
      </c>
      <c r="M1807" s="1362" t="s">
        <v>475</v>
      </c>
      <c r="N1807" s="2020"/>
      <c r="O1807" s="1362" t="s">
        <v>475</v>
      </c>
      <c r="P1807" s="2020"/>
      <c r="Q1807" s="1362" t="s">
        <v>475</v>
      </c>
      <c r="R1807" s="2254"/>
      <c r="S1807" s="2255" t="s">
        <v>475</v>
      </c>
      <c r="T1807" s="1363"/>
      <c r="U1807" s="1391"/>
      <c r="V1807" s="1363"/>
      <c r="W1807" s="1391"/>
      <c r="X1807" s="1363"/>
      <c r="Y1807" s="1391"/>
      <c r="Z1807" s="1363"/>
      <c r="AA1807" s="1391"/>
      <c r="AB1807" s="1731"/>
      <c r="AC1807" s="1367"/>
      <c r="AD1807" s="1666"/>
      <c r="AE1807" s="1590"/>
      <c r="AF1807" s="1666"/>
      <c r="AG1807" s="1590"/>
      <c r="AH1807" s="1625" t="str">
        <f t="shared" si="600"/>
        <v>PAI-3B</v>
      </c>
      <c r="AI1807" s="1675">
        <f t="shared" si="609"/>
        <v>3850000</v>
      </c>
      <c r="AJ1807" s="1675">
        <f t="shared" si="610"/>
        <v>6450000</v>
      </c>
      <c r="AK1807" s="1520">
        <f t="shared" si="615"/>
        <v>2600000</v>
      </c>
      <c r="AL1807" s="2210" t="str">
        <f t="shared" si="616"/>
        <v>Cek</v>
      </c>
      <c r="AM1807" s="1666"/>
      <c r="AN1807" s="1590"/>
      <c r="AO1807"/>
      <c r="AP1807"/>
      <c r="AQ1807" s="1128"/>
      <c r="AR1807" s="1173"/>
      <c r="AT1807" s="1173"/>
      <c r="AV1807" s="1173"/>
      <c r="AX1807" s="1173"/>
      <c r="AY1807" s="1176"/>
      <c r="AZ1807" s="1173"/>
    </row>
    <row r="1808" spans="1:52" s="2" customFormat="1" x14ac:dyDescent="0.25">
      <c r="A1808" s="694">
        <v>1665</v>
      </c>
      <c r="B1808" s="709">
        <v>30</v>
      </c>
      <c r="C1808" s="716">
        <v>849319065</v>
      </c>
      <c r="D1808" s="701" t="s">
        <v>2310</v>
      </c>
      <c r="E1808" s="264" t="s">
        <v>2089</v>
      </c>
      <c r="F1808" s="175">
        <v>2019</v>
      </c>
      <c r="G1808" s="360" t="s">
        <v>1483</v>
      </c>
      <c r="H1808" s="215" t="str">
        <f t="shared" si="607"/>
        <v xml:space="preserve">   </v>
      </c>
      <c r="I1808" s="215" t="str">
        <f t="shared" si="608"/>
        <v xml:space="preserve">   </v>
      </c>
      <c r="J1808" s="1537">
        <v>350000</v>
      </c>
      <c r="K1808" s="1523" t="s">
        <v>2298</v>
      </c>
      <c r="L1808" s="2020">
        <v>3500000</v>
      </c>
      <c r="M1808" s="1362" t="s">
        <v>475</v>
      </c>
      <c r="N1808" s="2020"/>
      <c r="O1808" s="1362" t="s">
        <v>475</v>
      </c>
      <c r="P1808" s="2020"/>
      <c r="Q1808" s="1362" t="s">
        <v>475</v>
      </c>
      <c r="R1808" s="2254"/>
      <c r="S1808" s="2255" t="s">
        <v>475</v>
      </c>
      <c r="T1808" s="1363"/>
      <c r="U1808" s="1391"/>
      <c r="V1808" s="1363"/>
      <c r="W1808" s="1391"/>
      <c r="X1808" s="1363"/>
      <c r="Y1808" s="1391"/>
      <c r="Z1808" s="1363"/>
      <c r="AA1808" s="1391"/>
      <c r="AB1808" s="1731"/>
      <c r="AC1808" s="1367"/>
      <c r="AD1808" s="1666"/>
      <c r="AE1808" s="1590"/>
      <c r="AF1808" s="1666"/>
      <c r="AG1808" s="1590"/>
      <c r="AH1808" s="1625" t="str">
        <f t="shared" si="600"/>
        <v>PAI-3B</v>
      </c>
      <c r="AI1808" s="1675">
        <f t="shared" si="609"/>
        <v>3850000</v>
      </c>
      <c r="AJ1808" s="1675">
        <f t="shared" si="610"/>
        <v>6450000</v>
      </c>
      <c r="AK1808" s="1520">
        <f t="shared" si="615"/>
        <v>2600000</v>
      </c>
      <c r="AL1808" s="2210" t="str">
        <f t="shared" si="616"/>
        <v>Cek</v>
      </c>
      <c r="AM1808" s="1666"/>
      <c r="AN1808" s="1590"/>
      <c r="AO1808"/>
      <c r="AP1808"/>
      <c r="AQ1808" s="1128"/>
      <c r="AR1808" s="1173"/>
      <c r="AT1808" s="1173"/>
      <c r="AV1808" s="1173"/>
      <c r="AX1808" s="1173"/>
      <c r="AY1808" s="1176"/>
      <c r="AZ1808" s="1173"/>
    </row>
    <row r="1809" spans="1:52" s="2" customFormat="1" x14ac:dyDescent="0.25">
      <c r="A1809" s="694">
        <v>1666</v>
      </c>
      <c r="B1809" s="706">
        <v>31</v>
      </c>
      <c r="C1809" s="716">
        <v>849319066</v>
      </c>
      <c r="D1809" s="701" t="s">
        <v>2311</v>
      </c>
      <c r="E1809" s="264" t="s">
        <v>2089</v>
      </c>
      <c r="F1809" s="175">
        <v>2019</v>
      </c>
      <c r="G1809" s="360" t="s">
        <v>1483</v>
      </c>
      <c r="H1809" s="215" t="str">
        <f t="shared" si="607"/>
        <v xml:space="preserve">   </v>
      </c>
      <c r="I1809" s="215" t="str">
        <f t="shared" si="608"/>
        <v xml:space="preserve">   </v>
      </c>
      <c r="J1809" s="1537">
        <v>350000</v>
      </c>
      <c r="K1809" s="1523" t="s">
        <v>2298</v>
      </c>
      <c r="L1809" s="2020">
        <v>3500000</v>
      </c>
      <c r="M1809" s="1362" t="s">
        <v>475</v>
      </c>
      <c r="N1809" s="2020"/>
      <c r="O1809" s="1362" t="s">
        <v>475</v>
      </c>
      <c r="P1809" s="2020"/>
      <c r="Q1809" s="1362" t="s">
        <v>475</v>
      </c>
      <c r="R1809" s="2254"/>
      <c r="S1809" s="2255" t="s">
        <v>475</v>
      </c>
      <c r="T1809" s="1363"/>
      <c r="U1809" s="1391"/>
      <c r="V1809" s="1363"/>
      <c r="W1809" s="1391"/>
      <c r="X1809" s="1363"/>
      <c r="Y1809" s="1391"/>
      <c r="Z1809" s="1363"/>
      <c r="AA1809" s="1391"/>
      <c r="AB1809" s="1731"/>
      <c r="AC1809" s="1367"/>
      <c r="AD1809" s="1666"/>
      <c r="AE1809" s="1590"/>
      <c r="AF1809" s="1666"/>
      <c r="AG1809" s="1590"/>
      <c r="AH1809" s="1625" t="str">
        <f t="shared" si="600"/>
        <v>PAI-3B</v>
      </c>
      <c r="AI1809" s="1675">
        <f t="shared" si="609"/>
        <v>3850000</v>
      </c>
      <c r="AJ1809" s="1675">
        <f t="shared" si="610"/>
        <v>6450000</v>
      </c>
      <c r="AK1809" s="1520">
        <f t="shared" si="615"/>
        <v>2600000</v>
      </c>
      <c r="AL1809" s="2210" t="str">
        <f t="shared" si="616"/>
        <v>Cek</v>
      </c>
      <c r="AM1809" s="1666"/>
      <c r="AN1809" s="1590"/>
      <c r="AO1809"/>
      <c r="AP1809"/>
      <c r="AQ1809" s="1128"/>
      <c r="AR1809" s="1173"/>
      <c r="AT1809" s="1173"/>
      <c r="AV1809" s="1173"/>
      <c r="AX1809" s="1173"/>
      <c r="AY1809" s="1176"/>
      <c r="AZ1809" s="1173"/>
    </row>
    <row r="1810" spans="1:52" s="2" customFormat="1" x14ac:dyDescent="0.25">
      <c r="A1810" s="694">
        <v>1667</v>
      </c>
      <c r="B1810" s="709">
        <v>32</v>
      </c>
      <c r="C1810" s="716">
        <v>849319067</v>
      </c>
      <c r="D1810" s="701" t="s">
        <v>2312</v>
      </c>
      <c r="E1810" s="264" t="s">
        <v>2089</v>
      </c>
      <c r="F1810" s="175">
        <v>2019</v>
      </c>
      <c r="G1810" s="360" t="s">
        <v>1483</v>
      </c>
      <c r="H1810" s="215" t="str">
        <f t="shared" ref="H1810:H1841" si="617">IFERROR(VLOOKUP(C1810,Tlus,3,FALSE),"   ")</f>
        <v xml:space="preserve">   </v>
      </c>
      <c r="I1810" s="215" t="str">
        <f t="shared" ref="I1810:I1841" si="618">IFERROR(VLOOKUP(C1810,Wis,4,FALSE),"   ")</f>
        <v xml:space="preserve">   </v>
      </c>
      <c r="J1810" s="1537">
        <v>350000</v>
      </c>
      <c r="K1810" s="1523" t="s">
        <v>2298</v>
      </c>
      <c r="L1810" s="2020">
        <v>3500000</v>
      </c>
      <c r="M1810" s="1362" t="s">
        <v>475</v>
      </c>
      <c r="N1810" s="2020"/>
      <c r="O1810" s="1362" t="s">
        <v>475</v>
      </c>
      <c r="P1810" s="2020"/>
      <c r="Q1810" s="1362" t="s">
        <v>475</v>
      </c>
      <c r="R1810" s="2254"/>
      <c r="S1810" s="2255" t="s">
        <v>475</v>
      </c>
      <c r="T1810" s="1363"/>
      <c r="U1810" s="1391"/>
      <c r="V1810" s="1363"/>
      <c r="W1810" s="1391"/>
      <c r="X1810" s="1363"/>
      <c r="Y1810" s="1391"/>
      <c r="Z1810" s="1363"/>
      <c r="AA1810" s="1391"/>
      <c r="AB1810" s="1731"/>
      <c r="AC1810" s="1367"/>
      <c r="AD1810" s="1666"/>
      <c r="AE1810" s="1590"/>
      <c r="AF1810" s="1666"/>
      <c r="AG1810" s="1590"/>
      <c r="AH1810" s="1625" t="str">
        <f t="shared" si="600"/>
        <v>PAI-3B</v>
      </c>
      <c r="AI1810" s="1675">
        <f t="shared" si="609"/>
        <v>3850000</v>
      </c>
      <c r="AJ1810" s="1675">
        <f t="shared" si="610"/>
        <v>6450000</v>
      </c>
      <c r="AK1810" s="1520">
        <f t="shared" si="615"/>
        <v>2600000</v>
      </c>
      <c r="AL1810" s="2210" t="str">
        <f t="shared" si="616"/>
        <v>Cek</v>
      </c>
      <c r="AM1810" s="1666"/>
      <c r="AN1810" s="1590"/>
      <c r="AO1810"/>
      <c r="AP1810"/>
      <c r="AQ1810" s="1128"/>
      <c r="AR1810" s="1173"/>
      <c r="AT1810" s="1173"/>
      <c r="AV1810" s="1173"/>
      <c r="AX1810" s="1173"/>
      <c r="AY1810" s="1176"/>
      <c r="AZ1810" s="1173"/>
    </row>
    <row r="1811" spans="1:52" s="2" customFormat="1" x14ac:dyDescent="0.25">
      <c r="A1811" s="694">
        <v>1668</v>
      </c>
      <c r="B1811" s="706">
        <v>33</v>
      </c>
      <c r="C1811" s="716">
        <v>849319068</v>
      </c>
      <c r="D1811" s="701" t="s">
        <v>2313</v>
      </c>
      <c r="E1811" s="264" t="s">
        <v>2089</v>
      </c>
      <c r="F1811" s="175">
        <v>2019</v>
      </c>
      <c r="G1811" s="360" t="s">
        <v>1483</v>
      </c>
      <c r="H1811" s="215" t="str">
        <f t="shared" si="617"/>
        <v xml:space="preserve">   </v>
      </c>
      <c r="I1811" s="215" t="str">
        <f t="shared" si="618"/>
        <v xml:space="preserve">   </v>
      </c>
      <c r="J1811" s="1537">
        <v>350000</v>
      </c>
      <c r="K1811" s="1523" t="s">
        <v>2298</v>
      </c>
      <c r="L1811" s="2020">
        <v>3500000</v>
      </c>
      <c r="M1811" s="1362" t="s">
        <v>475</v>
      </c>
      <c r="N1811" s="2020"/>
      <c r="O1811" s="1362" t="s">
        <v>475</v>
      </c>
      <c r="P1811" s="2020"/>
      <c r="Q1811" s="1362" t="s">
        <v>475</v>
      </c>
      <c r="R1811" s="2254"/>
      <c r="S1811" s="2255" t="s">
        <v>475</v>
      </c>
      <c r="T1811" s="1363"/>
      <c r="U1811" s="1391"/>
      <c r="V1811" s="1363"/>
      <c r="W1811" s="1391"/>
      <c r="X1811" s="1363"/>
      <c r="Y1811" s="1391"/>
      <c r="Z1811" s="1363"/>
      <c r="AA1811" s="1391"/>
      <c r="AB1811" s="1731"/>
      <c r="AC1811" s="1367"/>
      <c r="AD1811" s="1666"/>
      <c r="AE1811" s="1590"/>
      <c r="AF1811" s="1666"/>
      <c r="AG1811" s="1590"/>
      <c r="AH1811" s="1625" t="str">
        <f t="shared" si="600"/>
        <v>PAI-3B</v>
      </c>
      <c r="AI1811" s="1675">
        <f t="shared" si="609"/>
        <v>3850000</v>
      </c>
      <c r="AJ1811" s="1675">
        <f t="shared" ref="AJ1811:AJ1842" si="619">(COUNT(L1811,N1811,P1811,R1811,T1811,V1811,X1811,Z1811)*$G$1507)+(COUNT(J1811)*$J$1507)+(COUNT(AB1811)*$AB$1507)+(COUNT(AD1811)*$AD$1507)+(COUNT(AF1811)*$AF$1507)+(COUNT(AM1811)*$AM$1507)</f>
        <v>6450000</v>
      </c>
      <c r="AK1811" s="1520">
        <f t="shared" si="615"/>
        <v>2600000</v>
      </c>
      <c r="AL1811" s="2210" t="str">
        <f t="shared" si="616"/>
        <v>Cek</v>
      </c>
      <c r="AM1811" s="1666"/>
      <c r="AN1811" s="1590"/>
      <c r="AO1811"/>
      <c r="AP1811"/>
      <c r="AQ1811" s="1128"/>
      <c r="AR1811" s="1173"/>
      <c r="AT1811" s="1173"/>
      <c r="AV1811" s="1173"/>
      <c r="AX1811" s="1173"/>
      <c r="AY1811" s="1176"/>
      <c r="AZ1811" s="1173"/>
    </row>
    <row r="1812" spans="1:52" s="2" customFormat="1" x14ac:dyDescent="0.25">
      <c r="A1812" s="694">
        <v>1669</v>
      </c>
      <c r="B1812" s="709">
        <v>34</v>
      </c>
      <c r="C1812" s="716">
        <v>849319069</v>
      </c>
      <c r="D1812" s="701" t="s">
        <v>2314</v>
      </c>
      <c r="E1812" s="264" t="s">
        <v>2089</v>
      </c>
      <c r="F1812" s="175">
        <v>2019</v>
      </c>
      <c r="G1812" s="360" t="s">
        <v>1483</v>
      </c>
      <c r="H1812" s="727" t="str">
        <f t="shared" si="617"/>
        <v xml:space="preserve">   </v>
      </c>
      <c r="I1812" s="727" t="str">
        <f t="shared" si="618"/>
        <v xml:space="preserve">   </v>
      </c>
      <c r="J1812" s="1537">
        <v>350000</v>
      </c>
      <c r="K1812" s="1523" t="s">
        <v>2298</v>
      </c>
      <c r="L1812" s="2020">
        <v>3500000</v>
      </c>
      <c r="M1812" s="1362" t="s">
        <v>475</v>
      </c>
      <c r="N1812" s="2020"/>
      <c r="O1812" s="1362" t="s">
        <v>475</v>
      </c>
      <c r="P1812" s="2020"/>
      <c r="Q1812" s="1362" t="s">
        <v>475</v>
      </c>
      <c r="R1812" s="2254"/>
      <c r="S1812" s="2255" t="s">
        <v>475</v>
      </c>
      <c r="T1812" s="1363"/>
      <c r="U1812" s="1391"/>
      <c r="V1812" s="1363"/>
      <c r="W1812" s="1391"/>
      <c r="X1812" s="1363"/>
      <c r="Y1812" s="1391"/>
      <c r="Z1812" s="1363"/>
      <c r="AA1812" s="1391"/>
      <c r="AB1812" s="1731"/>
      <c r="AC1812" s="1367"/>
      <c r="AD1812" s="1666"/>
      <c r="AE1812" s="1590"/>
      <c r="AF1812" s="1666"/>
      <c r="AG1812" s="1590"/>
      <c r="AH1812" s="1626" t="str">
        <f t="shared" si="600"/>
        <v>PAI-3B</v>
      </c>
      <c r="AI1812" s="1675">
        <f t="shared" si="609"/>
        <v>3850000</v>
      </c>
      <c r="AJ1812" s="1675">
        <f t="shared" si="619"/>
        <v>6450000</v>
      </c>
      <c r="AK1812" s="1520">
        <f t="shared" si="615"/>
        <v>2600000</v>
      </c>
      <c r="AL1812" s="2210" t="str">
        <f t="shared" si="616"/>
        <v>Cek</v>
      </c>
      <c r="AM1812" s="1666"/>
      <c r="AN1812" s="1590"/>
      <c r="AO1812"/>
      <c r="AP1812"/>
      <c r="AQ1812" s="1128"/>
      <c r="AR1812" s="1173"/>
      <c r="AT1812" s="1173"/>
      <c r="AV1812" s="1173"/>
      <c r="AX1812" s="1173"/>
      <c r="AY1812" s="1176"/>
      <c r="AZ1812" s="1173"/>
    </row>
    <row r="1813" spans="1:52" s="2" customFormat="1" x14ac:dyDescent="0.25">
      <c r="A1813" s="694">
        <v>1670</v>
      </c>
      <c r="B1813" s="706">
        <v>35</v>
      </c>
      <c r="C1813" s="716">
        <v>849319070</v>
      </c>
      <c r="D1813" s="701" t="s">
        <v>2315</v>
      </c>
      <c r="E1813" s="264" t="s">
        <v>2089</v>
      </c>
      <c r="F1813" s="175">
        <v>2019</v>
      </c>
      <c r="G1813" s="360" t="s">
        <v>1483</v>
      </c>
      <c r="H1813" s="215" t="str">
        <f t="shared" si="617"/>
        <v xml:space="preserve">   </v>
      </c>
      <c r="I1813" s="215" t="str">
        <f t="shared" si="618"/>
        <v xml:space="preserve">   </v>
      </c>
      <c r="J1813" s="1537">
        <v>350000</v>
      </c>
      <c r="K1813" s="1523" t="s">
        <v>2298</v>
      </c>
      <c r="L1813" s="2020">
        <v>3500000</v>
      </c>
      <c r="M1813" s="1362" t="s">
        <v>475</v>
      </c>
      <c r="N1813" s="2020"/>
      <c r="O1813" s="1362" t="s">
        <v>475</v>
      </c>
      <c r="P1813" s="2020"/>
      <c r="Q1813" s="1362" t="s">
        <v>475</v>
      </c>
      <c r="R1813" s="2254"/>
      <c r="S1813" s="2255" t="s">
        <v>475</v>
      </c>
      <c r="T1813" s="1363"/>
      <c r="U1813" s="1391"/>
      <c r="V1813" s="1363"/>
      <c r="W1813" s="1391"/>
      <c r="X1813" s="1363"/>
      <c r="Y1813" s="1391"/>
      <c r="Z1813" s="1363"/>
      <c r="AA1813" s="1391"/>
      <c r="AB1813" s="1731"/>
      <c r="AC1813" s="1367"/>
      <c r="AD1813" s="1666"/>
      <c r="AE1813" s="1590"/>
      <c r="AF1813" s="1666"/>
      <c r="AG1813" s="1590"/>
      <c r="AH1813" s="1625" t="str">
        <f t="shared" si="600"/>
        <v>PAI-3B</v>
      </c>
      <c r="AI1813" s="1675">
        <f t="shared" si="609"/>
        <v>3850000</v>
      </c>
      <c r="AJ1813" s="1675">
        <f t="shared" si="619"/>
        <v>6450000</v>
      </c>
      <c r="AK1813" s="1520">
        <f t="shared" si="615"/>
        <v>2600000</v>
      </c>
      <c r="AL1813" s="2210" t="str">
        <f t="shared" si="616"/>
        <v>Cek</v>
      </c>
      <c r="AM1813" s="1666"/>
      <c r="AN1813" s="1590"/>
      <c r="AO1813"/>
      <c r="AP1813"/>
      <c r="AQ1813" s="1128"/>
      <c r="AR1813" s="1173"/>
      <c r="AT1813" s="1173"/>
      <c r="AV1813" s="1173"/>
      <c r="AX1813" s="1173"/>
      <c r="AY1813" s="1176"/>
      <c r="AZ1813" s="1173"/>
    </row>
    <row r="1814" spans="1:52" s="2" customFormat="1" x14ac:dyDescent="0.25">
      <c r="A1814" s="694">
        <v>1671</v>
      </c>
      <c r="B1814" s="709">
        <v>36</v>
      </c>
      <c r="C1814" s="716">
        <v>849319071</v>
      </c>
      <c r="D1814" s="701" t="s">
        <v>1589</v>
      </c>
      <c r="E1814" s="264" t="s">
        <v>2089</v>
      </c>
      <c r="F1814" s="175">
        <v>2019</v>
      </c>
      <c r="G1814" s="360" t="s">
        <v>1483</v>
      </c>
      <c r="H1814" s="215" t="str">
        <f t="shared" si="617"/>
        <v xml:space="preserve">   </v>
      </c>
      <c r="I1814" s="215" t="str">
        <f t="shared" si="618"/>
        <v xml:space="preserve">   </v>
      </c>
      <c r="J1814" s="1537">
        <v>350000</v>
      </c>
      <c r="K1814" s="1523" t="s">
        <v>2298</v>
      </c>
      <c r="L1814" s="2020">
        <v>3500000</v>
      </c>
      <c r="M1814" s="1362" t="s">
        <v>475</v>
      </c>
      <c r="N1814" s="2020"/>
      <c r="O1814" s="1362" t="s">
        <v>475</v>
      </c>
      <c r="P1814" s="2020"/>
      <c r="Q1814" s="1362" t="s">
        <v>475</v>
      </c>
      <c r="R1814" s="2254"/>
      <c r="S1814" s="2255" t="s">
        <v>475</v>
      </c>
      <c r="T1814" s="1363"/>
      <c r="U1814" s="1391"/>
      <c r="V1814" s="1363"/>
      <c r="W1814" s="1391"/>
      <c r="X1814" s="1363"/>
      <c r="Y1814" s="1391"/>
      <c r="Z1814" s="1363"/>
      <c r="AA1814" s="1391"/>
      <c r="AB1814" s="1731"/>
      <c r="AC1814" s="1367"/>
      <c r="AD1814" s="1666"/>
      <c r="AE1814" s="1590"/>
      <c r="AF1814" s="1666"/>
      <c r="AG1814" s="1590"/>
      <c r="AH1814" s="1625" t="str">
        <f t="shared" si="600"/>
        <v>PAI-3B</v>
      </c>
      <c r="AI1814" s="1675">
        <f t="shared" si="609"/>
        <v>3850000</v>
      </c>
      <c r="AJ1814" s="1675">
        <f t="shared" si="619"/>
        <v>6450000</v>
      </c>
      <c r="AK1814" s="1520">
        <f t="shared" si="615"/>
        <v>2600000</v>
      </c>
      <c r="AL1814" s="2210" t="str">
        <f t="shared" si="616"/>
        <v>Cek</v>
      </c>
      <c r="AM1814" s="1666"/>
      <c r="AN1814" s="1590"/>
      <c r="AO1814"/>
      <c r="AP1814"/>
      <c r="AQ1814" s="1128"/>
      <c r="AR1814" s="1173"/>
      <c r="AT1814" s="1173"/>
      <c r="AV1814" s="1173"/>
      <c r="AX1814" s="1173"/>
      <c r="AY1814" s="1176"/>
      <c r="AZ1814" s="1173"/>
    </row>
    <row r="1815" spans="1:52" s="2" customFormat="1" x14ac:dyDescent="0.25">
      <c r="A1815" s="694">
        <v>1672</v>
      </c>
      <c r="B1815" s="706">
        <v>37</v>
      </c>
      <c r="C1815" s="716">
        <v>849319072</v>
      </c>
      <c r="D1815" s="701" t="s">
        <v>2316</v>
      </c>
      <c r="E1815" s="264" t="s">
        <v>2089</v>
      </c>
      <c r="F1815" s="175">
        <v>2019</v>
      </c>
      <c r="G1815" s="360" t="s">
        <v>1483</v>
      </c>
      <c r="H1815" s="215" t="str">
        <f t="shared" si="617"/>
        <v xml:space="preserve">   </v>
      </c>
      <c r="I1815" s="215" t="str">
        <f t="shared" si="618"/>
        <v xml:space="preserve">   </v>
      </c>
      <c r="J1815" s="1537">
        <v>350000</v>
      </c>
      <c r="K1815" s="1523" t="s">
        <v>2298</v>
      </c>
      <c r="L1815" s="2020">
        <v>3500000</v>
      </c>
      <c r="M1815" s="1362" t="s">
        <v>475</v>
      </c>
      <c r="N1815" s="2020"/>
      <c r="O1815" s="1362" t="s">
        <v>475</v>
      </c>
      <c r="P1815" s="2020"/>
      <c r="Q1815" s="1362" t="s">
        <v>475</v>
      </c>
      <c r="R1815" s="2254"/>
      <c r="S1815" s="2255" t="s">
        <v>475</v>
      </c>
      <c r="T1815" s="1363"/>
      <c r="U1815" s="1391"/>
      <c r="V1815" s="1363"/>
      <c r="W1815" s="1391"/>
      <c r="X1815" s="1363"/>
      <c r="Y1815" s="1391"/>
      <c r="Z1815" s="1363"/>
      <c r="AA1815" s="1391"/>
      <c r="AB1815" s="1731"/>
      <c r="AC1815" s="1367"/>
      <c r="AD1815" s="1666"/>
      <c r="AE1815" s="1590"/>
      <c r="AF1815" s="1666"/>
      <c r="AG1815" s="1590"/>
      <c r="AH1815" s="1625" t="str">
        <f t="shared" si="600"/>
        <v>PAI-3B</v>
      </c>
      <c r="AI1815" s="1675">
        <f t="shared" si="609"/>
        <v>3850000</v>
      </c>
      <c r="AJ1815" s="1675">
        <f t="shared" si="619"/>
        <v>6450000</v>
      </c>
      <c r="AK1815" s="1520">
        <f t="shared" si="615"/>
        <v>2600000</v>
      </c>
      <c r="AL1815" s="2210" t="str">
        <f t="shared" si="616"/>
        <v>Cek</v>
      </c>
      <c r="AM1815" s="1666"/>
      <c r="AN1815" s="1590"/>
      <c r="AO1815"/>
      <c r="AP1815"/>
      <c r="AQ1815" s="1128"/>
      <c r="AR1815" s="1173"/>
      <c r="AT1815" s="1173"/>
      <c r="AV1815" s="1173"/>
      <c r="AX1815" s="1173"/>
      <c r="AY1815" s="1176"/>
      <c r="AZ1815" s="1173"/>
    </row>
    <row r="1816" spans="1:52" s="2" customFormat="1" x14ac:dyDescent="0.25">
      <c r="A1816" s="694">
        <v>1673</v>
      </c>
      <c r="B1816" s="709">
        <v>38</v>
      </c>
      <c r="C1816" s="716">
        <v>849319023</v>
      </c>
      <c r="D1816" s="701" t="s">
        <v>2317</v>
      </c>
      <c r="E1816" s="264" t="s">
        <v>2111</v>
      </c>
      <c r="F1816" s="175">
        <v>2019</v>
      </c>
      <c r="G1816" s="360" t="s">
        <v>1483</v>
      </c>
      <c r="H1816" s="215" t="str">
        <f t="shared" si="617"/>
        <v xml:space="preserve">   </v>
      </c>
      <c r="I1816" s="215" t="str">
        <f t="shared" si="618"/>
        <v xml:space="preserve">   </v>
      </c>
      <c r="J1816" s="1359">
        <v>2700000</v>
      </c>
      <c r="K1816" s="1523">
        <v>43691.357581018499</v>
      </c>
      <c r="L1816" s="1359">
        <v>3750000</v>
      </c>
      <c r="M1816" s="1523">
        <v>43691.357581018499</v>
      </c>
      <c r="N1816" s="1731">
        <v>3750000</v>
      </c>
      <c r="O1816" s="1367">
        <v>43858.356192129599</v>
      </c>
      <c r="P1816" s="1731">
        <v>3750000</v>
      </c>
      <c r="Q1816" s="1367">
        <v>44069.4211111111</v>
      </c>
      <c r="R1816" s="1363"/>
      <c r="S1816" s="1563"/>
      <c r="T1816" s="1363"/>
      <c r="U1816" s="1391"/>
      <c r="V1816" s="1363"/>
      <c r="W1816" s="1391"/>
      <c r="X1816" s="1363"/>
      <c r="Y1816" s="1391"/>
      <c r="Z1816" s="1363"/>
      <c r="AA1816" s="1391"/>
      <c r="AB1816" s="1731">
        <v>1000000</v>
      </c>
      <c r="AC1816" s="1367">
        <v>44169</v>
      </c>
      <c r="AD1816" s="1666"/>
      <c r="AE1816" s="1590"/>
      <c r="AF1816" s="1666"/>
      <c r="AG1816" s="1590"/>
      <c r="AH1816" s="1625" t="str">
        <f t="shared" si="600"/>
        <v>PAI-3C</v>
      </c>
      <c r="AI1816" s="1675">
        <f t="shared" si="609"/>
        <v>14950000</v>
      </c>
      <c r="AJ1816" s="1675">
        <f t="shared" si="619"/>
        <v>14950000</v>
      </c>
      <c r="AK1816" s="1520">
        <f t="shared" si="615"/>
        <v>0</v>
      </c>
      <c r="AL1816" s="2210" t="str">
        <f t="shared" si="616"/>
        <v>Lunas</v>
      </c>
      <c r="AM1816" s="1666"/>
      <c r="AN1816" s="1590"/>
      <c r="AO1816"/>
      <c r="AP1816"/>
      <c r="AQ1816" s="1128"/>
      <c r="AR1816" s="1173"/>
      <c r="AT1816" s="1173"/>
      <c r="AV1816" s="1173"/>
      <c r="AX1816" s="1173"/>
      <c r="AY1816" s="1176"/>
      <c r="AZ1816" s="1173"/>
    </row>
    <row r="1817" spans="1:52" s="2" customFormat="1" x14ac:dyDescent="0.25">
      <c r="A1817" s="694">
        <v>1674</v>
      </c>
      <c r="B1817" s="706">
        <v>39</v>
      </c>
      <c r="C1817" s="716">
        <v>849319043</v>
      </c>
      <c r="D1817" s="703" t="s">
        <v>2318</v>
      </c>
      <c r="E1817" s="264" t="s">
        <v>2111</v>
      </c>
      <c r="F1817" s="175">
        <v>2019</v>
      </c>
      <c r="G1817" s="360" t="s">
        <v>1483</v>
      </c>
      <c r="H1817" s="727" t="str">
        <f t="shared" si="617"/>
        <v xml:space="preserve">   </v>
      </c>
      <c r="I1817" s="727" t="str">
        <f t="shared" si="618"/>
        <v xml:space="preserve">   </v>
      </c>
      <c r="J1817" s="1359">
        <v>2700000</v>
      </c>
      <c r="K1817" s="1523">
        <v>43689.479293981502</v>
      </c>
      <c r="L1817" s="2269"/>
      <c r="M1817" s="2270" t="s">
        <v>475</v>
      </c>
      <c r="N1817" s="2269"/>
      <c r="O1817" s="2270" t="s">
        <v>475</v>
      </c>
      <c r="P1817" s="2269"/>
      <c r="Q1817" s="2270" t="s">
        <v>475</v>
      </c>
      <c r="R1817" s="2272"/>
      <c r="S1817" s="2273" t="s">
        <v>475</v>
      </c>
      <c r="T1817" s="1363"/>
      <c r="U1817" s="1391"/>
      <c r="V1817" s="1363"/>
      <c r="W1817" s="1391"/>
      <c r="X1817" s="1363"/>
      <c r="Y1817" s="1391"/>
      <c r="Z1817" s="1363"/>
      <c r="AA1817" s="1391"/>
      <c r="AB1817" s="1731"/>
      <c r="AC1817" s="1367"/>
      <c r="AD1817" s="1666"/>
      <c r="AE1817" s="1590"/>
      <c r="AF1817" s="1666"/>
      <c r="AG1817" s="1590"/>
      <c r="AH1817" s="1626" t="str">
        <f t="shared" si="600"/>
        <v>PAI-3C</v>
      </c>
      <c r="AI1817" s="1675">
        <f t="shared" si="609"/>
        <v>2700000</v>
      </c>
      <c r="AJ1817" s="1675">
        <f t="shared" si="619"/>
        <v>2700000</v>
      </c>
      <c r="AK1817" s="1520">
        <f t="shared" si="615"/>
        <v>0</v>
      </c>
      <c r="AL1817" s="2210" t="str">
        <f t="shared" si="616"/>
        <v>Lunas</v>
      </c>
      <c r="AM1817" s="1666"/>
      <c r="AN1817" s="1590"/>
      <c r="AO1817"/>
      <c r="AP1817"/>
      <c r="AQ1817" s="1128"/>
      <c r="AR1817" s="1173"/>
      <c r="AT1817" s="1173"/>
      <c r="AV1817" s="1173"/>
      <c r="AX1817" s="1173"/>
      <c r="AY1817" s="1176"/>
      <c r="AZ1817" s="1173"/>
    </row>
    <row r="1818" spans="1:52" s="2" customFormat="1" x14ac:dyDescent="0.25">
      <c r="A1818" s="694">
        <v>1675</v>
      </c>
      <c r="B1818" s="709">
        <v>40</v>
      </c>
      <c r="C1818" s="716">
        <v>849319044</v>
      </c>
      <c r="D1818" s="701" t="s">
        <v>2319</v>
      </c>
      <c r="E1818" s="264" t="s">
        <v>2111</v>
      </c>
      <c r="F1818" s="175">
        <v>2019</v>
      </c>
      <c r="G1818" s="360" t="s">
        <v>1483</v>
      </c>
      <c r="H1818" s="215" t="str">
        <f t="shared" si="617"/>
        <v xml:space="preserve">   </v>
      </c>
      <c r="I1818" s="215" t="str">
        <f t="shared" si="618"/>
        <v xml:space="preserve">   </v>
      </c>
      <c r="J1818" s="1359">
        <v>2700000</v>
      </c>
      <c r="K1818" s="1523">
        <v>43692.469537037003</v>
      </c>
      <c r="L1818" s="1359">
        <v>3750000</v>
      </c>
      <c r="M1818" s="1523">
        <v>43692.469537037003</v>
      </c>
      <c r="N1818" s="1731">
        <v>3750000</v>
      </c>
      <c r="O1818" s="1367">
        <v>43854.493229166699</v>
      </c>
      <c r="P1818" s="1731">
        <v>3750000</v>
      </c>
      <c r="Q1818" s="1367">
        <v>44056.464340277802</v>
      </c>
      <c r="R1818" s="1363">
        <v>3750000</v>
      </c>
      <c r="S1818" s="1563" t="s">
        <v>4876</v>
      </c>
      <c r="T1818" s="1363"/>
      <c r="U1818" s="1391"/>
      <c r="V1818" s="1363"/>
      <c r="W1818" s="1391"/>
      <c r="X1818" s="1363"/>
      <c r="Y1818" s="1391"/>
      <c r="Z1818" s="1363"/>
      <c r="AA1818" s="1391"/>
      <c r="AB1818" s="1731">
        <v>1000000</v>
      </c>
      <c r="AC1818" s="1367">
        <v>44169</v>
      </c>
      <c r="AD1818" s="1666"/>
      <c r="AE1818" s="1590"/>
      <c r="AF1818" s="1666"/>
      <c r="AG1818" s="1590"/>
      <c r="AH1818" s="1625" t="str">
        <f t="shared" si="600"/>
        <v>PAI-3C</v>
      </c>
      <c r="AI1818" s="1675">
        <f t="shared" si="609"/>
        <v>18700000</v>
      </c>
      <c r="AJ1818" s="1675">
        <f t="shared" si="619"/>
        <v>18700000</v>
      </c>
      <c r="AK1818" s="1520">
        <f t="shared" si="615"/>
        <v>0</v>
      </c>
      <c r="AL1818" s="2210" t="str">
        <f t="shared" si="616"/>
        <v>Lunas</v>
      </c>
      <c r="AM1818" s="1666"/>
      <c r="AN1818" s="1590"/>
      <c r="AO1818"/>
      <c r="AP1818"/>
      <c r="AQ1818" s="1128"/>
      <c r="AR1818" s="1173"/>
      <c r="AT1818" s="1173"/>
      <c r="AV1818" s="1173"/>
      <c r="AX1818" s="1173"/>
      <c r="AY1818" s="1176"/>
      <c r="AZ1818" s="1173"/>
    </row>
    <row r="1819" spans="1:52" s="2" customFormat="1" x14ac:dyDescent="0.25">
      <c r="A1819" s="694">
        <v>1676</v>
      </c>
      <c r="B1819" s="706">
        <v>41</v>
      </c>
      <c r="C1819" s="716">
        <v>849319002</v>
      </c>
      <c r="D1819" s="701" t="s">
        <v>2320</v>
      </c>
      <c r="E1819" s="264" t="s">
        <v>2111</v>
      </c>
      <c r="F1819" s="175">
        <v>2019</v>
      </c>
      <c r="G1819" s="581" t="s">
        <v>1833</v>
      </c>
      <c r="H1819" s="215" t="str">
        <f t="shared" si="617"/>
        <v xml:space="preserve">   </v>
      </c>
      <c r="I1819" s="215" t="str">
        <f t="shared" si="618"/>
        <v xml:space="preserve">   </v>
      </c>
      <c r="J1819" s="1359">
        <v>2700000</v>
      </c>
      <c r="K1819" s="1523">
        <v>43682.3726157407</v>
      </c>
      <c r="L1819" s="1359">
        <v>3750000</v>
      </c>
      <c r="M1819" s="1523">
        <v>43682.3726157407</v>
      </c>
      <c r="N1819" s="1731">
        <v>3750000</v>
      </c>
      <c r="O1819" s="1367">
        <v>43860.429247685199</v>
      </c>
      <c r="P1819" s="1186" t="s">
        <v>1078</v>
      </c>
      <c r="Q1819" s="1386">
        <v>44071</v>
      </c>
      <c r="R1819" s="1363" t="str">
        <f>IFERROR(VLOOKUP(C1819,BSP,3,FALSE),"  ")</f>
        <v xml:space="preserve">  </v>
      </c>
      <c r="S1819" s="1563" t="str">
        <f>IFERROR((VLOOKUP(C1819,BSP,4,FALSE)),"  ")</f>
        <v xml:space="preserve">  </v>
      </c>
      <c r="T1819" s="1363"/>
      <c r="U1819" s="1391"/>
      <c r="V1819" s="1363"/>
      <c r="W1819" s="1391"/>
      <c r="X1819" s="1363"/>
      <c r="Y1819" s="1391"/>
      <c r="Z1819" s="1363"/>
      <c r="AA1819" s="1391"/>
      <c r="AB1819" s="1731"/>
      <c r="AC1819" s="1367"/>
      <c r="AD1819" s="1666"/>
      <c r="AE1819" s="1590"/>
      <c r="AF1819" s="1666"/>
      <c r="AG1819" s="1590"/>
      <c r="AH1819" s="1625" t="str">
        <f t="shared" si="600"/>
        <v>PAI-3C</v>
      </c>
      <c r="AI1819" s="1675">
        <f t="shared" si="609"/>
        <v>10200000</v>
      </c>
      <c r="AJ1819" s="1675">
        <f t="shared" si="619"/>
        <v>10200000</v>
      </c>
      <c r="AK1819" s="1520">
        <f t="shared" si="615"/>
        <v>0</v>
      </c>
      <c r="AL1819" s="2210" t="str">
        <f t="shared" si="616"/>
        <v>Lunas</v>
      </c>
      <c r="AM1819" s="1666"/>
      <c r="AN1819" s="1590"/>
      <c r="AO1819"/>
      <c r="AP1819"/>
      <c r="AQ1819" s="1128"/>
      <c r="AR1819" s="1173"/>
      <c r="AT1819" s="1173"/>
      <c r="AV1819" s="1173"/>
      <c r="AX1819" s="1173"/>
      <c r="AY1819" s="1176"/>
      <c r="AZ1819" s="1173"/>
    </row>
    <row r="1820" spans="1:52" s="2" customFormat="1" x14ac:dyDescent="0.25">
      <c r="A1820" s="694">
        <v>1677</v>
      </c>
      <c r="B1820" s="709">
        <v>42</v>
      </c>
      <c r="C1820" s="716">
        <v>849319014</v>
      </c>
      <c r="D1820" s="701" t="s">
        <v>2321</v>
      </c>
      <c r="E1820" s="264" t="s">
        <v>2111</v>
      </c>
      <c r="F1820" s="175">
        <v>2019</v>
      </c>
      <c r="G1820" s="360" t="s">
        <v>1483</v>
      </c>
      <c r="H1820" s="215" t="str">
        <f t="shared" si="617"/>
        <v xml:space="preserve">   </v>
      </c>
      <c r="I1820" s="215" t="str">
        <f t="shared" si="618"/>
        <v xml:space="preserve">   </v>
      </c>
      <c r="J1820" s="1359">
        <v>2700000</v>
      </c>
      <c r="K1820" s="1523">
        <v>43686.424594907403</v>
      </c>
      <c r="L1820" s="1359">
        <v>3750000</v>
      </c>
      <c r="M1820" s="1523">
        <v>43686.424594907403</v>
      </c>
      <c r="N1820" s="1731">
        <v>3750000</v>
      </c>
      <c r="O1820" s="1367">
        <v>43854.523090277798</v>
      </c>
      <c r="P1820" s="1731">
        <v>3750000</v>
      </c>
      <c r="Q1820" s="1367">
        <v>44057.391192129602</v>
      </c>
      <c r="R1820" s="1363"/>
      <c r="S1820" s="1563"/>
      <c r="T1820" s="1363"/>
      <c r="U1820" s="1391"/>
      <c r="V1820" s="1363"/>
      <c r="W1820" s="1391"/>
      <c r="X1820" s="1363"/>
      <c r="Y1820" s="1391"/>
      <c r="Z1820" s="1363"/>
      <c r="AA1820" s="1391"/>
      <c r="AB1820" s="1731"/>
      <c r="AC1820" s="1367"/>
      <c r="AD1820" s="1666"/>
      <c r="AE1820" s="1590"/>
      <c r="AF1820" s="1666"/>
      <c r="AG1820" s="1590"/>
      <c r="AH1820" s="1625" t="str">
        <f t="shared" si="600"/>
        <v>PAI-3C</v>
      </c>
      <c r="AI1820" s="1675">
        <f t="shared" si="609"/>
        <v>13950000</v>
      </c>
      <c r="AJ1820" s="1675">
        <f t="shared" si="619"/>
        <v>13950000</v>
      </c>
      <c r="AK1820" s="1520">
        <f t="shared" si="615"/>
        <v>0</v>
      </c>
      <c r="AL1820" s="2210" t="str">
        <f t="shared" si="616"/>
        <v>Lunas</v>
      </c>
      <c r="AM1820" s="1666"/>
      <c r="AN1820" s="1590"/>
      <c r="AO1820"/>
      <c r="AP1820"/>
      <c r="AQ1820" s="1128"/>
      <c r="AR1820" s="1173"/>
      <c r="AT1820" s="1173"/>
      <c r="AV1820" s="1173"/>
      <c r="AX1820" s="1173"/>
      <c r="AY1820" s="1176"/>
      <c r="AZ1820" s="1173"/>
    </row>
    <row r="1821" spans="1:52" s="2" customFormat="1" x14ac:dyDescent="0.25">
      <c r="A1821" s="694">
        <v>1678</v>
      </c>
      <c r="B1821" s="706">
        <v>43</v>
      </c>
      <c r="C1821" s="716">
        <v>849319021</v>
      </c>
      <c r="D1821" s="701" t="s">
        <v>2322</v>
      </c>
      <c r="E1821" s="264" t="s">
        <v>2111</v>
      </c>
      <c r="F1821" s="175">
        <v>2019</v>
      </c>
      <c r="G1821" s="360" t="s">
        <v>1483</v>
      </c>
      <c r="H1821" s="215" t="str">
        <f t="shared" si="617"/>
        <v xml:space="preserve">   </v>
      </c>
      <c r="I1821" s="215" t="str">
        <f t="shared" si="618"/>
        <v xml:space="preserve">   </v>
      </c>
      <c r="J1821" s="1359">
        <v>2700000</v>
      </c>
      <c r="K1821" s="1523">
        <v>43679.498148148101</v>
      </c>
      <c r="L1821" s="1359">
        <v>3750000</v>
      </c>
      <c r="M1821" s="1523">
        <v>43679.498148148101</v>
      </c>
      <c r="N1821" s="1731">
        <v>3750000</v>
      </c>
      <c r="O1821" s="1367">
        <v>43861.482997685198</v>
      </c>
      <c r="P1821" s="1731">
        <v>3750000</v>
      </c>
      <c r="Q1821" s="1367">
        <v>44071.506435185198</v>
      </c>
      <c r="R1821" s="1363"/>
      <c r="S1821" s="1563"/>
      <c r="T1821" s="1363"/>
      <c r="U1821" s="1391"/>
      <c r="V1821" s="1363"/>
      <c r="W1821" s="1391"/>
      <c r="X1821" s="1363"/>
      <c r="Y1821" s="1391"/>
      <c r="Z1821" s="1363"/>
      <c r="AA1821" s="1391"/>
      <c r="AB1821" s="1731"/>
      <c r="AC1821" s="1367"/>
      <c r="AD1821" s="1666"/>
      <c r="AE1821" s="1590"/>
      <c r="AF1821" s="1666"/>
      <c r="AG1821" s="1590"/>
      <c r="AH1821" s="1625" t="str">
        <f t="shared" si="600"/>
        <v>PAI-3C</v>
      </c>
      <c r="AI1821" s="1675">
        <f t="shared" si="609"/>
        <v>13950000</v>
      </c>
      <c r="AJ1821" s="1675">
        <f t="shared" si="619"/>
        <v>13950000</v>
      </c>
      <c r="AK1821" s="1520">
        <f t="shared" si="615"/>
        <v>0</v>
      </c>
      <c r="AL1821" s="2210" t="str">
        <f t="shared" si="616"/>
        <v>Lunas</v>
      </c>
      <c r="AM1821" s="1666"/>
      <c r="AN1821" s="1590"/>
      <c r="AO1821"/>
      <c r="AP1821"/>
      <c r="AQ1821" s="1128"/>
      <c r="AR1821" s="1173"/>
      <c r="AT1821" s="1173"/>
      <c r="AV1821" s="1173"/>
      <c r="AX1821" s="1173"/>
      <c r="AY1821" s="1176"/>
      <c r="AZ1821" s="1173"/>
    </row>
    <row r="1822" spans="1:52" s="2" customFormat="1" x14ac:dyDescent="0.25">
      <c r="A1822" s="694">
        <v>1679</v>
      </c>
      <c r="B1822" s="709">
        <v>44</v>
      </c>
      <c r="C1822" s="716">
        <v>849319030</v>
      </c>
      <c r="D1822" s="701" t="s">
        <v>2323</v>
      </c>
      <c r="E1822" s="264" t="s">
        <v>2111</v>
      </c>
      <c r="F1822" s="175">
        <v>2019</v>
      </c>
      <c r="G1822" s="360" t="s">
        <v>1483</v>
      </c>
      <c r="H1822" s="727" t="str">
        <f t="shared" si="617"/>
        <v xml:space="preserve">   </v>
      </c>
      <c r="I1822" s="727" t="str">
        <f t="shared" si="618"/>
        <v xml:space="preserve">   </v>
      </c>
      <c r="J1822" s="1359">
        <v>2700000</v>
      </c>
      <c r="K1822" s="1523">
        <v>43691.391828703701</v>
      </c>
      <c r="L1822" s="1359">
        <v>3750000</v>
      </c>
      <c r="M1822" s="1523">
        <v>43691.391828703701</v>
      </c>
      <c r="N1822" s="1731">
        <v>3750000</v>
      </c>
      <c r="O1822" s="1367">
        <v>43853.551400463002</v>
      </c>
      <c r="P1822" s="1731">
        <v>3750000</v>
      </c>
      <c r="Q1822" s="1367">
        <v>44067.510972222197</v>
      </c>
      <c r="R1822" s="1363"/>
      <c r="S1822" s="1563"/>
      <c r="T1822" s="1363"/>
      <c r="U1822" s="1391"/>
      <c r="V1822" s="1363"/>
      <c r="W1822" s="1391"/>
      <c r="X1822" s="1363"/>
      <c r="Y1822" s="1391"/>
      <c r="Z1822" s="1363"/>
      <c r="AA1822" s="1391"/>
      <c r="AB1822" s="1731"/>
      <c r="AC1822" s="1367"/>
      <c r="AD1822" s="1666"/>
      <c r="AE1822" s="1590"/>
      <c r="AF1822" s="1666"/>
      <c r="AG1822" s="1590"/>
      <c r="AH1822" s="1626" t="str">
        <f t="shared" si="600"/>
        <v>PAI-3C</v>
      </c>
      <c r="AI1822" s="1675">
        <f t="shared" si="609"/>
        <v>13950000</v>
      </c>
      <c r="AJ1822" s="1675">
        <f t="shared" si="619"/>
        <v>13950000</v>
      </c>
      <c r="AK1822" s="1520">
        <f t="shared" si="615"/>
        <v>0</v>
      </c>
      <c r="AL1822" s="2210" t="str">
        <f t="shared" si="616"/>
        <v>Lunas</v>
      </c>
      <c r="AM1822" s="1666"/>
      <c r="AN1822" s="1590"/>
      <c r="AO1822"/>
      <c r="AP1822"/>
      <c r="AQ1822" s="1128"/>
      <c r="AR1822" s="1173"/>
      <c r="AT1822" s="1173"/>
      <c r="AV1822" s="1173"/>
      <c r="AX1822" s="1173"/>
      <c r="AY1822" s="1176"/>
      <c r="AZ1822" s="1173"/>
    </row>
    <row r="1823" spans="1:52" s="2" customFormat="1" x14ac:dyDescent="0.25">
      <c r="A1823" s="694">
        <v>1680</v>
      </c>
      <c r="B1823" s="706">
        <v>45</v>
      </c>
      <c r="C1823" s="716">
        <v>849319038</v>
      </c>
      <c r="D1823" s="701" t="s">
        <v>2324</v>
      </c>
      <c r="E1823" s="264" t="s">
        <v>2111</v>
      </c>
      <c r="F1823" s="175">
        <v>2019</v>
      </c>
      <c r="G1823" s="360" t="s">
        <v>1483</v>
      </c>
      <c r="H1823" s="215" t="str">
        <f t="shared" si="617"/>
        <v xml:space="preserve">   </v>
      </c>
      <c r="I1823" s="215" t="str">
        <f t="shared" si="618"/>
        <v xml:space="preserve">   </v>
      </c>
      <c r="J1823" s="1359">
        <v>2700000</v>
      </c>
      <c r="K1823" s="1523">
        <v>43692.442291666703</v>
      </c>
      <c r="L1823" s="1359">
        <v>3750000</v>
      </c>
      <c r="M1823" s="1523">
        <v>43692.442291666703</v>
      </c>
      <c r="N1823" s="1731">
        <v>3750000</v>
      </c>
      <c r="O1823" s="1367">
        <v>43854.4376388889</v>
      </c>
      <c r="P1823" s="1731">
        <v>3750000</v>
      </c>
      <c r="Q1823" s="1367">
        <v>44071.427361111098</v>
      </c>
      <c r="R1823" s="1363"/>
      <c r="S1823" s="1563"/>
      <c r="T1823" s="1363"/>
      <c r="U1823" s="1391"/>
      <c r="V1823" s="1363"/>
      <c r="W1823" s="1391"/>
      <c r="X1823" s="1363"/>
      <c r="Y1823" s="1391"/>
      <c r="Z1823" s="1363"/>
      <c r="AA1823" s="1391"/>
      <c r="AB1823" s="1731"/>
      <c r="AC1823" s="1367"/>
      <c r="AD1823" s="1666"/>
      <c r="AE1823" s="1590"/>
      <c r="AF1823" s="1666"/>
      <c r="AG1823" s="1590"/>
      <c r="AH1823" s="1625" t="str">
        <f t="shared" si="600"/>
        <v>PAI-3C</v>
      </c>
      <c r="AI1823" s="1675">
        <f t="shared" si="609"/>
        <v>13950000</v>
      </c>
      <c r="AJ1823" s="1675">
        <f t="shared" si="619"/>
        <v>13950000</v>
      </c>
      <c r="AK1823" s="1520">
        <f t="shared" si="615"/>
        <v>0</v>
      </c>
      <c r="AL1823" s="2210" t="str">
        <f t="shared" si="616"/>
        <v>Lunas</v>
      </c>
      <c r="AM1823" s="1666"/>
      <c r="AN1823" s="1590"/>
      <c r="AO1823"/>
      <c r="AP1823"/>
      <c r="AQ1823" s="1128"/>
      <c r="AR1823" s="1173"/>
      <c r="AT1823" s="1173"/>
      <c r="AV1823" s="1173"/>
      <c r="AX1823" s="1173"/>
      <c r="AY1823" s="1176"/>
      <c r="AZ1823" s="1173"/>
    </row>
    <row r="1824" spans="1:52" s="2" customFormat="1" x14ac:dyDescent="0.25">
      <c r="A1824" s="694">
        <v>1681</v>
      </c>
      <c r="B1824" s="709">
        <v>46</v>
      </c>
      <c r="C1824" s="716">
        <v>849319011</v>
      </c>
      <c r="D1824" s="701" t="s">
        <v>2325</v>
      </c>
      <c r="E1824" s="264" t="s">
        <v>2111</v>
      </c>
      <c r="F1824" s="175">
        <v>2019</v>
      </c>
      <c r="G1824" s="360" t="s">
        <v>1483</v>
      </c>
      <c r="H1824" s="215" t="str">
        <f t="shared" si="617"/>
        <v xml:space="preserve">   </v>
      </c>
      <c r="I1824" s="215" t="str">
        <f t="shared" si="618"/>
        <v xml:space="preserve">   </v>
      </c>
      <c r="J1824" s="1359">
        <v>2700000</v>
      </c>
      <c r="K1824" s="1523">
        <v>43685.370335648098</v>
      </c>
      <c r="L1824" s="1359">
        <v>3750000</v>
      </c>
      <c r="M1824" s="1523">
        <v>43685.370335648098</v>
      </c>
      <c r="N1824" s="1731">
        <v>3750000</v>
      </c>
      <c r="O1824" s="1367">
        <v>43854.354270833297</v>
      </c>
      <c r="P1824" s="1731">
        <v>3750000</v>
      </c>
      <c r="Q1824" s="1367">
        <v>44056.576284722199</v>
      </c>
      <c r="R1824" s="1363"/>
      <c r="S1824" s="1563"/>
      <c r="T1824" s="1363"/>
      <c r="U1824" s="1391"/>
      <c r="V1824" s="1363"/>
      <c r="W1824" s="1391"/>
      <c r="X1824" s="1363"/>
      <c r="Y1824" s="1391"/>
      <c r="Z1824" s="1363"/>
      <c r="AA1824" s="1391"/>
      <c r="AB1824" s="1731"/>
      <c r="AC1824" s="1367"/>
      <c r="AD1824" s="1666"/>
      <c r="AE1824" s="1590"/>
      <c r="AF1824" s="1666"/>
      <c r="AG1824" s="1590"/>
      <c r="AH1824" s="1625" t="str">
        <f t="shared" si="600"/>
        <v>PAI-3C</v>
      </c>
      <c r="AI1824" s="1675">
        <f t="shared" si="609"/>
        <v>13950000</v>
      </c>
      <c r="AJ1824" s="1675">
        <f t="shared" si="619"/>
        <v>13950000</v>
      </c>
      <c r="AK1824" s="1520">
        <f t="shared" si="615"/>
        <v>0</v>
      </c>
      <c r="AL1824" s="2210" t="str">
        <f t="shared" si="616"/>
        <v>Lunas</v>
      </c>
      <c r="AM1824" s="1666"/>
      <c r="AN1824" s="1590"/>
      <c r="AO1824"/>
      <c r="AP1824"/>
      <c r="AQ1824" s="1128"/>
      <c r="AR1824" s="1173"/>
      <c r="AT1824" s="1173"/>
      <c r="AV1824" s="1173"/>
      <c r="AX1824" s="1173"/>
      <c r="AY1824" s="1176"/>
      <c r="AZ1824" s="1173"/>
    </row>
    <row r="1825" spans="1:52" s="2" customFormat="1" x14ac:dyDescent="0.25">
      <c r="A1825" s="694">
        <v>1682</v>
      </c>
      <c r="B1825" s="706">
        <v>47</v>
      </c>
      <c r="C1825" s="716">
        <v>849319047</v>
      </c>
      <c r="D1825" s="701" t="s">
        <v>2326</v>
      </c>
      <c r="E1825" s="264" t="s">
        <v>2111</v>
      </c>
      <c r="F1825" s="175">
        <v>2019</v>
      </c>
      <c r="G1825" s="360" t="s">
        <v>1483</v>
      </c>
      <c r="H1825" s="215" t="str">
        <f t="shared" si="617"/>
        <v xml:space="preserve">   </v>
      </c>
      <c r="I1825" s="215" t="str">
        <f t="shared" si="618"/>
        <v xml:space="preserve">   </v>
      </c>
      <c r="J1825" s="1359">
        <v>2700000</v>
      </c>
      <c r="K1825" s="1523">
        <v>43696.641805555599</v>
      </c>
      <c r="L1825" s="1359">
        <v>3750000</v>
      </c>
      <c r="M1825" s="1523">
        <v>43696.641805555599</v>
      </c>
      <c r="N1825" s="1731">
        <v>3750000</v>
      </c>
      <c r="O1825" s="1367">
        <v>43854.350497685198</v>
      </c>
      <c r="P1825" s="1731">
        <v>3750000</v>
      </c>
      <c r="Q1825" s="1367">
        <v>44071.443391203698</v>
      </c>
      <c r="R1825" s="1363"/>
      <c r="S1825" s="1563"/>
      <c r="T1825" s="1363"/>
      <c r="U1825" s="1391"/>
      <c r="V1825" s="1363"/>
      <c r="W1825" s="1391"/>
      <c r="X1825" s="1363"/>
      <c r="Y1825" s="1391"/>
      <c r="Z1825" s="1363"/>
      <c r="AA1825" s="1391"/>
      <c r="AB1825" s="1731"/>
      <c r="AC1825" s="1367"/>
      <c r="AD1825" s="1666"/>
      <c r="AE1825" s="1590"/>
      <c r="AF1825" s="1666"/>
      <c r="AG1825" s="1590"/>
      <c r="AH1825" s="1625" t="str">
        <f t="shared" si="600"/>
        <v>PAI-3C</v>
      </c>
      <c r="AI1825" s="1675">
        <f t="shared" si="609"/>
        <v>13950000</v>
      </c>
      <c r="AJ1825" s="1675">
        <f t="shared" si="619"/>
        <v>13950000</v>
      </c>
      <c r="AK1825" s="1520">
        <f t="shared" si="615"/>
        <v>0</v>
      </c>
      <c r="AL1825" s="2210" t="str">
        <f t="shared" si="616"/>
        <v>Lunas</v>
      </c>
      <c r="AM1825" s="1666"/>
      <c r="AN1825" s="1590"/>
      <c r="AO1825"/>
      <c r="AP1825"/>
      <c r="AQ1825" s="1128"/>
      <c r="AR1825" s="1173"/>
      <c r="AT1825" s="1173"/>
      <c r="AV1825" s="1173"/>
      <c r="AX1825" s="1173"/>
      <c r="AY1825" s="1176"/>
      <c r="AZ1825" s="1173"/>
    </row>
    <row r="1826" spans="1:52" s="2" customFormat="1" x14ac:dyDescent="0.25">
      <c r="A1826" s="694">
        <v>1683</v>
      </c>
      <c r="B1826" s="709">
        <v>48</v>
      </c>
      <c r="C1826" s="716">
        <v>849319018</v>
      </c>
      <c r="D1826" s="701" t="s">
        <v>2327</v>
      </c>
      <c r="E1826" s="264" t="s">
        <v>2111</v>
      </c>
      <c r="F1826" s="175">
        <v>2019</v>
      </c>
      <c r="G1826" s="360" t="s">
        <v>1483</v>
      </c>
      <c r="H1826" s="215" t="str">
        <f t="shared" si="617"/>
        <v xml:space="preserve">   </v>
      </c>
      <c r="I1826" s="215" t="str">
        <f t="shared" si="618"/>
        <v xml:space="preserve">   </v>
      </c>
      <c r="J1826" s="1359">
        <v>2700000</v>
      </c>
      <c r="K1826" s="1523">
        <v>43684.632199074098</v>
      </c>
      <c r="L1826" s="1359">
        <v>3750000</v>
      </c>
      <c r="M1826" s="1523">
        <v>43684.632199074098</v>
      </c>
      <c r="N1826" s="1731">
        <v>3750000</v>
      </c>
      <c r="O1826" s="1367">
        <v>43858.601226851897</v>
      </c>
      <c r="P1826" s="1731">
        <v>3750000</v>
      </c>
      <c r="Q1826" s="1367">
        <v>44069.406030092599</v>
      </c>
      <c r="R1826" s="1363"/>
      <c r="S1826" s="1563"/>
      <c r="T1826" s="1363"/>
      <c r="U1826" s="1391"/>
      <c r="V1826" s="1363"/>
      <c r="W1826" s="1391"/>
      <c r="X1826" s="1363"/>
      <c r="Y1826" s="1391"/>
      <c r="Z1826" s="1363"/>
      <c r="AA1826" s="1391"/>
      <c r="AB1826" s="1731"/>
      <c r="AC1826" s="1367"/>
      <c r="AD1826" s="1666"/>
      <c r="AE1826" s="1590"/>
      <c r="AF1826" s="1666"/>
      <c r="AG1826" s="1590"/>
      <c r="AH1826" s="1625" t="str">
        <f t="shared" si="600"/>
        <v>PAI-3C</v>
      </c>
      <c r="AI1826" s="1675">
        <f t="shared" si="609"/>
        <v>13950000</v>
      </c>
      <c r="AJ1826" s="1675">
        <f t="shared" si="619"/>
        <v>13950000</v>
      </c>
      <c r="AK1826" s="1520">
        <f t="shared" si="615"/>
        <v>0</v>
      </c>
      <c r="AL1826" s="2210" t="str">
        <f t="shared" si="616"/>
        <v>Lunas</v>
      </c>
      <c r="AM1826" s="1666"/>
      <c r="AN1826" s="1590"/>
      <c r="AO1826"/>
      <c r="AP1826"/>
      <c r="AQ1826" s="1128"/>
      <c r="AR1826" s="1173"/>
      <c r="AT1826" s="1173"/>
      <c r="AV1826" s="1173"/>
      <c r="AX1826" s="1173"/>
      <c r="AY1826" s="1176"/>
      <c r="AZ1826" s="1173"/>
    </row>
    <row r="1827" spans="1:52" s="2" customFormat="1" x14ac:dyDescent="0.25">
      <c r="A1827" s="694">
        <v>1684</v>
      </c>
      <c r="B1827" s="706">
        <v>49</v>
      </c>
      <c r="C1827" s="716">
        <v>849319035</v>
      </c>
      <c r="D1827" s="701" t="s">
        <v>2328</v>
      </c>
      <c r="E1827" s="264" t="s">
        <v>2111</v>
      </c>
      <c r="F1827" s="175">
        <v>2019</v>
      </c>
      <c r="G1827" s="360" t="s">
        <v>1483</v>
      </c>
      <c r="H1827" s="727" t="str">
        <f t="shared" si="617"/>
        <v xml:space="preserve">   </v>
      </c>
      <c r="I1827" s="727" t="str">
        <f t="shared" si="618"/>
        <v xml:space="preserve">   </v>
      </c>
      <c r="J1827" s="1359">
        <v>2700000</v>
      </c>
      <c r="K1827" s="1523">
        <v>43691.602627314802</v>
      </c>
      <c r="L1827" s="1359">
        <v>3750000</v>
      </c>
      <c r="M1827" s="1523">
        <v>43691.602627314802</v>
      </c>
      <c r="N1827" s="1731">
        <v>3750000</v>
      </c>
      <c r="O1827" s="1367">
        <v>43860.596400463</v>
      </c>
      <c r="P1827" s="1731">
        <v>3750000</v>
      </c>
      <c r="Q1827" s="1367">
        <v>44070.473402777803</v>
      </c>
      <c r="R1827" s="1363"/>
      <c r="S1827" s="1563"/>
      <c r="T1827" s="1363"/>
      <c r="U1827" s="1391"/>
      <c r="V1827" s="1363"/>
      <c r="W1827" s="1391"/>
      <c r="X1827" s="1363"/>
      <c r="Y1827" s="1391"/>
      <c r="Z1827" s="1363"/>
      <c r="AA1827" s="1391"/>
      <c r="AB1827" s="1731"/>
      <c r="AC1827" s="1367"/>
      <c r="AD1827" s="1666"/>
      <c r="AE1827" s="1590"/>
      <c r="AF1827" s="1666"/>
      <c r="AG1827" s="1590"/>
      <c r="AH1827" s="1626" t="str">
        <f t="shared" ref="AH1827:AH1890" si="620">E1827</f>
        <v>PAI-3C</v>
      </c>
      <c r="AI1827" s="1675">
        <f t="shared" si="609"/>
        <v>13950000</v>
      </c>
      <c r="AJ1827" s="1675">
        <f t="shared" si="619"/>
        <v>13950000</v>
      </c>
      <c r="AK1827" s="1520">
        <f t="shared" si="615"/>
        <v>0</v>
      </c>
      <c r="AL1827" s="2210" t="str">
        <f t="shared" si="616"/>
        <v>Lunas</v>
      </c>
      <c r="AM1827" s="1666"/>
      <c r="AN1827" s="1590"/>
      <c r="AO1827"/>
      <c r="AP1827"/>
      <c r="AQ1827" s="1128"/>
      <c r="AR1827" s="1173"/>
      <c r="AT1827" s="1173"/>
      <c r="AV1827" s="1173"/>
      <c r="AX1827" s="1173"/>
      <c r="AY1827" s="1176"/>
      <c r="AZ1827" s="1173"/>
    </row>
    <row r="1828" spans="1:52" s="2" customFormat="1" x14ac:dyDescent="0.25">
      <c r="A1828" s="694">
        <v>1685</v>
      </c>
      <c r="B1828" s="709">
        <v>50</v>
      </c>
      <c r="C1828" s="716">
        <v>849319016</v>
      </c>
      <c r="D1828" s="701" t="s">
        <v>2329</v>
      </c>
      <c r="E1828" s="264" t="s">
        <v>2111</v>
      </c>
      <c r="F1828" s="175">
        <v>2019</v>
      </c>
      <c r="G1828" s="360" t="s">
        <v>1483</v>
      </c>
      <c r="H1828" s="215" t="str">
        <f t="shared" si="617"/>
        <v xml:space="preserve">   </v>
      </c>
      <c r="I1828" s="215" t="str">
        <f t="shared" si="618"/>
        <v xml:space="preserve">   </v>
      </c>
      <c r="J1828" s="1359">
        <v>2700000</v>
      </c>
      <c r="K1828" s="1523">
        <v>43689.445555555598</v>
      </c>
      <c r="L1828" s="1359">
        <v>3750000</v>
      </c>
      <c r="M1828" s="1523">
        <v>43689.445555555598</v>
      </c>
      <c r="N1828" s="1731">
        <v>3750000</v>
      </c>
      <c r="O1828" s="1367">
        <v>43859.425358796303</v>
      </c>
      <c r="P1828" s="1731">
        <v>3750000</v>
      </c>
      <c r="Q1828" s="1367">
        <v>44067.484525462998</v>
      </c>
      <c r="R1828" s="1363"/>
      <c r="S1828" s="1563"/>
      <c r="T1828" s="1363"/>
      <c r="U1828" s="1391"/>
      <c r="V1828" s="1363"/>
      <c r="W1828" s="1391"/>
      <c r="X1828" s="1363"/>
      <c r="Y1828" s="1391"/>
      <c r="Z1828" s="1363"/>
      <c r="AA1828" s="1391"/>
      <c r="AB1828" s="1731"/>
      <c r="AC1828" s="1367"/>
      <c r="AD1828" s="1666"/>
      <c r="AE1828" s="1590"/>
      <c r="AF1828" s="1666"/>
      <c r="AG1828" s="1590"/>
      <c r="AH1828" s="1625" t="str">
        <f t="shared" si="620"/>
        <v>PAI-3C</v>
      </c>
      <c r="AI1828" s="1675">
        <f t="shared" si="609"/>
        <v>13950000</v>
      </c>
      <c r="AJ1828" s="1675">
        <f t="shared" si="619"/>
        <v>13950000</v>
      </c>
      <c r="AK1828" s="1520">
        <f t="shared" si="615"/>
        <v>0</v>
      </c>
      <c r="AL1828" s="2210" t="str">
        <f t="shared" si="616"/>
        <v>Lunas</v>
      </c>
      <c r="AM1828" s="1666"/>
      <c r="AN1828" s="1590"/>
      <c r="AO1828"/>
      <c r="AP1828"/>
      <c r="AQ1828" s="1128"/>
      <c r="AR1828" s="1173"/>
      <c r="AT1828" s="1173"/>
      <c r="AV1828" s="1173"/>
      <c r="AX1828" s="1173"/>
      <c r="AY1828" s="1176"/>
      <c r="AZ1828" s="1173"/>
    </row>
    <row r="1829" spans="1:52" s="2" customFormat="1" x14ac:dyDescent="0.25">
      <c r="A1829" s="694">
        <v>1686</v>
      </c>
      <c r="B1829" s="706">
        <v>51</v>
      </c>
      <c r="C1829" s="716">
        <v>849319012</v>
      </c>
      <c r="D1829" s="701" t="s">
        <v>2330</v>
      </c>
      <c r="E1829" s="264" t="s">
        <v>2111</v>
      </c>
      <c r="F1829" s="175">
        <v>2019</v>
      </c>
      <c r="G1829" s="360" t="s">
        <v>1483</v>
      </c>
      <c r="H1829" s="215" t="str">
        <f t="shared" si="617"/>
        <v xml:space="preserve">   </v>
      </c>
      <c r="I1829" s="215" t="str">
        <f t="shared" si="618"/>
        <v xml:space="preserve">   </v>
      </c>
      <c r="J1829" s="1359">
        <v>2700000</v>
      </c>
      <c r="K1829" s="1523">
        <v>43686.421944444402</v>
      </c>
      <c r="L1829" s="1359">
        <v>3750000</v>
      </c>
      <c r="M1829" s="1523">
        <v>43686.421944444402</v>
      </c>
      <c r="N1829" s="1731">
        <v>3750000</v>
      </c>
      <c r="O1829" s="1367">
        <v>43858.5051157407</v>
      </c>
      <c r="P1829" s="1731">
        <v>3750000</v>
      </c>
      <c r="Q1829" s="1367">
        <v>44055.612141203703</v>
      </c>
      <c r="R1829" s="1363"/>
      <c r="S1829" s="1563"/>
      <c r="T1829" s="1363"/>
      <c r="U1829" s="1391"/>
      <c r="V1829" s="1363"/>
      <c r="W1829" s="1391"/>
      <c r="X1829" s="1363"/>
      <c r="Y1829" s="1391"/>
      <c r="Z1829" s="1363"/>
      <c r="AA1829" s="1391"/>
      <c r="AB1829" s="1731"/>
      <c r="AC1829" s="1367"/>
      <c r="AD1829" s="1666"/>
      <c r="AE1829" s="1590"/>
      <c r="AF1829" s="1666"/>
      <c r="AG1829" s="1590"/>
      <c r="AH1829" s="1625" t="str">
        <f t="shared" si="620"/>
        <v>PAI-3C</v>
      </c>
      <c r="AI1829" s="1675">
        <f t="shared" si="609"/>
        <v>13950000</v>
      </c>
      <c r="AJ1829" s="1675">
        <f t="shared" si="619"/>
        <v>13950000</v>
      </c>
      <c r="AK1829" s="1520">
        <f t="shared" si="615"/>
        <v>0</v>
      </c>
      <c r="AL1829" s="2210" t="str">
        <f t="shared" si="616"/>
        <v>Lunas</v>
      </c>
      <c r="AM1829" s="1666"/>
      <c r="AN1829" s="1590"/>
      <c r="AO1829"/>
      <c r="AP1829"/>
      <c r="AQ1829" s="1128"/>
      <c r="AR1829" s="1173"/>
      <c r="AT1829" s="1173"/>
      <c r="AV1829" s="1173"/>
      <c r="AX1829" s="1173"/>
      <c r="AY1829" s="1176"/>
      <c r="AZ1829" s="1173"/>
    </row>
    <row r="1830" spans="1:52" s="2" customFormat="1" x14ac:dyDescent="0.25">
      <c r="A1830" s="694">
        <v>1687</v>
      </c>
      <c r="B1830" s="709">
        <v>52</v>
      </c>
      <c r="C1830" s="716">
        <v>849319020</v>
      </c>
      <c r="D1830" s="701" t="s">
        <v>2331</v>
      </c>
      <c r="E1830" s="264" t="s">
        <v>2111</v>
      </c>
      <c r="F1830" s="175">
        <v>2019</v>
      </c>
      <c r="G1830" s="360" t="s">
        <v>1483</v>
      </c>
      <c r="H1830" s="215" t="str">
        <f t="shared" si="617"/>
        <v xml:space="preserve">   </v>
      </c>
      <c r="I1830" s="215" t="str">
        <f t="shared" si="618"/>
        <v xml:space="preserve">   </v>
      </c>
      <c r="J1830" s="1359">
        <v>2700000</v>
      </c>
      <c r="K1830" s="1523">
        <v>43682.4670833333</v>
      </c>
      <c r="L1830" s="1359">
        <v>3750000</v>
      </c>
      <c r="M1830" s="1523">
        <v>43682.4670833333</v>
      </c>
      <c r="N1830" s="1731">
        <v>3750000</v>
      </c>
      <c r="O1830" s="1367">
        <v>43857.524131944403</v>
      </c>
      <c r="P1830" s="1731">
        <v>3750000</v>
      </c>
      <c r="Q1830" s="1367">
        <v>44039.613981481503</v>
      </c>
      <c r="R1830" s="1363"/>
      <c r="S1830" s="1563"/>
      <c r="T1830" s="1363"/>
      <c r="U1830" s="1391"/>
      <c r="V1830" s="1363"/>
      <c r="W1830" s="1391"/>
      <c r="X1830" s="1363"/>
      <c r="Y1830" s="1391"/>
      <c r="Z1830" s="1363"/>
      <c r="AA1830" s="1391"/>
      <c r="AB1830" s="1731"/>
      <c r="AC1830" s="1367"/>
      <c r="AD1830" s="1666"/>
      <c r="AE1830" s="1590"/>
      <c r="AF1830" s="1666"/>
      <c r="AG1830" s="1590"/>
      <c r="AH1830" s="1625" t="str">
        <f t="shared" si="620"/>
        <v>PAI-3C</v>
      </c>
      <c r="AI1830" s="1675">
        <f t="shared" si="609"/>
        <v>13950000</v>
      </c>
      <c r="AJ1830" s="1675">
        <f t="shared" si="619"/>
        <v>13950000</v>
      </c>
      <c r="AK1830" s="1520">
        <f t="shared" si="615"/>
        <v>0</v>
      </c>
      <c r="AL1830" s="2210" t="str">
        <f t="shared" si="616"/>
        <v>Lunas</v>
      </c>
      <c r="AM1830" s="1666"/>
      <c r="AN1830" s="1590"/>
      <c r="AO1830"/>
      <c r="AP1830"/>
      <c r="AQ1830" s="1128"/>
      <c r="AR1830" s="1173"/>
      <c r="AT1830" s="1173"/>
      <c r="AV1830" s="1173"/>
      <c r="AX1830" s="1173"/>
      <c r="AY1830" s="1176"/>
      <c r="AZ1830" s="1173"/>
    </row>
    <row r="1831" spans="1:52" s="2" customFormat="1" x14ac:dyDescent="0.25">
      <c r="A1831" s="694">
        <v>1688</v>
      </c>
      <c r="B1831" s="706">
        <v>53</v>
      </c>
      <c r="C1831" s="716">
        <v>849319013</v>
      </c>
      <c r="D1831" s="701" t="s">
        <v>2332</v>
      </c>
      <c r="E1831" s="264" t="s">
        <v>2111</v>
      </c>
      <c r="F1831" s="175">
        <v>2019</v>
      </c>
      <c r="G1831" s="360" t="s">
        <v>1483</v>
      </c>
      <c r="H1831" s="215" t="str">
        <f t="shared" si="617"/>
        <v xml:space="preserve">   </v>
      </c>
      <c r="I1831" s="215" t="str">
        <f t="shared" si="618"/>
        <v xml:space="preserve">   </v>
      </c>
      <c r="J1831" s="1359">
        <v>2700000</v>
      </c>
      <c r="K1831" s="1523">
        <v>43686.423368055599</v>
      </c>
      <c r="L1831" s="1359">
        <v>3750000</v>
      </c>
      <c r="M1831" s="1523">
        <v>43686.423368055599</v>
      </c>
      <c r="N1831" s="1731">
        <v>3750000</v>
      </c>
      <c r="O1831" s="1367">
        <v>43857.648877314801</v>
      </c>
      <c r="P1831" s="1731">
        <v>3750000</v>
      </c>
      <c r="Q1831" s="1367">
        <v>44057.389421296299</v>
      </c>
      <c r="R1831" s="1363"/>
      <c r="S1831" s="1563"/>
      <c r="T1831" s="1363"/>
      <c r="U1831" s="1391"/>
      <c r="V1831" s="1363"/>
      <c r="W1831" s="1391"/>
      <c r="X1831" s="1363"/>
      <c r="Y1831" s="1391"/>
      <c r="Z1831" s="1363"/>
      <c r="AA1831" s="1391"/>
      <c r="AB1831" s="1731"/>
      <c r="AC1831" s="1367"/>
      <c r="AD1831" s="1666"/>
      <c r="AE1831" s="1590"/>
      <c r="AF1831" s="1666"/>
      <c r="AG1831" s="1590"/>
      <c r="AH1831" s="1625" t="str">
        <f t="shared" si="620"/>
        <v>PAI-3C</v>
      </c>
      <c r="AI1831" s="1675">
        <f t="shared" si="609"/>
        <v>13950000</v>
      </c>
      <c r="AJ1831" s="1675">
        <f t="shared" si="619"/>
        <v>13950000</v>
      </c>
      <c r="AK1831" s="1520">
        <f t="shared" si="615"/>
        <v>0</v>
      </c>
      <c r="AL1831" s="2210" t="str">
        <f t="shared" si="616"/>
        <v>Lunas</v>
      </c>
      <c r="AM1831" s="1666"/>
      <c r="AN1831" s="1590"/>
      <c r="AO1831"/>
      <c r="AP1831"/>
      <c r="AQ1831" s="1128"/>
      <c r="AR1831" s="1173"/>
      <c r="AT1831" s="1173"/>
      <c r="AV1831" s="1173"/>
      <c r="AX1831" s="1173"/>
      <c r="AY1831" s="1176"/>
      <c r="AZ1831" s="1173"/>
    </row>
    <row r="1832" spans="1:52" s="2" customFormat="1" x14ac:dyDescent="0.25">
      <c r="A1832" s="694">
        <v>1689</v>
      </c>
      <c r="B1832" s="709">
        <v>54</v>
      </c>
      <c r="C1832" s="716">
        <v>849319008</v>
      </c>
      <c r="D1832" s="701" t="s">
        <v>2333</v>
      </c>
      <c r="E1832" s="264" t="s">
        <v>2111</v>
      </c>
      <c r="F1832" s="175">
        <v>2019</v>
      </c>
      <c r="G1832" s="360" t="s">
        <v>1483</v>
      </c>
      <c r="H1832" s="727" t="str">
        <f t="shared" si="617"/>
        <v xml:space="preserve">   </v>
      </c>
      <c r="I1832" s="727" t="str">
        <f t="shared" si="618"/>
        <v xml:space="preserve">   </v>
      </c>
      <c r="J1832" s="1359">
        <v>2700000</v>
      </c>
      <c r="K1832" s="1523">
        <v>43679.411273148202</v>
      </c>
      <c r="L1832" s="1359">
        <v>3750000</v>
      </c>
      <c r="M1832" s="1523">
        <v>43679.411273148202</v>
      </c>
      <c r="N1832" s="1731">
        <v>3750000</v>
      </c>
      <c r="O1832" s="1367">
        <v>43854.412407407399</v>
      </c>
      <c r="P1832" s="1731">
        <v>3750000</v>
      </c>
      <c r="Q1832" s="1367">
        <v>44046.321238425902</v>
      </c>
      <c r="R1832" s="1363"/>
      <c r="S1832" s="1563"/>
      <c r="T1832" s="1363"/>
      <c r="U1832" s="1391"/>
      <c r="V1832" s="1363"/>
      <c r="W1832" s="1391"/>
      <c r="X1832" s="1363"/>
      <c r="Y1832" s="1391"/>
      <c r="Z1832" s="1363"/>
      <c r="AA1832" s="1391"/>
      <c r="AB1832" s="1731"/>
      <c r="AC1832" s="1367"/>
      <c r="AD1832" s="1666"/>
      <c r="AE1832" s="1590"/>
      <c r="AF1832" s="1666"/>
      <c r="AG1832" s="1590"/>
      <c r="AH1832" s="1626" t="str">
        <f t="shared" si="620"/>
        <v>PAI-3C</v>
      </c>
      <c r="AI1832" s="1675">
        <f t="shared" si="609"/>
        <v>13950000</v>
      </c>
      <c r="AJ1832" s="1675">
        <f t="shared" si="619"/>
        <v>13950000</v>
      </c>
      <c r="AK1832" s="1520">
        <f t="shared" si="615"/>
        <v>0</v>
      </c>
      <c r="AL1832" s="2210" t="str">
        <f t="shared" si="616"/>
        <v>Lunas</v>
      </c>
      <c r="AM1832" s="1666"/>
      <c r="AN1832" s="1590"/>
      <c r="AO1832"/>
      <c r="AP1832"/>
      <c r="AQ1832" s="1128"/>
      <c r="AR1832" s="1173"/>
      <c r="AT1832" s="1173"/>
      <c r="AV1832" s="1173"/>
      <c r="AX1832" s="1173"/>
      <c r="AY1832" s="1176"/>
      <c r="AZ1832" s="1173"/>
    </row>
    <row r="1833" spans="1:52" s="2" customFormat="1" x14ac:dyDescent="0.25">
      <c r="A1833" s="694">
        <v>1690</v>
      </c>
      <c r="B1833" s="706">
        <v>55</v>
      </c>
      <c r="C1833" s="716">
        <v>849319033</v>
      </c>
      <c r="D1833" s="701" t="s">
        <v>2334</v>
      </c>
      <c r="E1833" s="264" t="s">
        <v>2111</v>
      </c>
      <c r="F1833" s="175">
        <v>2019</v>
      </c>
      <c r="G1833" s="360" t="s">
        <v>1483</v>
      </c>
      <c r="H1833" s="215" t="str">
        <f t="shared" si="617"/>
        <v xml:space="preserve">   </v>
      </c>
      <c r="I1833" s="215" t="str">
        <f t="shared" si="618"/>
        <v xml:space="preserve">   </v>
      </c>
      <c r="J1833" s="1359">
        <v>2700000</v>
      </c>
      <c r="K1833" s="1523">
        <v>43691.571562500001</v>
      </c>
      <c r="L1833" s="1359">
        <v>3750000</v>
      </c>
      <c r="M1833" s="1523">
        <v>43691.571562500001</v>
      </c>
      <c r="N1833" s="1731">
        <v>3750000</v>
      </c>
      <c r="O1833" s="1367">
        <v>43860.345462963</v>
      </c>
      <c r="P1833" s="1731">
        <v>3750000</v>
      </c>
      <c r="Q1833" s="1367">
        <v>44069.447650463</v>
      </c>
      <c r="R1833" s="1363"/>
      <c r="S1833" s="1563"/>
      <c r="T1833" s="1363"/>
      <c r="U1833" s="1391"/>
      <c r="V1833" s="1363"/>
      <c r="W1833" s="1391"/>
      <c r="X1833" s="1363"/>
      <c r="Y1833" s="1391"/>
      <c r="Z1833" s="1363"/>
      <c r="AA1833" s="1391"/>
      <c r="AB1833" s="1731"/>
      <c r="AC1833" s="1367"/>
      <c r="AD1833" s="1666"/>
      <c r="AE1833" s="1590"/>
      <c r="AF1833" s="1666"/>
      <c r="AG1833" s="1590"/>
      <c r="AH1833" s="1625" t="str">
        <f t="shared" si="620"/>
        <v>PAI-3C</v>
      </c>
      <c r="AI1833" s="1675">
        <f t="shared" si="609"/>
        <v>13950000</v>
      </c>
      <c r="AJ1833" s="1675">
        <f t="shared" si="619"/>
        <v>13950000</v>
      </c>
      <c r="AK1833" s="1520">
        <f t="shared" si="615"/>
        <v>0</v>
      </c>
      <c r="AL1833" s="2210" t="str">
        <f t="shared" si="616"/>
        <v>Lunas</v>
      </c>
      <c r="AM1833" s="1666"/>
      <c r="AN1833" s="1590"/>
      <c r="AO1833"/>
      <c r="AP1833"/>
      <c r="AQ1833" s="1128"/>
      <c r="AR1833" s="1173"/>
      <c r="AT1833" s="1173"/>
      <c r="AV1833" s="1173"/>
      <c r="AX1833" s="1173"/>
      <c r="AY1833" s="1176"/>
      <c r="AZ1833" s="1173"/>
    </row>
    <row r="1834" spans="1:52" s="2" customFormat="1" x14ac:dyDescent="0.25">
      <c r="A1834" s="694">
        <v>1691</v>
      </c>
      <c r="B1834" s="709">
        <v>56</v>
      </c>
      <c r="C1834" s="716">
        <v>849319032</v>
      </c>
      <c r="D1834" s="701" t="s">
        <v>2335</v>
      </c>
      <c r="E1834" s="264" t="s">
        <v>2111</v>
      </c>
      <c r="F1834" s="175">
        <v>2019</v>
      </c>
      <c r="G1834" s="360" t="s">
        <v>1483</v>
      </c>
      <c r="H1834" s="215" t="str">
        <f t="shared" si="617"/>
        <v xml:space="preserve">   </v>
      </c>
      <c r="I1834" s="215" t="str">
        <f t="shared" si="618"/>
        <v xml:space="preserve">   </v>
      </c>
      <c r="J1834" s="1359">
        <v>2700000</v>
      </c>
      <c r="K1834" s="1523">
        <v>43691.5477314815</v>
      </c>
      <c r="L1834" s="1359">
        <v>3750000</v>
      </c>
      <c r="M1834" s="1523">
        <v>43691.5477314815</v>
      </c>
      <c r="N1834" s="1731">
        <v>3750000</v>
      </c>
      <c r="O1834" s="1367">
        <v>43853.580451388902</v>
      </c>
      <c r="P1834" s="1731">
        <v>3750000</v>
      </c>
      <c r="Q1834" s="1367">
        <v>44048.368726851899</v>
      </c>
      <c r="R1834" s="1363">
        <v>3750000</v>
      </c>
      <c r="S1834" s="1563">
        <v>46043</v>
      </c>
      <c r="T1834" s="1363"/>
      <c r="U1834" s="1391"/>
      <c r="V1834" s="1363"/>
      <c r="W1834" s="1391"/>
      <c r="X1834" s="1363"/>
      <c r="Y1834" s="1391"/>
      <c r="Z1834" s="1363"/>
      <c r="AA1834" s="1391"/>
      <c r="AB1834" s="1731">
        <v>1000000</v>
      </c>
      <c r="AC1834" s="1367">
        <v>44169</v>
      </c>
      <c r="AD1834" s="1666"/>
      <c r="AE1834" s="1590"/>
      <c r="AF1834" s="1666"/>
      <c r="AG1834" s="1590"/>
      <c r="AH1834" s="1625" t="str">
        <f t="shared" si="620"/>
        <v>PAI-3C</v>
      </c>
      <c r="AI1834" s="1675">
        <f t="shared" si="609"/>
        <v>18700000</v>
      </c>
      <c r="AJ1834" s="1675">
        <f t="shared" si="619"/>
        <v>18700000</v>
      </c>
      <c r="AK1834" s="1520">
        <f t="shared" si="615"/>
        <v>0</v>
      </c>
      <c r="AL1834" s="2210" t="str">
        <f t="shared" si="616"/>
        <v>Lunas</v>
      </c>
      <c r="AM1834" s="1666"/>
      <c r="AN1834" s="1590"/>
      <c r="AO1834"/>
      <c r="AP1834"/>
      <c r="AQ1834" s="1128"/>
      <c r="AR1834" s="1173"/>
      <c r="AT1834" s="1173"/>
      <c r="AV1834" s="1173"/>
      <c r="AX1834" s="1173"/>
      <c r="AY1834" s="1176"/>
      <c r="AZ1834" s="1173"/>
    </row>
    <row r="1835" spans="1:52" s="2" customFormat="1" x14ac:dyDescent="0.25">
      <c r="A1835" s="694">
        <v>1692</v>
      </c>
      <c r="B1835" s="706">
        <v>57</v>
      </c>
      <c r="C1835" s="716">
        <v>849319025</v>
      </c>
      <c r="D1835" s="701" t="s">
        <v>2336</v>
      </c>
      <c r="E1835" s="264" t="s">
        <v>2337</v>
      </c>
      <c r="F1835" s="175">
        <v>2019</v>
      </c>
      <c r="G1835" s="360" t="s">
        <v>1483</v>
      </c>
      <c r="H1835" s="215" t="str">
        <f t="shared" si="617"/>
        <v xml:space="preserve">   </v>
      </c>
      <c r="I1835" s="215" t="str">
        <f t="shared" si="618"/>
        <v xml:space="preserve">   </v>
      </c>
      <c r="J1835" s="1359">
        <v>2700000</v>
      </c>
      <c r="K1835" s="1523">
        <v>43685.633368055598</v>
      </c>
      <c r="L1835" s="1359">
        <v>3750000</v>
      </c>
      <c r="M1835" s="1523">
        <v>43685.633368055598</v>
      </c>
      <c r="N1835" s="1731">
        <v>3750000</v>
      </c>
      <c r="O1835" s="1367">
        <v>43858.430532407401</v>
      </c>
      <c r="P1835" s="1731">
        <v>3750000</v>
      </c>
      <c r="Q1835" s="1367">
        <v>44069.519895833299</v>
      </c>
      <c r="R1835" s="1363"/>
      <c r="S1835" s="1563"/>
      <c r="T1835" s="1363"/>
      <c r="U1835" s="1391"/>
      <c r="V1835" s="1363"/>
      <c r="W1835" s="1391"/>
      <c r="X1835" s="1363"/>
      <c r="Y1835" s="1391"/>
      <c r="Z1835" s="1363"/>
      <c r="AA1835" s="1391"/>
      <c r="AB1835" s="1731"/>
      <c r="AC1835" s="1367"/>
      <c r="AD1835" s="1666"/>
      <c r="AE1835" s="1590"/>
      <c r="AF1835" s="1666"/>
      <c r="AG1835" s="1590"/>
      <c r="AH1835" s="1625" t="str">
        <f t="shared" si="620"/>
        <v>PAI-3D</v>
      </c>
      <c r="AI1835" s="1675">
        <f t="shared" si="609"/>
        <v>13950000</v>
      </c>
      <c r="AJ1835" s="1675">
        <f t="shared" si="619"/>
        <v>13950000</v>
      </c>
      <c r="AK1835" s="1520">
        <f t="shared" si="615"/>
        <v>0</v>
      </c>
      <c r="AL1835" s="2210" t="str">
        <f t="shared" si="616"/>
        <v>Lunas</v>
      </c>
      <c r="AM1835" s="1666"/>
      <c r="AN1835" s="1590"/>
      <c r="AO1835"/>
      <c r="AP1835"/>
      <c r="AQ1835" s="1128"/>
      <c r="AR1835" s="1173"/>
      <c r="AT1835" s="1173"/>
      <c r="AV1835" s="1173"/>
      <c r="AX1835" s="1173"/>
      <c r="AY1835" s="1176"/>
      <c r="AZ1835" s="1173"/>
    </row>
    <row r="1836" spans="1:52" s="2" customFormat="1" x14ac:dyDescent="0.25">
      <c r="A1836" s="694">
        <v>1693</v>
      </c>
      <c r="B1836" s="709">
        <v>58</v>
      </c>
      <c r="C1836" s="716">
        <v>849319007</v>
      </c>
      <c r="D1836" s="701" t="s">
        <v>2338</v>
      </c>
      <c r="E1836" s="264" t="s">
        <v>2337</v>
      </c>
      <c r="F1836" s="175">
        <v>2019</v>
      </c>
      <c r="G1836" s="360" t="s">
        <v>1483</v>
      </c>
      <c r="H1836" s="727" t="str">
        <f t="shared" si="617"/>
        <v xml:space="preserve">   </v>
      </c>
      <c r="I1836" s="727" t="str">
        <f t="shared" si="618"/>
        <v xml:space="preserve">   </v>
      </c>
      <c r="J1836" s="1359">
        <v>2700000</v>
      </c>
      <c r="K1836" s="1523">
        <v>43684.426296296297</v>
      </c>
      <c r="L1836" s="1359">
        <v>3750000</v>
      </c>
      <c r="M1836" s="1523">
        <v>43684.426296296297</v>
      </c>
      <c r="N1836" s="1731">
        <v>3750000</v>
      </c>
      <c r="O1836" s="1367">
        <v>43854.416215277801</v>
      </c>
      <c r="P1836" s="1731">
        <v>3750000</v>
      </c>
      <c r="Q1836" s="1367">
        <v>44057.376736111102</v>
      </c>
      <c r="R1836" s="1363"/>
      <c r="S1836" s="1563"/>
      <c r="T1836" s="1363"/>
      <c r="U1836" s="1391"/>
      <c r="V1836" s="1363"/>
      <c r="W1836" s="1391"/>
      <c r="X1836" s="1363"/>
      <c r="Y1836" s="1391"/>
      <c r="Z1836" s="1363"/>
      <c r="AA1836" s="1391"/>
      <c r="AB1836" s="1731">
        <v>1000000</v>
      </c>
      <c r="AC1836" s="1367">
        <v>44131</v>
      </c>
      <c r="AD1836" s="1666"/>
      <c r="AE1836" s="1590"/>
      <c r="AF1836" s="1666"/>
      <c r="AG1836" s="1590"/>
      <c r="AH1836" s="1626" t="str">
        <f t="shared" si="620"/>
        <v>PAI-3D</v>
      </c>
      <c r="AI1836" s="1675">
        <f t="shared" si="609"/>
        <v>14950000</v>
      </c>
      <c r="AJ1836" s="1675">
        <f t="shared" si="619"/>
        <v>14950000</v>
      </c>
      <c r="AK1836" s="1520">
        <f t="shared" si="615"/>
        <v>0</v>
      </c>
      <c r="AL1836" s="2210" t="str">
        <f t="shared" si="616"/>
        <v>Lunas</v>
      </c>
      <c r="AM1836" s="1666"/>
      <c r="AN1836" s="1590"/>
      <c r="AO1836"/>
      <c r="AP1836"/>
      <c r="AQ1836" s="1128"/>
      <c r="AR1836" s="1173"/>
      <c r="AT1836" s="1173"/>
      <c r="AV1836" s="1173"/>
      <c r="AX1836" s="1173"/>
      <c r="AY1836" s="1176"/>
      <c r="AZ1836" s="1173"/>
    </row>
    <row r="1837" spans="1:52" s="2" customFormat="1" x14ac:dyDescent="0.25">
      <c r="A1837" s="694">
        <v>1694</v>
      </c>
      <c r="B1837" s="706">
        <v>59</v>
      </c>
      <c r="C1837" s="716">
        <v>849319010</v>
      </c>
      <c r="D1837" s="701" t="s">
        <v>2339</v>
      </c>
      <c r="E1837" s="264" t="s">
        <v>2337</v>
      </c>
      <c r="F1837" s="175">
        <v>2019</v>
      </c>
      <c r="G1837" s="360" t="s">
        <v>1483</v>
      </c>
      <c r="H1837" s="215" t="str">
        <f t="shared" si="617"/>
        <v xml:space="preserve">   </v>
      </c>
      <c r="I1837" s="215" t="str">
        <f t="shared" si="618"/>
        <v xml:space="preserve">   </v>
      </c>
      <c r="J1837" s="1359">
        <v>2700000</v>
      </c>
      <c r="K1837" s="1523">
        <v>43686.433923611097</v>
      </c>
      <c r="L1837" s="1359">
        <v>3750000</v>
      </c>
      <c r="M1837" s="1523">
        <v>43686.433923611097</v>
      </c>
      <c r="N1837" s="1731">
        <v>3750000</v>
      </c>
      <c r="O1837" s="1367">
        <v>43857.4850925926</v>
      </c>
      <c r="P1837" s="1731">
        <v>3750000</v>
      </c>
      <c r="Q1837" s="1367">
        <v>44041.583726851903</v>
      </c>
      <c r="R1837" s="1363"/>
      <c r="S1837" s="1563"/>
      <c r="T1837" s="1363"/>
      <c r="U1837" s="1391"/>
      <c r="V1837" s="1363"/>
      <c r="W1837" s="1391"/>
      <c r="X1837" s="1363"/>
      <c r="Y1837" s="1391"/>
      <c r="Z1837" s="1363"/>
      <c r="AA1837" s="1391"/>
      <c r="AB1837" s="1731"/>
      <c r="AC1837" s="1367"/>
      <c r="AD1837" s="1666"/>
      <c r="AE1837" s="1590"/>
      <c r="AF1837" s="1666"/>
      <c r="AG1837" s="1590"/>
      <c r="AH1837" s="1625" t="str">
        <f t="shared" si="620"/>
        <v>PAI-3D</v>
      </c>
      <c r="AI1837" s="1675">
        <f t="shared" si="609"/>
        <v>13950000</v>
      </c>
      <c r="AJ1837" s="1675">
        <f t="shared" si="619"/>
        <v>13950000</v>
      </c>
      <c r="AK1837" s="1520">
        <f t="shared" si="615"/>
        <v>0</v>
      </c>
      <c r="AL1837" s="2210" t="str">
        <f t="shared" si="616"/>
        <v>Lunas</v>
      </c>
      <c r="AM1837" s="1666"/>
      <c r="AN1837" s="1590"/>
      <c r="AO1837"/>
      <c r="AP1837"/>
      <c r="AQ1837" s="1128"/>
      <c r="AR1837" s="1173"/>
      <c r="AT1837" s="1173"/>
      <c r="AV1837" s="1173"/>
      <c r="AX1837" s="1173"/>
      <c r="AY1837" s="1176"/>
      <c r="AZ1837" s="1173"/>
    </row>
    <row r="1838" spans="1:52" s="2" customFormat="1" x14ac:dyDescent="0.25">
      <c r="A1838" s="694">
        <v>1695</v>
      </c>
      <c r="B1838" s="709">
        <v>60</v>
      </c>
      <c r="C1838" s="716">
        <v>849319005</v>
      </c>
      <c r="D1838" s="701" t="s">
        <v>2340</v>
      </c>
      <c r="E1838" s="264" t="s">
        <v>2337</v>
      </c>
      <c r="F1838" s="175">
        <v>2019</v>
      </c>
      <c r="G1838" s="360" t="s">
        <v>1483</v>
      </c>
      <c r="H1838" s="215" t="str">
        <f t="shared" si="617"/>
        <v xml:space="preserve">   </v>
      </c>
      <c r="I1838" s="215" t="str">
        <f t="shared" si="618"/>
        <v xml:space="preserve">   </v>
      </c>
      <c r="J1838" s="1359">
        <v>2700000</v>
      </c>
      <c r="K1838" s="1523">
        <v>43683.409803240698</v>
      </c>
      <c r="L1838" s="1359">
        <v>3750000</v>
      </c>
      <c r="M1838" s="1523">
        <v>43683.409803240698</v>
      </c>
      <c r="N1838" s="1731">
        <v>3750000</v>
      </c>
      <c r="O1838" s="1367">
        <v>43852.3835300926</v>
      </c>
      <c r="P1838" s="1731">
        <v>3750000</v>
      </c>
      <c r="Q1838" s="1367">
        <v>44055.527222222197</v>
      </c>
      <c r="R1838" s="1363"/>
      <c r="S1838" s="1563"/>
      <c r="T1838" s="1363"/>
      <c r="U1838" s="1391"/>
      <c r="V1838" s="1363"/>
      <c r="W1838" s="1391"/>
      <c r="X1838" s="1363"/>
      <c r="Y1838" s="1391"/>
      <c r="Z1838" s="1363"/>
      <c r="AA1838" s="1391"/>
      <c r="AB1838" s="1731"/>
      <c r="AC1838" s="1367"/>
      <c r="AD1838" s="1666"/>
      <c r="AE1838" s="1590"/>
      <c r="AF1838" s="1666"/>
      <c r="AG1838" s="1590"/>
      <c r="AH1838" s="1625" t="str">
        <f t="shared" si="620"/>
        <v>PAI-3D</v>
      </c>
      <c r="AI1838" s="1675">
        <f t="shared" si="609"/>
        <v>13950000</v>
      </c>
      <c r="AJ1838" s="1675">
        <f t="shared" si="619"/>
        <v>13950000</v>
      </c>
      <c r="AK1838" s="1520">
        <f t="shared" si="615"/>
        <v>0</v>
      </c>
      <c r="AL1838" s="2210" t="str">
        <f t="shared" si="616"/>
        <v>Lunas</v>
      </c>
      <c r="AM1838" s="1666"/>
      <c r="AN1838" s="1590"/>
      <c r="AO1838"/>
      <c r="AP1838"/>
      <c r="AQ1838" s="1128"/>
      <c r="AR1838" s="1173"/>
      <c r="AT1838" s="1173"/>
      <c r="AV1838" s="1173"/>
      <c r="AX1838" s="1173"/>
      <c r="AY1838" s="1176"/>
      <c r="AZ1838" s="1173"/>
    </row>
    <row r="1839" spans="1:52" s="2" customFormat="1" x14ac:dyDescent="0.25">
      <c r="A1839" s="694">
        <v>1696</v>
      </c>
      <c r="B1839" s="706">
        <v>61</v>
      </c>
      <c r="C1839" s="716">
        <v>849319036</v>
      </c>
      <c r="D1839" s="701" t="s">
        <v>2341</v>
      </c>
      <c r="E1839" s="264" t="s">
        <v>2337</v>
      </c>
      <c r="F1839" s="175">
        <v>2019</v>
      </c>
      <c r="G1839" s="360" t="s">
        <v>1483</v>
      </c>
      <c r="H1839" s="215" t="str">
        <f t="shared" si="617"/>
        <v xml:space="preserve">   </v>
      </c>
      <c r="I1839" s="215" t="str">
        <f t="shared" si="618"/>
        <v xml:space="preserve">   </v>
      </c>
      <c r="J1839" s="1359">
        <v>2700000</v>
      </c>
      <c r="K1839" s="1523">
        <v>43691.477581018502</v>
      </c>
      <c r="L1839" s="1359">
        <v>3750000</v>
      </c>
      <c r="M1839" s="1523">
        <v>43691.477581018502</v>
      </c>
      <c r="N1839" s="1731">
        <v>3750000</v>
      </c>
      <c r="O1839" s="1367">
        <v>43857.499351851897</v>
      </c>
      <c r="P1839" s="1731">
        <v>3750000</v>
      </c>
      <c r="Q1839" s="1367">
        <v>44063.6663541667</v>
      </c>
      <c r="R1839" s="1363"/>
      <c r="S1839" s="1563"/>
      <c r="T1839" s="1363"/>
      <c r="U1839" s="1391"/>
      <c r="V1839" s="1363"/>
      <c r="W1839" s="1391"/>
      <c r="X1839" s="1363"/>
      <c r="Y1839" s="1391"/>
      <c r="Z1839" s="1363"/>
      <c r="AA1839" s="1391"/>
      <c r="AB1839" s="1731"/>
      <c r="AC1839" s="1367"/>
      <c r="AD1839" s="1666"/>
      <c r="AE1839" s="1590"/>
      <c r="AF1839" s="1666"/>
      <c r="AG1839" s="1590"/>
      <c r="AH1839" s="1625" t="str">
        <f t="shared" si="620"/>
        <v>PAI-3D</v>
      </c>
      <c r="AI1839" s="1675">
        <f t="shared" si="609"/>
        <v>13950000</v>
      </c>
      <c r="AJ1839" s="1675">
        <f t="shared" si="619"/>
        <v>13950000</v>
      </c>
      <c r="AK1839" s="1520">
        <f t="shared" si="615"/>
        <v>0</v>
      </c>
      <c r="AL1839" s="2210" t="str">
        <f t="shared" si="616"/>
        <v>Lunas</v>
      </c>
      <c r="AM1839" s="1666"/>
      <c r="AN1839" s="1590"/>
      <c r="AO1839"/>
      <c r="AP1839"/>
      <c r="AQ1839" s="1128"/>
      <c r="AR1839" s="1173"/>
      <c r="AT1839" s="1173"/>
      <c r="AV1839" s="1173"/>
      <c r="AX1839" s="1173"/>
      <c r="AY1839" s="1176"/>
      <c r="AZ1839" s="1173"/>
    </row>
    <row r="1840" spans="1:52" s="2" customFormat="1" x14ac:dyDescent="0.25">
      <c r="A1840" s="694">
        <v>1697</v>
      </c>
      <c r="B1840" s="709">
        <v>62</v>
      </c>
      <c r="C1840" s="716">
        <v>849319026</v>
      </c>
      <c r="D1840" s="701" t="s">
        <v>2342</v>
      </c>
      <c r="E1840" s="264" t="s">
        <v>2337</v>
      </c>
      <c r="F1840" s="175">
        <v>2019</v>
      </c>
      <c r="G1840" s="360" t="s">
        <v>1483</v>
      </c>
      <c r="H1840" s="215" t="str">
        <f t="shared" si="617"/>
        <v xml:space="preserve">   </v>
      </c>
      <c r="I1840" s="215" t="str">
        <f t="shared" si="618"/>
        <v xml:space="preserve">   </v>
      </c>
      <c r="J1840" s="1359">
        <v>2700000</v>
      </c>
      <c r="K1840" s="1523">
        <v>43690.541377314803</v>
      </c>
      <c r="L1840" s="1359">
        <v>3750000</v>
      </c>
      <c r="M1840" s="1523">
        <v>43690.541377314803</v>
      </c>
      <c r="N1840" s="1731">
        <v>3750000</v>
      </c>
      <c r="O1840" s="1367">
        <v>43859.602488425902</v>
      </c>
      <c r="P1840" s="1731">
        <v>3750000</v>
      </c>
      <c r="Q1840" s="1367">
        <v>44056.414664351898</v>
      </c>
      <c r="R1840" s="1363"/>
      <c r="S1840" s="1563"/>
      <c r="T1840" s="1363"/>
      <c r="U1840" s="1391"/>
      <c r="V1840" s="1363"/>
      <c r="W1840" s="1391"/>
      <c r="X1840" s="1363"/>
      <c r="Y1840" s="1391"/>
      <c r="Z1840" s="1363"/>
      <c r="AA1840" s="1391"/>
      <c r="AB1840" s="1731">
        <v>1000000</v>
      </c>
      <c r="AC1840" s="1367">
        <v>44173</v>
      </c>
      <c r="AD1840" s="1666"/>
      <c r="AE1840" s="1590"/>
      <c r="AF1840" s="1666"/>
      <c r="AG1840" s="1590"/>
      <c r="AH1840" s="1625" t="str">
        <f t="shared" si="620"/>
        <v>PAI-3D</v>
      </c>
      <c r="AI1840" s="1675">
        <f t="shared" si="609"/>
        <v>14950000</v>
      </c>
      <c r="AJ1840" s="1675">
        <f t="shared" si="619"/>
        <v>14950000</v>
      </c>
      <c r="AK1840" s="1520">
        <f t="shared" si="615"/>
        <v>0</v>
      </c>
      <c r="AL1840" s="2210" t="str">
        <f t="shared" si="616"/>
        <v>Lunas</v>
      </c>
      <c r="AM1840" s="1666"/>
      <c r="AN1840" s="1590"/>
      <c r="AO1840"/>
      <c r="AP1840"/>
      <c r="AQ1840" s="1128"/>
      <c r="AR1840" s="1173"/>
      <c r="AT1840" s="1173"/>
      <c r="AV1840" s="1173"/>
      <c r="AX1840" s="1173"/>
      <c r="AY1840" s="1176"/>
      <c r="AZ1840" s="1173"/>
    </row>
    <row r="1841" spans="1:52" s="2" customFormat="1" x14ac:dyDescent="0.25">
      <c r="A1841" s="694">
        <v>1698</v>
      </c>
      <c r="B1841" s="706">
        <v>63</v>
      </c>
      <c r="C1841" s="716">
        <v>849319003</v>
      </c>
      <c r="D1841" s="701" t="s">
        <v>2343</v>
      </c>
      <c r="E1841" s="264" t="s">
        <v>2337</v>
      </c>
      <c r="F1841" s="175">
        <v>2019</v>
      </c>
      <c r="G1841" s="360" t="s">
        <v>1483</v>
      </c>
      <c r="H1841" s="727" t="str">
        <f t="shared" si="617"/>
        <v xml:space="preserve">   </v>
      </c>
      <c r="I1841" s="727" t="str">
        <f t="shared" si="618"/>
        <v xml:space="preserve">   </v>
      </c>
      <c r="J1841" s="1359">
        <v>2700000</v>
      </c>
      <c r="K1841" s="1523">
        <v>43683.407025462999</v>
      </c>
      <c r="L1841" s="1359">
        <v>3750000</v>
      </c>
      <c r="M1841" s="1523">
        <v>43683.407025462999</v>
      </c>
      <c r="N1841" s="1731">
        <v>3750000</v>
      </c>
      <c r="O1841" s="1367">
        <v>43860.440625000003</v>
      </c>
      <c r="P1841" s="1731">
        <v>3750000</v>
      </c>
      <c r="Q1841" s="1367">
        <v>44068.576932870397</v>
      </c>
      <c r="R1841" s="1363"/>
      <c r="S1841" s="1563"/>
      <c r="T1841" s="1363"/>
      <c r="U1841" s="1391"/>
      <c r="V1841" s="1363"/>
      <c r="W1841" s="1391"/>
      <c r="X1841" s="1363"/>
      <c r="Y1841" s="1391"/>
      <c r="Z1841" s="1363"/>
      <c r="AA1841" s="1391"/>
      <c r="AB1841" s="1731"/>
      <c r="AC1841" s="1367"/>
      <c r="AD1841" s="1666"/>
      <c r="AE1841" s="1590"/>
      <c r="AF1841" s="1666"/>
      <c r="AG1841" s="1590"/>
      <c r="AH1841" s="1626" t="str">
        <f t="shared" si="620"/>
        <v>PAI-3D</v>
      </c>
      <c r="AI1841" s="1675">
        <f t="shared" si="609"/>
        <v>13950000</v>
      </c>
      <c r="AJ1841" s="1675">
        <f t="shared" si="619"/>
        <v>13950000</v>
      </c>
      <c r="AK1841" s="1520">
        <f t="shared" si="615"/>
        <v>0</v>
      </c>
      <c r="AL1841" s="2210" t="str">
        <f t="shared" si="616"/>
        <v>Lunas</v>
      </c>
      <c r="AM1841" s="1666"/>
      <c r="AN1841" s="1590"/>
      <c r="AO1841"/>
      <c r="AP1841"/>
      <c r="AQ1841" s="1128"/>
      <c r="AR1841" s="1173"/>
      <c r="AT1841" s="1173"/>
      <c r="AV1841" s="1173"/>
      <c r="AX1841" s="1173"/>
      <c r="AY1841" s="1176"/>
      <c r="AZ1841" s="1173"/>
    </row>
    <row r="1842" spans="1:52" s="2" customFormat="1" x14ac:dyDescent="0.25">
      <c r="A1842" s="694">
        <v>1699</v>
      </c>
      <c r="B1842" s="709">
        <v>64</v>
      </c>
      <c r="C1842" s="716">
        <v>849319042</v>
      </c>
      <c r="D1842" s="701" t="s">
        <v>2344</v>
      </c>
      <c r="E1842" s="264" t="s">
        <v>2337</v>
      </c>
      <c r="F1842" s="175">
        <v>2019</v>
      </c>
      <c r="G1842" s="360" t="s">
        <v>1483</v>
      </c>
      <c r="H1842" s="215" t="str">
        <f t="shared" ref="H1842:H1851" si="621">IFERROR(VLOOKUP(C1842,Tlus,3,FALSE),"   ")</f>
        <v xml:space="preserve">   </v>
      </c>
      <c r="I1842" s="215" t="str">
        <f t="shared" ref="I1842:I1851" si="622">IFERROR(VLOOKUP(C1842,Wis,4,FALSE),"   ")</f>
        <v xml:space="preserve">   </v>
      </c>
      <c r="J1842" s="1359">
        <v>2700000</v>
      </c>
      <c r="K1842" s="1523">
        <v>43690.599687499998</v>
      </c>
      <c r="L1842" s="1359">
        <v>3750000</v>
      </c>
      <c r="M1842" s="1523">
        <v>43690.599687499998</v>
      </c>
      <c r="N1842" s="1731">
        <v>3750000</v>
      </c>
      <c r="O1842" s="1367">
        <v>43857.485833333303</v>
      </c>
      <c r="P1842" s="1731">
        <v>3750000</v>
      </c>
      <c r="Q1842" s="1367">
        <v>44067.427673611099</v>
      </c>
      <c r="R1842" s="1363"/>
      <c r="S1842" s="1563"/>
      <c r="T1842" s="1363"/>
      <c r="U1842" s="1391"/>
      <c r="V1842" s="1363"/>
      <c r="W1842" s="1391"/>
      <c r="X1842" s="1363"/>
      <c r="Y1842" s="1391"/>
      <c r="Z1842" s="1363"/>
      <c r="AA1842" s="1391"/>
      <c r="AB1842" s="1731"/>
      <c r="AC1842" s="1367"/>
      <c r="AD1842" s="1666"/>
      <c r="AE1842" s="1590"/>
      <c r="AF1842" s="1666"/>
      <c r="AG1842" s="1590"/>
      <c r="AH1842" s="1625" t="str">
        <f t="shared" si="620"/>
        <v>PAI-3D</v>
      </c>
      <c r="AI1842" s="1675">
        <f t="shared" si="609"/>
        <v>13950000</v>
      </c>
      <c r="AJ1842" s="1675">
        <f t="shared" si="619"/>
        <v>13950000</v>
      </c>
      <c r="AK1842" s="1520">
        <f t="shared" ref="AK1842:AK1851" si="623">AJ1842-AI1842</f>
        <v>0</v>
      </c>
      <c r="AL1842" s="2210" t="str">
        <f t="shared" ref="AL1842:AL1851" si="624">IF(AK1842=0,"Lunas","Cek")</f>
        <v>Lunas</v>
      </c>
      <c r="AM1842" s="1666"/>
      <c r="AN1842" s="1590"/>
      <c r="AO1842"/>
      <c r="AP1842"/>
      <c r="AQ1842" s="1128"/>
      <c r="AR1842" s="1173"/>
      <c r="AT1842" s="1173"/>
      <c r="AV1842" s="1173"/>
      <c r="AX1842" s="1173"/>
      <c r="AY1842" s="1176"/>
      <c r="AZ1842" s="1173"/>
    </row>
    <row r="1843" spans="1:52" s="2" customFormat="1" x14ac:dyDescent="0.25">
      <c r="A1843" s="694">
        <v>1700</v>
      </c>
      <c r="B1843" s="706">
        <v>65</v>
      </c>
      <c r="C1843" s="716">
        <v>849319045</v>
      </c>
      <c r="D1843" s="701" t="s">
        <v>2345</v>
      </c>
      <c r="E1843" s="264" t="s">
        <v>2337</v>
      </c>
      <c r="F1843" s="175">
        <v>2019</v>
      </c>
      <c r="G1843" s="360" t="s">
        <v>1483</v>
      </c>
      <c r="H1843" s="215" t="str">
        <f t="shared" si="621"/>
        <v xml:space="preserve">   </v>
      </c>
      <c r="I1843" s="215" t="str">
        <f t="shared" si="622"/>
        <v xml:space="preserve">   </v>
      </c>
      <c r="J1843" s="1359">
        <v>2700000</v>
      </c>
      <c r="K1843" s="1523">
        <v>43692.522094907399</v>
      </c>
      <c r="L1843" s="1359">
        <v>3750000</v>
      </c>
      <c r="M1843" s="1523">
        <v>43692.522094907399</v>
      </c>
      <c r="N1843" s="1731">
        <v>3750000</v>
      </c>
      <c r="O1843" s="1367">
        <v>43861.604780092603</v>
      </c>
      <c r="P1843" s="1731">
        <v>3750000</v>
      </c>
      <c r="Q1843" s="1367">
        <v>44071.452569444402</v>
      </c>
      <c r="R1843" s="1363"/>
      <c r="S1843" s="1563"/>
      <c r="T1843" s="1363"/>
      <c r="U1843" s="1391"/>
      <c r="V1843" s="1363"/>
      <c r="W1843" s="1391"/>
      <c r="X1843" s="1363"/>
      <c r="Y1843" s="1391"/>
      <c r="Z1843" s="1363"/>
      <c r="AA1843" s="1391"/>
      <c r="AB1843" s="1731"/>
      <c r="AC1843" s="1367"/>
      <c r="AD1843" s="1666"/>
      <c r="AE1843" s="1590"/>
      <c r="AF1843" s="1666"/>
      <c r="AG1843" s="1590"/>
      <c r="AH1843" s="1625" t="str">
        <f t="shared" si="620"/>
        <v>PAI-3D</v>
      </c>
      <c r="AI1843" s="1675">
        <f t="shared" ref="AI1843:AI1851" si="625">SUM(J1843,L1843,N1843,P1843,R1843,T1843,V1843,X1843,Z1843,AB1843,AD1843,AF1843,AM1843)</f>
        <v>13950000</v>
      </c>
      <c r="AJ1843" s="1675">
        <f t="shared" ref="AJ1843:AJ1851" si="626">(COUNT(L1843,N1843,P1843,R1843,T1843,V1843,X1843,Z1843)*$G$1507)+(COUNT(J1843)*$J$1507)+(COUNT(AB1843)*$AB$1507)+(COUNT(AD1843)*$AD$1507)+(COUNT(AF1843)*$AF$1507)+(COUNT(AM1843)*$AM$1507)</f>
        <v>13950000</v>
      </c>
      <c r="AK1843" s="1520">
        <f t="shared" si="623"/>
        <v>0</v>
      </c>
      <c r="AL1843" s="2210" t="str">
        <f t="shared" si="624"/>
        <v>Lunas</v>
      </c>
      <c r="AM1843" s="1666"/>
      <c r="AN1843" s="1590"/>
      <c r="AO1843"/>
      <c r="AP1843"/>
      <c r="AQ1843" s="1128"/>
      <c r="AR1843" s="1173"/>
      <c r="AT1843" s="1173"/>
      <c r="AV1843" s="1173"/>
      <c r="AX1843" s="1173"/>
      <c r="AY1843" s="1176"/>
      <c r="AZ1843" s="1173"/>
    </row>
    <row r="1844" spans="1:52" s="2" customFormat="1" x14ac:dyDescent="0.25">
      <c r="A1844" s="694">
        <v>1701</v>
      </c>
      <c r="B1844" s="709">
        <v>66</v>
      </c>
      <c r="C1844" s="716">
        <v>849319028</v>
      </c>
      <c r="D1844" s="701" t="s">
        <v>2346</v>
      </c>
      <c r="E1844" s="264" t="s">
        <v>2337</v>
      </c>
      <c r="F1844" s="175">
        <v>2019</v>
      </c>
      <c r="G1844" s="360" t="s">
        <v>1483</v>
      </c>
      <c r="H1844" s="215" t="str">
        <f t="shared" si="621"/>
        <v xml:space="preserve">   </v>
      </c>
      <c r="I1844" s="215" t="str">
        <f t="shared" si="622"/>
        <v xml:space="preserve">   </v>
      </c>
      <c r="J1844" s="1359">
        <v>2700000</v>
      </c>
      <c r="K1844" s="1523">
        <v>43691.449050925898</v>
      </c>
      <c r="L1844" s="1359">
        <v>3750000</v>
      </c>
      <c r="M1844" s="1523">
        <v>43691.449050925898</v>
      </c>
      <c r="N1844" s="1731">
        <v>3750000</v>
      </c>
      <c r="O1844" s="1367">
        <v>43858.616261574098</v>
      </c>
      <c r="P1844" s="1731">
        <v>3750000</v>
      </c>
      <c r="Q1844" s="1367">
        <v>44069.518460648098</v>
      </c>
      <c r="R1844" s="1363"/>
      <c r="S1844" s="1563"/>
      <c r="T1844" s="1363"/>
      <c r="U1844" s="1391"/>
      <c r="V1844" s="1363"/>
      <c r="W1844" s="1391"/>
      <c r="X1844" s="1363"/>
      <c r="Y1844" s="1391"/>
      <c r="Z1844" s="1363"/>
      <c r="AA1844" s="1391"/>
      <c r="AB1844" s="1731"/>
      <c r="AC1844" s="1367"/>
      <c r="AD1844" s="1666"/>
      <c r="AE1844" s="1590"/>
      <c r="AF1844" s="1666"/>
      <c r="AG1844" s="1590"/>
      <c r="AH1844" s="1625" t="str">
        <f t="shared" si="620"/>
        <v>PAI-3D</v>
      </c>
      <c r="AI1844" s="1675">
        <f t="shared" si="625"/>
        <v>13950000</v>
      </c>
      <c r="AJ1844" s="1675">
        <f t="shared" si="626"/>
        <v>13950000</v>
      </c>
      <c r="AK1844" s="1520">
        <f t="shared" si="623"/>
        <v>0</v>
      </c>
      <c r="AL1844" s="2210" t="str">
        <f t="shared" si="624"/>
        <v>Lunas</v>
      </c>
      <c r="AM1844" s="1666"/>
      <c r="AN1844" s="1590"/>
      <c r="AO1844"/>
      <c r="AP1844"/>
      <c r="AQ1844" s="1128"/>
      <c r="AR1844" s="1173"/>
      <c r="AT1844" s="1173"/>
      <c r="AV1844" s="1173"/>
      <c r="AX1844" s="1173"/>
      <c r="AY1844" s="1176"/>
      <c r="AZ1844" s="1173"/>
    </row>
    <row r="1845" spans="1:52" s="2" customFormat="1" x14ac:dyDescent="0.25">
      <c r="A1845" s="694">
        <v>1702</v>
      </c>
      <c r="B1845" s="706">
        <v>67</v>
      </c>
      <c r="C1845" s="716">
        <v>849319015</v>
      </c>
      <c r="D1845" s="701" t="s">
        <v>2347</v>
      </c>
      <c r="E1845" s="264" t="s">
        <v>2337</v>
      </c>
      <c r="F1845" s="175">
        <v>2019</v>
      </c>
      <c r="G1845" s="360" t="s">
        <v>1483</v>
      </c>
      <c r="H1845" s="215" t="str">
        <f t="shared" si="621"/>
        <v xml:space="preserve">   </v>
      </c>
      <c r="I1845" s="215" t="str">
        <f t="shared" si="622"/>
        <v xml:space="preserve">   </v>
      </c>
      <c r="J1845" s="1359">
        <v>2700000</v>
      </c>
      <c r="K1845" s="1523">
        <v>43689.367222222201</v>
      </c>
      <c r="L1845" s="1359">
        <v>3750000</v>
      </c>
      <c r="M1845" s="1523">
        <v>43689.367222222201</v>
      </c>
      <c r="N1845" s="1731">
        <v>3750000</v>
      </c>
      <c r="O1845" s="1367">
        <v>43854.577141203699</v>
      </c>
      <c r="P1845" s="1731">
        <v>3750000</v>
      </c>
      <c r="Q1845" s="1367">
        <v>44067.600127314799</v>
      </c>
      <c r="R1845" s="1363"/>
      <c r="S1845" s="1563"/>
      <c r="T1845" s="1363"/>
      <c r="U1845" s="1391"/>
      <c r="V1845" s="1363"/>
      <c r="W1845" s="1391"/>
      <c r="X1845" s="1363"/>
      <c r="Y1845" s="1391"/>
      <c r="Z1845" s="1363"/>
      <c r="AA1845" s="1391"/>
      <c r="AB1845" s="1731"/>
      <c r="AC1845" s="1367"/>
      <c r="AD1845" s="1666"/>
      <c r="AE1845" s="1590"/>
      <c r="AF1845" s="1666"/>
      <c r="AG1845" s="1590"/>
      <c r="AH1845" s="1625" t="str">
        <f t="shared" si="620"/>
        <v>PAI-3D</v>
      </c>
      <c r="AI1845" s="1675">
        <f t="shared" si="625"/>
        <v>13950000</v>
      </c>
      <c r="AJ1845" s="1675">
        <f t="shared" si="626"/>
        <v>13950000</v>
      </c>
      <c r="AK1845" s="1520">
        <f t="shared" si="623"/>
        <v>0</v>
      </c>
      <c r="AL1845" s="2210" t="str">
        <f t="shared" si="624"/>
        <v>Lunas</v>
      </c>
      <c r="AM1845" s="1666"/>
      <c r="AN1845" s="1590"/>
      <c r="AO1845"/>
      <c r="AP1845"/>
      <c r="AQ1845" s="1128"/>
      <c r="AR1845" s="1173"/>
      <c r="AT1845" s="1173"/>
      <c r="AV1845" s="1173"/>
      <c r="AX1845" s="1173"/>
      <c r="AY1845" s="1176"/>
      <c r="AZ1845" s="1173"/>
    </row>
    <row r="1846" spans="1:52" s="2" customFormat="1" x14ac:dyDescent="0.25">
      <c r="A1846" s="694">
        <v>1703</v>
      </c>
      <c r="B1846" s="709">
        <v>68</v>
      </c>
      <c r="C1846" s="716">
        <v>849319076</v>
      </c>
      <c r="D1846" s="701" t="s">
        <v>2348</v>
      </c>
      <c r="E1846" s="264" t="s">
        <v>2337</v>
      </c>
      <c r="F1846" s="175">
        <v>2019</v>
      </c>
      <c r="G1846" s="360" t="s">
        <v>1483</v>
      </c>
      <c r="H1846" s="727" t="str">
        <f t="shared" si="621"/>
        <v xml:space="preserve">   </v>
      </c>
      <c r="I1846" s="727" t="str">
        <f t="shared" si="622"/>
        <v xml:space="preserve">   </v>
      </c>
      <c r="J1846" s="1359">
        <v>2700000</v>
      </c>
      <c r="K1846" s="1523">
        <v>43694.367222222201</v>
      </c>
      <c r="L1846" s="1359">
        <v>3750000</v>
      </c>
      <c r="M1846" s="1523">
        <v>43694.367222222201</v>
      </c>
      <c r="N1846" s="1731">
        <v>3750000</v>
      </c>
      <c r="O1846" s="1367">
        <v>43861.606574074103</v>
      </c>
      <c r="P1846" s="1731">
        <v>3750000</v>
      </c>
      <c r="Q1846" s="1367">
        <v>44071.451423611099</v>
      </c>
      <c r="R1846" s="1363"/>
      <c r="S1846" s="1563"/>
      <c r="T1846" s="1363"/>
      <c r="U1846" s="1391"/>
      <c r="V1846" s="1363"/>
      <c r="W1846" s="1391"/>
      <c r="X1846" s="1363"/>
      <c r="Y1846" s="1391"/>
      <c r="Z1846" s="1363"/>
      <c r="AA1846" s="1391"/>
      <c r="AB1846" s="1731"/>
      <c r="AC1846" s="1367"/>
      <c r="AD1846" s="1666"/>
      <c r="AE1846" s="1590"/>
      <c r="AF1846" s="1666"/>
      <c r="AG1846" s="1590"/>
      <c r="AH1846" s="1626" t="str">
        <f t="shared" si="620"/>
        <v>PAI-3D</v>
      </c>
      <c r="AI1846" s="1675">
        <f t="shared" si="625"/>
        <v>13950000</v>
      </c>
      <c r="AJ1846" s="1675">
        <f t="shared" si="626"/>
        <v>13950000</v>
      </c>
      <c r="AK1846" s="1520">
        <f t="shared" si="623"/>
        <v>0</v>
      </c>
      <c r="AL1846" s="2210" t="str">
        <f t="shared" si="624"/>
        <v>Lunas</v>
      </c>
      <c r="AM1846" s="1666"/>
      <c r="AN1846" s="1590"/>
      <c r="AO1846"/>
      <c r="AP1846"/>
      <c r="AQ1846" s="1128"/>
      <c r="AR1846" s="1173"/>
      <c r="AT1846" s="1173"/>
      <c r="AV1846" s="1173"/>
      <c r="AX1846" s="1173"/>
      <c r="AY1846" s="1176"/>
      <c r="AZ1846" s="1173"/>
    </row>
    <row r="1847" spans="1:52" s="2" customFormat="1" x14ac:dyDescent="0.25">
      <c r="A1847" s="694">
        <v>1704</v>
      </c>
      <c r="B1847" s="706">
        <v>69</v>
      </c>
      <c r="C1847" s="716">
        <v>849319073</v>
      </c>
      <c r="D1847" s="701" t="s">
        <v>2349</v>
      </c>
      <c r="E1847" s="264" t="s">
        <v>2337</v>
      </c>
      <c r="F1847" s="175">
        <v>2019</v>
      </c>
      <c r="G1847" s="1758" t="s">
        <v>28</v>
      </c>
      <c r="H1847" s="215" t="str">
        <f t="shared" si="621"/>
        <v xml:space="preserve">   </v>
      </c>
      <c r="I1847" s="215" t="str">
        <f t="shared" si="622"/>
        <v xml:space="preserve">   </v>
      </c>
      <c r="J1847" s="1359">
        <v>2700000</v>
      </c>
      <c r="K1847" s="1523">
        <v>43696.410057870402</v>
      </c>
      <c r="L1847" s="1359">
        <v>3750000</v>
      </c>
      <c r="M1847" s="1523">
        <v>43696.410057870402</v>
      </c>
      <c r="N1847" s="1731">
        <v>0</v>
      </c>
      <c r="O1847" s="1367"/>
      <c r="P1847" s="1731">
        <v>0</v>
      </c>
      <c r="Q1847" s="1367"/>
      <c r="R1847" s="1363" t="str">
        <f>IFERROR(VLOOKUP(C1847,BSP,3,FALSE),"  ")</f>
        <v xml:space="preserve">  </v>
      </c>
      <c r="S1847" s="1563" t="str">
        <f>IFERROR((VLOOKUP(C1847,BSP,4,FALSE)),"  ")</f>
        <v xml:space="preserve">  </v>
      </c>
      <c r="T1847" s="1363"/>
      <c r="U1847" s="1391"/>
      <c r="V1847" s="1363"/>
      <c r="W1847" s="1391"/>
      <c r="X1847" s="1363"/>
      <c r="Y1847" s="1391"/>
      <c r="Z1847" s="1363"/>
      <c r="AA1847" s="1391"/>
      <c r="AB1847" s="1731"/>
      <c r="AC1847" s="1367"/>
      <c r="AD1847" s="1666"/>
      <c r="AE1847" s="1590"/>
      <c r="AF1847" s="1666"/>
      <c r="AG1847" s="1590"/>
      <c r="AH1847" s="1625" t="str">
        <f t="shared" si="620"/>
        <v>PAI-3D</v>
      </c>
      <c r="AI1847" s="1675">
        <f t="shared" si="625"/>
        <v>6450000</v>
      </c>
      <c r="AJ1847" s="1675">
        <f t="shared" si="626"/>
        <v>13950000</v>
      </c>
      <c r="AK1847" s="1520">
        <f t="shared" si="623"/>
        <v>7500000</v>
      </c>
      <c r="AL1847" s="2210" t="str">
        <f t="shared" si="624"/>
        <v>Cek</v>
      </c>
      <c r="AM1847" s="1666"/>
      <c r="AN1847" s="1590"/>
      <c r="AO1847"/>
      <c r="AP1847"/>
      <c r="AQ1847" s="1128"/>
      <c r="AR1847" s="1173"/>
      <c r="AT1847" s="1173"/>
      <c r="AV1847" s="1173"/>
      <c r="AX1847" s="1173"/>
      <c r="AY1847" s="1176"/>
      <c r="AZ1847" s="1173"/>
    </row>
    <row r="1848" spans="1:52" s="2" customFormat="1" x14ac:dyDescent="0.25">
      <c r="A1848" s="694">
        <v>1705</v>
      </c>
      <c r="B1848" s="709">
        <v>70</v>
      </c>
      <c r="C1848" s="716">
        <v>849319009</v>
      </c>
      <c r="D1848" s="701" t="s">
        <v>2350</v>
      </c>
      <c r="E1848" s="264" t="s">
        <v>2337</v>
      </c>
      <c r="F1848" s="175">
        <v>2019</v>
      </c>
      <c r="G1848" s="360" t="s">
        <v>1483</v>
      </c>
      <c r="H1848" s="215" t="str">
        <f t="shared" si="621"/>
        <v xml:space="preserve">   </v>
      </c>
      <c r="I1848" s="215" t="str">
        <f t="shared" si="622"/>
        <v xml:space="preserve">   </v>
      </c>
      <c r="J1848" s="1359">
        <v>2700000</v>
      </c>
      <c r="K1848" s="1523">
        <v>43685.433587963002</v>
      </c>
      <c r="L1848" s="1359">
        <v>3750000</v>
      </c>
      <c r="M1848" s="1523">
        <v>43685.433587963002</v>
      </c>
      <c r="N1848" s="1731">
        <v>3750000</v>
      </c>
      <c r="O1848" s="1367">
        <v>43853.5598032407</v>
      </c>
      <c r="P1848" s="1731">
        <v>3750000</v>
      </c>
      <c r="Q1848" s="1367">
        <v>44067.592951388899</v>
      </c>
      <c r="R1848" s="1363"/>
      <c r="S1848" s="1563"/>
      <c r="T1848" s="1363"/>
      <c r="U1848" s="1391"/>
      <c r="V1848" s="1363"/>
      <c r="W1848" s="1391"/>
      <c r="X1848" s="1363"/>
      <c r="Y1848" s="1391"/>
      <c r="Z1848" s="1363"/>
      <c r="AA1848" s="1391"/>
      <c r="AB1848" s="1731">
        <v>1000000</v>
      </c>
      <c r="AC1848" s="1367">
        <v>44140</v>
      </c>
      <c r="AD1848" s="1666"/>
      <c r="AE1848" s="1590"/>
      <c r="AF1848" s="1666"/>
      <c r="AG1848" s="1590"/>
      <c r="AH1848" s="1625" t="str">
        <f t="shared" si="620"/>
        <v>PAI-3D</v>
      </c>
      <c r="AI1848" s="1675">
        <f t="shared" si="625"/>
        <v>14950000</v>
      </c>
      <c r="AJ1848" s="1675">
        <f t="shared" si="626"/>
        <v>14950000</v>
      </c>
      <c r="AK1848" s="1520">
        <f t="shared" si="623"/>
        <v>0</v>
      </c>
      <c r="AL1848" s="2210" t="str">
        <f t="shared" si="624"/>
        <v>Lunas</v>
      </c>
      <c r="AM1848" s="1666"/>
      <c r="AN1848" s="1590"/>
      <c r="AO1848"/>
      <c r="AP1848"/>
      <c r="AQ1848" s="1128"/>
      <c r="AR1848" s="1173"/>
      <c r="AT1848" s="1173"/>
      <c r="AV1848" s="1173"/>
      <c r="AX1848" s="1173"/>
      <c r="AY1848" s="1176"/>
      <c r="AZ1848" s="1173"/>
    </row>
    <row r="1849" spans="1:52" s="2" customFormat="1" x14ac:dyDescent="0.25">
      <c r="A1849" s="694">
        <v>1706</v>
      </c>
      <c r="B1849" s="706">
        <v>71</v>
      </c>
      <c r="C1849" s="716">
        <v>849319049</v>
      </c>
      <c r="D1849" s="701" t="s">
        <v>2351</v>
      </c>
      <c r="E1849" s="264" t="s">
        <v>2337</v>
      </c>
      <c r="F1849" s="175">
        <v>2019</v>
      </c>
      <c r="G1849" s="360" t="s">
        <v>1483</v>
      </c>
      <c r="H1849" s="215" t="str">
        <f t="shared" si="621"/>
        <v xml:space="preserve">   </v>
      </c>
      <c r="I1849" s="215" t="str">
        <f t="shared" si="622"/>
        <v xml:space="preserve">   </v>
      </c>
      <c r="J1849" s="1359">
        <v>2700000</v>
      </c>
      <c r="K1849" s="1523">
        <v>43691.597939814797</v>
      </c>
      <c r="L1849" s="1359">
        <v>3750000</v>
      </c>
      <c r="M1849" s="1523">
        <v>43691.597939814797</v>
      </c>
      <c r="N1849" s="1731">
        <v>3750000</v>
      </c>
      <c r="O1849" s="1367">
        <v>43861.605624999997</v>
      </c>
      <c r="P1849" s="1731">
        <v>3750000</v>
      </c>
      <c r="Q1849" s="1367">
        <v>44069.439722222203</v>
      </c>
      <c r="R1849" s="1363"/>
      <c r="S1849" s="1563"/>
      <c r="T1849" s="1363"/>
      <c r="U1849" s="1391"/>
      <c r="V1849" s="1363"/>
      <c r="W1849" s="1391"/>
      <c r="X1849" s="1363"/>
      <c r="Y1849" s="1391"/>
      <c r="Z1849" s="1363"/>
      <c r="AA1849" s="1391"/>
      <c r="AB1849" s="1731"/>
      <c r="AC1849" s="1367"/>
      <c r="AD1849" s="1666"/>
      <c r="AE1849" s="1590"/>
      <c r="AF1849" s="1666"/>
      <c r="AG1849" s="1590"/>
      <c r="AH1849" s="1625" t="str">
        <f t="shared" si="620"/>
        <v>PAI-3D</v>
      </c>
      <c r="AI1849" s="1675">
        <f t="shared" si="625"/>
        <v>13950000</v>
      </c>
      <c r="AJ1849" s="1675">
        <f t="shared" si="626"/>
        <v>13950000</v>
      </c>
      <c r="AK1849" s="1520">
        <f t="shared" si="623"/>
        <v>0</v>
      </c>
      <c r="AL1849" s="2210" t="str">
        <f t="shared" si="624"/>
        <v>Lunas</v>
      </c>
      <c r="AM1849" s="1666"/>
      <c r="AN1849" s="1590"/>
      <c r="AO1849"/>
      <c r="AP1849"/>
      <c r="AQ1849" s="1128"/>
      <c r="AR1849" s="1173"/>
      <c r="AT1849" s="1173"/>
      <c r="AV1849" s="1173"/>
      <c r="AX1849" s="1173"/>
      <c r="AY1849" s="1176"/>
      <c r="AZ1849" s="1173"/>
    </row>
    <row r="1850" spans="1:52" s="2" customFormat="1" x14ac:dyDescent="0.25">
      <c r="A1850" s="694">
        <v>1707</v>
      </c>
      <c r="B1850" s="709">
        <v>72</v>
      </c>
      <c r="C1850" s="716">
        <v>849319027</v>
      </c>
      <c r="D1850" s="701" t="s">
        <v>2352</v>
      </c>
      <c r="E1850" s="264" t="s">
        <v>2337</v>
      </c>
      <c r="F1850" s="175">
        <v>2019</v>
      </c>
      <c r="G1850" s="360" t="s">
        <v>1483</v>
      </c>
      <c r="H1850" s="215" t="str">
        <f t="shared" si="621"/>
        <v xml:space="preserve">   </v>
      </c>
      <c r="I1850" s="215" t="str">
        <f t="shared" si="622"/>
        <v xml:space="preserve">   </v>
      </c>
      <c r="J1850" s="1359">
        <v>2700000</v>
      </c>
      <c r="K1850" s="1523">
        <v>43691.403738425899</v>
      </c>
      <c r="L1850" s="1359">
        <v>3750000</v>
      </c>
      <c r="M1850" s="1523">
        <v>43691.403738425899</v>
      </c>
      <c r="N1850" s="1731">
        <v>3750000</v>
      </c>
      <c r="O1850" s="1367">
        <v>43861.421493055597</v>
      </c>
      <c r="P1850" s="1731">
        <v>3750000</v>
      </c>
      <c r="Q1850" s="1367">
        <v>44071.593564814801</v>
      </c>
      <c r="R1850" s="1363"/>
      <c r="S1850" s="1563"/>
      <c r="T1850" s="1363"/>
      <c r="U1850" s="1391"/>
      <c r="V1850" s="1363"/>
      <c r="W1850" s="1391"/>
      <c r="X1850" s="1363"/>
      <c r="Y1850" s="1391"/>
      <c r="Z1850" s="1363"/>
      <c r="AA1850" s="1391"/>
      <c r="AB1850" s="1731"/>
      <c r="AC1850" s="1367"/>
      <c r="AD1850" s="1666"/>
      <c r="AE1850" s="1590"/>
      <c r="AF1850" s="1666"/>
      <c r="AG1850" s="1590"/>
      <c r="AH1850" s="1625" t="str">
        <f t="shared" si="620"/>
        <v>PAI-3D</v>
      </c>
      <c r="AI1850" s="1675">
        <f t="shared" si="625"/>
        <v>13950000</v>
      </c>
      <c r="AJ1850" s="1675">
        <f t="shared" si="626"/>
        <v>13950000</v>
      </c>
      <c r="AK1850" s="1520">
        <f t="shared" si="623"/>
        <v>0</v>
      </c>
      <c r="AL1850" s="2210" t="str">
        <f t="shared" si="624"/>
        <v>Lunas</v>
      </c>
      <c r="AM1850" s="1666"/>
      <c r="AN1850" s="1590"/>
      <c r="AO1850"/>
      <c r="AP1850"/>
      <c r="AQ1850" s="1128"/>
      <c r="AR1850" s="1173"/>
      <c r="AT1850" s="1173"/>
      <c r="AV1850" s="1173"/>
      <c r="AX1850" s="1173"/>
      <c r="AY1850" s="1176"/>
      <c r="AZ1850" s="1173"/>
    </row>
    <row r="1851" spans="1:52" s="2" customFormat="1" x14ac:dyDescent="0.25">
      <c r="A1851" s="694">
        <v>1708</v>
      </c>
      <c r="B1851" s="706">
        <v>73</v>
      </c>
      <c r="C1851" s="717">
        <v>849319075</v>
      </c>
      <c r="D1851" s="704" t="s">
        <v>2353</v>
      </c>
      <c r="E1851" s="691" t="s">
        <v>2337</v>
      </c>
      <c r="F1851" s="175">
        <v>2019</v>
      </c>
      <c r="G1851" s="413" t="s">
        <v>1483</v>
      </c>
      <c r="H1851" s="729" t="str">
        <f t="shared" si="621"/>
        <v xml:space="preserve">   </v>
      </c>
      <c r="I1851" s="729" t="str">
        <f t="shared" si="622"/>
        <v xml:space="preserve">   </v>
      </c>
      <c r="J1851" s="2271">
        <v>2700000</v>
      </c>
      <c r="K1851" s="1996">
        <v>43692.599166666703</v>
      </c>
      <c r="L1851" s="2271">
        <v>3750000</v>
      </c>
      <c r="M1851" s="1996">
        <v>43692.599166666703</v>
      </c>
      <c r="N1851" s="1731">
        <v>3750000</v>
      </c>
      <c r="O1851" s="1367">
        <v>43853.492430555598</v>
      </c>
      <c r="P1851" s="1731">
        <v>3750000</v>
      </c>
      <c r="Q1851" s="1367">
        <v>44049</v>
      </c>
      <c r="R1851" s="1363"/>
      <c r="S1851" s="1563"/>
      <c r="T1851" s="1363"/>
      <c r="U1851" s="1391"/>
      <c r="V1851" s="1363"/>
      <c r="W1851" s="1391"/>
      <c r="X1851" s="1363"/>
      <c r="Y1851" s="1391"/>
      <c r="Z1851" s="1363"/>
      <c r="AA1851" s="1391"/>
      <c r="AB1851" s="1731"/>
      <c r="AC1851" s="1367"/>
      <c r="AD1851" s="1666"/>
      <c r="AE1851" s="1590"/>
      <c r="AF1851" s="1666"/>
      <c r="AG1851" s="1590"/>
      <c r="AH1851" s="1626" t="str">
        <f t="shared" si="620"/>
        <v>PAI-3D</v>
      </c>
      <c r="AI1851" s="1675">
        <f t="shared" si="625"/>
        <v>13950000</v>
      </c>
      <c r="AJ1851" s="1675">
        <f t="shared" si="626"/>
        <v>13950000</v>
      </c>
      <c r="AK1851" s="1520">
        <f t="shared" si="623"/>
        <v>0</v>
      </c>
      <c r="AL1851" s="2210" t="str">
        <f t="shared" si="624"/>
        <v>Lunas</v>
      </c>
      <c r="AM1851" s="1666"/>
      <c r="AN1851" s="1590"/>
      <c r="AO1851"/>
      <c r="AP1851"/>
      <c r="AQ1851" s="1128"/>
      <c r="AR1851" s="1173"/>
      <c r="AT1851" s="1173"/>
      <c r="AV1851" s="1173"/>
      <c r="AX1851" s="1173"/>
      <c r="AY1851" s="1176"/>
      <c r="AZ1851" s="1173"/>
    </row>
    <row r="1852" spans="1:52" s="2" customFormat="1" x14ac:dyDescent="0.25">
      <c r="A1852" s="107"/>
      <c r="B1852" s="725"/>
      <c r="C1852" s="33"/>
      <c r="D1852" s="123"/>
      <c r="E1852" s="123"/>
      <c r="F1852" s="120" t="s">
        <v>61</v>
      </c>
      <c r="G1852" s="123"/>
      <c r="H1852" s="124"/>
      <c r="I1852" s="124"/>
      <c r="J1852" s="1212"/>
      <c r="K1852" s="2252"/>
      <c r="L1852" s="2253"/>
      <c r="M1852" s="1436"/>
      <c r="N1852" s="2253"/>
      <c r="O1852" s="2252"/>
      <c r="P1852" s="2253"/>
      <c r="Q1852" s="2252"/>
      <c r="R1852" s="2253"/>
      <c r="S1852" s="2261"/>
      <c r="T1852" s="2253"/>
      <c r="U1852" s="2252"/>
      <c r="V1852" s="2253"/>
      <c r="W1852" s="2252"/>
      <c r="X1852" s="2253"/>
      <c r="Y1852" s="2252"/>
      <c r="Z1852" s="2253"/>
      <c r="AA1852" s="2252"/>
      <c r="AB1852" s="2268"/>
      <c r="AC1852" s="2252"/>
      <c r="AD1852" s="747"/>
      <c r="AE1852" s="1155"/>
      <c r="AF1852" s="747"/>
      <c r="AG1852" s="1155"/>
      <c r="AH1852" s="1168">
        <f t="shared" si="620"/>
        <v>0</v>
      </c>
      <c r="AI1852" s="747"/>
      <c r="AJ1852" s="747"/>
      <c r="AK1852" s="747"/>
      <c r="AL1852" s="1170"/>
      <c r="AM1852" s="1170"/>
      <c r="AN1852" s="1209"/>
      <c r="AO1852" s="1170"/>
      <c r="AP1852" s="1209"/>
      <c r="AQ1852" s="1128"/>
      <c r="AR1852" s="1173"/>
      <c r="AT1852" s="1173"/>
      <c r="AV1852" s="1173"/>
      <c r="AX1852" s="1173"/>
      <c r="AY1852" s="1176"/>
      <c r="AZ1852" s="1173"/>
    </row>
    <row r="1853" spans="1:52" s="2" customFormat="1" x14ac:dyDescent="0.25">
      <c r="A1853" s="725"/>
      <c r="B1853" s="725"/>
      <c r="C1853" s="33"/>
      <c r="D1853" s="123"/>
      <c r="E1853" s="123"/>
      <c r="F1853" s="120" t="s">
        <v>61</v>
      </c>
      <c r="G1853" s="123"/>
      <c r="H1853" s="124"/>
      <c r="I1853" s="124"/>
      <c r="J1853" s="1212"/>
      <c r="K1853" s="2252"/>
      <c r="L1853" s="2253"/>
      <c r="M1853" s="1436"/>
      <c r="N1853" s="2253"/>
      <c r="O1853" s="2252"/>
      <c r="P1853" s="2253"/>
      <c r="Q1853" s="2252"/>
      <c r="R1853" s="2253"/>
      <c r="S1853" s="2261"/>
      <c r="T1853" s="2253"/>
      <c r="U1853" s="2252"/>
      <c r="V1853" s="2253"/>
      <c r="W1853" s="2252"/>
      <c r="X1853" s="2253"/>
      <c r="Y1853" s="2252"/>
      <c r="Z1853" s="2253"/>
      <c r="AA1853" s="2252"/>
      <c r="AB1853" s="2268"/>
      <c r="AC1853" s="2252"/>
      <c r="AD1853" s="747"/>
      <c r="AE1853" s="1155"/>
      <c r="AF1853" s="747"/>
      <c r="AG1853" s="1155"/>
      <c r="AH1853" s="1168">
        <f t="shared" si="620"/>
        <v>0</v>
      </c>
      <c r="AI1853" s="747"/>
      <c r="AJ1853" s="747"/>
      <c r="AK1853" s="747"/>
      <c r="AL1853" s="1170"/>
      <c r="AM1853" s="1170"/>
      <c r="AN1853" s="1209"/>
      <c r="AO1853" s="1170"/>
      <c r="AP1853" s="1209"/>
      <c r="AQ1853" s="1128"/>
      <c r="AR1853" s="1173"/>
      <c r="AT1853" s="1173"/>
      <c r="AV1853" s="1173"/>
      <c r="AX1853" s="1173"/>
      <c r="AY1853" s="1176"/>
      <c r="AZ1853" s="1173"/>
    </row>
    <row r="1854" spans="1:52" s="2" customFormat="1" x14ac:dyDescent="0.25">
      <c r="A1854" s="625" t="s">
        <v>2354</v>
      </c>
      <c r="B1854" s="625"/>
      <c r="C1854" s="366"/>
      <c r="D1854" s="625"/>
      <c r="E1854" s="198" t="s">
        <v>1096</v>
      </c>
      <c r="F1854" s="199" t="s">
        <v>1096</v>
      </c>
      <c r="G1854" s="565">
        <v>3750000</v>
      </c>
      <c r="H1854" s="147" t="str">
        <f t="shared" ref="H1854:H1894" si="627">IFERROR(VLOOKUP(C1854,Tlus,3,FALSE),"   ")</f>
        <v xml:space="preserve">   </v>
      </c>
      <c r="I1854" s="147" t="str">
        <f t="shared" ref="I1854:I1894" si="628">IFERROR(VLOOKUP(C1854,Wis,4,FALSE),"   ")</f>
        <v xml:space="preserve">   </v>
      </c>
      <c r="J1854" s="2035">
        <v>2700000</v>
      </c>
      <c r="K1854" s="2036"/>
      <c r="L1854" s="2163" t="s">
        <v>1049</v>
      </c>
      <c r="M1854" s="2164" t="s">
        <v>1463</v>
      </c>
      <c r="N1854" s="2163" t="s">
        <v>1051</v>
      </c>
      <c r="O1854" s="2164" t="s">
        <v>1464</v>
      </c>
      <c r="P1854" s="2016" t="s">
        <v>1053</v>
      </c>
      <c r="Q1854" s="1438" t="s">
        <v>1466</v>
      </c>
      <c r="R1854" s="2016" t="s">
        <v>1055</v>
      </c>
      <c r="S1854" s="1438" t="s">
        <v>1468</v>
      </c>
      <c r="T1854" s="2016" t="s">
        <v>1057</v>
      </c>
      <c r="U1854" s="1438" t="s">
        <v>1470</v>
      </c>
      <c r="V1854" s="2016" t="s">
        <v>1059</v>
      </c>
      <c r="W1854" s="1438" t="s">
        <v>1718</v>
      </c>
      <c r="X1854" s="1582" t="s">
        <v>1061</v>
      </c>
      <c r="Y1854" s="1438" t="s">
        <v>1719</v>
      </c>
      <c r="Z1854" s="1582" t="s">
        <v>1063</v>
      </c>
      <c r="AA1854" s="1438" t="s">
        <v>1980</v>
      </c>
      <c r="AB1854" s="2177">
        <v>1000000</v>
      </c>
      <c r="AC1854" s="2178" t="s">
        <v>2015</v>
      </c>
      <c r="AD1854" s="1450">
        <v>1200000</v>
      </c>
      <c r="AE1854" s="1663" t="s">
        <v>2016</v>
      </c>
      <c r="AF1854" s="1450">
        <v>1600000</v>
      </c>
      <c r="AG1854" s="1663" t="s">
        <v>1326</v>
      </c>
      <c r="AH1854" s="1408" t="str">
        <f t="shared" si="620"/>
        <v>#</v>
      </c>
      <c r="AI1854" s="1512"/>
      <c r="AJ1854" s="1409"/>
      <c r="AK1854" s="1409"/>
      <c r="AL1854" s="1513"/>
      <c r="AM1854" s="1450">
        <v>500000</v>
      </c>
      <c r="AN1854" s="1663" t="s">
        <v>22</v>
      </c>
      <c r="AO1854"/>
      <c r="AP1854"/>
      <c r="AQ1854" s="1128"/>
      <c r="AR1854" s="1173"/>
      <c r="AT1854" s="1173"/>
      <c r="AV1854" s="1173"/>
      <c r="AX1854" s="1173"/>
      <c r="AY1854" s="1176"/>
      <c r="AZ1854" s="1173"/>
    </row>
    <row r="1855" spans="1:52" s="2" customFormat="1" x14ac:dyDescent="0.25">
      <c r="A1855" s="694">
        <v>1709</v>
      </c>
      <c r="B1855" s="695">
        <v>1</v>
      </c>
      <c r="C1855" s="714">
        <v>849119014</v>
      </c>
      <c r="D1855" s="713" t="s">
        <v>2355</v>
      </c>
      <c r="E1855" s="326" t="s">
        <v>2018</v>
      </c>
      <c r="F1855" s="175">
        <v>2019</v>
      </c>
      <c r="G1855" s="699" t="s">
        <v>1483</v>
      </c>
      <c r="H1855" s="715" t="str">
        <f t="shared" si="627"/>
        <v xml:space="preserve">   </v>
      </c>
      <c r="I1855" s="715" t="str">
        <f t="shared" si="628"/>
        <v xml:space="preserve">   </v>
      </c>
      <c r="J1855" s="1780">
        <v>2700000</v>
      </c>
      <c r="K1855" s="1727">
        <v>43689.435671296298</v>
      </c>
      <c r="L1855" s="1941">
        <v>3750000</v>
      </c>
      <c r="M1855" s="1727">
        <v>43689.435671296298</v>
      </c>
      <c r="N1855" s="1731">
        <v>3750000</v>
      </c>
      <c r="O1855" s="1367">
        <v>43857.481805555602</v>
      </c>
      <c r="P1855" s="1731">
        <v>3750000</v>
      </c>
      <c r="Q1855" s="1367">
        <v>44067.447708333297</v>
      </c>
      <c r="R1855" s="1941"/>
      <c r="S1855" s="1955"/>
      <c r="T1855" s="1941"/>
      <c r="U1855" s="1954"/>
      <c r="V1855" s="1941"/>
      <c r="W1855" s="1954"/>
      <c r="X1855" s="1941"/>
      <c r="Y1855" s="1954"/>
      <c r="Z1855" s="1941"/>
      <c r="AA1855" s="1954"/>
      <c r="AB1855" s="1666"/>
      <c r="AC1855" s="1590"/>
      <c r="AD1855" s="1666"/>
      <c r="AE1855" s="1590"/>
      <c r="AF1855" s="1666"/>
      <c r="AG1855" s="1590"/>
      <c r="AH1855" s="1625" t="str">
        <f t="shared" si="620"/>
        <v>MPI-3A</v>
      </c>
      <c r="AI1855" s="1675">
        <f t="shared" ref="AI1855:AI1894" si="629">SUM(J1855,L1855,N1855,P1855,R1855,T1855,V1855,X1855,Z1855,AB1855,AD1855,AF1855,AM1855)</f>
        <v>13950000</v>
      </c>
      <c r="AJ1855" s="1675">
        <f t="shared" ref="AJ1855:AJ1894" si="630">(COUNT(L1855,N1855,P1855,R1855,T1855,V1855,X1855,Z1855)*$G$1507)+(COUNT(J1855)*$J$1507)+(COUNT(AB1855)*$AB$1507)+(COUNT(AD1855)*$AD$1507)+(COUNT(AF1855)*$AF$1507)+(COUNT(AM1855)*$AM$1507)</f>
        <v>13950000</v>
      </c>
      <c r="AK1855" s="1520">
        <f t="shared" ref="AK1855" si="631">AJ1855-AI1855</f>
        <v>0</v>
      </c>
      <c r="AL1855" s="2187" t="str">
        <f t="shared" ref="AL1855" si="632">IF(AK1855=0,"Lunas","Cek")</f>
        <v>Lunas</v>
      </c>
      <c r="AM1855" s="1666"/>
      <c r="AN1855" s="1590"/>
      <c r="AO1855"/>
      <c r="AP1855"/>
      <c r="AQ1855" s="1128"/>
      <c r="AR1855" s="1173"/>
      <c r="AT1855" s="1173"/>
      <c r="AV1855" s="1173"/>
      <c r="AX1855" s="1173"/>
      <c r="AY1855" s="1176"/>
      <c r="AZ1855" s="1173"/>
    </row>
    <row r="1856" spans="1:52" s="2" customFormat="1" x14ac:dyDescent="0.25">
      <c r="A1856" s="694">
        <v>1710</v>
      </c>
      <c r="B1856" s="671">
        <v>2</v>
      </c>
      <c r="C1856" s="716">
        <v>849119006</v>
      </c>
      <c r="D1856" s="701" t="s">
        <v>2356</v>
      </c>
      <c r="E1856" s="264" t="s">
        <v>2018</v>
      </c>
      <c r="F1856" s="175">
        <v>2019</v>
      </c>
      <c r="G1856" s="360" t="s">
        <v>1483</v>
      </c>
      <c r="H1856" s="215" t="str">
        <f t="shared" si="627"/>
        <v xml:space="preserve">   </v>
      </c>
      <c r="I1856" s="215" t="str">
        <f t="shared" si="628"/>
        <v xml:space="preserve">   </v>
      </c>
      <c r="J1856" s="1359">
        <v>2700000</v>
      </c>
      <c r="K1856" s="1523">
        <v>43683.396620370397</v>
      </c>
      <c r="L1856" s="1359">
        <v>3750000</v>
      </c>
      <c r="M1856" s="1523">
        <v>43683.396620370397</v>
      </c>
      <c r="N1856" s="1731">
        <v>3750000</v>
      </c>
      <c r="O1856" s="1367">
        <v>43859.442152777803</v>
      </c>
      <c r="P1856" s="1731">
        <v>3750000</v>
      </c>
      <c r="Q1856" s="1367">
        <v>44053.392372685201</v>
      </c>
      <c r="R1856" s="1363"/>
      <c r="S1856" s="1563"/>
      <c r="T1856" s="1363"/>
      <c r="U1856" s="1391"/>
      <c r="V1856" s="1363"/>
      <c r="W1856" s="1391"/>
      <c r="X1856" s="1363"/>
      <c r="Y1856" s="1391"/>
      <c r="Z1856" s="1363"/>
      <c r="AA1856" s="1391"/>
      <c r="AB1856" s="1731"/>
      <c r="AC1856" s="1367"/>
      <c r="AD1856" s="1666"/>
      <c r="AE1856" s="1590"/>
      <c r="AF1856" s="1666"/>
      <c r="AG1856" s="1590"/>
      <c r="AH1856" s="1625" t="str">
        <f t="shared" si="620"/>
        <v>MPI-3A</v>
      </c>
      <c r="AI1856" s="1675">
        <f t="shared" si="629"/>
        <v>13950000</v>
      </c>
      <c r="AJ1856" s="1675">
        <f t="shared" si="630"/>
        <v>13950000</v>
      </c>
      <c r="AK1856" s="1520">
        <f t="shared" ref="AK1856" si="633">AJ1856-AI1856</f>
        <v>0</v>
      </c>
      <c r="AL1856" s="2210" t="str">
        <f t="shared" ref="AL1856" si="634">IF(AK1856=0,"Lunas","Cek")</f>
        <v>Lunas</v>
      </c>
      <c r="AM1856" s="1666"/>
      <c r="AN1856" s="1590"/>
      <c r="AO1856"/>
      <c r="AP1856"/>
      <c r="AQ1856" s="1128"/>
      <c r="AR1856" s="1173"/>
      <c r="AT1856" s="1173"/>
      <c r="AV1856" s="1173"/>
      <c r="AX1856" s="1173"/>
      <c r="AY1856" s="1176"/>
      <c r="AZ1856" s="1173"/>
    </row>
    <row r="1857" spans="1:52" s="2" customFormat="1" x14ac:dyDescent="0.25">
      <c r="A1857" s="694">
        <v>1711</v>
      </c>
      <c r="B1857" s="695">
        <v>3</v>
      </c>
      <c r="C1857" s="716">
        <v>849119032</v>
      </c>
      <c r="D1857" s="701" t="s">
        <v>2357</v>
      </c>
      <c r="E1857" s="264" t="s">
        <v>2018</v>
      </c>
      <c r="F1857" s="175">
        <v>2019</v>
      </c>
      <c r="G1857" s="360" t="s">
        <v>1483</v>
      </c>
      <c r="H1857" s="215" t="str">
        <f t="shared" si="627"/>
        <v xml:space="preserve">   </v>
      </c>
      <c r="I1857" s="215" t="str">
        <f t="shared" si="628"/>
        <v xml:space="preserve">   </v>
      </c>
      <c r="J1857" s="1359">
        <v>2700000</v>
      </c>
      <c r="K1857" s="1523">
        <v>43692.487152777801</v>
      </c>
      <c r="L1857" s="1359">
        <v>3750000</v>
      </c>
      <c r="M1857" s="1523">
        <v>43692.487152777801</v>
      </c>
      <c r="N1857" s="1731">
        <v>3750000</v>
      </c>
      <c r="O1857" s="1367">
        <v>43861.626458333303</v>
      </c>
      <c r="P1857" s="1731">
        <v>3750000</v>
      </c>
      <c r="Q1857" s="1367">
        <v>44070.493437500001</v>
      </c>
      <c r="R1857" s="1363"/>
      <c r="S1857" s="1563"/>
      <c r="T1857" s="1363"/>
      <c r="U1857" s="1391"/>
      <c r="V1857" s="1363"/>
      <c r="W1857" s="1391"/>
      <c r="X1857" s="1363"/>
      <c r="Y1857" s="1391"/>
      <c r="Z1857" s="1363"/>
      <c r="AA1857" s="1391"/>
      <c r="AB1857" s="1731"/>
      <c r="AC1857" s="1367"/>
      <c r="AD1857" s="1666"/>
      <c r="AE1857" s="1590"/>
      <c r="AF1857" s="1666"/>
      <c r="AG1857" s="1590"/>
      <c r="AH1857" s="1625" t="str">
        <f t="shared" si="620"/>
        <v>MPI-3A</v>
      </c>
      <c r="AI1857" s="1675">
        <f t="shared" si="629"/>
        <v>13950000</v>
      </c>
      <c r="AJ1857" s="1675">
        <f t="shared" si="630"/>
        <v>13950000</v>
      </c>
      <c r="AK1857" s="1520">
        <f t="shared" ref="AK1857:AK1894" si="635">AJ1857-AI1857</f>
        <v>0</v>
      </c>
      <c r="AL1857" s="2210" t="str">
        <f t="shared" ref="AL1857:AL1894" si="636">IF(AK1857=0,"Lunas","Cek")</f>
        <v>Lunas</v>
      </c>
      <c r="AM1857" s="1666"/>
      <c r="AN1857" s="1590"/>
      <c r="AO1857"/>
      <c r="AP1857"/>
      <c r="AQ1857" s="1128"/>
      <c r="AR1857" s="1173"/>
      <c r="AT1857" s="1173"/>
      <c r="AV1857" s="1173"/>
      <c r="AX1857" s="1173"/>
      <c r="AY1857" s="1176"/>
      <c r="AZ1857" s="1173"/>
    </row>
    <row r="1858" spans="1:52" s="2" customFormat="1" x14ac:dyDescent="0.25">
      <c r="A1858" s="694">
        <v>1712</v>
      </c>
      <c r="B1858" s="671">
        <v>4</v>
      </c>
      <c r="C1858" s="716">
        <v>849119009</v>
      </c>
      <c r="D1858" s="701" t="s">
        <v>2358</v>
      </c>
      <c r="E1858" s="264" t="s">
        <v>2018</v>
      </c>
      <c r="F1858" s="175">
        <v>2019</v>
      </c>
      <c r="G1858" s="360" t="s">
        <v>1483</v>
      </c>
      <c r="H1858" s="215" t="str">
        <f t="shared" si="627"/>
        <v xml:space="preserve">   </v>
      </c>
      <c r="I1858" s="215" t="str">
        <f t="shared" si="628"/>
        <v xml:space="preserve">   </v>
      </c>
      <c r="J1858" s="1359">
        <v>2700000</v>
      </c>
      <c r="K1858" s="1523">
        <v>43683.393807870401</v>
      </c>
      <c r="L1858" s="1359">
        <v>3750000</v>
      </c>
      <c r="M1858" s="1523">
        <v>43683.393807870401</v>
      </c>
      <c r="N1858" s="1731">
        <v>3750000</v>
      </c>
      <c r="O1858" s="1367">
        <v>43859.440879629597</v>
      </c>
      <c r="P1858" s="1731">
        <v>3750000</v>
      </c>
      <c r="Q1858" s="1367">
        <v>44055.465983796297</v>
      </c>
      <c r="R1858" s="1363"/>
      <c r="S1858" s="1563"/>
      <c r="T1858" s="1363"/>
      <c r="U1858" s="1391"/>
      <c r="V1858" s="1363"/>
      <c r="W1858" s="1391"/>
      <c r="X1858" s="1363"/>
      <c r="Y1858" s="1391"/>
      <c r="Z1858" s="1363"/>
      <c r="AA1858" s="1391"/>
      <c r="AB1858" s="1731"/>
      <c r="AC1858" s="1367"/>
      <c r="AD1858" s="1666"/>
      <c r="AE1858" s="1590"/>
      <c r="AF1858" s="1666"/>
      <c r="AG1858" s="1590"/>
      <c r="AH1858" s="1625" t="str">
        <f t="shared" si="620"/>
        <v>MPI-3A</v>
      </c>
      <c r="AI1858" s="1675">
        <f t="shared" si="629"/>
        <v>13950000</v>
      </c>
      <c r="AJ1858" s="1675">
        <f t="shared" si="630"/>
        <v>13950000</v>
      </c>
      <c r="AK1858" s="1520">
        <f t="shared" si="635"/>
        <v>0</v>
      </c>
      <c r="AL1858" s="2210" t="str">
        <f t="shared" si="636"/>
        <v>Lunas</v>
      </c>
      <c r="AM1858" s="1666"/>
      <c r="AN1858" s="1590"/>
      <c r="AO1858"/>
      <c r="AP1858"/>
      <c r="AQ1858" s="1128"/>
      <c r="AR1858" s="1173"/>
      <c r="AT1858" s="1173"/>
      <c r="AV1858" s="1173"/>
      <c r="AX1858" s="1173"/>
      <c r="AY1858" s="1176"/>
      <c r="AZ1858" s="1173"/>
    </row>
    <row r="1859" spans="1:52" s="2" customFormat="1" x14ac:dyDescent="0.25">
      <c r="A1859" s="694">
        <v>1713</v>
      </c>
      <c r="B1859" s="695">
        <v>5</v>
      </c>
      <c r="C1859" s="716">
        <v>849119027</v>
      </c>
      <c r="D1859" s="701" t="s">
        <v>2359</v>
      </c>
      <c r="E1859" s="264" t="s">
        <v>2018</v>
      </c>
      <c r="F1859" s="175">
        <v>2019</v>
      </c>
      <c r="G1859" s="360" t="s">
        <v>1483</v>
      </c>
      <c r="H1859" s="215" t="str">
        <f t="shared" si="627"/>
        <v xml:space="preserve">   </v>
      </c>
      <c r="I1859" s="215" t="str">
        <f t="shared" si="628"/>
        <v xml:space="preserve">   </v>
      </c>
      <c r="J1859" s="1359">
        <v>2700000</v>
      </c>
      <c r="K1859" s="1523">
        <v>43691.633043981499</v>
      </c>
      <c r="L1859" s="1359">
        <v>3750000</v>
      </c>
      <c r="M1859" s="1523">
        <v>43691.633043981499</v>
      </c>
      <c r="N1859" s="1731">
        <v>3750000</v>
      </c>
      <c r="O1859" s="1367">
        <v>43858.489699074104</v>
      </c>
      <c r="P1859" s="1731">
        <v>3750000</v>
      </c>
      <c r="Q1859" s="1367">
        <v>44069.372233796297</v>
      </c>
      <c r="R1859" s="1363"/>
      <c r="S1859" s="1563"/>
      <c r="T1859" s="1363"/>
      <c r="U1859" s="1391"/>
      <c r="V1859" s="1363"/>
      <c r="W1859" s="1391"/>
      <c r="X1859" s="1363"/>
      <c r="Y1859" s="1391"/>
      <c r="Z1859" s="1363"/>
      <c r="AA1859" s="1391"/>
      <c r="AB1859" s="1731"/>
      <c r="AC1859" s="1367"/>
      <c r="AD1859" s="1666"/>
      <c r="AE1859" s="1590"/>
      <c r="AF1859" s="1666"/>
      <c r="AG1859" s="1590"/>
      <c r="AH1859" s="1625" t="str">
        <f t="shared" si="620"/>
        <v>MPI-3A</v>
      </c>
      <c r="AI1859" s="1675">
        <f t="shared" si="629"/>
        <v>13950000</v>
      </c>
      <c r="AJ1859" s="1675">
        <f t="shared" si="630"/>
        <v>13950000</v>
      </c>
      <c r="AK1859" s="1520">
        <f t="shared" si="635"/>
        <v>0</v>
      </c>
      <c r="AL1859" s="2210" t="str">
        <f t="shared" si="636"/>
        <v>Lunas</v>
      </c>
      <c r="AM1859" s="1666"/>
      <c r="AN1859" s="1590"/>
      <c r="AO1859"/>
      <c r="AP1859"/>
      <c r="AQ1859" s="1128"/>
      <c r="AR1859" s="1173"/>
      <c r="AT1859" s="1173"/>
      <c r="AV1859" s="1173"/>
      <c r="AX1859" s="1173"/>
      <c r="AY1859" s="1176"/>
      <c r="AZ1859" s="1173"/>
    </row>
    <row r="1860" spans="1:52" s="2" customFormat="1" x14ac:dyDescent="0.25">
      <c r="A1860" s="694">
        <v>1714</v>
      </c>
      <c r="B1860" s="671">
        <v>6</v>
      </c>
      <c r="C1860" s="716">
        <v>849119028</v>
      </c>
      <c r="D1860" s="701" t="s">
        <v>2360</v>
      </c>
      <c r="E1860" s="264" t="s">
        <v>2018</v>
      </c>
      <c r="F1860" s="175">
        <v>2019</v>
      </c>
      <c r="G1860" s="360" t="s">
        <v>1483</v>
      </c>
      <c r="H1860" s="727" t="str">
        <f t="shared" si="627"/>
        <v xml:space="preserve">   </v>
      </c>
      <c r="I1860" s="727" t="str">
        <f t="shared" si="628"/>
        <v xml:space="preserve">   </v>
      </c>
      <c r="J1860" s="1359">
        <v>2700000</v>
      </c>
      <c r="K1860" s="1523">
        <v>43691.772430555597</v>
      </c>
      <c r="L1860" s="1359">
        <v>3750000</v>
      </c>
      <c r="M1860" s="1523">
        <v>43691.772430555597</v>
      </c>
      <c r="N1860" s="1731">
        <v>3750000</v>
      </c>
      <c r="O1860" s="1367">
        <v>43857.491342592599</v>
      </c>
      <c r="P1860" s="1731">
        <v>3750000</v>
      </c>
      <c r="Q1860" s="1367">
        <v>44068.438888888901</v>
      </c>
      <c r="R1860" s="1363"/>
      <c r="S1860" s="1563"/>
      <c r="T1860" s="1363"/>
      <c r="U1860" s="1391"/>
      <c r="V1860" s="1363"/>
      <c r="W1860" s="1391"/>
      <c r="X1860" s="1363"/>
      <c r="Y1860" s="1391"/>
      <c r="Z1860" s="1363"/>
      <c r="AA1860" s="1391"/>
      <c r="AB1860" s="1731"/>
      <c r="AC1860" s="1367"/>
      <c r="AD1860" s="1666"/>
      <c r="AE1860" s="1590"/>
      <c r="AF1860" s="1666"/>
      <c r="AG1860" s="1590"/>
      <c r="AH1860" s="1626" t="str">
        <f t="shared" si="620"/>
        <v>MPI-3A</v>
      </c>
      <c r="AI1860" s="1675">
        <f t="shared" si="629"/>
        <v>13950000</v>
      </c>
      <c r="AJ1860" s="1675">
        <f t="shared" si="630"/>
        <v>13950000</v>
      </c>
      <c r="AK1860" s="1520">
        <f t="shared" si="635"/>
        <v>0</v>
      </c>
      <c r="AL1860" s="2210" t="str">
        <f t="shared" si="636"/>
        <v>Lunas</v>
      </c>
      <c r="AM1860" s="1666"/>
      <c r="AN1860" s="1590"/>
      <c r="AO1860"/>
      <c r="AP1860"/>
      <c r="AQ1860" s="1128"/>
      <c r="AR1860" s="1173"/>
      <c r="AT1860" s="1173"/>
      <c r="AV1860" s="1173"/>
      <c r="AX1860" s="1173"/>
      <c r="AY1860" s="1176"/>
      <c r="AZ1860" s="1173"/>
    </row>
    <row r="1861" spans="1:52" s="2" customFormat="1" x14ac:dyDescent="0.25">
      <c r="A1861" s="694">
        <v>1715</v>
      </c>
      <c r="B1861" s="695">
        <v>7</v>
      </c>
      <c r="C1861" s="716">
        <v>849119025</v>
      </c>
      <c r="D1861" s="701" t="s">
        <v>2361</v>
      </c>
      <c r="E1861" s="264" t="s">
        <v>2018</v>
      </c>
      <c r="F1861" s="175">
        <v>2019</v>
      </c>
      <c r="G1861" s="360" t="s">
        <v>1483</v>
      </c>
      <c r="H1861" s="215" t="str">
        <f t="shared" si="627"/>
        <v xml:space="preserve">   </v>
      </c>
      <c r="I1861" s="215" t="str">
        <f t="shared" si="628"/>
        <v xml:space="preserve">   </v>
      </c>
      <c r="J1861" s="1359">
        <v>2700000</v>
      </c>
      <c r="K1861" s="1523">
        <v>43689.617812500001</v>
      </c>
      <c r="L1861" s="1359">
        <v>3750000</v>
      </c>
      <c r="M1861" s="1523">
        <v>43689.617812500001</v>
      </c>
      <c r="N1861" s="1731">
        <v>3750000</v>
      </c>
      <c r="O1861" s="1367">
        <v>43857.595358796301</v>
      </c>
      <c r="P1861" s="1731">
        <v>3750000</v>
      </c>
      <c r="Q1861" s="1367">
        <v>44040.626736111102</v>
      </c>
      <c r="R1861" s="1363"/>
      <c r="S1861" s="1563"/>
      <c r="T1861" s="1363"/>
      <c r="U1861" s="1391"/>
      <c r="V1861" s="1363"/>
      <c r="W1861" s="1391"/>
      <c r="X1861" s="1363"/>
      <c r="Y1861" s="1391"/>
      <c r="Z1861" s="1363"/>
      <c r="AA1861" s="1391"/>
      <c r="AB1861" s="1731"/>
      <c r="AC1861" s="1367"/>
      <c r="AD1861" s="1666"/>
      <c r="AE1861" s="1590"/>
      <c r="AF1861" s="1666"/>
      <c r="AG1861" s="1590"/>
      <c r="AH1861" s="1625" t="str">
        <f t="shared" si="620"/>
        <v>MPI-3A</v>
      </c>
      <c r="AI1861" s="1675">
        <f t="shared" si="629"/>
        <v>13950000</v>
      </c>
      <c r="AJ1861" s="1675">
        <f t="shared" si="630"/>
        <v>13950000</v>
      </c>
      <c r="AK1861" s="1520">
        <f t="shared" si="635"/>
        <v>0</v>
      </c>
      <c r="AL1861" s="2210" t="str">
        <f t="shared" si="636"/>
        <v>Lunas</v>
      </c>
      <c r="AM1861" s="1666"/>
      <c r="AN1861" s="1590"/>
      <c r="AO1861"/>
      <c r="AP1861"/>
      <c r="AQ1861" s="1128"/>
      <c r="AR1861" s="1173"/>
      <c r="AT1861" s="1173"/>
      <c r="AV1861" s="1173"/>
      <c r="AX1861" s="1173"/>
      <c r="AY1861" s="1176"/>
      <c r="AZ1861" s="1173"/>
    </row>
    <row r="1862" spans="1:52" s="2" customFormat="1" x14ac:dyDescent="0.25">
      <c r="A1862" s="694">
        <v>1716</v>
      </c>
      <c r="B1862" s="671">
        <v>8</v>
      </c>
      <c r="C1862" s="716">
        <v>849119005</v>
      </c>
      <c r="D1862" s="701" t="s">
        <v>2362</v>
      </c>
      <c r="E1862" s="264" t="s">
        <v>2018</v>
      </c>
      <c r="F1862" s="175">
        <v>2019</v>
      </c>
      <c r="G1862" s="360" t="s">
        <v>1483</v>
      </c>
      <c r="H1862" s="215" t="str">
        <f t="shared" si="627"/>
        <v xml:space="preserve">   </v>
      </c>
      <c r="I1862" s="215" t="str">
        <f t="shared" si="628"/>
        <v xml:space="preserve">   </v>
      </c>
      <c r="J1862" s="1359">
        <v>2700000</v>
      </c>
      <c r="K1862" s="1523">
        <v>43682.626712963</v>
      </c>
      <c r="L1862" s="1359">
        <v>3750000</v>
      </c>
      <c r="M1862" s="1523">
        <v>43682.626712963</v>
      </c>
      <c r="N1862" s="1731">
        <v>3750000</v>
      </c>
      <c r="O1862" s="1367">
        <v>43857.604143518503</v>
      </c>
      <c r="P1862" s="1731">
        <v>3750000</v>
      </c>
      <c r="Q1862" s="1367">
        <v>44068.535868055602</v>
      </c>
      <c r="R1862" s="1363"/>
      <c r="S1862" s="1563"/>
      <c r="T1862" s="1363"/>
      <c r="U1862" s="1391"/>
      <c r="V1862" s="1363"/>
      <c r="W1862" s="1391"/>
      <c r="X1862" s="1363"/>
      <c r="Y1862" s="1391"/>
      <c r="Z1862" s="1363"/>
      <c r="AA1862" s="1391"/>
      <c r="AB1862" s="1731"/>
      <c r="AC1862" s="1367"/>
      <c r="AD1862" s="1666"/>
      <c r="AE1862" s="1590"/>
      <c r="AF1862" s="1666"/>
      <c r="AG1862" s="1590"/>
      <c r="AH1862" s="1625" t="str">
        <f t="shared" si="620"/>
        <v>MPI-3A</v>
      </c>
      <c r="AI1862" s="1675">
        <f t="shared" si="629"/>
        <v>13950000</v>
      </c>
      <c r="AJ1862" s="1675">
        <f t="shared" si="630"/>
        <v>13950000</v>
      </c>
      <c r="AK1862" s="1520">
        <f t="shared" si="635"/>
        <v>0</v>
      </c>
      <c r="AL1862" s="2210" t="str">
        <f t="shared" si="636"/>
        <v>Lunas</v>
      </c>
      <c r="AM1862" s="1666"/>
      <c r="AN1862" s="1590"/>
      <c r="AO1862"/>
      <c r="AP1862"/>
      <c r="AQ1862" s="1128"/>
      <c r="AR1862" s="1173"/>
      <c r="AT1862" s="1173"/>
      <c r="AV1862" s="1173"/>
      <c r="AX1862" s="1173"/>
      <c r="AY1862" s="1176"/>
      <c r="AZ1862" s="1173"/>
    </row>
    <row r="1863" spans="1:52" s="2" customFormat="1" x14ac:dyDescent="0.25">
      <c r="A1863" s="694">
        <v>1717</v>
      </c>
      <c r="B1863" s="695">
        <v>9</v>
      </c>
      <c r="C1863" s="716">
        <v>849119004</v>
      </c>
      <c r="D1863" s="701" t="s">
        <v>2363</v>
      </c>
      <c r="E1863" s="264" t="s">
        <v>2018</v>
      </c>
      <c r="F1863" s="175">
        <v>2019</v>
      </c>
      <c r="G1863" s="360" t="s">
        <v>1483</v>
      </c>
      <c r="H1863" s="215" t="str">
        <f t="shared" si="627"/>
        <v xml:space="preserve">   </v>
      </c>
      <c r="I1863" s="215" t="str">
        <f t="shared" si="628"/>
        <v xml:space="preserve">   </v>
      </c>
      <c r="J1863" s="1359">
        <v>2700000</v>
      </c>
      <c r="K1863" s="1523">
        <v>43682.600636574098</v>
      </c>
      <c r="L1863" s="1359">
        <v>3750000</v>
      </c>
      <c r="M1863" s="1523">
        <v>43682.600636574098</v>
      </c>
      <c r="N1863" s="1731">
        <v>3750000</v>
      </c>
      <c r="O1863" s="1367">
        <v>43859.476192129601</v>
      </c>
      <c r="P1863" s="1731">
        <v>3750000</v>
      </c>
      <c r="Q1863" s="1367">
        <v>44068.548738425903</v>
      </c>
      <c r="R1863" s="1363"/>
      <c r="S1863" s="1563"/>
      <c r="T1863" s="1363"/>
      <c r="U1863" s="1391"/>
      <c r="V1863" s="1363"/>
      <c r="W1863" s="1391"/>
      <c r="X1863" s="1363"/>
      <c r="Y1863" s="1391"/>
      <c r="Z1863" s="1363"/>
      <c r="AA1863" s="1391"/>
      <c r="AB1863" s="1731"/>
      <c r="AC1863" s="1367"/>
      <c r="AD1863" s="1666"/>
      <c r="AE1863" s="1590"/>
      <c r="AF1863" s="1666"/>
      <c r="AG1863" s="1590"/>
      <c r="AH1863" s="1625" t="str">
        <f t="shared" si="620"/>
        <v>MPI-3A</v>
      </c>
      <c r="AI1863" s="1675">
        <f t="shared" si="629"/>
        <v>13950000</v>
      </c>
      <c r="AJ1863" s="1675">
        <f t="shared" si="630"/>
        <v>13950000</v>
      </c>
      <c r="AK1863" s="1520">
        <f t="shared" si="635"/>
        <v>0</v>
      </c>
      <c r="AL1863" s="2210" t="str">
        <f t="shared" si="636"/>
        <v>Lunas</v>
      </c>
      <c r="AM1863" s="1666"/>
      <c r="AN1863" s="1590"/>
      <c r="AO1863"/>
      <c r="AP1863"/>
      <c r="AQ1863" s="1128"/>
      <c r="AR1863" s="1173"/>
      <c r="AT1863" s="1173"/>
      <c r="AV1863" s="1173"/>
      <c r="AX1863" s="1173"/>
      <c r="AY1863" s="1176"/>
      <c r="AZ1863" s="1173"/>
    </row>
    <row r="1864" spans="1:52" s="2" customFormat="1" x14ac:dyDescent="0.25">
      <c r="A1864" s="694">
        <v>1718</v>
      </c>
      <c r="B1864" s="671">
        <v>10</v>
      </c>
      <c r="C1864" s="716">
        <v>849119012</v>
      </c>
      <c r="D1864" s="701" t="s">
        <v>2364</v>
      </c>
      <c r="E1864" s="264" t="s">
        <v>2018</v>
      </c>
      <c r="F1864" s="175">
        <v>2019</v>
      </c>
      <c r="G1864" s="360" t="s">
        <v>1483</v>
      </c>
      <c r="H1864" s="215" t="str">
        <f t="shared" si="627"/>
        <v xml:space="preserve">   </v>
      </c>
      <c r="I1864" s="215" t="str">
        <f t="shared" si="628"/>
        <v xml:space="preserve">   </v>
      </c>
      <c r="J1864" s="1359">
        <v>2700000</v>
      </c>
      <c r="K1864" s="1523">
        <v>43689.408043981501</v>
      </c>
      <c r="L1864" s="1359">
        <v>3750000</v>
      </c>
      <c r="M1864" s="1523">
        <v>43689.408043981501</v>
      </c>
      <c r="N1864" s="1731">
        <v>3750000</v>
      </c>
      <c r="O1864" s="1367">
        <v>43851.539652777799</v>
      </c>
      <c r="P1864" s="1731">
        <v>3750000</v>
      </c>
      <c r="Q1864" s="1367">
        <v>44040.429664351897</v>
      </c>
      <c r="R1864" s="1363"/>
      <c r="S1864" s="1563"/>
      <c r="T1864" s="1363"/>
      <c r="U1864" s="1391"/>
      <c r="V1864" s="1363"/>
      <c r="W1864" s="1391"/>
      <c r="X1864" s="1363"/>
      <c r="Y1864" s="1391"/>
      <c r="Z1864" s="1363"/>
      <c r="AA1864" s="1391"/>
      <c r="AB1864" s="1731"/>
      <c r="AC1864" s="1367"/>
      <c r="AD1864" s="1666"/>
      <c r="AE1864" s="1590"/>
      <c r="AF1864" s="1666"/>
      <c r="AG1864" s="1590"/>
      <c r="AH1864" s="1625" t="str">
        <f t="shared" si="620"/>
        <v>MPI-3A</v>
      </c>
      <c r="AI1864" s="1675">
        <f t="shared" si="629"/>
        <v>13950000</v>
      </c>
      <c r="AJ1864" s="1675">
        <f t="shared" si="630"/>
        <v>13950000</v>
      </c>
      <c r="AK1864" s="1520">
        <f t="shared" si="635"/>
        <v>0</v>
      </c>
      <c r="AL1864" s="2210" t="str">
        <f t="shared" si="636"/>
        <v>Lunas</v>
      </c>
      <c r="AM1864" s="1666"/>
      <c r="AN1864" s="1590"/>
      <c r="AO1864"/>
      <c r="AP1864"/>
      <c r="AQ1864" s="1128"/>
      <c r="AR1864" s="1173"/>
      <c r="AT1864" s="1173"/>
      <c r="AV1864" s="1173"/>
      <c r="AX1864" s="1173"/>
      <c r="AY1864" s="1176"/>
      <c r="AZ1864" s="1173"/>
    </row>
    <row r="1865" spans="1:52" s="2" customFormat="1" x14ac:dyDescent="0.25">
      <c r="A1865" s="694">
        <v>1719</v>
      </c>
      <c r="B1865" s="695">
        <v>11</v>
      </c>
      <c r="C1865" s="716">
        <v>849119008</v>
      </c>
      <c r="D1865" s="701" t="s">
        <v>2365</v>
      </c>
      <c r="E1865" s="264" t="s">
        <v>2018</v>
      </c>
      <c r="F1865" s="175">
        <v>2019</v>
      </c>
      <c r="G1865" s="360" t="s">
        <v>1483</v>
      </c>
      <c r="H1865" s="727" t="str">
        <f t="shared" si="627"/>
        <v xml:space="preserve">   </v>
      </c>
      <c r="I1865" s="727" t="str">
        <f t="shared" si="628"/>
        <v xml:space="preserve">   </v>
      </c>
      <c r="J1865" s="1359">
        <v>2700000</v>
      </c>
      <c r="K1865" s="1523">
        <v>43683.407743055599</v>
      </c>
      <c r="L1865" s="1359">
        <v>3750000</v>
      </c>
      <c r="M1865" s="1523">
        <v>43683.407743055599</v>
      </c>
      <c r="N1865" s="1731">
        <v>3750000</v>
      </c>
      <c r="O1865" s="1367">
        <v>43852.411180555602</v>
      </c>
      <c r="P1865" s="1731">
        <v>3750000</v>
      </c>
      <c r="Q1865" s="1367">
        <v>44048.445844907401</v>
      </c>
      <c r="R1865" s="1363"/>
      <c r="S1865" s="1563"/>
      <c r="T1865" s="1363"/>
      <c r="U1865" s="1391"/>
      <c r="V1865" s="1363"/>
      <c r="W1865" s="1391"/>
      <c r="X1865" s="1363"/>
      <c r="Y1865" s="1391"/>
      <c r="Z1865" s="1363"/>
      <c r="AA1865" s="1391"/>
      <c r="AB1865" s="1731"/>
      <c r="AC1865" s="1367"/>
      <c r="AD1865" s="1666"/>
      <c r="AE1865" s="1590"/>
      <c r="AF1865" s="1666"/>
      <c r="AG1865" s="1590"/>
      <c r="AH1865" s="1626" t="str">
        <f t="shared" si="620"/>
        <v>MPI-3A</v>
      </c>
      <c r="AI1865" s="1675">
        <f t="shared" si="629"/>
        <v>13950000</v>
      </c>
      <c r="AJ1865" s="1675">
        <f t="shared" si="630"/>
        <v>13950000</v>
      </c>
      <c r="AK1865" s="1520">
        <f t="shared" si="635"/>
        <v>0</v>
      </c>
      <c r="AL1865" s="2210" t="str">
        <f t="shared" si="636"/>
        <v>Lunas</v>
      </c>
      <c r="AM1865" s="1666"/>
      <c r="AN1865" s="1590"/>
      <c r="AO1865"/>
      <c r="AP1865"/>
      <c r="AQ1865" s="1128"/>
      <c r="AR1865" s="1173"/>
      <c r="AT1865" s="1173"/>
      <c r="AV1865" s="1173"/>
      <c r="AX1865" s="1173"/>
      <c r="AY1865" s="1176"/>
      <c r="AZ1865" s="1173"/>
    </row>
    <row r="1866" spans="1:52" s="2" customFormat="1" x14ac:dyDescent="0.25">
      <c r="A1866" s="694">
        <v>1720</v>
      </c>
      <c r="B1866" s="671">
        <v>12</v>
      </c>
      <c r="C1866" s="716">
        <v>849119035</v>
      </c>
      <c r="D1866" s="701" t="s">
        <v>2366</v>
      </c>
      <c r="E1866" s="264" t="s">
        <v>2018</v>
      </c>
      <c r="F1866" s="175">
        <v>2019</v>
      </c>
      <c r="G1866" s="1758" t="s">
        <v>28</v>
      </c>
      <c r="H1866" s="215" t="str">
        <f t="shared" si="627"/>
        <v xml:space="preserve">   </v>
      </c>
      <c r="I1866" s="215" t="str">
        <f t="shared" si="628"/>
        <v xml:space="preserve">   </v>
      </c>
      <c r="J1866" s="1359">
        <v>2700000</v>
      </c>
      <c r="K1866" s="1523">
        <v>43692.508587962999</v>
      </c>
      <c r="L1866" s="1359">
        <v>3750000</v>
      </c>
      <c r="M1866" s="1523">
        <v>43692.508587962999</v>
      </c>
      <c r="N1866" s="1731">
        <v>0</v>
      </c>
      <c r="O1866" s="1367"/>
      <c r="P1866" s="1731">
        <v>0</v>
      </c>
      <c r="Q1866" s="1367"/>
      <c r="R1866" s="1363" t="str">
        <f>IFERROR(VLOOKUP(C1866,BSP,3,FALSE),"  ")</f>
        <v xml:space="preserve">  </v>
      </c>
      <c r="S1866" s="1563" t="str">
        <f>IFERROR((VLOOKUP(C1866,BSP,4,FALSE)),"  ")</f>
        <v xml:space="preserve">  </v>
      </c>
      <c r="T1866" s="1363"/>
      <c r="U1866" s="1391"/>
      <c r="V1866" s="1363"/>
      <c r="W1866" s="1391"/>
      <c r="X1866" s="1363"/>
      <c r="Y1866" s="1391"/>
      <c r="Z1866" s="1363"/>
      <c r="AA1866" s="1391"/>
      <c r="AB1866" s="1731"/>
      <c r="AC1866" s="1367"/>
      <c r="AD1866" s="1666"/>
      <c r="AE1866" s="1590"/>
      <c r="AF1866" s="1666"/>
      <c r="AG1866" s="1590"/>
      <c r="AH1866" s="1625" t="str">
        <f t="shared" si="620"/>
        <v>MPI-3A</v>
      </c>
      <c r="AI1866" s="1675">
        <f t="shared" si="629"/>
        <v>6450000</v>
      </c>
      <c r="AJ1866" s="1675">
        <f t="shared" si="630"/>
        <v>13950000</v>
      </c>
      <c r="AK1866" s="1520">
        <f t="shared" si="635"/>
        <v>7500000</v>
      </c>
      <c r="AL1866" s="2210" t="str">
        <f t="shared" si="636"/>
        <v>Cek</v>
      </c>
      <c r="AM1866" s="1666"/>
      <c r="AN1866" s="1590"/>
      <c r="AO1866"/>
      <c r="AP1866"/>
      <c r="AQ1866" s="1128"/>
      <c r="AR1866" s="1173"/>
      <c r="AT1866" s="1173"/>
      <c r="AV1866" s="1173"/>
      <c r="AX1866" s="1173"/>
      <c r="AY1866" s="1176"/>
      <c r="AZ1866" s="1173"/>
    </row>
    <row r="1867" spans="1:52" s="2" customFormat="1" x14ac:dyDescent="0.25">
      <c r="A1867" s="694">
        <v>1721</v>
      </c>
      <c r="B1867" s="695">
        <v>13</v>
      </c>
      <c r="C1867" s="716">
        <v>849119034</v>
      </c>
      <c r="D1867" s="701" t="s">
        <v>2367</v>
      </c>
      <c r="E1867" s="264" t="s">
        <v>2018</v>
      </c>
      <c r="F1867" s="175">
        <v>2019</v>
      </c>
      <c r="G1867" s="360" t="s">
        <v>1483</v>
      </c>
      <c r="H1867" s="215" t="str">
        <f t="shared" si="627"/>
        <v xml:space="preserve">   </v>
      </c>
      <c r="I1867" s="215" t="str">
        <f t="shared" si="628"/>
        <v xml:space="preserve">   </v>
      </c>
      <c r="J1867" s="1359">
        <v>2700000</v>
      </c>
      <c r="K1867" s="1523">
        <v>43692.507731481499</v>
      </c>
      <c r="L1867" s="1359">
        <v>3750000</v>
      </c>
      <c r="M1867" s="1523">
        <v>43692.507731481499</v>
      </c>
      <c r="N1867" s="2274">
        <v>3750000</v>
      </c>
      <c r="O1867" s="1367">
        <v>43859.424409722204</v>
      </c>
      <c r="P1867" s="1731">
        <v>3750000</v>
      </c>
      <c r="Q1867" s="1367">
        <v>44068.550185185202</v>
      </c>
      <c r="R1867" s="1363"/>
      <c r="S1867" s="1563"/>
      <c r="T1867" s="1363"/>
      <c r="U1867" s="1391"/>
      <c r="V1867" s="1363"/>
      <c r="W1867" s="1391"/>
      <c r="X1867" s="1363"/>
      <c r="Y1867" s="1391"/>
      <c r="Z1867" s="1363"/>
      <c r="AA1867" s="1391"/>
      <c r="AB1867" s="1731"/>
      <c r="AC1867" s="1367"/>
      <c r="AD1867" s="1666"/>
      <c r="AE1867" s="1590"/>
      <c r="AF1867" s="1666"/>
      <c r="AG1867" s="1590"/>
      <c r="AH1867" s="1625" t="str">
        <f t="shared" si="620"/>
        <v>MPI-3A</v>
      </c>
      <c r="AI1867" s="1675">
        <f t="shared" si="629"/>
        <v>13950000</v>
      </c>
      <c r="AJ1867" s="1675">
        <f t="shared" si="630"/>
        <v>13950000</v>
      </c>
      <c r="AK1867" s="1520">
        <f t="shared" si="635"/>
        <v>0</v>
      </c>
      <c r="AL1867" s="2210" t="str">
        <f t="shared" si="636"/>
        <v>Lunas</v>
      </c>
      <c r="AM1867" s="1666"/>
      <c r="AN1867" s="1590"/>
      <c r="AO1867"/>
      <c r="AP1867"/>
      <c r="AQ1867" s="1128"/>
      <c r="AR1867" s="1173"/>
      <c r="AT1867" s="1173"/>
      <c r="AV1867" s="1173"/>
      <c r="AX1867" s="1173"/>
      <c r="AY1867" s="1176"/>
      <c r="AZ1867" s="1173"/>
    </row>
    <row r="1868" spans="1:52" s="2" customFormat="1" x14ac:dyDescent="0.25">
      <c r="A1868" s="694">
        <v>1722</v>
      </c>
      <c r="B1868" s="671">
        <v>14</v>
      </c>
      <c r="C1868" s="716">
        <v>849119020</v>
      </c>
      <c r="D1868" s="701" t="s">
        <v>2368</v>
      </c>
      <c r="E1868" s="264" t="s">
        <v>2018</v>
      </c>
      <c r="F1868" s="175">
        <v>2019</v>
      </c>
      <c r="G1868" s="581" t="s">
        <v>1833</v>
      </c>
      <c r="H1868" s="215" t="str">
        <f t="shared" si="627"/>
        <v xml:space="preserve">   </v>
      </c>
      <c r="I1868" s="215" t="str">
        <f t="shared" si="628"/>
        <v xml:space="preserve">   </v>
      </c>
      <c r="J1868" s="1359">
        <v>2700000</v>
      </c>
      <c r="K1868" s="1523">
        <v>43690.377685185202</v>
      </c>
      <c r="L1868" s="1359">
        <v>3750000</v>
      </c>
      <c r="M1868" s="1523">
        <v>43690.377685185202</v>
      </c>
      <c r="N1868" s="1186" t="s">
        <v>1078</v>
      </c>
      <c r="O1868" s="1386">
        <v>43861</v>
      </c>
      <c r="P1868" s="1186" t="s">
        <v>1078</v>
      </c>
      <c r="Q1868" s="1386">
        <v>44071</v>
      </c>
      <c r="R1868" s="1363" t="str">
        <f>IFERROR(VLOOKUP(C1868,BSP,3,FALSE),"  ")</f>
        <v xml:space="preserve">  </v>
      </c>
      <c r="S1868" s="1563" t="str">
        <f>IFERROR((VLOOKUP(C1868,BSP,4,FALSE)),"  ")</f>
        <v xml:space="preserve">  </v>
      </c>
      <c r="T1868" s="1363"/>
      <c r="U1868" s="1391"/>
      <c r="V1868" s="1363"/>
      <c r="W1868" s="1391"/>
      <c r="X1868" s="1363"/>
      <c r="Y1868" s="1391"/>
      <c r="Z1868" s="1363"/>
      <c r="AA1868" s="1391"/>
      <c r="AB1868" s="1731"/>
      <c r="AC1868" s="1367"/>
      <c r="AD1868" s="1666"/>
      <c r="AE1868" s="1590"/>
      <c r="AF1868" s="1666"/>
      <c r="AG1868" s="1590"/>
      <c r="AH1868" s="1625" t="str">
        <f t="shared" si="620"/>
        <v>MPI-3A</v>
      </c>
      <c r="AI1868" s="1675">
        <f t="shared" si="629"/>
        <v>6450000</v>
      </c>
      <c r="AJ1868" s="1675">
        <f t="shared" si="630"/>
        <v>6450000</v>
      </c>
      <c r="AK1868" s="1520">
        <f t="shared" si="635"/>
        <v>0</v>
      </c>
      <c r="AL1868" s="2210" t="str">
        <f t="shared" si="636"/>
        <v>Lunas</v>
      </c>
      <c r="AM1868" s="1666"/>
      <c r="AN1868" s="1590"/>
      <c r="AO1868"/>
      <c r="AP1868"/>
      <c r="AQ1868" s="1128"/>
      <c r="AR1868" s="1173"/>
      <c r="AT1868" s="1173"/>
      <c r="AV1868" s="1173"/>
      <c r="AX1868" s="1173"/>
      <c r="AY1868" s="1176"/>
      <c r="AZ1868" s="1173"/>
    </row>
    <row r="1869" spans="1:52" s="2" customFormat="1" x14ac:dyDescent="0.25">
      <c r="A1869" s="694">
        <v>1723</v>
      </c>
      <c r="B1869" s="695">
        <v>15</v>
      </c>
      <c r="C1869" s="716">
        <v>849119017</v>
      </c>
      <c r="D1869" s="701" t="s">
        <v>1938</v>
      </c>
      <c r="E1869" s="264" t="s">
        <v>2018</v>
      </c>
      <c r="F1869" s="175">
        <v>2019</v>
      </c>
      <c r="G1869" s="360" t="s">
        <v>1483</v>
      </c>
      <c r="H1869" s="215" t="str">
        <f t="shared" si="627"/>
        <v xml:space="preserve">   </v>
      </c>
      <c r="I1869" s="215" t="str">
        <f t="shared" si="628"/>
        <v xml:space="preserve">   </v>
      </c>
      <c r="J1869" s="1359">
        <v>2700000</v>
      </c>
      <c r="K1869" s="1523">
        <v>43690.458981481497</v>
      </c>
      <c r="L1869" s="1359">
        <v>3750000</v>
      </c>
      <c r="M1869" s="1523">
        <v>43690.458981481497</v>
      </c>
      <c r="N1869" s="2274">
        <v>3750000</v>
      </c>
      <c r="O1869" s="1367">
        <v>43858.453587962998</v>
      </c>
      <c r="P1869" s="1731">
        <v>3750000</v>
      </c>
      <c r="Q1869" s="1367">
        <v>44069.606550925899</v>
      </c>
      <c r="R1869" s="1363"/>
      <c r="S1869" s="1563"/>
      <c r="T1869" s="1363"/>
      <c r="U1869" s="1391"/>
      <c r="V1869" s="1363"/>
      <c r="W1869" s="1391"/>
      <c r="X1869" s="1363"/>
      <c r="Y1869" s="1391"/>
      <c r="Z1869" s="1363"/>
      <c r="AA1869" s="1391"/>
      <c r="AB1869" s="1731"/>
      <c r="AC1869" s="1367"/>
      <c r="AD1869" s="1666"/>
      <c r="AE1869" s="1590"/>
      <c r="AF1869" s="1666"/>
      <c r="AG1869" s="1590"/>
      <c r="AH1869" s="1625" t="str">
        <f t="shared" si="620"/>
        <v>MPI-3A</v>
      </c>
      <c r="AI1869" s="1675">
        <f t="shared" si="629"/>
        <v>13950000</v>
      </c>
      <c r="AJ1869" s="1675">
        <f t="shared" si="630"/>
        <v>13950000</v>
      </c>
      <c r="AK1869" s="1520">
        <f t="shared" si="635"/>
        <v>0</v>
      </c>
      <c r="AL1869" s="2210" t="str">
        <f t="shared" si="636"/>
        <v>Lunas</v>
      </c>
      <c r="AM1869" s="1666"/>
      <c r="AN1869" s="1590"/>
      <c r="AO1869"/>
      <c r="AP1869"/>
      <c r="AQ1869" s="1128"/>
      <c r="AR1869" s="1173"/>
      <c r="AT1869" s="1173"/>
      <c r="AV1869" s="1173"/>
      <c r="AX1869" s="1173"/>
      <c r="AY1869" s="1176"/>
      <c r="AZ1869" s="1173"/>
    </row>
    <row r="1870" spans="1:52" s="2" customFormat="1" x14ac:dyDescent="0.25">
      <c r="A1870" s="694">
        <v>1724</v>
      </c>
      <c r="B1870" s="671">
        <v>16</v>
      </c>
      <c r="C1870" s="716">
        <v>849119033</v>
      </c>
      <c r="D1870" s="701" t="s">
        <v>2369</v>
      </c>
      <c r="E1870" s="264" t="s">
        <v>2018</v>
      </c>
      <c r="F1870" s="175">
        <v>2019</v>
      </c>
      <c r="G1870" s="360" t="s">
        <v>1483</v>
      </c>
      <c r="H1870" s="727" t="str">
        <f t="shared" si="627"/>
        <v xml:space="preserve">   </v>
      </c>
      <c r="I1870" s="727" t="str">
        <f t="shared" si="628"/>
        <v xml:space="preserve">   </v>
      </c>
      <c r="J1870" s="1359">
        <v>2700000</v>
      </c>
      <c r="K1870" s="1523">
        <v>43692.572627314803</v>
      </c>
      <c r="L1870" s="1359">
        <v>3750000</v>
      </c>
      <c r="M1870" s="1523">
        <v>43692.572627314803</v>
      </c>
      <c r="N1870" s="1731">
        <v>3750000</v>
      </c>
      <c r="O1870" s="1367">
        <v>43860.594907407401</v>
      </c>
      <c r="P1870" s="1731">
        <v>3750000</v>
      </c>
      <c r="Q1870" s="1367">
        <v>44071</v>
      </c>
      <c r="R1870" s="1363" t="str">
        <f>IFERROR(VLOOKUP(C1870,BSP,3,FALSE),"  ")</f>
        <v xml:space="preserve">  </v>
      </c>
      <c r="S1870" s="1563" t="str">
        <f>IFERROR((VLOOKUP(C1870,BSP,4,FALSE)),"  ")</f>
        <v xml:space="preserve">  </v>
      </c>
      <c r="T1870" s="1363"/>
      <c r="U1870" s="1391"/>
      <c r="V1870" s="1363"/>
      <c r="W1870" s="1391"/>
      <c r="X1870" s="1363"/>
      <c r="Y1870" s="1391"/>
      <c r="Z1870" s="1363"/>
      <c r="AA1870" s="1391"/>
      <c r="AB1870" s="1731"/>
      <c r="AC1870" s="1367"/>
      <c r="AD1870" s="1666"/>
      <c r="AE1870" s="1590"/>
      <c r="AF1870" s="1666"/>
      <c r="AG1870" s="1590"/>
      <c r="AH1870" s="1626" t="str">
        <f t="shared" si="620"/>
        <v>MPI-3A</v>
      </c>
      <c r="AI1870" s="1675">
        <f t="shared" si="629"/>
        <v>13950000</v>
      </c>
      <c r="AJ1870" s="1675">
        <f t="shared" si="630"/>
        <v>13950000</v>
      </c>
      <c r="AK1870" s="1520">
        <f t="shared" si="635"/>
        <v>0</v>
      </c>
      <c r="AL1870" s="2210" t="str">
        <f t="shared" si="636"/>
        <v>Lunas</v>
      </c>
      <c r="AM1870" s="1666"/>
      <c r="AN1870" s="1590"/>
      <c r="AO1870"/>
      <c r="AP1870"/>
      <c r="AQ1870" s="1128"/>
      <c r="AR1870" s="1173"/>
      <c r="AT1870" s="1173"/>
      <c r="AV1870" s="1173"/>
      <c r="AX1870" s="1173"/>
      <c r="AY1870" s="1176"/>
      <c r="AZ1870" s="1173"/>
    </row>
    <row r="1871" spans="1:52" s="2" customFormat="1" x14ac:dyDescent="0.25">
      <c r="A1871" s="694">
        <v>1725</v>
      </c>
      <c r="B1871" s="695">
        <v>17</v>
      </c>
      <c r="C1871" s="716">
        <v>849119011</v>
      </c>
      <c r="D1871" s="701" t="s">
        <v>2370</v>
      </c>
      <c r="E1871" s="264" t="s">
        <v>2018</v>
      </c>
      <c r="F1871" s="175">
        <v>2019</v>
      </c>
      <c r="G1871" s="360" t="s">
        <v>1483</v>
      </c>
      <c r="H1871" s="215" t="str">
        <f t="shared" si="627"/>
        <v xml:space="preserve">   </v>
      </c>
      <c r="I1871" s="215" t="str">
        <f t="shared" si="628"/>
        <v xml:space="preserve">   </v>
      </c>
      <c r="J1871" s="1359">
        <v>2700000</v>
      </c>
      <c r="K1871" s="1523">
        <v>43689.409803240698</v>
      </c>
      <c r="L1871" s="1359">
        <v>3750000</v>
      </c>
      <c r="M1871" s="1523">
        <v>43689.409803240698</v>
      </c>
      <c r="N1871" s="1731">
        <v>3750000</v>
      </c>
      <c r="O1871" s="1367">
        <v>43852.454872685201</v>
      </c>
      <c r="P1871" s="1731">
        <v>3750000</v>
      </c>
      <c r="Q1871" s="1367">
        <v>44055.546319444402</v>
      </c>
      <c r="R1871" s="1363"/>
      <c r="S1871" s="1563"/>
      <c r="T1871" s="1363"/>
      <c r="U1871" s="1391"/>
      <c r="V1871" s="1363"/>
      <c r="W1871" s="1391"/>
      <c r="X1871" s="1363"/>
      <c r="Y1871" s="1391"/>
      <c r="Z1871" s="1363"/>
      <c r="AA1871" s="1391"/>
      <c r="AB1871" s="1731"/>
      <c r="AC1871" s="1367"/>
      <c r="AD1871" s="1666"/>
      <c r="AE1871" s="1590"/>
      <c r="AF1871" s="1666"/>
      <c r="AG1871" s="1590"/>
      <c r="AH1871" s="1625" t="str">
        <f t="shared" si="620"/>
        <v>MPI-3A</v>
      </c>
      <c r="AI1871" s="1675">
        <f t="shared" si="629"/>
        <v>13950000</v>
      </c>
      <c r="AJ1871" s="1675">
        <f t="shared" si="630"/>
        <v>13950000</v>
      </c>
      <c r="AK1871" s="1520">
        <f t="shared" si="635"/>
        <v>0</v>
      </c>
      <c r="AL1871" s="2210" t="str">
        <f t="shared" si="636"/>
        <v>Lunas</v>
      </c>
      <c r="AM1871" s="1666"/>
      <c r="AN1871" s="1590"/>
      <c r="AO1871"/>
      <c r="AP1871"/>
      <c r="AQ1871" s="1128"/>
      <c r="AR1871" s="1173"/>
      <c r="AT1871" s="1173"/>
      <c r="AV1871" s="1173"/>
      <c r="AX1871" s="1173"/>
      <c r="AY1871" s="1176"/>
      <c r="AZ1871" s="1173"/>
    </row>
    <row r="1872" spans="1:52" s="2" customFormat="1" x14ac:dyDescent="0.25">
      <c r="A1872" s="694">
        <v>1726</v>
      </c>
      <c r="B1872" s="671">
        <v>18</v>
      </c>
      <c r="C1872" s="716">
        <v>849119015</v>
      </c>
      <c r="D1872" s="701" t="s">
        <v>2371</v>
      </c>
      <c r="E1872" s="264" t="s">
        <v>2018</v>
      </c>
      <c r="F1872" s="175">
        <v>2019</v>
      </c>
      <c r="G1872" s="360" t="s">
        <v>1483</v>
      </c>
      <c r="H1872" s="215" t="str">
        <f t="shared" si="627"/>
        <v xml:space="preserve">   </v>
      </c>
      <c r="I1872" s="215" t="str">
        <f t="shared" si="628"/>
        <v xml:space="preserve">   </v>
      </c>
      <c r="J1872" s="1359">
        <v>2700000</v>
      </c>
      <c r="K1872" s="1523">
        <v>43689.6436805556</v>
      </c>
      <c r="L1872" s="1359">
        <v>3750000</v>
      </c>
      <c r="M1872" s="1523">
        <v>43689.6436805556</v>
      </c>
      <c r="N1872" s="2274">
        <v>3750000</v>
      </c>
      <c r="O1872" s="1367">
        <v>43859.587476851899</v>
      </c>
      <c r="P1872" s="1731">
        <v>3750000</v>
      </c>
      <c r="Q1872" s="1367">
        <v>44055.456203703703</v>
      </c>
      <c r="R1872" s="1363"/>
      <c r="S1872" s="1563"/>
      <c r="T1872" s="1363"/>
      <c r="U1872" s="1391"/>
      <c r="V1872" s="1363"/>
      <c r="W1872" s="1391"/>
      <c r="X1872" s="1363"/>
      <c r="Y1872" s="1391"/>
      <c r="Z1872" s="1363"/>
      <c r="AA1872" s="1391"/>
      <c r="AB1872" s="1731"/>
      <c r="AC1872" s="1367"/>
      <c r="AD1872" s="1666"/>
      <c r="AE1872" s="1590"/>
      <c r="AF1872" s="1666"/>
      <c r="AG1872" s="1590"/>
      <c r="AH1872" s="1625" t="str">
        <f t="shared" si="620"/>
        <v>MPI-3A</v>
      </c>
      <c r="AI1872" s="1675">
        <f t="shared" si="629"/>
        <v>13950000</v>
      </c>
      <c r="AJ1872" s="1675">
        <f t="shared" si="630"/>
        <v>13950000</v>
      </c>
      <c r="AK1872" s="1520">
        <f t="shared" si="635"/>
        <v>0</v>
      </c>
      <c r="AL1872" s="2210" t="str">
        <f t="shared" si="636"/>
        <v>Lunas</v>
      </c>
      <c r="AM1872" s="1666"/>
      <c r="AN1872" s="1590"/>
      <c r="AO1872"/>
      <c r="AP1872"/>
      <c r="AQ1872" s="1128"/>
      <c r="AR1872" s="1173"/>
      <c r="AT1872" s="1173"/>
      <c r="AV1872" s="1173"/>
      <c r="AX1872" s="1173"/>
      <c r="AY1872" s="1176"/>
      <c r="AZ1872" s="1173"/>
    </row>
    <row r="1873" spans="1:52" s="2" customFormat="1" x14ac:dyDescent="0.25">
      <c r="A1873" s="694">
        <v>1727</v>
      </c>
      <c r="B1873" s="695">
        <v>19</v>
      </c>
      <c r="C1873" s="716">
        <v>849119029</v>
      </c>
      <c r="D1873" s="701" t="s">
        <v>2372</v>
      </c>
      <c r="E1873" s="264" t="s">
        <v>2018</v>
      </c>
      <c r="F1873" s="175">
        <v>2019</v>
      </c>
      <c r="G1873" s="360" t="s">
        <v>1483</v>
      </c>
      <c r="H1873" s="215" t="str">
        <f t="shared" si="627"/>
        <v xml:space="preserve">   </v>
      </c>
      <c r="I1873" s="215" t="str">
        <f t="shared" si="628"/>
        <v xml:space="preserve">   </v>
      </c>
      <c r="J1873" s="1359">
        <v>2700000</v>
      </c>
      <c r="K1873" s="1523">
        <v>43689.360868055599</v>
      </c>
      <c r="L1873" s="1359">
        <v>3750000</v>
      </c>
      <c r="M1873" s="1523">
        <v>43689.360868055599</v>
      </c>
      <c r="N1873" s="1731">
        <v>3750000</v>
      </c>
      <c r="O1873" s="1367">
        <v>43859.425648148099</v>
      </c>
      <c r="P1873" s="1731">
        <v>3750000</v>
      </c>
      <c r="Q1873" s="1367">
        <v>44067.455763888902</v>
      </c>
      <c r="R1873" s="1363"/>
      <c r="S1873" s="1563"/>
      <c r="T1873" s="1363"/>
      <c r="U1873" s="1391"/>
      <c r="V1873" s="1363"/>
      <c r="W1873" s="1391"/>
      <c r="X1873" s="1363"/>
      <c r="Y1873" s="1391"/>
      <c r="Z1873" s="1363"/>
      <c r="AA1873" s="1391"/>
      <c r="AB1873" s="1731"/>
      <c r="AC1873" s="1367"/>
      <c r="AD1873" s="1666"/>
      <c r="AE1873" s="1590"/>
      <c r="AF1873" s="1666"/>
      <c r="AG1873" s="1590"/>
      <c r="AH1873" s="1625" t="str">
        <f t="shared" si="620"/>
        <v>MPI-3A</v>
      </c>
      <c r="AI1873" s="1675">
        <f t="shared" si="629"/>
        <v>13950000</v>
      </c>
      <c r="AJ1873" s="1675">
        <f t="shared" si="630"/>
        <v>13950000</v>
      </c>
      <c r="AK1873" s="1520">
        <f t="shared" si="635"/>
        <v>0</v>
      </c>
      <c r="AL1873" s="2210" t="str">
        <f t="shared" si="636"/>
        <v>Lunas</v>
      </c>
      <c r="AM1873" s="1666"/>
      <c r="AN1873" s="1590"/>
      <c r="AO1873"/>
      <c r="AP1873"/>
      <c r="AQ1873" s="1128"/>
      <c r="AR1873" s="1173"/>
      <c r="AT1873" s="1173"/>
      <c r="AV1873" s="1173"/>
      <c r="AX1873" s="1173"/>
      <c r="AY1873" s="1176"/>
      <c r="AZ1873" s="1173"/>
    </row>
    <row r="1874" spans="1:52" s="2" customFormat="1" x14ac:dyDescent="0.25">
      <c r="A1874" s="694">
        <v>1728</v>
      </c>
      <c r="B1874" s="671">
        <v>20</v>
      </c>
      <c r="C1874" s="716">
        <v>849119039</v>
      </c>
      <c r="D1874" s="701" t="s">
        <v>2373</v>
      </c>
      <c r="E1874" s="264" t="s">
        <v>2018</v>
      </c>
      <c r="F1874" s="175">
        <v>2019</v>
      </c>
      <c r="G1874" s="360" t="s">
        <v>1483</v>
      </c>
      <c r="H1874" s="215" t="str">
        <f t="shared" si="627"/>
        <v xml:space="preserve">   </v>
      </c>
      <c r="I1874" s="215" t="str">
        <f t="shared" si="628"/>
        <v xml:space="preserve">   </v>
      </c>
      <c r="J1874" s="1359">
        <v>2700000</v>
      </c>
      <c r="K1874" s="1523">
        <v>43692.800219907404</v>
      </c>
      <c r="L1874" s="1359">
        <v>3750000</v>
      </c>
      <c r="M1874" s="1523">
        <v>43692.800219907404</v>
      </c>
      <c r="N1874" s="1731">
        <v>3750000</v>
      </c>
      <c r="O1874" s="1367">
        <v>43861.845798611103</v>
      </c>
      <c r="P1874" s="1731">
        <v>3750000</v>
      </c>
      <c r="Q1874" s="1367">
        <v>44071</v>
      </c>
      <c r="R1874" s="1363"/>
      <c r="S1874" s="1563"/>
      <c r="T1874" s="1363"/>
      <c r="U1874" s="1391"/>
      <c r="V1874" s="1363"/>
      <c r="W1874" s="1391"/>
      <c r="X1874" s="1363"/>
      <c r="Y1874" s="1391"/>
      <c r="Z1874" s="1363"/>
      <c r="AA1874" s="1391"/>
      <c r="AB1874" s="1731"/>
      <c r="AC1874" s="1367"/>
      <c r="AD1874" s="1666"/>
      <c r="AE1874" s="1590"/>
      <c r="AF1874" s="1666"/>
      <c r="AG1874" s="1590"/>
      <c r="AH1874" s="1625" t="str">
        <f t="shared" si="620"/>
        <v>MPI-3A</v>
      </c>
      <c r="AI1874" s="1675">
        <f t="shared" si="629"/>
        <v>13950000</v>
      </c>
      <c r="AJ1874" s="1675">
        <f t="shared" si="630"/>
        <v>13950000</v>
      </c>
      <c r="AK1874" s="1520">
        <f t="shared" si="635"/>
        <v>0</v>
      </c>
      <c r="AL1874" s="2210" t="str">
        <f t="shared" si="636"/>
        <v>Lunas</v>
      </c>
      <c r="AM1874" s="1666"/>
      <c r="AN1874" s="1590"/>
      <c r="AO1874"/>
      <c r="AP1874"/>
      <c r="AQ1874" s="1128"/>
      <c r="AR1874" s="1173"/>
      <c r="AT1874" s="1173"/>
      <c r="AV1874" s="1173"/>
      <c r="AX1874" s="1173"/>
      <c r="AY1874" s="1176"/>
      <c r="AZ1874" s="1173"/>
    </row>
    <row r="1875" spans="1:52" s="2" customFormat="1" x14ac:dyDescent="0.25">
      <c r="A1875" s="694">
        <v>1729</v>
      </c>
      <c r="B1875" s="695">
        <v>21</v>
      </c>
      <c r="C1875" s="716">
        <v>849119040</v>
      </c>
      <c r="D1875" s="701" t="s">
        <v>2374</v>
      </c>
      <c r="E1875" s="264" t="s">
        <v>2018</v>
      </c>
      <c r="F1875" s="175">
        <v>2019</v>
      </c>
      <c r="G1875" s="360" t="s">
        <v>1483</v>
      </c>
      <c r="H1875" s="727" t="str">
        <f t="shared" si="627"/>
        <v xml:space="preserve">   </v>
      </c>
      <c r="I1875" s="727" t="str">
        <f t="shared" si="628"/>
        <v xml:space="preserve">   </v>
      </c>
      <c r="J1875" s="1359">
        <v>2700000</v>
      </c>
      <c r="K1875" s="1523">
        <v>43685.4537962963</v>
      </c>
      <c r="L1875" s="1359">
        <v>3750000</v>
      </c>
      <c r="M1875" s="1523">
        <v>43685.4537962963</v>
      </c>
      <c r="N1875" s="1731">
        <v>3750000</v>
      </c>
      <c r="O1875" s="1367">
        <v>43858.5368171296</v>
      </c>
      <c r="P1875" s="1731">
        <v>3750000</v>
      </c>
      <c r="Q1875" s="1367">
        <v>44068.809421296297</v>
      </c>
      <c r="R1875" s="1363"/>
      <c r="S1875" s="1563"/>
      <c r="T1875" s="1363"/>
      <c r="U1875" s="1391"/>
      <c r="V1875" s="1363"/>
      <c r="W1875" s="1391"/>
      <c r="X1875" s="1363"/>
      <c r="Y1875" s="1391"/>
      <c r="Z1875" s="1363"/>
      <c r="AA1875" s="1391"/>
      <c r="AB1875" s="1731"/>
      <c r="AC1875" s="1367"/>
      <c r="AD1875" s="1666"/>
      <c r="AE1875" s="1590"/>
      <c r="AF1875" s="1666"/>
      <c r="AG1875" s="1590"/>
      <c r="AH1875" s="1626" t="str">
        <f t="shared" si="620"/>
        <v>MPI-3A</v>
      </c>
      <c r="AI1875" s="1675">
        <f t="shared" si="629"/>
        <v>13950000</v>
      </c>
      <c r="AJ1875" s="1675">
        <f t="shared" si="630"/>
        <v>13950000</v>
      </c>
      <c r="AK1875" s="1520">
        <f t="shared" si="635"/>
        <v>0</v>
      </c>
      <c r="AL1875" s="2210" t="str">
        <f t="shared" si="636"/>
        <v>Lunas</v>
      </c>
      <c r="AM1875" s="1666"/>
      <c r="AN1875" s="1590"/>
      <c r="AO1875"/>
      <c r="AP1875"/>
      <c r="AQ1875" s="1128"/>
      <c r="AR1875" s="1173"/>
      <c r="AT1875" s="1173"/>
      <c r="AV1875" s="1173"/>
      <c r="AX1875" s="1173"/>
      <c r="AY1875" s="1176"/>
      <c r="AZ1875" s="1173"/>
    </row>
    <row r="1876" spans="1:52" s="2" customFormat="1" x14ac:dyDescent="0.25">
      <c r="A1876" s="694">
        <v>1730</v>
      </c>
      <c r="B1876" s="671">
        <v>22</v>
      </c>
      <c r="C1876" s="716">
        <v>849119030</v>
      </c>
      <c r="D1876" s="701" t="s">
        <v>2375</v>
      </c>
      <c r="E1876" s="264" t="s">
        <v>2027</v>
      </c>
      <c r="F1876" s="175">
        <v>2019</v>
      </c>
      <c r="G1876" s="360" t="s">
        <v>1483</v>
      </c>
      <c r="H1876" s="215" t="str">
        <f t="shared" si="627"/>
        <v xml:space="preserve">   </v>
      </c>
      <c r="I1876" s="215" t="str">
        <f t="shared" si="628"/>
        <v xml:space="preserve">   </v>
      </c>
      <c r="J1876" s="1359">
        <v>2700000</v>
      </c>
      <c r="K1876" s="1523">
        <v>43692.4089930556</v>
      </c>
      <c r="L1876" s="1359">
        <v>3750000</v>
      </c>
      <c r="M1876" s="1523">
        <v>43692.4089930556</v>
      </c>
      <c r="N1876" s="1731">
        <v>3750000</v>
      </c>
      <c r="O1876" s="1367">
        <v>43857.345092592601</v>
      </c>
      <c r="P1876" s="1731">
        <v>3750000</v>
      </c>
      <c r="Q1876" s="1367">
        <v>44057.430625000001</v>
      </c>
      <c r="R1876" s="1363"/>
      <c r="S1876" s="1563"/>
      <c r="T1876" s="1363"/>
      <c r="U1876" s="1391"/>
      <c r="V1876" s="1363"/>
      <c r="W1876" s="1391"/>
      <c r="X1876" s="1363"/>
      <c r="Y1876" s="1391"/>
      <c r="Z1876" s="1363"/>
      <c r="AA1876" s="1391"/>
      <c r="AB1876" s="1731"/>
      <c r="AC1876" s="1367"/>
      <c r="AD1876" s="1666"/>
      <c r="AE1876" s="1590"/>
      <c r="AF1876" s="1666"/>
      <c r="AG1876" s="1590"/>
      <c r="AH1876" s="1625" t="str">
        <f t="shared" si="620"/>
        <v>MPI-3B</v>
      </c>
      <c r="AI1876" s="1675">
        <f t="shared" si="629"/>
        <v>13950000</v>
      </c>
      <c r="AJ1876" s="1675">
        <f t="shared" si="630"/>
        <v>13950000</v>
      </c>
      <c r="AK1876" s="1520">
        <f t="shared" si="635"/>
        <v>0</v>
      </c>
      <c r="AL1876" s="2210" t="str">
        <f t="shared" si="636"/>
        <v>Lunas</v>
      </c>
      <c r="AM1876" s="1666"/>
      <c r="AN1876" s="1590"/>
      <c r="AO1876"/>
      <c r="AP1876"/>
      <c r="AQ1876" s="1128"/>
      <c r="AR1876" s="1173"/>
      <c r="AT1876" s="1173"/>
      <c r="AV1876" s="1173"/>
      <c r="AX1876" s="1173"/>
      <c r="AY1876" s="1176"/>
      <c r="AZ1876" s="1173"/>
    </row>
    <row r="1877" spans="1:52" s="2" customFormat="1" x14ac:dyDescent="0.25">
      <c r="A1877" s="694">
        <v>1731</v>
      </c>
      <c r="B1877" s="695">
        <v>23</v>
      </c>
      <c r="C1877" s="716">
        <v>849119026</v>
      </c>
      <c r="D1877" s="701" t="s">
        <v>2376</v>
      </c>
      <c r="E1877" s="264" t="s">
        <v>2027</v>
      </c>
      <c r="F1877" s="175">
        <v>2019</v>
      </c>
      <c r="G1877" s="360" t="s">
        <v>1483</v>
      </c>
      <c r="H1877" s="215" t="str">
        <f t="shared" si="627"/>
        <v xml:space="preserve">   </v>
      </c>
      <c r="I1877" s="215" t="str">
        <f t="shared" si="628"/>
        <v xml:space="preserve">   </v>
      </c>
      <c r="J1877" s="1359">
        <v>2700000</v>
      </c>
      <c r="K1877" s="1523">
        <v>43692.3382291667</v>
      </c>
      <c r="L1877" s="1359">
        <v>3750000</v>
      </c>
      <c r="M1877" s="1523">
        <v>43692.3382291667</v>
      </c>
      <c r="N1877" s="1731">
        <v>3750000</v>
      </c>
      <c r="O1877" s="1367">
        <v>44106</v>
      </c>
      <c r="P1877" s="1731">
        <v>3750000</v>
      </c>
      <c r="Q1877" s="1367">
        <v>44061.385046296302</v>
      </c>
      <c r="R1877" s="1363"/>
      <c r="S1877" s="1563"/>
      <c r="T1877" s="1363"/>
      <c r="U1877" s="1391"/>
      <c r="V1877" s="1363"/>
      <c r="W1877" s="1391"/>
      <c r="X1877" s="1363"/>
      <c r="Y1877" s="1391"/>
      <c r="Z1877" s="1363"/>
      <c r="AA1877" s="1391"/>
      <c r="AB1877" s="1731"/>
      <c r="AC1877" s="1367"/>
      <c r="AD1877" s="1666"/>
      <c r="AE1877" s="1590"/>
      <c r="AF1877" s="1666"/>
      <c r="AG1877" s="1590"/>
      <c r="AH1877" s="1625" t="str">
        <f t="shared" si="620"/>
        <v>MPI-3B</v>
      </c>
      <c r="AI1877" s="1675">
        <f t="shared" si="629"/>
        <v>13950000</v>
      </c>
      <c r="AJ1877" s="1675">
        <f t="shared" si="630"/>
        <v>13950000</v>
      </c>
      <c r="AK1877" s="1520">
        <f t="shared" si="635"/>
        <v>0</v>
      </c>
      <c r="AL1877" s="2210" t="str">
        <f t="shared" si="636"/>
        <v>Lunas</v>
      </c>
      <c r="AM1877" s="1666"/>
      <c r="AN1877" s="1590"/>
      <c r="AO1877"/>
      <c r="AP1877"/>
      <c r="AQ1877" s="1128"/>
      <c r="AR1877" s="1173"/>
      <c r="AT1877" s="1173"/>
      <c r="AV1877" s="1173"/>
      <c r="AX1877" s="1173"/>
      <c r="AY1877" s="1176"/>
      <c r="AZ1877" s="1173"/>
    </row>
    <row r="1878" spans="1:52" s="2" customFormat="1" x14ac:dyDescent="0.25">
      <c r="A1878" s="694">
        <v>1732</v>
      </c>
      <c r="B1878" s="671">
        <v>24</v>
      </c>
      <c r="C1878" s="716">
        <v>849119021</v>
      </c>
      <c r="D1878" s="701" t="s">
        <v>2377</v>
      </c>
      <c r="E1878" s="264" t="s">
        <v>2027</v>
      </c>
      <c r="F1878" s="175">
        <v>2019</v>
      </c>
      <c r="G1878" s="360" t="s">
        <v>1483</v>
      </c>
      <c r="H1878" s="215" t="str">
        <f t="shared" si="627"/>
        <v xml:space="preserve">   </v>
      </c>
      <c r="I1878" s="215" t="str">
        <f t="shared" si="628"/>
        <v xml:space="preserve">   </v>
      </c>
      <c r="J1878" s="1359">
        <v>2700000</v>
      </c>
      <c r="K1878" s="1523">
        <v>43689.530092592599</v>
      </c>
      <c r="L1878" s="1359">
        <v>3750000</v>
      </c>
      <c r="M1878" s="1523">
        <v>43689.530092592599</v>
      </c>
      <c r="N1878" s="1731">
        <v>3750000</v>
      </c>
      <c r="O1878" s="1367">
        <v>43858.601006944402</v>
      </c>
      <c r="P1878" s="1731">
        <v>3750000</v>
      </c>
      <c r="Q1878" s="1367">
        <v>44053.418368055602</v>
      </c>
      <c r="R1878" s="1363"/>
      <c r="S1878" s="1563"/>
      <c r="T1878" s="1363"/>
      <c r="U1878" s="1391"/>
      <c r="V1878" s="1363"/>
      <c r="W1878" s="1391"/>
      <c r="X1878" s="1363"/>
      <c r="Y1878" s="1391"/>
      <c r="Z1878" s="1363"/>
      <c r="AA1878" s="1391"/>
      <c r="AB1878" s="1731"/>
      <c r="AC1878" s="1367"/>
      <c r="AD1878" s="1666"/>
      <c r="AE1878" s="1590"/>
      <c r="AF1878" s="1666"/>
      <c r="AG1878" s="1590"/>
      <c r="AH1878" s="1625" t="str">
        <f t="shared" si="620"/>
        <v>MPI-3B</v>
      </c>
      <c r="AI1878" s="1675">
        <f t="shared" si="629"/>
        <v>13950000</v>
      </c>
      <c r="AJ1878" s="1675">
        <f t="shared" si="630"/>
        <v>13950000</v>
      </c>
      <c r="AK1878" s="1520">
        <f t="shared" si="635"/>
        <v>0</v>
      </c>
      <c r="AL1878" s="2210" t="str">
        <f t="shared" si="636"/>
        <v>Lunas</v>
      </c>
      <c r="AM1878" s="1666"/>
      <c r="AN1878" s="1590"/>
      <c r="AO1878"/>
      <c r="AP1878"/>
      <c r="AQ1878" s="1128"/>
      <c r="AR1878" s="1173"/>
      <c r="AT1878" s="1173"/>
      <c r="AV1878" s="1173"/>
      <c r="AX1878" s="1173"/>
      <c r="AY1878" s="1176"/>
      <c r="AZ1878" s="1173"/>
    </row>
    <row r="1879" spans="1:52" s="2" customFormat="1" x14ac:dyDescent="0.25">
      <c r="A1879" s="694">
        <v>1733</v>
      </c>
      <c r="B1879" s="695">
        <v>25</v>
      </c>
      <c r="C1879" s="716">
        <v>849119037</v>
      </c>
      <c r="D1879" s="701" t="s">
        <v>2378</v>
      </c>
      <c r="E1879" s="264" t="s">
        <v>2027</v>
      </c>
      <c r="F1879" s="175">
        <v>2019</v>
      </c>
      <c r="G1879" s="1758" t="s">
        <v>28</v>
      </c>
      <c r="H1879" s="215" t="str">
        <f t="shared" si="627"/>
        <v xml:space="preserve">   </v>
      </c>
      <c r="I1879" s="215" t="str">
        <f t="shared" si="628"/>
        <v xml:space="preserve">   </v>
      </c>
      <c r="J1879" s="1359">
        <v>2700000</v>
      </c>
      <c r="K1879" s="1523">
        <v>43692.532337962999</v>
      </c>
      <c r="L1879" s="1359">
        <v>3750000</v>
      </c>
      <c r="M1879" s="1523">
        <v>43692.532337962999</v>
      </c>
      <c r="N1879" s="1731">
        <v>0</v>
      </c>
      <c r="O1879" s="1367"/>
      <c r="P1879" s="1731">
        <v>0</v>
      </c>
      <c r="Q1879" s="1367"/>
      <c r="R1879" s="1363" t="str">
        <f>IFERROR(VLOOKUP(C1879,BSP,3,FALSE),"  ")</f>
        <v xml:space="preserve">  </v>
      </c>
      <c r="S1879" s="1563" t="str">
        <f>IFERROR((VLOOKUP(C1879,BSP,4,FALSE)),"  ")</f>
        <v xml:space="preserve">  </v>
      </c>
      <c r="T1879" s="1363"/>
      <c r="U1879" s="1391"/>
      <c r="V1879" s="1363"/>
      <c r="W1879" s="1391"/>
      <c r="X1879" s="1363"/>
      <c r="Y1879" s="1391"/>
      <c r="Z1879" s="1363"/>
      <c r="AA1879" s="1391"/>
      <c r="AB1879" s="1731"/>
      <c r="AC1879" s="1367"/>
      <c r="AD1879" s="1666"/>
      <c r="AE1879" s="1590"/>
      <c r="AF1879" s="1666"/>
      <c r="AG1879" s="1590"/>
      <c r="AH1879" s="1625" t="str">
        <f t="shared" si="620"/>
        <v>MPI-3B</v>
      </c>
      <c r="AI1879" s="1675">
        <f t="shared" si="629"/>
        <v>6450000</v>
      </c>
      <c r="AJ1879" s="1675">
        <f t="shared" si="630"/>
        <v>13950000</v>
      </c>
      <c r="AK1879" s="1520">
        <f t="shared" si="635"/>
        <v>7500000</v>
      </c>
      <c r="AL1879" s="2210" t="str">
        <f t="shared" si="636"/>
        <v>Cek</v>
      </c>
      <c r="AM1879" s="1666"/>
      <c r="AN1879" s="1590"/>
      <c r="AO1879"/>
      <c r="AP1879"/>
      <c r="AQ1879" s="1128"/>
      <c r="AR1879" s="1173"/>
      <c r="AT1879" s="1173"/>
      <c r="AV1879" s="1173"/>
      <c r="AX1879" s="1173"/>
      <c r="AY1879" s="1176"/>
      <c r="AZ1879" s="1173"/>
    </row>
    <row r="1880" spans="1:52" s="2" customFormat="1" x14ac:dyDescent="0.25">
      <c r="A1880" s="694">
        <v>1734</v>
      </c>
      <c r="B1880" s="671">
        <v>26</v>
      </c>
      <c r="C1880" s="716">
        <v>849119013</v>
      </c>
      <c r="D1880" s="701" t="s">
        <v>2379</v>
      </c>
      <c r="E1880" s="264" t="s">
        <v>2027</v>
      </c>
      <c r="F1880" s="175">
        <v>2019</v>
      </c>
      <c r="G1880" s="360" t="s">
        <v>1483</v>
      </c>
      <c r="H1880" s="727" t="str">
        <f t="shared" si="627"/>
        <v xml:space="preserve">   </v>
      </c>
      <c r="I1880" s="727" t="str">
        <f t="shared" si="628"/>
        <v xml:space="preserve">   </v>
      </c>
      <c r="J1880" s="1359">
        <v>2700000</v>
      </c>
      <c r="K1880" s="1523">
        <v>43679.456307870401</v>
      </c>
      <c r="L1880" s="1359">
        <v>3750000</v>
      </c>
      <c r="M1880" s="1523">
        <v>43679.456307870401</v>
      </c>
      <c r="N1880" s="1731">
        <v>3750000</v>
      </c>
      <c r="O1880" s="1367">
        <v>43857.769375000003</v>
      </c>
      <c r="P1880" s="1731">
        <v>3750000</v>
      </c>
      <c r="Q1880" s="1367">
        <v>44067.347326388903</v>
      </c>
      <c r="R1880" s="1363"/>
      <c r="S1880" s="1563"/>
      <c r="T1880" s="1363"/>
      <c r="U1880" s="1391"/>
      <c r="V1880" s="1363"/>
      <c r="W1880" s="1391"/>
      <c r="X1880" s="1363"/>
      <c r="Y1880" s="1391"/>
      <c r="Z1880" s="1363"/>
      <c r="AA1880" s="1391"/>
      <c r="AB1880" s="1731"/>
      <c r="AC1880" s="1367"/>
      <c r="AD1880" s="1666"/>
      <c r="AE1880" s="1590"/>
      <c r="AF1880" s="1666"/>
      <c r="AG1880" s="1590"/>
      <c r="AH1880" s="1626" t="str">
        <f t="shared" si="620"/>
        <v>MPI-3B</v>
      </c>
      <c r="AI1880" s="1675">
        <f t="shared" si="629"/>
        <v>13950000</v>
      </c>
      <c r="AJ1880" s="1675">
        <f t="shared" si="630"/>
        <v>13950000</v>
      </c>
      <c r="AK1880" s="1520">
        <f t="shared" si="635"/>
        <v>0</v>
      </c>
      <c r="AL1880" s="2210" t="str">
        <f t="shared" si="636"/>
        <v>Lunas</v>
      </c>
      <c r="AM1880" s="1666"/>
      <c r="AN1880" s="1590"/>
      <c r="AO1880"/>
      <c r="AP1880"/>
      <c r="AQ1880" s="1128"/>
      <c r="AR1880" s="1173"/>
      <c r="AT1880" s="1173"/>
      <c r="AV1880" s="1173"/>
      <c r="AX1880" s="1173"/>
      <c r="AY1880" s="1176"/>
      <c r="AZ1880" s="1173"/>
    </row>
    <row r="1881" spans="1:52" s="2" customFormat="1" x14ac:dyDescent="0.25">
      <c r="A1881" s="694">
        <v>1735</v>
      </c>
      <c r="B1881" s="695">
        <v>27</v>
      </c>
      <c r="C1881" s="716">
        <v>849119024</v>
      </c>
      <c r="D1881" s="701" t="s">
        <v>2380</v>
      </c>
      <c r="E1881" s="264" t="s">
        <v>2027</v>
      </c>
      <c r="F1881" s="175">
        <v>2019</v>
      </c>
      <c r="G1881" s="360" t="s">
        <v>1483</v>
      </c>
      <c r="H1881" s="215" t="str">
        <f t="shared" si="627"/>
        <v xml:space="preserve">   </v>
      </c>
      <c r="I1881" s="215" t="str">
        <f t="shared" si="628"/>
        <v xml:space="preserve">   </v>
      </c>
      <c r="J1881" s="1359">
        <v>2700000</v>
      </c>
      <c r="K1881" s="1523">
        <v>43685.921215277798</v>
      </c>
      <c r="L1881" s="1359">
        <v>3750000</v>
      </c>
      <c r="M1881" s="1523">
        <v>43685.921215277798</v>
      </c>
      <c r="N1881" s="1731">
        <v>3750000</v>
      </c>
      <c r="O1881" s="1367">
        <v>43857.444826388899</v>
      </c>
      <c r="P1881" s="1731">
        <v>3750000</v>
      </c>
      <c r="Q1881" s="1367">
        <v>44067.428333333301</v>
      </c>
      <c r="R1881" s="1363">
        <v>3750000</v>
      </c>
      <c r="S1881" s="1563">
        <v>46043</v>
      </c>
      <c r="T1881" s="1363"/>
      <c r="U1881" s="1391"/>
      <c r="V1881" s="1363"/>
      <c r="W1881" s="1391"/>
      <c r="X1881" s="1363"/>
      <c r="Y1881" s="1391"/>
      <c r="Z1881" s="1363"/>
      <c r="AA1881" s="1391"/>
      <c r="AB1881" s="1731"/>
      <c r="AC1881" s="1367"/>
      <c r="AD1881" s="1666"/>
      <c r="AE1881" s="1590"/>
      <c r="AF1881" s="1666"/>
      <c r="AG1881" s="1590"/>
      <c r="AH1881" s="1625" t="str">
        <f t="shared" si="620"/>
        <v>MPI-3B</v>
      </c>
      <c r="AI1881" s="1675">
        <f t="shared" si="629"/>
        <v>17700000</v>
      </c>
      <c r="AJ1881" s="1675">
        <f t="shared" si="630"/>
        <v>17700000</v>
      </c>
      <c r="AK1881" s="1520">
        <f t="shared" si="635"/>
        <v>0</v>
      </c>
      <c r="AL1881" s="2210" t="str">
        <f t="shared" si="636"/>
        <v>Lunas</v>
      </c>
      <c r="AM1881" s="1666"/>
      <c r="AN1881" s="1590"/>
      <c r="AO1881"/>
      <c r="AP1881"/>
      <c r="AQ1881" s="1128"/>
      <c r="AR1881" s="1173"/>
      <c r="AT1881" s="1173"/>
      <c r="AV1881" s="1173"/>
      <c r="AX1881" s="1173"/>
      <c r="AY1881" s="1176"/>
      <c r="AZ1881" s="1173"/>
    </row>
    <row r="1882" spans="1:52" s="2" customFormat="1" x14ac:dyDescent="0.25">
      <c r="A1882" s="694">
        <v>1736</v>
      </c>
      <c r="B1882" s="671">
        <v>28</v>
      </c>
      <c r="C1882" s="716">
        <v>849119038</v>
      </c>
      <c r="D1882" s="701" t="s">
        <v>2381</v>
      </c>
      <c r="E1882" s="264" t="s">
        <v>2027</v>
      </c>
      <c r="F1882" s="175">
        <v>2019</v>
      </c>
      <c r="G1882" s="360" t="s">
        <v>1483</v>
      </c>
      <c r="H1882" s="215" t="str">
        <f t="shared" si="627"/>
        <v xml:space="preserve">   </v>
      </c>
      <c r="I1882" s="215" t="str">
        <f t="shared" si="628"/>
        <v xml:space="preserve">   </v>
      </c>
      <c r="J1882" s="1359">
        <v>2700000</v>
      </c>
      <c r="K1882" s="1523">
        <v>43692.597187500003</v>
      </c>
      <c r="L1882" s="1359">
        <v>3750000</v>
      </c>
      <c r="M1882" s="1523">
        <v>43692.597187500003</v>
      </c>
      <c r="N1882" s="1731">
        <v>3750000</v>
      </c>
      <c r="O1882" s="1367">
        <v>43861.635763888902</v>
      </c>
      <c r="P1882" s="1731">
        <v>3750000</v>
      </c>
      <c r="Q1882" s="1367">
        <v>44069.481736111098</v>
      </c>
      <c r="R1882" s="1363"/>
      <c r="S1882" s="1563"/>
      <c r="T1882" s="1363"/>
      <c r="U1882" s="1391"/>
      <c r="V1882" s="1363"/>
      <c r="W1882" s="1391"/>
      <c r="X1882" s="1363"/>
      <c r="Y1882" s="1391"/>
      <c r="Z1882" s="1363"/>
      <c r="AA1882" s="1391"/>
      <c r="AB1882" s="1731"/>
      <c r="AC1882" s="1367"/>
      <c r="AD1882" s="1666"/>
      <c r="AE1882" s="1590"/>
      <c r="AF1882" s="1666"/>
      <c r="AG1882" s="1590"/>
      <c r="AH1882" s="1625" t="str">
        <f t="shared" si="620"/>
        <v>MPI-3B</v>
      </c>
      <c r="AI1882" s="1675">
        <f t="shared" si="629"/>
        <v>13950000</v>
      </c>
      <c r="AJ1882" s="1675">
        <f t="shared" si="630"/>
        <v>13950000</v>
      </c>
      <c r="AK1882" s="1520">
        <f t="shared" si="635"/>
        <v>0</v>
      </c>
      <c r="AL1882" s="2210" t="str">
        <f t="shared" si="636"/>
        <v>Lunas</v>
      </c>
      <c r="AM1882" s="1666"/>
      <c r="AN1882" s="1590"/>
      <c r="AO1882"/>
      <c r="AP1882"/>
      <c r="AQ1882" s="1128"/>
      <c r="AR1882" s="1173"/>
      <c r="AT1882" s="1173"/>
      <c r="AV1882" s="1173"/>
      <c r="AX1882" s="1173"/>
      <c r="AY1882" s="1176"/>
      <c r="AZ1882" s="1173"/>
    </row>
    <row r="1883" spans="1:52" s="2" customFormat="1" x14ac:dyDescent="0.25">
      <c r="A1883" s="694">
        <v>1737</v>
      </c>
      <c r="B1883" s="695">
        <v>29</v>
      </c>
      <c r="C1883" s="716">
        <v>849119036</v>
      </c>
      <c r="D1883" s="701" t="s">
        <v>2382</v>
      </c>
      <c r="E1883" s="264" t="s">
        <v>2027</v>
      </c>
      <c r="F1883" s="175">
        <v>2019</v>
      </c>
      <c r="G1883" s="1758" t="s">
        <v>28</v>
      </c>
      <c r="H1883" s="215" t="str">
        <f t="shared" si="627"/>
        <v xml:space="preserve">   </v>
      </c>
      <c r="I1883" s="215" t="str">
        <f t="shared" si="628"/>
        <v xml:space="preserve">   </v>
      </c>
      <c r="J1883" s="1359">
        <v>2700000</v>
      </c>
      <c r="K1883" s="1523">
        <v>43691.398877314801</v>
      </c>
      <c r="L1883" s="1359">
        <v>3750000</v>
      </c>
      <c r="M1883" s="1523">
        <v>43691.398877314801</v>
      </c>
      <c r="N1883" s="1731">
        <v>3750000</v>
      </c>
      <c r="O1883" s="2275">
        <v>43881</v>
      </c>
      <c r="P1883" s="1731">
        <v>0</v>
      </c>
      <c r="Q1883" s="1367"/>
      <c r="R1883" s="1363" t="str">
        <f>IFERROR(VLOOKUP(C1883,BSP,3,FALSE),"  ")</f>
        <v xml:space="preserve">  </v>
      </c>
      <c r="S1883" s="1563" t="str">
        <f>IFERROR((VLOOKUP(C1883,BSP,4,FALSE)),"  ")</f>
        <v xml:space="preserve">  </v>
      </c>
      <c r="T1883" s="1363"/>
      <c r="U1883" s="1391"/>
      <c r="V1883" s="1363"/>
      <c r="W1883" s="1391"/>
      <c r="X1883" s="1363"/>
      <c r="Y1883" s="1391"/>
      <c r="Z1883" s="1363"/>
      <c r="AA1883" s="1391"/>
      <c r="AB1883" s="1731"/>
      <c r="AC1883" s="1367"/>
      <c r="AD1883" s="1666"/>
      <c r="AE1883" s="1590"/>
      <c r="AF1883" s="1666"/>
      <c r="AG1883" s="1590"/>
      <c r="AH1883" s="1625" t="str">
        <f t="shared" si="620"/>
        <v>MPI-3B</v>
      </c>
      <c r="AI1883" s="1675">
        <f t="shared" si="629"/>
        <v>10200000</v>
      </c>
      <c r="AJ1883" s="1675">
        <f t="shared" si="630"/>
        <v>13950000</v>
      </c>
      <c r="AK1883" s="1520">
        <f t="shared" si="635"/>
        <v>3750000</v>
      </c>
      <c r="AL1883" s="2210" t="str">
        <f t="shared" si="636"/>
        <v>Cek</v>
      </c>
      <c r="AM1883" s="1666"/>
      <c r="AN1883" s="1590"/>
      <c r="AO1883"/>
      <c r="AP1883"/>
      <c r="AQ1883" s="1128"/>
      <c r="AR1883" s="1173"/>
      <c r="AT1883" s="1173"/>
      <c r="AV1883" s="1173"/>
      <c r="AX1883" s="1173"/>
      <c r="AY1883" s="1176"/>
      <c r="AZ1883" s="1173"/>
    </row>
    <row r="1884" spans="1:52" s="2" customFormat="1" x14ac:dyDescent="0.25">
      <c r="A1884" s="694">
        <v>1738</v>
      </c>
      <c r="B1884" s="671">
        <v>30</v>
      </c>
      <c r="C1884" s="716">
        <v>849119001</v>
      </c>
      <c r="D1884" s="701" t="s">
        <v>2383</v>
      </c>
      <c r="E1884" s="264" t="s">
        <v>2027</v>
      </c>
      <c r="F1884" s="175">
        <v>2019</v>
      </c>
      <c r="G1884" s="360" t="s">
        <v>1483</v>
      </c>
      <c r="H1884" s="215" t="str">
        <f t="shared" si="627"/>
        <v xml:space="preserve">   </v>
      </c>
      <c r="I1884" s="215" t="str">
        <f t="shared" si="628"/>
        <v xml:space="preserve">   </v>
      </c>
      <c r="J1884" s="1359">
        <v>2700000</v>
      </c>
      <c r="K1884" s="1523">
        <v>43679.3445138889</v>
      </c>
      <c r="L1884" s="1359">
        <v>3750000</v>
      </c>
      <c r="M1884" s="1523">
        <v>43679.3445138889</v>
      </c>
      <c r="N1884" s="1731">
        <v>3750000</v>
      </c>
      <c r="O1884" s="1367">
        <v>43852.612604166701</v>
      </c>
      <c r="P1884" s="1731">
        <v>3750000</v>
      </c>
      <c r="Q1884" s="1367">
        <v>44046.577025462997</v>
      </c>
      <c r="R1884" s="1363"/>
      <c r="S1884" s="1563"/>
      <c r="T1884" s="1363"/>
      <c r="U1884" s="1391"/>
      <c r="V1884" s="1363"/>
      <c r="W1884" s="1391"/>
      <c r="X1884" s="1363"/>
      <c r="Y1884" s="1391"/>
      <c r="Z1884" s="1363"/>
      <c r="AA1884" s="1391"/>
      <c r="AB1884" s="1731"/>
      <c r="AC1884" s="1367"/>
      <c r="AD1884" s="1666"/>
      <c r="AE1884" s="1590"/>
      <c r="AF1884" s="1666"/>
      <c r="AG1884" s="1590"/>
      <c r="AH1884" s="1625" t="str">
        <f t="shared" si="620"/>
        <v>MPI-3B</v>
      </c>
      <c r="AI1884" s="1675">
        <f t="shared" si="629"/>
        <v>13950000</v>
      </c>
      <c r="AJ1884" s="1675">
        <f t="shared" si="630"/>
        <v>13950000</v>
      </c>
      <c r="AK1884" s="1520">
        <f t="shared" si="635"/>
        <v>0</v>
      </c>
      <c r="AL1884" s="2210" t="str">
        <f t="shared" si="636"/>
        <v>Lunas</v>
      </c>
      <c r="AM1884" s="1666"/>
      <c r="AN1884" s="1590"/>
      <c r="AO1884"/>
      <c r="AP1884"/>
      <c r="AQ1884" s="1128"/>
      <c r="AR1884" s="1173"/>
      <c r="AT1884" s="1173"/>
      <c r="AV1884" s="1173"/>
      <c r="AX1884" s="1173"/>
      <c r="AY1884" s="1176"/>
      <c r="AZ1884" s="1173"/>
    </row>
    <row r="1885" spans="1:52" s="2" customFormat="1" x14ac:dyDescent="0.25">
      <c r="A1885" s="694">
        <v>1739</v>
      </c>
      <c r="B1885" s="695">
        <v>31</v>
      </c>
      <c r="C1885" s="716">
        <v>849119018</v>
      </c>
      <c r="D1885" s="701" t="s">
        <v>2384</v>
      </c>
      <c r="E1885" s="264" t="s">
        <v>2027</v>
      </c>
      <c r="F1885" s="175">
        <v>2019</v>
      </c>
      <c r="G1885" s="360" t="s">
        <v>1483</v>
      </c>
      <c r="H1885" s="215" t="str">
        <f t="shared" si="627"/>
        <v xml:space="preserve">   </v>
      </c>
      <c r="I1885" s="215" t="str">
        <f t="shared" si="628"/>
        <v xml:space="preserve">   </v>
      </c>
      <c r="J1885" s="1359">
        <v>2700000</v>
      </c>
      <c r="K1885" s="1523">
        <v>43690.5712152778</v>
      </c>
      <c r="L1885" s="1359">
        <v>3750000</v>
      </c>
      <c r="M1885" s="1523">
        <v>43690.5712152778</v>
      </c>
      <c r="N1885" s="1731">
        <v>3750000</v>
      </c>
      <c r="O1885" s="1367">
        <v>43861.540879629603</v>
      </c>
      <c r="P1885" s="1731">
        <v>3750000</v>
      </c>
      <c r="Q1885" s="1367">
        <v>44062.577662037002</v>
      </c>
      <c r="R1885" s="1363"/>
      <c r="S1885" s="1563"/>
      <c r="T1885" s="1363"/>
      <c r="U1885" s="1391"/>
      <c r="V1885" s="1363"/>
      <c r="W1885" s="1391"/>
      <c r="X1885" s="1363"/>
      <c r="Y1885" s="1391"/>
      <c r="Z1885" s="1363"/>
      <c r="AA1885" s="1391"/>
      <c r="AB1885" s="1731"/>
      <c r="AC1885" s="1367"/>
      <c r="AD1885" s="1666"/>
      <c r="AE1885" s="1590"/>
      <c r="AF1885" s="1666"/>
      <c r="AG1885" s="1590"/>
      <c r="AH1885" s="1625" t="str">
        <f t="shared" si="620"/>
        <v>MPI-3B</v>
      </c>
      <c r="AI1885" s="1675">
        <f t="shared" si="629"/>
        <v>13950000</v>
      </c>
      <c r="AJ1885" s="1675">
        <f t="shared" si="630"/>
        <v>13950000</v>
      </c>
      <c r="AK1885" s="1520">
        <f t="shared" si="635"/>
        <v>0</v>
      </c>
      <c r="AL1885" s="2210" t="str">
        <f t="shared" si="636"/>
        <v>Lunas</v>
      </c>
      <c r="AM1885" s="1666"/>
      <c r="AN1885" s="1590"/>
      <c r="AO1885"/>
      <c r="AP1885"/>
      <c r="AQ1885" s="1128"/>
      <c r="AR1885" s="1173"/>
      <c r="AT1885" s="1173"/>
      <c r="AV1885" s="1173"/>
      <c r="AX1885" s="1173"/>
      <c r="AY1885" s="1176"/>
      <c r="AZ1885" s="1173"/>
    </row>
    <row r="1886" spans="1:52" s="2" customFormat="1" x14ac:dyDescent="0.25">
      <c r="A1886" s="694">
        <v>1740</v>
      </c>
      <c r="B1886" s="671">
        <v>32</v>
      </c>
      <c r="C1886" s="716">
        <v>849119007</v>
      </c>
      <c r="D1886" s="701" t="s">
        <v>2385</v>
      </c>
      <c r="E1886" s="264" t="s">
        <v>2027</v>
      </c>
      <c r="F1886" s="175">
        <v>2019</v>
      </c>
      <c r="G1886" s="360" t="s">
        <v>1483</v>
      </c>
      <c r="H1886" s="727" t="str">
        <f t="shared" si="627"/>
        <v xml:space="preserve">   </v>
      </c>
      <c r="I1886" s="727" t="str">
        <f t="shared" si="628"/>
        <v xml:space="preserve">   </v>
      </c>
      <c r="J1886" s="1359">
        <v>2700000</v>
      </c>
      <c r="K1886" s="1523">
        <v>43684.4386226852</v>
      </c>
      <c r="L1886" s="1359">
        <v>3750000</v>
      </c>
      <c r="M1886" s="1523">
        <v>43684.4386226852</v>
      </c>
      <c r="N1886" s="1731">
        <v>3750000</v>
      </c>
      <c r="O1886" s="1367">
        <v>43858.5397337963</v>
      </c>
      <c r="P1886" s="1731">
        <v>3750000</v>
      </c>
      <c r="Q1886" s="1367">
        <v>44068.234363425901</v>
      </c>
      <c r="R1886" s="1363"/>
      <c r="S1886" s="1563"/>
      <c r="T1886" s="1363"/>
      <c r="U1886" s="1391"/>
      <c r="V1886" s="1363"/>
      <c r="W1886" s="1391"/>
      <c r="X1886" s="1363"/>
      <c r="Y1886" s="1391"/>
      <c r="Z1886" s="1363"/>
      <c r="AA1886" s="1391"/>
      <c r="AB1886" s="1731"/>
      <c r="AC1886" s="1367"/>
      <c r="AD1886" s="1666"/>
      <c r="AE1886" s="1590"/>
      <c r="AF1886" s="1666"/>
      <c r="AG1886" s="1590"/>
      <c r="AH1886" s="1626" t="str">
        <f t="shared" si="620"/>
        <v>MPI-3B</v>
      </c>
      <c r="AI1886" s="1675">
        <f t="shared" si="629"/>
        <v>13950000</v>
      </c>
      <c r="AJ1886" s="1675">
        <f t="shared" si="630"/>
        <v>13950000</v>
      </c>
      <c r="AK1886" s="1520">
        <f t="shared" si="635"/>
        <v>0</v>
      </c>
      <c r="AL1886" s="2210" t="str">
        <f t="shared" si="636"/>
        <v>Lunas</v>
      </c>
      <c r="AM1886" s="1666"/>
      <c r="AN1886" s="1590"/>
      <c r="AO1886"/>
      <c r="AP1886"/>
      <c r="AQ1886" s="1128"/>
      <c r="AR1886" s="1173"/>
      <c r="AT1886" s="1173"/>
      <c r="AV1886" s="1173"/>
      <c r="AX1886" s="1173"/>
      <c r="AY1886" s="1176"/>
      <c r="AZ1886" s="1173"/>
    </row>
    <row r="1887" spans="1:52" s="2" customFormat="1" x14ac:dyDescent="0.25">
      <c r="A1887" s="694">
        <v>1741</v>
      </c>
      <c r="B1887" s="695">
        <v>33</v>
      </c>
      <c r="C1887" s="716">
        <v>849119003</v>
      </c>
      <c r="D1887" s="701" t="s">
        <v>2386</v>
      </c>
      <c r="E1887" s="264" t="s">
        <v>2027</v>
      </c>
      <c r="F1887" s="175">
        <v>2019</v>
      </c>
      <c r="G1887" s="1758" t="s">
        <v>28</v>
      </c>
      <c r="H1887" s="215" t="str">
        <f t="shared" si="627"/>
        <v xml:space="preserve">   </v>
      </c>
      <c r="I1887" s="215" t="str">
        <f t="shared" si="628"/>
        <v xml:space="preserve">   </v>
      </c>
      <c r="J1887" s="1359">
        <v>2700000</v>
      </c>
      <c r="K1887" s="1523">
        <v>43682.472256944398</v>
      </c>
      <c r="L1887" s="1359">
        <v>3750000</v>
      </c>
      <c r="M1887" s="1523">
        <v>43682.472256944398</v>
      </c>
      <c r="N1887" s="1731">
        <v>0</v>
      </c>
      <c r="O1887" s="1367"/>
      <c r="P1887" s="1731">
        <v>0</v>
      </c>
      <c r="Q1887" s="1367"/>
      <c r="R1887" s="1363" t="str">
        <f>IFERROR(VLOOKUP(C1887,BSP,3,FALSE),"  ")</f>
        <v xml:space="preserve">  </v>
      </c>
      <c r="S1887" s="1563" t="str">
        <f>IFERROR((VLOOKUP(C1887,BSP,4,FALSE)),"  ")</f>
        <v xml:space="preserve">  </v>
      </c>
      <c r="T1887" s="1363"/>
      <c r="U1887" s="1391"/>
      <c r="V1887" s="1363"/>
      <c r="W1887" s="1391"/>
      <c r="X1887" s="1363"/>
      <c r="Y1887" s="1391"/>
      <c r="Z1887" s="1363"/>
      <c r="AA1887" s="1391"/>
      <c r="AB1887" s="1731"/>
      <c r="AC1887" s="1367"/>
      <c r="AD1887" s="1666"/>
      <c r="AE1887" s="1590"/>
      <c r="AF1887" s="1666"/>
      <c r="AG1887" s="1590"/>
      <c r="AH1887" s="1625" t="str">
        <f t="shared" si="620"/>
        <v>MPI-3B</v>
      </c>
      <c r="AI1887" s="1675">
        <f t="shared" si="629"/>
        <v>6450000</v>
      </c>
      <c r="AJ1887" s="1675">
        <f t="shared" si="630"/>
        <v>13950000</v>
      </c>
      <c r="AK1887" s="1520">
        <f t="shared" si="635"/>
        <v>7500000</v>
      </c>
      <c r="AL1887" s="2210" t="str">
        <f t="shared" si="636"/>
        <v>Cek</v>
      </c>
      <c r="AM1887" s="1666"/>
      <c r="AN1887" s="1590"/>
      <c r="AO1887"/>
      <c r="AP1887"/>
      <c r="AQ1887" s="1128"/>
      <c r="AR1887" s="1173"/>
      <c r="AT1887" s="1173"/>
      <c r="AV1887" s="1173"/>
      <c r="AX1887" s="1173"/>
      <c r="AY1887" s="1176"/>
      <c r="AZ1887" s="1173"/>
    </row>
    <row r="1888" spans="1:52" s="2" customFormat="1" x14ac:dyDescent="0.25">
      <c r="A1888" s="694">
        <v>1742</v>
      </c>
      <c r="B1888" s="671">
        <v>34</v>
      </c>
      <c r="C1888" s="716">
        <v>849119041</v>
      </c>
      <c r="D1888" s="701" t="s">
        <v>2387</v>
      </c>
      <c r="E1888" s="264" t="s">
        <v>2027</v>
      </c>
      <c r="F1888" s="175">
        <v>2019</v>
      </c>
      <c r="G1888" s="360" t="s">
        <v>1483</v>
      </c>
      <c r="H1888" s="215" t="str">
        <f t="shared" si="627"/>
        <v xml:space="preserve">   </v>
      </c>
      <c r="I1888" s="215" t="str">
        <f t="shared" si="628"/>
        <v xml:space="preserve">   </v>
      </c>
      <c r="J1888" s="1359">
        <v>2700000</v>
      </c>
      <c r="K1888" s="1523">
        <v>43696.403622685197</v>
      </c>
      <c r="L1888" s="1359">
        <v>3750000</v>
      </c>
      <c r="M1888" s="1523">
        <v>43696.403622685197</v>
      </c>
      <c r="N1888" s="1731">
        <v>3750000</v>
      </c>
      <c r="O1888" s="1367">
        <v>43859.442557870403</v>
      </c>
      <c r="P1888" s="1731">
        <v>3750000</v>
      </c>
      <c r="Q1888" s="1367">
        <v>44068.346076388902</v>
      </c>
      <c r="R1888" s="1363"/>
      <c r="S1888" s="1563"/>
      <c r="T1888" s="1363"/>
      <c r="U1888" s="1391"/>
      <c r="V1888" s="1363"/>
      <c r="W1888" s="1391"/>
      <c r="X1888" s="1363"/>
      <c r="Y1888" s="1391"/>
      <c r="Z1888" s="1363"/>
      <c r="AA1888" s="1391"/>
      <c r="AB1888" s="1731"/>
      <c r="AC1888" s="1367"/>
      <c r="AD1888" s="1666"/>
      <c r="AE1888" s="1590"/>
      <c r="AF1888" s="1666"/>
      <c r="AG1888" s="1590"/>
      <c r="AH1888" s="1625" t="str">
        <f t="shared" si="620"/>
        <v>MPI-3B</v>
      </c>
      <c r="AI1888" s="1675">
        <f t="shared" si="629"/>
        <v>13950000</v>
      </c>
      <c r="AJ1888" s="1675">
        <f t="shared" si="630"/>
        <v>13950000</v>
      </c>
      <c r="AK1888" s="1520">
        <f t="shared" si="635"/>
        <v>0</v>
      </c>
      <c r="AL1888" s="2210" t="str">
        <f t="shared" si="636"/>
        <v>Lunas</v>
      </c>
      <c r="AM1888" s="1666"/>
      <c r="AN1888" s="1590"/>
      <c r="AO1888"/>
      <c r="AP1888"/>
      <c r="AQ1888" s="1128"/>
      <c r="AR1888" s="1173"/>
      <c r="AT1888" s="1173"/>
      <c r="AV1888" s="1173"/>
      <c r="AX1888" s="1173"/>
      <c r="AY1888" s="1176"/>
      <c r="AZ1888" s="1173"/>
    </row>
    <row r="1889" spans="1:52" s="2" customFormat="1" x14ac:dyDescent="0.25">
      <c r="A1889" s="694">
        <v>1743</v>
      </c>
      <c r="B1889" s="695">
        <v>35</v>
      </c>
      <c r="C1889" s="716">
        <v>849119031</v>
      </c>
      <c r="D1889" s="701" t="s">
        <v>2388</v>
      </c>
      <c r="E1889" s="264" t="s">
        <v>2027</v>
      </c>
      <c r="F1889" s="175">
        <v>2019</v>
      </c>
      <c r="G1889" s="360" t="s">
        <v>1483</v>
      </c>
      <c r="H1889" s="215" t="str">
        <f t="shared" si="627"/>
        <v xml:space="preserve">   </v>
      </c>
      <c r="I1889" s="215" t="str">
        <f t="shared" si="628"/>
        <v xml:space="preserve">   </v>
      </c>
      <c r="J1889" s="1359">
        <v>2700000</v>
      </c>
      <c r="K1889" s="1523">
        <v>43692.5058333333</v>
      </c>
      <c r="L1889" s="1359">
        <v>3750000</v>
      </c>
      <c r="M1889" s="1523">
        <v>43692.5058333333</v>
      </c>
      <c r="N1889" s="1731">
        <v>3750000</v>
      </c>
      <c r="O1889" s="1367">
        <v>43858.460914351897</v>
      </c>
      <c r="P1889" s="1731">
        <v>3750000</v>
      </c>
      <c r="Q1889" s="1367">
        <v>44062.638773148101</v>
      </c>
      <c r="R1889" s="1363"/>
      <c r="S1889" s="1563"/>
      <c r="T1889" s="1363"/>
      <c r="U1889" s="1391"/>
      <c r="V1889" s="1363"/>
      <c r="W1889" s="1391"/>
      <c r="X1889" s="1363"/>
      <c r="Y1889" s="1391"/>
      <c r="Z1889" s="1363"/>
      <c r="AA1889" s="1391"/>
      <c r="AB1889" s="1731"/>
      <c r="AC1889" s="1367"/>
      <c r="AD1889" s="1666"/>
      <c r="AE1889" s="1590"/>
      <c r="AF1889" s="1666"/>
      <c r="AG1889" s="1590"/>
      <c r="AH1889" s="1625" t="str">
        <f t="shared" si="620"/>
        <v>MPI-3B</v>
      </c>
      <c r="AI1889" s="1675">
        <f t="shared" si="629"/>
        <v>13950000</v>
      </c>
      <c r="AJ1889" s="1675">
        <f t="shared" si="630"/>
        <v>13950000</v>
      </c>
      <c r="AK1889" s="1520">
        <f t="shared" si="635"/>
        <v>0</v>
      </c>
      <c r="AL1889" s="2210" t="str">
        <f t="shared" si="636"/>
        <v>Lunas</v>
      </c>
      <c r="AM1889" s="1666"/>
      <c r="AN1889" s="1590"/>
      <c r="AO1889"/>
      <c r="AP1889"/>
      <c r="AQ1889" s="1128"/>
      <c r="AR1889" s="1173"/>
      <c r="AT1889" s="1173"/>
      <c r="AV1889" s="1173"/>
      <c r="AX1889" s="1173"/>
      <c r="AY1889" s="1176"/>
      <c r="AZ1889" s="1173"/>
    </row>
    <row r="1890" spans="1:52" s="2" customFormat="1" x14ac:dyDescent="0.25">
      <c r="A1890" s="694">
        <v>1744</v>
      </c>
      <c r="B1890" s="671">
        <v>36</v>
      </c>
      <c r="C1890" s="716">
        <v>849119019</v>
      </c>
      <c r="D1890" s="701" t="s">
        <v>2389</v>
      </c>
      <c r="E1890" s="264" t="s">
        <v>2027</v>
      </c>
      <c r="F1890" s="175">
        <v>2019</v>
      </c>
      <c r="G1890" s="360" t="s">
        <v>1483</v>
      </c>
      <c r="H1890" s="215" t="str">
        <f t="shared" si="627"/>
        <v xml:space="preserve">   </v>
      </c>
      <c r="I1890" s="215" t="str">
        <f t="shared" si="628"/>
        <v xml:space="preserve">   </v>
      </c>
      <c r="J1890" s="1359">
        <v>2700000</v>
      </c>
      <c r="K1890" s="1523">
        <v>43686.365370370397</v>
      </c>
      <c r="L1890" s="1359">
        <v>3750000</v>
      </c>
      <c r="M1890" s="1523">
        <v>43686.365370370397</v>
      </c>
      <c r="N1890" s="1731">
        <v>3750000</v>
      </c>
      <c r="O1890" s="1367">
        <v>43853.341724537</v>
      </c>
      <c r="P1890" s="1731">
        <v>3750000</v>
      </c>
      <c r="Q1890" s="1367">
        <v>44068.544641203698</v>
      </c>
      <c r="R1890" s="1363"/>
      <c r="S1890" s="1563"/>
      <c r="T1890" s="1363"/>
      <c r="U1890" s="1391"/>
      <c r="V1890" s="1363"/>
      <c r="W1890" s="1391"/>
      <c r="X1890" s="1363"/>
      <c r="Y1890" s="1391"/>
      <c r="Z1890" s="1363"/>
      <c r="AA1890" s="1391"/>
      <c r="AB1890" s="1731"/>
      <c r="AC1890" s="1367"/>
      <c r="AD1890" s="1666"/>
      <c r="AE1890" s="1590"/>
      <c r="AF1890" s="1666"/>
      <c r="AG1890" s="1590"/>
      <c r="AH1890" s="1625" t="str">
        <f t="shared" si="620"/>
        <v>MPI-3B</v>
      </c>
      <c r="AI1890" s="1675">
        <f t="shared" si="629"/>
        <v>13950000</v>
      </c>
      <c r="AJ1890" s="1675">
        <f t="shared" si="630"/>
        <v>13950000</v>
      </c>
      <c r="AK1890" s="1520">
        <f t="shared" si="635"/>
        <v>0</v>
      </c>
      <c r="AL1890" s="2210" t="str">
        <f t="shared" si="636"/>
        <v>Lunas</v>
      </c>
      <c r="AM1890" s="1666"/>
      <c r="AN1890" s="1590"/>
      <c r="AO1890"/>
      <c r="AP1890"/>
      <c r="AQ1890" s="1128"/>
      <c r="AR1890" s="1173"/>
      <c r="AT1890" s="1173"/>
      <c r="AV1890" s="1173"/>
      <c r="AX1890" s="1173"/>
      <c r="AY1890" s="1176"/>
      <c r="AZ1890" s="1173"/>
    </row>
    <row r="1891" spans="1:52" s="2" customFormat="1" x14ac:dyDescent="0.25">
      <c r="A1891" s="694">
        <v>1745</v>
      </c>
      <c r="B1891" s="695">
        <v>37</v>
      </c>
      <c r="C1891" s="716">
        <v>849119023</v>
      </c>
      <c r="D1891" s="701" t="s">
        <v>2390</v>
      </c>
      <c r="E1891" s="264" t="s">
        <v>2027</v>
      </c>
      <c r="F1891" s="175">
        <v>2019</v>
      </c>
      <c r="G1891" s="360" t="s">
        <v>1483</v>
      </c>
      <c r="H1891" s="727" t="str">
        <f t="shared" si="627"/>
        <v xml:space="preserve">   </v>
      </c>
      <c r="I1891" s="727" t="str">
        <f t="shared" si="628"/>
        <v xml:space="preserve">   </v>
      </c>
      <c r="J1891" s="1359">
        <v>2700000</v>
      </c>
      <c r="K1891" s="1523">
        <v>43689.3609953704</v>
      </c>
      <c r="L1891" s="1359">
        <v>3750000</v>
      </c>
      <c r="M1891" s="1523">
        <v>43689.3609953704</v>
      </c>
      <c r="N1891" s="1731">
        <v>3750000</v>
      </c>
      <c r="O1891" s="1367">
        <v>43853.518391203703</v>
      </c>
      <c r="P1891" s="1731">
        <v>3750000</v>
      </c>
      <c r="Q1891" s="1367">
        <v>44068.585324074098</v>
      </c>
      <c r="R1891" s="1363"/>
      <c r="S1891" s="1563"/>
      <c r="T1891" s="1363"/>
      <c r="U1891" s="1391"/>
      <c r="V1891" s="1363"/>
      <c r="W1891" s="1391"/>
      <c r="X1891" s="1363"/>
      <c r="Y1891" s="1391"/>
      <c r="Z1891" s="1363"/>
      <c r="AA1891" s="1391"/>
      <c r="AB1891" s="1731"/>
      <c r="AC1891" s="1367"/>
      <c r="AD1891" s="1666"/>
      <c r="AE1891" s="1590"/>
      <c r="AF1891" s="1666"/>
      <c r="AG1891" s="1590"/>
      <c r="AH1891" s="1626" t="str">
        <f t="shared" ref="AH1891:AH1954" si="637">E1891</f>
        <v>MPI-3B</v>
      </c>
      <c r="AI1891" s="1675">
        <f t="shared" si="629"/>
        <v>13950000</v>
      </c>
      <c r="AJ1891" s="1675">
        <f t="shared" si="630"/>
        <v>13950000</v>
      </c>
      <c r="AK1891" s="1520">
        <f t="shared" si="635"/>
        <v>0</v>
      </c>
      <c r="AL1891" s="2210" t="str">
        <f t="shared" si="636"/>
        <v>Lunas</v>
      </c>
      <c r="AM1891" s="1666"/>
      <c r="AN1891" s="1590"/>
      <c r="AO1891"/>
      <c r="AP1891"/>
      <c r="AQ1891" s="1128"/>
      <c r="AR1891" s="1173"/>
      <c r="AT1891" s="1173"/>
      <c r="AV1891" s="1173"/>
      <c r="AX1891" s="1173"/>
      <c r="AY1891" s="1176"/>
      <c r="AZ1891" s="1173"/>
    </row>
    <row r="1892" spans="1:52" s="2" customFormat="1" x14ac:dyDescent="0.25">
      <c r="A1892" s="694">
        <v>1746</v>
      </c>
      <c r="B1892" s="671">
        <v>38</v>
      </c>
      <c r="C1892" s="716">
        <v>849119022</v>
      </c>
      <c r="D1892" s="701" t="s">
        <v>2391</v>
      </c>
      <c r="E1892" s="264" t="s">
        <v>2027</v>
      </c>
      <c r="F1892" s="175">
        <v>2019</v>
      </c>
      <c r="G1892" s="360" t="s">
        <v>1483</v>
      </c>
      <c r="H1892" s="215" t="str">
        <f t="shared" si="627"/>
        <v xml:space="preserve">   </v>
      </c>
      <c r="I1892" s="215" t="str">
        <f t="shared" si="628"/>
        <v xml:space="preserve">   </v>
      </c>
      <c r="J1892" s="1359">
        <v>2700000</v>
      </c>
      <c r="K1892" s="1523">
        <v>43686.569826388899</v>
      </c>
      <c r="L1892" s="1359">
        <v>3750000</v>
      </c>
      <c r="M1892" s="1523">
        <v>43686.569826388899</v>
      </c>
      <c r="N1892" s="1731">
        <v>3750000</v>
      </c>
      <c r="O1892" s="1367">
        <v>43853.406180555598</v>
      </c>
      <c r="P1892" s="1731">
        <v>3750000</v>
      </c>
      <c r="Q1892" s="1367">
        <v>44046.568564814799</v>
      </c>
      <c r="R1892" s="1363"/>
      <c r="S1892" s="1563"/>
      <c r="T1892" s="1363"/>
      <c r="U1892" s="1391"/>
      <c r="V1892" s="1363"/>
      <c r="W1892" s="1391"/>
      <c r="X1892" s="1363"/>
      <c r="Y1892" s="1391"/>
      <c r="Z1892" s="1363"/>
      <c r="AA1892" s="1391"/>
      <c r="AB1892" s="1731"/>
      <c r="AC1892" s="1367"/>
      <c r="AD1892" s="1666"/>
      <c r="AE1892" s="1590"/>
      <c r="AF1892" s="1666"/>
      <c r="AG1892" s="1590"/>
      <c r="AH1892" s="1625" t="str">
        <f t="shared" si="637"/>
        <v>MPI-3B</v>
      </c>
      <c r="AI1892" s="1675">
        <f t="shared" si="629"/>
        <v>13950000</v>
      </c>
      <c r="AJ1892" s="1675">
        <f t="shared" si="630"/>
        <v>13950000</v>
      </c>
      <c r="AK1892" s="1520">
        <f t="shared" si="635"/>
        <v>0</v>
      </c>
      <c r="AL1892" s="2210" t="str">
        <f t="shared" si="636"/>
        <v>Lunas</v>
      </c>
      <c r="AM1892" s="1666"/>
      <c r="AN1892" s="1590"/>
      <c r="AO1892"/>
      <c r="AP1892"/>
      <c r="AQ1892" s="1128"/>
      <c r="AR1892" s="1173"/>
      <c r="AT1892" s="1173"/>
      <c r="AV1892" s="1173"/>
      <c r="AX1892" s="1173"/>
      <c r="AY1892" s="1176"/>
      <c r="AZ1892" s="1173"/>
    </row>
    <row r="1893" spans="1:52" s="2" customFormat="1" x14ac:dyDescent="0.25">
      <c r="A1893" s="694">
        <v>1747</v>
      </c>
      <c r="B1893" s="695">
        <v>39</v>
      </c>
      <c r="C1893" s="716">
        <v>849119002</v>
      </c>
      <c r="D1893" s="701" t="s">
        <v>2392</v>
      </c>
      <c r="E1893" s="264" t="s">
        <v>2027</v>
      </c>
      <c r="F1893" s="175">
        <v>2019</v>
      </c>
      <c r="G1893" s="360" t="s">
        <v>1483</v>
      </c>
      <c r="H1893" s="215" t="str">
        <f t="shared" si="627"/>
        <v xml:space="preserve">   </v>
      </c>
      <c r="I1893" s="215" t="str">
        <f t="shared" si="628"/>
        <v xml:space="preserve">   </v>
      </c>
      <c r="J1893" s="1359">
        <v>2700000</v>
      </c>
      <c r="K1893" s="1523">
        <v>43679.424085648097</v>
      </c>
      <c r="L1893" s="1359">
        <v>3750000</v>
      </c>
      <c r="M1893" s="1523">
        <v>43679.424085648097</v>
      </c>
      <c r="N1893" s="1731">
        <v>3750000</v>
      </c>
      <c r="O1893" s="1367">
        <v>43854.4603935185</v>
      </c>
      <c r="P1893" s="1731">
        <v>3750000</v>
      </c>
      <c r="Q1893" s="1367">
        <v>44067.561932870398</v>
      </c>
      <c r="R1893" s="1363"/>
      <c r="S1893" s="1563"/>
      <c r="T1893" s="1363"/>
      <c r="U1893" s="1391"/>
      <c r="V1893" s="1363"/>
      <c r="W1893" s="1391"/>
      <c r="X1893" s="1363"/>
      <c r="Y1893" s="1391"/>
      <c r="Z1893" s="1363"/>
      <c r="AA1893" s="1391"/>
      <c r="AB1893" s="1731"/>
      <c r="AC1893" s="1367"/>
      <c r="AD1893" s="1666"/>
      <c r="AE1893" s="1590"/>
      <c r="AF1893" s="1666"/>
      <c r="AG1893" s="1590"/>
      <c r="AH1893" s="1625" t="str">
        <f t="shared" si="637"/>
        <v>MPI-3B</v>
      </c>
      <c r="AI1893" s="1675">
        <f t="shared" si="629"/>
        <v>13950000</v>
      </c>
      <c r="AJ1893" s="1675">
        <f t="shared" si="630"/>
        <v>13950000</v>
      </c>
      <c r="AK1893" s="1520">
        <f t="shared" si="635"/>
        <v>0</v>
      </c>
      <c r="AL1893" s="2210" t="str">
        <f t="shared" si="636"/>
        <v>Lunas</v>
      </c>
      <c r="AM1893" s="1666"/>
      <c r="AN1893" s="1590"/>
      <c r="AO1893"/>
      <c r="AP1893"/>
      <c r="AQ1893" s="1128"/>
      <c r="AR1893" s="1173"/>
      <c r="AT1893" s="1173"/>
      <c r="AV1893" s="1173"/>
      <c r="AX1893" s="1173"/>
      <c r="AY1893" s="1176"/>
      <c r="AZ1893" s="1173"/>
    </row>
    <row r="1894" spans="1:52" s="2" customFormat="1" x14ac:dyDescent="0.25">
      <c r="A1894" s="694">
        <v>1748</v>
      </c>
      <c r="B1894" s="671">
        <v>40</v>
      </c>
      <c r="C1894" s="716">
        <v>849119016</v>
      </c>
      <c r="D1894" s="701" t="s">
        <v>2393</v>
      </c>
      <c r="E1894" s="264" t="s">
        <v>2027</v>
      </c>
      <c r="F1894" s="175">
        <v>2019</v>
      </c>
      <c r="G1894" s="360" t="s">
        <v>1483</v>
      </c>
      <c r="H1894" s="215" t="str">
        <f t="shared" si="627"/>
        <v xml:space="preserve">   </v>
      </c>
      <c r="I1894" s="215" t="str">
        <f t="shared" si="628"/>
        <v xml:space="preserve">   </v>
      </c>
      <c r="J1894" s="1359">
        <v>2700000</v>
      </c>
      <c r="K1894" s="1523">
        <v>43690.414756944403</v>
      </c>
      <c r="L1894" s="1359">
        <v>3750000</v>
      </c>
      <c r="M1894" s="1523">
        <v>43690.414756944403</v>
      </c>
      <c r="N1894" s="1731">
        <v>3750000</v>
      </c>
      <c r="O1894" s="1367">
        <v>43859.604583333297</v>
      </c>
      <c r="P1894" s="1731">
        <v>3750000</v>
      </c>
      <c r="Q1894" s="1367">
        <v>44071.360428240703</v>
      </c>
      <c r="R1894" s="1363"/>
      <c r="S1894" s="1563"/>
      <c r="T1894" s="1363"/>
      <c r="U1894" s="1391"/>
      <c r="V1894" s="1363"/>
      <c r="W1894" s="1391"/>
      <c r="X1894" s="1363"/>
      <c r="Y1894" s="1391"/>
      <c r="Z1894" s="1363"/>
      <c r="AA1894" s="1391"/>
      <c r="AB1894" s="1731"/>
      <c r="AC1894" s="1367"/>
      <c r="AD1894" s="1666"/>
      <c r="AE1894" s="1590"/>
      <c r="AF1894" s="1666"/>
      <c r="AG1894" s="1590"/>
      <c r="AH1894" s="1625" t="str">
        <f t="shared" si="637"/>
        <v>MPI-3B</v>
      </c>
      <c r="AI1894" s="1675">
        <f t="shared" si="629"/>
        <v>13950000</v>
      </c>
      <c r="AJ1894" s="1675">
        <f t="shared" si="630"/>
        <v>13950000</v>
      </c>
      <c r="AK1894" s="1520">
        <f t="shared" si="635"/>
        <v>0</v>
      </c>
      <c r="AL1894" s="2210" t="str">
        <f t="shared" si="636"/>
        <v>Lunas</v>
      </c>
      <c r="AM1894" s="1666"/>
      <c r="AN1894" s="1590"/>
      <c r="AO1894"/>
      <c r="AP1894"/>
      <c r="AQ1894" s="1128"/>
      <c r="AR1894" s="1173"/>
      <c r="AT1894" s="1173"/>
      <c r="AV1894" s="1173"/>
      <c r="AX1894" s="1173"/>
      <c r="AY1894" s="1176"/>
      <c r="AZ1894" s="1173"/>
    </row>
    <row r="1895" spans="1:52" s="2" customFormat="1" x14ac:dyDescent="0.25">
      <c r="A1895" s="725"/>
      <c r="B1895" s="725"/>
      <c r="C1895" s="33"/>
      <c r="D1895" s="123"/>
      <c r="E1895" s="123"/>
      <c r="F1895" s="120" t="s">
        <v>61</v>
      </c>
      <c r="G1895" s="123"/>
      <c r="H1895" s="124"/>
      <c r="I1895" s="124"/>
      <c r="J1895" s="1212"/>
      <c r="K1895" s="2252"/>
      <c r="L1895" s="2253"/>
      <c r="M1895" s="1436"/>
      <c r="N1895" s="2253"/>
      <c r="O1895" s="2252"/>
      <c r="P1895" s="2253"/>
      <c r="Q1895" s="2252"/>
      <c r="R1895" s="2253"/>
      <c r="S1895" s="2261"/>
      <c r="T1895" s="2253"/>
      <c r="U1895" s="2252"/>
      <c r="V1895" s="2253"/>
      <c r="W1895" s="2252"/>
      <c r="X1895" s="2253"/>
      <c r="Y1895" s="2252"/>
      <c r="Z1895" s="2253"/>
      <c r="AA1895" s="2252"/>
      <c r="AB1895" s="2268"/>
      <c r="AC1895" s="2252"/>
      <c r="AD1895" s="747"/>
      <c r="AE1895" s="1155"/>
      <c r="AF1895" s="747"/>
      <c r="AG1895" s="1155"/>
      <c r="AH1895" s="1168">
        <f t="shared" si="637"/>
        <v>0</v>
      </c>
      <c r="AI1895" s="747"/>
      <c r="AJ1895" s="747"/>
      <c r="AK1895" s="747"/>
      <c r="AL1895" s="1170"/>
      <c r="AM1895" s="1170"/>
      <c r="AN1895" s="1209"/>
      <c r="AO1895" s="1170"/>
      <c r="AP1895" s="1209"/>
      <c r="AQ1895" s="1128"/>
      <c r="AR1895" s="1173"/>
      <c r="AT1895" s="1173"/>
      <c r="AV1895" s="1173"/>
      <c r="AX1895" s="1173"/>
      <c r="AY1895" s="1176"/>
      <c r="AZ1895" s="1173"/>
    </row>
    <row r="1896" spans="1:52" s="2" customFormat="1" x14ac:dyDescent="0.25">
      <c r="A1896" s="625" t="s">
        <v>2394</v>
      </c>
      <c r="B1896" s="625"/>
      <c r="C1896" s="366"/>
      <c r="D1896" s="625"/>
      <c r="E1896" s="198" t="s">
        <v>1096</v>
      </c>
      <c r="F1896" s="199" t="s">
        <v>1096</v>
      </c>
      <c r="G1896" s="565">
        <v>3750000</v>
      </c>
      <c r="H1896" s="147" t="str">
        <f t="shared" ref="H1896:H1930" si="638">IFERROR(VLOOKUP(C1896,Tlus,3,FALSE),"   ")</f>
        <v xml:space="preserve">   </v>
      </c>
      <c r="I1896" s="147" t="str">
        <f t="shared" ref="I1896:I1930" si="639">IFERROR(VLOOKUP(C1896,Wis,4,FALSE),"   ")</f>
        <v xml:space="preserve">   </v>
      </c>
      <c r="J1896" s="2035">
        <v>2700000</v>
      </c>
      <c r="K1896" s="2036"/>
      <c r="L1896" s="2163" t="s">
        <v>1049</v>
      </c>
      <c r="M1896" s="2164" t="s">
        <v>1463</v>
      </c>
      <c r="N1896" s="2163" t="s">
        <v>1051</v>
      </c>
      <c r="O1896" s="2164" t="s">
        <v>1464</v>
      </c>
      <c r="P1896" s="2016" t="s">
        <v>1053</v>
      </c>
      <c r="Q1896" s="1438" t="s">
        <v>1466</v>
      </c>
      <c r="R1896" s="2016" t="s">
        <v>1055</v>
      </c>
      <c r="S1896" s="1438" t="s">
        <v>1468</v>
      </c>
      <c r="T1896" s="2016" t="s">
        <v>1057</v>
      </c>
      <c r="U1896" s="1438" t="s">
        <v>1470</v>
      </c>
      <c r="V1896" s="2016" t="s">
        <v>1059</v>
      </c>
      <c r="W1896" s="1438" t="s">
        <v>1718</v>
      </c>
      <c r="X1896" s="1582" t="s">
        <v>1061</v>
      </c>
      <c r="Y1896" s="1438" t="s">
        <v>1719</v>
      </c>
      <c r="Z1896" s="1582" t="s">
        <v>1063</v>
      </c>
      <c r="AA1896" s="1438" t="s">
        <v>1980</v>
      </c>
      <c r="AB1896" s="2177">
        <v>1000000</v>
      </c>
      <c r="AC1896" s="2178" t="s">
        <v>2015</v>
      </c>
      <c r="AD1896" s="1450">
        <v>1200000</v>
      </c>
      <c r="AE1896" s="1663" t="s">
        <v>2016</v>
      </c>
      <c r="AF1896" s="1450">
        <v>1600000</v>
      </c>
      <c r="AG1896" s="1663" t="s">
        <v>1326</v>
      </c>
      <c r="AH1896" s="1408" t="str">
        <f t="shared" si="637"/>
        <v>#</v>
      </c>
      <c r="AI1896" s="1512"/>
      <c r="AJ1896" s="1409"/>
      <c r="AK1896" s="1409"/>
      <c r="AL1896" s="1513"/>
      <c r="AM1896" s="1450">
        <v>500000</v>
      </c>
      <c r="AN1896" s="1663" t="s">
        <v>22</v>
      </c>
      <c r="AO1896"/>
      <c r="AP1896"/>
      <c r="AQ1896" s="1128"/>
      <c r="AR1896" s="1173"/>
      <c r="AT1896" s="1173"/>
      <c r="AV1896" s="1173"/>
      <c r="AX1896" s="1173"/>
      <c r="AY1896" s="1176"/>
      <c r="AZ1896" s="1173"/>
    </row>
    <row r="1897" spans="1:52" s="2" customFormat="1" x14ac:dyDescent="0.25">
      <c r="A1897" s="694">
        <v>1749</v>
      </c>
      <c r="B1897" s="695">
        <v>1</v>
      </c>
      <c r="C1897" s="714">
        <v>839219010</v>
      </c>
      <c r="D1897" s="713" t="s">
        <v>2395</v>
      </c>
      <c r="E1897" s="326" t="s">
        <v>2133</v>
      </c>
      <c r="F1897" s="175">
        <v>2019</v>
      </c>
      <c r="G1897" s="699" t="s">
        <v>1483</v>
      </c>
      <c r="H1897" s="715" t="str">
        <f t="shared" si="638"/>
        <v xml:space="preserve">   </v>
      </c>
      <c r="I1897" s="715" t="str">
        <f t="shared" si="639"/>
        <v xml:space="preserve">   </v>
      </c>
      <c r="J1897" s="1780">
        <v>2700000</v>
      </c>
      <c r="K1897" s="1727">
        <v>43682</v>
      </c>
      <c r="L1897" s="1941">
        <v>3750000</v>
      </c>
      <c r="M1897" s="1727">
        <v>43682</v>
      </c>
      <c r="N1897" s="1731">
        <v>3750000</v>
      </c>
      <c r="O1897" s="1367">
        <v>43860.592708333301</v>
      </c>
      <c r="P1897" s="1731">
        <v>3750000</v>
      </c>
      <c r="Q1897" s="1367">
        <v>44067.4924537037</v>
      </c>
      <c r="R1897" s="1941"/>
      <c r="S1897" s="1955"/>
      <c r="T1897" s="1941"/>
      <c r="U1897" s="1954"/>
      <c r="V1897" s="1941"/>
      <c r="W1897" s="1954"/>
      <c r="X1897" s="1941"/>
      <c r="Y1897" s="1954"/>
      <c r="Z1897" s="1941"/>
      <c r="AA1897" s="1954"/>
      <c r="AB1897" s="1666"/>
      <c r="AC1897" s="1590"/>
      <c r="AD1897" s="1666"/>
      <c r="AE1897" s="1590"/>
      <c r="AF1897" s="1666"/>
      <c r="AG1897" s="1590"/>
      <c r="AH1897" s="1625" t="str">
        <f t="shared" si="637"/>
        <v>ES-3A</v>
      </c>
      <c r="AI1897" s="1675">
        <f t="shared" ref="AI1897:AI1930" si="640">SUM(J1897,L1897,N1897,P1897,R1897,T1897,V1897,X1897,Z1897,AB1897,AD1897,AF1897,AM1897)</f>
        <v>13950000</v>
      </c>
      <c r="AJ1897" s="1675">
        <f t="shared" ref="AJ1897:AJ1930" si="641">(COUNT(L1897,N1897,P1897,R1897,T1897,V1897,X1897,Z1897)*$G$1507)+(COUNT(J1897)*$J$1507)+(COUNT(AB1897)*$AB$1507)+(COUNT(AD1897)*$AD$1507)+(COUNT(AF1897)*$AF$1507)+(COUNT(AM1897)*$AM$1507)</f>
        <v>13950000</v>
      </c>
      <c r="AK1897" s="1520">
        <f t="shared" ref="AK1897" si="642">AJ1897-AI1897</f>
        <v>0</v>
      </c>
      <c r="AL1897" s="2187" t="str">
        <f t="shared" ref="AL1897" si="643">IF(AK1897=0,"Lunas","Cek")</f>
        <v>Lunas</v>
      </c>
      <c r="AM1897" s="1666"/>
      <c r="AN1897" s="1590"/>
      <c r="AO1897"/>
      <c r="AP1897"/>
      <c r="AQ1897" s="1128"/>
      <c r="AR1897" s="1173"/>
      <c r="AT1897" s="1173"/>
      <c r="AV1897" s="1173"/>
      <c r="AX1897" s="1173"/>
      <c r="AY1897" s="1176"/>
      <c r="AZ1897" s="1173"/>
    </row>
    <row r="1898" spans="1:52" s="2" customFormat="1" x14ac:dyDescent="0.25">
      <c r="A1898" s="694">
        <v>1750</v>
      </c>
      <c r="B1898" s="671">
        <v>2</v>
      </c>
      <c r="C1898" s="716">
        <v>839219003</v>
      </c>
      <c r="D1898" s="701" t="s">
        <v>2396</v>
      </c>
      <c r="E1898" s="264" t="s">
        <v>2133</v>
      </c>
      <c r="F1898" s="175">
        <v>2019</v>
      </c>
      <c r="G1898" s="360" t="s">
        <v>1483</v>
      </c>
      <c r="H1898" s="215" t="str">
        <f t="shared" si="638"/>
        <v xml:space="preserve">   </v>
      </c>
      <c r="I1898" s="215" t="str">
        <f t="shared" si="639"/>
        <v xml:space="preserve">   </v>
      </c>
      <c r="J1898" s="1359">
        <v>2700000</v>
      </c>
      <c r="K1898" s="1523">
        <v>43683</v>
      </c>
      <c r="L1898" s="1359">
        <v>3750000</v>
      </c>
      <c r="M1898" s="1523">
        <v>43683</v>
      </c>
      <c r="N1898" s="1731">
        <v>3750000</v>
      </c>
      <c r="O1898" s="1367">
        <v>43860.602534722202</v>
      </c>
      <c r="P1898" s="1731">
        <v>3750000</v>
      </c>
      <c r="Q1898" s="1367">
        <v>44057.387893518498</v>
      </c>
      <c r="R1898" s="1363"/>
      <c r="S1898" s="1563"/>
      <c r="T1898" s="1363"/>
      <c r="U1898" s="1391"/>
      <c r="V1898" s="1363"/>
      <c r="W1898" s="1391"/>
      <c r="X1898" s="1363"/>
      <c r="Y1898" s="1391"/>
      <c r="Z1898" s="1363"/>
      <c r="AA1898" s="1391"/>
      <c r="AB1898" s="1731"/>
      <c r="AC1898" s="1367"/>
      <c r="AD1898" s="1666"/>
      <c r="AE1898" s="1590"/>
      <c r="AF1898" s="1666"/>
      <c r="AG1898" s="1590"/>
      <c r="AH1898" s="1625" t="str">
        <f t="shared" si="637"/>
        <v>ES-3A</v>
      </c>
      <c r="AI1898" s="1675">
        <f t="shared" si="640"/>
        <v>13950000</v>
      </c>
      <c r="AJ1898" s="1675">
        <f t="shared" si="641"/>
        <v>13950000</v>
      </c>
      <c r="AK1898" s="1520">
        <f t="shared" ref="AK1898" si="644">AJ1898-AI1898</f>
        <v>0</v>
      </c>
      <c r="AL1898" s="2210" t="str">
        <f t="shared" ref="AL1898" si="645">IF(AK1898=0,"Lunas","Cek")</f>
        <v>Lunas</v>
      </c>
      <c r="AM1898" s="1666"/>
      <c r="AN1898" s="1590"/>
      <c r="AO1898"/>
      <c r="AP1898"/>
      <c r="AQ1898" s="1128"/>
      <c r="AR1898" s="1173"/>
      <c r="AT1898" s="1173"/>
      <c r="AV1898" s="1173"/>
      <c r="AX1898" s="1173"/>
      <c r="AY1898" s="1176"/>
      <c r="AZ1898" s="1173"/>
    </row>
    <row r="1899" spans="1:52" s="2" customFormat="1" x14ac:dyDescent="0.25">
      <c r="A1899" s="694">
        <v>1751</v>
      </c>
      <c r="B1899" s="671">
        <v>3</v>
      </c>
      <c r="C1899" s="716">
        <v>839219028</v>
      </c>
      <c r="D1899" s="701" t="s">
        <v>2397</v>
      </c>
      <c r="E1899" s="264" t="s">
        <v>2133</v>
      </c>
      <c r="F1899" s="175">
        <v>2019</v>
      </c>
      <c r="G1899" s="360" t="s">
        <v>1483</v>
      </c>
      <c r="H1899" s="215" t="str">
        <f t="shared" si="638"/>
        <v xml:space="preserve">   </v>
      </c>
      <c r="I1899" s="215" t="str">
        <f t="shared" si="639"/>
        <v xml:space="preserve">   </v>
      </c>
      <c r="J1899" s="1359">
        <v>2700000</v>
      </c>
      <c r="K1899" s="1523">
        <v>43692.417928240699</v>
      </c>
      <c r="L1899" s="1359">
        <v>3750000</v>
      </c>
      <c r="M1899" s="1523">
        <v>43692.417928240699</v>
      </c>
      <c r="N1899" s="1731">
        <v>3750000</v>
      </c>
      <c r="O1899" s="1367">
        <v>43860.456203703703</v>
      </c>
      <c r="P1899" s="1731">
        <v>3750000</v>
      </c>
      <c r="Q1899" s="1367">
        <v>44070.5550925926</v>
      </c>
      <c r="R1899" s="1363"/>
      <c r="S1899" s="1563"/>
      <c r="T1899" s="1363"/>
      <c r="U1899" s="1391"/>
      <c r="V1899" s="1363"/>
      <c r="W1899" s="1391"/>
      <c r="X1899" s="1363"/>
      <c r="Y1899" s="1391"/>
      <c r="Z1899" s="1363"/>
      <c r="AA1899" s="1391"/>
      <c r="AB1899" s="1731">
        <v>1000000</v>
      </c>
      <c r="AC1899" s="1367">
        <v>44208</v>
      </c>
      <c r="AD1899" s="1666"/>
      <c r="AE1899" s="1590"/>
      <c r="AF1899" s="1666"/>
      <c r="AG1899" s="1590"/>
      <c r="AH1899" s="1625" t="str">
        <f t="shared" si="637"/>
        <v>ES-3A</v>
      </c>
      <c r="AI1899" s="1675">
        <f t="shared" si="640"/>
        <v>14950000</v>
      </c>
      <c r="AJ1899" s="1675">
        <f t="shared" si="641"/>
        <v>14950000</v>
      </c>
      <c r="AK1899" s="1520">
        <f t="shared" ref="AK1899:AK1930" si="646">AJ1899-AI1899</f>
        <v>0</v>
      </c>
      <c r="AL1899" s="2210" t="str">
        <f t="shared" ref="AL1899:AL1930" si="647">IF(AK1899=0,"Lunas","Cek")</f>
        <v>Lunas</v>
      </c>
      <c r="AM1899" s="1666"/>
      <c r="AN1899" s="1590"/>
      <c r="AO1899"/>
      <c r="AP1899"/>
      <c r="AQ1899" s="1128"/>
      <c r="AR1899" s="1173"/>
      <c r="AT1899" s="1173"/>
      <c r="AV1899" s="1173"/>
      <c r="AX1899" s="1173"/>
      <c r="AY1899" s="1176"/>
      <c r="AZ1899" s="1173"/>
    </row>
    <row r="1900" spans="1:52" s="2" customFormat="1" x14ac:dyDescent="0.25">
      <c r="A1900" s="694">
        <v>1752</v>
      </c>
      <c r="B1900" s="671">
        <v>4</v>
      </c>
      <c r="C1900" s="716">
        <v>839219029</v>
      </c>
      <c r="D1900" s="701" t="s">
        <v>2398</v>
      </c>
      <c r="E1900" s="264" t="s">
        <v>2133</v>
      </c>
      <c r="F1900" s="175">
        <v>2019</v>
      </c>
      <c r="G1900" s="360" t="s">
        <v>1483</v>
      </c>
      <c r="H1900" s="215" t="str">
        <f t="shared" si="638"/>
        <v xml:space="preserve">   </v>
      </c>
      <c r="I1900" s="215" t="str">
        <f t="shared" si="639"/>
        <v xml:space="preserve">   </v>
      </c>
      <c r="J1900" s="1359">
        <v>2700000</v>
      </c>
      <c r="K1900" s="1523">
        <v>43686.5836458333</v>
      </c>
      <c r="L1900" s="1359">
        <v>3750000</v>
      </c>
      <c r="M1900" s="1523">
        <v>43686.5836458333</v>
      </c>
      <c r="N1900" s="1731">
        <v>3750000</v>
      </c>
      <c r="O1900" s="1367">
        <v>43861.549247685201</v>
      </c>
      <c r="P1900" s="1731">
        <v>3750000</v>
      </c>
      <c r="Q1900" s="1367">
        <v>44057.578634259298</v>
      </c>
      <c r="R1900" s="1363"/>
      <c r="S1900" s="1563"/>
      <c r="T1900" s="1363"/>
      <c r="U1900" s="1391"/>
      <c r="V1900" s="1363"/>
      <c r="W1900" s="1391"/>
      <c r="X1900" s="1363"/>
      <c r="Y1900" s="1391"/>
      <c r="Z1900" s="1363"/>
      <c r="AA1900" s="1391"/>
      <c r="AB1900" s="1731"/>
      <c r="AC1900" s="1367"/>
      <c r="AD1900" s="1666"/>
      <c r="AE1900" s="1590"/>
      <c r="AF1900" s="1666"/>
      <c r="AG1900" s="1590"/>
      <c r="AH1900" s="1625" t="str">
        <f t="shared" si="637"/>
        <v>ES-3A</v>
      </c>
      <c r="AI1900" s="1675">
        <f t="shared" si="640"/>
        <v>13950000</v>
      </c>
      <c r="AJ1900" s="1675">
        <f t="shared" si="641"/>
        <v>13950000</v>
      </c>
      <c r="AK1900" s="1520">
        <f t="shared" si="646"/>
        <v>0</v>
      </c>
      <c r="AL1900" s="2210" t="str">
        <f t="shared" si="647"/>
        <v>Lunas</v>
      </c>
      <c r="AM1900" s="1666"/>
      <c r="AN1900" s="1590"/>
      <c r="AO1900"/>
      <c r="AP1900"/>
      <c r="AQ1900" s="1128"/>
      <c r="AR1900" s="1173"/>
      <c r="AT1900" s="1173"/>
      <c r="AV1900" s="1173"/>
      <c r="AX1900" s="1173"/>
      <c r="AY1900" s="1176"/>
      <c r="AZ1900" s="1173"/>
    </row>
    <row r="1901" spans="1:52" s="2" customFormat="1" x14ac:dyDescent="0.25">
      <c r="A1901" s="694">
        <v>1753</v>
      </c>
      <c r="B1901" s="671">
        <v>5</v>
      </c>
      <c r="C1901" s="716">
        <v>839219005</v>
      </c>
      <c r="D1901" s="701" t="s">
        <v>2399</v>
      </c>
      <c r="E1901" s="264" t="s">
        <v>2133</v>
      </c>
      <c r="F1901" s="175">
        <v>2019</v>
      </c>
      <c r="G1901" s="360" t="s">
        <v>1483</v>
      </c>
      <c r="H1901" s="215" t="str">
        <f t="shared" si="638"/>
        <v xml:space="preserve">   </v>
      </c>
      <c r="I1901" s="215" t="str">
        <f t="shared" si="639"/>
        <v xml:space="preserve">   </v>
      </c>
      <c r="J1901" s="1359">
        <v>2700000</v>
      </c>
      <c r="K1901" s="1523">
        <v>43683</v>
      </c>
      <c r="L1901" s="1359">
        <v>3750000</v>
      </c>
      <c r="M1901" s="1523">
        <v>43683</v>
      </c>
      <c r="N1901" s="1731">
        <v>3750000</v>
      </c>
      <c r="O1901" s="1367">
        <v>43858.589606481502</v>
      </c>
      <c r="P1901" s="1731">
        <v>3750000</v>
      </c>
      <c r="Q1901" s="1367">
        <v>44057.548055555599</v>
      </c>
      <c r="R1901" s="1363"/>
      <c r="S1901" s="1563"/>
      <c r="T1901" s="1363"/>
      <c r="U1901" s="1391"/>
      <c r="V1901" s="1363"/>
      <c r="W1901" s="1391"/>
      <c r="X1901" s="1363"/>
      <c r="Y1901" s="1391"/>
      <c r="Z1901" s="1363"/>
      <c r="AA1901" s="1391"/>
      <c r="AB1901" s="1731"/>
      <c r="AC1901" s="1367"/>
      <c r="AD1901" s="1666"/>
      <c r="AE1901" s="1590"/>
      <c r="AF1901" s="1666"/>
      <c r="AG1901" s="1590"/>
      <c r="AH1901" s="1625" t="str">
        <f t="shared" si="637"/>
        <v>ES-3A</v>
      </c>
      <c r="AI1901" s="1675">
        <f t="shared" si="640"/>
        <v>13950000</v>
      </c>
      <c r="AJ1901" s="1675">
        <f t="shared" si="641"/>
        <v>13950000</v>
      </c>
      <c r="AK1901" s="1520">
        <f t="shared" si="646"/>
        <v>0</v>
      </c>
      <c r="AL1901" s="2210" t="str">
        <f t="shared" si="647"/>
        <v>Lunas</v>
      </c>
      <c r="AM1901" s="1666"/>
      <c r="AN1901" s="1590"/>
      <c r="AO1901"/>
      <c r="AP1901"/>
      <c r="AQ1901" s="1128"/>
      <c r="AR1901" s="1173"/>
      <c r="AT1901" s="1173"/>
      <c r="AV1901" s="1173"/>
      <c r="AX1901" s="1173"/>
      <c r="AY1901" s="1176"/>
      <c r="AZ1901" s="1173"/>
    </row>
    <row r="1902" spans="1:52" s="2" customFormat="1" x14ac:dyDescent="0.25">
      <c r="A1902" s="694">
        <v>1754</v>
      </c>
      <c r="B1902" s="671">
        <v>6</v>
      </c>
      <c r="C1902" s="716">
        <v>839219013</v>
      </c>
      <c r="D1902" s="701" t="s">
        <v>2400</v>
      </c>
      <c r="E1902" s="264" t="s">
        <v>2133</v>
      </c>
      <c r="F1902" s="175">
        <v>2019</v>
      </c>
      <c r="G1902" s="360" t="s">
        <v>1483</v>
      </c>
      <c r="H1902" s="215" t="str">
        <f t="shared" si="638"/>
        <v xml:space="preserve">   </v>
      </c>
      <c r="I1902" s="215" t="str">
        <f t="shared" si="639"/>
        <v xml:space="preserve">   </v>
      </c>
      <c r="J1902" s="1359">
        <v>2700000</v>
      </c>
      <c r="K1902" s="1523">
        <v>43686</v>
      </c>
      <c r="L1902" s="1359">
        <v>3750000</v>
      </c>
      <c r="M1902" s="1523">
        <v>43686</v>
      </c>
      <c r="N1902" s="1731">
        <v>3750000</v>
      </c>
      <c r="O1902" s="1367">
        <v>43853.570532407401</v>
      </c>
      <c r="P1902" s="1731">
        <v>3750000</v>
      </c>
      <c r="Q1902" s="1367">
        <v>44057.365277777797</v>
      </c>
      <c r="R1902" s="1363"/>
      <c r="S1902" s="1563"/>
      <c r="T1902" s="1363"/>
      <c r="U1902" s="1391"/>
      <c r="V1902" s="1363"/>
      <c r="W1902" s="1391"/>
      <c r="X1902" s="1363"/>
      <c r="Y1902" s="1391"/>
      <c r="Z1902" s="1363"/>
      <c r="AA1902" s="1391"/>
      <c r="AB1902" s="1731"/>
      <c r="AC1902" s="1367"/>
      <c r="AD1902" s="1666"/>
      <c r="AE1902" s="1590"/>
      <c r="AF1902" s="1666"/>
      <c r="AG1902" s="1590"/>
      <c r="AH1902" s="1625" t="str">
        <f t="shared" si="637"/>
        <v>ES-3A</v>
      </c>
      <c r="AI1902" s="1675">
        <f t="shared" si="640"/>
        <v>13950000</v>
      </c>
      <c r="AJ1902" s="1675">
        <f t="shared" si="641"/>
        <v>13950000</v>
      </c>
      <c r="AK1902" s="1520">
        <f t="shared" si="646"/>
        <v>0</v>
      </c>
      <c r="AL1902" s="2210" t="str">
        <f t="shared" si="647"/>
        <v>Lunas</v>
      </c>
      <c r="AM1902" s="1666"/>
      <c r="AN1902" s="1590"/>
      <c r="AO1902"/>
      <c r="AP1902"/>
      <c r="AQ1902" s="1128"/>
      <c r="AR1902" s="1173"/>
      <c r="AT1902" s="1173"/>
      <c r="AV1902" s="1173"/>
      <c r="AX1902" s="1173"/>
      <c r="AY1902" s="1176"/>
      <c r="AZ1902" s="1173"/>
    </row>
    <row r="1903" spans="1:52" s="2" customFormat="1" x14ac:dyDescent="0.25">
      <c r="A1903" s="694">
        <v>1755</v>
      </c>
      <c r="B1903" s="671">
        <v>7</v>
      </c>
      <c r="C1903" s="716">
        <v>839219012</v>
      </c>
      <c r="D1903" s="701" t="s">
        <v>2401</v>
      </c>
      <c r="E1903" s="264" t="s">
        <v>2133</v>
      </c>
      <c r="F1903" s="175">
        <v>2019</v>
      </c>
      <c r="G1903" s="360" t="s">
        <v>1483</v>
      </c>
      <c r="H1903" s="727" t="str">
        <f t="shared" si="638"/>
        <v xml:space="preserve">   </v>
      </c>
      <c r="I1903" s="727" t="str">
        <f t="shared" si="639"/>
        <v xml:space="preserve">   </v>
      </c>
      <c r="J1903" s="1359">
        <v>2700000</v>
      </c>
      <c r="K1903" s="1523">
        <v>43690</v>
      </c>
      <c r="L1903" s="1359">
        <v>3750000</v>
      </c>
      <c r="M1903" s="1523">
        <v>43690</v>
      </c>
      <c r="N1903" s="1731">
        <v>3750000</v>
      </c>
      <c r="O1903" s="1367">
        <v>43859.342118055603</v>
      </c>
      <c r="P1903" s="1731">
        <v>3750000</v>
      </c>
      <c r="Q1903" s="1367">
        <v>44070.382152777798</v>
      </c>
      <c r="R1903" s="1363"/>
      <c r="S1903" s="1563"/>
      <c r="T1903" s="1363"/>
      <c r="U1903" s="1391"/>
      <c r="V1903" s="1363"/>
      <c r="W1903" s="1391"/>
      <c r="X1903" s="1363"/>
      <c r="Y1903" s="1391"/>
      <c r="Z1903" s="1363"/>
      <c r="AA1903" s="1391"/>
      <c r="AB1903" s="1731"/>
      <c r="AC1903" s="1367"/>
      <c r="AD1903" s="1666"/>
      <c r="AE1903" s="1590"/>
      <c r="AF1903" s="1666"/>
      <c r="AG1903" s="1590"/>
      <c r="AH1903" s="1626" t="str">
        <f t="shared" si="637"/>
        <v>ES-3A</v>
      </c>
      <c r="AI1903" s="1675">
        <f t="shared" si="640"/>
        <v>13950000</v>
      </c>
      <c r="AJ1903" s="1675">
        <f t="shared" si="641"/>
        <v>13950000</v>
      </c>
      <c r="AK1903" s="1520">
        <f t="shared" si="646"/>
        <v>0</v>
      </c>
      <c r="AL1903" s="2210" t="str">
        <f t="shared" si="647"/>
        <v>Lunas</v>
      </c>
      <c r="AM1903" s="1666"/>
      <c r="AN1903" s="1590"/>
      <c r="AO1903"/>
      <c r="AP1903"/>
      <c r="AQ1903" s="1128"/>
      <c r="AR1903" s="1173"/>
      <c r="AT1903" s="1173"/>
      <c r="AV1903" s="1173"/>
      <c r="AX1903" s="1173"/>
      <c r="AY1903" s="1176"/>
      <c r="AZ1903" s="1173"/>
    </row>
    <row r="1904" spans="1:52" s="2" customFormat="1" x14ac:dyDescent="0.25">
      <c r="A1904" s="694">
        <v>1756</v>
      </c>
      <c r="B1904" s="671">
        <v>8</v>
      </c>
      <c r="C1904" s="716">
        <v>839219017</v>
      </c>
      <c r="D1904" s="701" t="s">
        <v>2402</v>
      </c>
      <c r="E1904" s="264" t="s">
        <v>2133</v>
      </c>
      <c r="F1904" s="175">
        <v>2019</v>
      </c>
      <c r="G1904" s="360" t="s">
        <v>1483</v>
      </c>
      <c r="H1904" s="215" t="str">
        <f t="shared" si="638"/>
        <v xml:space="preserve">   </v>
      </c>
      <c r="I1904" s="215" t="str">
        <f t="shared" si="639"/>
        <v xml:space="preserve">   </v>
      </c>
      <c r="J1904" s="1359">
        <v>2700000</v>
      </c>
      <c r="K1904" s="1523">
        <v>43690</v>
      </c>
      <c r="L1904" s="1359">
        <v>3750000</v>
      </c>
      <c r="M1904" s="1523">
        <v>43690</v>
      </c>
      <c r="N1904" s="1731">
        <v>3750000</v>
      </c>
      <c r="O1904" s="1367">
        <v>43857.494270833296</v>
      </c>
      <c r="P1904" s="1731">
        <v>3750000</v>
      </c>
      <c r="Q1904" s="1367">
        <v>44039.451446759304</v>
      </c>
      <c r="R1904" s="1363"/>
      <c r="S1904" s="1563"/>
      <c r="T1904" s="1363"/>
      <c r="U1904" s="1391"/>
      <c r="V1904" s="1363"/>
      <c r="W1904" s="1391"/>
      <c r="X1904" s="1363"/>
      <c r="Y1904" s="1391"/>
      <c r="Z1904" s="1363"/>
      <c r="AA1904" s="1391"/>
      <c r="AB1904" s="1731"/>
      <c r="AC1904" s="1367"/>
      <c r="AD1904" s="1666"/>
      <c r="AE1904" s="1590"/>
      <c r="AF1904" s="1666"/>
      <c r="AG1904" s="1590"/>
      <c r="AH1904" s="1625" t="str">
        <f t="shared" si="637"/>
        <v>ES-3A</v>
      </c>
      <c r="AI1904" s="1675">
        <f t="shared" si="640"/>
        <v>13950000</v>
      </c>
      <c r="AJ1904" s="1675">
        <f t="shared" si="641"/>
        <v>13950000</v>
      </c>
      <c r="AK1904" s="1520">
        <f t="shared" si="646"/>
        <v>0</v>
      </c>
      <c r="AL1904" s="2210" t="str">
        <f t="shared" si="647"/>
        <v>Lunas</v>
      </c>
      <c r="AM1904" s="1666"/>
      <c r="AN1904" s="1590"/>
      <c r="AO1904"/>
      <c r="AP1904"/>
      <c r="AQ1904" s="1128"/>
      <c r="AR1904" s="1173"/>
      <c r="AT1904" s="1173"/>
      <c r="AV1904" s="1173"/>
      <c r="AX1904" s="1173"/>
      <c r="AY1904" s="1176"/>
      <c r="AZ1904" s="1173"/>
    </row>
    <row r="1905" spans="1:52" s="2" customFormat="1" x14ac:dyDescent="0.25">
      <c r="A1905" s="694">
        <v>1757</v>
      </c>
      <c r="B1905" s="671">
        <v>9</v>
      </c>
      <c r="C1905" s="716">
        <v>839219006</v>
      </c>
      <c r="D1905" s="701" t="s">
        <v>2403</v>
      </c>
      <c r="E1905" s="264" t="s">
        <v>2133</v>
      </c>
      <c r="F1905" s="175">
        <v>2019</v>
      </c>
      <c r="G1905" s="360" t="s">
        <v>1483</v>
      </c>
      <c r="H1905" s="215" t="str">
        <f t="shared" si="638"/>
        <v xml:space="preserve">   </v>
      </c>
      <c r="I1905" s="215" t="str">
        <f t="shared" si="639"/>
        <v xml:space="preserve">   </v>
      </c>
      <c r="J1905" s="1359">
        <v>2700000</v>
      </c>
      <c r="K1905" s="1523">
        <v>43684</v>
      </c>
      <c r="L1905" s="1359">
        <v>3750000</v>
      </c>
      <c r="M1905" s="1523">
        <v>43684</v>
      </c>
      <c r="N1905" s="1731">
        <v>3750000</v>
      </c>
      <c r="O1905" s="1367">
        <v>43858.391574074099</v>
      </c>
      <c r="P1905" s="1731">
        <v>3750000</v>
      </c>
      <c r="Q1905" s="1367">
        <v>44042.39</v>
      </c>
      <c r="R1905" s="1363"/>
      <c r="S1905" s="1563"/>
      <c r="T1905" s="1363"/>
      <c r="U1905" s="1391"/>
      <c r="V1905" s="1363"/>
      <c r="W1905" s="1391"/>
      <c r="X1905" s="1363"/>
      <c r="Y1905" s="1391"/>
      <c r="Z1905" s="1363"/>
      <c r="AA1905" s="1391"/>
      <c r="AB1905" s="1731"/>
      <c r="AC1905" s="1367"/>
      <c r="AD1905" s="1666"/>
      <c r="AE1905" s="1590"/>
      <c r="AF1905" s="1666"/>
      <c r="AG1905" s="1590"/>
      <c r="AH1905" s="1625" t="str">
        <f t="shared" si="637"/>
        <v>ES-3A</v>
      </c>
      <c r="AI1905" s="1675">
        <f t="shared" si="640"/>
        <v>13950000</v>
      </c>
      <c r="AJ1905" s="1675">
        <f t="shared" si="641"/>
        <v>13950000</v>
      </c>
      <c r="AK1905" s="1520">
        <f t="shared" si="646"/>
        <v>0</v>
      </c>
      <c r="AL1905" s="2210" t="str">
        <f t="shared" si="647"/>
        <v>Lunas</v>
      </c>
      <c r="AM1905" s="1666"/>
      <c r="AN1905" s="1590"/>
      <c r="AO1905"/>
      <c r="AP1905"/>
      <c r="AQ1905" s="1128"/>
      <c r="AR1905" s="1173"/>
      <c r="AT1905" s="1173"/>
      <c r="AV1905" s="1173"/>
      <c r="AX1905" s="1173"/>
      <c r="AY1905" s="1176"/>
      <c r="AZ1905" s="1173"/>
    </row>
    <row r="1906" spans="1:52" s="2" customFormat="1" x14ac:dyDescent="0.25">
      <c r="A1906" s="694">
        <v>1758</v>
      </c>
      <c r="B1906" s="671">
        <v>10</v>
      </c>
      <c r="C1906" s="716">
        <v>839219027</v>
      </c>
      <c r="D1906" s="701" t="s">
        <v>2404</v>
      </c>
      <c r="E1906" s="264" t="s">
        <v>2133</v>
      </c>
      <c r="F1906" s="175">
        <v>2019</v>
      </c>
      <c r="G1906" s="360" t="s">
        <v>1483</v>
      </c>
      <c r="H1906" s="215" t="str">
        <f t="shared" si="638"/>
        <v xml:space="preserve">   </v>
      </c>
      <c r="I1906" s="215" t="str">
        <f t="shared" si="639"/>
        <v xml:space="preserve">   </v>
      </c>
      <c r="J1906" s="1359">
        <v>2700000</v>
      </c>
      <c r="K1906" s="1523">
        <v>43691.905300925901</v>
      </c>
      <c r="L1906" s="1359">
        <v>3750000</v>
      </c>
      <c r="M1906" s="1523">
        <v>43691.905300925901</v>
      </c>
      <c r="N1906" s="1731">
        <v>3750000</v>
      </c>
      <c r="O1906" s="1367">
        <v>43859.495405092603</v>
      </c>
      <c r="P1906" s="1731">
        <v>3750000</v>
      </c>
      <c r="Q1906" s="1367">
        <v>44070.412824074097</v>
      </c>
      <c r="R1906" s="1363"/>
      <c r="S1906" s="1563"/>
      <c r="T1906" s="1363"/>
      <c r="U1906" s="1391"/>
      <c r="V1906" s="1363"/>
      <c r="W1906" s="1391"/>
      <c r="X1906" s="1363"/>
      <c r="Y1906" s="1391"/>
      <c r="Z1906" s="1363"/>
      <c r="AA1906" s="1391"/>
      <c r="AB1906" s="1731"/>
      <c r="AC1906" s="1367"/>
      <c r="AD1906" s="1666"/>
      <c r="AE1906" s="1590"/>
      <c r="AF1906" s="1666"/>
      <c r="AG1906" s="1590"/>
      <c r="AH1906" s="1625" t="str">
        <f t="shared" si="637"/>
        <v>ES-3A</v>
      </c>
      <c r="AI1906" s="1675">
        <f t="shared" si="640"/>
        <v>13950000</v>
      </c>
      <c r="AJ1906" s="1675">
        <f t="shared" si="641"/>
        <v>13950000</v>
      </c>
      <c r="AK1906" s="1520">
        <f t="shared" si="646"/>
        <v>0</v>
      </c>
      <c r="AL1906" s="2210" t="str">
        <f t="shared" si="647"/>
        <v>Lunas</v>
      </c>
      <c r="AM1906" s="1666"/>
      <c r="AN1906" s="1590"/>
      <c r="AO1906"/>
      <c r="AP1906"/>
      <c r="AQ1906" s="1128"/>
      <c r="AR1906" s="1173"/>
      <c r="AT1906" s="1173"/>
      <c r="AV1906" s="1173"/>
      <c r="AX1906" s="1173"/>
      <c r="AY1906" s="1176"/>
      <c r="AZ1906" s="1173"/>
    </row>
    <row r="1907" spans="1:52" s="2" customFormat="1" x14ac:dyDescent="0.25">
      <c r="A1907" s="694">
        <v>1759</v>
      </c>
      <c r="B1907" s="671">
        <v>11</v>
      </c>
      <c r="C1907" s="716">
        <v>839219022</v>
      </c>
      <c r="D1907" s="701" t="s">
        <v>2405</v>
      </c>
      <c r="E1907" s="264" t="s">
        <v>2133</v>
      </c>
      <c r="F1907" s="175">
        <v>2019</v>
      </c>
      <c r="G1907" s="360" t="s">
        <v>1483</v>
      </c>
      <c r="H1907" s="215" t="str">
        <f t="shared" si="638"/>
        <v xml:space="preserve">   </v>
      </c>
      <c r="I1907" s="215" t="str">
        <f t="shared" si="639"/>
        <v xml:space="preserve">   </v>
      </c>
      <c r="J1907" s="1359">
        <v>2700000</v>
      </c>
      <c r="K1907" s="1523">
        <v>43691.444374999999</v>
      </c>
      <c r="L1907" s="1359">
        <v>3750000</v>
      </c>
      <c r="M1907" s="1523">
        <v>43691.444374999999</v>
      </c>
      <c r="N1907" s="1731">
        <v>3750000</v>
      </c>
      <c r="O1907" s="1367">
        <v>43861.438287037003</v>
      </c>
      <c r="P1907" s="1731">
        <v>3750000</v>
      </c>
      <c r="Q1907" s="1367">
        <v>44071.555891203701</v>
      </c>
      <c r="R1907" s="1363"/>
      <c r="S1907" s="1563"/>
      <c r="T1907" s="1363"/>
      <c r="U1907" s="1391"/>
      <c r="V1907" s="1363"/>
      <c r="W1907" s="1391"/>
      <c r="X1907" s="1363"/>
      <c r="Y1907" s="1391"/>
      <c r="Z1907" s="1363"/>
      <c r="AA1907" s="1391"/>
      <c r="AB1907" s="1731"/>
      <c r="AC1907" s="1367"/>
      <c r="AD1907" s="1666"/>
      <c r="AE1907" s="1590"/>
      <c r="AF1907" s="1666"/>
      <c r="AG1907" s="1590"/>
      <c r="AH1907" s="1625" t="str">
        <f t="shared" si="637"/>
        <v>ES-3A</v>
      </c>
      <c r="AI1907" s="1675">
        <f t="shared" si="640"/>
        <v>13950000</v>
      </c>
      <c r="AJ1907" s="1675">
        <f t="shared" si="641"/>
        <v>13950000</v>
      </c>
      <c r="AK1907" s="1520">
        <f t="shared" si="646"/>
        <v>0</v>
      </c>
      <c r="AL1907" s="2210" t="str">
        <f t="shared" si="647"/>
        <v>Lunas</v>
      </c>
      <c r="AM1907" s="1666"/>
      <c r="AN1907" s="1590"/>
      <c r="AO1907"/>
      <c r="AP1907"/>
      <c r="AQ1907" s="1128"/>
      <c r="AR1907" s="1173"/>
      <c r="AT1907" s="1173"/>
      <c r="AV1907" s="1173"/>
      <c r="AX1907" s="1173"/>
      <c r="AY1907" s="1176"/>
      <c r="AZ1907" s="1173"/>
    </row>
    <row r="1908" spans="1:52" s="2" customFormat="1" x14ac:dyDescent="0.25">
      <c r="A1908" s="694">
        <v>1760</v>
      </c>
      <c r="B1908" s="671">
        <v>12</v>
      </c>
      <c r="C1908" s="716">
        <v>839219007</v>
      </c>
      <c r="D1908" s="701" t="s">
        <v>2406</v>
      </c>
      <c r="E1908" s="264" t="s">
        <v>2133</v>
      </c>
      <c r="F1908" s="175">
        <v>2019</v>
      </c>
      <c r="G1908" s="360" t="s">
        <v>1483</v>
      </c>
      <c r="H1908" s="727" t="str">
        <f t="shared" si="638"/>
        <v xml:space="preserve">   </v>
      </c>
      <c r="I1908" s="727" t="str">
        <f t="shared" si="639"/>
        <v xml:space="preserve">   </v>
      </c>
      <c r="J1908" s="1359">
        <v>2700000</v>
      </c>
      <c r="K1908" s="1523">
        <v>43689</v>
      </c>
      <c r="L1908" s="1359">
        <v>3750000</v>
      </c>
      <c r="M1908" s="1523">
        <v>43689</v>
      </c>
      <c r="N1908" s="1731">
        <v>3750000</v>
      </c>
      <c r="O1908" s="1367">
        <v>43857.512199074103</v>
      </c>
      <c r="P1908" s="1731">
        <v>3750000</v>
      </c>
      <c r="Q1908" s="1367">
        <v>44070.498807870397</v>
      </c>
      <c r="R1908" s="1363"/>
      <c r="S1908" s="1563"/>
      <c r="T1908" s="1363"/>
      <c r="U1908" s="1391"/>
      <c r="V1908" s="1363"/>
      <c r="W1908" s="1391"/>
      <c r="X1908" s="1363"/>
      <c r="Y1908" s="1391"/>
      <c r="Z1908" s="1363"/>
      <c r="AA1908" s="1391"/>
      <c r="AB1908" s="1731"/>
      <c r="AC1908" s="1367"/>
      <c r="AD1908" s="1666"/>
      <c r="AE1908" s="1590"/>
      <c r="AF1908" s="1666"/>
      <c r="AG1908" s="1590"/>
      <c r="AH1908" s="1626" t="str">
        <f t="shared" si="637"/>
        <v>ES-3A</v>
      </c>
      <c r="AI1908" s="1675">
        <f t="shared" si="640"/>
        <v>13950000</v>
      </c>
      <c r="AJ1908" s="1675">
        <f t="shared" si="641"/>
        <v>13950000</v>
      </c>
      <c r="AK1908" s="1520">
        <f t="shared" si="646"/>
        <v>0</v>
      </c>
      <c r="AL1908" s="2210" t="str">
        <f t="shared" si="647"/>
        <v>Lunas</v>
      </c>
      <c r="AM1908" s="1666"/>
      <c r="AN1908" s="1590"/>
      <c r="AO1908"/>
      <c r="AP1908"/>
      <c r="AQ1908" s="1128"/>
      <c r="AR1908" s="1173"/>
      <c r="AT1908" s="1173"/>
      <c r="AV1908" s="1173"/>
      <c r="AX1908" s="1173"/>
      <c r="AY1908" s="1176"/>
      <c r="AZ1908" s="1173"/>
    </row>
    <row r="1909" spans="1:52" s="2" customFormat="1" x14ac:dyDescent="0.25">
      <c r="A1909" s="694">
        <v>1761</v>
      </c>
      <c r="B1909" s="671">
        <v>13</v>
      </c>
      <c r="C1909" s="716">
        <v>839219001</v>
      </c>
      <c r="D1909" s="701" t="s">
        <v>2407</v>
      </c>
      <c r="E1909" s="264" t="s">
        <v>2133</v>
      </c>
      <c r="F1909" s="175">
        <v>2019</v>
      </c>
      <c r="G1909" s="360" t="s">
        <v>1483</v>
      </c>
      <c r="H1909" s="215" t="str">
        <f t="shared" si="638"/>
        <v xml:space="preserve">   </v>
      </c>
      <c r="I1909" s="215" t="str">
        <f t="shared" si="639"/>
        <v xml:space="preserve">   </v>
      </c>
      <c r="J1909" s="1359">
        <v>2700000</v>
      </c>
      <c r="K1909" s="1523">
        <v>43679.479166666701</v>
      </c>
      <c r="L1909" s="1359">
        <v>3750000</v>
      </c>
      <c r="M1909" s="1523">
        <v>43679.479166666701</v>
      </c>
      <c r="N1909" s="1731">
        <v>3750000</v>
      </c>
      <c r="O1909" s="1367">
        <v>43851.482546296298</v>
      </c>
      <c r="P1909" s="1731">
        <v>3750000</v>
      </c>
      <c r="Q1909" s="1367">
        <v>44036.565763888902</v>
      </c>
      <c r="R1909" s="1363">
        <v>3750000</v>
      </c>
      <c r="S1909" s="1563">
        <v>46043</v>
      </c>
      <c r="T1909" s="1363"/>
      <c r="U1909" s="1391"/>
      <c r="V1909" s="1363"/>
      <c r="W1909" s="1391"/>
      <c r="X1909" s="1363"/>
      <c r="Y1909" s="1391"/>
      <c r="Z1909" s="1363"/>
      <c r="AA1909" s="1391"/>
      <c r="AB1909" s="1731"/>
      <c r="AC1909" s="1367"/>
      <c r="AD1909" s="1666"/>
      <c r="AE1909" s="1590"/>
      <c r="AF1909" s="1666"/>
      <c r="AG1909" s="1590"/>
      <c r="AH1909" s="1625" t="str">
        <f t="shared" si="637"/>
        <v>ES-3A</v>
      </c>
      <c r="AI1909" s="1675">
        <f t="shared" si="640"/>
        <v>17700000</v>
      </c>
      <c r="AJ1909" s="1675">
        <f t="shared" si="641"/>
        <v>17700000</v>
      </c>
      <c r="AK1909" s="1520">
        <f t="shared" si="646"/>
        <v>0</v>
      </c>
      <c r="AL1909" s="2210" t="str">
        <f t="shared" si="647"/>
        <v>Lunas</v>
      </c>
      <c r="AM1909" s="1666"/>
      <c r="AN1909" s="1590"/>
      <c r="AO1909"/>
      <c r="AP1909"/>
      <c r="AQ1909" s="1128"/>
      <c r="AR1909" s="1173"/>
      <c r="AT1909" s="1173"/>
      <c r="AV1909" s="1173"/>
      <c r="AX1909" s="1173"/>
      <c r="AY1909" s="1176"/>
      <c r="AZ1909" s="1173"/>
    </row>
    <row r="1910" spans="1:52" s="2" customFormat="1" x14ac:dyDescent="0.25">
      <c r="A1910" s="694">
        <v>1762</v>
      </c>
      <c r="B1910" s="671">
        <v>14</v>
      </c>
      <c r="C1910" s="716">
        <v>839219011</v>
      </c>
      <c r="D1910" s="701" t="s">
        <v>2408</v>
      </c>
      <c r="E1910" s="264" t="s">
        <v>2133</v>
      </c>
      <c r="F1910" s="175">
        <v>2019</v>
      </c>
      <c r="G1910" s="360" t="s">
        <v>1483</v>
      </c>
      <c r="H1910" s="215" t="str">
        <f t="shared" si="638"/>
        <v xml:space="preserve">   </v>
      </c>
      <c r="I1910" s="215" t="str">
        <f t="shared" si="639"/>
        <v xml:space="preserve">   </v>
      </c>
      <c r="J1910" s="1359">
        <v>2700000</v>
      </c>
      <c r="K1910" s="1523">
        <v>43689</v>
      </c>
      <c r="L1910" s="1359">
        <v>3750000</v>
      </c>
      <c r="M1910" s="1523">
        <v>43689</v>
      </c>
      <c r="N1910" s="1731">
        <v>3750000</v>
      </c>
      <c r="O1910" s="1367">
        <v>43858.549097222203</v>
      </c>
      <c r="P1910" s="1731">
        <v>3750000</v>
      </c>
      <c r="Q1910" s="1367">
        <v>44068.618726851899</v>
      </c>
      <c r="R1910" s="1363"/>
      <c r="S1910" s="1563"/>
      <c r="T1910" s="1363"/>
      <c r="U1910" s="1391"/>
      <c r="V1910" s="1363"/>
      <c r="W1910" s="1391"/>
      <c r="X1910" s="1363"/>
      <c r="Y1910" s="1391"/>
      <c r="Z1910" s="1363"/>
      <c r="AA1910" s="1391"/>
      <c r="AB1910" s="1731"/>
      <c r="AC1910" s="1367"/>
      <c r="AD1910" s="1666"/>
      <c r="AE1910" s="1590"/>
      <c r="AF1910" s="1666"/>
      <c r="AG1910" s="1590"/>
      <c r="AH1910" s="1625" t="str">
        <f t="shared" si="637"/>
        <v>ES-3A</v>
      </c>
      <c r="AI1910" s="1675">
        <f t="shared" si="640"/>
        <v>13950000</v>
      </c>
      <c r="AJ1910" s="1675">
        <f t="shared" si="641"/>
        <v>13950000</v>
      </c>
      <c r="AK1910" s="1520">
        <f t="shared" si="646"/>
        <v>0</v>
      </c>
      <c r="AL1910" s="2210" t="str">
        <f t="shared" si="647"/>
        <v>Lunas</v>
      </c>
      <c r="AM1910" s="1666"/>
      <c r="AN1910" s="1590"/>
      <c r="AO1910"/>
      <c r="AP1910"/>
      <c r="AQ1910" s="1128"/>
      <c r="AR1910" s="1173"/>
      <c r="AT1910" s="1173"/>
      <c r="AV1910" s="1173"/>
      <c r="AX1910" s="1173"/>
      <c r="AY1910" s="1176"/>
      <c r="AZ1910" s="1173"/>
    </row>
    <row r="1911" spans="1:52" s="2" customFormat="1" x14ac:dyDescent="0.25">
      <c r="A1911" s="694">
        <v>1763</v>
      </c>
      <c r="B1911" s="671">
        <v>15</v>
      </c>
      <c r="C1911" s="716">
        <v>839219009</v>
      </c>
      <c r="D1911" s="701" t="s">
        <v>2409</v>
      </c>
      <c r="E1911" s="264" t="s">
        <v>2149</v>
      </c>
      <c r="F1911" s="175">
        <v>2019</v>
      </c>
      <c r="G1911" s="360" t="s">
        <v>1483</v>
      </c>
      <c r="H1911" s="215" t="str">
        <f t="shared" si="638"/>
        <v xml:space="preserve">   </v>
      </c>
      <c r="I1911" s="215" t="str">
        <f t="shared" si="639"/>
        <v xml:space="preserve">   </v>
      </c>
      <c r="J1911" s="1359">
        <v>2700000</v>
      </c>
      <c r="K1911" s="1523">
        <v>43682</v>
      </c>
      <c r="L1911" s="1359">
        <v>3750000</v>
      </c>
      <c r="M1911" s="1523">
        <v>43682</v>
      </c>
      <c r="N1911" s="1731">
        <v>3750000</v>
      </c>
      <c r="O1911" s="1367">
        <v>43861.442997685197</v>
      </c>
      <c r="P1911" s="1731">
        <v>3750000</v>
      </c>
      <c r="Q1911" s="1367">
        <v>44067.491990740702</v>
      </c>
      <c r="R1911" s="1363"/>
      <c r="S1911" s="1563"/>
      <c r="T1911" s="1363"/>
      <c r="U1911" s="1391"/>
      <c r="V1911" s="1363"/>
      <c r="W1911" s="1391"/>
      <c r="X1911" s="1363"/>
      <c r="Y1911" s="1391"/>
      <c r="Z1911" s="1363"/>
      <c r="AA1911" s="1391"/>
      <c r="AB1911" s="1731"/>
      <c r="AC1911" s="1367"/>
      <c r="AD1911" s="1666"/>
      <c r="AE1911" s="1590"/>
      <c r="AF1911" s="1666"/>
      <c r="AG1911" s="1590"/>
      <c r="AH1911" s="1625" t="str">
        <f t="shared" si="637"/>
        <v>ES-3B</v>
      </c>
      <c r="AI1911" s="1675">
        <f t="shared" si="640"/>
        <v>13950000</v>
      </c>
      <c r="AJ1911" s="1675">
        <f t="shared" si="641"/>
        <v>13950000</v>
      </c>
      <c r="AK1911" s="1520">
        <f t="shared" si="646"/>
        <v>0</v>
      </c>
      <c r="AL1911" s="2210" t="str">
        <f t="shared" si="647"/>
        <v>Lunas</v>
      </c>
      <c r="AM1911" s="1666"/>
      <c r="AN1911" s="1590"/>
      <c r="AO1911"/>
      <c r="AP1911"/>
      <c r="AQ1911" s="1128"/>
      <c r="AR1911" s="1173"/>
      <c r="AT1911" s="1173"/>
      <c r="AV1911" s="1173"/>
      <c r="AX1911" s="1173"/>
      <c r="AY1911" s="1176"/>
      <c r="AZ1911" s="1173"/>
    </row>
    <row r="1912" spans="1:52" s="2" customFormat="1" x14ac:dyDescent="0.25">
      <c r="A1912" s="694">
        <v>1764</v>
      </c>
      <c r="B1912" s="671">
        <v>16</v>
      </c>
      <c r="C1912" s="716">
        <v>839219018</v>
      </c>
      <c r="D1912" s="701" t="s">
        <v>2410</v>
      </c>
      <c r="E1912" s="264" t="s">
        <v>2149</v>
      </c>
      <c r="F1912" s="175">
        <v>2019</v>
      </c>
      <c r="G1912" s="360" t="s">
        <v>1483</v>
      </c>
      <c r="H1912" s="215" t="str">
        <f t="shared" si="638"/>
        <v xml:space="preserve">   </v>
      </c>
      <c r="I1912" s="215" t="str">
        <f t="shared" si="639"/>
        <v xml:space="preserve">   </v>
      </c>
      <c r="J1912" s="1359">
        <v>2700000</v>
      </c>
      <c r="K1912" s="1523">
        <v>43691.347210648099</v>
      </c>
      <c r="L1912" s="1359">
        <v>3750000</v>
      </c>
      <c r="M1912" s="1523">
        <v>43690.4618402778</v>
      </c>
      <c r="N1912" s="1731">
        <v>3750000</v>
      </c>
      <c r="O1912" s="1367">
        <v>43858.565127314803</v>
      </c>
      <c r="P1912" s="1731">
        <v>3750000</v>
      </c>
      <c r="Q1912" s="1367">
        <v>44062.597870370402</v>
      </c>
      <c r="R1912" s="1363"/>
      <c r="S1912" s="1563"/>
      <c r="T1912" s="1363"/>
      <c r="U1912" s="1391"/>
      <c r="V1912" s="1363"/>
      <c r="W1912" s="1391"/>
      <c r="X1912" s="1363"/>
      <c r="Y1912" s="1391"/>
      <c r="Z1912" s="1363"/>
      <c r="AA1912" s="1391"/>
      <c r="AB1912" s="1731"/>
      <c r="AC1912" s="1367"/>
      <c r="AD1912" s="1666"/>
      <c r="AE1912" s="1590"/>
      <c r="AF1912" s="1666"/>
      <c r="AG1912" s="1590"/>
      <c r="AH1912" s="1625" t="str">
        <f t="shared" si="637"/>
        <v>ES-3B</v>
      </c>
      <c r="AI1912" s="1675">
        <f t="shared" si="640"/>
        <v>13950000</v>
      </c>
      <c r="AJ1912" s="1675">
        <f t="shared" si="641"/>
        <v>13950000</v>
      </c>
      <c r="AK1912" s="1520">
        <f t="shared" si="646"/>
        <v>0</v>
      </c>
      <c r="AL1912" s="2210" t="str">
        <f t="shared" si="647"/>
        <v>Lunas</v>
      </c>
      <c r="AM1912" s="1666"/>
      <c r="AN1912" s="1590"/>
      <c r="AO1912"/>
      <c r="AP1912"/>
      <c r="AQ1912" s="1128"/>
      <c r="AR1912" s="1173"/>
      <c r="AT1912" s="1173"/>
      <c r="AV1912" s="1173"/>
      <c r="AX1912" s="1173"/>
      <c r="AY1912" s="1176"/>
      <c r="AZ1912" s="1173"/>
    </row>
    <row r="1913" spans="1:52" s="2" customFormat="1" x14ac:dyDescent="0.25">
      <c r="A1913" s="694">
        <v>1765</v>
      </c>
      <c r="B1913" s="671">
        <v>17</v>
      </c>
      <c r="C1913" s="716">
        <v>839219020</v>
      </c>
      <c r="D1913" s="701" t="s">
        <v>2411</v>
      </c>
      <c r="E1913" s="264" t="s">
        <v>2149</v>
      </c>
      <c r="F1913" s="175">
        <v>2019</v>
      </c>
      <c r="G1913" s="360" t="s">
        <v>1483</v>
      </c>
      <c r="H1913" s="727" t="str">
        <f t="shared" si="638"/>
        <v xml:space="preserve">   </v>
      </c>
      <c r="I1913" s="727" t="str">
        <f t="shared" si="639"/>
        <v xml:space="preserve">   </v>
      </c>
      <c r="J1913" s="1359">
        <v>2700000</v>
      </c>
      <c r="K1913" s="1523">
        <v>43690.386111111096</v>
      </c>
      <c r="L1913" s="1359">
        <v>3750000</v>
      </c>
      <c r="M1913" s="1523">
        <v>43690.386111111096</v>
      </c>
      <c r="N1913" s="1731">
        <v>3750000</v>
      </c>
      <c r="O1913" s="1367">
        <v>43857.602662037003</v>
      </c>
      <c r="P1913" s="1731">
        <v>3750000</v>
      </c>
      <c r="Q1913" s="1367">
        <v>44069.348148148201</v>
      </c>
      <c r="R1913" s="1363"/>
      <c r="S1913" s="1563"/>
      <c r="T1913" s="1363"/>
      <c r="U1913" s="1391"/>
      <c r="V1913" s="1363"/>
      <c r="W1913" s="1391"/>
      <c r="X1913" s="1363"/>
      <c r="Y1913" s="1391"/>
      <c r="Z1913" s="1363"/>
      <c r="AA1913" s="1391"/>
      <c r="AB1913" s="1731"/>
      <c r="AC1913" s="1367"/>
      <c r="AD1913" s="1666"/>
      <c r="AE1913" s="1590"/>
      <c r="AF1913" s="1666"/>
      <c r="AG1913" s="1590"/>
      <c r="AH1913" s="1626" t="str">
        <f t="shared" si="637"/>
        <v>ES-3B</v>
      </c>
      <c r="AI1913" s="1675">
        <f t="shared" si="640"/>
        <v>13950000</v>
      </c>
      <c r="AJ1913" s="1675">
        <f t="shared" si="641"/>
        <v>13950000</v>
      </c>
      <c r="AK1913" s="1520">
        <f t="shared" si="646"/>
        <v>0</v>
      </c>
      <c r="AL1913" s="2210" t="str">
        <f t="shared" si="647"/>
        <v>Lunas</v>
      </c>
      <c r="AM1913" s="1666"/>
      <c r="AN1913" s="1590"/>
      <c r="AO1913"/>
      <c r="AP1913"/>
      <c r="AQ1913" s="1128"/>
      <c r="AR1913" s="1173"/>
      <c r="AT1913" s="1173"/>
      <c r="AV1913" s="1173"/>
      <c r="AX1913" s="1173"/>
      <c r="AY1913" s="1176"/>
      <c r="AZ1913" s="1173"/>
    </row>
    <row r="1914" spans="1:52" s="2" customFormat="1" x14ac:dyDescent="0.25">
      <c r="A1914" s="694">
        <v>1766</v>
      </c>
      <c r="B1914" s="671">
        <v>18</v>
      </c>
      <c r="C1914" s="716">
        <v>839219025</v>
      </c>
      <c r="D1914" s="701" t="s">
        <v>2412</v>
      </c>
      <c r="E1914" s="264" t="s">
        <v>2149</v>
      </c>
      <c r="F1914" s="175">
        <v>2019</v>
      </c>
      <c r="G1914" s="360" t="s">
        <v>1483</v>
      </c>
      <c r="H1914" s="215" t="str">
        <f t="shared" si="638"/>
        <v xml:space="preserve">   </v>
      </c>
      <c r="I1914" s="215" t="str">
        <f t="shared" si="639"/>
        <v xml:space="preserve">   </v>
      </c>
      <c r="J1914" s="1359">
        <v>2700000</v>
      </c>
      <c r="K1914" s="1523">
        <v>43690.581307870401</v>
      </c>
      <c r="L1914" s="1359">
        <v>3750000</v>
      </c>
      <c r="M1914" s="1523">
        <v>43690.581307870401</v>
      </c>
      <c r="N1914" s="1731">
        <v>3750000</v>
      </c>
      <c r="O1914" s="1367">
        <v>43854.573472222197</v>
      </c>
      <c r="P1914" s="1731">
        <v>3750000</v>
      </c>
      <c r="Q1914" s="1367">
        <v>44067.384004629603</v>
      </c>
      <c r="R1914" s="1363"/>
      <c r="S1914" s="1563"/>
      <c r="T1914" s="1363"/>
      <c r="U1914" s="1391"/>
      <c r="V1914" s="1363"/>
      <c r="W1914" s="1391"/>
      <c r="X1914" s="1363"/>
      <c r="Y1914" s="1391"/>
      <c r="Z1914" s="1363"/>
      <c r="AA1914" s="1391"/>
      <c r="AB1914" s="1731"/>
      <c r="AC1914" s="1367"/>
      <c r="AD1914" s="1666"/>
      <c r="AE1914" s="1590"/>
      <c r="AF1914" s="1666"/>
      <c r="AG1914" s="1590"/>
      <c r="AH1914" s="1625" t="str">
        <f t="shared" si="637"/>
        <v>ES-3B</v>
      </c>
      <c r="AI1914" s="1675">
        <f t="shared" si="640"/>
        <v>13950000</v>
      </c>
      <c r="AJ1914" s="1675">
        <f t="shared" si="641"/>
        <v>13950000</v>
      </c>
      <c r="AK1914" s="1520">
        <f t="shared" si="646"/>
        <v>0</v>
      </c>
      <c r="AL1914" s="2210" t="str">
        <f t="shared" si="647"/>
        <v>Lunas</v>
      </c>
      <c r="AM1914" s="1666"/>
      <c r="AN1914" s="1590"/>
      <c r="AO1914"/>
      <c r="AP1914"/>
      <c r="AQ1914" s="1128"/>
      <c r="AR1914" s="1173"/>
      <c r="AT1914" s="1173"/>
      <c r="AV1914" s="1173"/>
      <c r="AX1914" s="1173"/>
      <c r="AY1914" s="1176"/>
      <c r="AZ1914" s="1173"/>
    </row>
    <row r="1915" spans="1:52" s="2" customFormat="1" x14ac:dyDescent="0.25">
      <c r="A1915" s="694">
        <v>1767</v>
      </c>
      <c r="B1915" s="671">
        <v>19</v>
      </c>
      <c r="C1915" s="716">
        <v>839219024</v>
      </c>
      <c r="D1915" s="701" t="s">
        <v>2413</v>
      </c>
      <c r="E1915" s="264" t="s">
        <v>2149</v>
      </c>
      <c r="F1915" s="175">
        <v>2019</v>
      </c>
      <c r="G1915" s="360" t="s">
        <v>1483</v>
      </c>
      <c r="H1915" s="215" t="str">
        <f t="shared" si="638"/>
        <v xml:space="preserve">   </v>
      </c>
      <c r="I1915" s="215" t="str">
        <f t="shared" si="639"/>
        <v xml:space="preserve">   </v>
      </c>
      <c r="J1915" s="1359">
        <v>2700000</v>
      </c>
      <c r="K1915" s="1523">
        <v>43691.380324074104</v>
      </c>
      <c r="L1915" s="1359">
        <v>3750000</v>
      </c>
      <c r="M1915" s="1523">
        <v>43691.380324074104</v>
      </c>
      <c r="N1915" s="1731">
        <v>3750000</v>
      </c>
      <c r="O1915" s="1367">
        <v>43861.426469907397</v>
      </c>
      <c r="P1915" s="1731">
        <v>3750000</v>
      </c>
      <c r="Q1915" s="1367">
        <v>44071.423726851899</v>
      </c>
      <c r="R1915" s="1363"/>
      <c r="S1915" s="1563"/>
      <c r="T1915" s="1363"/>
      <c r="U1915" s="1391"/>
      <c r="V1915" s="1363"/>
      <c r="W1915" s="1391"/>
      <c r="X1915" s="1363"/>
      <c r="Y1915" s="1391"/>
      <c r="Z1915" s="1363"/>
      <c r="AA1915" s="1391"/>
      <c r="AB1915" s="1731"/>
      <c r="AC1915" s="1367"/>
      <c r="AD1915" s="1666"/>
      <c r="AE1915" s="1590"/>
      <c r="AF1915" s="1666"/>
      <c r="AG1915" s="1590"/>
      <c r="AH1915" s="1625" t="str">
        <f t="shared" si="637"/>
        <v>ES-3B</v>
      </c>
      <c r="AI1915" s="1675">
        <f t="shared" si="640"/>
        <v>13950000</v>
      </c>
      <c r="AJ1915" s="1675">
        <f t="shared" si="641"/>
        <v>13950000</v>
      </c>
      <c r="AK1915" s="1520">
        <f t="shared" si="646"/>
        <v>0</v>
      </c>
      <c r="AL1915" s="2210" t="str">
        <f t="shared" si="647"/>
        <v>Lunas</v>
      </c>
      <c r="AM1915" s="1666"/>
      <c r="AN1915" s="1590"/>
      <c r="AO1915"/>
      <c r="AP1915"/>
      <c r="AQ1915" s="1128"/>
      <c r="AR1915" s="1173"/>
      <c r="AT1915" s="1173"/>
      <c r="AV1915" s="1173"/>
      <c r="AX1915" s="1173"/>
      <c r="AY1915" s="1176"/>
      <c r="AZ1915" s="1173"/>
    </row>
    <row r="1916" spans="1:52" s="2" customFormat="1" x14ac:dyDescent="0.25">
      <c r="A1916" s="694">
        <v>1768</v>
      </c>
      <c r="B1916" s="671">
        <v>20</v>
      </c>
      <c r="C1916" s="716">
        <v>839219021</v>
      </c>
      <c r="D1916" s="701" t="s">
        <v>2414</v>
      </c>
      <c r="E1916" s="264" t="s">
        <v>2149</v>
      </c>
      <c r="F1916" s="175">
        <v>2019</v>
      </c>
      <c r="G1916" s="360" t="s">
        <v>1483</v>
      </c>
      <c r="H1916" s="215" t="str">
        <f t="shared" si="638"/>
        <v xml:space="preserve">   </v>
      </c>
      <c r="I1916" s="215" t="str">
        <f t="shared" si="639"/>
        <v xml:space="preserve">   </v>
      </c>
      <c r="J1916" s="1359">
        <v>2700000</v>
      </c>
      <c r="K1916" s="1523">
        <v>43691.453819444403</v>
      </c>
      <c r="L1916" s="1359">
        <v>3750000</v>
      </c>
      <c r="M1916" s="1523">
        <v>43691.453819444403</v>
      </c>
      <c r="N1916" s="1731">
        <v>3750000</v>
      </c>
      <c r="O1916" s="1367">
        <v>43859.493784722203</v>
      </c>
      <c r="P1916" s="1731">
        <v>3750000</v>
      </c>
      <c r="Q1916" s="1367">
        <v>44062.523784722202</v>
      </c>
      <c r="R1916" s="1363"/>
      <c r="S1916" s="1563"/>
      <c r="T1916" s="1363"/>
      <c r="U1916" s="1391"/>
      <c r="V1916" s="1363"/>
      <c r="W1916" s="1391"/>
      <c r="X1916" s="1363"/>
      <c r="Y1916" s="1391"/>
      <c r="Z1916" s="1363"/>
      <c r="AA1916" s="1391"/>
      <c r="AB1916" s="1731"/>
      <c r="AC1916" s="1367"/>
      <c r="AD1916" s="1666"/>
      <c r="AE1916" s="1590"/>
      <c r="AF1916" s="1666"/>
      <c r="AG1916" s="1590"/>
      <c r="AH1916" s="1625" t="str">
        <f t="shared" si="637"/>
        <v>ES-3B</v>
      </c>
      <c r="AI1916" s="1675">
        <f t="shared" si="640"/>
        <v>13950000</v>
      </c>
      <c r="AJ1916" s="1675">
        <f t="shared" si="641"/>
        <v>13950000</v>
      </c>
      <c r="AK1916" s="1520">
        <f t="shared" si="646"/>
        <v>0</v>
      </c>
      <c r="AL1916" s="2210" t="str">
        <f t="shared" si="647"/>
        <v>Lunas</v>
      </c>
      <c r="AM1916" s="1666"/>
      <c r="AN1916" s="1590"/>
      <c r="AO1916"/>
      <c r="AP1916"/>
      <c r="AQ1916" s="1128"/>
      <c r="AR1916" s="1173"/>
      <c r="AT1916" s="1173"/>
      <c r="AV1916" s="1173"/>
      <c r="AX1916" s="1173"/>
      <c r="AY1916" s="1176"/>
      <c r="AZ1916" s="1173"/>
    </row>
    <row r="1917" spans="1:52" s="2" customFormat="1" x14ac:dyDescent="0.25">
      <c r="A1917" s="694">
        <v>1769</v>
      </c>
      <c r="B1917" s="671">
        <v>21</v>
      </c>
      <c r="C1917" s="716">
        <v>839219034</v>
      </c>
      <c r="D1917" s="701" t="s">
        <v>1947</v>
      </c>
      <c r="E1917" s="264" t="s">
        <v>2149</v>
      </c>
      <c r="F1917" s="175">
        <v>2019</v>
      </c>
      <c r="G1917" s="360" t="s">
        <v>1483</v>
      </c>
      <c r="H1917" s="215" t="str">
        <f t="shared" si="638"/>
        <v xml:space="preserve">   </v>
      </c>
      <c r="I1917" s="215" t="str">
        <f t="shared" si="639"/>
        <v xml:space="preserve">   </v>
      </c>
      <c r="J1917" s="1359">
        <v>2700000</v>
      </c>
      <c r="K1917" s="1523">
        <v>43696.363356481503</v>
      </c>
      <c r="L1917" s="1359">
        <v>3750000</v>
      </c>
      <c r="M1917" s="1523">
        <v>43696.363356481503</v>
      </c>
      <c r="N1917" s="1731">
        <v>3750000</v>
      </c>
      <c r="O1917" s="1367">
        <v>43858.388796296298</v>
      </c>
      <c r="P1917" s="1731">
        <v>3750000</v>
      </c>
      <c r="Q1917" s="1367">
        <v>44068.426238425898</v>
      </c>
      <c r="R1917" s="1363"/>
      <c r="S1917" s="1563"/>
      <c r="T1917" s="1363"/>
      <c r="U1917" s="1391"/>
      <c r="V1917" s="1363"/>
      <c r="W1917" s="1391"/>
      <c r="X1917" s="1363"/>
      <c r="Y1917" s="1391"/>
      <c r="Z1917" s="1363"/>
      <c r="AA1917" s="1391"/>
      <c r="AB1917" s="1731"/>
      <c r="AC1917" s="1367"/>
      <c r="AD1917" s="1666"/>
      <c r="AE1917" s="1590"/>
      <c r="AF1917" s="1666"/>
      <c r="AG1917" s="1590"/>
      <c r="AH1917" s="1625" t="str">
        <f t="shared" si="637"/>
        <v>ES-3B</v>
      </c>
      <c r="AI1917" s="1675">
        <f t="shared" si="640"/>
        <v>13950000</v>
      </c>
      <c r="AJ1917" s="1675">
        <f t="shared" si="641"/>
        <v>13950000</v>
      </c>
      <c r="AK1917" s="1520">
        <f t="shared" si="646"/>
        <v>0</v>
      </c>
      <c r="AL1917" s="2210" t="str">
        <f t="shared" si="647"/>
        <v>Lunas</v>
      </c>
      <c r="AM1917" s="1666"/>
      <c r="AN1917" s="1590"/>
      <c r="AO1917"/>
      <c r="AP1917"/>
      <c r="AQ1917" s="1128"/>
      <c r="AR1917" s="1173"/>
      <c r="AT1917" s="1173"/>
      <c r="AV1917" s="1173"/>
      <c r="AX1917" s="1173"/>
      <c r="AY1917" s="1176"/>
      <c r="AZ1917" s="1173"/>
    </row>
    <row r="1918" spans="1:52" s="2" customFormat="1" x14ac:dyDescent="0.25">
      <c r="A1918" s="694">
        <v>1770</v>
      </c>
      <c r="B1918" s="671">
        <v>22</v>
      </c>
      <c r="C1918" s="716">
        <v>839219002</v>
      </c>
      <c r="D1918" s="701" t="s">
        <v>2415</v>
      </c>
      <c r="E1918" s="264" t="s">
        <v>2149</v>
      </c>
      <c r="F1918" s="175">
        <v>2019</v>
      </c>
      <c r="G1918" s="360" t="s">
        <v>1483</v>
      </c>
      <c r="H1918" s="727" t="str">
        <f t="shared" si="638"/>
        <v xml:space="preserve">   </v>
      </c>
      <c r="I1918" s="727" t="str">
        <f t="shared" si="639"/>
        <v xml:space="preserve">   </v>
      </c>
      <c r="J1918" s="1359">
        <v>2700000</v>
      </c>
      <c r="K1918" s="1523">
        <v>43682.417222222197</v>
      </c>
      <c r="L1918" s="1359">
        <v>3750000</v>
      </c>
      <c r="M1918" s="1523">
        <v>43682.417222222197</v>
      </c>
      <c r="N1918" s="1731">
        <v>3750000</v>
      </c>
      <c r="O1918" s="1367">
        <v>43851.499166666697</v>
      </c>
      <c r="P1918" s="1731">
        <v>3750000</v>
      </c>
      <c r="Q1918" s="1367">
        <v>44040.446377314802</v>
      </c>
      <c r="R1918" s="1363"/>
      <c r="S1918" s="1563"/>
      <c r="T1918" s="1363"/>
      <c r="U1918" s="1391"/>
      <c r="V1918" s="1363"/>
      <c r="W1918" s="1391"/>
      <c r="X1918" s="1363"/>
      <c r="Y1918" s="1391"/>
      <c r="Z1918" s="1363"/>
      <c r="AA1918" s="1391"/>
      <c r="AB1918" s="1731"/>
      <c r="AC1918" s="1367"/>
      <c r="AD1918" s="1666"/>
      <c r="AE1918" s="1590"/>
      <c r="AF1918" s="1666"/>
      <c r="AG1918" s="1590"/>
      <c r="AH1918" s="1626" t="str">
        <f t="shared" si="637"/>
        <v>ES-3B</v>
      </c>
      <c r="AI1918" s="1675">
        <f t="shared" si="640"/>
        <v>13950000</v>
      </c>
      <c r="AJ1918" s="1675">
        <f t="shared" si="641"/>
        <v>13950000</v>
      </c>
      <c r="AK1918" s="1520">
        <f t="shared" si="646"/>
        <v>0</v>
      </c>
      <c r="AL1918" s="2210" t="str">
        <f t="shared" si="647"/>
        <v>Lunas</v>
      </c>
      <c r="AM1918" s="1666"/>
      <c r="AN1918" s="1590"/>
      <c r="AO1918"/>
      <c r="AP1918"/>
      <c r="AQ1918" s="1128"/>
      <c r="AR1918" s="1173"/>
      <c r="AT1918" s="1173"/>
      <c r="AV1918" s="1173"/>
      <c r="AX1918" s="1173"/>
      <c r="AY1918" s="1176"/>
      <c r="AZ1918" s="1173"/>
    </row>
    <row r="1919" spans="1:52" s="2" customFormat="1" x14ac:dyDescent="0.25">
      <c r="A1919" s="694">
        <v>1771</v>
      </c>
      <c r="B1919" s="671">
        <v>23</v>
      </c>
      <c r="C1919" s="716">
        <v>839219015</v>
      </c>
      <c r="D1919" s="701" t="s">
        <v>2416</v>
      </c>
      <c r="E1919" s="264" t="s">
        <v>2149</v>
      </c>
      <c r="F1919" s="175">
        <v>2019</v>
      </c>
      <c r="G1919" s="360" t="s">
        <v>1483</v>
      </c>
      <c r="H1919" s="215" t="str">
        <f t="shared" si="638"/>
        <v xml:space="preserve">   </v>
      </c>
      <c r="I1919" s="215" t="str">
        <f t="shared" si="639"/>
        <v xml:space="preserve">   </v>
      </c>
      <c r="J1919" s="1359">
        <v>2700000</v>
      </c>
      <c r="K1919" s="1523">
        <v>43690</v>
      </c>
      <c r="L1919" s="1359">
        <v>3750000</v>
      </c>
      <c r="M1919" s="1523">
        <v>43690</v>
      </c>
      <c r="N1919" s="1731">
        <v>3750000</v>
      </c>
      <c r="O1919" s="1367">
        <v>43854.376770833303</v>
      </c>
      <c r="P1919" s="1731">
        <v>3750000</v>
      </c>
      <c r="Q1919" s="1367">
        <v>44068.374490740702</v>
      </c>
      <c r="R1919" s="1363"/>
      <c r="S1919" s="1563"/>
      <c r="T1919" s="1363"/>
      <c r="U1919" s="1391"/>
      <c r="V1919" s="1363"/>
      <c r="W1919" s="1391"/>
      <c r="X1919" s="1363"/>
      <c r="Y1919" s="1391"/>
      <c r="Z1919" s="1363"/>
      <c r="AA1919" s="1391"/>
      <c r="AB1919" s="1731"/>
      <c r="AC1919" s="1367"/>
      <c r="AD1919" s="1666"/>
      <c r="AE1919" s="1590"/>
      <c r="AF1919" s="1666"/>
      <c r="AG1919" s="1590"/>
      <c r="AH1919" s="1625" t="str">
        <f t="shared" si="637"/>
        <v>ES-3B</v>
      </c>
      <c r="AI1919" s="1675">
        <f t="shared" si="640"/>
        <v>13950000</v>
      </c>
      <c r="AJ1919" s="1675">
        <f t="shared" si="641"/>
        <v>13950000</v>
      </c>
      <c r="AK1919" s="1520">
        <f t="shared" si="646"/>
        <v>0</v>
      </c>
      <c r="AL1919" s="2210" t="str">
        <f t="shared" si="647"/>
        <v>Lunas</v>
      </c>
      <c r="AM1919" s="1666"/>
      <c r="AN1919" s="1590"/>
      <c r="AO1919"/>
      <c r="AP1919"/>
      <c r="AQ1919" s="1128"/>
      <c r="AR1919" s="1173"/>
      <c r="AT1919" s="1173"/>
      <c r="AV1919" s="1173"/>
      <c r="AX1919" s="1173"/>
      <c r="AY1919" s="1176"/>
      <c r="AZ1919" s="1173"/>
    </row>
    <row r="1920" spans="1:52" s="2" customFormat="1" x14ac:dyDescent="0.25">
      <c r="A1920" s="694">
        <v>1772</v>
      </c>
      <c r="B1920" s="671">
        <v>24</v>
      </c>
      <c r="C1920" s="716">
        <v>839219016</v>
      </c>
      <c r="D1920" s="701" t="s">
        <v>2417</v>
      </c>
      <c r="E1920" s="264" t="s">
        <v>2149</v>
      </c>
      <c r="F1920" s="175">
        <v>2019</v>
      </c>
      <c r="G1920" s="360" t="s">
        <v>1483</v>
      </c>
      <c r="H1920" s="215" t="str">
        <f t="shared" si="638"/>
        <v xml:space="preserve">   </v>
      </c>
      <c r="I1920" s="215" t="str">
        <f t="shared" si="639"/>
        <v xml:space="preserve">   </v>
      </c>
      <c r="J1920" s="1359">
        <v>2700000</v>
      </c>
      <c r="K1920" s="1523">
        <v>43690.463796296302</v>
      </c>
      <c r="L1920" s="1359">
        <v>3750000</v>
      </c>
      <c r="M1920" s="1523">
        <v>43690.463796296302</v>
      </c>
      <c r="N1920" s="1731">
        <v>3750000</v>
      </c>
      <c r="O1920" s="1367">
        <v>43857.4919212963</v>
      </c>
      <c r="P1920" s="1731">
        <v>3750000</v>
      </c>
      <c r="Q1920" s="1367">
        <v>44055.614398148202</v>
      </c>
      <c r="R1920" s="1363"/>
      <c r="S1920" s="1563"/>
      <c r="T1920" s="1363"/>
      <c r="U1920" s="1391"/>
      <c r="V1920" s="1363"/>
      <c r="W1920" s="1391"/>
      <c r="X1920" s="1363"/>
      <c r="Y1920" s="1391"/>
      <c r="Z1920" s="1363"/>
      <c r="AA1920" s="1391"/>
      <c r="AB1920" s="1731"/>
      <c r="AC1920" s="1367"/>
      <c r="AD1920" s="1666"/>
      <c r="AE1920" s="1590"/>
      <c r="AF1920" s="1666"/>
      <c r="AG1920" s="1590"/>
      <c r="AH1920" s="1625" t="str">
        <f t="shared" si="637"/>
        <v>ES-3B</v>
      </c>
      <c r="AI1920" s="1675">
        <f t="shared" si="640"/>
        <v>13950000</v>
      </c>
      <c r="AJ1920" s="1675">
        <f t="shared" si="641"/>
        <v>13950000</v>
      </c>
      <c r="AK1920" s="1520">
        <f t="shared" si="646"/>
        <v>0</v>
      </c>
      <c r="AL1920" s="2210" t="str">
        <f t="shared" si="647"/>
        <v>Lunas</v>
      </c>
      <c r="AM1920" s="1666"/>
      <c r="AN1920" s="1590"/>
      <c r="AO1920"/>
      <c r="AP1920"/>
      <c r="AQ1920" s="1128"/>
      <c r="AR1920" s="1173"/>
      <c r="AT1920" s="1173"/>
      <c r="AV1920" s="1173"/>
      <c r="AX1920" s="1173"/>
      <c r="AY1920" s="1176"/>
      <c r="AZ1920" s="1173"/>
    </row>
    <row r="1921" spans="1:52" s="2" customFormat="1" x14ac:dyDescent="0.25">
      <c r="A1921" s="694">
        <v>1773</v>
      </c>
      <c r="B1921" s="671">
        <v>25</v>
      </c>
      <c r="C1921" s="716">
        <v>839219014</v>
      </c>
      <c r="D1921" s="701" t="s">
        <v>2418</v>
      </c>
      <c r="E1921" s="264" t="s">
        <v>2149</v>
      </c>
      <c r="F1921" s="175">
        <v>2019</v>
      </c>
      <c r="G1921" s="360" t="s">
        <v>1483</v>
      </c>
      <c r="H1921" s="215" t="str">
        <f t="shared" si="638"/>
        <v xml:space="preserve">   </v>
      </c>
      <c r="I1921" s="215" t="str">
        <f t="shared" si="639"/>
        <v xml:space="preserve">   </v>
      </c>
      <c r="J1921" s="1359">
        <v>2700000</v>
      </c>
      <c r="K1921" s="1523">
        <v>43682</v>
      </c>
      <c r="L1921" s="1359">
        <v>3750000</v>
      </c>
      <c r="M1921" s="1523">
        <v>43682</v>
      </c>
      <c r="N1921" s="1731">
        <v>3750000</v>
      </c>
      <c r="O1921" s="1367">
        <v>43858.587997685201</v>
      </c>
      <c r="P1921" s="1731">
        <v>3750000</v>
      </c>
      <c r="Q1921" s="1367">
        <v>44068.494814814803</v>
      </c>
      <c r="R1921" s="1363"/>
      <c r="S1921" s="1563"/>
      <c r="T1921" s="1363"/>
      <c r="U1921" s="1391"/>
      <c r="V1921" s="1363"/>
      <c r="W1921" s="1391"/>
      <c r="X1921" s="1363"/>
      <c r="Y1921" s="1391"/>
      <c r="Z1921" s="1363"/>
      <c r="AA1921" s="1391"/>
      <c r="AB1921" s="1731"/>
      <c r="AC1921" s="1367"/>
      <c r="AD1921" s="1666"/>
      <c r="AE1921" s="1590"/>
      <c r="AF1921" s="1666"/>
      <c r="AG1921" s="1590"/>
      <c r="AH1921" s="1625" t="str">
        <f t="shared" si="637"/>
        <v>ES-3B</v>
      </c>
      <c r="AI1921" s="1675">
        <f t="shared" si="640"/>
        <v>13950000</v>
      </c>
      <c r="AJ1921" s="1675">
        <f t="shared" si="641"/>
        <v>13950000</v>
      </c>
      <c r="AK1921" s="1520">
        <f t="shared" si="646"/>
        <v>0</v>
      </c>
      <c r="AL1921" s="2210" t="str">
        <f t="shared" si="647"/>
        <v>Lunas</v>
      </c>
      <c r="AM1921" s="1666"/>
      <c r="AN1921" s="1590"/>
      <c r="AO1921"/>
      <c r="AP1921"/>
      <c r="AQ1921" s="1128"/>
      <c r="AR1921" s="1173"/>
      <c r="AT1921" s="1173"/>
      <c r="AV1921" s="1173"/>
      <c r="AX1921" s="1173"/>
      <c r="AY1921" s="1176"/>
      <c r="AZ1921" s="1173"/>
    </row>
    <row r="1922" spans="1:52" s="2" customFormat="1" x14ac:dyDescent="0.25">
      <c r="A1922" s="694">
        <v>1774</v>
      </c>
      <c r="B1922" s="671">
        <v>26</v>
      </c>
      <c r="C1922" s="716">
        <v>839219031</v>
      </c>
      <c r="D1922" s="701" t="s">
        <v>2419</v>
      </c>
      <c r="E1922" s="264" t="s">
        <v>2149</v>
      </c>
      <c r="F1922" s="175">
        <v>2019</v>
      </c>
      <c r="G1922" s="581" t="s">
        <v>1833</v>
      </c>
      <c r="H1922" s="215" t="str">
        <f t="shared" si="638"/>
        <v xml:space="preserve">   </v>
      </c>
      <c r="I1922" s="215" t="str">
        <f t="shared" si="639"/>
        <v xml:space="preserve">   </v>
      </c>
      <c r="J1922" s="1359">
        <v>2700000</v>
      </c>
      <c r="K1922" s="1523">
        <v>43692</v>
      </c>
      <c r="L1922" s="1359">
        <v>3750000</v>
      </c>
      <c r="M1922" s="1523">
        <v>43692</v>
      </c>
      <c r="N1922" s="1731">
        <v>3750000</v>
      </c>
      <c r="O1922" s="1367">
        <v>43865</v>
      </c>
      <c r="P1922" s="1186" t="s">
        <v>1078</v>
      </c>
      <c r="Q1922" s="1386">
        <v>44071</v>
      </c>
      <c r="R1922" s="1363" t="str">
        <f>IFERROR(VLOOKUP(C1922,BSP,3,FALSE),"  ")</f>
        <v xml:space="preserve">  </v>
      </c>
      <c r="S1922" s="1563" t="str">
        <f>IFERROR((VLOOKUP(C1922,BSP,4,FALSE)),"  ")</f>
        <v xml:space="preserve">  </v>
      </c>
      <c r="T1922" s="1363"/>
      <c r="U1922" s="1391"/>
      <c r="V1922" s="1363"/>
      <c r="W1922" s="1391"/>
      <c r="X1922" s="1363"/>
      <c r="Y1922" s="1391"/>
      <c r="Z1922" s="1363"/>
      <c r="AA1922" s="1391"/>
      <c r="AB1922" s="1731"/>
      <c r="AC1922" s="1367"/>
      <c r="AD1922" s="1666"/>
      <c r="AE1922" s="1590"/>
      <c r="AF1922" s="1666"/>
      <c r="AG1922" s="1590"/>
      <c r="AH1922" s="1625" t="str">
        <f t="shared" si="637"/>
        <v>ES-3B</v>
      </c>
      <c r="AI1922" s="1675">
        <f t="shared" si="640"/>
        <v>10200000</v>
      </c>
      <c r="AJ1922" s="1675">
        <f t="shared" si="641"/>
        <v>10200000</v>
      </c>
      <c r="AK1922" s="1520">
        <f t="shared" si="646"/>
        <v>0</v>
      </c>
      <c r="AL1922" s="2210" t="str">
        <f t="shared" si="647"/>
        <v>Lunas</v>
      </c>
      <c r="AM1922" s="1666"/>
      <c r="AN1922" s="1590"/>
      <c r="AO1922"/>
      <c r="AP1922"/>
      <c r="AQ1922" s="1128"/>
      <c r="AR1922" s="1173"/>
      <c r="AT1922" s="1173"/>
      <c r="AV1922" s="1173"/>
      <c r="AX1922" s="1173"/>
      <c r="AY1922" s="1176"/>
      <c r="AZ1922" s="1173"/>
    </row>
    <row r="1923" spans="1:52" s="2" customFormat="1" x14ac:dyDescent="0.25">
      <c r="A1923" s="694">
        <v>1775</v>
      </c>
      <c r="B1923" s="671">
        <v>27</v>
      </c>
      <c r="C1923" s="716">
        <v>839219008</v>
      </c>
      <c r="D1923" s="701" t="s">
        <v>2420</v>
      </c>
      <c r="E1923" s="264" t="s">
        <v>2149</v>
      </c>
      <c r="F1923" s="175">
        <v>2019</v>
      </c>
      <c r="G1923" s="360" t="s">
        <v>1483</v>
      </c>
      <c r="H1923" s="215" t="str">
        <f t="shared" si="638"/>
        <v xml:space="preserve">   </v>
      </c>
      <c r="I1923" s="215" t="str">
        <f t="shared" si="639"/>
        <v xml:space="preserve">   </v>
      </c>
      <c r="J1923" s="1359">
        <v>2700000</v>
      </c>
      <c r="K1923" s="1523">
        <v>43692.572037037004</v>
      </c>
      <c r="L1923" s="1359">
        <v>3750000</v>
      </c>
      <c r="M1923" s="1523">
        <v>43692.572037037004</v>
      </c>
      <c r="N1923" s="1731">
        <v>3750000</v>
      </c>
      <c r="O1923" s="1367">
        <v>43868</v>
      </c>
      <c r="P1923" s="1731">
        <v>3750000</v>
      </c>
      <c r="Q1923" s="1367">
        <v>44071.4147337963</v>
      </c>
      <c r="R1923" s="1363"/>
      <c r="S1923" s="1563"/>
      <c r="T1923" s="1363"/>
      <c r="U1923" s="1391"/>
      <c r="V1923" s="1363"/>
      <c r="W1923" s="1391"/>
      <c r="X1923" s="1363"/>
      <c r="Y1923" s="1391"/>
      <c r="Z1923" s="1363"/>
      <c r="AA1923" s="1391"/>
      <c r="AB1923" s="1731"/>
      <c r="AC1923" s="1367"/>
      <c r="AD1923" s="1666"/>
      <c r="AE1923" s="1590"/>
      <c r="AF1923" s="1666"/>
      <c r="AG1923" s="1590"/>
      <c r="AH1923" s="1625" t="str">
        <f t="shared" si="637"/>
        <v>ES-3B</v>
      </c>
      <c r="AI1923" s="1675">
        <f t="shared" si="640"/>
        <v>13950000</v>
      </c>
      <c r="AJ1923" s="1675">
        <f t="shared" si="641"/>
        <v>13950000</v>
      </c>
      <c r="AK1923" s="1520">
        <f t="shared" si="646"/>
        <v>0</v>
      </c>
      <c r="AL1923" s="2210" t="str">
        <f t="shared" si="647"/>
        <v>Lunas</v>
      </c>
      <c r="AM1923" s="1666"/>
      <c r="AN1923" s="1590"/>
      <c r="AO1923"/>
      <c r="AP1923"/>
      <c r="AQ1923" s="1128"/>
      <c r="AR1923" s="1173"/>
      <c r="AT1923" s="1173"/>
      <c r="AV1923" s="1173"/>
      <c r="AX1923" s="1173"/>
      <c r="AY1923" s="1176"/>
      <c r="AZ1923" s="1173"/>
    </row>
    <row r="1924" spans="1:52" s="2" customFormat="1" x14ac:dyDescent="0.25">
      <c r="A1924" s="694">
        <v>1776</v>
      </c>
      <c r="B1924" s="671">
        <v>28</v>
      </c>
      <c r="C1924" s="716">
        <v>839219026</v>
      </c>
      <c r="D1924" s="701" t="s">
        <v>2421</v>
      </c>
      <c r="E1924" s="264" t="s">
        <v>2149</v>
      </c>
      <c r="F1924" s="175">
        <v>2019</v>
      </c>
      <c r="G1924" s="360" t="s">
        <v>1483</v>
      </c>
      <c r="H1924" s="727" t="str">
        <f t="shared" si="638"/>
        <v xml:space="preserve">   </v>
      </c>
      <c r="I1924" s="727" t="str">
        <f t="shared" si="639"/>
        <v xml:space="preserve">   </v>
      </c>
      <c r="J1924" s="1359">
        <v>2700000</v>
      </c>
      <c r="K1924" s="1523">
        <v>43691.385902777802</v>
      </c>
      <c r="L1924" s="1359">
        <v>3750000</v>
      </c>
      <c r="M1924" s="1523">
        <v>43691.385902777802</v>
      </c>
      <c r="N1924" s="1731">
        <v>3750000</v>
      </c>
      <c r="O1924" s="1367">
        <v>43854.558148148099</v>
      </c>
      <c r="P1924" s="1731">
        <v>3750000</v>
      </c>
      <c r="Q1924" s="1367">
        <v>44055.615370370397</v>
      </c>
      <c r="R1924" s="1363"/>
      <c r="S1924" s="1563"/>
      <c r="T1924" s="1363"/>
      <c r="U1924" s="1391"/>
      <c r="V1924" s="1363"/>
      <c r="W1924" s="1391"/>
      <c r="X1924" s="1363"/>
      <c r="Y1924" s="1391"/>
      <c r="Z1924" s="1363"/>
      <c r="AA1924" s="1391"/>
      <c r="AB1924" s="1731"/>
      <c r="AC1924" s="1367"/>
      <c r="AD1924" s="1666"/>
      <c r="AE1924" s="1590"/>
      <c r="AF1924" s="1666"/>
      <c r="AG1924" s="1590"/>
      <c r="AH1924" s="1626" t="str">
        <f t="shared" si="637"/>
        <v>ES-3B</v>
      </c>
      <c r="AI1924" s="1675">
        <f t="shared" si="640"/>
        <v>13950000</v>
      </c>
      <c r="AJ1924" s="1675">
        <f t="shared" si="641"/>
        <v>13950000</v>
      </c>
      <c r="AK1924" s="1520">
        <f t="shared" si="646"/>
        <v>0</v>
      </c>
      <c r="AL1924" s="2210" t="str">
        <f t="shared" si="647"/>
        <v>Lunas</v>
      </c>
      <c r="AM1924" s="1666"/>
      <c r="AN1924" s="1590"/>
      <c r="AO1924"/>
      <c r="AP1924"/>
      <c r="AQ1924" s="1128"/>
      <c r="AR1924" s="1173"/>
      <c r="AT1924" s="1173"/>
      <c r="AV1924" s="1173"/>
      <c r="AX1924" s="1173"/>
      <c r="AY1924" s="1176"/>
      <c r="AZ1924" s="1173"/>
    </row>
    <row r="1925" spans="1:52" s="2" customFormat="1" x14ac:dyDescent="0.25">
      <c r="A1925" s="694">
        <v>1777</v>
      </c>
      <c r="B1925" s="671">
        <v>29</v>
      </c>
      <c r="C1925" s="716">
        <v>839219023</v>
      </c>
      <c r="D1925" s="701" t="s">
        <v>2422</v>
      </c>
      <c r="E1925" s="264" t="s">
        <v>2149</v>
      </c>
      <c r="F1925" s="175">
        <v>2019</v>
      </c>
      <c r="G1925" s="360" t="s">
        <v>1483</v>
      </c>
      <c r="H1925" s="215" t="str">
        <f t="shared" si="638"/>
        <v xml:space="preserve">   </v>
      </c>
      <c r="I1925" s="215" t="str">
        <f t="shared" si="639"/>
        <v xml:space="preserve">   </v>
      </c>
      <c r="J1925" s="1359">
        <v>2700000</v>
      </c>
      <c r="K1925" s="1523">
        <v>43686.410613425898</v>
      </c>
      <c r="L1925" s="1359">
        <v>3750000</v>
      </c>
      <c r="M1925" s="1523">
        <v>43686.410613425898</v>
      </c>
      <c r="N1925" s="1731">
        <v>3750000</v>
      </c>
      <c r="O1925" s="1367">
        <v>43857.488622685203</v>
      </c>
      <c r="P1925" s="1731">
        <v>3750000</v>
      </c>
      <c r="Q1925" s="1367">
        <v>44067.373032407399</v>
      </c>
      <c r="R1925" s="1363"/>
      <c r="S1925" s="1563"/>
      <c r="T1925" s="1363"/>
      <c r="U1925" s="1391"/>
      <c r="V1925" s="1363"/>
      <c r="W1925" s="1391"/>
      <c r="X1925" s="1363"/>
      <c r="Y1925" s="1391"/>
      <c r="Z1925" s="1363"/>
      <c r="AA1925" s="1391"/>
      <c r="AB1925" s="1731"/>
      <c r="AC1925" s="1367"/>
      <c r="AD1925" s="1666"/>
      <c r="AE1925" s="1590"/>
      <c r="AF1925" s="1666"/>
      <c r="AG1925" s="1590"/>
      <c r="AH1925" s="1625" t="str">
        <f t="shared" si="637"/>
        <v>ES-3B</v>
      </c>
      <c r="AI1925" s="1675">
        <f t="shared" si="640"/>
        <v>13950000</v>
      </c>
      <c r="AJ1925" s="1675">
        <f t="shared" si="641"/>
        <v>13950000</v>
      </c>
      <c r="AK1925" s="1520">
        <f t="shared" si="646"/>
        <v>0</v>
      </c>
      <c r="AL1925" s="2210" t="str">
        <f t="shared" si="647"/>
        <v>Lunas</v>
      </c>
      <c r="AM1925" s="1666"/>
      <c r="AN1925" s="1590"/>
      <c r="AO1925"/>
      <c r="AP1925"/>
      <c r="AQ1925" s="1128"/>
      <c r="AR1925" s="1173"/>
      <c r="AT1925" s="1173"/>
      <c r="AV1925" s="1173"/>
      <c r="AX1925" s="1173"/>
      <c r="AY1925" s="1176"/>
      <c r="AZ1925" s="1173"/>
    </row>
    <row r="1926" spans="1:52" s="2" customFormat="1" x14ac:dyDescent="0.25">
      <c r="A1926" s="694">
        <v>1778</v>
      </c>
      <c r="B1926" s="671">
        <v>30</v>
      </c>
      <c r="C1926" s="716">
        <v>839219019</v>
      </c>
      <c r="D1926" s="701" t="s">
        <v>2423</v>
      </c>
      <c r="E1926" s="264" t="s">
        <v>2149</v>
      </c>
      <c r="F1926" s="175">
        <v>2019</v>
      </c>
      <c r="G1926" s="360" t="s">
        <v>1483</v>
      </c>
      <c r="H1926" s="215" t="str">
        <f t="shared" si="638"/>
        <v xml:space="preserve">   </v>
      </c>
      <c r="I1926" s="215" t="str">
        <f t="shared" si="639"/>
        <v xml:space="preserve">   </v>
      </c>
      <c r="J1926" s="1359">
        <v>2700000</v>
      </c>
      <c r="K1926" s="1523">
        <v>43691.347210648099</v>
      </c>
      <c r="L1926" s="1359">
        <v>3750000</v>
      </c>
      <c r="M1926" s="1523">
        <v>43690.4618402778</v>
      </c>
      <c r="N1926" s="1731">
        <v>3750000</v>
      </c>
      <c r="O1926" s="1367">
        <v>43860.455000000002</v>
      </c>
      <c r="P1926" s="1731">
        <v>3750000</v>
      </c>
      <c r="Q1926" s="1367">
        <v>44062.598599536999</v>
      </c>
      <c r="R1926" s="1363"/>
      <c r="S1926" s="1563"/>
      <c r="T1926" s="1363"/>
      <c r="U1926" s="1391"/>
      <c r="V1926" s="1363"/>
      <c r="W1926" s="1391"/>
      <c r="X1926" s="1363"/>
      <c r="Y1926" s="1391"/>
      <c r="Z1926" s="1363"/>
      <c r="AA1926" s="1391"/>
      <c r="AB1926" s="1731"/>
      <c r="AC1926" s="1367"/>
      <c r="AD1926" s="1666"/>
      <c r="AE1926" s="1590"/>
      <c r="AF1926" s="1666"/>
      <c r="AG1926" s="1590"/>
      <c r="AH1926" s="1625" t="str">
        <f t="shared" si="637"/>
        <v>ES-3B</v>
      </c>
      <c r="AI1926" s="1675">
        <f t="shared" si="640"/>
        <v>13950000</v>
      </c>
      <c r="AJ1926" s="1675">
        <f t="shared" si="641"/>
        <v>13950000</v>
      </c>
      <c r="AK1926" s="1520">
        <f t="shared" si="646"/>
        <v>0</v>
      </c>
      <c r="AL1926" s="2210" t="str">
        <f t="shared" si="647"/>
        <v>Lunas</v>
      </c>
      <c r="AM1926" s="1666"/>
      <c r="AN1926" s="1590"/>
      <c r="AO1926"/>
      <c r="AP1926"/>
      <c r="AQ1926" s="1128"/>
      <c r="AR1926" s="1173"/>
      <c r="AT1926" s="1173"/>
      <c r="AV1926" s="1173"/>
      <c r="AX1926" s="1173"/>
      <c r="AY1926" s="1176"/>
      <c r="AZ1926" s="1173"/>
    </row>
    <row r="1927" spans="1:52" s="2" customFormat="1" x14ac:dyDescent="0.25">
      <c r="A1927" s="694">
        <v>1779</v>
      </c>
      <c r="B1927" s="671">
        <v>31</v>
      </c>
      <c r="C1927" s="716">
        <v>839219033</v>
      </c>
      <c r="D1927" s="701" t="s">
        <v>2424</v>
      </c>
      <c r="E1927" s="264" t="s">
        <v>2149</v>
      </c>
      <c r="F1927" s="175">
        <v>2019</v>
      </c>
      <c r="G1927" s="360" t="s">
        <v>1483</v>
      </c>
      <c r="H1927" s="215" t="str">
        <f t="shared" si="638"/>
        <v xml:space="preserve">   </v>
      </c>
      <c r="I1927" s="215" t="str">
        <f t="shared" si="639"/>
        <v xml:space="preserve">   </v>
      </c>
      <c r="J1927" s="1359">
        <v>2700000</v>
      </c>
      <c r="K1927" s="1523">
        <v>43692.426793981504</v>
      </c>
      <c r="L1927" s="1359">
        <v>3750000</v>
      </c>
      <c r="M1927" s="1523">
        <v>43692.426793981504</v>
      </c>
      <c r="N1927" s="1731">
        <v>3750000</v>
      </c>
      <c r="O1927" s="1367">
        <v>43858.561041666697</v>
      </c>
      <c r="P1927" s="1731">
        <v>3750000</v>
      </c>
      <c r="Q1927" s="1367">
        <v>44068.387141203697</v>
      </c>
      <c r="R1927" s="1363"/>
      <c r="S1927" s="1563"/>
      <c r="T1927" s="1363"/>
      <c r="U1927" s="1391"/>
      <c r="V1927" s="1363"/>
      <c r="W1927" s="1391"/>
      <c r="X1927" s="1363"/>
      <c r="Y1927" s="1391"/>
      <c r="Z1927" s="1363"/>
      <c r="AA1927" s="1391"/>
      <c r="AB1927" s="1731"/>
      <c r="AC1927" s="1367"/>
      <c r="AD1927" s="1666"/>
      <c r="AE1927" s="1590"/>
      <c r="AF1927" s="1666"/>
      <c r="AG1927" s="1590"/>
      <c r="AH1927" s="1625" t="str">
        <f t="shared" si="637"/>
        <v>ES-3B</v>
      </c>
      <c r="AI1927" s="1675">
        <f t="shared" si="640"/>
        <v>13950000</v>
      </c>
      <c r="AJ1927" s="1675">
        <f t="shared" si="641"/>
        <v>13950000</v>
      </c>
      <c r="AK1927" s="1520">
        <f t="shared" si="646"/>
        <v>0</v>
      </c>
      <c r="AL1927" s="2210" t="str">
        <f t="shared" si="647"/>
        <v>Lunas</v>
      </c>
      <c r="AM1927" s="1666"/>
      <c r="AN1927" s="1590"/>
      <c r="AO1927"/>
      <c r="AP1927"/>
      <c r="AQ1927" s="1128"/>
      <c r="AR1927" s="1173"/>
      <c r="AT1927" s="1173"/>
      <c r="AV1927" s="1173"/>
      <c r="AX1927" s="1173"/>
      <c r="AY1927" s="1176"/>
      <c r="AZ1927" s="1173"/>
    </row>
    <row r="1928" spans="1:52" s="2" customFormat="1" x14ac:dyDescent="0.25">
      <c r="A1928" s="694">
        <v>1780</v>
      </c>
      <c r="B1928" s="671">
        <v>32</v>
      </c>
      <c r="C1928" s="716">
        <v>839219030</v>
      </c>
      <c r="D1928" s="701" t="s">
        <v>2425</v>
      </c>
      <c r="E1928" s="264" t="s">
        <v>2149</v>
      </c>
      <c r="F1928" s="175">
        <v>2019</v>
      </c>
      <c r="G1928" s="360" t="s">
        <v>1483</v>
      </c>
      <c r="H1928" s="215" t="str">
        <f t="shared" si="638"/>
        <v xml:space="preserve">   </v>
      </c>
      <c r="I1928" s="215" t="str">
        <f t="shared" si="639"/>
        <v xml:space="preserve">   </v>
      </c>
      <c r="J1928" s="1359">
        <v>2700000</v>
      </c>
      <c r="K1928" s="1523">
        <v>43692.441736111097</v>
      </c>
      <c r="L1928" s="1359">
        <v>3750000</v>
      </c>
      <c r="M1928" s="1523">
        <v>43692.441736111097</v>
      </c>
      <c r="N1928" s="1731">
        <v>3750000</v>
      </c>
      <c r="O1928" s="1367">
        <v>43857.454629629603</v>
      </c>
      <c r="P1928" s="1731">
        <v>3750000</v>
      </c>
      <c r="Q1928" s="1367">
        <v>44070.449270833298</v>
      </c>
      <c r="R1928" s="1363"/>
      <c r="S1928" s="1563"/>
      <c r="T1928" s="1363"/>
      <c r="U1928" s="1391"/>
      <c r="V1928" s="1363"/>
      <c r="W1928" s="1391"/>
      <c r="X1928" s="1363"/>
      <c r="Y1928" s="1391"/>
      <c r="Z1928" s="1363"/>
      <c r="AA1928" s="1391"/>
      <c r="AB1928" s="1731"/>
      <c r="AC1928" s="1367"/>
      <c r="AD1928" s="1666"/>
      <c r="AE1928" s="1590"/>
      <c r="AF1928" s="1666"/>
      <c r="AG1928" s="1590"/>
      <c r="AH1928" s="1625" t="str">
        <f t="shared" si="637"/>
        <v>ES-3B</v>
      </c>
      <c r="AI1928" s="1675">
        <f t="shared" si="640"/>
        <v>13950000</v>
      </c>
      <c r="AJ1928" s="1675">
        <f t="shared" si="641"/>
        <v>13950000</v>
      </c>
      <c r="AK1928" s="1520">
        <f t="shared" si="646"/>
        <v>0</v>
      </c>
      <c r="AL1928" s="2210" t="str">
        <f t="shared" si="647"/>
        <v>Lunas</v>
      </c>
      <c r="AM1928" s="1666"/>
      <c r="AN1928" s="1590"/>
      <c r="AO1928"/>
      <c r="AP1928"/>
      <c r="AQ1928" s="1128"/>
      <c r="AR1928" s="1173"/>
      <c r="AT1928" s="1173"/>
      <c r="AV1928" s="1173"/>
      <c r="AX1928" s="1173"/>
      <c r="AY1928" s="1176"/>
      <c r="AZ1928" s="1173"/>
    </row>
    <row r="1929" spans="1:52" s="2" customFormat="1" x14ac:dyDescent="0.25">
      <c r="A1929" s="694">
        <v>1781</v>
      </c>
      <c r="B1929" s="671">
        <v>33</v>
      </c>
      <c r="C1929" s="716">
        <v>839219004</v>
      </c>
      <c r="D1929" s="701" t="s">
        <v>2426</v>
      </c>
      <c r="E1929" s="264" t="s">
        <v>2149</v>
      </c>
      <c r="F1929" s="175">
        <v>2019</v>
      </c>
      <c r="G1929" s="360" t="s">
        <v>1483</v>
      </c>
      <c r="H1929" s="727" t="str">
        <f t="shared" si="638"/>
        <v xml:space="preserve">   </v>
      </c>
      <c r="I1929" s="727" t="str">
        <f t="shared" si="639"/>
        <v xml:space="preserve">   </v>
      </c>
      <c r="J1929" s="1359">
        <v>2700000</v>
      </c>
      <c r="K1929" s="1523">
        <v>43682.430243055598</v>
      </c>
      <c r="L1929" s="1359">
        <v>3750000</v>
      </c>
      <c r="M1929" s="1523">
        <v>43682.430243055598</v>
      </c>
      <c r="N1929" s="1731">
        <v>3750000</v>
      </c>
      <c r="O1929" s="1367">
        <v>43860.374872685199</v>
      </c>
      <c r="P1929" s="1731">
        <v>3750000</v>
      </c>
      <c r="Q1929" s="1367">
        <v>44070.402499999997</v>
      </c>
      <c r="R1929" s="1363"/>
      <c r="S1929" s="1563"/>
      <c r="T1929" s="1363"/>
      <c r="U1929" s="1391"/>
      <c r="V1929" s="1363"/>
      <c r="W1929" s="1391"/>
      <c r="X1929" s="1363"/>
      <c r="Y1929" s="1391"/>
      <c r="Z1929" s="1363"/>
      <c r="AA1929" s="1391"/>
      <c r="AB1929" s="1731">
        <v>1000000</v>
      </c>
      <c r="AC1929" s="1367">
        <v>44130</v>
      </c>
      <c r="AD1929" s="1666"/>
      <c r="AE1929" s="1590"/>
      <c r="AF1929" s="1666"/>
      <c r="AG1929" s="1590"/>
      <c r="AH1929" s="1626" t="str">
        <f t="shared" si="637"/>
        <v>ES-3B</v>
      </c>
      <c r="AI1929" s="1675">
        <f t="shared" si="640"/>
        <v>14950000</v>
      </c>
      <c r="AJ1929" s="1675">
        <f t="shared" si="641"/>
        <v>14950000</v>
      </c>
      <c r="AK1929" s="1520">
        <f t="shared" si="646"/>
        <v>0</v>
      </c>
      <c r="AL1929" s="2210" t="str">
        <f t="shared" si="647"/>
        <v>Lunas</v>
      </c>
      <c r="AM1929" s="1666"/>
      <c r="AN1929" s="1590"/>
      <c r="AO1929"/>
      <c r="AP1929"/>
      <c r="AQ1929" s="1128"/>
      <c r="AR1929" s="1173"/>
      <c r="AT1929" s="1173"/>
      <c r="AV1929" s="1173"/>
      <c r="AX1929" s="1173"/>
      <c r="AY1929" s="1176"/>
      <c r="AZ1929" s="1173"/>
    </row>
    <row r="1930" spans="1:52" s="2" customFormat="1" x14ac:dyDescent="0.25">
      <c r="A1930" s="694">
        <v>1782</v>
      </c>
      <c r="B1930" s="671">
        <v>34</v>
      </c>
      <c r="C1930" s="716">
        <v>839219032</v>
      </c>
      <c r="D1930" s="701" t="s">
        <v>2427</v>
      </c>
      <c r="E1930" s="264" t="s">
        <v>2149</v>
      </c>
      <c r="F1930" s="175">
        <v>2019</v>
      </c>
      <c r="G1930" s="360" t="s">
        <v>1483</v>
      </c>
      <c r="H1930" s="215" t="str">
        <f t="shared" si="638"/>
        <v xml:space="preserve">   </v>
      </c>
      <c r="I1930" s="215" t="str">
        <f t="shared" si="639"/>
        <v xml:space="preserve">   </v>
      </c>
      <c r="J1930" s="1359">
        <v>2700000</v>
      </c>
      <c r="K1930" s="1523">
        <v>43690.479085648098</v>
      </c>
      <c r="L1930" s="1359">
        <v>3750000</v>
      </c>
      <c r="M1930" s="1523">
        <v>43690.479085648098</v>
      </c>
      <c r="N1930" s="1731">
        <v>3750000</v>
      </c>
      <c r="O1930" s="1367">
        <v>43860.436574074098</v>
      </c>
      <c r="P1930" s="1731">
        <v>3750000</v>
      </c>
      <c r="Q1930" s="1367">
        <v>44070.437280092599</v>
      </c>
      <c r="R1930" s="1363"/>
      <c r="S1930" s="1563"/>
      <c r="T1930" s="1363"/>
      <c r="U1930" s="1391"/>
      <c r="V1930" s="1363"/>
      <c r="W1930" s="1391"/>
      <c r="X1930" s="1363"/>
      <c r="Y1930" s="1391"/>
      <c r="Z1930" s="1363"/>
      <c r="AA1930" s="1391"/>
      <c r="AB1930" s="1731"/>
      <c r="AC1930" s="1367"/>
      <c r="AD1930" s="1666"/>
      <c r="AE1930" s="1590"/>
      <c r="AF1930" s="1666"/>
      <c r="AG1930" s="1590"/>
      <c r="AH1930" s="1625" t="str">
        <f t="shared" si="637"/>
        <v>ES-3B</v>
      </c>
      <c r="AI1930" s="1675">
        <f t="shared" si="640"/>
        <v>13950000</v>
      </c>
      <c r="AJ1930" s="1675">
        <f t="shared" si="641"/>
        <v>13950000</v>
      </c>
      <c r="AK1930" s="1520">
        <f t="shared" si="646"/>
        <v>0</v>
      </c>
      <c r="AL1930" s="2210" t="str">
        <f t="shared" si="647"/>
        <v>Lunas</v>
      </c>
      <c r="AM1930" s="1666"/>
      <c r="AN1930" s="1590"/>
      <c r="AO1930"/>
      <c r="AP1930"/>
      <c r="AQ1930" s="1128"/>
      <c r="AR1930" s="1173"/>
      <c r="AT1930" s="1173"/>
      <c r="AV1930" s="1173"/>
      <c r="AX1930" s="1173"/>
      <c r="AY1930" s="1176"/>
      <c r="AZ1930" s="1173"/>
    </row>
    <row r="1931" spans="1:52" s="2" customFormat="1" x14ac:dyDescent="0.25">
      <c r="A1931" s="725"/>
      <c r="B1931" s="725"/>
      <c r="C1931" s="33"/>
      <c r="D1931" s="123"/>
      <c r="E1931" s="123"/>
      <c r="F1931" s="120" t="s">
        <v>61</v>
      </c>
      <c r="G1931" s="123"/>
      <c r="H1931" s="124"/>
      <c r="I1931" s="124"/>
      <c r="J1931" s="1212"/>
      <c r="K1931" s="2252"/>
      <c r="L1931" s="2253"/>
      <c r="M1931" s="1436"/>
      <c r="N1931" s="2253"/>
      <c r="O1931" s="2252"/>
      <c r="P1931" s="2253"/>
      <c r="Q1931" s="2252"/>
      <c r="R1931" s="2253"/>
      <c r="S1931" s="2261"/>
      <c r="T1931" s="2253"/>
      <c r="U1931" s="2252"/>
      <c r="V1931" s="2253"/>
      <c r="W1931" s="2252"/>
      <c r="X1931" s="2253"/>
      <c r="Y1931" s="2252"/>
      <c r="Z1931" s="2253"/>
      <c r="AA1931" s="2252"/>
      <c r="AB1931" s="2268"/>
      <c r="AC1931" s="2252"/>
      <c r="AD1931" s="747"/>
      <c r="AE1931" s="1155"/>
      <c r="AF1931" s="747"/>
      <c r="AG1931" s="1155"/>
      <c r="AH1931" s="1168">
        <f t="shared" si="637"/>
        <v>0</v>
      </c>
      <c r="AI1931" s="747"/>
      <c r="AJ1931" s="747"/>
      <c r="AK1931" s="747"/>
      <c r="AL1931" s="1170"/>
      <c r="AM1931" s="1170"/>
      <c r="AN1931" s="1209"/>
      <c r="AO1931" s="1170"/>
      <c r="AP1931" s="1209"/>
      <c r="AQ1931" s="1128"/>
      <c r="AR1931" s="1173"/>
      <c r="AT1931" s="1173"/>
      <c r="AV1931" s="1173"/>
      <c r="AX1931" s="1173"/>
      <c r="AY1931" s="1176"/>
      <c r="AZ1931" s="1173"/>
    </row>
    <row r="1932" spans="1:52" s="2" customFormat="1" x14ac:dyDescent="0.25">
      <c r="A1932" s="625" t="s">
        <v>2428</v>
      </c>
      <c r="B1932" s="625"/>
      <c r="C1932" s="366"/>
      <c r="D1932" s="625"/>
      <c r="E1932" s="198" t="s">
        <v>1096</v>
      </c>
      <c r="F1932" s="199" t="s">
        <v>1096</v>
      </c>
      <c r="G1932" s="565">
        <v>3750000</v>
      </c>
      <c r="H1932" s="147" t="str">
        <f t="shared" ref="H1932:H1944" si="648">IFERROR(VLOOKUP(C1932,Tlus,3,FALSE),"   ")</f>
        <v xml:space="preserve">   </v>
      </c>
      <c r="I1932" s="147" t="str">
        <f t="shared" ref="I1932:I1944" si="649">IFERROR(VLOOKUP(C1932,Wis,4,FALSE),"   ")</f>
        <v xml:space="preserve">   </v>
      </c>
      <c r="J1932" s="2035">
        <v>2700000</v>
      </c>
      <c r="K1932" s="2036"/>
      <c r="L1932" s="2163" t="s">
        <v>1049</v>
      </c>
      <c r="M1932" s="2164" t="s">
        <v>1463</v>
      </c>
      <c r="N1932" s="2163" t="s">
        <v>1051</v>
      </c>
      <c r="O1932" s="2164" t="s">
        <v>1464</v>
      </c>
      <c r="P1932" s="2016" t="s">
        <v>1053</v>
      </c>
      <c r="Q1932" s="1438" t="s">
        <v>1466</v>
      </c>
      <c r="R1932" s="2016" t="s">
        <v>1055</v>
      </c>
      <c r="S1932" s="1438" t="s">
        <v>1468</v>
      </c>
      <c r="T1932" s="2016" t="s">
        <v>1057</v>
      </c>
      <c r="U1932" s="1438" t="s">
        <v>1470</v>
      </c>
      <c r="V1932" s="2016" t="s">
        <v>1059</v>
      </c>
      <c r="W1932" s="1438" t="s">
        <v>1718</v>
      </c>
      <c r="X1932" s="1582" t="s">
        <v>1061</v>
      </c>
      <c r="Y1932" s="1438" t="s">
        <v>1719</v>
      </c>
      <c r="Z1932" s="1582" t="s">
        <v>1063</v>
      </c>
      <c r="AA1932" s="1438" t="s">
        <v>1980</v>
      </c>
      <c r="AB1932" s="2177">
        <v>1000000</v>
      </c>
      <c r="AC1932" s="2178" t="s">
        <v>2015</v>
      </c>
      <c r="AD1932" s="1450">
        <v>1200000</v>
      </c>
      <c r="AE1932" s="1663" t="s">
        <v>2016</v>
      </c>
      <c r="AF1932" s="1450">
        <v>1600000</v>
      </c>
      <c r="AG1932" s="1663" t="s">
        <v>1326</v>
      </c>
      <c r="AH1932" s="1408" t="str">
        <f t="shared" si="637"/>
        <v>#</v>
      </c>
      <c r="AI1932" s="1512"/>
      <c r="AJ1932" s="1409"/>
      <c r="AK1932" s="1409"/>
      <c r="AL1932" s="1513"/>
      <c r="AM1932" s="1450">
        <v>500000</v>
      </c>
      <c r="AN1932" s="1663" t="s">
        <v>22</v>
      </c>
      <c r="AO1932"/>
      <c r="AP1932"/>
      <c r="AQ1932" s="1128"/>
      <c r="AR1932" s="1173"/>
      <c r="AT1932" s="1173"/>
      <c r="AV1932" s="1173"/>
      <c r="AX1932" s="1173"/>
      <c r="AY1932" s="1176"/>
      <c r="AZ1932" s="1173"/>
    </row>
    <row r="1933" spans="1:52" s="2" customFormat="1" x14ac:dyDescent="0.25">
      <c r="A1933" s="694">
        <v>1783</v>
      </c>
      <c r="B1933" s="695">
        <v>1</v>
      </c>
      <c r="C1933" s="714">
        <v>849219004</v>
      </c>
      <c r="D1933" s="713" t="s">
        <v>2429</v>
      </c>
      <c r="E1933" s="326" t="s">
        <v>2191</v>
      </c>
      <c r="F1933" s="175">
        <v>2019</v>
      </c>
      <c r="G1933" s="1758" t="s">
        <v>28</v>
      </c>
      <c r="H1933" s="715" t="str">
        <f t="shared" si="648"/>
        <v xml:space="preserve">   </v>
      </c>
      <c r="I1933" s="715" t="str">
        <f t="shared" si="649"/>
        <v xml:space="preserve">   </v>
      </c>
      <c r="J1933" s="1780">
        <v>2700000</v>
      </c>
      <c r="K1933" s="1727">
        <v>43689.601956018501</v>
      </c>
      <c r="L1933" s="1941">
        <v>3750000</v>
      </c>
      <c r="M1933" s="1727">
        <v>43689.601956018501</v>
      </c>
      <c r="N1933" s="1731">
        <v>3750000</v>
      </c>
      <c r="O1933" s="1367">
        <v>43859.540914351899</v>
      </c>
      <c r="P1933" s="1731">
        <v>0</v>
      </c>
      <c r="Q1933" s="1367"/>
      <c r="R1933" s="1941" t="str">
        <f>IFERROR(VLOOKUP(C1933,BSP,3,FALSE),"  ")</f>
        <v xml:space="preserve">  </v>
      </c>
      <c r="S1933" s="1955" t="str">
        <f>IFERROR((VLOOKUP(C1933,BSP,4,FALSE)),"  ")</f>
        <v xml:space="preserve">  </v>
      </c>
      <c r="T1933" s="1941"/>
      <c r="U1933" s="1954"/>
      <c r="V1933" s="1941"/>
      <c r="W1933" s="1954"/>
      <c r="X1933" s="1941"/>
      <c r="Y1933" s="1954"/>
      <c r="Z1933" s="1941"/>
      <c r="AA1933" s="1954"/>
      <c r="AB1933" s="1666"/>
      <c r="AC1933" s="1590"/>
      <c r="AD1933" s="1666"/>
      <c r="AE1933" s="1590"/>
      <c r="AF1933" s="1666"/>
      <c r="AG1933" s="1590"/>
      <c r="AH1933" s="1625" t="str">
        <f t="shared" si="637"/>
        <v>PBA-3</v>
      </c>
      <c r="AI1933" s="1675">
        <f t="shared" ref="AI1933:AI1944" si="650">SUM(J1933,L1933,N1933,P1933,R1933,T1933,V1933,X1933,Z1933,AB1933,AD1933,AF1933,AM1933)</f>
        <v>10200000</v>
      </c>
      <c r="AJ1933" s="1675">
        <f t="shared" ref="AJ1933:AJ1944" si="651">(COUNT(L1933,N1933,P1933,R1933,T1933,V1933,X1933,Z1933)*$G$1507)+(COUNT(J1933)*$J$1507)+(COUNT(AB1933)*$AB$1507)+(COUNT(AD1933)*$AD$1507)+(COUNT(AF1933)*$AF$1507)+(COUNT(AM1933)*$AM$1507)</f>
        <v>13950000</v>
      </c>
      <c r="AK1933" s="1520">
        <f t="shared" ref="AK1933" si="652">AJ1933-AI1933</f>
        <v>3750000</v>
      </c>
      <c r="AL1933" s="2187" t="str">
        <f t="shared" ref="AL1933" si="653">IF(AK1933=0,"Lunas","Cek")</f>
        <v>Cek</v>
      </c>
      <c r="AM1933" s="1666"/>
      <c r="AN1933" s="1590"/>
      <c r="AO1933"/>
      <c r="AP1933"/>
      <c r="AQ1933" s="1128"/>
      <c r="AR1933" s="1173"/>
      <c r="AT1933" s="1173"/>
      <c r="AV1933" s="1173"/>
      <c r="AX1933" s="1173"/>
      <c r="AY1933" s="1176"/>
      <c r="AZ1933" s="1173"/>
    </row>
    <row r="1934" spans="1:52" s="2" customFormat="1" x14ac:dyDescent="0.25">
      <c r="A1934" s="694">
        <v>1784</v>
      </c>
      <c r="B1934" s="671">
        <v>2</v>
      </c>
      <c r="C1934" s="716">
        <v>849219008</v>
      </c>
      <c r="D1934" s="701" t="s">
        <v>2430</v>
      </c>
      <c r="E1934" s="264" t="s">
        <v>2191</v>
      </c>
      <c r="F1934" s="175">
        <v>2019</v>
      </c>
      <c r="G1934" s="360" t="s">
        <v>1483</v>
      </c>
      <c r="H1934" s="215" t="str">
        <f t="shared" si="648"/>
        <v xml:space="preserve">   </v>
      </c>
      <c r="I1934" s="215" t="str">
        <f t="shared" si="649"/>
        <v xml:space="preserve">   </v>
      </c>
      <c r="J1934" s="1359">
        <v>2700000</v>
      </c>
      <c r="K1934" s="1523">
        <v>43690.537638888898</v>
      </c>
      <c r="L1934" s="1359">
        <v>3750000</v>
      </c>
      <c r="M1934" s="1523">
        <v>43690.537638888898</v>
      </c>
      <c r="N1934" s="1731">
        <v>3750000</v>
      </c>
      <c r="O1934" s="1367">
        <v>43857.389340277798</v>
      </c>
      <c r="P1934" s="1731">
        <v>3750000</v>
      </c>
      <c r="Q1934" s="1367">
        <v>44070.384525463</v>
      </c>
      <c r="R1934" s="1363"/>
      <c r="S1934" s="1563"/>
      <c r="T1934" s="1363"/>
      <c r="U1934" s="1391"/>
      <c r="V1934" s="1363"/>
      <c r="W1934" s="1391"/>
      <c r="X1934" s="1363"/>
      <c r="Y1934" s="1391"/>
      <c r="Z1934" s="1363"/>
      <c r="AA1934" s="1391"/>
      <c r="AB1934" s="1731"/>
      <c r="AC1934" s="1367"/>
      <c r="AD1934" s="1666"/>
      <c r="AE1934" s="1590"/>
      <c r="AF1934" s="1666"/>
      <c r="AG1934" s="1590"/>
      <c r="AH1934" s="1625" t="str">
        <f t="shared" si="637"/>
        <v>PBA-3</v>
      </c>
      <c r="AI1934" s="1675">
        <f t="shared" si="650"/>
        <v>13950000</v>
      </c>
      <c r="AJ1934" s="1675">
        <f t="shared" si="651"/>
        <v>13950000</v>
      </c>
      <c r="AK1934" s="1520">
        <f t="shared" ref="AK1934" si="654">AJ1934-AI1934</f>
        <v>0</v>
      </c>
      <c r="AL1934" s="2210" t="str">
        <f t="shared" ref="AL1934" si="655">IF(AK1934=0,"Lunas","Cek")</f>
        <v>Lunas</v>
      </c>
      <c r="AM1934" s="1666"/>
      <c r="AN1934" s="1590"/>
      <c r="AO1934"/>
      <c r="AP1934"/>
      <c r="AQ1934" s="1128"/>
      <c r="AR1934" s="1173"/>
      <c r="AT1934" s="1173"/>
      <c r="AV1934" s="1173"/>
      <c r="AX1934" s="1173"/>
      <c r="AY1934" s="1176"/>
      <c r="AZ1934" s="1173"/>
    </row>
    <row r="1935" spans="1:52" s="2" customFormat="1" x14ac:dyDescent="0.25">
      <c r="A1935" s="694">
        <v>1785</v>
      </c>
      <c r="B1935" s="671">
        <v>3</v>
      </c>
      <c r="C1935" s="716">
        <v>849219002</v>
      </c>
      <c r="D1935" s="701" t="s">
        <v>1649</v>
      </c>
      <c r="E1935" s="264" t="s">
        <v>2191</v>
      </c>
      <c r="F1935" s="175">
        <v>2019</v>
      </c>
      <c r="G1935" s="360" t="s">
        <v>1483</v>
      </c>
      <c r="H1935" s="215" t="str">
        <f t="shared" si="648"/>
        <v xml:space="preserve">   </v>
      </c>
      <c r="I1935" s="215" t="str">
        <f t="shared" si="649"/>
        <v xml:space="preserve">   </v>
      </c>
      <c r="J1935" s="1359">
        <v>2700000</v>
      </c>
      <c r="K1935" s="1523">
        <v>43689.456446759301</v>
      </c>
      <c r="L1935" s="1359">
        <v>3750000</v>
      </c>
      <c r="M1935" s="1523">
        <v>43689.456446759301</v>
      </c>
      <c r="N1935" s="1731">
        <v>3750000</v>
      </c>
      <c r="O1935" s="1367">
        <v>43858.365046296298</v>
      </c>
      <c r="P1935" s="1731">
        <v>3750000</v>
      </c>
      <c r="Q1935" s="1367">
        <v>44050.413379629601</v>
      </c>
      <c r="R1935" s="1363"/>
      <c r="S1935" s="1563"/>
      <c r="T1935" s="1363"/>
      <c r="U1935" s="1391"/>
      <c r="V1935" s="1363"/>
      <c r="W1935" s="1391"/>
      <c r="X1935" s="1363"/>
      <c r="Y1935" s="1391"/>
      <c r="Z1935" s="1363"/>
      <c r="AA1935" s="1391"/>
      <c r="AB1935" s="1731"/>
      <c r="AC1935" s="1367"/>
      <c r="AD1935" s="1666"/>
      <c r="AE1935" s="1590"/>
      <c r="AF1935" s="1666"/>
      <c r="AG1935" s="1590"/>
      <c r="AH1935" s="1625" t="str">
        <f t="shared" si="637"/>
        <v>PBA-3</v>
      </c>
      <c r="AI1935" s="1675">
        <f t="shared" si="650"/>
        <v>13950000</v>
      </c>
      <c r="AJ1935" s="1675">
        <f t="shared" si="651"/>
        <v>13950000</v>
      </c>
      <c r="AK1935" s="1520">
        <f t="shared" ref="AK1935:AK1944" si="656">AJ1935-AI1935</f>
        <v>0</v>
      </c>
      <c r="AL1935" s="2210" t="str">
        <f t="shared" ref="AL1935:AL1944" si="657">IF(AK1935=0,"Lunas","Cek")</f>
        <v>Lunas</v>
      </c>
      <c r="AM1935" s="1666"/>
      <c r="AN1935" s="1590"/>
      <c r="AO1935"/>
      <c r="AP1935"/>
      <c r="AQ1935" s="1128"/>
      <c r="AR1935" s="1173"/>
      <c r="AT1935" s="1173"/>
      <c r="AV1935" s="1173"/>
      <c r="AX1935" s="1173"/>
      <c r="AY1935" s="1176"/>
      <c r="AZ1935" s="1173"/>
    </row>
    <row r="1936" spans="1:52" s="2" customFormat="1" x14ac:dyDescent="0.25">
      <c r="A1936" s="694">
        <v>1786</v>
      </c>
      <c r="B1936" s="671">
        <v>4</v>
      </c>
      <c r="C1936" s="716">
        <v>849219012</v>
      </c>
      <c r="D1936" s="701" t="s">
        <v>2431</v>
      </c>
      <c r="E1936" s="264" t="s">
        <v>2191</v>
      </c>
      <c r="F1936" s="175">
        <v>2019</v>
      </c>
      <c r="G1936" s="360" t="s">
        <v>1483</v>
      </c>
      <c r="H1936" s="215" t="str">
        <f t="shared" si="648"/>
        <v xml:space="preserve">   </v>
      </c>
      <c r="I1936" s="215" t="str">
        <f t="shared" si="649"/>
        <v xml:space="preserve">   </v>
      </c>
      <c r="J1936" s="1359">
        <v>2700000</v>
      </c>
      <c r="K1936" s="1523">
        <v>43692.464085648098</v>
      </c>
      <c r="L1936" s="1359">
        <v>3750000</v>
      </c>
      <c r="M1936" s="1523">
        <v>43692.464085648098</v>
      </c>
      <c r="N1936" s="1731">
        <v>3750000</v>
      </c>
      <c r="O1936" s="1367">
        <v>43861.585347222201</v>
      </c>
      <c r="P1936" s="1731">
        <v>3750000</v>
      </c>
      <c r="Q1936" s="1367">
        <v>44054.551134259302</v>
      </c>
      <c r="R1936" s="1363"/>
      <c r="S1936" s="1563"/>
      <c r="T1936" s="1363"/>
      <c r="U1936" s="1391"/>
      <c r="V1936" s="1363"/>
      <c r="W1936" s="1391"/>
      <c r="X1936" s="1363"/>
      <c r="Y1936" s="1391"/>
      <c r="Z1936" s="1363"/>
      <c r="AA1936" s="1391"/>
      <c r="AB1936" s="1731"/>
      <c r="AC1936" s="1367"/>
      <c r="AD1936" s="1666"/>
      <c r="AE1936" s="1590"/>
      <c r="AF1936" s="1666"/>
      <c r="AG1936" s="1590"/>
      <c r="AH1936" s="1625" t="str">
        <f t="shared" si="637"/>
        <v>PBA-3</v>
      </c>
      <c r="AI1936" s="1675">
        <f t="shared" si="650"/>
        <v>13950000</v>
      </c>
      <c r="AJ1936" s="1675">
        <f t="shared" si="651"/>
        <v>13950000</v>
      </c>
      <c r="AK1936" s="1520">
        <f t="shared" si="656"/>
        <v>0</v>
      </c>
      <c r="AL1936" s="2210" t="str">
        <f t="shared" si="657"/>
        <v>Lunas</v>
      </c>
      <c r="AM1936" s="1666"/>
      <c r="AN1936" s="1590"/>
      <c r="AO1936"/>
      <c r="AP1936"/>
      <c r="AQ1936" s="1128"/>
      <c r="AR1936" s="1173"/>
      <c r="AT1936" s="1173"/>
      <c r="AV1936" s="1173"/>
      <c r="AX1936" s="1173"/>
      <c r="AY1936" s="1176"/>
      <c r="AZ1936" s="1173"/>
    </row>
    <row r="1937" spans="1:52" s="2" customFormat="1" x14ac:dyDescent="0.25">
      <c r="A1937" s="694">
        <v>1787</v>
      </c>
      <c r="B1937" s="671">
        <v>5</v>
      </c>
      <c r="C1937" s="716">
        <v>849219010</v>
      </c>
      <c r="D1937" s="701" t="s">
        <v>2432</v>
      </c>
      <c r="E1937" s="264" t="s">
        <v>2191</v>
      </c>
      <c r="F1937" s="175">
        <v>2019</v>
      </c>
      <c r="G1937" s="360" t="s">
        <v>1483</v>
      </c>
      <c r="H1937" s="215" t="str">
        <f t="shared" si="648"/>
        <v xml:space="preserve">   </v>
      </c>
      <c r="I1937" s="215" t="str">
        <f t="shared" si="649"/>
        <v xml:space="preserve">   </v>
      </c>
      <c r="J1937" s="1359">
        <v>2700000</v>
      </c>
      <c r="K1937" s="1523">
        <v>43692.341898148101</v>
      </c>
      <c r="L1937" s="1359">
        <v>3750000</v>
      </c>
      <c r="M1937" s="1523">
        <v>43692.341898148101</v>
      </c>
      <c r="N1937" s="1731">
        <v>3750000</v>
      </c>
      <c r="O1937" s="1367">
        <v>43858.436620370398</v>
      </c>
      <c r="P1937" s="1731">
        <v>3750000</v>
      </c>
      <c r="Q1937" s="1367">
        <v>44069.487187500003</v>
      </c>
      <c r="R1937" s="1363"/>
      <c r="S1937" s="1563"/>
      <c r="T1937" s="1363"/>
      <c r="U1937" s="1391"/>
      <c r="V1937" s="1363"/>
      <c r="W1937" s="1391"/>
      <c r="X1937" s="1363"/>
      <c r="Y1937" s="1391"/>
      <c r="Z1937" s="1363"/>
      <c r="AA1937" s="1391"/>
      <c r="AB1937" s="1731"/>
      <c r="AC1937" s="1367"/>
      <c r="AD1937" s="1666"/>
      <c r="AE1937" s="1590"/>
      <c r="AF1937" s="1666"/>
      <c r="AG1937" s="1590"/>
      <c r="AH1937" s="1625" t="str">
        <f t="shared" si="637"/>
        <v>PBA-3</v>
      </c>
      <c r="AI1937" s="1675">
        <f t="shared" si="650"/>
        <v>13950000</v>
      </c>
      <c r="AJ1937" s="1675">
        <f t="shared" si="651"/>
        <v>13950000</v>
      </c>
      <c r="AK1937" s="1520">
        <f t="shared" si="656"/>
        <v>0</v>
      </c>
      <c r="AL1937" s="2210" t="str">
        <f t="shared" si="657"/>
        <v>Lunas</v>
      </c>
      <c r="AM1937" s="1666"/>
      <c r="AN1937" s="1590"/>
      <c r="AO1937"/>
      <c r="AP1937"/>
      <c r="AQ1937" s="1128"/>
      <c r="AR1937" s="1173"/>
      <c r="AT1937" s="1173"/>
      <c r="AV1937" s="1173"/>
      <c r="AX1937" s="1173"/>
      <c r="AY1937" s="1176"/>
      <c r="AZ1937" s="1173"/>
    </row>
    <row r="1938" spans="1:52" s="2" customFormat="1" x14ac:dyDescent="0.25">
      <c r="A1938" s="694">
        <v>1788</v>
      </c>
      <c r="B1938" s="671">
        <v>6</v>
      </c>
      <c r="C1938" s="716">
        <v>849219009</v>
      </c>
      <c r="D1938" s="701" t="s">
        <v>2433</v>
      </c>
      <c r="E1938" s="264" t="s">
        <v>2191</v>
      </c>
      <c r="F1938" s="175">
        <v>2019</v>
      </c>
      <c r="G1938" s="360" t="s">
        <v>1483</v>
      </c>
      <c r="H1938" s="215" t="str">
        <f t="shared" si="648"/>
        <v xml:space="preserve">   </v>
      </c>
      <c r="I1938" s="215" t="str">
        <f t="shared" si="649"/>
        <v xml:space="preserve">   </v>
      </c>
      <c r="J1938" s="1359">
        <v>2700000</v>
      </c>
      <c r="K1938" s="1523">
        <v>43692.340231481503</v>
      </c>
      <c r="L1938" s="1359">
        <v>3750000</v>
      </c>
      <c r="M1938" s="1523">
        <v>43692.340231481503</v>
      </c>
      <c r="N1938" s="1731">
        <v>3750000</v>
      </c>
      <c r="O1938" s="1367">
        <v>43854.391631944403</v>
      </c>
      <c r="P1938" s="1731">
        <v>3750000</v>
      </c>
      <c r="Q1938" s="1367">
        <v>44068.572627314803</v>
      </c>
      <c r="R1938" s="1363"/>
      <c r="S1938" s="1563"/>
      <c r="T1938" s="1363"/>
      <c r="U1938" s="1391"/>
      <c r="V1938" s="1363"/>
      <c r="W1938" s="1391"/>
      <c r="X1938" s="1363"/>
      <c r="Y1938" s="1391"/>
      <c r="Z1938" s="1363"/>
      <c r="AA1938" s="1391"/>
      <c r="AB1938" s="1731"/>
      <c r="AC1938" s="1367"/>
      <c r="AD1938" s="1666"/>
      <c r="AE1938" s="1590"/>
      <c r="AF1938" s="1666"/>
      <c r="AG1938" s="1590"/>
      <c r="AH1938" s="1625" t="str">
        <f t="shared" si="637"/>
        <v>PBA-3</v>
      </c>
      <c r="AI1938" s="1675">
        <f t="shared" si="650"/>
        <v>13950000</v>
      </c>
      <c r="AJ1938" s="1675">
        <f t="shared" si="651"/>
        <v>13950000</v>
      </c>
      <c r="AK1938" s="1520">
        <f t="shared" si="656"/>
        <v>0</v>
      </c>
      <c r="AL1938" s="2210" t="str">
        <f t="shared" si="657"/>
        <v>Lunas</v>
      </c>
      <c r="AM1938" s="1666"/>
      <c r="AN1938" s="1590"/>
      <c r="AO1938"/>
      <c r="AP1938"/>
      <c r="AQ1938" s="1128"/>
      <c r="AR1938" s="1173"/>
      <c r="AT1938" s="1173"/>
      <c r="AV1938" s="1173"/>
      <c r="AX1938" s="1173"/>
      <c r="AY1938" s="1176"/>
      <c r="AZ1938" s="1173"/>
    </row>
    <row r="1939" spans="1:52" s="2" customFormat="1" x14ac:dyDescent="0.25">
      <c r="A1939" s="694">
        <v>1789</v>
      </c>
      <c r="B1939" s="671">
        <v>7</v>
      </c>
      <c r="C1939" s="716">
        <v>849219007</v>
      </c>
      <c r="D1939" s="701" t="s">
        <v>2434</v>
      </c>
      <c r="E1939" s="264" t="s">
        <v>2191</v>
      </c>
      <c r="F1939" s="175">
        <v>2019</v>
      </c>
      <c r="G1939" s="360" t="s">
        <v>1483</v>
      </c>
      <c r="H1939" s="727" t="str">
        <f t="shared" si="648"/>
        <v xml:space="preserve">   </v>
      </c>
      <c r="I1939" s="727" t="str">
        <f t="shared" si="649"/>
        <v xml:space="preserve">   </v>
      </c>
      <c r="J1939" s="1359">
        <v>2700000</v>
      </c>
      <c r="K1939" s="1523">
        <v>43690.456840277802</v>
      </c>
      <c r="L1939" s="1359">
        <v>3750000</v>
      </c>
      <c r="M1939" s="1523">
        <v>43690.456840277802</v>
      </c>
      <c r="N1939" s="1731">
        <v>3750000</v>
      </c>
      <c r="O1939" s="1367">
        <v>43857.380937499998</v>
      </c>
      <c r="P1939" s="1731">
        <v>3750000</v>
      </c>
      <c r="Q1939" s="1367">
        <v>44054.6093287037</v>
      </c>
      <c r="R1939" s="1363"/>
      <c r="S1939" s="1563"/>
      <c r="T1939" s="1363"/>
      <c r="U1939" s="1391"/>
      <c r="V1939" s="1363"/>
      <c r="W1939" s="1391"/>
      <c r="X1939" s="1363"/>
      <c r="Y1939" s="1391"/>
      <c r="Z1939" s="1363"/>
      <c r="AA1939" s="1391"/>
      <c r="AB1939" s="1731">
        <v>1000000</v>
      </c>
      <c r="AC1939" s="1367">
        <v>44173</v>
      </c>
      <c r="AD1939" s="1666"/>
      <c r="AE1939" s="1590"/>
      <c r="AF1939" s="1666"/>
      <c r="AG1939" s="1590"/>
      <c r="AH1939" s="1626" t="str">
        <f t="shared" si="637"/>
        <v>PBA-3</v>
      </c>
      <c r="AI1939" s="1675">
        <f t="shared" si="650"/>
        <v>14950000</v>
      </c>
      <c r="AJ1939" s="1675">
        <f t="shared" si="651"/>
        <v>14950000</v>
      </c>
      <c r="AK1939" s="1520">
        <f t="shared" si="656"/>
        <v>0</v>
      </c>
      <c r="AL1939" s="2210" t="str">
        <f t="shared" si="657"/>
        <v>Lunas</v>
      </c>
      <c r="AM1939" s="1666"/>
      <c r="AN1939" s="1590"/>
      <c r="AO1939"/>
      <c r="AP1939"/>
      <c r="AQ1939" s="1128"/>
      <c r="AR1939" s="1173"/>
      <c r="AT1939" s="1173"/>
      <c r="AV1939" s="1173"/>
      <c r="AX1939" s="1173"/>
      <c r="AY1939" s="1176"/>
      <c r="AZ1939" s="1173"/>
    </row>
    <row r="1940" spans="1:52" s="2" customFormat="1" x14ac:dyDescent="0.25">
      <c r="A1940" s="694">
        <v>1790</v>
      </c>
      <c r="B1940" s="671">
        <v>8</v>
      </c>
      <c r="C1940" s="716">
        <v>849219001</v>
      </c>
      <c r="D1940" s="701" t="s">
        <v>2435</v>
      </c>
      <c r="E1940" s="264" t="s">
        <v>2191</v>
      </c>
      <c r="F1940" s="175">
        <v>2019</v>
      </c>
      <c r="G1940" s="1758" t="s">
        <v>28</v>
      </c>
      <c r="H1940" s="215" t="str">
        <f t="shared" si="648"/>
        <v xml:space="preserve">   </v>
      </c>
      <c r="I1940" s="215" t="str">
        <f t="shared" si="649"/>
        <v xml:space="preserve">   </v>
      </c>
      <c r="J1940" s="1359">
        <v>2700000</v>
      </c>
      <c r="K1940" s="1523">
        <v>43686.380798611099</v>
      </c>
      <c r="L1940" s="1359">
        <v>3750000</v>
      </c>
      <c r="M1940" s="1523">
        <v>43686.380798611099</v>
      </c>
      <c r="N1940" s="1731">
        <v>3750000</v>
      </c>
      <c r="O1940" s="1367">
        <v>43861.554571759298</v>
      </c>
      <c r="P1940" s="1731">
        <v>0</v>
      </c>
      <c r="Q1940" s="1367"/>
      <c r="R1940" s="1363" t="str">
        <f>IFERROR(VLOOKUP(C1940,BSP,3,FALSE),"  ")</f>
        <v xml:space="preserve">  </v>
      </c>
      <c r="S1940" s="1563" t="str">
        <f>IFERROR((VLOOKUP(C1940,BSP,4,FALSE)),"  ")</f>
        <v xml:space="preserve">  </v>
      </c>
      <c r="T1940" s="1363"/>
      <c r="U1940" s="1391"/>
      <c r="V1940" s="1363"/>
      <c r="W1940" s="1391"/>
      <c r="X1940" s="1363"/>
      <c r="Y1940" s="1391"/>
      <c r="Z1940" s="1363"/>
      <c r="AA1940" s="1391"/>
      <c r="AB1940" s="1731"/>
      <c r="AC1940" s="1367"/>
      <c r="AD1940" s="1666"/>
      <c r="AE1940" s="1590"/>
      <c r="AF1940" s="1666"/>
      <c r="AG1940" s="1590"/>
      <c r="AH1940" s="1625" t="str">
        <f t="shared" si="637"/>
        <v>PBA-3</v>
      </c>
      <c r="AI1940" s="1675">
        <f t="shared" si="650"/>
        <v>10200000</v>
      </c>
      <c r="AJ1940" s="1675">
        <f t="shared" si="651"/>
        <v>13950000</v>
      </c>
      <c r="AK1940" s="1520">
        <f t="shared" si="656"/>
        <v>3750000</v>
      </c>
      <c r="AL1940" s="2210" t="str">
        <f t="shared" si="657"/>
        <v>Cek</v>
      </c>
      <c r="AM1940" s="1666"/>
      <c r="AN1940" s="1590"/>
      <c r="AO1940"/>
      <c r="AP1940"/>
      <c r="AQ1940" s="1128"/>
      <c r="AR1940" s="1173"/>
      <c r="AT1940" s="1173"/>
      <c r="AV1940" s="1173"/>
      <c r="AX1940" s="1173"/>
      <c r="AY1940" s="1176"/>
      <c r="AZ1940" s="1173"/>
    </row>
    <row r="1941" spans="1:52" s="2" customFormat="1" x14ac:dyDescent="0.25">
      <c r="A1941" s="694">
        <v>1791</v>
      </c>
      <c r="B1941" s="671">
        <v>9</v>
      </c>
      <c r="C1941" s="716">
        <v>849219011</v>
      </c>
      <c r="D1941" s="701" t="s">
        <v>2436</v>
      </c>
      <c r="E1941" s="264" t="s">
        <v>2191</v>
      </c>
      <c r="F1941" s="175">
        <v>2019</v>
      </c>
      <c r="G1941" s="1758" t="s">
        <v>28</v>
      </c>
      <c r="H1941" s="215" t="str">
        <f t="shared" si="648"/>
        <v xml:space="preserve">   </v>
      </c>
      <c r="I1941" s="215" t="str">
        <f t="shared" si="649"/>
        <v xml:space="preserve">   </v>
      </c>
      <c r="J1941" s="1359">
        <v>2700000</v>
      </c>
      <c r="K1941" s="1523">
        <v>43692.506458333301</v>
      </c>
      <c r="L1941" s="1359">
        <v>3750000</v>
      </c>
      <c r="M1941" s="1523">
        <v>43692.506458333301</v>
      </c>
      <c r="N1941" s="1731">
        <v>3750000</v>
      </c>
      <c r="O1941" s="1367">
        <v>43857.391157407401</v>
      </c>
      <c r="P1941" s="1731">
        <v>3750000</v>
      </c>
      <c r="Q1941" s="1367">
        <v>44026</v>
      </c>
      <c r="R1941" s="1363" t="str">
        <f>IFERROR(VLOOKUP(C1941,BSP,3,FALSE),"  ")</f>
        <v xml:space="preserve">  </v>
      </c>
      <c r="S1941" s="1563" t="str">
        <f>IFERROR((VLOOKUP(C1941,BSP,4,FALSE)),"  ")</f>
        <v xml:space="preserve">  </v>
      </c>
      <c r="T1941" s="1363"/>
      <c r="U1941" s="1391"/>
      <c r="V1941" s="1363"/>
      <c r="W1941" s="1391"/>
      <c r="X1941" s="1363"/>
      <c r="Y1941" s="1391"/>
      <c r="Z1941" s="1363"/>
      <c r="AA1941" s="1391"/>
      <c r="AB1941" s="1731">
        <v>1000000</v>
      </c>
      <c r="AC1941" s="1367">
        <v>44202</v>
      </c>
      <c r="AD1941" s="1666"/>
      <c r="AE1941" s="1590"/>
      <c r="AF1941" s="1666"/>
      <c r="AG1941" s="1590"/>
      <c r="AH1941" s="1625" t="str">
        <f t="shared" si="637"/>
        <v>PBA-3</v>
      </c>
      <c r="AI1941" s="1675">
        <f t="shared" si="650"/>
        <v>14950000</v>
      </c>
      <c r="AJ1941" s="1675">
        <f t="shared" si="651"/>
        <v>14950000</v>
      </c>
      <c r="AK1941" s="1520">
        <f t="shared" si="656"/>
        <v>0</v>
      </c>
      <c r="AL1941" s="2210" t="str">
        <f t="shared" si="657"/>
        <v>Lunas</v>
      </c>
      <c r="AM1941" s="1666"/>
      <c r="AN1941" s="1590"/>
      <c r="AO1941"/>
      <c r="AP1941"/>
      <c r="AQ1941" s="1128"/>
      <c r="AR1941" s="1173"/>
      <c r="AT1941" s="1173"/>
      <c r="AV1941" s="1173"/>
      <c r="AX1941" s="1173"/>
      <c r="AY1941" s="1176"/>
      <c r="AZ1941" s="1173"/>
    </row>
    <row r="1942" spans="1:52" s="2" customFormat="1" x14ac:dyDescent="0.25">
      <c r="A1942" s="694">
        <v>1792</v>
      </c>
      <c r="B1942" s="671">
        <v>10</v>
      </c>
      <c r="C1942" s="716">
        <v>849219003</v>
      </c>
      <c r="D1942" s="701" t="s">
        <v>2437</v>
      </c>
      <c r="E1942" s="264" t="s">
        <v>2191</v>
      </c>
      <c r="F1942" s="175">
        <v>2019</v>
      </c>
      <c r="G1942" s="360" t="s">
        <v>1483</v>
      </c>
      <c r="H1942" s="215" t="str">
        <f t="shared" si="648"/>
        <v xml:space="preserve">   </v>
      </c>
      <c r="I1942" s="215" t="str">
        <f t="shared" si="649"/>
        <v xml:space="preserve">   </v>
      </c>
      <c r="J1942" s="1359">
        <v>2700000</v>
      </c>
      <c r="K1942" s="1523">
        <v>43689.526770833298</v>
      </c>
      <c r="L1942" s="1359">
        <v>3750000</v>
      </c>
      <c r="M1942" s="1523">
        <v>43689.526770833298</v>
      </c>
      <c r="N1942" s="1731">
        <v>3750000</v>
      </c>
      <c r="O1942" s="1367">
        <v>43859.459490740701</v>
      </c>
      <c r="P1942" s="1731">
        <v>3750000</v>
      </c>
      <c r="Q1942" s="1367">
        <v>44081.664942129602</v>
      </c>
      <c r="R1942" s="1363"/>
      <c r="S1942" s="1563"/>
      <c r="T1942" s="1363"/>
      <c r="U1942" s="1391"/>
      <c r="V1942" s="1363"/>
      <c r="W1942" s="1391"/>
      <c r="X1942" s="1363"/>
      <c r="Y1942" s="1391"/>
      <c r="Z1942" s="1363"/>
      <c r="AA1942" s="1391"/>
      <c r="AB1942" s="1731">
        <v>1000000</v>
      </c>
      <c r="AC1942" s="1367">
        <v>44204</v>
      </c>
      <c r="AD1942" s="1666"/>
      <c r="AE1942" s="1590"/>
      <c r="AF1942" s="1666"/>
      <c r="AG1942" s="1590"/>
      <c r="AH1942" s="1625" t="str">
        <f t="shared" si="637"/>
        <v>PBA-3</v>
      </c>
      <c r="AI1942" s="1675">
        <f t="shared" si="650"/>
        <v>14950000</v>
      </c>
      <c r="AJ1942" s="1675">
        <f t="shared" si="651"/>
        <v>14950000</v>
      </c>
      <c r="AK1942" s="1520">
        <f t="shared" si="656"/>
        <v>0</v>
      </c>
      <c r="AL1942" s="2210" t="str">
        <f t="shared" si="657"/>
        <v>Lunas</v>
      </c>
      <c r="AM1942" s="1666"/>
      <c r="AN1942" s="1590"/>
      <c r="AO1942"/>
      <c r="AP1942"/>
      <c r="AQ1942" s="1128"/>
      <c r="AR1942" s="1173"/>
      <c r="AT1942" s="1173"/>
      <c r="AV1942" s="1173"/>
      <c r="AX1942" s="1173"/>
      <c r="AY1942" s="1176"/>
      <c r="AZ1942" s="1173"/>
    </row>
    <row r="1943" spans="1:52" s="2" customFormat="1" x14ac:dyDescent="0.25">
      <c r="A1943" s="694">
        <v>1793</v>
      </c>
      <c r="B1943" s="671">
        <v>11</v>
      </c>
      <c r="C1943" s="716">
        <v>849219006</v>
      </c>
      <c r="D1943" s="701" t="s">
        <v>2438</v>
      </c>
      <c r="E1943" s="264" t="s">
        <v>2191</v>
      </c>
      <c r="F1943" s="175">
        <v>2019</v>
      </c>
      <c r="G1943" s="1758" t="s">
        <v>28</v>
      </c>
      <c r="H1943" s="215" t="str">
        <f t="shared" si="648"/>
        <v xml:space="preserve">   </v>
      </c>
      <c r="I1943" s="215" t="str">
        <f t="shared" si="649"/>
        <v xml:space="preserve">   </v>
      </c>
      <c r="J1943" s="1359">
        <v>2700000</v>
      </c>
      <c r="K1943" s="1523">
        <v>43690.606215277803</v>
      </c>
      <c r="L1943" s="1359">
        <v>3750000</v>
      </c>
      <c r="M1943" s="1523">
        <v>43690.606215277803</v>
      </c>
      <c r="N1943" s="1731">
        <v>0</v>
      </c>
      <c r="O1943" s="1367"/>
      <c r="P1943" s="1731">
        <v>0</v>
      </c>
      <c r="Q1943" s="1367"/>
      <c r="R1943" s="1363" t="str">
        <f>IFERROR(VLOOKUP(C1943,BSP,3,FALSE),"  ")</f>
        <v xml:space="preserve">  </v>
      </c>
      <c r="S1943" s="1563" t="str">
        <f>IFERROR((VLOOKUP(C1943,BSP,4,FALSE)),"  ")</f>
        <v xml:space="preserve">  </v>
      </c>
      <c r="T1943" s="1363"/>
      <c r="U1943" s="1391"/>
      <c r="V1943" s="1363"/>
      <c r="W1943" s="1391"/>
      <c r="X1943" s="1363"/>
      <c r="Y1943" s="1391"/>
      <c r="Z1943" s="1363"/>
      <c r="AA1943" s="1391"/>
      <c r="AB1943" s="1731"/>
      <c r="AC1943" s="1367"/>
      <c r="AD1943" s="1666"/>
      <c r="AE1943" s="1590"/>
      <c r="AF1943" s="1666"/>
      <c r="AG1943" s="1590"/>
      <c r="AH1943" s="1625" t="str">
        <f t="shared" si="637"/>
        <v>PBA-3</v>
      </c>
      <c r="AI1943" s="1675">
        <f t="shared" si="650"/>
        <v>6450000</v>
      </c>
      <c r="AJ1943" s="1675">
        <f t="shared" si="651"/>
        <v>13950000</v>
      </c>
      <c r="AK1943" s="1520">
        <f t="shared" si="656"/>
        <v>7500000</v>
      </c>
      <c r="AL1943" s="2210" t="str">
        <f t="shared" si="657"/>
        <v>Cek</v>
      </c>
      <c r="AM1943" s="1666"/>
      <c r="AN1943" s="1590"/>
      <c r="AO1943"/>
      <c r="AP1943"/>
      <c r="AQ1943" s="1128"/>
      <c r="AR1943" s="1173"/>
      <c r="AT1943" s="1173"/>
      <c r="AV1943" s="1173"/>
      <c r="AX1943" s="1173"/>
      <c r="AY1943" s="1176"/>
      <c r="AZ1943" s="1173"/>
    </row>
    <row r="1944" spans="1:52" s="2" customFormat="1" x14ac:dyDescent="0.25">
      <c r="A1944" s="694">
        <v>1794</v>
      </c>
      <c r="B1944" s="671">
        <v>12</v>
      </c>
      <c r="C1944" s="716">
        <v>849219005</v>
      </c>
      <c r="D1944" s="701" t="s">
        <v>2439</v>
      </c>
      <c r="E1944" s="264" t="s">
        <v>2191</v>
      </c>
      <c r="F1944" s="175">
        <v>2019</v>
      </c>
      <c r="G1944" s="360" t="s">
        <v>1483</v>
      </c>
      <c r="H1944" s="727" t="str">
        <f t="shared" si="648"/>
        <v xml:space="preserve">   </v>
      </c>
      <c r="I1944" s="727" t="str">
        <f t="shared" si="649"/>
        <v xml:space="preserve">   </v>
      </c>
      <c r="J1944" s="1359">
        <v>2700000</v>
      </c>
      <c r="K1944" s="1523">
        <v>43690.4766550926</v>
      </c>
      <c r="L1944" s="1359">
        <v>3750000</v>
      </c>
      <c r="M1944" s="1523">
        <v>43690.4766550926</v>
      </c>
      <c r="N1944" s="1731">
        <v>3750000</v>
      </c>
      <c r="O1944" s="1367">
        <v>43860.411226851902</v>
      </c>
      <c r="P1944" s="1731">
        <v>3750000</v>
      </c>
      <c r="Q1944" s="1367">
        <v>44069.814594907402</v>
      </c>
      <c r="R1944" s="1363"/>
      <c r="S1944" s="1563"/>
      <c r="T1944" s="1363"/>
      <c r="U1944" s="1391"/>
      <c r="V1944" s="1363"/>
      <c r="W1944" s="1391"/>
      <c r="X1944" s="1363"/>
      <c r="Y1944" s="1391"/>
      <c r="Z1944" s="1363"/>
      <c r="AA1944" s="1391"/>
      <c r="AB1944" s="1731"/>
      <c r="AC1944" s="1367"/>
      <c r="AD1944" s="1666"/>
      <c r="AE1944" s="1590"/>
      <c r="AF1944" s="1666"/>
      <c r="AG1944" s="1590"/>
      <c r="AH1944" s="1626" t="str">
        <f t="shared" si="637"/>
        <v>PBA-3</v>
      </c>
      <c r="AI1944" s="1675">
        <f t="shared" si="650"/>
        <v>13950000</v>
      </c>
      <c r="AJ1944" s="1675">
        <f t="shared" si="651"/>
        <v>13950000</v>
      </c>
      <c r="AK1944" s="1520">
        <f t="shared" si="656"/>
        <v>0</v>
      </c>
      <c r="AL1944" s="2210" t="str">
        <f t="shared" si="657"/>
        <v>Lunas</v>
      </c>
      <c r="AM1944" s="1666"/>
      <c r="AN1944" s="1590"/>
      <c r="AO1944"/>
      <c r="AP1944"/>
      <c r="AQ1944" s="1128"/>
      <c r="AR1944" s="1173"/>
      <c r="AT1944" s="1173"/>
      <c r="AV1944" s="1173"/>
      <c r="AX1944" s="1173"/>
      <c r="AY1944" s="1176"/>
      <c r="AZ1944" s="1173"/>
    </row>
    <row r="1945" spans="1:52" s="2" customFormat="1" x14ac:dyDescent="0.25">
      <c r="A1945" s="123"/>
      <c r="B1945" s="123"/>
      <c r="C1945" s="33"/>
      <c r="D1945" s="123"/>
      <c r="E1945" s="123"/>
      <c r="F1945" s="120" t="s">
        <v>61</v>
      </c>
      <c r="G1945" s="123"/>
      <c r="H1945" s="124"/>
      <c r="I1945" s="124"/>
      <c r="J1945" s="1212"/>
      <c r="K1945" s="2252"/>
      <c r="L1945" s="2253"/>
      <c r="M1945" s="1436"/>
      <c r="N1945" s="2253"/>
      <c r="O1945" s="2252"/>
      <c r="P1945" s="2253"/>
      <c r="Q1945" s="2252"/>
      <c r="R1945" s="2253"/>
      <c r="S1945" s="2261"/>
      <c r="T1945" s="2253"/>
      <c r="U1945" s="2252"/>
      <c r="V1945" s="2253"/>
      <c r="W1945" s="2252"/>
      <c r="X1945" s="2253"/>
      <c r="Y1945" s="2252"/>
      <c r="Z1945" s="2253"/>
      <c r="AA1945" s="2252"/>
      <c r="AB1945" s="2268"/>
      <c r="AC1945" s="2252"/>
      <c r="AD1945" s="747"/>
      <c r="AE1945" s="1155"/>
      <c r="AF1945" s="747"/>
      <c r="AG1945" s="1155"/>
      <c r="AH1945" s="1168">
        <f t="shared" si="637"/>
        <v>0</v>
      </c>
      <c r="AI1945" s="747"/>
      <c r="AJ1945" s="747"/>
      <c r="AK1945" s="747"/>
      <c r="AL1945" s="1170"/>
      <c r="AM1945" s="1170"/>
      <c r="AN1945" s="1209"/>
      <c r="AO1945" s="1170"/>
      <c r="AP1945" s="1209"/>
      <c r="AQ1945" s="1128"/>
      <c r="AR1945" s="1173"/>
      <c r="AT1945" s="1173"/>
      <c r="AV1945" s="1173"/>
      <c r="AX1945" s="1173"/>
      <c r="AY1945" s="1176"/>
      <c r="AZ1945" s="1173"/>
    </row>
    <row r="1946" spans="1:52" s="2" customFormat="1" x14ac:dyDescent="0.25">
      <c r="A1946" s="625" t="s">
        <v>2440</v>
      </c>
      <c r="B1946" s="625"/>
      <c r="C1946" s="366"/>
      <c r="D1946" s="625"/>
      <c r="E1946" s="198" t="s">
        <v>1096</v>
      </c>
      <c r="F1946" s="199" t="s">
        <v>1096</v>
      </c>
      <c r="G1946" s="565">
        <v>3750000</v>
      </c>
      <c r="H1946" s="147" t="str">
        <f t="shared" ref="H1946:H1963" si="658">IFERROR(VLOOKUP(C1946,Tlus,3,FALSE),"   ")</f>
        <v xml:space="preserve">   </v>
      </c>
      <c r="I1946" s="147" t="str">
        <f t="shared" ref="I1946:I1963" si="659">IFERROR(VLOOKUP(C1946,Wis,4,FALSE),"   ")</f>
        <v xml:space="preserve">   </v>
      </c>
      <c r="J1946" s="2035">
        <v>2700000</v>
      </c>
      <c r="K1946" s="2036"/>
      <c r="L1946" s="2163" t="s">
        <v>1049</v>
      </c>
      <c r="M1946" s="2164" t="s">
        <v>1463</v>
      </c>
      <c r="N1946" s="2163" t="s">
        <v>1051</v>
      </c>
      <c r="O1946" s="2164" t="s">
        <v>1464</v>
      </c>
      <c r="P1946" s="2016" t="s">
        <v>1053</v>
      </c>
      <c r="Q1946" s="1438" t="s">
        <v>1466</v>
      </c>
      <c r="R1946" s="2016" t="s">
        <v>1055</v>
      </c>
      <c r="S1946" s="1438" t="s">
        <v>1468</v>
      </c>
      <c r="T1946" s="2016" t="s">
        <v>1057</v>
      </c>
      <c r="U1946" s="1438" t="s">
        <v>1470</v>
      </c>
      <c r="V1946" s="2016" t="s">
        <v>1059</v>
      </c>
      <c r="W1946" s="1438" t="s">
        <v>1718</v>
      </c>
      <c r="X1946" s="1582" t="s">
        <v>1061</v>
      </c>
      <c r="Y1946" s="1438" t="s">
        <v>1719</v>
      </c>
      <c r="Z1946" s="1582" t="s">
        <v>1063</v>
      </c>
      <c r="AA1946" s="1438" t="s">
        <v>1980</v>
      </c>
      <c r="AB1946" s="2177">
        <v>1000000</v>
      </c>
      <c r="AC1946" s="2178" t="s">
        <v>2015</v>
      </c>
      <c r="AD1946" s="1450">
        <v>1200000</v>
      </c>
      <c r="AE1946" s="1663" t="s">
        <v>2016</v>
      </c>
      <c r="AF1946" s="1450">
        <v>1600000</v>
      </c>
      <c r="AG1946" s="1663" t="s">
        <v>1326</v>
      </c>
      <c r="AH1946" s="1408" t="str">
        <f t="shared" si="637"/>
        <v>#</v>
      </c>
      <c r="AI1946" s="1512"/>
      <c r="AJ1946" s="1409"/>
      <c r="AK1946" s="1409"/>
      <c r="AL1946" s="1513"/>
      <c r="AM1946" s="1450">
        <v>500000</v>
      </c>
      <c r="AN1946" s="1663" t="s">
        <v>22</v>
      </c>
      <c r="AO1946"/>
      <c r="AP1946"/>
      <c r="AQ1946" s="1128"/>
      <c r="AR1946" s="1173"/>
      <c r="AT1946" s="1173"/>
      <c r="AV1946" s="1173"/>
      <c r="AX1946" s="1173"/>
      <c r="AY1946" s="1176"/>
      <c r="AZ1946" s="1173"/>
    </row>
    <row r="1947" spans="1:52" s="2" customFormat="1" x14ac:dyDescent="0.25">
      <c r="A1947" s="694">
        <v>1795</v>
      </c>
      <c r="B1947" s="695">
        <v>1</v>
      </c>
      <c r="C1947" s="714">
        <v>839119015</v>
      </c>
      <c r="D1947" s="713" t="s">
        <v>2441</v>
      </c>
      <c r="E1947" s="326" t="s">
        <v>2442</v>
      </c>
      <c r="F1947" s="327">
        <v>2019</v>
      </c>
      <c r="G1947" s="699" t="s">
        <v>1483</v>
      </c>
      <c r="H1947" s="715" t="str">
        <f t="shared" si="658"/>
        <v xml:space="preserve">   </v>
      </c>
      <c r="I1947" s="715" t="str">
        <f t="shared" si="659"/>
        <v xml:space="preserve">   </v>
      </c>
      <c r="J1947" s="1780">
        <v>2700000</v>
      </c>
      <c r="K1947" s="1727">
        <v>43691.524872685201</v>
      </c>
      <c r="L1947" s="1941">
        <v>3750000</v>
      </c>
      <c r="M1947" s="1727">
        <v>43691.524872685201</v>
      </c>
      <c r="N1947" s="1731">
        <v>3750000</v>
      </c>
      <c r="O1947" s="1367">
        <v>43858.668217592603</v>
      </c>
      <c r="P1947" s="1731">
        <v>3750000</v>
      </c>
      <c r="Q1947" s="1367">
        <v>44054.428124999999</v>
      </c>
      <c r="R1947" s="1941"/>
      <c r="S1947" s="1955"/>
      <c r="T1947" s="1941"/>
      <c r="U1947" s="1954"/>
      <c r="V1947" s="1941"/>
      <c r="W1947" s="1954"/>
      <c r="X1947" s="1941"/>
      <c r="Y1947" s="1954"/>
      <c r="Z1947" s="1941"/>
      <c r="AA1947" s="1954"/>
      <c r="AB1947" s="1666"/>
      <c r="AC1947" s="1590"/>
      <c r="AD1947" s="1666"/>
      <c r="AE1947" s="1590"/>
      <c r="AF1947" s="1666"/>
      <c r="AG1947" s="1590"/>
      <c r="AH1947" s="1625" t="str">
        <f t="shared" si="637"/>
        <v>HK-3</v>
      </c>
      <c r="AI1947" s="1675">
        <f t="shared" ref="AI1947:AI1963" si="660">SUM(J1947,L1947,N1947,P1947,R1947,T1947,V1947,X1947,Z1947,AB1947,AD1947,AF1947,AM1947)</f>
        <v>13950000</v>
      </c>
      <c r="AJ1947" s="1675">
        <f t="shared" ref="AJ1947:AJ1963" si="661">(COUNT(L1947,N1947,P1947,R1947,T1947,V1947,X1947,Z1947)*$G$1507)+(COUNT(J1947)*$J$1507)+(COUNT(AB1947)*$AB$1507)+(COUNT(AD1947)*$AD$1507)+(COUNT(AF1947)*$AF$1507)+(COUNT(AM1947)*$AM$1507)</f>
        <v>13950000</v>
      </c>
      <c r="AK1947" s="1520">
        <f t="shared" ref="AK1947" si="662">AJ1947-AI1947</f>
        <v>0</v>
      </c>
      <c r="AL1947" s="2187" t="str">
        <f t="shared" ref="AL1947" si="663">IF(AK1947=0,"Lunas","Cek")</f>
        <v>Lunas</v>
      </c>
      <c r="AM1947" s="1666"/>
      <c r="AN1947" s="1590"/>
      <c r="AO1947"/>
      <c r="AP1947"/>
      <c r="AQ1947" s="1128"/>
      <c r="AR1947" s="1173"/>
      <c r="AT1947" s="1173"/>
      <c r="AV1947" s="1173"/>
      <c r="AX1947" s="1173"/>
      <c r="AY1947" s="1176"/>
      <c r="AZ1947" s="1173"/>
    </row>
    <row r="1948" spans="1:52" s="2" customFormat="1" x14ac:dyDescent="0.25">
      <c r="A1948" s="694">
        <v>1796</v>
      </c>
      <c r="B1948" s="671">
        <v>2</v>
      </c>
      <c r="C1948" s="716">
        <v>839119016</v>
      </c>
      <c r="D1948" s="701" t="s">
        <v>2443</v>
      </c>
      <c r="E1948" s="264" t="s">
        <v>2442</v>
      </c>
      <c r="F1948" s="327">
        <v>2019</v>
      </c>
      <c r="G1948" s="360" t="s">
        <v>1483</v>
      </c>
      <c r="H1948" s="215" t="str">
        <f t="shared" si="658"/>
        <v xml:space="preserve">   </v>
      </c>
      <c r="I1948" s="215" t="str">
        <f t="shared" si="659"/>
        <v xml:space="preserve">   </v>
      </c>
      <c r="J1948" s="1359">
        <v>2700000</v>
      </c>
      <c r="K1948" s="1523">
        <v>43692.624016203699</v>
      </c>
      <c r="L1948" s="1359">
        <v>3750000</v>
      </c>
      <c r="M1948" s="1523">
        <v>43692.624016203699</v>
      </c>
      <c r="N1948" s="1731">
        <v>3750000</v>
      </c>
      <c r="O1948" s="1367">
        <v>43860.578750000001</v>
      </c>
      <c r="P1948" s="1731">
        <v>3750000</v>
      </c>
      <c r="Q1948" s="1367">
        <v>44069.598206018498</v>
      </c>
      <c r="R1948" s="1363"/>
      <c r="S1948" s="1563"/>
      <c r="T1948" s="1363"/>
      <c r="U1948" s="1391"/>
      <c r="V1948" s="1363"/>
      <c r="W1948" s="1391"/>
      <c r="X1948" s="1363"/>
      <c r="Y1948" s="1391"/>
      <c r="Z1948" s="1363"/>
      <c r="AA1948" s="1391"/>
      <c r="AB1948" s="1731"/>
      <c r="AC1948" s="1367"/>
      <c r="AD1948" s="1666"/>
      <c r="AE1948" s="1590"/>
      <c r="AF1948" s="1666"/>
      <c r="AG1948" s="1590"/>
      <c r="AH1948" s="1625" t="str">
        <f t="shared" si="637"/>
        <v>HK-3</v>
      </c>
      <c r="AI1948" s="1675">
        <f t="shared" si="660"/>
        <v>13950000</v>
      </c>
      <c r="AJ1948" s="1675">
        <f t="shared" si="661"/>
        <v>13950000</v>
      </c>
      <c r="AK1948" s="1520">
        <f t="shared" ref="AK1948" si="664">AJ1948-AI1948</f>
        <v>0</v>
      </c>
      <c r="AL1948" s="2210" t="str">
        <f t="shared" ref="AL1948" si="665">IF(AK1948=0,"Lunas","Cek")</f>
        <v>Lunas</v>
      </c>
      <c r="AM1948" s="1666"/>
      <c r="AN1948" s="1590"/>
      <c r="AO1948"/>
      <c r="AP1948"/>
      <c r="AQ1948" s="1128"/>
      <c r="AR1948" s="1173"/>
      <c r="AT1948" s="1173"/>
      <c r="AV1948" s="1173"/>
      <c r="AX1948" s="1173"/>
      <c r="AY1948" s="1176"/>
      <c r="AZ1948" s="1173"/>
    </row>
    <row r="1949" spans="1:52" s="2" customFormat="1" x14ac:dyDescent="0.25">
      <c r="A1949" s="694">
        <v>1797</v>
      </c>
      <c r="B1949" s="671">
        <v>3</v>
      </c>
      <c r="C1949" s="716">
        <v>839119006</v>
      </c>
      <c r="D1949" s="701" t="s">
        <v>2444</v>
      </c>
      <c r="E1949" s="264" t="s">
        <v>2442</v>
      </c>
      <c r="F1949" s="327">
        <v>2019</v>
      </c>
      <c r="G1949" s="360" t="s">
        <v>1483</v>
      </c>
      <c r="H1949" s="215" t="str">
        <f t="shared" si="658"/>
        <v xml:space="preserve">   </v>
      </c>
      <c r="I1949" s="215" t="str">
        <f t="shared" si="659"/>
        <v xml:space="preserve">   </v>
      </c>
      <c r="J1949" s="1359">
        <v>2700000</v>
      </c>
      <c r="K1949" s="1523">
        <v>43690.350509259297</v>
      </c>
      <c r="L1949" s="1359">
        <v>3750000</v>
      </c>
      <c r="M1949" s="1523">
        <v>43690.350509259297</v>
      </c>
      <c r="N1949" s="1731">
        <v>3750000</v>
      </c>
      <c r="O1949" s="1367">
        <v>43861.418009259301</v>
      </c>
      <c r="P1949" s="1731">
        <v>3750000</v>
      </c>
      <c r="Q1949" s="1367">
        <v>44068.578773148103</v>
      </c>
      <c r="R1949" s="1363"/>
      <c r="S1949" s="1563"/>
      <c r="T1949" s="1363"/>
      <c r="U1949" s="1391"/>
      <c r="V1949" s="1363"/>
      <c r="W1949" s="1391"/>
      <c r="X1949" s="1363"/>
      <c r="Y1949" s="1391"/>
      <c r="Z1949" s="1363"/>
      <c r="AA1949" s="1391"/>
      <c r="AB1949" s="1731"/>
      <c r="AC1949" s="1367"/>
      <c r="AD1949" s="1666"/>
      <c r="AE1949" s="1590"/>
      <c r="AF1949" s="1666"/>
      <c r="AG1949" s="1590"/>
      <c r="AH1949" s="1625" t="str">
        <f t="shared" si="637"/>
        <v>HK-3</v>
      </c>
      <c r="AI1949" s="1675">
        <f t="shared" si="660"/>
        <v>13950000</v>
      </c>
      <c r="AJ1949" s="1675">
        <f t="shared" si="661"/>
        <v>13950000</v>
      </c>
      <c r="AK1949" s="1520">
        <f t="shared" ref="AK1949:AK1963" si="666">AJ1949-AI1949</f>
        <v>0</v>
      </c>
      <c r="AL1949" s="2210" t="str">
        <f t="shared" ref="AL1949:AL1963" si="667">IF(AK1949=0,"Lunas","Cek")</f>
        <v>Lunas</v>
      </c>
      <c r="AM1949" s="1666"/>
      <c r="AN1949" s="1590"/>
      <c r="AO1949"/>
      <c r="AP1949"/>
      <c r="AQ1949" s="1128"/>
      <c r="AR1949" s="1173"/>
      <c r="AT1949" s="1173"/>
      <c r="AV1949" s="1173"/>
      <c r="AX1949" s="1173"/>
      <c r="AY1949" s="1176"/>
      <c r="AZ1949" s="1173"/>
    </row>
    <row r="1950" spans="1:52" s="2" customFormat="1" x14ac:dyDescent="0.25">
      <c r="A1950" s="694">
        <v>1798</v>
      </c>
      <c r="B1950" s="671">
        <v>4</v>
      </c>
      <c r="C1950" s="716">
        <v>839119005</v>
      </c>
      <c r="D1950" s="701" t="s">
        <v>2445</v>
      </c>
      <c r="E1950" s="264" t="s">
        <v>2442</v>
      </c>
      <c r="F1950" s="175">
        <v>2019</v>
      </c>
      <c r="G1950" s="360" t="s">
        <v>1483</v>
      </c>
      <c r="H1950" s="727" t="str">
        <f t="shared" si="658"/>
        <v xml:space="preserve">   </v>
      </c>
      <c r="I1950" s="727" t="str">
        <f t="shared" si="659"/>
        <v xml:space="preserve">   </v>
      </c>
      <c r="J1950" s="1359">
        <v>2700000</v>
      </c>
      <c r="K1950" s="1523">
        <v>43683.421863425901</v>
      </c>
      <c r="L1950" s="1359">
        <v>3750000</v>
      </c>
      <c r="M1950" s="1523">
        <v>43683.421863425901</v>
      </c>
      <c r="N1950" s="1731">
        <v>3750000</v>
      </c>
      <c r="O1950" s="1367">
        <v>43858.371296296304</v>
      </c>
      <c r="P1950" s="1731">
        <v>3750000</v>
      </c>
      <c r="Q1950" s="1367">
        <v>44054.612037036997</v>
      </c>
      <c r="R1950" s="1363"/>
      <c r="S1950" s="1563"/>
      <c r="T1950" s="1363"/>
      <c r="U1950" s="1391"/>
      <c r="V1950" s="1363"/>
      <c r="W1950" s="1391"/>
      <c r="X1950" s="1363"/>
      <c r="Y1950" s="1391"/>
      <c r="Z1950" s="1363"/>
      <c r="AA1950" s="1391"/>
      <c r="AB1950" s="1731"/>
      <c r="AC1950" s="1367"/>
      <c r="AD1950" s="1666"/>
      <c r="AE1950" s="1590"/>
      <c r="AF1950" s="1666"/>
      <c r="AG1950" s="1590"/>
      <c r="AH1950" s="1626" t="str">
        <f t="shared" si="637"/>
        <v>HK-3</v>
      </c>
      <c r="AI1950" s="1675">
        <f t="shared" si="660"/>
        <v>13950000</v>
      </c>
      <c r="AJ1950" s="1675">
        <f t="shared" si="661"/>
        <v>13950000</v>
      </c>
      <c r="AK1950" s="1520">
        <f t="shared" si="666"/>
        <v>0</v>
      </c>
      <c r="AL1950" s="2210" t="str">
        <f t="shared" si="667"/>
        <v>Lunas</v>
      </c>
      <c r="AM1950" s="1666"/>
      <c r="AN1950" s="1590"/>
      <c r="AO1950"/>
      <c r="AP1950"/>
      <c r="AQ1950" s="1128"/>
      <c r="AR1950" s="1173"/>
      <c r="AT1950" s="1173"/>
      <c r="AV1950" s="1173"/>
      <c r="AX1950" s="1173"/>
      <c r="AY1950" s="1176"/>
      <c r="AZ1950" s="1173"/>
    </row>
    <row r="1951" spans="1:52" s="2" customFormat="1" x14ac:dyDescent="0.25">
      <c r="A1951" s="694">
        <v>1799</v>
      </c>
      <c r="B1951" s="671">
        <v>5</v>
      </c>
      <c r="C1951" s="716">
        <v>839119011</v>
      </c>
      <c r="D1951" s="701" t="s">
        <v>2446</v>
      </c>
      <c r="E1951" s="264" t="s">
        <v>2442</v>
      </c>
      <c r="F1951" s="175">
        <v>2019</v>
      </c>
      <c r="G1951" s="360" t="s">
        <v>1483</v>
      </c>
      <c r="H1951" s="215" t="str">
        <f t="shared" si="658"/>
        <v xml:space="preserve">   </v>
      </c>
      <c r="I1951" s="215" t="str">
        <f t="shared" si="659"/>
        <v xml:space="preserve">   </v>
      </c>
      <c r="J1951" s="1359">
        <v>2700000</v>
      </c>
      <c r="K1951" s="1523">
        <v>43691.559386574103</v>
      </c>
      <c r="L1951" s="1359">
        <v>3750000</v>
      </c>
      <c r="M1951" s="1523">
        <v>43691.559386574103</v>
      </c>
      <c r="N1951" s="1731">
        <v>3750000</v>
      </c>
      <c r="O1951" s="1367">
        <v>43858.351134259297</v>
      </c>
      <c r="P1951" s="1731">
        <v>3750000</v>
      </c>
      <c r="Q1951" s="1367">
        <v>44070.346307870401</v>
      </c>
      <c r="R1951" s="1363">
        <v>3750000</v>
      </c>
      <c r="S1951" s="1563" t="s">
        <v>4879</v>
      </c>
      <c r="T1951" s="1363"/>
      <c r="U1951" s="1391"/>
      <c r="V1951" s="1363"/>
      <c r="W1951" s="1391"/>
      <c r="X1951" s="1363"/>
      <c r="Y1951" s="1391"/>
      <c r="Z1951" s="1363"/>
      <c r="AA1951" s="1391"/>
      <c r="AB1951" s="1731">
        <v>1000000</v>
      </c>
      <c r="AC1951" s="1367" t="s">
        <v>4879</v>
      </c>
      <c r="AD1951" s="1666"/>
      <c r="AE1951" s="1590"/>
      <c r="AF1951" s="1666"/>
      <c r="AG1951" s="1590"/>
      <c r="AH1951" s="1625" t="str">
        <f t="shared" si="637"/>
        <v>HK-3</v>
      </c>
      <c r="AI1951" s="1675">
        <f t="shared" si="660"/>
        <v>18700000</v>
      </c>
      <c r="AJ1951" s="1675">
        <f t="shared" si="661"/>
        <v>18700000</v>
      </c>
      <c r="AK1951" s="1520">
        <f t="shared" si="666"/>
        <v>0</v>
      </c>
      <c r="AL1951" s="2210" t="str">
        <f t="shared" si="667"/>
        <v>Lunas</v>
      </c>
      <c r="AM1951" s="1666"/>
      <c r="AN1951" s="1590"/>
      <c r="AO1951"/>
      <c r="AP1951"/>
      <c r="AQ1951" s="1128"/>
      <c r="AR1951" s="1173"/>
      <c r="AT1951" s="1173"/>
      <c r="AV1951" s="1173"/>
      <c r="AX1951" s="1173"/>
      <c r="AY1951" s="1176"/>
      <c r="AZ1951" s="1173"/>
    </row>
    <row r="1952" spans="1:52" s="2" customFormat="1" x14ac:dyDescent="0.25">
      <c r="A1952" s="694">
        <v>1800</v>
      </c>
      <c r="B1952" s="671">
        <v>6</v>
      </c>
      <c r="C1952" s="716">
        <v>839119008</v>
      </c>
      <c r="D1952" s="701" t="s">
        <v>2447</v>
      </c>
      <c r="E1952" s="264" t="s">
        <v>2442</v>
      </c>
      <c r="F1952" s="175">
        <v>2019</v>
      </c>
      <c r="G1952" s="360" t="s">
        <v>1483</v>
      </c>
      <c r="H1952" s="215" t="str">
        <f t="shared" si="658"/>
        <v xml:space="preserve">   </v>
      </c>
      <c r="I1952" s="215" t="str">
        <f t="shared" si="659"/>
        <v xml:space="preserve">   </v>
      </c>
      <c r="J1952" s="1359">
        <v>2700000</v>
      </c>
      <c r="K1952" s="1523">
        <v>43690.417037036997</v>
      </c>
      <c r="L1952" s="1359">
        <v>3750000</v>
      </c>
      <c r="M1952" s="1523">
        <v>43690.417037036997</v>
      </c>
      <c r="N1952" s="1731">
        <v>3750000</v>
      </c>
      <c r="O1952" s="1367">
        <v>43860.457662036999</v>
      </c>
      <c r="P1952" s="1731">
        <v>3750000</v>
      </c>
      <c r="Q1952" s="1367">
        <v>44070.390740740702</v>
      </c>
      <c r="R1952" s="1363"/>
      <c r="S1952" s="1563"/>
      <c r="T1952" s="1363"/>
      <c r="U1952" s="1391"/>
      <c r="V1952" s="1363"/>
      <c r="W1952" s="1391"/>
      <c r="X1952" s="1363"/>
      <c r="Y1952" s="1391"/>
      <c r="Z1952" s="1363"/>
      <c r="AA1952" s="1391"/>
      <c r="AB1952" s="1731"/>
      <c r="AC1952" s="1367"/>
      <c r="AD1952" s="1666"/>
      <c r="AE1952" s="1590"/>
      <c r="AF1952" s="1666"/>
      <c r="AG1952" s="1590"/>
      <c r="AH1952" s="1625" t="str">
        <f t="shared" si="637"/>
        <v>HK-3</v>
      </c>
      <c r="AI1952" s="1675">
        <f t="shared" si="660"/>
        <v>13950000</v>
      </c>
      <c r="AJ1952" s="1675">
        <f t="shared" si="661"/>
        <v>13950000</v>
      </c>
      <c r="AK1952" s="1520">
        <f t="shared" si="666"/>
        <v>0</v>
      </c>
      <c r="AL1952" s="2210" t="str">
        <f t="shared" si="667"/>
        <v>Lunas</v>
      </c>
      <c r="AM1952" s="1666"/>
      <c r="AN1952" s="1590"/>
      <c r="AO1952"/>
      <c r="AP1952"/>
      <c r="AQ1952" s="1128"/>
      <c r="AR1952" s="1173"/>
      <c r="AT1952" s="1173"/>
      <c r="AV1952" s="1173"/>
      <c r="AX1952" s="1173"/>
      <c r="AY1952" s="1176"/>
      <c r="AZ1952" s="1173"/>
    </row>
    <row r="1953" spans="1:52" s="2" customFormat="1" x14ac:dyDescent="0.25">
      <c r="A1953" s="694">
        <v>1801</v>
      </c>
      <c r="B1953" s="671">
        <v>7</v>
      </c>
      <c r="C1953" s="716">
        <v>839119014</v>
      </c>
      <c r="D1953" s="701" t="s">
        <v>2448</v>
      </c>
      <c r="E1953" s="264" t="s">
        <v>2442</v>
      </c>
      <c r="F1953" s="175">
        <v>2019</v>
      </c>
      <c r="G1953" s="1758" t="s">
        <v>28</v>
      </c>
      <c r="H1953" s="215" t="str">
        <f t="shared" si="658"/>
        <v xml:space="preserve">   </v>
      </c>
      <c r="I1953" s="215" t="str">
        <f t="shared" si="659"/>
        <v xml:space="preserve">   </v>
      </c>
      <c r="J1953" s="1359">
        <v>2700000</v>
      </c>
      <c r="K1953" s="1523">
        <v>43692.387442129599</v>
      </c>
      <c r="L1953" s="1359">
        <v>3750000</v>
      </c>
      <c r="M1953" s="1523">
        <v>43692.387442129599</v>
      </c>
      <c r="N1953" s="1731">
        <v>0</v>
      </c>
      <c r="O1953" s="1367"/>
      <c r="P1953" s="1731">
        <v>0</v>
      </c>
      <c r="Q1953" s="1367"/>
      <c r="R1953" s="1363" t="str">
        <f>IFERROR(VLOOKUP(C1953,BSP,3,FALSE),"  ")</f>
        <v xml:space="preserve">  </v>
      </c>
      <c r="S1953" s="1563" t="str">
        <f>IFERROR((VLOOKUP(C1953,BSP,4,FALSE)),"  ")</f>
        <v xml:space="preserve">  </v>
      </c>
      <c r="T1953" s="1363"/>
      <c r="U1953" s="1391"/>
      <c r="V1953" s="1363"/>
      <c r="W1953" s="1391"/>
      <c r="X1953" s="1363"/>
      <c r="Y1953" s="1391"/>
      <c r="Z1953" s="1363"/>
      <c r="AA1953" s="1391"/>
      <c r="AB1953" s="1731"/>
      <c r="AC1953" s="1367"/>
      <c r="AD1953" s="1666"/>
      <c r="AE1953" s="1590"/>
      <c r="AF1953" s="1666"/>
      <c r="AG1953" s="1590"/>
      <c r="AH1953" s="1625" t="str">
        <f t="shared" si="637"/>
        <v>HK-3</v>
      </c>
      <c r="AI1953" s="1675">
        <f t="shared" si="660"/>
        <v>6450000</v>
      </c>
      <c r="AJ1953" s="1675">
        <f t="shared" si="661"/>
        <v>13950000</v>
      </c>
      <c r="AK1953" s="1520">
        <f t="shared" si="666"/>
        <v>7500000</v>
      </c>
      <c r="AL1953" s="2210" t="str">
        <f t="shared" si="667"/>
        <v>Cek</v>
      </c>
      <c r="AM1953" s="1666"/>
      <c r="AN1953" s="1590"/>
      <c r="AO1953"/>
      <c r="AP1953"/>
      <c r="AQ1953" s="1128"/>
      <c r="AR1953" s="1173"/>
      <c r="AT1953" s="1173"/>
      <c r="AV1953" s="1173"/>
      <c r="AX1953" s="1173"/>
      <c r="AY1953" s="1176"/>
      <c r="AZ1953" s="1173"/>
    </row>
    <row r="1954" spans="1:52" s="2" customFormat="1" x14ac:dyDescent="0.25">
      <c r="A1954" s="694">
        <v>1802</v>
      </c>
      <c r="B1954" s="671">
        <v>8</v>
      </c>
      <c r="C1954" s="716">
        <v>839119003</v>
      </c>
      <c r="D1954" s="701" t="s">
        <v>2449</v>
      </c>
      <c r="E1954" s="264" t="s">
        <v>2442</v>
      </c>
      <c r="F1954" s="175">
        <v>2019</v>
      </c>
      <c r="G1954" s="360" t="s">
        <v>1483</v>
      </c>
      <c r="H1954" s="215" t="str">
        <f t="shared" si="658"/>
        <v xml:space="preserve">   </v>
      </c>
      <c r="I1954" s="215" t="str">
        <f t="shared" si="659"/>
        <v xml:space="preserve">   </v>
      </c>
      <c r="J1954" s="1656">
        <v>2700000</v>
      </c>
      <c r="K1954" s="2276" t="s">
        <v>2450</v>
      </c>
      <c r="L1954" s="1656">
        <v>3750000</v>
      </c>
      <c r="M1954" s="2276" t="s">
        <v>2450</v>
      </c>
      <c r="N1954" s="1731">
        <v>3750000</v>
      </c>
      <c r="O1954" s="1367">
        <v>43858.396608796298</v>
      </c>
      <c r="P1954" s="1731">
        <v>3750000</v>
      </c>
      <c r="Q1954" s="1367">
        <v>44054.357314814799</v>
      </c>
      <c r="R1954" s="1363"/>
      <c r="S1954" s="1563"/>
      <c r="T1954" s="1363"/>
      <c r="U1954" s="1391"/>
      <c r="V1954" s="1363"/>
      <c r="W1954" s="1391"/>
      <c r="X1954" s="1363"/>
      <c r="Y1954" s="1391"/>
      <c r="Z1954" s="1363"/>
      <c r="AA1954" s="1391"/>
      <c r="AB1954" s="1731"/>
      <c r="AC1954" s="1367"/>
      <c r="AD1954" s="1666"/>
      <c r="AE1954" s="1590"/>
      <c r="AF1954" s="1666"/>
      <c r="AG1954" s="1590"/>
      <c r="AH1954" s="1625" t="str">
        <f t="shared" si="637"/>
        <v>HK-3</v>
      </c>
      <c r="AI1954" s="1675">
        <f t="shared" si="660"/>
        <v>13950000</v>
      </c>
      <c r="AJ1954" s="1675">
        <f t="shared" si="661"/>
        <v>13950000</v>
      </c>
      <c r="AK1954" s="1520">
        <f t="shared" si="666"/>
        <v>0</v>
      </c>
      <c r="AL1954" s="2210" t="str">
        <f t="shared" si="667"/>
        <v>Lunas</v>
      </c>
      <c r="AM1954" s="1666"/>
      <c r="AN1954" s="1590"/>
      <c r="AO1954"/>
      <c r="AP1954"/>
      <c r="AQ1954" s="1128"/>
      <c r="AR1954" s="1173"/>
      <c r="AT1954" s="1173"/>
      <c r="AV1954" s="1173"/>
      <c r="AX1954" s="1173"/>
      <c r="AY1954" s="1176"/>
      <c r="AZ1954" s="1173"/>
    </row>
    <row r="1955" spans="1:52" s="2" customFormat="1" x14ac:dyDescent="0.25">
      <c r="A1955" s="694">
        <v>1803</v>
      </c>
      <c r="B1955" s="671">
        <v>9</v>
      </c>
      <c r="C1955" s="716">
        <v>839119002</v>
      </c>
      <c r="D1955" s="701" t="s">
        <v>2451</v>
      </c>
      <c r="E1955" s="264" t="s">
        <v>2442</v>
      </c>
      <c r="F1955" s="175">
        <v>2019</v>
      </c>
      <c r="G1955" s="360" t="s">
        <v>1483</v>
      </c>
      <c r="H1955" s="215" t="str">
        <f t="shared" si="658"/>
        <v xml:space="preserve">   </v>
      </c>
      <c r="I1955" s="215" t="str">
        <f t="shared" si="659"/>
        <v xml:space="preserve">   </v>
      </c>
      <c r="J1955" s="1359">
        <v>2700000</v>
      </c>
      <c r="K1955" s="1523">
        <v>43685.382395833301</v>
      </c>
      <c r="L1955" s="1359">
        <v>3750000</v>
      </c>
      <c r="M1955" s="1523">
        <v>43685.382395833301</v>
      </c>
      <c r="N1955" s="1731">
        <v>3750000</v>
      </c>
      <c r="O1955" s="1367">
        <v>43854.363981481503</v>
      </c>
      <c r="P1955" s="1731">
        <v>3750000</v>
      </c>
      <c r="Q1955" s="1367">
        <v>44067.343715277799</v>
      </c>
      <c r="R1955" s="1363"/>
      <c r="S1955" s="1563"/>
      <c r="T1955" s="1363"/>
      <c r="U1955" s="1391"/>
      <c r="V1955" s="1363"/>
      <c r="W1955" s="1391"/>
      <c r="X1955" s="1363"/>
      <c r="Y1955" s="1391"/>
      <c r="Z1955" s="1363"/>
      <c r="AA1955" s="1391"/>
      <c r="AB1955" s="1731"/>
      <c r="AC1955" s="1367"/>
      <c r="AD1955" s="1666"/>
      <c r="AE1955" s="1590"/>
      <c r="AF1955" s="1666"/>
      <c r="AG1955" s="1590"/>
      <c r="AH1955" s="1625" t="str">
        <f t="shared" ref="AH1955:AH2018" si="668">E1955</f>
        <v>HK-3</v>
      </c>
      <c r="AI1955" s="1675">
        <f t="shared" si="660"/>
        <v>13950000</v>
      </c>
      <c r="AJ1955" s="1675">
        <f t="shared" si="661"/>
        <v>13950000</v>
      </c>
      <c r="AK1955" s="1520">
        <f t="shared" si="666"/>
        <v>0</v>
      </c>
      <c r="AL1955" s="2210" t="str">
        <f t="shared" si="667"/>
        <v>Lunas</v>
      </c>
      <c r="AM1955" s="1666"/>
      <c r="AN1955" s="1590"/>
      <c r="AO1955"/>
      <c r="AP1955"/>
      <c r="AQ1955" s="1128"/>
      <c r="AR1955" s="1173"/>
      <c r="AT1955" s="1173"/>
      <c r="AV1955" s="1173"/>
      <c r="AX1955" s="1173"/>
      <c r="AY1955" s="1176"/>
      <c r="AZ1955" s="1173"/>
    </row>
    <row r="1956" spans="1:52" s="2" customFormat="1" x14ac:dyDescent="0.25">
      <c r="A1956" s="694">
        <v>1804</v>
      </c>
      <c r="B1956" s="671">
        <v>10</v>
      </c>
      <c r="C1956" s="716">
        <v>839119012</v>
      </c>
      <c r="D1956" s="701" t="s">
        <v>2452</v>
      </c>
      <c r="E1956" s="264" t="s">
        <v>2442</v>
      </c>
      <c r="F1956" s="175">
        <v>2019</v>
      </c>
      <c r="G1956" s="360" t="s">
        <v>1483</v>
      </c>
      <c r="H1956" s="215" t="str">
        <f t="shared" si="658"/>
        <v xml:space="preserve">   </v>
      </c>
      <c r="I1956" s="215" t="str">
        <f t="shared" si="659"/>
        <v xml:space="preserve">   </v>
      </c>
      <c r="J1956" s="1359">
        <v>2700000</v>
      </c>
      <c r="K1956" s="1523">
        <v>43692.336377314801</v>
      </c>
      <c r="L1956" s="1359">
        <v>3750000</v>
      </c>
      <c r="M1956" s="1523">
        <v>43692.336377314801</v>
      </c>
      <c r="N1956" s="1731">
        <v>3750000</v>
      </c>
      <c r="O1956" s="1367">
        <v>43861.542326388902</v>
      </c>
      <c r="P1956" s="1731">
        <v>3750000</v>
      </c>
      <c r="Q1956" s="1367">
        <v>44069.378912036998</v>
      </c>
      <c r="R1956" s="1363"/>
      <c r="S1956" s="1563"/>
      <c r="T1956" s="1363"/>
      <c r="U1956" s="1391"/>
      <c r="V1956" s="1363"/>
      <c r="W1956" s="1391"/>
      <c r="X1956" s="1363"/>
      <c r="Y1956" s="1391"/>
      <c r="Z1956" s="1363"/>
      <c r="AA1956" s="1391"/>
      <c r="AB1956" s="1731"/>
      <c r="AC1956" s="1367"/>
      <c r="AD1956" s="1666"/>
      <c r="AE1956" s="1590"/>
      <c r="AF1956" s="1666"/>
      <c r="AG1956" s="1590"/>
      <c r="AH1956" s="1625" t="str">
        <f t="shared" si="668"/>
        <v>HK-3</v>
      </c>
      <c r="AI1956" s="1675">
        <f t="shared" si="660"/>
        <v>13950000</v>
      </c>
      <c r="AJ1956" s="1675">
        <f t="shared" si="661"/>
        <v>13950000</v>
      </c>
      <c r="AK1956" s="1520">
        <f t="shared" si="666"/>
        <v>0</v>
      </c>
      <c r="AL1956" s="2210" t="str">
        <f t="shared" si="667"/>
        <v>Lunas</v>
      </c>
      <c r="AM1956" s="1666"/>
      <c r="AN1956" s="1590"/>
      <c r="AO1956"/>
      <c r="AP1956"/>
      <c r="AQ1956" s="1128"/>
      <c r="AR1956" s="1173"/>
      <c r="AT1956" s="1173"/>
      <c r="AV1956" s="1173"/>
      <c r="AX1956" s="1173"/>
      <c r="AY1956" s="1176"/>
      <c r="AZ1956" s="1173"/>
    </row>
    <row r="1957" spans="1:52" s="2" customFormat="1" x14ac:dyDescent="0.25">
      <c r="A1957" s="694">
        <v>1805</v>
      </c>
      <c r="B1957" s="671">
        <v>11</v>
      </c>
      <c r="C1957" s="716">
        <v>839119007</v>
      </c>
      <c r="D1957" s="701" t="s">
        <v>2453</v>
      </c>
      <c r="E1957" s="264" t="s">
        <v>2442</v>
      </c>
      <c r="F1957" s="175">
        <v>2019</v>
      </c>
      <c r="G1957" s="360" t="s">
        <v>1483</v>
      </c>
      <c r="H1957" s="727" t="str">
        <f t="shared" si="658"/>
        <v xml:space="preserve">   </v>
      </c>
      <c r="I1957" s="727" t="str">
        <f t="shared" si="659"/>
        <v xml:space="preserve">   </v>
      </c>
      <c r="J1957" s="1359">
        <v>2700000</v>
      </c>
      <c r="K1957" s="1523">
        <v>43682.377800925897</v>
      </c>
      <c r="L1957" s="1359">
        <v>3750000</v>
      </c>
      <c r="M1957" s="1523">
        <v>43682.377800925897</v>
      </c>
      <c r="N1957" s="1731">
        <v>3750000</v>
      </c>
      <c r="O1957" s="1367">
        <v>43853.385590277801</v>
      </c>
      <c r="P1957" s="1731">
        <v>3750000</v>
      </c>
      <c r="Q1957" s="1367">
        <v>44057.436874999999</v>
      </c>
      <c r="R1957" s="1363"/>
      <c r="S1957" s="1563"/>
      <c r="T1957" s="1363"/>
      <c r="U1957" s="1391"/>
      <c r="V1957" s="1363"/>
      <c r="W1957" s="1391"/>
      <c r="X1957" s="1363"/>
      <c r="Y1957" s="1391"/>
      <c r="Z1957" s="1363"/>
      <c r="AA1957" s="1391"/>
      <c r="AB1957" s="1731"/>
      <c r="AC1957" s="1367"/>
      <c r="AD1957" s="1666"/>
      <c r="AE1957" s="1590"/>
      <c r="AF1957" s="1666"/>
      <c r="AG1957" s="1590"/>
      <c r="AH1957" s="1626" t="str">
        <f t="shared" si="668"/>
        <v>HK-3</v>
      </c>
      <c r="AI1957" s="1675">
        <f t="shared" si="660"/>
        <v>13950000</v>
      </c>
      <c r="AJ1957" s="1675">
        <f t="shared" si="661"/>
        <v>13950000</v>
      </c>
      <c r="AK1957" s="1520">
        <f t="shared" si="666"/>
        <v>0</v>
      </c>
      <c r="AL1957" s="2210" t="str">
        <f t="shared" si="667"/>
        <v>Lunas</v>
      </c>
      <c r="AM1957" s="1666"/>
      <c r="AN1957" s="1590"/>
      <c r="AO1957"/>
      <c r="AP1957"/>
      <c r="AQ1957" s="1128"/>
      <c r="AR1957" s="1173"/>
      <c r="AT1957" s="1173"/>
      <c r="AV1957" s="1173"/>
      <c r="AX1957" s="1173"/>
      <c r="AY1957" s="1176"/>
      <c r="AZ1957" s="1173"/>
    </row>
    <row r="1958" spans="1:52" s="2" customFormat="1" x14ac:dyDescent="0.25">
      <c r="A1958" s="694">
        <v>1806</v>
      </c>
      <c r="B1958" s="671">
        <v>12</v>
      </c>
      <c r="C1958" s="716">
        <v>839119013</v>
      </c>
      <c r="D1958" s="701" t="s">
        <v>2454</v>
      </c>
      <c r="E1958" s="264" t="s">
        <v>2442</v>
      </c>
      <c r="F1958" s="175">
        <v>2019</v>
      </c>
      <c r="G1958" s="360" t="s">
        <v>1483</v>
      </c>
      <c r="H1958" s="215" t="str">
        <f t="shared" si="658"/>
        <v xml:space="preserve">   </v>
      </c>
      <c r="I1958" s="215" t="str">
        <f t="shared" si="659"/>
        <v xml:space="preserve">   </v>
      </c>
      <c r="J1958" s="1359">
        <v>2700000</v>
      </c>
      <c r="K1958" s="1523">
        <v>43692.3883333333</v>
      </c>
      <c r="L1958" s="1359">
        <v>3750000</v>
      </c>
      <c r="M1958" s="1523">
        <v>43692.3883333333</v>
      </c>
      <c r="N1958" s="1731">
        <v>3750000</v>
      </c>
      <c r="O1958" s="1367">
        <v>43861.855937499997</v>
      </c>
      <c r="P1958" s="1731">
        <v>3750000</v>
      </c>
      <c r="Q1958" s="1367">
        <v>44071.579814814802</v>
      </c>
      <c r="R1958" s="1363"/>
      <c r="S1958" s="1563"/>
      <c r="T1958" s="1363"/>
      <c r="U1958" s="1391"/>
      <c r="V1958" s="1363"/>
      <c r="W1958" s="1391"/>
      <c r="X1958" s="1363"/>
      <c r="Y1958" s="1391"/>
      <c r="Z1958" s="1363"/>
      <c r="AA1958" s="1391"/>
      <c r="AB1958" s="1731"/>
      <c r="AC1958" s="1367"/>
      <c r="AD1958" s="1666"/>
      <c r="AE1958" s="1590"/>
      <c r="AF1958" s="1666"/>
      <c r="AG1958" s="1590"/>
      <c r="AH1958" s="1625" t="str">
        <f t="shared" si="668"/>
        <v>HK-3</v>
      </c>
      <c r="AI1958" s="1675">
        <f t="shared" si="660"/>
        <v>13950000</v>
      </c>
      <c r="AJ1958" s="1675">
        <f t="shared" si="661"/>
        <v>13950000</v>
      </c>
      <c r="AK1958" s="1520">
        <f t="shared" si="666"/>
        <v>0</v>
      </c>
      <c r="AL1958" s="2210" t="str">
        <f t="shared" si="667"/>
        <v>Lunas</v>
      </c>
      <c r="AM1958" s="1666"/>
      <c r="AN1958" s="1590"/>
      <c r="AO1958"/>
      <c r="AP1958"/>
      <c r="AQ1958" s="1128"/>
      <c r="AR1958" s="1173"/>
      <c r="AT1958" s="1173"/>
      <c r="AV1958" s="1173"/>
      <c r="AX1958" s="1173"/>
      <c r="AY1958" s="1176"/>
      <c r="AZ1958" s="1173"/>
    </row>
    <row r="1959" spans="1:52" s="2" customFormat="1" x14ac:dyDescent="0.25">
      <c r="A1959" s="694">
        <v>1807</v>
      </c>
      <c r="B1959" s="671">
        <v>13</v>
      </c>
      <c r="C1959" s="716">
        <v>839119004</v>
      </c>
      <c r="D1959" s="701" t="s">
        <v>2455</v>
      </c>
      <c r="E1959" s="264" t="s">
        <v>2442</v>
      </c>
      <c r="F1959" s="175">
        <v>2019</v>
      </c>
      <c r="G1959" s="360" t="s">
        <v>1483</v>
      </c>
      <c r="H1959" s="215" t="str">
        <f t="shared" si="658"/>
        <v xml:space="preserve">   </v>
      </c>
      <c r="I1959" s="215" t="str">
        <f t="shared" si="659"/>
        <v xml:space="preserve">   </v>
      </c>
      <c r="J1959" s="1359">
        <v>2700000</v>
      </c>
      <c r="K1959" s="1523">
        <v>43689.407291666699</v>
      </c>
      <c r="L1959" s="1359">
        <v>3750000</v>
      </c>
      <c r="M1959" s="1523">
        <v>43689.407291666699</v>
      </c>
      <c r="N1959" s="1731">
        <v>3750000</v>
      </c>
      <c r="O1959" s="1367">
        <v>43853.4523611111</v>
      </c>
      <c r="P1959" s="1731">
        <v>3750000</v>
      </c>
      <c r="Q1959" s="1367">
        <v>44070.410555555602</v>
      </c>
      <c r="R1959" s="1363"/>
      <c r="S1959" s="1563"/>
      <c r="T1959" s="1363"/>
      <c r="U1959" s="1391"/>
      <c r="V1959" s="1363"/>
      <c r="W1959" s="1391"/>
      <c r="X1959" s="1363"/>
      <c r="Y1959" s="1391"/>
      <c r="Z1959" s="1363"/>
      <c r="AA1959" s="1391"/>
      <c r="AB1959" s="1731"/>
      <c r="AC1959" s="1367"/>
      <c r="AD1959" s="1666"/>
      <c r="AE1959" s="1590"/>
      <c r="AF1959" s="1666"/>
      <c r="AG1959" s="1590"/>
      <c r="AH1959" s="1625" t="str">
        <f t="shared" si="668"/>
        <v>HK-3</v>
      </c>
      <c r="AI1959" s="1675">
        <f t="shared" si="660"/>
        <v>13950000</v>
      </c>
      <c r="AJ1959" s="1675">
        <f t="shared" si="661"/>
        <v>13950000</v>
      </c>
      <c r="AK1959" s="1520">
        <f t="shared" si="666"/>
        <v>0</v>
      </c>
      <c r="AL1959" s="2210" t="str">
        <f t="shared" si="667"/>
        <v>Lunas</v>
      </c>
      <c r="AM1959" s="1666"/>
      <c r="AN1959" s="1590"/>
      <c r="AO1959"/>
      <c r="AP1959"/>
      <c r="AQ1959" s="1128"/>
      <c r="AR1959" s="1173"/>
      <c r="AT1959" s="1173"/>
      <c r="AV1959" s="1173"/>
      <c r="AX1959" s="1173"/>
      <c r="AY1959" s="1176"/>
      <c r="AZ1959" s="1173"/>
    </row>
    <row r="1960" spans="1:52" s="2" customFormat="1" x14ac:dyDescent="0.25">
      <c r="A1960" s="694">
        <v>1808</v>
      </c>
      <c r="B1960" s="671">
        <v>14</v>
      </c>
      <c r="C1960" s="716">
        <v>839119001</v>
      </c>
      <c r="D1960" s="701" t="s">
        <v>2456</v>
      </c>
      <c r="E1960" s="264" t="s">
        <v>2442</v>
      </c>
      <c r="F1960" s="175">
        <v>2019</v>
      </c>
      <c r="G1960" s="360" t="s">
        <v>1483</v>
      </c>
      <c r="H1960" s="215" t="str">
        <f t="shared" si="658"/>
        <v xml:space="preserve">   </v>
      </c>
      <c r="I1960" s="215" t="str">
        <f t="shared" si="659"/>
        <v xml:space="preserve">   </v>
      </c>
      <c r="J1960" s="1359">
        <v>2700000</v>
      </c>
      <c r="K1960" s="1523">
        <v>43679.427013888897</v>
      </c>
      <c r="L1960" s="1359">
        <v>3750000</v>
      </c>
      <c r="M1960" s="1523">
        <v>43679.427013888897</v>
      </c>
      <c r="N1960" s="1731">
        <v>3750000</v>
      </c>
      <c r="O1960" s="1367">
        <v>43853.442847222199</v>
      </c>
      <c r="P1960" s="1731">
        <v>3750000</v>
      </c>
      <c r="Q1960" s="1367">
        <v>44047.445752314801</v>
      </c>
      <c r="R1960" s="1363"/>
      <c r="S1960" s="1563"/>
      <c r="T1960" s="1363"/>
      <c r="U1960" s="1391"/>
      <c r="V1960" s="1363"/>
      <c r="W1960" s="1391"/>
      <c r="X1960" s="1363"/>
      <c r="Y1960" s="1391"/>
      <c r="Z1960" s="1363"/>
      <c r="AA1960" s="1391"/>
      <c r="AB1960" s="1731">
        <v>1000000</v>
      </c>
      <c r="AC1960" s="1367">
        <v>44173</v>
      </c>
      <c r="AD1960" s="1666"/>
      <c r="AE1960" s="1590"/>
      <c r="AF1960" s="1666"/>
      <c r="AG1960" s="1590"/>
      <c r="AH1960" s="1625" t="str">
        <f t="shared" si="668"/>
        <v>HK-3</v>
      </c>
      <c r="AI1960" s="1675">
        <f t="shared" si="660"/>
        <v>14950000</v>
      </c>
      <c r="AJ1960" s="1675">
        <f t="shared" si="661"/>
        <v>14950000</v>
      </c>
      <c r="AK1960" s="1520">
        <f t="shared" si="666"/>
        <v>0</v>
      </c>
      <c r="AL1960" s="2210" t="str">
        <f t="shared" si="667"/>
        <v>Lunas</v>
      </c>
      <c r="AM1960" s="1666"/>
      <c r="AN1960" s="1590"/>
      <c r="AO1960"/>
      <c r="AP1960"/>
      <c r="AQ1960" s="1128"/>
      <c r="AR1960" s="1173"/>
      <c r="AT1960" s="1173"/>
      <c r="AV1960" s="1173"/>
      <c r="AX1960" s="1173"/>
      <c r="AY1960" s="1176"/>
      <c r="AZ1960" s="1173"/>
    </row>
    <row r="1961" spans="1:52" s="2" customFormat="1" x14ac:dyDescent="0.25">
      <c r="A1961" s="694">
        <v>1809</v>
      </c>
      <c r="B1961" s="671">
        <v>15</v>
      </c>
      <c r="C1961" s="716">
        <v>839119009</v>
      </c>
      <c r="D1961" s="701" t="s">
        <v>2457</v>
      </c>
      <c r="E1961" s="264" t="s">
        <v>2442</v>
      </c>
      <c r="F1961" s="175">
        <v>2019</v>
      </c>
      <c r="G1961" s="360" t="s">
        <v>1483</v>
      </c>
      <c r="H1961" s="215" t="str">
        <f t="shared" si="658"/>
        <v xml:space="preserve">   </v>
      </c>
      <c r="I1961" s="215" t="str">
        <f t="shared" si="659"/>
        <v xml:space="preserve">   </v>
      </c>
      <c r="J1961" s="1359">
        <v>2700000</v>
      </c>
      <c r="K1961" s="1523">
        <v>43691.416597222204</v>
      </c>
      <c r="L1961" s="1359">
        <v>3750000</v>
      </c>
      <c r="M1961" s="1523">
        <v>43691.416597222204</v>
      </c>
      <c r="N1961" s="1731">
        <v>3750000</v>
      </c>
      <c r="O1961" s="1367">
        <v>43854.566493055601</v>
      </c>
      <c r="P1961" s="1731">
        <v>3750000</v>
      </c>
      <c r="Q1961" s="1367">
        <v>44071.364652777796</v>
      </c>
      <c r="R1961" s="1363"/>
      <c r="S1961" s="1563"/>
      <c r="T1961" s="1363"/>
      <c r="U1961" s="1391"/>
      <c r="V1961" s="1363"/>
      <c r="W1961" s="1391"/>
      <c r="X1961" s="1363"/>
      <c r="Y1961" s="1391"/>
      <c r="Z1961" s="1363"/>
      <c r="AA1961" s="1391"/>
      <c r="AB1961" s="1731"/>
      <c r="AC1961" s="1367"/>
      <c r="AD1961" s="1666"/>
      <c r="AE1961" s="1590"/>
      <c r="AF1961" s="1666"/>
      <c r="AG1961" s="1590"/>
      <c r="AH1961" s="1625" t="str">
        <f t="shared" si="668"/>
        <v>HK-3</v>
      </c>
      <c r="AI1961" s="1675">
        <f t="shared" si="660"/>
        <v>13950000</v>
      </c>
      <c r="AJ1961" s="1675">
        <f t="shared" si="661"/>
        <v>13950000</v>
      </c>
      <c r="AK1961" s="1520">
        <f t="shared" si="666"/>
        <v>0</v>
      </c>
      <c r="AL1961" s="2210" t="str">
        <f t="shared" si="667"/>
        <v>Lunas</v>
      </c>
      <c r="AM1961" s="1666"/>
      <c r="AN1961" s="1590"/>
      <c r="AO1961"/>
      <c r="AP1961"/>
      <c r="AQ1961" s="1128"/>
      <c r="AR1961" s="1173"/>
      <c r="AT1961" s="1173"/>
      <c r="AV1961" s="1173"/>
      <c r="AX1961" s="1173"/>
      <c r="AY1961" s="1176"/>
      <c r="AZ1961" s="1173"/>
    </row>
    <row r="1962" spans="1:52" s="2" customFormat="1" x14ac:dyDescent="0.25">
      <c r="A1962" s="694">
        <v>1810</v>
      </c>
      <c r="B1962" s="671">
        <v>16</v>
      </c>
      <c r="C1962" s="716">
        <v>839119010</v>
      </c>
      <c r="D1962" s="701" t="s">
        <v>2458</v>
      </c>
      <c r="E1962" s="264" t="s">
        <v>2442</v>
      </c>
      <c r="F1962" s="175">
        <v>2019</v>
      </c>
      <c r="G1962" s="360" t="s">
        <v>1483</v>
      </c>
      <c r="H1962" s="727" t="str">
        <f t="shared" si="658"/>
        <v xml:space="preserve">   </v>
      </c>
      <c r="I1962" s="727" t="str">
        <f t="shared" si="659"/>
        <v xml:space="preserve">   </v>
      </c>
      <c r="J1962" s="1359">
        <v>2700000</v>
      </c>
      <c r="K1962" s="1523">
        <v>43691.569930555597</v>
      </c>
      <c r="L1962" s="1359">
        <v>3750000</v>
      </c>
      <c r="M1962" s="1523">
        <v>43691.569930555597</v>
      </c>
      <c r="N1962" s="1731">
        <v>3750000</v>
      </c>
      <c r="O1962" s="1367">
        <v>43861.435289351903</v>
      </c>
      <c r="P1962" s="1731">
        <v>3750000</v>
      </c>
      <c r="Q1962" s="1367">
        <v>44071.388229166703</v>
      </c>
      <c r="R1962" s="1363"/>
      <c r="S1962" s="1563"/>
      <c r="T1962" s="1363"/>
      <c r="U1962" s="1391"/>
      <c r="V1962" s="1363"/>
      <c r="W1962" s="1391"/>
      <c r="X1962" s="1363"/>
      <c r="Y1962" s="1391"/>
      <c r="Z1962" s="1363"/>
      <c r="AA1962" s="1391"/>
      <c r="AB1962" s="1731"/>
      <c r="AC1962" s="1367"/>
      <c r="AD1962" s="1666"/>
      <c r="AE1962" s="1590"/>
      <c r="AF1962" s="1666"/>
      <c r="AG1962" s="1590"/>
      <c r="AH1962" s="1626" t="str">
        <f t="shared" si="668"/>
        <v>HK-3</v>
      </c>
      <c r="AI1962" s="1675">
        <f t="shared" si="660"/>
        <v>13950000</v>
      </c>
      <c r="AJ1962" s="1675">
        <f t="shared" si="661"/>
        <v>13950000</v>
      </c>
      <c r="AK1962" s="1520">
        <f t="shared" si="666"/>
        <v>0</v>
      </c>
      <c r="AL1962" s="2210" t="str">
        <f t="shared" si="667"/>
        <v>Lunas</v>
      </c>
      <c r="AM1962" s="1666"/>
      <c r="AN1962" s="1590"/>
      <c r="AO1962"/>
      <c r="AP1962"/>
      <c r="AQ1962" s="1128"/>
      <c r="AR1962" s="1173"/>
      <c r="AT1962" s="1173"/>
      <c r="AV1962" s="1173"/>
      <c r="AX1962" s="1173"/>
      <c r="AY1962" s="1176"/>
      <c r="AZ1962" s="1173"/>
    </row>
    <row r="1963" spans="1:52" s="2" customFormat="1" x14ac:dyDescent="0.25">
      <c r="A1963" s="694">
        <v>1811</v>
      </c>
      <c r="B1963" s="671">
        <v>17</v>
      </c>
      <c r="C1963" s="716">
        <v>839119017</v>
      </c>
      <c r="D1963" s="701" t="s">
        <v>2459</v>
      </c>
      <c r="E1963" s="264" t="s">
        <v>2442</v>
      </c>
      <c r="F1963" s="175">
        <v>2019</v>
      </c>
      <c r="G1963" s="1758" t="s">
        <v>28</v>
      </c>
      <c r="H1963" s="727" t="str">
        <f t="shared" si="658"/>
        <v xml:space="preserve">   </v>
      </c>
      <c r="I1963" s="727" t="str">
        <f t="shared" si="659"/>
        <v xml:space="preserve">   </v>
      </c>
      <c r="J1963" s="1359">
        <v>2700000</v>
      </c>
      <c r="K1963" s="1523">
        <v>43691.5632638889</v>
      </c>
      <c r="L1963" s="1359">
        <v>3750000</v>
      </c>
      <c r="M1963" s="1523">
        <v>43691.5632638889</v>
      </c>
      <c r="N1963" s="1731">
        <v>3750000</v>
      </c>
      <c r="O1963" s="2275">
        <v>43864</v>
      </c>
      <c r="P1963" s="1731">
        <v>0</v>
      </c>
      <c r="Q1963" s="1367"/>
      <c r="R1963" s="1363" t="str">
        <f>IFERROR(VLOOKUP(C1963,BSP,3,FALSE),"  ")</f>
        <v xml:space="preserve">  </v>
      </c>
      <c r="S1963" s="1563" t="str">
        <f>IFERROR((VLOOKUP(C1963,BSP,4,FALSE)),"  ")</f>
        <v xml:space="preserve">  </v>
      </c>
      <c r="T1963" s="1363"/>
      <c r="U1963" s="1391"/>
      <c r="V1963" s="1363"/>
      <c r="W1963" s="1391"/>
      <c r="X1963" s="1363"/>
      <c r="Y1963" s="1391"/>
      <c r="Z1963" s="1363"/>
      <c r="AA1963" s="1391"/>
      <c r="AB1963" s="1731"/>
      <c r="AC1963" s="1367"/>
      <c r="AD1963" s="1666"/>
      <c r="AE1963" s="1590"/>
      <c r="AF1963" s="1666"/>
      <c r="AG1963" s="1590"/>
      <c r="AH1963" s="1626" t="str">
        <f t="shared" si="668"/>
        <v>HK-3</v>
      </c>
      <c r="AI1963" s="1675">
        <f t="shared" si="660"/>
        <v>10200000</v>
      </c>
      <c r="AJ1963" s="1675">
        <f t="shared" si="661"/>
        <v>13950000</v>
      </c>
      <c r="AK1963" s="1520">
        <f t="shared" si="666"/>
        <v>3750000</v>
      </c>
      <c r="AL1963" s="2210" t="str">
        <f t="shared" si="667"/>
        <v>Cek</v>
      </c>
      <c r="AM1963" s="1666"/>
      <c r="AN1963" s="1590"/>
      <c r="AO1963"/>
      <c r="AP1963"/>
      <c r="AQ1963" s="1128"/>
      <c r="AR1963" s="1173"/>
      <c r="AT1963" s="1173"/>
      <c r="AV1963" s="1173"/>
      <c r="AX1963" s="1173"/>
      <c r="AY1963" s="1176"/>
      <c r="AZ1963" s="1173"/>
    </row>
    <row r="1964" spans="1:52" s="2" customFormat="1" x14ac:dyDescent="0.25">
      <c r="A1964" s="725"/>
      <c r="B1964" s="725"/>
      <c r="C1964" s="33"/>
      <c r="D1964" s="123"/>
      <c r="E1964" s="123"/>
      <c r="F1964" s="120" t="s">
        <v>61</v>
      </c>
      <c r="G1964" s="123"/>
      <c r="H1964" s="124"/>
      <c r="I1964" s="124"/>
      <c r="J1964" s="1212"/>
      <c r="K1964" s="2252"/>
      <c r="L1964" s="2253"/>
      <c r="M1964" s="1436"/>
      <c r="N1964" s="2253"/>
      <c r="O1964" s="2252"/>
      <c r="P1964" s="2253"/>
      <c r="Q1964" s="2252"/>
      <c r="R1964" s="2253"/>
      <c r="S1964" s="2261"/>
      <c r="T1964" s="2253"/>
      <c r="U1964" s="2252"/>
      <c r="V1964" s="2253"/>
      <c r="W1964" s="2252"/>
      <c r="X1964" s="2253"/>
      <c r="Y1964" s="2252"/>
      <c r="Z1964" s="2253"/>
      <c r="AA1964" s="2252"/>
      <c r="AB1964" s="2268"/>
      <c r="AC1964" s="2252"/>
      <c r="AD1964" s="747"/>
      <c r="AE1964" s="1155"/>
      <c r="AF1964" s="747"/>
      <c r="AG1964" s="1155"/>
      <c r="AH1964" s="1168">
        <f t="shared" si="668"/>
        <v>0</v>
      </c>
      <c r="AI1964" s="747"/>
      <c r="AJ1964" s="747"/>
      <c r="AK1964" s="747"/>
      <c r="AL1964" s="1170"/>
      <c r="AM1964" s="1170"/>
      <c r="AN1964" s="1209"/>
      <c r="AO1964" s="1170"/>
      <c r="AP1964" s="1209"/>
      <c r="AQ1964" s="1128"/>
      <c r="AR1964" s="1173"/>
      <c r="AT1964" s="1173"/>
      <c r="AV1964" s="1173"/>
      <c r="AX1964" s="1173"/>
      <c r="AY1964" s="1176"/>
      <c r="AZ1964" s="1173"/>
    </row>
    <row r="1965" spans="1:52" s="2" customFormat="1" x14ac:dyDescent="0.25">
      <c r="A1965" s="625" t="s">
        <v>2460</v>
      </c>
      <c r="B1965" s="625"/>
      <c r="C1965" s="366"/>
      <c r="D1965" s="625"/>
      <c r="E1965" s="198" t="s">
        <v>1096</v>
      </c>
      <c r="F1965" s="199" t="s">
        <v>1096</v>
      </c>
      <c r="G1965" s="565">
        <v>3750000</v>
      </c>
      <c r="H1965" s="147" t="str">
        <f t="shared" ref="H1965:H1976" si="669">IFERROR(VLOOKUP(C1965,Tlus,3,FALSE),"   ")</f>
        <v xml:space="preserve">   </v>
      </c>
      <c r="I1965" s="147" t="str">
        <f t="shared" ref="I1965:I1976" si="670">IFERROR(VLOOKUP(C1965,Wis,4,FALSE),"   ")</f>
        <v xml:space="preserve">   </v>
      </c>
      <c r="J1965" s="2035">
        <v>2700000</v>
      </c>
      <c r="K1965" s="2036"/>
      <c r="L1965" s="2163" t="s">
        <v>1049</v>
      </c>
      <c r="M1965" s="2164" t="s">
        <v>1463</v>
      </c>
      <c r="N1965" s="2163" t="s">
        <v>1051</v>
      </c>
      <c r="O1965" s="2164" t="s">
        <v>1464</v>
      </c>
      <c r="P1965" s="2016" t="s">
        <v>1053</v>
      </c>
      <c r="Q1965" s="1438" t="s">
        <v>1466</v>
      </c>
      <c r="R1965" s="2016" t="s">
        <v>1055</v>
      </c>
      <c r="S1965" s="1438" t="s">
        <v>1468</v>
      </c>
      <c r="T1965" s="2016" t="s">
        <v>1057</v>
      </c>
      <c r="U1965" s="1438" t="s">
        <v>1470</v>
      </c>
      <c r="V1965" s="2016" t="s">
        <v>1059</v>
      </c>
      <c r="W1965" s="1438" t="s">
        <v>1718</v>
      </c>
      <c r="X1965" s="1582" t="s">
        <v>1061</v>
      </c>
      <c r="Y1965" s="1438" t="s">
        <v>1719</v>
      </c>
      <c r="Z1965" s="1582" t="s">
        <v>1063</v>
      </c>
      <c r="AA1965" s="1438" t="s">
        <v>1980</v>
      </c>
      <c r="AB1965" s="2177">
        <v>1000000</v>
      </c>
      <c r="AC1965" s="2178" t="s">
        <v>2015</v>
      </c>
      <c r="AD1965" s="1450">
        <v>1200000</v>
      </c>
      <c r="AE1965" s="1663" t="s">
        <v>2016</v>
      </c>
      <c r="AF1965" s="1450">
        <v>1600000</v>
      </c>
      <c r="AG1965" s="1663" t="s">
        <v>1326</v>
      </c>
      <c r="AH1965" s="1408" t="str">
        <f t="shared" si="668"/>
        <v>#</v>
      </c>
      <c r="AI1965" s="1512"/>
      <c r="AJ1965" s="1409"/>
      <c r="AK1965" s="1409"/>
      <c r="AL1965" s="1513"/>
      <c r="AM1965" s="1450">
        <v>500000</v>
      </c>
      <c r="AN1965" s="1663" t="s">
        <v>22</v>
      </c>
      <c r="AO1965"/>
      <c r="AP1965"/>
      <c r="AQ1965" s="1128"/>
      <c r="AR1965" s="1173"/>
      <c r="AT1965" s="1173"/>
      <c r="AV1965" s="1173"/>
      <c r="AX1965" s="1173"/>
      <c r="AY1965" s="1176"/>
      <c r="AZ1965" s="1173"/>
    </row>
    <row r="1966" spans="1:52" s="2" customFormat="1" x14ac:dyDescent="0.25">
      <c r="A1966" s="694">
        <v>1812</v>
      </c>
      <c r="B1966" s="695">
        <v>1</v>
      </c>
      <c r="C1966" s="714">
        <v>829119011</v>
      </c>
      <c r="D1966" s="713" t="s">
        <v>2461</v>
      </c>
      <c r="E1966" s="326" t="s">
        <v>2260</v>
      </c>
      <c r="F1966" s="175">
        <v>2019</v>
      </c>
      <c r="G1966" s="699" t="s">
        <v>1483</v>
      </c>
      <c r="H1966" s="715" t="str">
        <f t="shared" si="669"/>
        <v xml:space="preserve">   </v>
      </c>
      <c r="I1966" s="715" t="str">
        <f t="shared" si="670"/>
        <v xml:space="preserve">   </v>
      </c>
      <c r="J1966" s="1780">
        <v>2700000</v>
      </c>
      <c r="K1966" s="1727">
        <v>43696.455567129597</v>
      </c>
      <c r="L1966" s="1941">
        <v>3750000</v>
      </c>
      <c r="M1966" s="1727">
        <v>43696.455567129597</v>
      </c>
      <c r="N1966" s="2170">
        <v>3750000</v>
      </c>
      <c r="O1966" s="2054">
        <v>43860.526678240698</v>
      </c>
      <c r="P1966" s="1731">
        <v>3750000</v>
      </c>
      <c r="Q1966" s="1367">
        <v>44057.601053240702</v>
      </c>
      <c r="R1966" s="1941"/>
      <c r="S1966" s="1955"/>
      <c r="T1966" s="1941"/>
      <c r="U1966" s="1954"/>
      <c r="V1966" s="1941"/>
      <c r="W1966" s="1954"/>
      <c r="X1966" s="1941"/>
      <c r="Y1966" s="1954"/>
      <c r="Z1966" s="1941"/>
      <c r="AA1966" s="1954"/>
      <c r="AB1966" s="1666"/>
      <c r="AC1966" s="1590"/>
      <c r="AD1966" s="1666"/>
      <c r="AE1966" s="1590"/>
      <c r="AF1966" s="1666"/>
      <c r="AG1966" s="1590"/>
      <c r="AH1966" s="1625" t="str">
        <f t="shared" si="668"/>
        <v>KPI-3</v>
      </c>
      <c r="AI1966" s="1675">
        <f t="shared" ref="AI1966:AI1976" si="671">SUM(J1966,L1966,N1966,P1966,R1966,T1966,V1966,X1966,Z1966,AB1966,AD1966,AF1966,AM1966)</f>
        <v>13950000</v>
      </c>
      <c r="AJ1966" s="1675">
        <f t="shared" ref="AJ1966:AJ1976" si="672">(COUNT(L1966,N1966,P1966,R1966,T1966,V1966,X1966,Z1966)*$G$1507)+(COUNT(J1966)*$J$1507)+(COUNT(AB1966)*$AB$1507)+(COUNT(AD1966)*$AD$1507)+(COUNT(AF1966)*$AF$1507)+(COUNT(AM1966)*$AM$1507)</f>
        <v>13950000</v>
      </c>
      <c r="AK1966" s="1520">
        <f t="shared" ref="AK1966" si="673">AJ1966-AI1966</f>
        <v>0</v>
      </c>
      <c r="AL1966" s="2187" t="str">
        <f t="shared" ref="AL1966" si="674">IF(AK1966=0,"Lunas","Cek")</f>
        <v>Lunas</v>
      </c>
      <c r="AM1966" s="1666"/>
      <c r="AN1966" s="1590"/>
      <c r="AO1966"/>
      <c r="AP1966"/>
      <c r="AQ1966" s="1128"/>
      <c r="AR1966" s="1173"/>
      <c r="AT1966" s="1173"/>
      <c r="AV1966" s="1173"/>
      <c r="AX1966" s="1173"/>
      <c r="AY1966" s="1176"/>
      <c r="AZ1966" s="1173"/>
    </row>
    <row r="1967" spans="1:52" s="2" customFormat="1" x14ac:dyDescent="0.25">
      <c r="A1967" s="694">
        <v>1813</v>
      </c>
      <c r="B1967" s="671">
        <v>2</v>
      </c>
      <c r="C1967" s="716">
        <v>829119005</v>
      </c>
      <c r="D1967" s="701" t="s">
        <v>2462</v>
      </c>
      <c r="E1967" s="264" t="s">
        <v>2260</v>
      </c>
      <c r="F1967" s="175">
        <v>2019</v>
      </c>
      <c r="G1967" s="360" t="s">
        <v>1483</v>
      </c>
      <c r="H1967" s="215" t="str">
        <f t="shared" si="669"/>
        <v xml:space="preserve">   </v>
      </c>
      <c r="I1967" s="215" t="str">
        <f t="shared" si="670"/>
        <v xml:space="preserve">   </v>
      </c>
      <c r="J1967" s="1359">
        <v>2700000</v>
      </c>
      <c r="K1967" s="1523">
        <v>43692.393171296302</v>
      </c>
      <c r="L1967" s="1359">
        <v>3750000</v>
      </c>
      <c r="M1967" s="1523">
        <v>43692.393171296302</v>
      </c>
      <c r="N1967" s="1731">
        <v>3750000</v>
      </c>
      <c r="O1967" s="1367">
        <v>43860.404814814799</v>
      </c>
      <c r="P1967" s="1731">
        <v>3750000</v>
      </c>
      <c r="Q1967" s="1367">
        <v>44061.391967592601</v>
      </c>
      <c r="R1967" s="1363"/>
      <c r="S1967" s="1563"/>
      <c r="T1967" s="1363"/>
      <c r="U1967" s="1391"/>
      <c r="V1967" s="1363"/>
      <c r="W1967" s="1391"/>
      <c r="X1967" s="1363"/>
      <c r="Y1967" s="1391"/>
      <c r="Z1967" s="1363"/>
      <c r="AA1967" s="1391"/>
      <c r="AB1967" s="1731"/>
      <c r="AC1967" s="1367"/>
      <c r="AD1967" s="1666"/>
      <c r="AE1967" s="1590"/>
      <c r="AF1967" s="1666"/>
      <c r="AG1967" s="1590"/>
      <c r="AH1967" s="1625" t="str">
        <f t="shared" si="668"/>
        <v>KPI-3</v>
      </c>
      <c r="AI1967" s="1675">
        <f t="shared" si="671"/>
        <v>13950000</v>
      </c>
      <c r="AJ1967" s="1675">
        <f t="shared" si="672"/>
        <v>13950000</v>
      </c>
      <c r="AK1967" s="1520">
        <f t="shared" ref="AK1967" si="675">AJ1967-AI1967</f>
        <v>0</v>
      </c>
      <c r="AL1967" s="2210" t="str">
        <f t="shared" ref="AL1967" si="676">IF(AK1967=0,"Lunas","Cek")</f>
        <v>Lunas</v>
      </c>
      <c r="AM1967" s="1666"/>
      <c r="AN1967" s="1590"/>
      <c r="AO1967"/>
      <c r="AP1967"/>
      <c r="AQ1967" s="1128"/>
      <c r="AR1967" s="1173"/>
      <c r="AT1967" s="1173"/>
      <c r="AV1967" s="1173"/>
      <c r="AX1967" s="1173"/>
      <c r="AY1967" s="1176"/>
      <c r="AZ1967" s="1173"/>
    </row>
    <row r="1968" spans="1:52" s="2" customFormat="1" x14ac:dyDescent="0.25">
      <c r="A1968" s="694">
        <v>1814</v>
      </c>
      <c r="B1968" s="671">
        <v>3</v>
      </c>
      <c r="C1968" s="716">
        <v>829119001</v>
      </c>
      <c r="D1968" s="701" t="s">
        <v>2463</v>
      </c>
      <c r="E1968" s="264" t="s">
        <v>2260</v>
      </c>
      <c r="F1968" s="175">
        <v>2019</v>
      </c>
      <c r="G1968" s="360" t="s">
        <v>1483</v>
      </c>
      <c r="H1968" s="215" t="str">
        <f t="shared" si="669"/>
        <v xml:space="preserve">   </v>
      </c>
      <c r="I1968" s="215" t="str">
        <f t="shared" si="670"/>
        <v xml:space="preserve">   </v>
      </c>
      <c r="J1968" s="1359">
        <v>2700000</v>
      </c>
      <c r="K1968" s="1523">
        <v>43683.629039351901</v>
      </c>
      <c r="L1968" s="1359">
        <v>3750000</v>
      </c>
      <c r="M1968" s="1523">
        <v>43683.629039351901</v>
      </c>
      <c r="N1968" s="1731">
        <v>3750000</v>
      </c>
      <c r="O1968" s="1367">
        <v>43866</v>
      </c>
      <c r="P1968" s="1731">
        <v>3750000</v>
      </c>
      <c r="Q1968" s="1367">
        <v>44053.541273148097</v>
      </c>
      <c r="R1968" s="1363"/>
      <c r="S1968" s="1563"/>
      <c r="T1968" s="1363"/>
      <c r="U1968" s="1391"/>
      <c r="V1968" s="1363"/>
      <c r="W1968" s="1391"/>
      <c r="X1968" s="1363"/>
      <c r="Y1968" s="1391"/>
      <c r="Z1968" s="1363"/>
      <c r="AA1968" s="1391"/>
      <c r="AB1968" s="1731"/>
      <c r="AC1968" s="1367"/>
      <c r="AD1968" s="1666"/>
      <c r="AE1968" s="1590"/>
      <c r="AF1968" s="1666"/>
      <c r="AG1968" s="1590"/>
      <c r="AH1968" s="1625" t="str">
        <f t="shared" si="668"/>
        <v>KPI-3</v>
      </c>
      <c r="AI1968" s="1675">
        <f t="shared" si="671"/>
        <v>13950000</v>
      </c>
      <c r="AJ1968" s="1675">
        <f t="shared" si="672"/>
        <v>13950000</v>
      </c>
      <c r="AK1968" s="1520">
        <f t="shared" ref="AK1968:AK1976" si="677">AJ1968-AI1968</f>
        <v>0</v>
      </c>
      <c r="AL1968" s="2210" t="str">
        <f t="shared" ref="AL1968:AL1976" si="678">IF(AK1968=0,"Lunas","Cek")</f>
        <v>Lunas</v>
      </c>
      <c r="AM1968" s="1666"/>
      <c r="AN1968" s="1590"/>
      <c r="AO1968"/>
      <c r="AP1968"/>
      <c r="AQ1968" s="1128"/>
      <c r="AR1968" s="1173"/>
      <c r="AT1968" s="1173"/>
      <c r="AV1968" s="1173"/>
      <c r="AX1968" s="1173"/>
      <c r="AY1968" s="1176"/>
      <c r="AZ1968" s="1173"/>
    </row>
    <row r="1969" spans="1:52" s="2" customFormat="1" x14ac:dyDescent="0.25">
      <c r="A1969" s="694">
        <v>1815</v>
      </c>
      <c r="B1969" s="671">
        <v>4</v>
      </c>
      <c r="C1969" s="716">
        <v>829119006</v>
      </c>
      <c r="D1969" s="701" t="s">
        <v>2464</v>
      </c>
      <c r="E1969" s="264" t="s">
        <v>2260</v>
      </c>
      <c r="F1969" s="175">
        <v>2019</v>
      </c>
      <c r="G1969" s="360" t="s">
        <v>1483</v>
      </c>
      <c r="H1969" s="727" t="str">
        <f t="shared" si="669"/>
        <v xml:space="preserve">   </v>
      </c>
      <c r="I1969" s="727" t="str">
        <f t="shared" si="670"/>
        <v xml:space="preserve">   </v>
      </c>
      <c r="J1969" s="1359">
        <v>2700000</v>
      </c>
      <c r="K1969" s="1523">
        <v>43692.360115740703</v>
      </c>
      <c r="L1969" s="1359">
        <v>3750000</v>
      </c>
      <c r="M1969" s="1523">
        <v>43692.360115740703</v>
      </c>
      <c r="N1969" s="1731">
        <v>3750000</v>
      </c>
      <c r="O1969" s="1367">
        <v>43860.405358796299</v>
      </c>
      <c r="P1969" s="1731">
        <v>3750000</v>
      </c>
      <c r="Q1969" s="1367">
        <v>44057.611238425903</v>
      </c>
      <c r="R1969" s="1363"/>
      <c r="S1969" s="1563"/>
      <c r="T1969" s="1363"/>
      <c r="U1969" s="1391"/>
      <c r="V1969" s="1363"/>
      <c r="W1969" s="1391"/>
      <c r="X1969" s="1363"/>
      <c r="Y1969" s="1391"/>
      <c r="Z1969" s="1363"/>
      <c r="AA1969" s="1391"/>
      <c r="AB1969" s="1731"/>
      <c r="AC1969" s="1367"/>
      <c r="AD1969" s="1666"/>
      <c r="AE1969" s="1590"/>
      <c r="AF1969" s="1666"/>
      <c r="AG1969" s="1590"/>
      <c r="AH1969" s="1626" t="str">
        <f t="shared" si="668"/>
        <v>KPI-3</v>
      </c>
      <c r="AI1969" s="1675">
        <f t="shared" si="671"/>
        <v>13950000</v>
      </c>
      <c r="AJ1969" s="1675">
        <f t="shared" si="672"/>
        <v>13950000</v>
      </c>
      <c r="AK1969" s="1520">
        <f t="shared" si="677"/>
        <v>0</v>
      </c>
      <c r="AL1969" s="2210" t="str">
        <f t="shared" si="678"/>
        <v>Lunas</v>
      </c>
      <c r="AM1969" s="1666"/>
      <c r="AN1969" s="1590"/>
      <c r="AO1969"/>
      <c r="AP1969"/>
      <c r="AQ1969" s="1128"/>
      <c r="AR1969" s="1173"/>
      <c r="AT1969" s="1173"/>
      <c r="AV1969" s="1173"/>
      <c r="AX1969" s="1173"/>
      <c r="AY1969" s="1176"/>
      <c r="AZ1969" s="1173"/>
    </row>
    <row r="1970" spans="1:52" s="2" customFormat="1" x14ac:dyDescent="0.25">
      <c r="A1970" s="694">
        <v>1816</v>
      </c>
      <c r="B1970" s="671">
        <v>5</v>
      </c>
      <c r="C1970" s="716">
        <v>829119004</v>
      </c>
      <c r="D1970" s="701" t="s">
        <v>2465</v>
      </c>
      <c r="E1970" s="264" t="s">
        <v>2260</v>
      </c>
      <c r="F1970" s="175">
        <v>2019</v>
      </c>
      <c r="G1970" s="360" t="s">
        <v>1483</v>
      </c>
      <c r="H1970" s="215" t="str">
        <f t="shared" si="669"/>
        <v xml:space="preserve">   </v>
      </c>
      <c r="I1970" s="215" t="str">
        <f t="shared" si="670"/>
        <v xml:space="preserve">   </v>
      </c>
      <c r="J1970" s="1359">
        <v>2700000</v>
      </c>
      <c r="K1970" s="1523">
        <v>43690.4000578704</v>
      </c>
      <c r="L1970" s="1359">
        <v>3750000</v>
      </c>
      <c r="M1970" s="1523">
        <v>43901</v>
      </c>
      <c r="N1970" s="2077" t="s">
        <v>1078</v>
      </c>
      <c r="O1970" s="1386">
        <v>43861</v>
      </c>
      <c r="P1970" s="1731">
        <v>3750000</v>
      </c>
      <c r="Q1970" s="1367">
        <v>44041</v>
      </c>
      <c r="R1970" s="1363"/>
      <c r="S1970" s="1563"/>
      <c r="T1970" s="1363"/>
      <c r="U1970" s="1391"/>
      <c r="V1970" s="1363"/>
      <c r="W1970" s="1391"/>
      <c r="X1970" s="1363"/>
      <c r="Y1970" s="1391"/>
      <c r="Z1970" s="1363"/>
      <c r="AA1970" s="1391"/>
      <c r="AB1970" s="1731"/>
      <c r="AC1970" s="1367"/>
      <c r="AD1970" s="1666"/>
      <c r="AE1970" s="1590"/>
      <c r="AF1970" s="1666"/>
      <c r="AG1970" s="1590"/>
      <c r="AH1970" s="1625" t="str">
        <f t="shared" si="668"/>
        <v>KPI-3</v>
      </c>
      <c r="AI1970" s="1675">
        <f t="shared" si="671"/>
        <v>10200000</v>
      </c>
      <c r="AJ1970" s="1675">
        <f t="shared" si="672"/>
        <v>10200000</v>
      </c>
      <c r="AK1970" s="1520">
        <f t="shared" si="677"/>
        <v>0</v>
      </c>
      <c r="AL1970" s="2210" t="str">
        <f t="shared" si="678"/>
        <v>Lunas</v>
      </c>
      <c r="AM1970" s="1666"/>
      <c r="AN1970" s="1590"/>
      <c r="AO1970"/>
      <c r="AP1970"/>
      <c r="AQ1970" s="1128"/>
      <c r="AR1970" s="1173"/>
      <c r="AT1970" s="1173"/>
      <c r="AV1970" s="1173"/>
      <c r="AX1970" s="1173"/>
      <c r="AY1970" s="1176"/>
      <c r="AZ1970" s="1173"/>
    </row>
    <row r="1971" spans="1:52" s="2" customFormat="1" x14ac:dyDescent="0.25">
      <c r="A1971" s="694">
        <v>1817</v>
      </c>
      <c r="B1971" s="671">
        <v>6</v>
      </c>
      <c r="C1971" s="716">
        <v>829119002</v>
      </c>
      <c r="D1971" s="701" t="s">
        <v>2466</v>
      </c>
      <c r="E1971" s="264" t="s">
        <v>2260</v>
      </c>
      <c r="F1971" s="175">
        <v>2019</v>
      </c>
      <c r="G1971" s="1758" t="s">
        <v>28</v>
      </c>
      <c r="H1971" s="215" t="str">
        <f t="shared" si="669"/>
        <v xml:space="preserve">   </v>
      </c>
      <c r="I1971" s="215" t="str">
        <f t="shared" si="670"/>
        <v xml:space="preserve">   </v>
      </c>
      <c r="J1971" s="1359">
        <v>2700000</v>
      </c>
      <c r="K1971" s="1523">
        <v>43685.742650462998</v>
      </c>
      <c r="L1971" s="1359">
        <v>3750000</v>
      </c>
      <c r="M1971" s="1523">
        <v>43685.742650462998</v>
      </c>
      <c r="N1971" s="1731">
        <v>0</v>
      </c>
      <c r="O1971" s="1367"/>
      <c r="P1971" s="1731">
        <v>0</v>
      </c>
      <c r="Q1971" s="1367"/>
      <c r="R1971" s="1363" t="str">
        <f>IFERROR(VLOOKUP(C1971,BSP,3,FALSE),"  ")</f>
        <v xml:space="preserve">  </v>
      </c>
      <c r="S1971" s="1563" t="str">
        <f>IFERROR((VLOOKUP(C1971,BSP,4,FALSE)),"  ")</f>
        <v xml:space="preserve">  </v>
      </c>
      <c r="T1971" s="1363"/>
      <c r="U1971" s="1391"/>
      <c r="V1971" s="1363"/>
      <c r="W1971" s="1391"/>
      <c r="X1971" s="1363"/>
      <c r="Y1971" s="1391"/>
      <c r="Z1971" s="1363"/>
      <c r="AA1971" s="1391"/>
      <c r="AB1971" s="1731"/>
      <c r="AC1971" s="1367"/>
      <c r="AD1971" s="1666"/>
      <c r="AE1971" s="1590"/>
      <c r="AF1971" s="1666"/>
      <c r="AG1971" s="1590"/>
      <c r="AH1971" s="1625" t="str">
        <f t="shared" si="668"/>
        <v>KPI-3</v>
      </c>
      <c r="AI1971" s="1675">
        <f t="shared" si="671"/>
        <v>6450000</v>
      </c>
      <c r="AJ1971" s="1675">
        <f t="shared" si="672"/>
        <v>13950000</v>
      </c>
      <c r="AK1971" s="1520">
        <f t="shared" si="677"/>
        <v>7500000</v>
      </c>
      <c r="AL1971" s="2210" t="str">
        <f t="shared" si="678"/>
        <v>Cek</v>
      </c>
      <c r="AM1971" s="1666"/>
      <c r="AN1971" s="1590"/>
      <c r="AO1971"/>
      <c r="AP1971"/>
      <c r="AQ1971" s="1128"/>
      <c r="AR1971" s="1173"/>
      <c r="AT1971" s="1173"/>
      <c r="AV1971" s="1173"/>
      <c r="AX1971" s="1173"/>
      <c r="AY1971" s="1176"/>
      <c r="AZ1971" s="1173"/>
    </row>
    <row r="1972" spans="1:52" s="2" customFormat="1" x14ac:dyDescent="0.25">
      <c r="A1972" s="694">
        <v>1818</v>
      </c>
      <c r="B1972" s="671">
        <v>7</v>
      </c>
      <c r="C1972" s="716">
        <v>829119003</v>
      </c>
      <c r="D1972" s="701" t="s">
        <v>2467</v>
      </c>
      <c r="E1972" s="264" t="s">
        <v>2260</v>
      </c>
      <c r="F1972" s="175">
        <v>2019</v>
      </c>
      <c r="G1972" s="360" t="s">
        <v>1483</v>
      </c>
      <c r="H1972" s="215" t="str">
        <f t="shared" si="669"/>
        <v xml:space="preserve">   </v>
      </c>
      <c r="I1972" s="215" t="str">
        <f t="shared" si="670"/>
        <v xml:space="preserve">   </v>
      </c>
      <c r="J1972" s="1359">
        <v>2700000</v>
      </c>
      <c r="K1972" s="1523">
        <v>43689.432731481502</v>
      </c>
      <c r="L1972" s="1359">
        <v>3750000</v>
      </c>
      <c r="M1972" s="1523">
        <v>43689.432731481502</v>
      </c>
      <c r="N1972" s="1731">
        <v>3750000</v>
      </c>
      <c r="O1972" s="1367">
        <v>43861.387314814798</v>
      </c>
      <c r="P1972" s="1731">
        <v>3750000</v>
      </c>
      <c r="Q1972" s="1367">
        <v>44078.915081018502</v>
      </c>
      <c r="R1972" s="1363"/>
      <c r="S1972" s="1563"/>
      <c r="T1972" s="1363"/>
      <c r="U1972" s="1391"/>
      <c r="V1972" s="1363"/>
      <c r="W1972" s="1391"/>
      <c r="X1972" s="1363"/>
      <c r="Y1972" s="1391"/>
      <c r="Z1972" s="1363"/>
      <c r="AA1972" s="1391"/>
      <c r="AB1972" s="1731"/>
      <c r="AC1972" s="1367"/>
      <c r="AD1972" s="1666"/>
      <c r="AE1972" s="1590"/>
      <c r="AF1972" s="1666"/>
      <c r="AG1972" s="1590"/>
      <c r="AH1972" s="1625" t="str">
        <f t="shared" si="668"/>
        <v>KPI-3</v>
      </c>
      <c r="AI1972" s="1675">
        <f t="shared" si="671"/>
        <v>13950000</v>
      </c>
      <c r="AJ1972" s="1675">
        <f t="shared" si="672"/>
        <v>13950000</v>
      </c>
      <c r="AK1972" s="1520">
        <f t="shared" si="677"/>
        <v>0</v>
      </c>
      <c r="AL1972" s="2210" t="str">
        <f t="shared" si="678"/>
        <v>Lunas</v>
      </c>
      <c r="AM1972" s="1666"/>
      <c r="AN1972" s="1590"/>
      <c r="AO1972"/>
      <c r="AP1972"/>
      <c r="AQ1972" s="1128"/>
      <c r="AR1972" s="1173"/>
      <c r="AT1972" s="1173"/>
      <c r="AV1972" s="1173"/>
      <c r="AX1972" s="1173"/>
      <c r="AY1972" s="1176"/>
      <c r="AZ1972" s="1173"/>
    </row>
    <row r="1973" spans="1:52" s="2" customFormat="1" x14ac:dyDescent="0.25">
      <c r="A1973" s="694">
        <v>1819</v>
      </c>
      <c r="B1973" s="671">
        <v>8</v>
      </c>
      <c r="C1973" s="716">
        <v>829119008</v>
      </c>
      <c r="D1973" s="701" t="s">
        <v>2468</v>
      </c>
      <c r="E1973" s="264" t="s">
        <v>2260</v>
      </c>
      <c r="F1973" s="175">
        <v>2019</v>
      </c>
      <c r="G1973" s="360" t="s">
        <v>1483</v>
      </c>
      <c r="H1973" s="215" t="str">
        <f t="shared" si="669"/>
        <v xml:space="preserve">   </v>
      </c>
      <c r="I1973" s="215" t="str">
        <f t="shared" si="670"/>
        <v xml:space="preserve">   </v>
      </c>
      <c r="J1973" s="1359">
        <v>2700000</v>
      </c>
      <c r="K1973" s="1523">
        <v>43692.3754050926</v>
      </c>
      <c r="L1973" s="1359">
        <v>3750000</v>
      </c>
      <c r="M1973" s="1523">
        <v>43692.3754050926</v>
      </c>
      <c r="N1973" s="1731">
        <v>3750000</v>
      </c>
      <c r="O1973" s="2275">
        <v>43873</v>
      </c>
      <c r="P1973" s="1731">
        <v>3750000</v>
      </c>
      <c r="Q1973" s="1367">
        <v>44078.596550925897</v>
      </c>
      <c r="R1973" s="1363"/>
      <c r="S1973" s="1563"/>
      <c r="T1973" s="1363"/>
      <c r="U1973" s="1391"/>
      <c r="V1973" s="1363"/>
      <c r="W1973" s="1391"/>
      <c r="X1973" s="1363"/>
      <c r="Y1973" s="1391"/>
      <c r="Z1973" s="1363"/>
      <c r="AA1973" s="1391"/>
      <c r="AB1973" s="1731"/>
      <c r="AC1973" s="1367"/>
      <c r="AD1973" s="1666"/>
      <c r="AE1973" s="1590"/>
      <c r="AF1973" s="1666"/>
      <c r="AG1973" s="1590"/>
      <c r="AH1973" s="1625" t="str">
        <f t="shared" si="668"/>
        <v>KPI-3</v>
      </c>
      <c r="AI1973" s="1675">
        <f t="shared" si="671"/>
        <v>13950000</v>
      </c>
      <c r="AJ1973" s="1675">
        <f t="shared" si="672"/>
        <v>13950000</v>
      </c>
      <c r="AK1973" s="1520">
        <f t="shared" si="677"/>
        <v>0</v>
      </c>
      <c r="AL1973" s="2210" t="str">
        <f t="shared" si="678"/>
        <v>Lunas</v>
      </c>
      <c r="AM1973" s="1666"/>
      <c r="AN1973" s="1590"/>
      <c r="AO1973"/>
      <c r="AP1973"/>
      <c r="AQ1973" s="1128"/>
      <c r="AR1973" s="1173"/>
      <c r="AT1973" s="1173"/>
      <c r="AV1973" s="1173"/>
      <c r="AX1973" s="1173"/>
      <c r="AY1973" s="1176"/>
      <c r="AZ1973" s="1173"/>
    </row>
    <row r="1974" spans="1:52" s="2" customFormat="1" x14ac:dyDescent="0.25">
      <c r="A1974" s="694">
        <v>1820</v>
      </c>
      <c r="B1974" s="671">
        <v>9</v>
      </c>
      <c r="C1974" s="716">
        <v>829119010</v>
      </c>
      <c r="D1974" s="701" t="s">
        <v>2469</v>
      </c>
      <c r="E1974" s="264" t="s">
        <v>2260</v>
      </c>
      <c r="F1974" s="175">
        <v>2019</v>
      </c>
      <c r="G1974" s="1758" t="s">
        <v>28</v>
      </c>
      <c r="H1974" s="215" t="str">
        <f t="shared" si="669"/>
        <v xml:space="preserve">   </v>
      </c>
      <c r="I1974" s="215" t="str">
        <f t="shared" si="670"/>
        <v xml:space="preserve">   </v>
      </c>
      <c r="J1974" s="1359">
        <v>2700000</v>
      </c>
      <c r="K1974" s="1523">
        <v>43691.401296296302</v>
      </c>
      <c r="L1974" s="1359">
        <v>3750000</v>
      </c>
      <c r="M1974" s="1523">
        <v>43691.401296296302</v>
      </c>
      <c r="N1974" s="1731">
        <v>3750000</v>
      </c>
      <c r="O1974" s="1367">
        <v>43861.416192129604</v>
      </c>
      <c r="P1974" s="1731">
        <v>0</v>
      </c>
      <c r="Q1974" s="1367"/>
      <c r="R1974" s="1363" t="str">
        <f>IFERROR(VLOOKUP(C1974,BSP,3,FALSE),"  ")</f>
        <v xml:space="preserve">  </v>
      </c>
      <c r="S1974" s="1563" t="str">
        <f>IFERROR((VLOOKUP(C1974,BSP,4,FALSE)),"  ")</f>
        <v xml:space="preserve">  </v>
      </c>
      <c r="T1974" s="1363"/>
      <c r="U1974" s="1391"/>
      <c r="V1974" s="1363"/>
      <c r="W1974" s="1391"/>
      <c r="X1974" s="1363"/>
      <c r="Y1974" s="1391"/>
      <c r="Z1974" s="1363"/>
      <c r="AA1974" s="1391"/>
      <c r="AB1974" s="1731"/>
      <c r="AC1974" s="1367"/>
      <c r="AD1974" s="1666"/>
      <c r="AE1974" s="1590"/>
      <c r="AF1974" s="1666"/>
      <c r="AG1974" s="1590"/>
      <c r="AH1974" s="1625" t="str">
        <f t="shared" si="668"/>
        <v>KPI-3</v>
      </c>
      <c r="AI1974" s="1675">
        <f t="shared" si="671"/>
        <v>10200000</v>
      </c>
      <c r="AJ1974" s="1675">
        <f t="shared" si="672"/>
        <v>13950000</v>
      </c>
      <c r="AK1974" s="1520">
        <f t="shared" si="677"/>
        <v>3750000</v>
      </c>
      <c r="AL1974" s="2210" t="str">
        <f t="shared" si="678"/>
        <v>Cek</v>
      </c>
      <c r="AM1974" s="1666"/>
      <c r="AN1974" s="1590"/>
      <c r="AO1974"/>
      <c r="AP1974"/>
      <c r="AQ1974" s="1128"/>
      <c r="AR1974" s="1173"/>
      <c r="AT1974" s="1173"/>
      <c r="AV1974" s="1173"/>
      <c r="AX1974" s="1173"/>
      <c r="AY1974" s="1176"/>
      <c r="AZ1974" s="1173"/>
    </row>
    <row r="1975" spans="1:52" s="2" customFormat="1" x14ac:dyDescent="0.25">
      <c r="A1975" s="694">
        <v>1821</v>
      </c>
      <c r="B1975" s="671">
        <v>10</v>
      </c>
      <c r="C1975" s="716">
        <v>829119009</v>
      </c>
      <c r="D1975" s="701" t="s">
        <v>2470</v>
      </c>
      <c r="E1975" s="264" t="s">
        <v>2260</v>
      </c>
      <c r="F1975" s="175">
        <v>2019</v>
      </c>
      <c r="G1975" s="360" t="s">
        <v>1483</v>
      </c>
      <c r="H1975" s="215" t="str">
        <f t="shared" si="669"/>
        <v xml:space="preserve">   </v>
      </c>
      <c r="I1975" s="215" t="str">
        <f t="shared" si="670"/>
        <v xml:space="preserve">   </v>
      </c>
      <c r="J1975" s="1359">
        <v>2700000</v>
      </c>
      <c r="K1975" s="1523">
        <v>43692.409363425897</v>
      </c>
      <c r="L1975" s="1359">
        <v>3750000</v>
      </c>
      <c r="M1975" s="1523">
        <v>43692.409363425897</v>
      </c>
      <c r="N1975" s="1731">
        <v>3750000</v>
      </c>
      <c r="O1975" s="1367">
        <v>43861.405370370398</v>
      </c>
      <c r="P1975" s="1731">
        <v>3750000</v>
      </c>
      <c r="Q1975" s="1367">
        <v>44078.744236111103</v>
      </c>
      <c r="R1975" s="1363"/>
      <c r="S1975" s="1563"/>
      <c r="T1975" s="1363"/>
      <c r="U1975" s="1391"/>
      <c r="V1975" s="1363"/>
      <c r="W1975" s="1391"/>
      <c r="X1975" s="1363"/>
      <c r="Y1975" s="1391"/>
      <c r="Z1975" s="1363"/>
      <c r="AA1975" s="1391"/>
      <c r="AB1975" s="1731"/>
      <c r="AC1975" s="1367"/>
      <c r="AD1975" s="1666"/>
      <c r="AE1975" s="1590"/>
      <c r="AF1975" s="1666"/>
      <c r="AG1975" s="1590"/>
      <c r="AH1975" s="1625" t="str">
        <f t="shared" si="668"/>
        <v>KPI-3</v>
      </c>
      <c r="AI1975" s="1675">
        <f t="shared" si="671"/>
        <v>13950000</v>
      </c>
      <c r="AJ1975" s="1675">
        <f t="shared" si="672"/>
        <v>13950000</v>
      </c>
      <c r="AK1975" s="1520">
        <f t="shared" si="677"/>
        <v>0</v>
      </c>
      <c r="AL1975" s="2210" t="str">
        <f t="shared" si="678"/>
        <v>Lunas</v>
      </c>
      <c r="AM1975" s="1666"/>
      <c r="AN1975" s="1590"/>
      <c r="AO1975"/>
      <c r="AP1975"/>
      <c r="AQ1975" s="1128"/>
      <c r="AR1975" s="1173"/>
      <c r="AT1975" s="1173"/>
      <c r="AV1975" s="1173"/>
      <c r="AX1975" s="1173"/>
      <c r="AY1975" s="1176"/>
      <c r="AZ1975" s="1173"/>
    </row>
    <row r="1976" spans="1:52" s="2" customFormat="1" x14ac:dyDescent="0.25">
      <c r="A1976" s="694">
        <v>1822</v>
      </c>
      <c r="B1976" s="671">
        <v>11</v>
      </c>
      <c r="C1976" s="716">
        <v>829119007</v>
      </c>
      <c r="D1976" s="701" t="s">
        <v>2471</v>
      </c>
      <c r="E1976" s="264" t="s">
        <v>2260</v>
      </c>
      <c r="F1976" s="175">
        <v>2019</v>
      </c>
      <c r="G1976" s="360" t="s">
        <v>1483</v>
      </c>
      <c r="H1976" s="215" t="str">
        <f t="shared" si="669"/>
        <v xml:space="preserve">   </v>
      </c>
      <c r="I1976" s="215" t="str">
        <f t="shared" si="670"/>
        <v xml:space="preserve">   </v>
      </c>
      <c r="J1976" s="1359">
        <v>2700000</v>
      </c>
      <c r="K1976" s="1523">
        <v>43692.429085648102</v>
      </c>
      <c r="L1976" s="1359">
        <v>3750000</v>
      </c>
      <c r="M1976" s="1523">
        <v>43692.429085648102</v>
      </c>
      <c r="N1976" s="1893">
        <v>3750000</v>
      </c>
      <c r="O1976" s="1445">
        <v>43860.594363425902</v>
      </c>
      <c r="P1976" s="1731">
        <v>3750000</v>
      </c>
      <c r="Q1976" s="1367">
        <v>44068.611377314803</v>
      </c>
      <c r="R1976" s="1363"/>
      <c r="S1976" s="1563"/>
      <c r="T1976" s="1363"/>
      <c r="U1976" s="1391"/>
      <c r="V1976" s="1363"/>
      <c r="W1976" s="1391"/>
      <c r="X1976" s="1363"/>
      <c r="Y1976" s="1391"/>
      <c r="Z1976" s="1363"/>
      <c r="AA1976" s="1391"/>
      <c r="AB1976" s="1731"/>
      <c r="AC1976" s="1367"/>
      <c r="AD1976" s="1666"/>
      <c r="AE1976" s="1590"/>
      <c r="AF1976" s="1666"/>
      <c r="AG1976" s="1590"/>
      <c r="AH1976" s="1625" t="str">
        <f t="shared" si="668"/>
        <v>KPI-3</v>
      </c>
      <c r="AI1976" s="1675">
        <f t="shared" si="671"/>
        <v>13950000</v>
      </c>
      <c r="AJ1976" s="1675">
        <f t="shared" si="672"/>
        <v>13950000</v>
      </c>
      <c r="AK1976" s="1520">
        <f t="shared" si="677"/>
        <v>0</v>
      </c>
      <c r="AL1976" s="2210" t="str">
        <f t="shared" si="678"/>
        <v>Lunas</v>
      </c>
      <c r="AM1976" s="1666"/>
      <c r="AN1976" s="1590"/>
      <c r="AO1976"/>
      <c r="AP1976"/>
      <c r="AQ1976" s="1128"/>
      <c r="AR1976" s="1173"/>
      <c r="AT1976" s="1173"/>
      <c r="AV1976" s="1173"/>
      <c r="AX1976" s="1173"/>
      <c r="AY1976" s="1176"/>
      <c r="AZ1976" s="1173"/>
    </row>
    <row r="1977" spans="1:52" s="2" customFormat="1" x14ac:dyDescent="0.25">
      <c r="A1977" s="725"/>
      <c r="B1977" s="725"/>
      <c r="C1977" s="33"/>
      <c r="D1977" s="123"/>
      <c r="E1977" s="123"/>
      <c r="F1977" s="120" t="s">
        <v>61</v>
      </c>
      <c r="G1977" s="123"/>
      <c r="H1977" s="124"/>
      <c r="I1977" s="124"/>
      <c r="J1977" s="1212"/>
      <c r="K1977" s="2252"/>
      <c r="L1977" s="2253"/>
      <c r="M1977" s="1436"/>
      <c r="N1977" s="2253"/>
      <c r="O1977" s="2252"/>
      <c r="P1977" s="2253"/>
      <c r="Q1977" s="2252"/>
      <c r="R1977" s="2253"/>
      <c r="S1977" s="2261"/>
      <c r="T1977" s="2253"/>
      <c r="U1977" s="2252"/>
      <c r="V1977" s="2253"/>
      <c r="W1977" s="2252"/>
      <c r="X1977" s="2253"/>
      <c r="Y1977" s="2252"/>
      <c r="Z1977" s="2253"/>
      <c r="AA1977" s="2252"/>
      <c r="AB1977" s="2268"/>
      <c r="AC1977" s="2252"/>
      <c r="AD1977" s="747"/>
      <c r="AE1977" s="1155"/>
      <c r="AF1977" s="747"/>
      <c r="AG1977" s="1155"/>
      <c r="AH1977" s="1168">
        <f t="shared" si="668"/>
        <v>0</v>
      </c>
      <c r="AI1977" s="747"/>
      <c r="AJ1977" s="747"/>
      <c r="AK1977" s="747"/>
      <c r="AL1977" s="1170"/>
      <c r="AM1977" s="1170"/>
      <c r="AN1977" s="1209"/>
      <c r="AO1977" s="1170"/>
      <c r="AP1977" s="1209"/>
      <c r="AQ1977" s="1128"/>
      <c r="AR1977" s="1173"/>
      <c r="AT1977" s="1173"/>
      <c r="AV1977" s="1173"/>
      <c r="AX1977" s="1173"/>
      <c r="AY1977" s="1176"/>
      <c r="AZ1977" s="1173"/>
    </row>
    <row r="1978" spans="1:52" s="2" customFormat="1" x14ac:dyDescent="0.25">
      <c r="A1978" s="625" t="s">
        <v>2472</v>
      </c>
      <c r="B1978" s="625"/>
      <c r="C1978" s="366"/>
      <c r="D1978" s="625"/>
      <c r="E1978" s="198" t="s">
        <v>1096</v>
      </c>
      <c r="F1978" s="199" t="s">
        <v>1096</v>
      </c>
      <c r="G1978" s="565">
        <v>3750000</v>
      </c>
      <c r="H1978" s="147" t="str">
        <f t="shared" ref="H1978:H1998" si="679">IFERROR(VLOOKUP(C1978,Tlus,3,FALSE),"   ")</f>
        <v xml:space="preserve">   </v>
      </c>
      <c r="I1978" s="147" t="str">
        <f t="shared" ref="I1978:I1998" si="680">IFERROR(VLOOKUP(C1978,Wis,4,FALSE),"   ")</f>
        <v xml:space="preserve">   </v>
      </c>
      <c r="J1978" s="2035">
        <v>2700000</v>
      </c>
      <c r="K1978" s="2036"/>
      <c r="L1978" s="2163" t="s">
        <v>1049</v>
      </c>
      <c r="M1978" s="2164" t="s">
        <v>1463</v>
      </c>
      <c r="N1978" s="2163" t="s">
        <v>1051</v>
      </c>
      <c r="O1978" s="2164" t="s">
        <v>1464</v>
      </c>
      <c r="P1978" s="2016" t="s">
        <v>1053</v>
      </c>
      <c r="Q1978" s="1438" t="s">
        <v>1466</v>
      </c>
      <c r="R1978" s="2016" t="s">
        <v>1055</v>
      </c>
      <c r="S1978" s="1438" t="s">
        <v>1468</v>
      </c>
      <c r="T1978" s="2016" t="s">
        <v>1057</v>
      </c>
      <c r="U1978" s="1438" t="s">
        <v>1470</v>
      </c>
      <c r="V1978" s="2016" t="s">
        <v>1059</v>
      </c>
      <c r="W1978" s="1438" t="s">
        <v>1718</v>
      </c>
      <c r="X1978" s="1582" t="s">
        <v>1061</v>
      </c>
      <c r="Y1978" s="1438" t="s">
        <v>1719</v>
      </c>
      <c r="Z1978" s="1582" t="s">
        <v>1063</v>
      </c>
      <c r="AA1978" s="1438" t="s">
        <v>1980</v>
      </c>
      <c r="AB1978" s="2177">
        <v>1000000</v>
      </c>
      <c r="AC1978" s="2178" t="s">
        <v>2015</v>
      </c>
      <c r="AD1978" s="1450">
        <v>1200000</v>
      </c>
      <c r="AE1978" s="1663" t="s">
        <v>2016</v>
      </c>
      <c r="AF1978" s="1450">
        <v>1600000</v>
      </c>
      <c r="AG1978" s="1663" t="s">
        <v>1326</v>
      </c>
      <c r="AH1978" s="1408" t="str">
        <f t="shared" si="668"/>
        <v>#</v>
      </c>
      <c r="AI1978" s="1512"/>
      <c r="AJ1978" s="1409"/>
      <c r="AK1978" s="1409"/>
      <c r="AL1978" s="1513"/>
      <c r="AM1978" s="1450">
        <v>500000</v>
      </c>
      <c r="AN1978" s="1663" t="s">
        <v>22</v>
      </c>
      <c r="AO1978"/>
      <c r="AP1978"/>
      <c r="AQ1978" s="1128"/>
      <c r="AR1978" s="1173"/>
      <c r="AT1978" s="1173"/>
      <c r="AV1978" s="1173"/>
      <c r="AX1978" s="1173"/>
      <c r="AY1978" s="1176"/>
      <c r="AZ1978" s="1173"/>
    </row>
    <row r="1979" spans="1:52" s="2" customFormat="1" x14ac:dyDescent="0.25">
      <c r="A1979" s="694">
        <v>1823</v>
      </c>
      <c r="B1979" s="695">
        <v>1</v>
      </c>
      <c r="C1979" s="714">
        <v>849419001</v>
      </c>
      <c r="D1979" s="713" t="s">
        <v>2473</v>
      </c>
      <c r="E1979" s="326" t="s">
        <v>2205</v>
      </c>
      <c r="F1979" s="175">
        <v>2019</v>
      </c>
      <c r="G1979" s="699" t="s">
        <v>1483</v>
      </c>
      <c r="H1979" s="715" t="str">
        <f t="shared" si="679"/>
        <v xml:space="preserve">   </v>
      </c>
      <c r="I1979" s="715" t="str">
        <f t="shared" si="680"/>
        <v xml:space="preserve">   </v>
      </c>
      <c r="J1979" s="1780">
        <v>2700000</v>
      </c>
      <c r="K1979" s="1727">
        <v>43682.4055787037</v>
      </c>
      <c r="L1979" s="1941">
        <v>3750000</v>
      </c>
      <c r="M1979" s="1727">
        <v>43682.4055787037</v>
      </c>
      <c r="N1979" s="2170">
        <v>3750000</v>
      </c>
      <c r="O1979" s="2054">
        <v>43852.4389814815</v>
      </c>
      <c r="P1979" s="1731">
        <v>3750000</v>
      </c>
      <c r="Q1979" s="1367">
        <v>44070.557731481502</v>
      </c>
      <c r="R1979" s="1941"/>
      <c r="S1979" s="1955"/>
      <c r="T1979" s="1941"/>
      <c r="U1979" s="1954"/>
      <c r="V1979" s="1941"/>
      <c r="W1979" s="1954"/>
      <c r="X1979" s="1941"/>
      <c r="Y1979" s="1954"/>
      <c r="Z1979" s="1941"/>
      <c r="AA1979" s="1954"/>
      <c r="AB1979" s="1666"/>
      <c r="AC1979" s="1590"/>
      <c r="AD1979" s="1666"/>
      <c r="AE1979" s="1590"/>
      <c r="AF1979" s="1666"/>
      <c r="AG1979" s="1590"/>
      <c r="AH1979" s="1625" t="str">
        <f t="shared" si="668"/>
        <v>PGMI-3</v>
      </c>
      <c r="AI1979" s="1675">
        <f t="shared" ref="AI1979:AI1998" si="681">SUM(J1979,L1979,N1979,P1979,R1979,T1979,V1979,X1979,Z1979,AB1979,AD1979,AF1979,AM1979)</f>
        <v>13950000</v>
      </c>
      <c r="AJ1979" s="1675">
        <f t="shared" ref="AJ1979:AJ1998" si="682">(COUNT(L1979,N1979,P1979,R1979,T1979,V1979,X1979,Z1979)*$G$1507)+(COUNT(J1979)*$J$1507)+(COUNT(AB1979)*$AB$1507)+(COUNT(AD1979)*$AD$1507)+(COUNT(AF1979)*$AF$1507)+(COUNT(AM1979)*$AM$1507)</f>
        <v>13950000</v>
      </c>
      <c r="AK1979" s="1520">
        <f t="shared" ref="AK1979" si="683">AJ1979-AI1979</f>
        <v>0</v>
      </c>
      <c r="AL1979" s="2187" t="str">
        <f t="shared" ref="AL1979" si="684">IF(AK1979=0,"Lunas","Cek")</f>
        <v>Lunas</v>
      </c>
      <c r="AM1979" s="1666"/>
      <c r="AN1979" s="1590"/>
      <c r="AO1979"/>
      <c r="AP1979"/>
      <c r="AQ1979" s="1128"/>
      <c r="AR1979" s="1173"/>
      <c r="AT1979" s="1173"/>
      <c r="AV1979" s="1173"/>
      <c r="AX1979" s="1173"/>
      <c r="AY1979" s="1176"/>
      <c r="AZ1979" s="1173"/>
    </row>
    <row r="1980" spans="1:52" s="2" customFormat="1" x14ac:dyDescent="0.25">
      <c r="A1980" s="694">
        <v>1824</v>
      </c>
      <c r="B1980" s="671">
        <v>2</v>
      </c>
      <c r="C1980" s="716">
        <v>849419005</v>
      </c>
      <c r="D1980" s="701" t="s">
        <v>2474</v>
      </c>
      <c r="E1980" s="264" t="s">
        <v>2205</v>
      </c>
      <c r="F1980" s="175">
        <v>2019</v>
      </c>
      <c r="G1980" s="360" t="s">
        <v>1483</v>
      </c>
      <c r="H1980" s="215" t="str">
        <f t="shared" si="679"/>
        <v xml:space="preserve">   </v>
      </c>
      <c r="I1980" s="215" t="str">
        <f t="shared" si="680"/>
        <v xml:space="preserve">   </v>
      </c>
      <c r="J1980" s="1359">
        <v>2700000</v>
      </c>
      <c r="K1980" s="1523">
        <v>43686.473067129598</v>
      </c>
      <c r="L1980" s="2020"/>
      <c r="M1980" s="1362" t="s">
        <v>475</v>
      </c>
      <c r="N1980" s="2277"/>
      <c r="O1980" s="1362" t="s">
        <v>475</v>
      </c>
      <c r="P1980" s="2020"/>
      <c r="Q1980" s="1362" t="s">
        <v>475</v>
      </c>
      <c r="R1980" s="2254"/>
      <c r="S1980" s="2255" t="s">
        <v>475</v>
      </c>
      <c r="T1980" s="1363"/>
      <c r="U1980" s="1391"/>
      <c r="V1980" s="1363"/>
      <c r="W1980" s="1391"/>
      <c r="X1980" s="1363"/>
      <c r="Y1980" s="1391"/>
      <c r="Z1980" s="1363"/>
      <c r="AA1980" s="1391"/>
      <c r="AB1980" s="1731">
        <v>1000000</v>
      </c>
      <c r="AC1980" s="1367">
        <v>44187</v>
      </c>
      <c r="AD1980" s="1666"/>
      <c r="AE1980" s="1590"/>
      <c r="AF1980" s="1666"/>
      <c r="AG1980" s="1590"/>
      <c r="AH1980" s="1625" t="str">
        <f t="shared" si="668"/>
        <v>PGMI-3</v>
      </c>
      <c r="AI1980" s="1675">
        <f t="shared" si="681"/>
        <v>3700000</v>
      </c>
      <c r="AJ1980" s="1675">
        <f t="shared" si="682"/>
        <v>3700000</v>
      </c>
      <c r="AK1980" s="1520">
        <f t="shared" ref="AK1980" si="685">AJ1980-AI1980</f>
        <v>0</v>
      </c>
      <c r="AL1980" s="2210" t="str">
        <f t="shared" ref="AL1980" si="686">IF(AK1980=0,"Lunas","Cek")</f>
        <v>Lunas</v>
      </c>
      <c r="AM1980" s="1666"/>
      <c r="AN1980" s="1590"/>
      <c r="AO1980"/>
      <c r="AP1980"/>
      <c r="AQ1980" s="1128"/>
      <c r="AR1980" s="1173"/>
      <c r="AT1980" s="1173"/>
      <c r="AV1980" s="1173"/>
      <c r="AX1980" s="1173"/>
      <c r="AY1980" s="1176"/>
      <c r="AZ1980" s="1173"/>
    </row>
    <row r="1981" spans="1:52" s="2" customFormat="1" x14ac:dyDescent="0.25">
      <c r="A1981" s="694">
        <v>1825</v>
      </c>
      <c r="B1981" s="671">
        <v>3</v>
      </c>
      <c r="C1981" s="716">
        <v>849419009</v>
      </c>
      <c r="D1981" s="701" t="s">
        <v>2475</v>
      </c>
      <c r="E1981" s="264" t="s">
        <v>2205</v>
      </c>
      <c r="F1981" s="175">
        <v>2019</v>
      </c>
      <c r="G1981" s="360" t="s">
        <v>1483</v>
      </c>
      <c r="H1981" s="215" t="str">
        <f t="shared" si="679"/>
        <v xml:space="preserve">   </v>
      </c>
      <c r="I1981" s="215" t="str">
        <f t="shared" si="680"/>
        <v xml:space="preserve">   </v>
      </c>
      <c r="J1981" s="1359">
        <v>2700000</v>
      </c>
      <c r="K1981" s="1523">
        <v>43690.416979166701</v>
      </c>
      <c r="L1981" s="1359">
        <v>3750000</v>
      </c>
      <c r="M1981" s="1523">
        <v>43690.416979166701</v>
      </c>
      <c r="N1981" s="1731">
        <v>3750000</v>
      </c>
      <c r="O1981" s="1367">
        <v>43858.445127314801</v>
      </c>
      <c r="P1981" s="1731">
        <v>3750000</v>
      </c>
      <c r="Q1981" s="1367">
        <v>44071.579953703702</v>
      </c>
      <c r="R1981" s="1363"/>
      <c r="S1981" s="1563"/>
      <c r="T1981" s="1363"/>
      <c r="U1981" s="1391"/>
      <c r="V1981" s="1363"/>
      <c r="W1981" s="1391"/>
      <c r="X1981" s="1363"/>
      <c r="Y1981" s="1391"/>
      <c r="Z1981" s="1363"/>
      <c r="AA1981" s="1391"/>
      <c r="AB1981" s="1731"/>
      <c r="AC1981" s="1367"/>
      <c r="AD1981" s="1666"/>
      <c r="AE1981" s="1590"/>
      <c r="AF1981" s="1666"/>
      <c r="AG1981" s="1590"/>
      <c r="AH1981" s="1625" t="str">
        <f t="shared" si="668"/>
        <v>PGMI-3</v>
      </c>
      <c r="AI1981" s="1675">
        <f t="shared" si="681"/>
        <v>13950000</v>
      </c>
      <c r="AJ1981" s="1675">
        <f t="shared" si="682"/>
        <v>13950000</v>
      </c>
      <c r="AK1981" s="1520">
        <f t="shared" ref="AK1981:AK1998" si="687">AJ1981-AI1981</f>
        <v>0</v>
      </c>
      <c r="AL1981" s="2210" t="str">
        <f t="shared" ref="AL1981:AL1998" si="688">IF(AK1981=0,"Lunas","Cek")</f>
        <v>Lunas</v>
      </c>
      <c r="AM1981" s="1666"/>
      <c r="AN1981" s="1590"/>
      <c r="AO1981"/>
      <c r="AP1981"/>
      <c r="AQ1981" s="1128"/>
      <c r="AR1981" s="1173"/>
      <c r="AT1981" s="1173"/>
      <c r="AV1981" s="1173"/>
      <c r="AX1981" s="1173"/>
      <c r="AY1981" s="1176"/>
      <c r="AZ1981" s="1173"/>
    </row>
    <row r="1982" spans="1:52" s="2" customFormat="1" x14ac:dyDescent="0.25">
      <c r="A1982" s="694">
        <v>1826</v>
      </c>
      <c r="B1982" s="671">
        <v>4</v>
      </c>
      <c r="C1982" s="716">
        <v>849419011</v>
      </c>
      <c r="D1982" s="701" t="s">
        <v>2476</v>
      </c>
      <c r="E1982" s="264" t="s">
        <v>2205</v>
      </c>
      <c r="F1982" s="175">
        <v>2019</v>
      </c>
      <c r="G1982" s="360" t="s">
        <v>1483</v>
      </c>
      <c r="H1982" s="215" t="str">
        <f t="shared" si="679"/>
        <v xml:space="preserve">   </v>
      </c>
      <c r="I1982" s="215" t="str">
        <f t="shared" si="680"/>
        <v xml:space="preserve">   </v>
      </c>
      <c r="J1982" s="1359">
        <v>2700000</v>
      </c>
      <c r="K1982" s="1523">
        <v>43690.5612847222</v>
      </c>
      <c r="L1982" s="1359">
        <v>3750000</v>
      </c>
      <c r="M1982" s="1523">
        <v>43690.5612847222</v>
      </c>
      <c r="N1982" s="1731">
        <v>3750000</v>
      </c>
      <c r="O1982" s="1367">
        <v>43861.595509259299</v>
      </c>
      <c r="P1982" s="1731">
        <v>3750000</v>
      </c>
      <c r="Q1982" s="1367">
        <v>44071.4856828704</v>
      </c>
      <c r="R1982" s="1363"/>
      <c r="S1982" s="1563"/>
      <c r="T1982" s="1363"/>
      <c r="U1982" s="1391"/>
      <c r="V1982" s="1363"/>
      <c r="W1982" s="1391"/>
      <c r="X1982" s="1363"/>
      <c r="Y1982" s="1391"/>
      <c r="Z1982" s="1363"/>
      <c r="AA1982" s="1391"/>
      <c r="AB1982" s="1731"/>
      <c r="AC1982" s="1367"/>
      <c r="AD1982" s="1666"/>
      <c r="AE1982" s="1590"/>
      <c r="AF1982" s="1666"/>
      <c r="AG1982" s="1590"/>
      <c r="AH1982" s="1625" t="str">
        <f t="shared" si="668"/>
        <v>PGMI-3</v>
      </c>
      <c r="AI1982" s="1675">
        <f t="shared" si="681"/>
        <v>13950000</v>
      </c>
      <c r="AJ1982" s="1675">
        <f t="shared" si="682"/>
        <v>13950000</v>
      </c>
      <c r="AK1982" s="1520">
        <f t="shared" si="687"/>
        <v>0</v>
      </c>
      <c r="AL1982" s="2210" t="str">
        <f t="shared" si="688"/>
        <v>Lunas</v>
      </c>
      <c r="AM1982" s="1666"/>
      <c r="AN1982" s="1590"/>
      <c r="AO1982"/>
      <c r="AP1982"/>
      <c r="AQ1982" s="1128"/>
      <c r="AR1982" s="1173"/>
      <c r="AT1982" s="1173"/>
      <c r="AV1982" s="1173"/>
      <c r="AX1982" s="1173"/>
      <c r="AY1982" s="1176"/>
      <c r="AZ1982" s="1173"/>
    </row>
    <row r="1983" spans="1:52" s="2" customFormat="1" x14ac:dyDescent="0.25">
      <c r="A1983" s="694">
        <v>1827</v>
      </c>
      <c r="B1983" s="671">
        <v>5</v>
      </c>
      <c r="C1983" s="716">
        <v>849419017</v>
      </c>
      <c r="D1983" s="701" t="s">
        <v>2477</v>
      </c>
      <c r="E1983" s="264" t="s">
        <v>2205</v>
      </c>
      <c r="F1983" s="175">
        <v>2019</v>
      </c>
      <c r="G1983" s="360" t="s">
        <v>1483</v>
      </c>
      <c r="H1983" s="215" t="str">
        <f t="shared" si="679"/>
        <v xml:space="preserve">   </v>
      </c>
      <c r="I1983" s="215" t="str">
        <f t="shared" si="680"/>
        <v xml:space="preserve">   </v>
      </c>
      <c r="J1983" s="1359">
        <v>2700000</v>
      </c>
      <c r="K1983" s="1523">
        <v>43689.6344328704</v>
      </c>
      <c r="L1983" s="1359">
        <v>3750000</v>
      </c>
      <c r="M1983" s="1523">
        <v>43689.6344328704</v>
      </c>
      <c r="N1983" s="1731">
        <v>3750000</v>
      </c>
      <c r="O1983" s="1367">
        <v>43858.344386574099</v>
      </c>
      <c r="P1983" s="1731">
        <v>3750000</v>
      </c>
      <c r="Q1983" s="1367">
        <v>44070.4231365741</v>
      </c>
      <c r="R1983" s="1363"/>
      <c r="S1983" s="1563"/>
      <c r="T1983" s="1363"/>
      <c r="U1983" s="1391"/>
      <c r="V1983" s="1363"/>
      <c r="W1983" s="1391"/>
      <c r="X1983" s="1363"/>
      <c r="Y1983" s="1391"/>
      <c r="Z1983" s="1363"/>
      <c r="AA1983" s="1391"/>
      <c r="AB1983" s="1731"/>
      <c r="AC1983" s="1367"/>
      <c r="AD1983" s="1666"/>
      <c r="AE1983" s="1590"/>
      <c r="AF1983" s="1666"/>
      <c r="AG1983" s="1590"/>
      <c r="AH1983" s="1625" t="str">
        <f t="shared" si="668"/>
        <v>PGMI-3</v>
      </c>
      <c r="AI1983" s="1675">
        <f t="shared" si="681"/>
        <v>13950000</v>
      </c>
      <c r="AJ1983" s="1675">
        <f t="shared" si="682"/>
        <v>13950000</v>
      </c>
      <c r="AK1983" s="1520">
        <f t="shared" si="687"/>
        <v>0</v>
      </c>
      <c r="AL1983" s="2210" t="str">
        <f t="shared" si="688"/>
        <v>Lunas</v>
      </c>
      <c r="AM1983" s="1666"/>
      <c r="AN1983" s="1590"/>
      <c r="AO1983"/>
      <c r="AP1983"/>
      <c r="AQ1983" s="1128"/>
      <c r="AR1983" s="1173"/>
      <c r="AT1983" s="1173"/>
      <c r="AV1983" s="1173"/>
      <c r="AX1983" s="1173"/>
      <c r="AY1983" s="1176"/>
      <c r="AZ1983" s="1173"/>
    </row>
    <row r="1984" spans="1:52" s="2" customFormat="1" x14ac:dyDescent="0.25">
      <c r="A1984" s="694">
        <v>1828</v>
      </c>
      <c r="B1984" s="671">
        <v>6</v>
      </c>
      <c r="C1984" s="716">
        <v>849419008</v>
      </c>
      <c r="D1984" s="701" t="s">
        <v>2478</v>
      </c>
      <c r="E1984" s="264" t="s">
        <v>2205</v>
      </c>
      <c r="F1984" s="175">
        <v>2019</v>
      </c>
      <c r="G1984" s="360" t="s">
        <v>1483</v>
      </c>
      <c r="H1984" s="727" t="str">
        <f t="shared" si="679"/>
        <v xml:space="preserve">   </v>
      </c>
      <c r="I1984" s="727" t="str">
        <f t="shared" si="680"/>
        <v xml:space="preserve">   </v>
      </c>
      <c r="J1984" s="1359">
        <v>2700000</v>
      </c>
      <c r="K1984" s="1523">
        <v>43689.470069444404</v>
      </c>
      <c r="L1984" s="1359">
        <v>3750000</v>
      </c>
      <c r="M1984" s="1523">
        <v>43689.470069444404</v>
      </c>
      <c r="N1984" s="1731">
        <v>3750000</v>
      </c>
      <c r="O1984" s="1367">
        <v>43857.401238425897</v>
      </c>
      <c r="P1984" s="1731">
        <v>3750000</v>
      </c>
      <c r="Q1984" s="1367">
        <v>44071.3808796296</v>
      </c>
      <c r="R1984" s="1363"/>
      <c r="S1984" s="1563"/>
      <c r="T1984" s="1363"/>
      <c r="U1984" s="1391"/>
      <c r="V1984" s="1363"/>
      <c r="W1984" s="1391"/>
      <c r="X1984" s="1363"/>
      <c r="Y1984" s="1391"/>
      <c r="Z1984" s="1363"/>
      <c r="AA1984" s="1391"/>
      <c r="AB1984" s="1731"/>
      <c r="AC1984" s="1367"/>
      <c r="AD1984" s="1666"/>
      <c r="AE1984" s="1590"/>
      <c r="AF1984" s="1666"/>
      <c r="AG1984" s="1590"/>
      <c r="AH1984" s="1626" t="str">
        <f t="shared" si="668"/>
        <v>PGMI-3</v>
      </c>
      <c r="AI1984" s="1675">
        <f t="shared" si="681"/>
        <v>13950000</v>
      </c>
      <c r="AJ1984" s="1675">
        <f t="shared" si="682"/>
        <v>13950000</v>
      </c>
      <c r="AK1984" s="1520">
        <f t="shared" si="687"/>
        <v>0</v>
      </c>
      <c r="AL1984" s="2210" t="str">
        <f t="shared" si="688"/>
        <v>Lunas</v>
      </c>
      <c r="AM1984" s="1666"/>
      <c r="AN1984" s="1590"/>
      <c r="AO1984"/>
      <c r="AP1984"/>
      <c r="AQ1984" s="1128"/>
      <c r="AR1984" s="1173"/>
      <c r="AT1984" s="1173"/>
      <c r="AV1984" s="1173"/>
      <c r="AX1984" s="1173"/>
      <c r="AY1984" s="1176"/>
      <c r="AZ1984" s="1173"/>
    </row>
    <row r="1985" spans="1:52" s="2" customFormat="1" x14ac:dyDescent="0.25">
      <c r="A1985" s="694">
        <v>1829</v>
      </c>
      <c r="B1985" s="671">
        <v>7</v>
      </c>
      <c r="C1985" s="716">
        <v>849419012</v>
      </c>
      <c r="D1985" s="701" t="s">
        <v>2479</v>
      </c>
      <c r="E1985" s="264" t="s">
        <v>2205</v>
      </c>
      <c r="F1985" s="175">
        <v>2019</v>
      </c>
      <c r="G1985" s="360" t="s">
        <v>1483</v>
      </c>
      <c r="H1985" s="215" t="str">
        <f t="shared" si="679"/>
        <v xml:space="preserve">   </v>
      </c>
      <c r="I1985" s="215" t="str">
        <f t="shared" si="680"/>
        <v xml:space="preserve">   </v>
      </c>
      <c r="J1985" s="1359">
        <v>2700000</v>
      </c>
      <c r="K1985" s="1523">
        <v>43689.415740740696</v>
      </c>
      <c r="L1985" s="1359">
        <v>3750000</v>
      </c>
      <c r="M1985" s="1523">
        <v>43689.415740740696</v>
      </c>
      <c r="N1985" s="1731">
        <v>3750000</v>
      </c>
      <c r="O1985" s="1367">
        <v>43853.477175925902</v>
      </c>
      <c r="P1985" s="1731">
        <v>3750000</v>
      </c>
      <c r="Q1985" s="1367">
        <v>44056.381967592599</v>
      </c>
      <c r="R1985" s="1363"/>
      <c r="S1985" s="1563"/>
      <c r="T1985" s="1363"/>
      <c r="U1985" s="1391"/>
      <c r="V1985" s="1363"/>
      <c r="W1985" s="1391"/>
      <c r="X1985" s="1363"/>
      <c r="Y1985" s="1391"/>
      <c r="Z1985" s="1363"/>
      <c r="AA1985" s="1391"/>
      <c r="AB1985" s="1731">
        <v>1000000</v>
      </c>
      <c r="AC1985" s="1367">
        <v>44203</v>
      </c>
      <c r="AD1985" s="1666"/>
      <c r="AE1985" s="1590"/>
      <c r="AF1985" s="1666"/>
      <c r="AG1985" s="1590"/>
      <c r="AH1985" s="1625" t="str">
        <f t="shared" si="668"/>
        <v>PGMI-3</v>
      </c>
      <c r="AI1985" s="1675">
        <f t="shared" si="681"/>
        <v>14950000</v>
      </c>
      <c r="AJ1985" s="1675">
        <f t="shared" si="682"/>
        <v>14950000</v>
      </c>
      <c r="AK1985" s="1520">
        <f t="shared" si="687"/>
        <v>0</v>
      </c>
      <c r="AL1985" s="2210" t="str">
        <f t="shared" si="688"/>
        <v>Lunas</v>
      </c>
      <c r="AM1985" s="1666"/>
      <c r="AN1985" s="1590"/>
      <c r="AO1985"/>
      <c r="AP1985"/>
      <c r="AQ1985" s="1128"/>
      <c r="AR1985" s="1173"/>
      <c r="AT1985" s="1173"/>
      <c r="AV1985" s="1173"/>
      <c r="AX1985" s="1173"/>
      <c r="AY1985" s="1176"/>
      <c r="AZ1985" s="1173"/>
    </row>
    <row r="1986" spans="1:52" s="2" customFormat="1" x14ac:dyDescent="0.25">
      <c r="A1986" s="694">
        <v>1830</v>
      </c>
      <c r="B1986" s="671">
        <v>8</v>
      </c>
      <c r="C1986" s="716">
        <v>849419015</v>
      </c>
      <c r="D1986" s="701" t="s">
        <v>2480</v>
      </c>
      <c r="E1986" s="264" t="s">
        <v>2205</v>
      </c>
      <c r="F1986" s="175">
        <v>2019</v>
      </c>
      <c r="G1986" s="360" t="s">
        <v>1483</v>
      </c>
      <c r="H1986" s="215" t="str">
        <f t="shared" si="679"/>
        <v xml:space="preserve">   </v>
      </c>
      <c r="I1986" s="215" t="str">
        <f t="shared" si="680"/>
        <v xml:space="preserve">   </v>
      </c>
      <c r="J1986" s="1359">
        <v>2700000</v>
      </c>
      <c r="K1986" s="1523">
        <v>43690.5363657407</v>
      </c>
      <c r="L1986" s="1359">
        <v>3750000</v>
      </c>
      <c r="M1986" s="1523">
        <v>43690.5363657407</v>
      </c>
      <c r="N1986" s="1731">
        <v>3750000</v>
      </c>
      <c r="O1986" s="1367">
        <v>43853.623900462997</v>
      </c>
      <c r="P1986" s="1731">
        <v>3750000</v>
      </c>
      <c r="Q1986" s="1367">
        <v>44069.3503472222</v>
      </c>
      <c r="R1986" s="1363"/>
      <c r="S1986" s="1563"/>
      <c r="T1986" s="1363"/>
      <c r="U1986" s="1391"/>
      <c r="V1986" s="1363"/>
      <c r="W1986" s="1391"/>
      <c r="X1986" s="1363"/>
      <c r="Y1986" s="1391"/>
      <c r="Z1986" s="1363"/>
      <c r="AA1986" s="1391"/>
      <c r="AB1986" s="1731"/>
      <c r="AC1986" s="1367"/>
      <c r="AD1986" s="1666"/>
      <c r="AE1986" s="1590"/>
      <c r="AF1986" s="1666"/>
      <c r="AG1986" s="1590"/>
      <c r="AH1986" s="1625" t="str">
        <f t="shared" si="668"/>
        <v>PGMI-3</v>
      </c>
      <c r="AI1986" s="1675">
        <f t="shared" si="681"/>
        <v>13950000</v>
      </c>
      <c r="AJ1986" s="1675">
        <f t="shared" si="682"/>
        <v>13950000</v>
      </c>
      <c r="AK1986" s="1520">
        <f t="shared" si="687"/>
        <v>0</v>
      </c>
      <c r="AL1986" s="2210" t="str">
        <f t="shared" si="688"/>
        <v>Lunas</v>
      </c>
      <c r="AM1986" s="1666"/>
      <c r="AN1986" s="1590"/>
      <c r="AO1986"/>
      <c r="AP1986"/>
      <c r="AQ1986" s="1128"/>
      <c r="AR1986" s="1173"/>
      <c r="AT1986" s="1173"/>
      <c r="AV1986" s="1173"/>
      <c r="AX1986" s="1173"/>
      <c r="AY1986" s="1176"/>
      <c r="AZ1986" s="1173"/>
    </row>
    <row r="1987" spans="1:52" s="2" customFormat="1" x14ac:dyDescent="0.25">
      <c r="A1987" s="694">
        <v>1831</v>
      </c>
      <c r="B1987" s="671">
        <v>9</v>
      </c>
      <c r="C1987" s="716">
        <v>849419019</v>
      </c>
      <c r="D1987" s="701" t="s">
        <v>2481</v>
      </c>
      <c r="E1987" s="264" t="s">
        <v>2205</v>
      </c>
      <c r="F1987" s="175">
        <v>2019</v>
      </c>
      <c r="G1987" s="360" t="s">
        <v>1483</v>
      </c>
      <c r="H1987" s="215" t="str">
        <f t="shared" si="679"/>
        <v xml:space="preserve">   </v>
      </c>
      <c r="I1987" s="215" t="str">
        <f t="shared" si="680"/>
        <v xml:space="preserve">   </v>
      </c>
      <c r="J1987" s="1359">
        <v>2700000</v>
      </c>
      <c r="K1987" s="1523">
        <v>43690.573495370401</v>
      </c>
      <c r="L1987" s="1359">
        <v>3750000</v>
      </c>
      <c r="M1987" s="1523">
        <v>43690.573495370401</v>
      </c>
      <c r="N1987" s="1731">
        <v>3750000</v>
      </c>
      <c r="O1987" s="1367">
        <v>43858.455312500002</v>
      </c>
      <c r="P1987" s="1731">
        <v>3750000</v>
      </c>
      <c r="Q1987" s="1367">
        <v>44039.321238425902</v>
      </c>
      <c r="R1987" s="1363"/>
      <c r="S1987" s="1563"/>
      <c r="T1987" s="1363"/>
      <c r="U1987" s="1391"/>
      <c r="V1987" s="1363"/>
      <c r="W1987" s="1391"/>
      <c r="X1987" s="1363"/>
      <c r="Y1987" s="1391"/>
      <c r="Z1987" s="1363"/>
      <c r="AA1987" s="1391"/>
      <c r="AB1987" s="1731"/>
      <c r="AC1987" s="1367"/>
      <c r="AD1987" s="1666"/>
      <c r="AE1987" s="1590"/>
      <c r="AF1987" s="1666"/>
      <c r="AG1987" s="1590"/>
      <c r="AH1987" s="1625" t="str">
        <f t="shared" si="668"/>
        <v>PGMI-3</v>
      </c>
      <c r="AI1987" s="1675">
        <f t="shared" si="681"/>
        <v>13950000</v>
      </c>
      <c r="AJ1987" s="1675">
        <f t="shared" si="682"/>
        <v>13950000</v>
      </c>
      <c r="AK1987" s="1520">
        <f t="shared" si="687"/>
        <v>0</v>
      </c>
      <c r="AL1987" s="2210" t="str">
        <f t="shared" si="688"/>
        <v>Lunas</v>
      </c>
      <c r="AM1987" s="1666"/>
      <c r="AN1987" s="1590"/>
      <c r="AO1987"/>
      <c r="AP1987"/>
      <c r="AQ1987" s="1128"/>
      <c r="AR1987" s="1173"/>
      <c r="AT1987" s="1173"/>
      <c r="AV1987" s="1173"/>
      <c r="AX1987" s="1173"/>
      <c r="AY1987" s="1176"/>
      <c r="AZ1987" s="1173"/>
    </row>
    <row r="1988" spans="1:52" s="2" customFormat="1" x14ac:dyDescent="0.25">
      <c r="A1988" s="694">
        <v>1832</v>
      </c>
      <c r="B1988" s="671">
        <v>11</v>
      </c>
      <c r="C1988" s="716">
        <v>849419006</v>
      </c>
      <c r="D1988" s="701" t="s">
        <v>2482</v>
      </c>
      <c r="E1988" s="264" t="s">
        <v>2205</v>
      </c>
      <c r="F1988" s="175">
        <v>2019</v>
      </c>
      <c r="G1988" s="360" t="s">
        <v>1483</v>
      </c>
      <c r="H1988" s="727" t="str">
        <f t="shared" si="679"/>
        <v xml:space="preserve">   </v>
      </c>
      <c r="I1988" s="727" t="str">
        <f t="shared" si="680"/>
        <v xml:space="preserve">   </v>
      </c>
      <c r="J1988" s="1359">
        <v>2700000</v>
      </c>
      <c r="K1988" s="1523">
        <v>43689.370694444398</v>
      </c>
      <c r="L1988" s="1359">
        <v>3750000</v>
      </c>
      <c r="M1988" s="1523">
        <v>43689.370694444398</v>
      </c>
      <c r="N1988" s="1731">
        <v>3750000</v>
      </c>
      <c r="O1988" s="1367">
        <v>43860.456608796303</v>
      </c>
      <c r="P1988" s="1186">
        <v>3750000</v>
      </c>
      <c r="Q1988" s="1386">
        <v>44068.464861111097</v>
      </c>
      <c r="R1988" s="1363"/>
      <c r="S1988" s="1563"/>
      <c r="T1988" s="1363"/>
      <c r="U1988" s="1391"/>
      <c r="V1988" s="1363"/>
      <c r="W1988" s="1391"/>
      <c r="X1988" s="1363"/>
      <c r="Y1988" s="1391"/>
      <c r="Z1988" s="1363"/>
      <c r="AA1988" s="1391"/>
      <c r="AB1988" s="1731"/>
      <c r="AC1988" s="1367"/>
      <c r="AD1988" s="1666"/>
      <c r="AE1988" s="1590"/>
      <c r="AF1988" s="1666"/>
      <c r="AG1988" s="1590"/>
      <c r="AH1988" s="1626" t="str">
        <f t="shared" si="668"/>
        <v>PGMI-3</v>
      </c>
      <c r="AI1988" s="1675">
        <f t="shared" si="681"/>
        <v>13950000</v>
      </c>
      <c r="AJ1988" s="1675">
        <f t="shared" si="682"/>
        <v>13950000</v>
      </c>
      <c r="AK1988" s="1520">
        <f t="shared" si="687"/>
        <v>0</v>
      </c>
      <c r="AL1988" s="2210" t="str">
        <f t="shared" si="688"/>
        <v>Lunas</v>
      </c>
      <c r="AM1988" s="1666"/>
      <c r="AN1988" s="1590"/>
      <c r="AO1988"/>
      <c r="AP1988"/>
      <c r="AQ1988" s="1128"/>
      <c r="AR1988" s="1173"/>
      <c r="AT1988" s="1173"/>
      <c r="AV1988" s="1173"/>
      <c r="AX1988" s="1173"/>
      <c r="AY1988" s="1176"/>
      <c r="AZ1988" s="1173"/>
    </row>
    <row r="1989" spans="1:52" s="2" customFormat="1" x14ac:dyDescent="0.25">
      <c r="A1989" s="694">
        <v>1833</v>
      </c>
      <c r="B1989" s="671">
        <v>12</v>
      </c>
      <c r="C1989" s="716">
        <v>849419010</v>
      </c>
      <c r="D1989" s="701" t="s">
        <v>2483</v>
      </c>
      <c r="E1989" s="264" t="s">
        <v>2205</v>
      </c>
      <c r="F1989" s="175">
        <v>2019</v>
      </c>
      <c r="G1989" s="360" t="s">
        <v>1483</v>
      </c>
      <c r="H1989" s="215" t="str">
        <f t="shared" si="679"/>
        <v xml:space="preserve">   </v>
      </c>
      <c r="I1989" s="215" t="str">
        <f t="shared" si="680"/>
        <v xml:space="preserve">   </v>
      </c>
      <c r="J1989" s="1359">
        <v>2700000</v>
      </c>
      <c r="K1989" s="1523">
        <v>43690.412870370397</v>
      </c>
      <c r="L1989" s="1359">
        <v>3750000</v>
      </c>
      <c r="M1989" s="1523">
        <v>43690.412870370397</v>
      </c>
      <c r="N1989" s="1731">
        <v>3750000</v>
      </c>
      <c r="O1989" s="1367">
        <v>43853.561504629601</v>
      </c>
      <c r="P1989" s="1731">
        <v>3750000</v>
      </c>
      <c r="Q1989" s="1367">
        <v>44068.488634259302</v>
      </c>
      <c r="R1989" s="1363"/>
      <c r="S1989" s="1563"/>
      <c r="T1989" s="1363"/>
      <c r="U1989" s="1391"/>
      <c r="V1989" s="1363"/>
      <c r="W1989" s="1391"/>
      <c r="X1989" s="1363"/>
      <c r="Y1989" s="1391"/>
      <c r="Z1989" s="1363"/>
      <c r="AA1989" s="1391"/>
      <c r="AB1989" s="1731"/>
      <c r="AC1989" s="1367"/>
      <c r="AD1989" s="1666"/>
      <c r="AE1989" s="1590"/>
      <c r="AF1989" s="1666"/>
      <c r="AG1989" s="1590"/>
      <c r="AH1989" s="1625" t="str">
        <f t="shared" si="668"/>
        <v>PGMI-3</v>
      </c>
      <c r="AI1989" s="1675">
        <f t="shared" si="681"/>
        <v>13950000</v>
      </c>
      <c r="AJ1989" s="1675">
        <f t="shared" si="682"/>
        <v>13950000</v>
      </c>
      <c r="AK1989" s="1520">
        <f t="shared" si="687"/>
        <v>0</v>
      </c>
      <c r="AL1989" s="2210" t="str">
        <f t="shared" si="688"/>
        <v>Lunas</v>
      </c>
      <c r="AM1989" s="1666"/>
      <c r="AN1989" s="1590"/>
      <c r="AO1989"/>
      <c r="AP1989"/>
      <c r="AQ1989" s="1128"/>
      <c r="AR1989" s="1173"/>
      <c r="AT1989" s="1173"/>
      <c r="AV1989" s="1173"/>
      <c r="AX1989" s="1173"/>
      <c r="AY1989" s="1176"/>
      <c r="AZ1989" s="1173"/>
    </row>
    <row r="1990" spans="1:52" s="2" customFormat="1" x14ac:dyDescent="0.25">
      <c r="A1990" s="694">
        <v>1834</v>
      </c>
      <c r="B1990" s="671">
        <v>13</v>
      </c>
      <c r="C1990" s="716">
        <v>849419002</v>
      </c>
      <c r="D1990" s="701" t="s">
        <v>2484</v>
      </c>
      <c r="E1990" s="264" t="s">
        <v>2205</v>
      </c>
      <c r="F1990" s="175">
        <v>2019</v>
      </c>
      <c r="G1990" s="360" t="s">
        <v>1483</v>
      </c>
      <c r="H1990" s="215" t="str">
        <f t="shared" si="679"/>
        <v xml:space="preserve">   </v>
      </c>
      <c r="I1990" s="215" t="str">
        <f t="shared" si="680"/>
        <v xml:space="preserve">   </v>
      </c>
      <c r="J1990" s="1359">
        <v>2700000</v>
      </c>
      <c r="K1990" s="1523">
        <v>43679.4194907407</v>
      </c>
      <c r="L1990" s="1359">
        <v>3750000</v>
      </c>
      <c r="M1990" s="1523">
        <v>43679.4194907407</v>
      </c>
      <c r="N1990" s="1731">
        <v>3750000</v>
      </c>
      <c r="O1990" s="1367">
        <v>43853.549953703703</v>
      </c>
      <c r="P1990" s="1731">
        <v>3750000</v>
      </c>
      <c r="Q1990" s="1367">
        <v>44068.442731481497</v>
      </c>
      <c r="R1990" s="1363"/>
      <c r="S1990" s="1563"/>
      <c r="T1990" s="1363"/>
      <c r="U1990" s="1391"/>
      <c r="V1990" s="1363"/>
      <c r="W1990" s="1391"/>
      <c r="X1990" s="1363"/>
      <c r="Y1990" s="1391"/>
      <c r="Z1990" s="1363"/>
      <c r="AA1990" s="1391"/>
      <c r="AB1990" s="1731"/>
      <c r="AC1990" s="1367"/>
      <c r="AD1990" s="1666"/>
      <c r="AE1990" s="1590"/>
      <c r="AF1990" s="1666"/>
      <c r="AG1990" s="1590"/>
      <c r="AH1990" s="1625" t="str">
        <f t="shared" si="668"/>
        <v>PGMI-3</v>
      </c>
      <c r="AI1990" s="1675">
        <f t="shared" si="681"/>
        <v>13950000</v>
      </c>
      <c r="AJ1990" s="1675">
        <f t="shared" si="682"/>
        <v>13950000</v>
      </c>
      <c r="AK1990" s="1520">
        <f t="shared" si="687"/>
        <v>0</v>
      </c>
      <c r="AL1990" s="2210" t="str">
        <f t="shared" si="688"/>
        <v>Lunas</v>
      </c>
      <c r="AM1990" s="1666"/>
      <c r="AN1990" s="1590"/>
      <c r="AO1990"/>
      <c r="AP1990"/>
      <c r="AQ1990" s="1128"/>
      <c r="AR1990" s="1173"/>
      <c r="AT1990" s="1173"/>
      <c r="AV1990" s="1173"/>
      <c r="AX1990" s="1173"/>
      <c r="AY1990" s="1176"/>
      <c r="AZ1990" s="1173"/>
    </row>
    <row r="1991" spans="1:52" s="2" customFormat="1" x14ac:dyDescent="0.25">
      <c r="A1991" s="694">
        <v>1835</v>
      </c>
      <c r="B1991" s="671">
        <v>14</v>
      </c>
      <c r="C1991" s="716">
        <v>849419021</v>
      </c>
      <c r="D1991" s="701" t="s">
        <v>2485</v>
      </c>
      <c r="E1991" s="264" t="s">
        <v>2205</v>
      </c>
      <c r="F1991" s="175">
        <v>2019</v>
      </c>
      <c r="G1991" s="581" t="s">
        <v>1833</v>
      </c>
      <c r="H1991" s="215" t="str">
        <f t="shared" si="679"/>
        <v xml:space="preserve">   </v>
      </c>
      <c r="I1991" s="215" t="str">
        <f t="shared" si="680"/>
        <v xml:space="preserve">   </v>
      </c>
      <c r="J1991" s="1359">
        <v>2700000</v>
      </c>
      <c r="K1991" s="1523">
        <v>43690.598935185197</v>
      </c>
      <c r="L1991" s="1359">
        <v>3750000</v>
      </c>
      <c r="M1991" s="1523">
        <v>43690.598935185197</v>
      </c>
      <c r="N1991" s="2077" t="s">
        <v>1078</v>
      </c>
      <c r="O1991" s="1386">
        <v>43861</v>
      </c>
      <c r="P1991" s="1186" t="s">
        <v>1078</v>
      </c>
      <c r="Q1991" s="1386">
        <v>44071</v>
      </c>
      <c r="R1991" s="1363" t="str">
        <f>IFERROR(VLOOKUP(C1991,BSP,3,FALSE),"  ")</f>
        <v xml:space="preserve">  </v>
      </c>
      <c r="S1991" s="1563" t="str">
        <f>IFERROR((VLOOKUP(C1991,BSP,4,FALSE)),"  ")</f>
        <v xml:space="preserve">  </v>
      </c>
      <c r="T1991" s="1363"/>
      <c r="U1991" s="1391"/>
      <c r="V1991" s="1363"/>
      <c r="W1991" s="1391"/>
      <c r="X1991" s="1363"/>
      <c r="Y1991" s="1391"/>
      <c r="Z1991" s="1363"/>
      <c r="AA1991" s="1391"/>
      <c r="AB1991" s="1731"/>
      <c r="AC1991" s="1367"/>
      <c r="AD1991" s="1666"/>
      <c r="AE1991" s="1590"/>
      <c r="AF1991" s="1666"/>
      <c r="AG1991" s="1590"/>
      <c r="AH1991" s="1625" t="str">
        <f t="shared" si="668"/>
        <v>PGMI-3</v>
      </c>
      <c r="AI1991" s="1675">
        <f t="shared" si="681"/>
        <v>6450000</v>
      </c>
      <c r="AJ1991" s="1675">
        <f t="shared" si="682"/>
        <v>6450000</v>
      </c>
      <c r="AK1991" s="1520">
        <f t="shared" si="687"/>
        <v>0</v>
      </c>
      <c r="AL1991" s="2210" t="str">
        <f t="shared" si="688"/>
        <v>Lunas</v>
      </c>
      <c r="AM1991" s="1666"/>
      <c r="AN1991" s="1590"/>
      <c r="AO1991"/>
      <c r="AP1991"/>
      <c r="AQ1991" s="1128"/>
      <c r="AR1991" s="1173"/>
      <c r="AT1991" s="1173"/>
      <c r="AV1991" s="1173"/>
      <c r="AX1991" s="1173"/>
      <c r="AY1991" s="1176"/>
      <c r="AZ1991" s="1173"/>
    </row>
    <row r="1992" spans="1:52" s="2" customFormat="1" x14ac:dyDescent="0.25">
      <c r="A1992" s="694">
        <v>1836</v>
      </c>
      <c r="B1992" s="671">
        <v>15</v>
      </c>
      <c r="C1992" s="716">
        <v>849419018</v>
      </c>
      <c r="D1992" s="701" t="s">
        <v>2486</v>
      </c>
      <c r="E1992" s="264" t="s">
        <v>2205</v>
      </c>
      <c r="F1992" s="175">
        <v>2019</v>
      </c>
      <c r="G1992" s="1758" t="s">
        <v>28</v>
      </c>
      <c r="H1992" s="215" t="str">
        <f t="shared" si="679"/>
        <v xml:space="preserve">   </v>
      </c>
      <c r="I1992" s="215" t="str">
        <f t="shared" si="680"/>
        <v xml:space="preserve">   </v>
      </c>
      <c r="J1992" s="1359">
        <v>2700000</v>
      </c>
      <c r="K1992" s="1523">
        <v>43689.632534722201</v>
      </c>
      <c r="L1992" s="1359">
        <v>3750000</v>
      </c>
      <c r="M1992" s="1523">
        <v>43689.632534722201</v>
      </c>
      <c r="N1992" s="1731">
        <v>0</v>
      </c>
      <c r="O1992" s="1367"/>
      <c r="P1992" s="1731">
        <v>0</v>
      </c>
      <c r="Q1992" s="1367"/>
      <c r="R1992" s="1363" t="str">
        <f>IFERROR(VLOOKUP(C1992,BSP,3,FALSE),"  ")</f>
        <v xml:space="preserve">  </v>
      </c>
      <c r="S1992" s="1563" t="str">
        <f>IFERROR((VLOOKUP(C1992,BSP,4,FALSE)),"  ")</f>
        <v xml:space="preserve">  </v>
      </c>
      <c r="T1992" s="1363"/>
      <c r="U1992" s="1391"/>
      <c r="V1992" s="1363"/>
      <c r="W1992" s="1391"/>
      <c r="X1992" s="1363"/>
      <c r="Y1992" s="1391"/>
      <c r="Z1992" s="1363"/>
      <c r="AA1992" s="1391"/>
      <c r="AB1992" s="1731"/>
      <c r="AC1992" s="1367"/>
      <c r="AD1992" s="1666"/>
      <c r="AE1992" s="1590"/>
      <c r="AF1992" s="1666"/>
      <c r="AG1992" s="1590"/>
      <c r="AH1992" s="1625" t="str">
        <f t="shared" si="668"/>
        <v>PGMI-3</v>
      </c>
      <c r="AI1992" s="1675">
        <f t="shared" si="681"/>
        <v>6450000</v>
      </c>
      <c r="AJ1992" s="1675">
        <f t="shared" si="682"/>
        <v>13950000</v>
      </c>
      <c r="AK1992" s="1520">
        <f t="shared" si="687"/>
        <v>7500000</v>
      </c>
      <c r="AL1992" s="2210" t="str">
        <f t="shared" si="688"/>
        <v>Cek</v>
      </c>
      <c r="AM1992" s="1666"/>
      <c r="AN1992" s="1590"/>
      <c r="AO1992"/>
      <c r="AP1992"/>
      <c r="AQ1992" s="1128"/>
      <c r="AR1992" s="1173"/>
      <c r="AT1992" s="1173"/>
      <c r="AV1992" s="1173"/>
      <c r="AX1992" s="1173"/>
      <c r="AY1992" s="1176"/>
      <c r="AZ1992" s="1173"/>
    </row>
    <row r="1993" spans="1:52" s="2" customFormat="1" x14ac:dyDescent="0.25">
      <c r="A1993" s="694">
        <v>1837</v>
      </c>
      <c r="B1993" s="671">
        <v>16</v>
      </c>
      <c r="C1993" s="716">
        <v>849419016</v>
      </c>
      <c r="D1993" s="701" t="s">
        <v>2487</v>
      </c>
      <c r="E1993" s="264" t="s">
        <v>2205</v>
      </c>
      <c r="F1993" s="175">
        <v>2019</v>
      </c>
      <c r="G1993" s="360" t="s">
        <v>1483</v>
      </c>
      <c r="H1993" s="215" t="str">
        <f t="shared" si="679"/>
        <v xml:space="preserve">   </v>
      </c>
      <c r="I1993" s="215" t="str">
        <f t="shared" si="680"/>
        <v xml:space="preserve">   </v>
      </c>
      <c r="J1993" s="1359">
        <v>2700000</v>
      </c>
      <c r="K1993" s="1523">
        <v>43690.535706018498</v>
      </c>
      <c r="L1993" s="1359">
        <v>3750000</v>
      </c>
      <c r="M1993" s="1523">
        <v>43690.535706018498</v>
      </c>
      <c r="N1993" s="1731">
        <v>3750000</v>
      </c>
      <c r="O1993" s="1367">
        <v>43853.625694444403</v>
      </c>
      <c r="P1993" s="1731">
        <v>3750000</v>
      </c>
      <c r="Q1993" s="1367">
        <v>44071.403368055602</v>
      </c>
      <c r="R1993" s="1363"/>
      <c r="S1993" s="1563"/>
      <c r="T1993" s="1363"/>
      <c r="U1993" s="1391"/>
      <c r="V1993" s="1363"/>
      <c r="W1993" s="1391"/>
      <c r="X1993" s="1363"/>
      <c r="Y1993" s="1391"/>
      <c r="Z1993" s="1363"/>
      <c r="AA1993" s="1391"/>
      <c r="AB1993" s="1731"/>
      <c r="AC1993" s="1367"/>
      <c r="AD1993" s="1666"/>
      <c r="AE1993" s="1590"/>
      <c r="AF1993" s="1666"/>
      <c r="AG1993" s="1590"/>
      <c r="AH1993" s="1625" t="str">
        <f t="shared" si="668"/>
        <v>PGMI-3</v>
      </c>
      <c r="AI1993" s="1675">
        <f t="shared" si="681"/>
        <v>13950000</v>
      </c>
      <c r="AJ1993" s="1675">
        <f t="shared" si="682"/>
        <v>13950000</v>
      </c>
      <c r="AK1993" s="1520">
        <f t="shared" si="687"/>
        <v>0</v>
      </c>
      <c r="AL1993" s="2210" t="str">
        <f t="shared" si="688"/>
        <v>Lunas</v>
      </c>
      <c r="AM1993" s="1666"/>
      <c r="AN1993" s="1590"/>
      <c r="AO1993"/>
      <c r="AP1993"/>
      <c r="AQ1993" s="1128"/>
      <c r="AR1993" s="1173"/>
      <c r="AT1993" s="1173"/>
      <c r="AV1993" s="1173"/>
      <c r="AX1993" s="1173"/>
      <c r="AY1993" s="1176"/>
      <c r="AZ1993" s="1173"/>
    </row>
    <row r="1994" spans="1:52" s="2" customFormat="1" x14ac:dyDescent="0.25">
      <c r="A1994" s="694">
        <v>1838</v>
      </c>
      <c r="B1994" s="671">
        <v>17</v>
      </c>
      <c r="C1994" s="716">
        <v>849419003</v>
      </c>
      <c r="D1994" s="701" t="s">
        <v>2488</v>
      </c>
      <c r="E1994" s="264" t="s">
        <v>2205</v>
      </c>
      <c r="F1994" s="175">
        <v>2019</v>
      </c>
      <c r="G1994" s="360" t="s">
        <v>1483</v>
      </c>
      <c r="H1994" s="727" t="str">
        <f t="shared" si="679"/>
        <v xml:space="preserve">   </v>
      </c>
      <c r="I1994" s="727" t="str">
        <f t="shared" si="680"/>
        <v xml:space="preserve">   </v>
      </c>
      <c r="J1994" s="1359">
        <v>2700000</v>
      </c>
      <c r="K1994" s="1523">
        <v>43685.580601851798</v>
      </c>
      <c r="L1994" s="1359">
        <v>3750000</v>
      </c>
      <c r="M1994" s="1523">
        <v>43685.580601851798</v>
      </c>
      <c r="N1994" s="1731">
        <v>3750000</v>
      </c>
      <c r="O1994" s="1367">
        <v>43860.386006944398</v>
      </c>
      <c r="P1994" s="1731">
        <v>3750000</v>
      </c>
      <c r="Q1994" s="1367">
        <v>44069.550231481502</v>
      </c>
      <c r="R1994" s="1363"/>
      <c r="S1994" s="1563"/>
      <c r="T1994" s="1363"/>
      <c r="U1994" s="1391"/>
      <c r="V1994" s="1363"/>
      <c r="W1994" s="1391"/>
      <c r="X1994" s="1363"/>
      <c r="Y1994" s="1391"/>
      <c r="Z1994" s="1363"/>
      <c r="AA1994" s="1391"/>
      <c r="AB1994" s="1731"/>
      <c r="AC1994" s="1367"/>
      <c r="AD1994" s="1666"/>
      <c r="AE1994" s="1590"/>
      <c r="AF1994" s="1666"/>
      <c r="AG1994" s="1590"/>
      <c r="AH1994" s="1626" t="str">
        <f t="shared" si="668"/>
        <v>PGMI-3</v>
      </c>
      <c r="AI1994" s="1675">
        <f t="shared" si="681"/>
        <v>13950000</v>
      </c>
      <c r="AJ1994" s="1675">
        <f t="shared" si="682"/>
        <v>13950000</v>
      </c>
      <c r="AK1994" s="1520">
        <f t="shared" si="687"/>
        <v>0</v>
      </c>
      <c r="AL1994" s="2210" t="str">
        <f t="shared" si="688"/>
        <v>Lunas</v>
      </c>
      <c r="AM1994" s="1666"/>
      <c r="AN1994" s="1590"/>
      <c r="AO1994"/>
      <c r="AP1994"/>
      <c r="AQ1994" s="1128"/>
      <c r="AR1994" s="1173"/>
      <c r="AT1994" s="1173"/>
      <c r="AV1994" s="1173"/>
      <c r="AX1994" s="1173"/>
      <c r="AY1994" s="1176"/>
      <c r="AZ1994" s="1173"/>
    </row>
    <row r="1995" spans="1:52" s="2" customFormat="1" x14ac:dyDescent="0.25">
      <c r="A1995" s="694">
        <v>1839</v>
      </c>
      <c r="B1995" s="671">
        <v>18</v>
      </c>
      <c r="C1995" s="716">
        <v>849419020</v>
      </c>
      <c r="D1995" s="701" t="s">
        <v>1736</v>
      </c>
      <c r="E1995" s="264" t="s">
        <v>2205</v>
      </c>
      <c r="F1995" s="175">
        <v>2019</v>
      </c>
      <c r="G1995" s="360" t="s">
        <v>1483</v>
      </c>
      <c r="H1995" s="215" t="str">
        <f t="shared" si="679"/>
        <v xml:space="preserve">   </v>
      </c>
      <c r="I1995" s="215" t="str">
        <f t="shared" si="680"/>
        <v xml:space="preserve">   </v>
      </c>
      <c r="J1995" s="1359">
        <v>2700000</v>
      </c>
      <c r="K1995" s="1523">
        <v>43692.561585648102</v>
      </c>
      <c r="L1995" s="1359">
        <v>3750000</v>
      </c>
      <c r="M1995" s="1523">
        <v>43692.561585648102</v>
      </c>
      <c r="N1995" s="1731">
        <v>3750000</v>
      </c>
      <c r="O1995" s="1367">
        <v>43854.613009259301</v>
      </c>
      <c r="P1995" s="1731">
        <v>3750000</v>
      </c>
      <c r="Q1995" s="1367">
        <v>44071.760347222204</v>
      </c>
      <c r="R1995" s="1363"/>
      <c r="S1995" s="1563"/>
      <c r="T1995" s="1363"/>
      <c r="U1995" s="1391"/>
      <c r="V1995" s="1363"/>
      <c r="W1995" s="1391"/>
      <c r="X1995" s="1363"/>
      <c r="Y1995" s="1391"/>
      <c r="Z1995" s="1363"/>
      <c r="AA1995" s="1391"/>
      <c r="AB1995" s="1731"/>
      <c r="AC1995" s="1367"/>
      <c r="AD1995" s="1666"/>
      <c r="AE1995" s="1590"/>
      <c r="AF1995" s="1666"/>
      <c r="AG1995" s="1590"/>
      <c r="AH1995" s="1625" t="str">
        <f t="shared" si="668"/>
        <v>PGMI-3</v>
      </c>
      <c r="AI1995" s="1675">
        <f t="shared" si="681"/>
        <v>13950000</v>
      </c>
      <c r="AJ1995" s="1675">
        <f t="shared" si="682"/>
        <v>13950000</v>
      </c>
      <c r="AK1995" s="1520">
        <f t="shared" si="687"/>
        <v>0</v>
      </c>
      <c r="AL1995" s="2210" t="str">
        <f t="shared" si="688"/>
        <v>Lunas</v>
      </c>
      <c r="AM1995" s="1666"/>
      <c r="AN1995" s="1590"/>
      <c r="AO1995"/>
      <c r="AP1995"/>
      <c r="AQ1995" s="1128"/>
      <c r="AR1995" s="1173"/>
      <c r="AT1995" s="1173"/>
      <c r="AV1995" s="1173"/>
      <c r="AX1995" s="1173"/>
      <c r="AY1995" s="1176"/>
      <c r="AZ1995" s="1173"/>
    </row>
    <row r="1996" spans="1:52" s="2" customFormat="1" x14ac:dyDescent="0.25">
      <c r="A1996" s="694">
        <v>1840</v>
      </c>
      <c r="B1996" s="671">
        <v>19</v>
      </c>
      <c r="C1996" s="716">
        <v>849419007</v>
      </c>
      <c r="D1996" s="701" t="s">
        <v>2489</v>
      </c>
      <c r="E1996" s="264" t="s">
        <v>2205</v>
      </c>
      <c r="F1996" s="175">
        <v>2019</v>
      </c>
      <c r="G1996" s="360" t="s">
        <v>1483</v>
      </c>
      <c r="H1996" s="215" t="str">
        <f t="shared" si="679"/>
        <v xml:space="preserve">   </v>
      </c>
      <c r="I1996" s="215" t="str">
        <f t="shared" si="680"/>
        <v xml:space="preserve">   </v>
      </c>
      <c r="J1996" s="1359">
        <v>2700000</v>
      </c>
      <c r="K1996" s="1523">
        <v>43685.3518287037</v>
      </c>
      <c r="L1996" s="1359">
        <v>3750000</v>
      </c>
      <c r="M1996" s="1523">
        <v>43685.3518287037</v>
      </c>
      <c r="N1996" s="1731">
        <v>3750000</v>
      </c>
      <c r="O1996" s="1367">
        <v>43854.595671296302</v>
      </c>
      <c r="P1996" s="1731">
        <v>3750000</v>
      </c>
      <c r="Q1996" s="1367">
        <v>44042.397048611099</v>
      </c>
      <c r="R1996" s="1363"/>
      <c r="S1996" s="1563"/>
      <c r="T1996" s="1363"/>
      <c r="U1996" s="1391"/>
      <c r="V1996" s="1363"/>
      <c r="W1996" s="1391"/>
      <c r="X1996" s="1363"/>
      <c r="Y1996" s="1391"/>
      <c r="Z1996" s="1363"/>
      <c r="AA1996" s="1391"/>
      <c r="AB1996" s="1731"/>
      <c r="AC1996" s="1367"/>
      <c r="AD1996" s="1666"/>
      <c r="AE1996" s="1590"/>
      <c r="AF1996" s="1666"/>
      <c r="AG1996" s="1590"/>
      <c r="AH1996" s="1625" t="str">
        <f t="shared" si="668"/>
        <v>PGMI-3</v>
      </c>
      <c r="AI1996" s="1675">
        <f t="shared" si="681"/>
        <v>13950000</v>
      </c>
      <c r="AJ1996" s="1675">
        <f t="shared" si="682"/>
        <v>13950000</v>
      </c>
      <c r="AK1996" s="1520">
        <f t="shared" si="687"/>
        <v>0</v>
      </c>
      <c r="AL1996" s="2210" t="str">
        <f t="shared" si="688"/>
        <v>Lunas</v>
      </c>
      <c r="AM1996" s="1666"/>
      <c r="AN1996" s="1590"/>
      <c r="AO1996"/>
      <c r="AP1996"/>
      <c r="AQ1996" s="1128"/>
      <c r="AR1996" s="1173"/>
      <c r="AT1996" s="1173"/>
      <c r="AV1996" s="1173"/>
      <c r="AX1996" s="1173"/>
      <c r="AY1996" s="1176"/>
      <c r="AZ1996" s="1173"/>
    </row>
    <row r="1997" spans="1:52" s="2" customFormat="1" x14ac:dyDescent="0.25">
      <c r="A1997" s="694">
        <v>1841</v>
      </c>
      <c r="B1997" s="671">
        <v>20</v>
      </c>
      <c r="C1997" s="716">
        <v>849419013</v>
      </c>
      <c r="D1997" s="701" t="s">
        <v>2490</v>
      </c>
      <c r="E1997" s="264" t="s">
        <v>2205</v>
      </c>
      <c r="F1997" s="175">
        <v>2019</v>
      </c>
      <c r="G1997" s="360" t="s">
        <v>1483</v>
      </c>
      <c r="H1997" s="215" t="str">
        <f t="shared" si="679"/>
        <v xml:space="preserve">   </v>
      </c>
      <c r="I1997" s="215" t="str">
        <f t="shared" si="680"/>
        <v xml:space="preserve">   </v>
      </c>
      <c r="J1997" s="1359">
        <v>2700000</v>
      </c>
      <c r="K1997" s="1523">
        <v>43690.349525463003</v>
      </c>
      <c r="L1997" s="1359">
        <v>3750000</v>
      </c>
      <c r="M1997" s="1523">
        <v>43690.349525463003</v>
      </c>
      <c r="N1997" s="1731">
        <v>3750000</v>
      </c>
      <c r="O1997" s="1367">
        <v>43861.592314814799</v>
      </c>
      <c r="P1997" s="1731">
        <v>3750000</v>
      </c>
      <c r="Q1997" s="1367">
        <v>44046.564861111103</v>
      </c>
      <c r="R1997" s="1363"/>
      <c r="S1997" s="1563"/>
      <c r="T1997" s="1363"/>
      <c r="U1997" s="1391"/>
      <c r="V1997" s="1363"/>
      <c r="W1997" s="1391"/>
      <c r="X1997" s="1363"/>
      <c r="Y1997" s="1391"/>
      <c r="Z1997" s="1363"/>
      <c r="AA1997" s="1391"/>
      <c r="AB1997" s="1731"/>
      <c r="AC1997" s="1367"/>
      <c r="AD1997" s="1666"/>
      <c r="AE1997" s="1590"/>
      <c r="AF1997" s="1666"/>
      <c r="AG1997" s="1590"/>
      <c r="AH1997" s="1625" t="str">
        <f t="shared" si="668"/>
        <v>PGMI-3</v>
      </c>
      <c r="AI1997" s="1675">
        <f t="shared" si="681"/>
        <v>13950000</v>
      </c>
      <c r="AJ1997" s="1675">
        <f t="shared" si="682"/>
        <v>13950000</v>
      </c>
      <c r="AK1997" s="1520">
        <f t="shared" si="687"/>
        <v>0</v>
      </c>
      <c r="AL1997" s="2210" t="str">
        <f t="shared" si="688"/>
        <v>Lunas</v>
      </c>
      <c r="AM1997" s="1666"/>
      <c r="AN1997" s="1590"/>
      <c r="AO1997"/>
      <c r="AP1997"/>
      <c r="AQ1997" s="1128"/>
      <c r="AR1997" s="1173"/>
      <c r="AT1997" s="1173"/>
      <c r="AV1997" s="1173"/>
      <c r="AX1997" s="1173"/>
      <c r="AY1997" s="1176"/>
      <c r="AZ1997" s="1173"/>
    </row>
    <row r="1998" spans="1:52" s="2" customFormat="1" x14ac:dyDescent="0.25">
      <c r="A1998" s="694">
        <v>1842</v>
      </c>
      <c r="B1998" s="671">
        <v>21</v>
      </c>
      <c r="C1998" s="716">
        <v>849419004</v>
      </c>
      <c r="D1998" s="701" t="s">
        <v>2491</v>
      </c>
      <c r="E1998" s="264" t="s">
        <v>2205</v>
      </c>
      <c r="F1998" s="175">
        <v>2019</v>
      </c>
      <c r="G1998" s="360" t="s">
        <v>1483</v>
      </c>
      <c r="H1998" s="215" t="str">
        <f t="shared" si="679"/>
        <v xml:space="preserve">   </v>
      </c>
      <c r="I1998" s="215" t="str">
        <f t="shared" si="680"/>
        <v xml:space="preserve">   </v>
      </c>
      <c r="J1998" s="1359">
        <v>2700000</v>
      </c>
      <c r="K1998" s="1523">
        <v>43682.599537037</v>
      </c>
      <c r="L1998" s="1359">
        <v>3750000</v>
      </c>
      <c r="M1998" s="1523">
        <v>43682.599537037</v>
      </c>
      <c r="N1998" s="1731">
        <v>3750000</v>
      </c>
      <c r="O1998" s="1367">
        <v>43853.462303240703</v>
      </c>
      <c r="P1998" s="1731">
        <v>3750000</v>
      </c>
      <c r="Q1998" s="1367">
        <v>44067.475902777798</v>
      </c>
      <c r="R1998" s="1363"/>
      <c r="S1998" s="1563"/>
      <c r="T1998" s="1363"/>
      <c r="U1998" s="1391"/>
      <c r="V1998" s="1363"/>
      <c r="W1998" s="1391"/>
      <c r="X1998" s="1363"/>
      <c r="Y1998" s="1391"/>
      <c r="Z1998" s="1363"/>
      <c r="AA1998" s="1391"/>
      <c r="AB1998" s="1731">
        <v>1000000</v>
      </c>
      <c r="AC1998" s="1367">
        <v>44203</v>
      </c>
      <c r="AD1998" s="1666"/>
      <c r="AE1998" s="1590"/>
      <c r="AF1998" s="1666"/>
      <c r="AG1998" s="1590"/>
      <c r="AH1998" s="1625" t="str">
        <f t="shared" si="668"/>
        <v>PGMI-3</v>
      </c>
      <c r="AI1998" s="1675">
        <f t="shared" si="681"/>
        <v>14950000</v>
      </c>
      <c r="AJ1998" s="1675">
        <f t="shared" si="682"/>
        <v>14950000</v>
      </c>
      <c r="AK1998" s="1520">
        <f t="shared" si="687"/>
        <v>0</v>
      </c>
      <c r="AL1998" s="2210" t="str">
        <f t="shared" si="688"/>
        <v>Lunas</v>
      </c>
      <c r="AM1998" s="1666"/>
      <c r="AN1998" s="1590"/>
      <c r="AO1998"/>
      <c r="AP1998"/>
      <c r="AQ1998" s="1128"/>
      <c r="AR1998" s="1173"/>
      <c r="AT1998" s="1173"/>
      <c r="AV1998" s="1173"/>
      <c r="AX1998" s="1173"/>
      <c r="AY1998" s="1176"/>
      <c r="AZ1998" s="1173"/>
    </row>
    <row r="1999" spans="1:52" s="2" customFormat="1" x14ac:dyDescent="0.25">
      <c r="A1999" s="725"/>
      <c r="B1999" s="725"/>
      <c r="C1999" s="33"/>
      <c r="D1999" s="123"/>
      <c r="E1999" s="123"/>
      <c r="F1999" s="120" t="s">
        <v>61</v>
      </c>
      <c r="G1999" s="123"/>
      <c r="H1999" s="124"/>
      <c r="I1999" s="124"/>
      <c r="J1999" s="1212"/>
      <c r="K1999" s="2252"/>
      <c r="L1999" s="2253"/>
      <c r="M1999" s="1436"/>
      <c r="N1999" s="2253"/>
      <c r="O1999" s="2252"/>
      <c r="P1999" s="2253"/>
      <c r="Q1999" s="2252"/>
      <c r="R1999" s="2253"/>
      <c r="S1999" s="2261"/>
      <c r="T1999" s="2253"/>
      <c r="U1999" s="2252"/>
      <c r="V1999" s="2253"/>
      <c r="W1999" s="2252"/>
      <c r="X1999" s="2253"/>
      <c r="Y1999" s="2252"/>
      <c r="Z1999" s="2253"/>
      <c r="AA1999" s="2252"/>
      <c r="AB1999" s="2268"/>
      <c r="AC1999" s="2252"/>
      <c r="AD1999" s="747"/>
      <c r="AE1999" s="1155"/>
      <c r="AF1999" s="747"/>
      <c r="AG1999" s="1155"/>
      <c r="AH1999" s="1168">
        <f t="shared" si="668"/>
        <v>0</v>
      </c>
      <c r="AI1999" s="747"/>
      <c r="AJ1999" s="747"/>
      <c r="AK1999" s="747"/>
      <c r="AL1999" s="1170"/>
      <c r="AM1999" s="1170"/>
      <c r="AN1999" s="1209"/>
      <c r="AO1999" s="1170"/>
      <c r="AP1999" s="1209"/>
      <c r="AQ1999" s="1128"/>
      <c r="AR1999" s="1173"/>
      <c r="AT1999" s="1173"/>
      <c r="AV1999" s="1173"/>
      <c r="AX1999" s="1173"/>
      <c r="AY1999" s="1176"/>
      <c r="AZ1999" s="1173"/>
    </row>
    <row r="2000" spans="1:52" s="2" customFormat="1" x14ac:dyDescent="0.25">
      <c r="A2000" s="625" t="s">
        <v>2492</v>
      </c>
      <c r="B2000" s="625"/>
      <c r="C2000" s="366"/>
      <c r="D2000" s="625"/>
      <c r="E2000" s="198" t="s">
        <v>1096</v>
      </c>
      <c r="F2000" s="199" t="s">
        <v>1096</v>
      </c>
      <c r="G2000" s="565">
        <v>3750000</v>
      </c>
      <c r="H2000" s="147" t="str">
        <f t="shared" ref="H2000:H2005" si="689">IFERROR(VLOOKUP(C2000,Tlus,3,FALSE),"   ")</f>
        <v xml:space="preserve">   </v>
      </c>
      <c r="I2000" s="147" t="str">
        <f t="shared" ref="I2000:I2005" si="690">IFERROR(VLOOKUP(C2000,Wis,4,FALSE),"   ")</f>
        <v xml:space="preserve">   </v>
      </c>
      <c r="J2000" s="2035">
        <v>2700000</v>
      </c>
      <c r="K2000" s="2036"/>
      <c r="L2000" s="2163" t="s">
        <v>1049</v>
      </c>
      <c r="M2000" s="2164" t="s">
        <v>1463</v>
      </c>
      <c r="N2000" s="2163" t="s">
        <v>1051</v>
      </c>
      <c r="O2000" s="2164" t="s">
        <v>1464</v>
      </c>
      <c r="P2000" s="2016" t="s">
        <v>1053</v>
      </c>
      <c r="Q2000" s="1438" t="s">
        <v>1466</v>
      </c>
      <c r="R2000" s="2016" t="s">
        <v>1055</v>
      </c>
      <c r="S2000" s="1438" t="s">
        <v>1468</v>
      </c>
      <c r="T2000" s="2016" t="s">
        <v>1057</v>
      </c>
      <c r="U2000" s="1438" t="s">
        <v>1470</v>
      </c>
      <c r="V2000" s="2016" t="s">
        <v>1059</v>
      </c>
      <c r="W2000" s="1438" t="s">
        <v>1718</v>
      </c>
      <c r="X2000" s="1582" t="s">
        <v>1061</v>
      </c>
      <c r="Y2000" s="1438" t="s">
        <v>1719</v>
      </c>
      <c r="Z2000" s="1582" t="s">
        <v>1063</v>
      </c>
      <c r="AA2000" s="1438" t="s">
        <v>1980</v>
      </c>
      <c r="AB2000" s="2177">
        <v>1000000</v>
      </c>
      <c r="AC2000" s="2178" t="s">
        <v>2015</v>
      </c>
      <c r="AD2000" s="1450">
        <v>1200000</v>
      </c>
      <c r="AE2000" s="1663" t="s">
        <v>2016</v>
      </c>
      <c r="AF2000" s="1450">
        <v>1600000</v>
      </c>
      <c r="AG2000" s="1663" t="s">
        <v>1326</v>
      </c>
      <c r="AH2000" s="1408" t="str">
        <f t="shared" si="668"/>
        <v>#</v>
      </c>
      <c r="AI2000" s="1512"/>
      <c r="AJ2000" s="1409"/>
      <c r="AK2000" s="1409"/>
      <c r="AL2000" s="1513"/>
      <c r="AM2000" s="1450">
        <v>500000</v>
      </c>
      <c r="AN2000" s="1663" t="s">
        <v>22</v>
      </c>
      <c r="AO2000"/>
      <c r="AP2000"/>
      <c r="AQ2000" s="1128"/>
      <c r="AR2000" s="1173"/>
      <c r="AT2000" s="1173"/>
      <c r="AV2000" s="1173"/>
      <c r="AX2000" s="1173"/>
      <c r="AY2000" s="1176"/>
      <c r="AZ2000" s="1173"/>
    </row>
    <row r="2001" spans="1:54" s="2" customFormat="1" x14ac:dyDescent="0.25">
      <c r="A2001" s="694">
        <v>1843</v>
      </c>
      <c r="B2001" s="671">
        <v>1</v>
      </c>
      <c r="C2001" s="716">
        <v>829220001</v>
      </c>
      <c r="D2001" s="701" t="s">
        <v>2493</v>
      </c>
      <c r="E2001" s="264" t="s">
        <v>2205</v>
      </c>
      <c r="F2001" s="175">
        <v>2019</v>
      </c>
      <c r="G2001" s="360" t="s">
        <v>1483</v>
      </c>
      <c r="H2001" s="215" t="str">
        <f t="shared" si="689"/>
        <v xml:space="preserve">   </v>
      </c>
      <c r="I2001" s="215" t="str">
        <f t="shared" si="690"/>
        <v xml:space="preserve">   </v>
      </c>
      <c r="J2001" s="1359">
        <v>2700000</v>
      </c>
      <c r="K2001" s="1523">
        <v>43690.458761574097</v>
      </c>
      <c r="L2001" s="1359">
        <v>3750000</v>
      </c>
      <c r="M2001" s="1523">
        <v>43690.458761574097</v>
      </c>
      <c r="N2001" s="1731">
        <v>3750000</v>
      </c>
      <c r="O2001" s="1367">
        <v>43854.412673611099</v>
      </c>
      <c r="P2001" s="1731">
        <v>3750000</v>
      </c>
      <c r="Q2001" s="1367">
        <v>44050.447835648098</v>
      </c>
      <c r="R2001" s="1363"/>
      <c r="S2001" s="1563"/>
      <c r="T2001" s="1363"/>
      <c r="U2001" s="1391"/>
      <c r="V2001" s="1363"/>
      <c r="W2001" s="1391"/>
      <c r="X2001" s="1363"/>
      <c r="Y2001" s="1391"/>
      <c r="Z2001" s="1363"/>
      <c r="AA2001" s="1391"/>
      <c r="AB2001" s="1666"/>
      <c r="AC2001" s="1590"/>
      <c r="AD2001" s="1666"/>
      <c r="AE2001" s="1590"/>
      <c r="AF2001" s="1666"/>
      <c r="AG2001" s="1590"/>
      <c r="AH2001" s="1625" t="str">
        <f t="shared" si="668"/>
        <v>PGMI-3</v>
      </c>
      <c r="AI2001" s="1675">
        <f t="shared" ref="AI2001:AI2005" si="691">SUM(J2001,L2001,N2001,P2001,R2001,T2001,V2001,X2001,Z2001,AB2001,AD2001,AF2001,AM2001)</f>
        <v>13950000</v>
      </c>
      <c r="AJ2001" s="1675">
        <f>(COUNT(L2001,N2001,P2001,R2001,T2001,V2001,X2001,Z2001)*$G$1507)+(COUNT(J2001)*$J$1507)+(COUNT(AB2001)*$AB$1507)+(COUNT(AD2001)*$AD$1507)+(COUNT(AF2001)*$AF$1507)+(COUNT(AM2001)*$AM$1507)</f>
        <v>13950000</v>
      </c>
      <c r="AK2001" s="1520">
        <f t="shared" ref="AK2001:AK2005" si="692">AJ2001-AI2001</f>
        <v>0</v>
      </c>
      <c r="AL2001" s="2187" t="str">
        <f t="shared" ref="AL2001:AL2005" si="693">IF(AK2001=0,"Lunas","Cek")</f>
        <v>Lunas</v>
      </c>
      <c r="AM2001" s="1666"/>
      <c r="AN2001" s="1590"/>
      <c r="AO2001"/>
      <c r="AP2001"/>
      <c r="AQ2001" s="1128"/>
      <c r="AR2001" s="1173"/>
      <c r="AT2001" s="1173"/>
      <c r="AV2001" s="1173"/>
      <c r="AX2001" s="1173"/>
      <c r="AY2001" s="1176"/>
      <c r="AZ2001" s="1173"/>
    </row>
    <row r="2002" spans="1:54" s="2" customFormat="1" x14ac:dyDescent="0.25">
      <c r="A2002" s="694">
        <v>1844</v>
      </c>
      <c r="B2002" s="709">
        <v>2</v>
      </c>
      <c r="C2002" s="716">
        <v>829220002</v>
      </c>
      <c r="D2002" s="701" t="s">
        <v>2494</v>
      </c>
      <c r="E2002" s="264" t="s">
        <v>2074</v>
      </c>
      <c r="F2002" s="175">
        <v>2019</v>
      </c>
      <c r="G2002" s="360" t="s">
        <v>1483</v>
      </c>
      <c r="H2002" s="215" t="str">
        <f t="shared" si="689"/>
        <v xml:space="preserve">   </v>
      </c>
      <c r="I2002" s="215" t="str">
        <f t="shared" si="690"/>
        <v xml:space="preserve">   </v>
      </c>
      <c r="J2002" s="1359">
        <v>2700000</v>
      </c>
      <c r="K2002" s="1523">
        <v>43692.439456018503</v>
      </c>
      <c r="L2002" s="1363">
        <v>3750000</v>
      </c>
      <c r="M2002" s="1523">
        <v>43692.439456018503</v>
      </c>
      <c r="N2002" s="1731">
        <v>3750000</v>
      </c>
      <c r="O2002" s="1367">
        <v>43861.362395833297</v>
      </c>
      <c r="P2002" s="1731">
        <v>3750000</v>
      </c>
      <c r="Q2002" s="1367">
        <v>44070.365162037</v>
      </c>
      <c r="R2002" s="1363"/>
      <c r="S2002" s="1563"/>
      <c r="T2002" s="1363"/>
      <c r="U2002" s="1391"/>
      <c r="V2002" s="1363"/>
      <c r="W2002" s="1391"/>
      <c r="X2002" s="1363"/>
      <c r="Y2002" s="1391"/>
      <c r="Z2002" s="1363"/>
      <c r="AA2002" s="1391"/>
      <c r="AB2002" s="1731"/>
      <c r="AC2002" s="1367"/>
      <c r="AD2002" s="1666"/>
      <c r="AE2002" s="1590"/>
      <c r="AF2002" s="1666"/>
      <c r="AG2002" s="1590"/>
      <c r="AH2002" s="1625" t="str">
        <f t="shared" si="668"/>
        <v>PAI-3A</v>
      </c>
      <c r="AI2002" s="1675">
        <f t="shared" si="691"/>
        <v>13950000</v>
      </c>
      <c r="AJ2002" s="1675">
        <f>(COUNT(L2002,N2002,P2002,R2002,T2002,V2002,X2002,Z2002)*$G$1507)+(COUNT(J2002)*$J$1507)+(COUNT(AB2002)*$AB$1507)+(COUNT(AD2002)*$AD$1507)+(COUNT(AF2002)*$AF$1507)+(COUNT(AM2002)*$AM$1507)</f>
        <v>13950000</v>
      </c>
      <c r="AK2002" s="1520">
        <f t="shared" si="692"/>
        <v>0</v>
      </c>
      <c r="AL2002" s="2210" t="str">
        <f t="shared" si="693"/>
        <v>Lunas</v>
      </c>
      <c r="AM2002" s="1666"/>
      <c r="AN2002" s="1590"/>
      <c r="AO2002"/>
      <c r="AP2002"/>
      <c r="AQ2002" s="1128"/>
      <c r="AR2002" s="1173"/>
      <c r="AT2002" s="1173"/>
      <c r="AV2002" s="1173"/>
      <c r="AX2002" s="1173"/>
      <c r="AY2002" s="1176"/>
      <c r="AZ2002" s="1173"/>
    </row>
    <row r="2003" spans="1:54" s="2" customFormat="1" x14ac:dyDescent="0.25">
      <c r="A2003" s="694">
        <v>1845</v>
      </c>
      <c r="B2003" s="671">
        <v>3</v>
      </c>
      <c r="C2003" s="716">
        <v>829220003</v>
      </c>
      <c r="D2003" s="701" t="s">
        <v>2495</v>
      </c>
      <c r="E2003" s="264" t="s">
        <v>2027</v>
      </c>
      <c r="F2003" s="175">
        <v>2019</v>
      </c>
      <c r="G2003" s="360" t="s">
        <v>1483</v>
      </c>
      <c r="H2003" s="215" t="str">
        <f t="shared" si="689"/>
        <v xml:space="preserve">   </v>
      </c>
      <c r="I2003" s="215" t="str">
        <f t="shared" si="690"/>
        <v xml:space="preserve">   </v>
      </c>
      <c r="J2003" s="1359">
        <v>2700000</v>
      </c>
      <c r="K2003" s="1523">
        <v>43686.4364236111</v>
      </c>
      <c r="L2003" s="1359">
        <v>3750000</v>
      </c>
      <c r="M2003" s="1523">
        <v>43686.4364236111</v>
      </c>
      <c r="N2003" s="1731">
        <v>3750000</v>
      </c>
      <c r="O2003" s="1367">
        <v>43859.424837963001</v>
      </c>
      <c r="P2003" s="1731">
        <v>3750000</v>
      </c>
      <c r="Q2003" s="1367">
        <v>44056.4874305556</v>
      </c>
      <c r="R2003" s="1363"/>
      <c r="S2003" s="1563"/>
      <c r="T2003" s="1363"/>
      <c r="U2003" s="1391"/>
      <c r="V2003" s="1363"/>
      <c r="W2003" s="1391"/>
      <c r="X2003" s="1363"/>
      <c r="Y2003" s="1391"/>
      <c r="Z2003" s="1363"/>
      <c r="AA2003" s="1391"/>
      <c r="AB2003" s="1731"/>
      <c r="AC2003" s="1367"/>
      <c r="AD2003" s="1666"/>
      <c r="AE2003" s="1590"/>
      <c r="AF2003" s="1666"/>
      <c r="AG2003" s="1590"/>
      <c r="AH2003" s="1625" t="str">
        <f t="shared" si="668"/>
        <v>MPI-3B</v>
      </c>
      <c r="AI2003" s="1675">
        <f t="shared" si="691"/>
        <v>13950000</v>
      </c>
      <c r="AJ2003" s="1675">
        <f>(COUNT(L2003,N2003,P2003,R2003,T2003,V2003,X2003,Z2003)*$G$1507)+(COUNT(J2003)*$J$1507)+(COUNT(AB2003)*$AB$1507)+(COUNT(AD2003)*$AD$1507)+(COUNT(AF2003)*$AF$1507)+(COUNT(AM2003)*$AM$1507)</f>
        <v>13950000</v>
      </c>
      <c r="AK2003" s="1520">
        <f t="shared" si="692"/>
        <v>0</v>
      </c>
      <c r="AL2003" s="2210" t="str">
        <f t="shared" si="693"/>
        <v>Lunas</v>
      </c>
      <c r="AM2003" s="1666"/>
      <c r="AN2003" s="1590"/>
      <c r="AO2003"/>
      <c r="AP2003"/>
      <c r="AQ2003" s="1128"/>
      <c r="AR2003" s="1173"/>
      <c r="AT2003" s="1173"/>
      <c r="AV2003" s="1173"/>
      <c r="AX2003" s="1173"/>
      <c r="AY2003" s="1176"/>
      <c r="AZ2003" s="1173"/>
    </row>
    <row r="2004" spans="1:54" s="2" customFormat="1" x14ac:dyDescent="0.25">
      <c r="A2004" s="694">
        <v>1846</v>
      </c>
      <c r="B2004" s="709">
        <v>4</v>
      </c>
      <c r="C2004" s="716">
        <v>829220004</v>
      </c>
      <c r="D2004" s="701" t="s">
        <v>2496</v>
      </c>
      <c r="E2004" s="264" t="s">
        <v>2337</v>
      </c>
      <c r="F2004" s="175">
        <v>2019</v>
      </c>
      <c r="G2004" s="360" t="s">
        <v>1483</v>
      </c>
      <c r="H2004" s="215" t="str">
        <f t="shared" si="689"/>
        <v xml:space="preserve">   </v>
      </c>
      <c r="I2004" s="215" t="str">
        <f t="shared" si="690"/>
        <v xml:space="preserve">   </v>
      </c>
      <c r="J2004" s="1359">
        <v>2700000</v>
      </c>
      <c r="K2004" s="1523">
        <v>43690.487777777802</v>
      </c>
      <c r="L2004" s="1359">
        <v>3750000</v>
      </c>
      <c r="M2004" s="1523">
        <v>43690.487777777802</v>
      </c>
      <c r="N2004" s="1731">
        <v>3750000</v>
      </c>
      <c r="O2004" s="1367">
        <v>43853.394745370402</v>
      </c>
      <c r="P2004" s="1731">
        <v>3750000</v>
      </c>
      <c r="Q2004" s="1367">
        <v>44049.375474537002</v>
      </c>
      <c r="R2004" s="1363"/>
      <c r="S2004" s="1563"/>
      <c r="T2004" s="1363"/>
      <c r="U2004" s="1391"/>
      <c r="V2004" s="1363"/>
      <c r="W2004" s="1391"/>
      <c r="X2004" s="1363"/>
      <c r="Y2004" s="1391"/>
      <c r="Z2004" s="1363"/>
      <c r="AA2004" s="1391"/>
      <c r="AB2004" s="1731"/>
      <c r="AC2004" s="1367"/>
      <c r="AD2004" s="1666"/>
      <c r="AE2004" s="1590"/>
      <c r="AF2004" s="1666"/>
      <c r="AG2004" s="1590"/>
      <c r="AH2004" s="1625" t="str">
        <f t="shared" si="668"/>
        <v>PAI-3D</v>
      </c>
      <c r="AI2004" s="1675">
        <f t="shared" si="691"/>
        <v>13950000</v>
      </c>
      <c r="AJ2004" s="1675">
        <f>(COUNT(L2004,N2004,P2004,R2004,T2004,V2004,X2004,Z2004)*$G$1507)+(COUNT(J2004)*$J$1507)+(COUNT(AB2004)*$AB$1507)+(COUNT(AD2004)*$AD$1507)+(COUNT(AF2004)*$AF$1507)+(COUNT(AM2004)*$AM$1507)</f>
        <v>13950000</v>
      </c>
      <c r="AK2004" s="1520">
        <f t="shared" si="692"/>
        <v>0</v>
      </c>
      <c r="AL2004" s="2210" t="str">
        <f t="shared" si="693"/>
        <v>Lunas</v>
      </c>
      <c r="AM2004" s="1666"/>
      <c r="AN2004" s="1590"/>
      <c r="AO2004"/>
      <c r="AP2004"/>
      <c r="AQ2004" s="1128"/>
      <c r="AR2004" s="1173"/>
      <c r="AT2004" s="1173"/>
      <c r="AV2004" s="1173"/>
      <c r="AX2004" s="1173"/>
      <c r="AY2004" s="1176"/>
      <c r="AZ2004" s="1173"/>
    </row>
    <row r="2005" spans="1:54" s="2" customFormat="1" x14ac:dyDescent="0.25">
      <c r="A2005" s="694">
        <v>1847</v>
      </c>
      <c r="B2005" s="709">
        <v>5</v>
      </c>
      <c r="C2005" s="716">
        <v>829220005</v>
      </c>
      <c r="D2005" s="701" t="s">
        <v>2497</v>
      </c>
      <c r="E2005" s="264" t="s">
        <v>2337</v>
      </c>
      <c r="F2005" s="175">
        <v>2019</v>
      </c>
      <c r="G2005" s="360" t="s">
        <v>1483</v>
      </c>
      <c r="H2005" s="215" t="str">
        <f t="shared" si="689"/>
        <v xml:space="preserve">   </v>
      </c>
      <c r="I2005" s="215" t="str">
        <f t="shared" si="690"/>
        <v xml:space="preserve">   </v>
      </c>
      <c r="J2005" s="1359">
        <v>2700000</v>
      </c>
      <c r="K2005" s="1523">
        <v>43691.245092592602</v>
      </c>
      <c r="L2005" s="1359">
        <v>3750000</v>
      </c>
      <c r="M2005" s="1523">
        <v>43691.245092592602</v>
      </c>
      <c r="N2005" s="1731">
        <v>3750000</v>
      </c>
      <c r="O2005" s="1367">
        <v>43861.405590277798</v>
      </c>
      <c r="P2005" s="1731">
        <v>3750000</v>
      </c>
      <c r="Q2005" s="1367">
        <v>44068.514675925901</v>
      </c>
      <c r="R2005" s="1363"/>
      <c r="S2005" s="1563"/>
      <c r="T2005" s="1363"/>
      <c r="U2005" s="1391"/>
      <c r="V2005" s="1363"/>
      <c r="W2005" s="1391"/>
      <c r="X2005" s="1363"/>
      <c r="Y2005" s="1391"/>
      <c r="Z2005" s="1363"/>
      <c r="AA2005" s="1391"/>
      <c r="AB2005" s="1731"/>
      <c r="AC2005" s="1367"/>
      <c r="AD2005" s="1666"/>
      <c r="AE2005" s="1590"/>
      <c r="AF2005" s="1666"/>
      <c r="AG2005" s="1590"/>
      <c r="AH2005" s="1625" t="str">
        <f t="shared" si="668"/>
        <v>PAI-3D</v>
      </c>
      <c r="AI2005" s="1675">
        <f t="shared" si="691"/>
        <v>13950000</v>
      </c>
      <c r="AJ2005" s="1675">
        <f>(COUNT(L2005,N2005,P2005,R2005,T2005,V2005,X2005,Z2005)*$G$1507)+(COUNT(J2005)*$J$1507)+(COUNT(AB2005)*$AB$1507)+(COUNT(AD2005)*$AD$1507)+(COUNT(AF2005)*$AF$1507)+(COUNT(AM2005)*$AM$1507)</f>
        <v>13950000</v>
      </c>
      <c r="AK2005" s="1520">
        <f t="shared" si="692"/>
        <v>0</v>
      </c>
      <c r="AL2005" s="2210" t="str">
        <f t="shared" si="693"/>
        <v>Lunas</v>
      </c>
      <c r="AM2005" s="1666"/>
      <c r="AN2005" s="1590"/>
      <c r="AO2005"/>
      <c r="AP2005"/>
      <c r="AQ2005" s="1128"/>
      <c r="AR2005" s="1173"/>
      <c r="AT2005" s="1173"/>
      <c r="AV2005" s="1173"/>
      <c r="AX2005" s="1173"/>
      <c r="AY2005" s="1176"/>
      <c r="AZ2005" s="1173"/>
    </row>
    <row r="2006" spans="1:54" s="2" customFormat="1" x14ac:dyDescent="0.25">
      <c r="A2006" s="725"/>
      <c r="B2006" s="725"/>
      <c r="C2006" s="33"/>
      <c r="D2006" s="123"/>
      <c r="E2006" s="123"/>
      <c r="F2006" s="120" t="s">
        <v>61</v>
      </c>
      <c r="G2006" s="123"/>
      <c r="H2006" s="124"/>
      <c r="I2006" s="124"/>
      <c r="J2006" s="1212"/>
      <c r="K2006" s="2252"/>
      <c r="L2006" s="2253"/>
      <c r="M2006" s="1436"/>
      <c r="N2006" s="2253"/>
      <c r="O2006" s="2252"/>
      <c r="P2006" s="2253"/>
      <c r="Q2006" s="2252"/>
      <c r="R2006" s="2253"/>
      <c r="S2006" s="2261"/>
      <c r="T2006" s="2253"/>
      <c r="U2006" s="2252"/>
      <c r="V2006" s="2253"/>
      <c r="W2006" s="2252"/>
      <c r="X2006" s="2253"/>
      <c r="Y2006" s="2252"/>
      <c r="Z2006" s="2253"/>
      <c r="AA2006" s="2252"/>
      <c r="AB2006" s="2268"/>
      <c r="AC2006" s="2252"/>
      <c r="AD2006" s="747"/>
      <c r="AE2006" s="1155"/>
      <c r="AF2006" s="747"/>
      <c r="AG2006" s="1155"/>
      <c r="AH2006" s="1168">
        <f t="shared" si="668"/>
        <v>0</v>
      </c>
      <c r="AI2006" s="747"/>
      <c r="AJ2006" s="747"/>
      <c r="AK2006" s="747"/>
      <c r="AL2006" s="1170"/>
      <c r="AM2006" s="1170"/>
      <c r="AN2006" s="1209"/>
      <c r="AO2006" s="1170"/>
      <c r="AP2006" s="1209"/>
      <c r="AQ2006" s="1128"/>
      <c r="AR2006" s="1173"/>
      <c r="AT2006" s="1173"/>
      <c r="AV2006" s="1173"/>
      <c r="AX2006" s="1173"/>
      <c r="AY2006" s="1176"/>
      <c r="AZ2006" s="1173"/>
    </row>
    <row r="2007" spans="1:54" s="2" customFormat="1" x14ac:dyDescent="0.25">
      <c r="A2007" s="725"/>
      <c r="B2007" s="725"/>
      <c r="C2007" s="33"/>
      <c r="D2007" s="123"/>
      <c r="E2007" s="123"/>
      <c r="F2007" s="120" t="s">
        <v>61</v>
      </c>
      <c r="G2007" s="123"/>
      <c r="H2007" s="124"/>
      <c r="I2007" s="124"/>
      <c r="J2007" s="1212"/>
      <c r="K2007" s="2252"/>
      <c r="L2007" s="2253"/>
      <c r="M2007" s="1436"/>
      <c r="N2007" s="2253"/>
      <c r="O2007" s="2252"/>
      <c r="P2007" s="2253"/>
      <c r="Q2007" s="2252"/>
      <c r="R2007" s="2253"/>
      <c r="S2007" s="2261"/>
      <c r="T2007" s="2253"/>
      <c r="U2007" s="2252"/>
      <c r="V2007" s="2253"/>
      <c r="W2007" s="2252"/>
      <c r="X2007" s="2253"/>
      <c r="Y2007" s="2252"/>
      <c r="Z2007" s="2253"/>
      <c r="AA2007" s="2252"/>
      <c r="AB2007" s="2268"/>
      <c r="AC2007" s="2252"/>
      <c r="AD2007" s="747"/>
      <c r="AE2007" s="1155"/>
      <c r="AF2007" s="747"/>
      <c r="AG2007" s="1155"/>
      <c r="AH2007" s="1168">
        <f t="shared" si="668"/>
        <v>0</v>
      </c>
      <c r="AI2007" s="747"/>
      <c r="AJ2007" s="747"/>
      <c r="AK2007" s="747"/>
      <c r="AL2007" s="1170"/>
      <c r="AM2007" s="1170"/>
      <c r="AN2007" s="1209"/>
      <c r="AO2007" s="1170"/>
      <c r="AP2007" s="1209"/>
      <c r="AQ2007" s="1857"/>
      <c r="AR2007" s="1858"/>
      <c r="AS2007" s="1859"/>
      <c r="AT2007" s="1860"/>
      <c r="AU2007" s="1861"/>
      <c r="AV2007" s="1862"/>
      <c r="AW2007" s="1898"/>
      <c r="AX2007" s="1899"/>
      <c r="AY2007" s="1900"/>
      <c r="AZ2007" s="1901"/>
    </row>
    <row r="2008" spans="1:54" s="2" customFormat="1" x14ac:dyDescent="0.25">
      <c r="A2008" s="656" t="s">
        <v>2498</v>
      </c>
      <c r="B2008" s="656"/>
      <c r="C2008" s="417"/>
      <c r="D2008" s="656"/>
      <c r="E2008" s="657" t="s">
        <v>1096</v>
      </c>
      <c r="F2008" s="658" t="s">
        <v>1096</v>
      </c>
      <c r="G2008" s="565">
        <v>8000000</v>
      </c>
      <c r="H2008" s="147" t="str">
        <f t="shared" ref="H2008:H2034" si="694">IFERROR(VLOOKUP(C2008,Tlus,3,FALSE),"   ")</f>
        <v xml:space="preserve">   </v>
      </c>
      <c r="I2008" s="147" t="str">
        <f t="shared" ref="I2008:I2034" si="695">IFERROR(VLOOKUP(C2008,Wis,4,FALSE),"   ")</f>
        <v xml:space="preserve">   </v>
      </c>
      <c r="J2008" s="2035">
        <v>4250000</v>
      </c>
      <c r="K2008" s="2244"/>
      <c r="L2008" s="2245" t="s">
        <v>1049</v>
      </c>
      <c r="M2008" s="2164" t="s">
        <v>1463</v>
      </c>
      <c r="N2008" s="2245" t="s">
        <v>1051</v>
      </c>
      <c r="O2008" s="2164" t="s">
        <v>1464</v>
      </c>
      <c r="P2008" s="2149" t="s">
        <v>1053</v>
      </c>
      <c r="Q2008" s="1438" t="s">
        <v>1466</v>
      </c>
      <c r="R2008" s="2149" t="s">
        <v>1055</v>
      </c>
      <c r="S2008" s="1438" t="s">
        <v>1468</v>
      </c>
      <c r="T2008" s="2149" t="s">
        <v>1057</v>
      </c>
      <c r="U2008" s="1438" t="s">
        <v>1470</v>
      </c>
      <c r="V2008" s="2149" t="s">
        <v>1059</v>
      </c>
      <c r="W2008" s="1438" t="s">
        <v>1718</v>
      </c>
      <c r="X2008" s="1771" t="s">
        <v>1061</v>
      </c>
      <c r="Y2008" s="1438" t="s">
        <v>1719</v>
      </c>
      <c r="Z2008" s="1771" t="s">
        <v>1063</v>
      </c>
      <c r="AA2008" s="1438" t="s">
        <v>1980</v>
      </c>
      <c r="AB2008" s="1813" t="s">
        <v>1065</v>
      </c>
      <c r="AC2008" s="1814" t="s">
        <v>1981</v>
      </c>
      <c r="AD2008" s="1815" t="s">
        <v>1067</v>
      </c>
      <c r="AE2008" s="1814" t="s">
        <v>2269</v>
      </c>
      <c r="AF2008" s="1815" t="s">
        <v>1465</v>
      </c>
      <c r="AG2008" s="1814" t="s">
        <v>2270</v>
      </c>
      <c r="AH2008" s="1408" t="str">
        <f t="shared" si="668"/>
        <v>#</v>
      </c>
      <c r="AI2008" s="1512"/>
      <c r="AJ2008" s="1409"/>
      <c r="AK2008" s="1409"/>
      <c r="AL2008" s="1513"/>
      <c r="AM2008" s="1815" t="s">
        <v>1467</v>
      </c>
      <c r="AN2008" s="1814" t="s">
        <v>2499</v>
      </c>
      <c r="AO2008" s="1815" t="s">
        <v>1469</v>
      </c>
      <c r="AP2008" s="1814" t="s">
        <v>2500</v>
      </c>
      <c r="AQ2008" s="1450" t="s">
        <v>1471</v>
      </c>
      <c r="AR2008" s="1863">
        <v>2000000</v>
      </c>
      <c r="AS2008" s="1450" t="s">
        <v>1472</v>
      </c>
      <c r="AT2008" s="1863">
        <v>1500000</v>
      </c>
      <c r="AU2008" s="1450" t="s">
        <v>1473</v>
      </c>
      <c r="AV2008" s="1863">
        <v>2000000</v>
      </c>
      <c r="AW2008" s="1450" t="s">
        <v>1474</v>
      </c>
      <c r="AX2008" s="1863">
        <v>4000000</v>
      </c>
      <c r="AY2008" s="1450" t="s">
        <v>1475</v>
      </c>
      <c r="AZ2008" s="1863">
        <v>10000000</v>
      </c>
      <c r="BA2008" s="1450" t="s">
        <v>22</v>
      </c>
      <c r="BB2008" s="1902">
        <v>500000</v>
      </c>
    </row>
    <row r="2009" spans="1:54" s="2" customFormat="1" x14ac:dyDescent="0.25">
      <c r="A2009" s="694">
        <v>1848</v>
      </c>
      <c r="B2009" s="695">
        <v>1</v>
      </c>
      <c r="C2009" s="716">
        <v>841919009</v>
      </c>
      <c r="D2009" s="724" t="s">
        <v>1998</v>
      </c>
      <c r="E2009" s="264" t="s">
        <v>2501</v>
      </c>
      <c r="F2009" s="175">
        <v>2019</v>
      </c>
      <c r="G2009" s="168" t="s">
        <v>1483</v>
      </c>
      <c r="H2009" s="215" t="str">
        <f t="shared" si="694"/>
        <v xml:space="preserve">   </v>
      </c>
      <c r="I2009" s="215" t="str">
        <f t="shared" si="695"/>
        <v xml:space="preserve">   </v>
      </c>
      <c r="J2009" s="1366">
        <v>4250000</v>
      </c>
      <c r="K2009" s="2054">
        <v>43690.4231365741</v>
      </c>
      <c r="L2009" s="1363">
        <v>8000000</v>
      </c>
      <c r="M2009" s="2054">
        <v>43690.4231365741</v>
      </c>
      <c r="N2009" s="1731">
        <v>8000000</v>
      </c>
      <c r="O2009" s="1367">
        <v>43864</v>
      </c>
      <c r="P2009" s="1731">
        <v>8000000</v>
      </c>
      <c r="Q2009" s="1367">
        <v>44067.4756597222</v>
      </c>
      <c r="R2009" s="1941"/>
      <c r="S2009" s="1955"/>
      <c r="T2009" s="1941"/>
      <c r="U2009" s="1954"/>
      <c r="V2009" s="1941"/>
      <c r="W2009" s="1954"/>
      <c r="X2009" s="1941"/>
      <c r="Y2009" s="1954"/>
      <c r="Z2009" s="1941"/>
      <c r="AA2009" s="1954"/>
      <c r="AB2009" s="2262"/>
      <c r="AC2009" s="1940"/>
      <c r="AD2009" s="2263"/>
      <c r="AE2009" s="1664"/>
      <c r="AF2009" s="2263"/>
      <c r="AG2009" s="1664"/>
      <c r="AH2009" s="2062" t="str">
        <f t="shared" si="668"/>
        <v>MPI3-3B</v>
      </c>
      <c r="AI2009" s="1963">
        <f>SUM(J2009,L2009,N2009,P2009,R2009,T2009,V2009,X2009,Z2009,AB2009,AD2009,AF2009,AM2009,AO2009,AQ2009,AS2009,AU2009,AW2009,AY2009,BA2009)</f>
        <v>28250000</v>
      </c>
      <c r="AJ2009" s="2063">
        <f t="shared" ref="AJ2009:AJ2034" si="696">(COUNT(L2009,N2009,P2009,R2009,T2009,V2009,X2009,Z2009,AB2009,AD2009,AF2009,AM2009,AO2009)*$G$2008)+(COUNT(J2009)*$J$2008)+(COUNT(AQ2009)*$AR$2008)+(COUNT(AS2009)*$AT$2008)+(COUNT(AU2009)*$AV$2008)++(COUNT(AW2009)*$AX$2008)+(COUNT(AY2009)*$AZ$2008)+(COUNT(BA2009)*$BB$2008)</f>
        <v>28250000</v>
      </c>
      <c r="AK2009" s="1836">
        <f t="shared" ref="AK2009" si="697">AJ2009-AI2009</f>
        <v>0</v>
      </c>
      <c r="AL2009" s="1855" t="str">
        <f t="shared" ref="AL2009" si="698">IF(AK2009=0,"Lunas","Cek")</f>
        <v>Lunas</v>
      </c>
      <c r="AM2009"/>
      <c r="AN2009"/>
      <c r="AO2009"/>
      <c r="AP2009"/>
      <c r="AQ2009" s="1731"/>
      <c r="AR2009" s="1870"/>
      <c r="AS2009" s="1731"/>
      <c r="AT2009" s="1871"/>
      <c r="AU2009" s="1731"/>
      <c r="AV2009" s="1870"/>
      <c r="AW2009" s="1731"/>
      <c r="AX2009" s="1870"/>
      <c r="AY2009" s="1906"/>
      <c r="AZ2009" s="1870"/>
      <c r="BA2009" s="1906"/>
      <c r="BB2009" s="1870"/>
    </row>
    <row r="2010" spans="1:54" s="2" customFormat="1" x14ac:dyDescent="0.25">
      <c r="A2010" s="694">
        <v>1849</v>
      </c>
      <c r="B2010" s="730">
        <v>2</v>
      </c>
      <c r="C2010" s="716">
        <v>841919025</v>
      </c>
      <c r="D2010" s="724" t="s">
        <v>2502</v>
      </c>
      <c r="E2010" s="264" t="s">
        <v>2501</v>
      </c>
      <c r="F2010" s="175">
        <v>2019</v>
      </c>
      <c r="G2010" s="168" t="s">
        <v>1483</v>
      </c>
      <c r="H2010" s="731" t="str">
        <f t="shared" si="694"/>
        <v xml:space="preserve">   </v>
      </c>
      <c r="I2010" s="731" t="str">
        <f t="shared" si="695"/>
        <v xml:space="preserve">   </v>
      </c>
      <c r="J2010" s="1366">
        <v>4250000</v>
      </c>
      <c r="K2010" s="1367">
        <v>43689.406331018501</v>
      </c>
      <c r="L2010" s="1363">
        <v>8000000</v>
      </c>
      <c r="M2010" s="1367">
        <v>43689.406331018501</v>
      </c>
      <c r="N2010" s="1731">
        <v>8000000</v>
      </c>
      <c r="O2010" s="1367">
        <v>43857.456585648099</v>
      </c>
      <c r="P2010" s="1731">
        <v>8000000</v>
      </c>
      <c r="Q2010" s="1367">
        <v>44055.815648148098</v>
      </c>
      <c r="R2010" s="1363"/>
      <c r="S2010" s="1563"/>
      <c r="T2010" s="1363"/>
      <c r="U2010" s="1391"/>
      <c r="V2010" s="1363"/>
      <c r="W2010" s="1391"/>
      <c r="X2010" s="1363"/>
      <c r="Y2010" s="1391"/>
      <c r="Z2010" s="1363"/>
      <c r="AA2010" s="1391"/>
      <c r="AB2010" s="1872"/>
      <c r="AC2010" s="1384"/>
      <c r="AD2010" s="2264"/>
      <c r="AE2010" s="1654"/>
      <c r="AF2010" s="2264"/>
      <c r="AG2010" s="1654"/>
      <c r="AH2010" s="2064" t="str">
        <f t="shared" si="668"/>
        <v>MPI3-3B</v>
      </c>
      <c r="AI2010" s="1963">
        <f t="shared" ref="AI2010:AI2034" si="699">SUM(J2010,L2010,N2010,P2010,R2010,T2010,V2010,X2010,Z2010,AB2010,AD2010,AF2010,AM2010,AO2010,AQ2010,AS2010,AU2010,AW2010,AY2010,BA2010)</f>
        <v>28250000</v>
      </c>
      <c r="AJ2010" s="2063">
        <f t="shared" si="696"/>
        <v>28250000</v>
      </c>
      <c r="AK2010" s="1836">
        <f t="shared" ref="AK2010:AK2034" si="700">AJ2010-AI2010</f>
        <v>0</v>
      </c>
      <c r="AL2010" s="1855" t="str">
        <f t="shared" ref="AL2010:AL2034" si="701">IF(AK2010=0,"Lunas","Cek")</f>
        <v>Lunas</v>
      </c>
      <c r="AM2010"/>
      <c r="AN2010"/>
      <c r="AO2010"/>
      <c r="AP2010"/>
      <c r="AQ2010" s="1128"/>
      <c r="AR2010" s="1173"/>
      <c r="AT2010" s="1173"/>
      <c r="AV2010" s="1173"/>
      <c r="AX2010" s="1173"/>
      <c r="AY2010" s="1176"/>
      <c r="AZ2010" s="1173"/>
    </row>
    <row r="2011" spans="1:54" s="2" customFormat="1" x14ac:dyDescent="0.25">
      <c r="A2011" s="694">
        <v>1850</v>
      </c>
      <c r="B2011" s="671">
        <v>3</v>
      </c>
      <c r="C2011" s="716">
        <v>841919014</v>
      </c>
      <c r="D2011" s="724" t="s">
        <v>2503</v>
      </c>
      <c r="E2011" s="264" t="s">
        <v>2501</v>
      </c>
      <c r="F2011" s="175">
        <v>2019</v>
      </c>
      <c r="G2011" s="360" t="s">
        <v>1483</v>
      </c>
      <c r="H2011" s="215" t="str">
        <f t="shared" si="694"/>
        <v xml:space="preserve">   </v>
      </c>
      <c r="I2011" s="215" t="str">
        <f t="shared" si="695"/>
        <v xml:space="preserve">   </v>
      </c>
      <c r="J2011" s="1366">
        <v>4250000</v>
      </c>
      <c r="K2011" s="1367">
        <v>43691.406331018501</v>
      </c>
      <c r="L2011" s="1363">
        <v>8000000</v>
      </c>
      <c r="M2011" s="1367">
        <v>43691.406331018501</v>
      </c>
      <c r="N2011" s="1731">
        <v>8000000</v>
      </c>
      <c r="O2011" s="1367">
        <v>43861.425694444399</v>
      </c>
      <c r="P2011" s="1731">
        <v>8000000</v>
      </c>
      <c r="Q2011" s="1367">
        <v>44057.3911226852</v>
      </c>
      <c r="R2011" s="1363"/>
      <c r="S2011" s="1563"/>
      <c r="T2011" s="1363"/>
      <c r="U2011" s="1391"/>
      <c r="V2011" s="1363"/>
      <c r="W2011" s="1391"/>
      <c r="X2011" s="1363"/>
      <c r="Y2011" s="1391"/>
      <c r="Z2011" s="1363"/>
      <c r="AA2011" s="1391"/>
      <c r="AB2011" s="1872"/>
      <c r="AC2011" s="1384"/>
      <c r="AD2011" s="2264"/>
      <c r="AE2011" s="1654"/>
      <c r="AF2011" s="2264"/>
      <c r="AG2011" s="1654"/>
      <c r="AH2011" s="2064" t="str">
        <f t="shared" si="668"/>
        <v>MPI3-3B</v>
      </c>
      <c r="AI2011" s="1963">
        <f t="shared" si="699"/>
        <v>28250000</v>
      </c>
      <c r="AJ2011" s="2063">
        <f t="shared" si="696"/>
        <v>28250000</v>
      </c>
      <c r="AK2011" s="1836">
        <f t="shared" si="700"/>
        <v>0</v>
      </c>
      <c r="AL2011" s="1855" t="str">
        <f t="shared" si="701"/>
        <v>Lunas</v>
      </c>
      <c r="AM2011"/>
      <c r="AN2011"/>
      <c r="AO2011"/>
      <c r="AP2011"/>
      <c r="AQ2011" s="1128"/>
      <c r="AR2011" s="1173"/>
      <c r="AT2011" s="1173"/>
      <c r="AV2011" s="1173"/>
      <c r="AX2011" s="1173"/>
      <c r="AY2011" s="1176"/>
      <c r="AZ2011" s="1173"/>
    </row>
    <row r="2012" spans="1:54" s="2" customFormat="1" x14ac:dyDescent="0.25">
      <c r="A2012" s="694">
        <v>1851</v>
      </c>
      <c r="B2012" s="671">
        <v>4</v>
      </c>
      <c r="C2012" s="716">
        <v>841919004</v>
      </c>
      <c r="D2012" s="724" t="s">
        <v>2504</v>
      </c>
      <c r="E2012" s="264" t="s">
        <v>2501</v>
      </c>
      <c r="F2012" s="175">
        <v>2019</v>
      </c>
      <c r="G2012" s="360" t="s">
        <v>1483</v>
      </c>
      <c r="H2012" s="215" t="str">
        <f t="shared" si="694"/>
        <v xml:space="preserve">   </v>
      </c>
      <c r="I2012" s="215" t="str">
        <f t="shared" si="695"/>
        <v xml:space="preserve">   </v>
      </c>
      <c r="J2012" s="1366">
        <v>4250000</v>
      </c>
      <c r="K2012" s="1367">
        <v>43684.394421296303</v>
      </c>
      <c r="L2012" s="1363">
        <v>8000000</v>
      </c>
      <c r="M2012" s="1367">
        <v>43684.394421296303</v>
      </c>
      <c r="N2012" s="1731">
        <v>8000000</v>
      </c>
      <c r="O2012" s="1367">
        <v>43858.567037036999</v>
      </c>
      <c r="P2012" s="1731">
        <v>8000000</v>
      </c>
      <c r="Q2012" s="1367">
        <v>44054.570370370398</v>
      </c>
      <c r="R2012" s="1363"/>
      <c r="S2012" s="1563"/>
      <c r="T2012" s="1363"/>
      <c r="U2012" s="1391"/>
      <c r="V2012" s="1363"/>
      <c r="W2012" s="1391"/>
      <c r="X2012" s="1363"/>
      <c r="Y2012" s="1391"/>
      <c r="Z2012" s="1363"/>
      <c r="AA2012" s="1391"/>
      <c r="AB2012" s="1872"/>
      <c r="AC2012" s="1384"/>
      <c r="AD2012" s="2264"/>
      <c r="AE2012" s="1654"/>
      <c r="AF2012" s="2264"/>
      <c r="AG2012" s="1654"/>
      <c r="AH2012" s="2064" t="str">
        <f t="shared" si="668"/>
        <v>MPI3-3B</v>
      </c>
      <c r="AI2012" s="1963">
        <f t="shared" si="699"/>
        <v>28250000</v>
      </c>
      <c r="AJ2012" s="2063">
        <f t="shared" si="696"/>
        <v>28250000</v>
      </c>
      <c r="AK2012" s="1836">
        <f t="shared" si="700"/>
        <v>0</v>
      </c>
      <c r="AL2012" s="1855" t="str">
        <f t="shared" si="701"/>
        <v>Lunas</v>
      </c>
      <c r="AM2012"/>
      <c r="AN2012"/>
      <c r="AO2012"/>
      <c r="AP2012"/>
      <c r="AQ2012" s="1128"/>
      <c r="AR2012" s="1173"/>
      <c r="AT2012" s="1173"/>
      <c r="AV2012" s="1173"/>
      <c r="AX2012" s="1173"/>
      <c r="AY2012" s="1176"/>
      <c r="AZ2012" s="1173"/>
    </row>
    <row r="2013" spans="1:54" s="2" customFormat="1" x14ac:dyDescent="0.25">
      <c r="A2013" s="694">
        <v>1852</v>
      </c>
      <c r="B2013" s="671">
        <v>5</v>
      </c>
      <c r="C2013" s="716">
        <v>841919010</v>
      </c>
      <c r="D2013" s="701" t="s">
        <v>2505</v>
      </c>
      <c r="E2013" s="264" t="s">
        <v>2501</v>
      </c>
      <c r="F2013" s="175">
        <v>2019</v>
      </c>
      <c r="G2013" s="360" t="s">
        <v>1483</v>
      </c>
      <c r="H2013" s="215" t="str">
        <f t="shared" si="694"/>
        <v xml:space="preserve">   </v>
      </c>
      <c r="I2013" s="215" t="str">
        <f t="shared" si="695"/>
        <v xml:space="preserve">   </v>
      </c>
      <c r="J2013" s="1366">
        <v>4250000</v>
      </c>
      <c r="K2013" s="1367">
        <v>43692.338981481502</v>
      </c>
      <c r="L2013" s="1363">
        <v>8000000</v>
      </c>
      <c r="M2013" s="1367">
        <v>43692.338981481502</v>
      </c>
      <c r="N2013" s="1731">
        <v>8000000</v>
      </c>
      <c r="O2013" s="2231">
        <v>43874</v>
      </c>
      <c r="P2013" s="1731">
        <v>8000000</v>
      </c>
      <c r="Q2013" s="1367">
        <v>44071.431828703702</v>
      </c>
      <c r="R2013" s="1363"/>
      <c r="S2013" s="1563"/>
      <c r="T2013" s="1363"/>
      <c r="U2013" s="1391"/>
      <c r="V2013" s="1363"/>
      <c r="W2013" s="1391"/>
      <c r="X2013" s="1363"/>
      <c r="Y2013" s="1391"/>
      <c r="Z2013" s="1363"/>
      <c r="AA2013" s="1391"/>
      <c r="AB2013" s="1872"/>
      <c r="AC2013" s="1384"/>
      <c r="AD2013" s="2264"/>
      <c r="AE2013" s="1654"/>
      <c r="AF2013" s="2264"/>
      <c r="AG2013" s="1654"/>
      <c r="AH2013" s="2064" t="str">
        <f t="shared" si="668"/>
        <v>MPI3-3B</v>
      </c>
      <c r="AI2013" s="1963">
        <f t="shared" si="699"/>
        <v>28250000</v>
      </c>
      <c r="AJ2013" s="2063">
        <f t="shared" si="696"/>
        <v>28250000</v>
      </c>
      <c r="AK2013" s="1836">
        <f t="shared" si="700"/>
        <v>0</v>
      </c>
      <c r="AL2013" s="1855" t="str">
        <f t="shared" si="701"/>
        <v>Lunas</v>
      </c>
      <c r="AM2013"/>
      <c r="AN2013"/>
      <c r="AO2013"/>
      <c r="AP2013"/>
      <c r="AQ2013" s="1128"/>
      <c r="AR2013" s="1173"/>
      <c r="AT2013" s="1173"/>
      <c r="AV2013" s="1173"/>
      <c r="AX2013" s="1173"/>
      <c r="AY2013" s="1176"/>
      <c r="AZ2013" s="1173"/>
    </row>
    <row r="2014" spans="1:54" s="2" customFormat="1" x14ac:dyDescent="0.25">
      <c r="A2014" s="694">
        <v>1853</v>
      </c>
      <c r="B2014" s="671">
        <v>6</v>
      </c>
      <c r="C2014" s="716">
        <v>841919011</v>
      </c>
      <c r="D2014" s="701" t="s">
        <v>2506</v>
      </c>
      <c r="E2014" s="264" t="s">
        <v>2501</v>
      </c>
      <c r="F2014" s="175">
        <v>2019</v>
      </c>
      <c r="G2014" s="360" t="s">
        <v>1483</v>
      </c>
      <c r="H2014" s="215" t="str">
        <f t="shared" si="694"/>
        <v xml:space="preserve">   </v>
      </c>
      <c r="I2014" s="215" t="str">
        <f t="shared" si="695"/>
        <v xml:space="preserve">   </v>
      </c>
      <c r="J2014" s="1366">
        <v>4250000</v>
      </c>
      <c r="K2014" s="1367">
        <v>43692.449027777802</v>
      </c>
      <c r="L2014" s="1363">
        <v>8000000</v>
      </c>
      <c r="M2014" s="1367">
        <v>43692.449027777802</v>
      </c>
      <c r="N2014" s="1731">
        <v>8000000</v>
      </c>
      <c r="O2014" s="2231">
        <v>43899</v>
      </c>
      <c r="P2014" s="1731">
        <v>8000000</v>
      </c>
      <c r="Q2014" s="1367">
        <v>44057.5612847222</v>
      </c>
      <c r="R2014" s="1363"/>
      <c r="S2014" s="1563"/>
      <c r="T2014" s="1363"/>
      <c r="U2014" s="1391"/>
      <c r="V2014" s="1363"/>
      <c r="W2014" s="1391"/>
      <c r="X2014" s="1363"/>
      <c r="Y2014" s="1391"/>
      <c r="Z2014" s="1363"/>
      <c r="AA2014" s="1391"/>
      <c r="AB2014" s="1872"/>
      <c r="AC2014" s="1384"/>
      <c r="AD2014" s="2264"/>
      <c r="AE2014" s="1654"/>
      <c r="AF2014" s="2264"/>
      <c r="AG2014" s="1654"/>
      <c r="AH2014" s="2064" t="str">
        <f t="shared" si="668"/>
        <v>MPI3-3B</v>
      </c>
      <c r="AI2014" s="1963">
        <f t="shared" si="699"/>
        <v>28250000</v>
      </c>
      <c r="AJ2014" s="2063">
        <f t="shared" si="696"/>
        <v>28250000</v>
      </c>
      <c r="AK2014" s="1836">
        <f t="shared" si="700"/>
        <v>0</v>
      </c>
      <c r="AL2014" s="1855" t="str">
        <f t="shared" si="701"/>
        <v>Lunas</v>
      </c>
      <c r="AM2014"/>
      <c r="AN2014"/>
      <c r="AO2014"/>
      <c r="AP2014"/>
      <c r="AQ2014" s="1128"/>
      <c r="AR2014" s="1173"/>
      <c r="AT2014" s="1173"/>
      <c r="AV2014" s="1173"/>
      <c r="AX2014" s="1173"/>
      <c r="AY2014" s="1176"/>
      <c r="AZ2014" s="1173"/>
    </row>
    <row r="2015" spans="1:54" s="2" customFormat="1" x14ac:dyDescent="0.25">
      <c r="A2015" s="694">
        <v>1854</v>
      </c>
      <c r="B2015" s="671">
        <v>7</v>
      </c>
      <c r="C2015" s="716">
        <v>841919007</v>
      </c>
      <c r="D2015" s="724" t="s">
        <v>2507</v>
      </c>
      <c r="E2015" s="264" t="s">
        <v>2501</v>
      </c>
      <c r="F2015" s="175">
        <v>2019</v>
      </c>
      <c r="G2015" s="360" t="s">
        <v>1483</v>
      </c>
      <c r="H2015" s="215" t="str">
        <f t="shared" si="694"/>
        <v xml:space="preserve">   </v>
      </c>
      <c r="I2015" s="215" t="str">
        <f t="shared" si="695"/>
        <v xml:space="preserve">   </v>
      </c>
      <c r="J2015" s="1366">
        <v>4250000</v>
      </c>
      <c r="K2015" s="1367">
        <v>43686.389085648101</v>
      </c>
      <c r="L2015" s="1363">
        <v>8000000</v>
      </c>
      <c r="M2015" s="1367">
        <v>43686.389085648101</v>
      </c>
      <c r="N2015" s="1731">
        <v>8000000</v>
      </c>
      <c r="O2015" s="1367">
        <v>43860.621053240699</v>
      </c>
      <c r="P2015" s="1731">
        <v>8000000</v>
      </c>
      <c r="Q2015" s="1367">
        <v>44055.329930555599</v>
      </c>
      <c r="R2015" s="1363"/>
      <c r="S2015" s="1563"/>
      <c r="T2015" s="1363"/>
      <c r="U2015" s="1391"/>
      <c r="V2015" s="1363"/>
      <c r="W2015" s="1391"/>
      <c r="X2015" s="1363"/>
      <c r="Y2015" s="1391"/>
      <c r="Z2015" s="1363"/>
      <c r="AA2015" s="1391"/>
      <c r="AB2015" s="1872"/>
      <c r="AC2015" s="1384"/>
      <c r="AD2015" s="2264"/>
      <c r="AE2015" s="1654"/>
      <c r="AF2015" s="2264"/>
      <c r="AG2015" s="1654"/>
      <c r="AH2015" s="2064" t="str">
        <f t="shared" si="668"/>
        <v>MPI3-3B</v>
      </c>
      <c r="AI2015" s="1963">
        <f t="shared" si="699"/>
        <v>28250000</v>
      </c>
      <c r="AJ2015" s="2063">
        <f t="shared" si="696"/>
        <v>28250000</v>
      </c>
      <c r="AK2015" s="1836">
        <f t="shared" si="700"/>
        <v>0</v>
      </c>
      <c r="AL2015" s="1855" t="str">
        <f t="shared" si="701"/>
        <v>Lunas</v>
      </c>
      <c r="AM2015"/>
      <c r="AN2015"/>
      <c r="AO2015"/>
      <c r="AP2015"/>
      <c r="AQ2015" s="1128"/>
      <c r="AR2015" s="1173"/>
      <c r="AT2015" s="1173"/>
      <c r="AV2015" s="1173"/>
      <c r="AX2015" s="1173"/>
      <c r="AY2015" s="1176"/>
      <c r="AZ2015" s="1173"/>
    </row>
    <row r="2016" spans="1:54" s="2" customFormat="1" x14ac:dyDescent="0.25">
      <c r="A2016" s="694">
        <v>1855</v>
      </c>
      <c r="B2016" s="671">
        <v>8</v>
      </c>
      <c r="C2016" s="716">
        <v>841919017</v>
      </c>
      <c r="D2016" s="724" t="s">
        <v>2508</v>
      </c>
      <c r="E2016" s="264" t="s">
        <v>2501</v>
      </c>
      <c r="F2016" s="175">
        <v>2019</v>
      </c>
      <c r="G2016" s="360" t="s">
        <v>1483</v>
      </c>
      <c r="H2016" s="215" t="str">
        <f t="shared" si="694"/>
        <v xml:space="preserve">   </v>
      </c>
      <c r="I2016" s="215" t="str">
        <f t="shared" si="695"/>
        <v xml:space="preserve">   </v>
      </c>
      <c r="J2016" s="1366">
        <v>4250000</v>
      </c>
      <c r="K2016" s="1367">
        <v>43692.580844907403</v>
      </c>
      <c r="L2016" s="1363">
        <v>8000000</v>
      </c>
      <c r="M2016" s="1367">
        <v>43692.580844907403</v>
      </c>
      <c r="N2016" s="1731">
        <v>8000000</v>
      </c>
      <c r="O2016" s="1367">
        <v>43853.343333333301</v>
      </c>
      <c r="P2016" s="1731">
        <v>8000000</v>
      </c>
      <c r="Q2016" s="1367">
        <v>44053.5210532407</v>
      </c>
      <c r="R2016" s="1363"/>
      <c r="S2016" s="1563"/>
      <c r="T2016" s="1363"/>
      <c r="U2016" s="1391"/>
      <c r="V2016" s="1363"/>
      <c r="W2016" s="1391"/>
      <c r="X2016" s="1363"/>
      <c r="Y2016" s="1391"/>
      <c r="Z2016" s="1363"/>
      <c r="AA2016" s="1391"/>
      <c r="AB2016" s="1872"/>
      <c r="AC2016" s="1384"/>
      <c r="AD2016" s="2264"/>
      <c r="AE2016" s="1654"/>
      <c r="AF2016" s="2264"/>
      <c r="AG2016" s="1654"/>
      <c r="AH2016" s="2064" t="str">
        <f t="shared" si="668"/>
        <v>MPI3-3B</v>
      </c>
      <c r="AI2016" s="1963">
        <f t="shared" si="699"/>
        <v>28250000</v>
      </c>
      <c r="AJ2016" s="2063">
        <f t="shared" si="696"/>
        <v>28250000</v>
      </c>
      <c r="AK2016" s="1836">
        <f t="shared" si="700"/>
        <v>0</v>
      </c>
      <c r="AL2016" s="1855" t="str">
        <f t="shared" si="701"/>
        <v>Lunas</v>
      </c>
      <c r="AM2016"/>
      <c r="AN2016"/>
      <c r="AO2016"/>
      <c r="AP2016"/>
      <c r="AQ2016" s="1128"/>
      <c r="AR2016" s="1173"/>
      <c r="AT2016" s="1173"/>
      <c r="AV2016" s="1173"/>
      <c r="AX2016" s="1173"/>
      <c r="AY2016" s="1176"/>
      <c r="AZ2016" s="1173"/>
    </row>
    <row r="2017" spans="1:52" s="2" customFormat="1" x14ac:dyDescent="0.25">
      <c r="A2017" s="694">
        <v>1856</v>
      </c>
      <c r="B2017" s="671">
        <v>9</v>
      </c>
      <c r="C2017" s="716">
        <v>841919018</v>
      </c>
      <c r="D2017" s="724" t="s">
        <v>2509</v>
      </c>
      <c r="E2017" s="264" t="s">
        <v>2501</v>
      </c>
      <c r="F2017" s="175">
        <v>2019</v>
      </c>
      <c r="G2017" s="360" t="s">
        <v>1483</v>
      </c>
      <c r="H2017" s="215" t="str">
        <f t="shared" si="694"/>
        <v xml:space="preserve">   </v>
      </c>
      <c r="I2017" s="215" t="str">
        <f t="shared" si="695"/>
        <v xml:space="preserve">   </v>
      </c>
      <c r="J2017" s="1366">
        <v>4250000</v>
      </c>
      <c r="K2017" s="1367">
        <v>43692.4744907407</v>
      </c>
      <c r="L2017" s="1363">
        <v>8000000</v>
      </c>
      <c r="M2017" s="1367">
        <v>43692.4744907407</v>
      </c>
      <c r="N2017" s="1731">
        <v>8000000</v>
      </c>
      <c r="O2017" s="1367">
        <v>43853.386226851799</v>
      </c>
      <c r="P2017" s="1731">
        <v>8000000</v>
      </c>
      <c r="Q2017" s="1367">
        <v>44050</v>
      </c>
      <c r="R2017" s="1363"/>
      <c r="S2017" s="1563"/>
      <c r="T2017" s="1363"/>
      <c r="U2017" s="1391"/>
      <c r="V2017" s="1363"/>
      <c r="W2017" s="1391"/>
      <c r="X2017" s="1363"/>
      <c r="Y2017" s="1391"/>
      <c r="Z2017" s="1363"/>
      <c r="AA2017" s="1391"/>
      <c r="AB2017" s="1872"/>
      <c r="AC2017" s="1384"/>
      <c r="AD2017" s="2264"/>
      <c r="AE2017" s="1654"/>
      <c r="AF2017" s="2264"/>
      <c r="AG2017" s="1654"/>
      <c r="AH2017" s="2064" t="str">
        <f t="shared" si="668"/>
        <v>MPI3-3B</v>
      </c>
      <c r="AI2017" s="1963">
        <f t="shared" si="699"/>
        <v>28250000</v>
      </c>
      <c r="AJ2017" s="2063">
        <f t="shared" si="696"/>
        <v>28250000</v>
      </c>
      <c r="AK2017" s="1836">
        <f t="shared" si="700"/>
        <v>0</v>
      </c>
      <c r="AL2017" s="1855" t="str">
        <f t="shared" si="701"/>
        <v>Lunas</v>
      </c>
      <c r="AM2017"/>
      <c r="AN2017"/>
      <c r="AO2017"/>
      <c r="AP2017"/>
      <c r="AQ2017" s="1128"/>
      <c r="AR2017" s="1173"/>
      <c r="AT2017" s="1173"/>
      <c r="AV2017" s="1173"/>
      <c r="AX2017" s="1173"/>
      <c r="AY2017" s="1176"/>
      <c r="AZ2017" s="1173"/>
    </row>
    <row r="2018" spans="1:52" s="2" customFormat="1" x14ac:dyDescent="0.25">
      <c r="A2018" s="694">
        <v>1857</v>
      </c>
      <c r="B2018" s="671">
        <v>10</v>
      </c>
      <c r="C2018" s="716">
        <v>841919016</v>
      </c>
      <c r="D2018" s="724" t="s">
        <v>2510</v>
      </c>
      <c r="E2018" s="264" t="s">
        <v>2501</v>
      </c>
      <c r="F2018" s="175">
        <v>2019</v>
      </c>
      <c r="G2018" s="360" t="s">
        <v>1483</v>
      </c>
      <c r="H2018" s="215" t="str">
        <f t="shared" si="694"/>
        <v xml:space="preserve">   </v>
      </c>
      <c r="I2018" s="215" t="str">
        <f t="shared" si="695"/>
        <v xml:space="preserve">   </v>
      </c>
      <c r="J2018" s="1366">
        <v>4250000</v>
      </c>
      <c r="K2018" s="1367">
        <v>43690.463958333297</v>
      </c>
      <c r="L2018" s="1363">
        <v>8000000</v>
      </c>
      <c r="M2018" s="1367">
        <v>43690.463958333297</v>
      </c>
      <c r="N2018" s="1731">
        <v>8000000</v>
      </c>
      <c r="O2018" s="1367">
        <v>43861.342361111099</v>
      </c>
      <c r="P2018" s="1731">
        <v>8000000</v>
      </c>
      <c r="Q2018" s="1367">
        <v>44071.241574074098</v>
      </c>
      <c r="R2018" s="1363"/>
      <c r="S2018" s="1563"/>
      <c r="T2018" s="1363"/>
      <c r="U2018" s="1391"/>
      <c r="V2018" s="1363"/>
      <c r="W2018" s="1391"/>
      <c r="X2018" s="1363"/>
      <c r="Y2018" s="1391"/>
      <c r="Z2018" s="1363"/>
      <c r="AA2018" s="1391"/>
      <c r="AB2018" s="1872"/>
      <c r="AC2018" s="1384"/>
      <c r="AD2018" s="2264"/>
      <c r="AE2018" s="1654"/>
      <c r="AF2018" s="2264"/>
      <c r="AG2018" s="1654"/>
      <c r="AH2018" s="2064" t="str">
        <f t="shared" si="668"/>
        <v>MPI3-3B</v>
      </c>
      <c r="AI2018" s="1963">
        <f t="shared" si="699"/>
        <v>28250000</v>
      </c>
      <c r="AJ2018" s="2063">
        <f t="shared" si="696"/>
        <v>28250000</v>
      </c>
      <c r="AK2018" s="1836">
        <f t="shared" si="700"/>
        <v>0</v>
      </c>
      <c r="AL2018" s="1855" t="str">
        <f t="shared" si="701"/>
        <v>Lunas</v>
      </c>
      <c r="AM2018"/>
      <c r="AN2018"/>
      <c r="AO2018"/>
      <c r="AP2018"/>
      <c r="AQ2018" s="1128"/>
      <c r="AR2018" s="1173"/>
      <c r="AT2018" s="1173"/>
      <c r="AV2018" s="1173"/>
      <c r="AX2018" s="1173"/>
      <c r="AY2018" s="1176"/>
      <c r="AZ2018" s="1173"/>
    </row>
    <row r="2019" spans="1:52" s="2" customFormat="1" x14ac:dyDescent="0.25">
      <c r="A2019" s="694">
        <v>1858</v>
      </c>
      <c r="B2019" s="671">
        <v>11</v>
      </c>
      <c r="C2019" s="716">
        <v>841919013</v>
      </c>
      <c r="D2019" s="724" t="s">
        <v>2511</v>
      </c>
      <c r="E2019" s="264" t="s">
        <v>2501</v>
      </c>
      <c r="F2019" s="175">
        <v>2019</v>
      </c>
      <c r="G2019" s="360" t="s">
        <v>1483</v>
      </c>
      <c r="H2019" s="215" t="str">
        <f t="shared" si="694"/>
        <v xml:space="preserve">   </v>
      </c>
      <c r="I2019" s="215" t="str">
        <f t="shared" si="695"/>
        <v xml:space="preserve">   </v>
      </c>
      <c r="J2019" s="1366">
        <v>4250000</v>
      </c>
      <c r="K2019" s="1367">
        <v>43689.543171296304</v>
      </c>
      <c r="L2019" s="1363">
        <v>8000000</v>
      </c>
      <c r="M2019" s="1367">
        <v>43689.543171296304</v>
      </c>
      <c r="N2019" s="1731">
        <v>8000000</v>
      </c>
      <c r="O2019" s="1367">
        <v>43857.833877314799</v>
      </c>
      <c r="P2019" s="1731">
        <v>8000000</v>
      </c>
      <c r="Q2019" s="1367">
        <v>44054.5524421296</v>
      </c>
      <c r="R2019" s="1363"/>
      <c r="S2019" s="1563"/>
      <c r="T2019" s="1363"/>
      <c r="U2019" s="1391"/>
      <c r="V2019" s="1363"/>
      <c r="W2019" s="1391"/>
      <c r="X2019" s="1363"/>
      <c r="Y2019" s="1391"/>
      <c r="Z2019" s="1363"/>
      <c r="AA2019" s="1391"/>
      <c r="AB2019" s="1872"/>
      <c r="AC2019" s="1384"/>
      <c r="AD2019" s="2264"/>
      <c r="AE2019" s="1654"/>
      <c r="AF2019" s="2264"/>
      <c r="AG2019" s="1654"/>
      <c r="AH2019" s="2064" t="str">
        <f t="shared" ref="AH2019:AH2082" si="702">E2019</f>
        <v>MPI3-3B</v>
      </c>
      <c r="AI2019" s="1963">
        <f t="shared" si="699"/>
        <v>28250000</v>
      </c>
      <c r="AJ2019" s="2063">
        <f t="shared" si="696"/>
        <v>28250000</v>
      </c>
      <c r="AK2019" s="1836">
        <f t="shared" si="700"/>
        <v>0</v>
      </c>
      <c r="AL2019" s="1855" t="str">
        <f t="shared" si="701"/>
        <v>Lunas</v>
      </c>
      <c r="AM2019"/>
      <c r="AN2019"/>
      <c r="AO2019"/>
      <c r="AP2019"/>
      <c r="AQ2019" s="1128"/>
      <c r="AR2019" s="1173"/>
      <c r="AT2019" s="1173"/>
      <c r="AV2019" s="1173"/>
      <c r="AX2019" s="1173"/>
      <c r="AY2019" s="1176"/>
      <c r="AZ2019" s="1173"/>
    </row>
    <row r="2020" spans="1:52" s="2" customFormat="1" x14ac:dyDescent="0.25">
      <c r="A2020" s="694">
        <v>1859</v>
      </c>
      <c r="B2020" s="671">
        <v>12</v>
      </c>
      <c r="C2020" s="716">
        <v>841919001</v>
      </c>
      <c r="D2020" s="701" t="s">
        <v>2512</v>
      </c>
      <c r="E2020" s="264" t="s">
        <v>2501</v>
      </c>
      <c r="F2020" s="175">
        <v>2019</v>
      </c>
      <c r="G2020" s="329" t="s">
        <v>1077</v>
      </c>
      <c r="H2020" s="215" t="str">
        <f t="shared" si="694"/>
        <v xml:space="preserve">   </v>
      </c>
      <c r="I2020" s="215" t="str">
        <f t="shared" si="695"/>
        <v xml:space="preserve">   </v>
      </c>
      <c r="J2020" s="1366">
        <v>4250000</v>
      </c>
      <c r="K2020" s="1367">
        <v>43679.438611111102</v>
      </c>
      <c r="L2020" s="1363">
        <v>8000000</v>
      </c>
      <c r="M2020" s="1367">
        <v>43679.438611111102</v>
      </c>
      <c r="N2020" s="1731"/>
      <c r="O2020" s="1367"/>
      <c r="P2020" s="1731">
        <v>0</v>
      </c>
      <c r="Q2020" s="1367"/>
      <c r="R2020" s="1363" t="str">
        <f>IFERROR(VLOOKUP(C2020,BSP,3,FALSE),"  ")</f>
        <v xml:space="preserve">  </v>
      </c>
      <c r="S2020" s="1563" t="str">
        <f>IFERROR((VLOOKUP(C2020,BSP,4,FALSE)),"  ")</f>
        <v xml:space="preserve">  </v>
      </c>
      <c r="T2020" s="1363"/>
      <c r="U2020" s="1391"/>
      <c r="V2020" s="1363"/>
      <c r="W2020" s="1391"/>
      <c r="X2020" s="1363"/>
      <c r="Y2020" s="1391"/>
      <c r="Z2020" s="1363"/>
      <c r="AA2020" s="1391"/>
      <c r="AB2020" s="1872"/>
      <c r="AC2020" s="1384"/>
      <c r="AD2020" s="2264"/>
      <c r="AE2020" s="1654"/>
      <c r="AF2020" s="2264"/>
      <c r="AG2020" s="1654"/>
      <c r="AH2020" s="2064" t="str">
        <f t="shared" si="702"/>
        <v>MPI3-3B</v>
      </c>
      <c r="AI2020" s="1963">
        <f t="shared" si="699"/>
        <v>12250000</v>
      </c>
      <c r="AJ2020" s="2063">
        <f t="shared" si="696"/>
        <v>20250000</v>
      </c>
      <c r="AK2020" s="1836">
        <f t="shared" si="700"/>
        <v>8000000</v>
      </c>
      <c r="AL2020" s="1855" t="str">
        <f t="shared" si="701"/>
        <v>Cek</v>
      </c>
      <c r="AM2020"/>
      <c r="AN2020"/>
      <c r="AO2020"/>
      <c r="AP2020"/>
      <c r="AQ2020" s="1128"/>
      <c r="AR2020" s="1173"/>
      <c r="AT2020" s="1173"/>
      <c r="AV2020" s="1173"/>
      <c r="AX2020" s="1173"/>
      <c r="AY2020" s="1176"/>
      <c r="AZ2020" s="1173"/>
    </row>
    <row r="2021" spans="1:52" s="2" customFormat="1" x14ac:dyDescent="0.25">
      <c r="A2021" s="694">
        <v>1860</v>
      </c>
      <c r="B2021" s="671">
        <v>13</v>
      </c>
      <c r="C2021" s="716">
        <v>841919006</v>
      </c>
      <c r="D2021" s="724" t="s">
        <v>2513</v>
      </c>
      <c r="E2021" s="264" t="s">
        <v>2501</v>
      </c>
      <c r="F2021" s="175">
        <v>2019</v>
      </c>
      <c r="G2021" s="360" t="s">
        <v>1483</v>
      </c>
      <c r="H2021" s="215" t="str">
        <f t="shared" si="694"/>
        <v xml:space="preserve">   </v>
      </c>
      <c r="I2021" s="215" t="str">
        <f t="shared" si="695"/>
        <v xml:space="preserve">   </v>
      </c>
      <c r="J2021" s="1366">
        <v>4250000</v>
      </c>
      <c r="K2021" s="1367">
        <v>43685.477349537003</v>
      </c>
      <c r="L2021" s="1363">
        <v>8000000</v>
      </c>
      <c r="M2021" s="1367">
        <v>43685.477349537003</v>
      </c>
      <c r="N2021" s="1731">
        <v>8000000</v>
      </c>
      <c r="O2021" s="1367">
        <v>43852</v>
      </c>
      <c r="P2021" s="1731">
        <v>8000000</v>
      </c>
      <c r="Q2021" s="1367">
        <v>44046.599722222199</v>
      </c>
      <c r="R2021" s="1363"/>
      <c r="S2021" s="1563"/>
      <c r="T2021" s="1363"/>
      <c r="U2021" s="1391"/>
      <c r="V2021" s="1363"/>
      <c r="W2021" s="1391"/>
      <c r="X2021" s="1363"/>
      <c r="Y2021" s="1391"/>
      <c r="Z2021" s="1363"/>
      <c r="AA2021" s="1391"/>
      <c r="AB2021" s="1872"/>
      <c r="AC2021" s="1384"/>
      <c r="AD2021" s="2264"/>
      <c r="AE2021" s="1654"/>
      <c r="AF2021" s="2264"/>
      <c r="AG2021" s="1654"/>
      <c r="AH2021" s="2064" t="str">
        <f t="shared" si="702"/>
        <v>MPI3-3B</v>
      </c>
      <c r="AI2021" s="1963">
        <f t="shared" si="699"/>
        <v>28250000</v>
      </c>
      <c r="AJ2021" s="2063">
        <f t="shared" si="696"/>
        <v>28250000</v>
      </c>
      <c r="AK2021" s="1836">
        <f t="shared" si="700"/>
        <v>0</v>
      </c>
      <c r="AL2021" s="1855" t="str">
        <f t="shared" si="701"/>
        <v>Lunas</v>
      </c>
      <c r="AM2021"/>
      <c r="AN2021"/>
      <c r="AO2021"/>
      <c r="AP2021"/>
      <c r="AQ2021" s="1128"/>
      <c r="AR2021" s="1173"/>
      <c r="AT2021" s="1173"/>
      <c r="AV2021" s="1173"/>
      <c r="AX2021" s="1173"/>
      <c r="AY2021" s="1176"/>
      <c r="AZ2021" s="1173"/>
    </row>
    <row r="2022" spans="1:52" s="2" customFormat="1" x14ac:dyDescent="0.25">
      <c r="A2022" s="694">
        <v>1861</v>
      </c>
      <c r="B2022" s="671">
        <v>14</v>
      </c>
      <c r="C2022" s="716">
        <v>841919002</v>
      </c>
      <c r="D2022" s="724" t="s">
        <v>2514</v>
      </c>
      <c r="E2022" s="264" t="s">
        <v>2501</v>
      </c>
      <c r="F2022" s="175">
        <v>2019</v>
      </c>
      <c r="G2022" s="360" t="s">
        <v>1483</v>
      </c>
      <c r="H2022" s="215" t="str">
        <f t="shared" si="694"/>
        <v xml:space="preserve">   </v>
      </c>
      <c r="I2022" s="215" t="str">
        <f t="shared" si="695"/>
        <v xml:space="preserve">   </v>
      </c>
      <c r="J2022" s="1366">
        <v>4250000</v>
      </c>
      <c r="K2022" s="1367">
        <v>43682.380601851903</v>
      </c>
      <c r="L2022" s="1363">
        <v>8000000</v>
      </c>
      <c r="M2022" s="1367">
        <v>43682.380601851903</v>
      </c>
      <c r="N2022" s="1731">
        <v>8000000</v>
      </c>
      <c r="O2022" s="1367">
        <v>43852</v>
      </c>
      <c r="P2022" s="1731">
        <v>8000000</v>
      </c>
      <c r="Q2022" s="1367">
        <v>44047.419525463003</v>
      </c>
      <c r="R2022" s="1363"/>
      <c r="S2022" s="1563"/>
      <c r="T2022" s="1363"/>
      <c r="U2022" s="1391"/>
      <c r="V2022" s="1363"/>
      <c r="W2022" s="1391"/>
      <c r="X2022" s="1363"/>
      <c r="Y2022" s="1391"/>
      <c r="Z2022" s="1363"/>
      <c r="AA2022" s="1391"/>
      <c r="AB2022" s="1872"/>
      <c r="AC2022" s="1384"/>
      <c r="AD2022" s="2264"/>
      <c r="AE2022" s="1654"/>
      <c r="AF2022" s="2264"/>
      <c r="AG2022" s="1654"/>
      <c r="AH2022" s="2064" t="str">
        <f t="shared" si="702"/>
        <v>MPI3-3B</v>
      </c>
      <c r="AI2022" s="1963">
        <f t="shared" si="699"/>
        <v>28250000</v>
      </c>
      <c r="AJ2022" s="2063">
        <f t="shared" si="696"/>
        <v>28250000</v>
      </c>
      <c r="AK2022" s="1836">
        <f t="shared" si="700"/>
        <v>0</v>
      </c>
      <c r="AL2022" s="1855" t="str">
        <f t="shared" si="701"/>
        <v>Lunas</v>
      </c>
      <c r="AM2022"/>
      <c r="AN2022"/>
      <c r="AO2022"/>
      <c r="AP2022"/>
      <c r="AQ2022" s="1128"/>
      <c r="AR2022" s="1173"/>
      <c r="AT2022" s="1173"/>
      <c r="AV2022" s="1173"/>
      <c r="AX2022" s="1173"/>
      <c r="AY2022" s="1176"/>
      <c r="AZ2022" s="1173"/>
    </row>
    <row r="2023" spans="1:52" s="2" customFormat="1" x14ac:dyDescent="0.25">
      <c r="A2023" s="694">
        <v>1862</v>
      </c>
      <c r="B2023" s="671">
        <v>15</v>
      </c>
      <c r="C2023" s="716">
        <v>841919012</v>
      </c>
      <c r="D2023" s="724" t="s">
        <v>2515</v>
      </c>
      <c r="E2023" s="264" t="s">
        <v>2501</v>
      </c>
      <c r="F2023" s="175">
        <v>2019</v>
      </c>
      <c r="G2023" s="360" t="s">
        <v>1483</v>
      </c>
      <c r="H2023" s="215" t="str">
        <f t="shared" si="694"/>
        <v xml:space="preserve">   </v>
      </c>
      <c r="I2023" s="215" t="str">
        <f t="shared" si="695"/>
        <v xml:space="preserve">   </v>
      </c>
      <c r="J2023" s="1366">
        <v>4250000</v>
      </c>
      <c r="K2023" s="1367">
        <v>43689.540833333303</v>
      </c>
      <c r="L2023" s="1363">
        <v>8000000</v>
      </c>
      <c r="M2023" s="1367">
        <v>43689.540833333303</v>
      </c>
      <c r="N2023" s="1731">
        <v>8000000</v>
      </c>
      <c r="O2023" s="1367">
        <v>43861.402754629598</v>
      </c>
      <c r="P2023" s="1731">
        <v>8000000</v>
      </c>
      <c r="Q2023" s="1367">
        <v>44057.390138888899</v>
      </c>
      <c r="R2023" s="1363"/>
      <c r="S2023" s="1563"/>
      <c r="T2023" s="1363"/>
      <c r="U2023" s="1391"/>
      <c r="V2023" s="1363"/>
      <c r="W2023" s="1391"/>
      <c r="X2023" s="1363"/>
      <c r="Y2023" s="1391"/>
      <c r="Z2023" s="1363"/>
      <c r="AA2023" s="1391"/>
      <c r="AB2023" s="1872"/>
      <c r="AC2023" s="1384"/>
      <c r="AD2023" s="2264"/>
      <c r="AE2023" s="1654"/>
      <c r="AF2023" s="2264"/>
      <c r="AG2023" s="1654"/>
      <c r="AH2023" s="2064" t="str">
        <f t="shared" si="702"/>
        <v>MPI3-3B</v>
      </c>
      <c r="AI2023" s="1963">
        <f t="shared" si="699"/>
        <v>28250000</v>
      </c>
      <c r="AJ2023" s="2063">
        <f t="shared" si="696"/>
        <v>28250000</v>
      </c>
      <c r="AK2023" s="1836">
        <f t="shared" si="700"/>
        <v>0</v>
      </c>
      <c r="AL2023" s="1855" t="str">
        <f t="shared" si="701"/>
        <v>Lunas</v>
      </c>
      <c r="AM2023"/>
      <c r="AN2023"/>
      <c r="AO2023"/>
      <c r="AP2023"/>
      <c r="AQ2023" s="1128"/>
      <c r="AR2023" s="1173"/>
      <c r="AT2023" s="1173"/>
      <c r="AV2023" s="1173"/>
      <c r="AX2023" s="1173"/>
      <c r="AY2023" s="1176"/>
      <c r="AZ2023" s="1173"/>
    </row>
    <row r="2024" spans="1:52" s="2" customFormat="1" x14ac:dyDescent="0.25">
      <c r="A2024" s="694">
        <v>1863</v>
      </c>
      <c r="B2024" s="671">
        <v>16</v>
      </c>
      <c r="C2024" s="716">
        <v>841919026</v>
      </c>
      <c r="D2024" s="724" t="s">
        <v>2516</v>
      </c>
      <c r="E2024" s="264" t="s">
        <v>2501</v>
      </c>
      <c r="F2024" s="175">
        <v>2019</v>
      </c>
      <c r="G2024" s="360" t="s">
        <v>1483</v>
      </c>
      <c r="H2024" s="215" t="str">
        <f t="shared" si="694"/>
        <v xml:space="preserve">   </v>
      </c>
      <c r="I2024" s="215" t="str">
        <f t="shared" si="695"/>
        <v xml:space="preserve">   </v>
      </c>
      <c r="J2024" s="1366">
        <v>4250000</v>
      </c>
      <c r="K2024" s="1367">
        <v>43689.600624999999</v>
      </c>
      <c r="L2024" s="1363">
        <v>8000000</v>
      </c>
      <c r="M2024" s="1367">
        <v>43689.600624999999</v>
      </c>
      <c r="N2024" s="1731">
        <v>8000000</v>
      </c>
      <c r="O2024" s="1367">
        <v>43857.614976851903</v>
      </c>
      <c r="P2024" s="1731">
        <v>8000000</v>
      </c>
      <c r="Q2024" s="1367">
        <v>44055.4844675926</v>
      </c>
      <c r="R2024" s="1363"/>
      <c r="S2024" s="1563"/>
      <c r="T2024" s="1363"/>
      <c r="U2024" s="1391"/>
      <c r="V2024" s="1363"/>
      <c r="W2024" s="1391"/>
      <c r="X2024" s="1363"/>
      <c r="Y2024" s="1391"/>
      <c r="Z2024" s="1363"/>
      <c r="AA2024" s="1391"/>
      <c r="AB2024" s="1872"/>
      <c r="AC2024" s="1384"/>
      <c r="AD2024" s="2264"/>
      <c r="AE2024" s="1654"/>
      <c r="AF2024" s="2264"/>
      <c r="AG2024" s="1654"/>
      <c r="AH2024" s="2064" t="str">
        <f t="shared" si="702"/>
        <v>MPI3-3B</v>
      </c>
      <c r="AI2024" s="1963">
        <f t="shared" ref="AI2024" si="703">SUM(J2024,L2024,N2024,P2024,R2024,T2024,V2024,X2024,Z2024,AB2024,AD2024,AF2024,AM2024,AO2024,AQ2024,AS2024,AU2024,AW2024,AY2024,BA2024)</f>
        <v>28250000</v>
      </c>
      <c r="AJ2024" s="2063">
        <f t="shared" si="696"/>
        <v>28250000</v>
      </c>
      <c r="AK2024" s="1836">
        <f t="shared" ref="AK2024" si="704">AJ2024-AI2024</f>
        <v>0</v>
      </c>
      <c r="AL2024" s="1855" t="str">
        <f t="shared" ref="AL2024" si="705">IF(AK2024=0,"Lunas","Cek")</f>
        <v>Lunas</v>
      </c>
      <c r="AM2024"/>
      <c r="AN2024"/>
      <c r="AO2024"/>
      <c r="AP2024"/>
      <c r="AQ2024" s="1128"/>
      <c r="AR2024" s="1173"/>
      <c r="AT2024" s="1173"/>
      <c r="AV2024" s="1173"/>
      <c r="AX2024" s="1173"/>
      <c r="AY2024" s="1176"/>
      <c r="AZ2024" s="1173"/>
    </row>
    <row r="2025" spans="1:52" s="2" customFormat="1" x14ac:dyDescent="0.25">
      <c r="A2025" s="694">
        <v>1864</v>
      </c>
      <c r="B2025" s="671">
        <v>16</v>
      </c>
      <c r="C2025" s="716">
        <v>841919008</v>
      </c>
      <c r="D2025" s="724" t="s">
        <v>2517</v>
      </c>
      <c r="E2025" s="264" t="s">
        <v>2501</v>
      </c>
      <c r="F2025" s="175">
        <v>2019</v>
      </c>
      <c r="G2025" s="360" t="s">
        <v>1483</v>
      </c>
      <c r="H2025" s="215" t="str">
        <f t="shared" si="694"/>
        <v xml:space="preserve">   </v>
      </c>
      <c r="I2025" s="215" t="str">
        <f t="shared" si="695"/>
        <v xml:space="preserve">   </v>
      </c>
      <c r="J2025" s="1366">
        <v>4250000</v>
      </c>
      <c r="K2025" s="1367">
        <v>43689.600624999999</v>
      </c>
      <c r="L2025" s="1363">
        <v>8000000</v>
      </c>
      <c r="M2025" s="1367">
        <v>43689.600624999999</v>
      </c>
      <c r="N2025" s="1731">
        <v>8000000</v>
      </c>
      <c r="O2025" s="1367">
        <v>43860.457071759301</v>
      </c>
      <c r="P2025" s="1731">
        <v>8000000</v>
      </c>
      <c r="Q2025" s="1367">
        <v>44070.655555555597</v>
      </c>
      <c r="R2025" s="1363"/>
      <c r="S2025" s="1563"/>
      <c r="T2025" s="1363"/>
      <c r="U2025" s="1391"/>
      <c r="V2025" s="1363"/>
      <c r="W2025" s="1391"/>
      <c r="X2025" s="1363"/>
      <c r="Y2025" s="1391"/>
      <c r="Z2025" s="1363"/>
      <c r="AA2025" s="1391"/>
      <c r="AB2025" s="1872"/>
      <c r="AC2025" s="1384"/>
      <c r="AD2025" s="2264"/>
      <c r="AE2025" s="1654"/>
      <c r="AF2025" s="2264"/>
      <c r="AG2025" s="1654"/>
      <c r="AH2025" s="2064" t="str">
        <f t="shared" si="702"/>
        <v>MPI3-3B</v>
      </c>
      <c r="AI2025" s="1963">
        <f t="shared" si="699"/>
        <v>28250000</v>
      </c>
      <c r="AJ2025" s="2063">
        <f t="shared" si="696"/>
        <v>28250000</v>
      </c>
      <c r="AK2025" s="1836">
        <f t="shared" si="700"/>
        <v>0</v>
      </c>
      <c r="AL2025" s="1855" t="str">
        <f t="shared" si="701"/>
        <v>Lunas</v>
      </c>
      <c r="AM2025"/>
      <c r="AN2025"/>
      <c r="AO2025"/>
      <c r="AP2025"/>
      <c r="AQ2025" s="1128"/>
      <c r="AR2025" s="1173"/>
      <c r="AT2025" s="1173"/>
      <c r="AV2025" s="1173"/>
      <c r="AX2025" s="1173"/>
      <c r="AY2025" s="1176"/>
      <c r="AZ2025" s="1173"/>
    </row>
    <row r="2026" spans="1:52" s="2" customFormat="1" x14ac:dyDescent="0.25">
      <c r="A2026" s="694">
        <v>1865</v>
      </c>
      <c r="B2026" s="671">
        <v>17</v>
      </c>
      <c r="C2026" s="716">
        <v>841919005</v>
      </c>
      <c r="D2026" s="701" t="s">
        <v>2518</v>
      </c>
      <c r="E2026" s="264" t="s">
        <v>2501</v>
      </c>
      <c r="F2026" s="175">
        <v>2019</v>
      </c>
      <c r="G2026" s="360" t="s">
        <v>1483</v>
      </c>
      <c r="H2026" s="215" t="str">
        <f t="shared" si="694"/>
        <v xml:space="preserve">   </v>
      </c>
      <c r="I2026" s="215" t="str">
        <f t="shared" si="695"/>
        <v xml:space="preserve">   </v>
      </c>
      <c r="J2026" s="1366">
        <v>4250000</v>
      </c>
      <c r="K2026" s="1367">
        <v>43685.6105902778</v>
      </c>
      <c r="L2026" s="1363">
        <v>8000000</v>
      </c>
      <c r="M2026" s="1367">
        <v>43685.6105902778</v>
      </c>
      <c r="N2026" s="1731">
        <v>8000000</v>
      </c>
      <c r="O2026" s="2231">
        <v>43899</v>
      </c>
      <c r="P2026" s="1731">
        <v>8000000</v>
      </c>
      <c r="Q2026" s="1367">
        <v>44047.502453703702</v>
      </c>
      <c r="R2026" s="1363"/>
      <c r="S2026" s="1563"/>
      <c r="T2026" s="1363"/>
      <c r="U2026" s="1391"/>
      <c r="V2026" s="1363"/>
      <c r="W2026" s="1391"/>
      <c r="X2026" s="1363"/>
      <c r="Y2026" s="1391"/>
      <c r="Z2026" s="1363"/>
      <c r="AA2026" s="1391"/>
      <c r="AB2026" s="1872"/>
      <c r="AC2026" s="1384"/>
      <c r="AD2026" s="2264"/>
      <c r="AE2026" s="1654"/>
      <c r="AF2026" s="2264"/>
      <c r="AG2026" s="1654"/>
      <c r="AH2026" s="2064" t="str">
        <f t="shared" si="702"/>
        <v>MPI3-3B</v>
      </c>
      <c r="AI2026" s="1963">
        <f t="shared" si="699"/>
        <v>28250000</v>
      </c>
      <c r="AJ2026" s="2063">
        <f t="shared" si="696"/>
        <v>28250000</v>
      </c>
      <c r="AK2026" s="1836">
        <f t="shared" si="700"/>
        <v>0</v>
      </c>
      <c r="AL2026" s="1855" t="str">
        <f t="shared" si="701"/>
        <v>Lunas</v>
      </c>
      <c r="AM2026"/>
      <c r="AN2026"/>
      <c r="AO2026"/>
      <c r="AP2026"/>
      <c r="AQ2026" s="1128"/>
      <c r="AR2026" s="1173"/>
      <c r="AT2026" s="1173"/>
      <c r="AV2026" s="1173"/>
      <c r="AX2026" s="1173"/>
      <c r="AY2026" s="1176"/>
      <c r="AZ2026" s="1173"/>
    </row>
    <row r="2027" spans="1:52" s="2" customFormat="1" x14ac:dyDescent="0.25">
      <c r="A2027" s="694">
        <v>1866</v>
      </c>
      <c r="B2027" s="671">
        <v>18</v>
      </c>
      <c r="C2027" s="716">
        <v>841919015</v>
      </c>
      <c r="D2027" s="701" t="s">
        <v>2519</v>
      </c>
      <c r="E2027" s="264" t="s">
        <v>2501</v>
      </c>
      <c r="F2027" s="175">
        <v>2019</v>
      </c>
      <c r="G2027" s="1758" t="s">
        <v>28</v>
      </c>
      <c r="H2027" s="215" t="str">
        <f t="shared" si="694"/>
        <v xml:space="preserve">   </v>
      </c>
      <c r="I2027" s="215" t="str">
        <f t="shared" si="695"/>
        <v xml:space="preserve">   </v>
      </c>
      <c r="J2027" s="1366">
        <v>4250000</v>
      </c>
      <c r="K2027" s="1367">
        <v>43692.451724537001</v>
      </c>
      <c r="L2027" s="1363">
        <v>8000000</v>
      </c>
      <c r="M2027" s="1367">
        <v>43692.451724537001</v>
      </c>
      <c r="N2027" s="2077" t="s">
        <v>1078</v>
      </c>
      <c r="O2027" s="1367"/>
      <c r="P2027" s="1731">
        <v>0</v>
      </c>
      <c r="Q2027" s="1367"/>
      <c r="R2027" s="1363" t="str">
        <f>IFERROR(VLOOKUP(C2027,BSP,3,FALSE),"  ")</f>
        <v xml:space="preserve">  </v>
      </c>
      <c r="S2027" s="1563" t="str">
        <f>IFERROR((VLOOKUP(C2027,BSP,4,FALSE)),"  ")</f>
        <v xml:space="preserve">  </v>
      </c>
      <c r="T2027" s="1363"/>
      <c r="U2027" s="1391"/>
      <c r="V2027" s="1363"/>
      <c r="W2027" s="1391"/>
      <c r="X2027" s="1363"/>
      <c r="Y2027" s="1391"/>
      <c r="Z2027" s="1363"/>
      <c r="AA2027" s="1391"/>
      <c r="AB2027" s="1872"/>
      <c r="AC2027" s="1384"/>
      <c r="AD2027" s="2264"/>
      <c r="AE2027" s="1654"/>
      <c r="AF2027" s="2264"/>
      <c r="AG2027" s="1654"/>
      <c r="AH2027" s="2064" t="str">
        <f t="shared" si="702"/>
        <v>MPI3-3B</v>
      </c>
      <c r="AI2027" s="1963">
        <f t="shared" si="699"/>
        <v>12250000</v>
      </c>
      <c r="AJ2027" s="2063">
        <f t="shared" si="696"/>
        <v>20250000</v>
      </c>
      <c r="AK2027" s="1836">
        <f t="shared" si="700"/>
        <v>8000000</v>
      </c>
      <c r="AL2027" s="1855" t="str">
        <f t="shared" si="701"/>
        <v>Cek</v>
      </c>
      <c r="AM2027"/>
      <c r="AN2027"/>
      <c r="AO2027"/>
      <c r="AP2027"/>
      <c r="AQ2027" s="1128"/>
      <c r="AR2027" s="1173"/>
      <c r="AT2027" s="1173"/>
      <c r="AV2027" s="1173"/>
      <c r="AX2027" s="1173"/>
      <c r="AY2027" s="1176"/>
      <c r="AZ2027" s="1173"/>
    </row>
    <row r="2028" spans="1:52" s="2" customFormat="1" x14ac:dyDescent="0.25">
      <c r="A2028" s="694">
        <v>1867</v>
      </c>
      <c r="B2028" s="671">
        <v>19</v>
      </c>
      <c r="C2028" s="716">
        <v>841919003</v>
      </c>
      <c r="D2028" s="724" t="s">
        <v>2520</v>
      </c>
      <c r="E2028" s="264" t="s">
        <v>2501</v>
      </c>
      <c r="F2028" s="175">
        <v>2019</v>
      </c>
      <c r="G2028" s="360" t="s">
        <v>1483</v>
      </c>
      <c r="H2028" s="215" t="str">
        <f t="shared" si="694"/>
        <v xml:space="preserve">   </v>
      </c>
      <c r="I2028" s="215" t="str">
        <f t="shared" si="695"/>
        <v xml:space="preserve">   </v>
      </c>
      <c r="J2028" s="1366">
        <v>4250000</v>
      </c>
      <c r="K2028" s="1367">
        <v>43682.395891203698</v>
      </c>
      <c r="L2028" s="1363">
        <v>8000000</v>
      </c>
      <c r="M2028" s="1367">
        <v>43682.395891203698</v>
      </c>
      <c r="N2028" s="1893">
        <v>8000000</v>
      </c>
      <c r="O2028" s="1445">
        <v>43860.368171296301</v>
      </c>
      <c r="P2028" s="1731">
        <v>8000000</v>
      </c>
      <c r="Q2028" s="1367">
        <v>44057.444039351903</v>
      </c>
      <c r="R2028" s="1363"/>
      <c r="S2028" s="1563"/>
      <c r="T2028" s="1363"/>
      <c r="U2028" s="1391"/>
      <c r="V2028" s="1363"/>
      <c r="W2028" s="1391"/>
      <c r="X2028" s="1363"/>
      <c r="Y2028" s="1391"/>
      <c r="Z2028" s="1363"/>
      <c r="AA2028" s="1391"/>
      <c r="AB2028" s="1872"/>
      <c r="AC2028" s="1384"/>
      <c r="AD2028" s="2264"/>
      <c r="AE2028" s="1654"/>
      <c r="AF2028" s="2264"/>
      <c r="AG2028" s="1654"/>
      <c r="AH2028" s="2064" t="str">
        <f t="shared" si="702"/>
        <v>MPI3-3B</v>
      </c>
      <c r="AI2028" s="1963">
        <f t="shared" si="699"/>
        <v>28250000</v>
      </c>
      <c r="AJ2028" s="2063">
        <f t="shared" si="696"/>
        <v>28250000</v>
      </c>
      <c r="AK2028" s="1836">
        <f t="shared" si="700"/>
        <v>0</v>
      </c>
      <c r="AL2028" s="1855" t="str">
        <f t="shared" si="701"/>
        <v>Lunas</v>
      </c>
      <c r="AM2028"/>
      <c r="AN2028"/>
      <c r="AO2028"/>
      <c r="AP2028"/>
      <c r="AQ2028" s="1128"/>
      <c r="AR2028" s="1173"/>
      <c r="AT2028" s="1173"/>
      <c r="AV2028" s="1173"/>
      <c r="AX2028" s="1173"/>
      <c r="AY2028" s="1176"/>
      <c r="AZ2028" s="1173"/>
    </row>
    <row r="2029" spans="1:52" s="2" customFormat="1" x14ac:dyDescent="0.25">
      <c r="A2029" s="694">
        <v>1868</v>
      </c>
      <c r="B2029" s="671">
        <v>20</v>
      </c>
      <c r="C2029" s="716">
        <v>841919019</v>
      </c>
      <c r="D2029" s="701" t="s">
        <v>2521</v>
      </c>
      <c r="E2029" s="264" t="s">
        <v>2522</v>
      </c>
      <c r="F2029" s="175">
        <v>2019</v>
      </c>
      <c r="G2029" s="360" t="s">
        <v>1483</v>
      </c>
      <c r="H2029" s="215" t="str">
        <f t="shared" si="694"/>
        <v xml:space="preserve">   </v>
      </c>
      <c r="I2029" s="215" t="str">
        <f t="shared" si="695"/>
        <v xml:space="preserve">   </v>
      </c>
      <c r="J2029" s="2020"/>
      <c r="K2029" s="1362" t="s">
        <v>2523</v>
      </c>
      <c r="L2029" s="2020"/>
      <c r="M2029" s="1362" t="s">
        <v>475</v>
      </c>
      <c r="N2029" s="2017"/>
      <c r="O2029" s="2278" t="s">
        <v>475</v>
      </c>
      <c r="P2029" s="2020"/>
      <c r="Q2029" s="1362" t="s">
        <v>475</v>
      </c>
      <c r="R2029" s="2254"/>
      <c r="S2029" s="2255" t="s">
        <v>475</v>
      </c>
      <c r="T2029" s="2020"/>
      <c r="U2029" s="2256" t="s">
        <v>475</v>
      </c>
      <c r="V2029" s="1363"/>
      <c r="W2029" s="1391"/>
      <c r="X2029" s="1363"/>
      <c r="Y2029" s="1391"/>
      <c r="Z2029" s="1363"/>
      <c r="AA2029" s="1391"/>
      <c r="AB2029" s="1872"/>
      <c r="AC2029" s="1384"/>
      <c r="AD2029" s="2264"/>
      <c r="AE2029" s="1654"/>
      <c r="AF2029" s="2264"/>
      <c r="AG2029" s="1654"/>
      <c r="AH2029" s="2064" t="str">
        <f t="shared" si="702"/>
        <v>MPI3-3A</v>
      </c>
      <c r="AI2029" s="1963">
        <f t="shared" si="699"/>
        <v>0</v>
      </c>
      <c r="AJ2029" s="2063">
        <f t="shared" si="696"/>
        <v>0</v>
      </c>
      <c r="AK2029" s="1836">
        <f t="shared" si="700"/>
        <v>0</v>
      </c>
      <c r="AL2029" s="1855" t="str">
        <f t="shared" si="701"/>
        <v>Lunas</v>
      </c>
      <c r="AM2029"/>
      <c r="AN2029"/>
      <c r="AO2029"/>
      <c r="AP2029"/>
      <c r="AQ2029" s="1128"/>
      <c r="AR2029" s="1173"/>
      <c r="AT2029" s="1173"/>
      <c r="AV2029" s="1173"/>
      <c r="AX2029" s="1173"/>
      <c r="AY2029" s="1176"/>
      <c r="AZ2029" s="1173"/>
    </row>
    <row r="2030" spans="1:52" s="2" customFormat="1" x14ac:dyDescent="0.25">
      <c r="A2030" s="694">
        <v>1869</v>
      </c>
      <c r="B2030" s="671">
        <v>21</v>
      </c>
      <c r="C2030" s="716">
        <v>841919020</v>
      </c>
      <c r="D2030" s="701" t="s">
        <v>1947</v>
      </c>
      <c r="E2030" s="264" t="s">
        <v>2522</v>
      </c>
      <c r="F2030" s="175">
        <v>2019</v>
      </c>
      <c r="G2030" s="360" t="s">
        <v>1483</v>
      </c>
      <c r="H2030" s="215" t="str">
        <f t="shared" si="694"/>
        <v xml:space="preserve">   </v>
      </c>
      <c r="I2030" s="215" t="str">
        <f t="shared" si="695"/>
        <v xml:space="preserve">   </v>
      </c>
      <c r="J2030" s="2020"/>
      <c r="K2030" s="1362" t="s">
        <v>2523</v>
      </c>
      <c r="L2030" s="2020"/>
      <c r="M2030" s="1362" t="s">
        <v>475</v>
      </c>
      <c r="N2030" s="2020"/>
      <c r="O2030" s="1362" t="s">
        <v>475</v>
      </c>
      <c r="P2030" s="2020"/>
      <c r="Q2030" s="1362" t="s">
        <v>475</v>
      </c>
      <c r="R2030" s="2254"/>
      <c r="S2030" s="2255" t="s">
        <v>475</v>
      </c>
      <c r="T2030" s="2020"/>
      <c r="U2030" s="2256" t="s">
        <v>475</v>
      </c>
      <c r="V2030" s="1363"/>
      <c r="W2030" s="1391"/>
      <c r="X2030" s="1363"/>
      <c r="Y2030" s="1391"/>
      <c r="Z2030" s="1363"/>
      <c r="AA2030" s="1391"/>
      <c r="AB2030" s="1872"/>
      <c r="AC2030" s="1384"/>
      <c r="AD2030" s="2264"/>
      <c r="AE2030" s="1654"/>
      <c r="AF2030" s="2264"/>
      <c r="AG2030" s="1654"/>
      <c r="AH2030" s="2064" t="str">
        <f t="shared" si="702"/>
        <v>MPI3-3A</v>
      </c>
      <c r="AI2030" s="1963">
        <f t="shared" si="699"/>
        <v>0</v>
      </c>
      <c r="AJ2030" s="2063">
        <f t="shared" si="696"/>
        <v>0</v>
      </c>
      <c r="AK2030" s="1836">
        <f t="shared" si="700"/>
        <v>0</v>
      </c>
      <c r="AL2030" s="1855" t="str">
        <f t="shared" si="701"/>
        <v>Lunas</v>
      </c>
      <c r="AM2030"/>
      <c r="AN2030"/>
      <c r="AO2030"/>
      <c r="AP2030"/>
      <c r="AQ2030" s="1128"/>
      <c r="AR2030" s="1173"/>
      <c r="AT2030" s="1173"/>
      <c r="AV2030" s="1173"/>
      <c r="AX2030" s="1173"/>
      <c r="AY2030" s="1176"/>
      <c r="AZ2030" s="1173"/>
    </row>
    <row r="2031" spans="1:52" s="2" customFormat="1" x14ac:dyDescent="0.25">
      <c r="A2031" s="694">
        <v>1870</v>
      </c>
      <c r="B2031" s="671">
        <v>22</v>
      </c>
      <c r="C2031" s="716">
        <v>841919021</v>
      </c>
      <c r="D2031" s="701" t="s">
        <v>2524</v>
      </c>
      <c r="E2031" s="264" t="s">
        <v>2522</v>
      </c>
      <c r="F2031" s="175">
        <v>2019</v>
      </c>
      <c r="G2031" s="360" t="s">
        <v>1483</v>
      </c>
      <c r="H2031" s="215" t="str">
        <f t="shared" si="694"/>
        <v xml:space="preserve">   </v>
      </c>
      <c r="I2031" s="215" t="str">
        <f t="shared" si="695"/>
        <v xml:space="preserve">   </v>
      </c>
      <c r="J2031" s="2020"/>
      <c r="K2031" s="1362" t="s">
        <v>2523</v>
      </c>
      <c r="L2031" s="2020"/>
      <c r="M2031" s="1362" t="s">
        <v>475</v>
      </c>
      <c r="N2031" s="2020"/>
      <c r="O2031" s="1362" t="s">
        <v>475</v>
      </c>
      <c r="P2031" s="2020"/>
      <c r="Q2031" s="1362" t="s">
        <v>475</v>
      </c>
      <c r="R2031" s="2254"/>
      <c r="S2031" s="2255" t="s">
        <v>475</v>
      </c>
      <c r="T2031" s="2020"/>
      <c r="U2031" s="2256" t="s">
        <v>475</v>
      </c>
      <c r="V2031" s="1363"/>
      <c r="W2031" s="1391"/>
      <c r="X2031" s="1363"/>
      <c r="Y2031" s="1391"/>
      <c r="Z2031" s="1363"/>
      <c r="AA2031" s="1391"/>
      <c r="AB2031" s="1872"/>
      <c r="AC2031" s="1384"/>
      <c r="AD2031" s="2264"/>
      <c r="AE2031" s="1654"/>
      <c r="AF2031" s="2264"/>
      <c r="AG2031" s="1654"/>
      <c r="AH2031" s="2064" t="str">
        <f t="shared" si="702"/>
        <v>MPI3-3A</v>
      </c>
      <c r="AI2031" s="1963">
        <f t="shared" si="699"/>
        <v>0</v>
      </c>
      <c r="AJ2031" s="2063">
        <f t="shared" si="696"/>
        <v>0</v>
      </c>
      <c r="AK2031" s="1836">
        <f t="shared" si="700"/>
        <v>0</v>
      </c>
      <c r="AL2031" s="1855" t="str">
        <f t="shared" si="701"/>
        <v>Lunas</v>
      </c>
      <c r="AM2031"/>
      <c r="AN2031"/>
      <c r="AO2031"/>
      <c r="AP2031"/>
      <c r="AQ2031" s="1128"/>
      <c r="AR2031" s="1173"/>
      <c r="AT2031" s="1173"/>
      <c r="AV2031" s="1173"/>
      <c r="AX2031" s="1173"/>
      <c r="AY2031" s="1176"/>
      <c r="AZ2031" s="1173"/>
    </row>
    <row r="2032" spans="1:52" s="2" customFormat="1" x14ac:dyDescent="0.25">
      <c r="A2032" s="694">
        <v>1871</v>
      </c>
      <c r="B2032" s="671">
        <v>23</v>
      </c>
      <c r="C2032" s="716">
        <v>841919022</v>
      </c>
      <c r="D2032" s="701" t="s">
        <v>2525</v>
      </c>
      <c r="E2032" s="264" t="s">
        <v>2522</v>
      </c>
      <c r="F2032" s="175">
        <v>2019</v>
      </c>
      <c r="G2032" s="360" t="s">
        <v>1483</v>
      </c>
      <c r="H2032" s="215" t="str">
        <f t="shared" si="694"/>
        <v xml:space="preserve">   </v>
      </c>
      <c r="I2032" s="215" t="str">
        <f t="shared" si="695"/>
        <v xml:space="preserve">   </v>
      </c>
      <c r="J2032" s="2020"/>
      <c r="K2032" s="1362" t="s">
        <v>2523</v>
      </c>
      <c r="L2032" s="2020"/>
      <c r="M2032" s="1362" t="s">
        <v>475</v>
      </c>
      <c r="N2032" s="2020"/>
      <c r="O2032" s="1362" t="s">
        <v>475</v>
      </c>
      <c r="P2032" s="2020"/>
      <c r="Q2032" s="1362" t="s">
        <v>475</v>
      </c>
      <c r="R2032" s="2254"/>
      <c r="S2032" s="2255" t="s">
        <v>475</v>
      </c>
      <c r="T2032" s="2020"/>
      <c r="U2032" s="2256" t="s">
        <v>475</v>
      </c>
      <c r="V2032" s="1363"/>
      <c r="W2032" s="1391"/>
      <c r="X2032" s="1363"/>
      <c r="Y2032" s="1391"/>
      <c r="Z2032" s="1363"/>
      <c r="AA2032" s="1391"/>
      <c r="AB2032" s="1872"/>
      <c r="AC2032" s="1384"/>
      <c r="AD2032" s="2264"/>
      <c r="AE2032" s="1654"/>
      <c r="AF2032" s="2264"/>
      <c r="AG2032" s="1654"/>
      <c r="AH2032" s="2064" t="str">
        <f t="shared" si="702"/>
        <v>MPI3-3A</v>
      </c>
      <c r="AI2032" s="1963">
        <f t="shared" si="699"/>
        <v>0</v>
      </c>
      <c r="AJ2032" s="2063">
        <f t="shared" si="696"/>
        <v>0</v>
      </c>
      <c r="AK2032" s="1836">
        <f t="shared" si="700"/>
        <v>0</v>
      </c>
      <c r="AL2032" s="1855" t="str">
        <f t="shared" si="701"/>
        <v>Lunas</v>
      </c>
      <c r="AM2032"/>
      <c r="AN2032"/>
      <c r="AO2032"/>
      <c r="AP2032"/>
      <c r="AQ2032" s="1128"/>
      <c r="AR2032" s="1173"/>
      <c r="AT2032" s="1173"/>
      <c r="AV2032" s="1173"/>
      <c r="AX2032" s="1173"/>
      <c r="AY2032" s="1176"/>
      <c r="AZ2032" s="1173"/>
    </row>
    <row r="2033" spans="1:54" s="2" customFormat="1" x14ac:dyDescent="0.25">
      <c r="A2033" s="694">
        <v>1872</v>
      </c>
      <c r="B2033" s="671">
        <v>24</v>
      </c>
      <c r="C2033" s="716">
        <v>841919023</v>
      </c>
      <c r="D2033" s="701" t="s">
        <v>2526</v>
      </c>
      <c r="E2033" s="264" t="s">
        <v>2522</v>
      </c>
      <c r="F2033" s="175">
        <v>2019</v>
      </c>
      <c r="G2033" s="360" t="s">
        <v>1483</v>
      </c>
      <c r="H2033" s="215" t="str">
        <f t="shared" si="694"/>
        <v xml:space="preserve">   </v>
      </c>
      <c r="I2033" s="215" t="str">
        <f t="shared" si="695"/>
        <v xml:space="preserve">   </v>
      </c>
      <c r="J2033" s="2020"/>
      <c r="K2033" s="1362" t="s">
        <v>2523</v>
      </c>
      <c r="L2033" s="2020"/>
      <c r="M2033" s="1362" t="s">
        <v>475</v>
      </c>
      <c r="N2033" s="2020"/>
      <c r="O2033" s="1362" t="s">
        <v>475</v>
      </c>
      <c r="P2033" s="2020"/>
      <c r="Q2033" s="1362" t="s">
        <v>475</v>
      </c>
      <c r="R2033" s="2254"/>
      <c r="S2033" s="2255" t="s">
        <v>475</v>
      </c>
      <c r="T2033" s="2020"/>
      <c r="U2033" s="2256" t="s">
        <v>475</v>
      </c>
      <c r="V2033" s="1363"/>
      <c r="W2033" s="1391"/>
      <c r="X2033" s="1363"/>
      <c r="Y2033" s="1391"/>
      <c r="Z2033" s="1363"/>
      <c r="AA2033" s="1391"/>
      <c r="AB2033" s="1872"/>
      <c r="AC2033" s="1384"/>
      <c r="AD2033" s="2264"/>
      <c r="AE2033" s="1654"/>
      <c r="AF2033" s="2264"/>
      <c r="AG2033" s="1654"/>
      <c r="AH2033" s="2064" t="str">
        <f t="shared" si="702"/>
        <v>MPI3-3A</v>
      </c>
      <c r="AI2033" s="1963">
        <f t="shared" si="699"/>
        <v>0</v>
      </c>
      <c r="AJ2033" s="2063">
        <f t="shared" si="696"/>
        <v>0</v>
      </c>
      <c r="AK2033" s="1836">
        <f t="shared" si="700"/>
        <v>0</v>
      </c>
      <c r="AL2033" s="1855" t="str">
        <f t="shared" si="701"/>
        <v>Lunas</v>
      </c>
      <c r="AM2033"/>
      <c r="AN2033"/>
      <c r="AO2033"/>
      <c r="AP2033"/>
      <c r="AQ2033" s="1128"/>
      <c r="AR2033" s="1173"/>
      <c r="AT2033" s="1173"/>
      <c r="AV2033" s="1173"/>
      <c r="AX2033" s="1173"/>
      <c r="AY2033" s="1176"/>
      <c r="AZ2033" s="1173"/>
    </row>
    <row r="2034" spans="1:54" s="2" customFormat="1" x14ac:dyDescent="0.25">
      <c r="A2034" s="694">
        <v>1873</v>
      </c>
      <c r="B2034" s="671">
        <v>25</v>
      </c>
      <c r="C2034" s="716">
        <v>841919024</v>
      </c>
      <c r="D2034" s="701" t="s">
        <v>2527</v>
      </c>
      <c r="E2034" s="264" t="s">
        <v>2522</v>
      </c>
      <c r="F2034" s="175">
        <v>2019</v>
      </c>
      <c r="G2034" s="360" t="s">
        <v>1483</v>
      </c>
      <c r="H2034" s="215" t="str">
        <f t="shared" si="694"/>
        <v xml:space="preserve">   </v>
      </c>
      <c r="I2034" s="215" t="str">
        <f t="shared" si="695"/>
        <v xml:space="preserve">   </v>
      </c>
      <c r="J2034" s="2020"/>
      <c r="K2034" s="1362" t="s">
        <v>2523</v>
      </c>
      <c r="L2034" s="2020"/>
      <c r="M2034" s="1362" t="s">
        <v>475</v>
      </c>
      <c r="N2034" s="2020"/>
      <c r="O2034" s="1362" t="s">
        <v>475</v>
      </c>
      <c r="P2034" s="2020"/>
      <c r="Q2034" s="1362" t="s">
        <v>475</v>
      </c>
      <c r="R2034" s="2254"/>
      <c r="S2034" s="2255" t="s">
        <v>475</v>
      </c>
      <c r="T2034" s="2020"/>
      <c r="U2034" s="2256" t="s">
        <v>475</v>
      </c>
      <c r="V2034" s="1363"/>
      <c r="W2034" s="1391"/>
      <c r="X2034" s="1363"/>
      <c r="Y2034" s="1391"/>
      <c r="Z2034" s="1363"/>
      <c r="AA2034" s="1391"/>
      <c r="AB2034" s="1872"/>
      <c r="AC2034" s="1384"/>
      <c r="AD2034" s="2264"/>
      <c r="AE2034" s="1654"/>
      <c r="AF2034" s="2264"/>
      <c r="AG2034" s="1654"/>
      <c r="AH2034" s="2064" t="str">
        <f t="shared" si="702"/>
        <v>MPI3-3A</v>
      </c>
      <c r="AI2034" s="1963">
        <f t="shared" si="699"/>
        <v>0</v>
      </c>
      <c r="AJ2034" s="2063">
        <f t="shared" si="696"/>
        <v>0</v>
      </c>
      <c r="AK2034" s="1836">
        <f t="shared" si="700"/>
        <v>0</v>
      </c>
      <c r="AL2034" s="1855" t="str">
        <f t="shared" si="701"/>
        <v>Lunas</v>
      </c>
      <c r="AM2034"/>
      <c r="AN2034"/>
      <c r="AO2034"/>
      <c r="AP2034"/>
      <c r="AQ2034" s="1128"/>
      <c r="AR2034" s="1173"/>
      <c r="AT2034" s="1173"/>
      <c r="AV2034" s="1173"/>
      <c r="AX2034" s="1173"/>
      <c r="AY2034" s="1176"/>
      <c r="AZ2034" s="1173"/>
    </row>
    <row r="2035" spans="1:54" s="2" customFormat="1" x14ac:dyDescent="0.25">
      <c r="A2035" s="725"/>
      <c r="B2035" s="725"/>
      <c r="C2035" s="33"/>
      <c r="D2035" s="123"/>
      <c r="E2035" s="123"/>
      <c r="F2035" s="120" t="s">
        <v>61</v>
      </c>
      <c r="G2035" s="123"/>
      <c r="H2035" s="124"/>
      <c r="I2035" s="124"/>
      <c r="J2035" s="1212"/>
      <c r="K2035" s="2252"/>
      <c r="L2035" s="2253"/>
      <c r="M2035" s="1436"/>
      <c r="N2035" s="2253"/>
      <c r="O2035" s="2252"/>
      <c r="P2035" s="2253"/>
      <c r="Q2035" s="2252"/>
      <c r="R2035" s="2253"/>
      <c r="S2035" s="2261"/>
      <c r="T2035" s="2253"/>
      <c r="U2035" s="2252"/>
      <c r="V2035" s="2253"/>
      <c r="W2035" s="2252"/>
      <c r="X2035" s="2253"/>
      <c r="Y2035" s="2252"/>
      <c r="Z2035" s="2253"/>
      <c r="AA2035" s="2252"/>
      <c r="AB2035" s="2268"/>
      <c r="AC2035" s="2252"/>
      <c r="AD2035" s="747"/>
      <c r="AE2035" s="1155"/>
      <c r="AF2035" s="747"/>
      <c r="AG2035" s="1155"/>
      <c r="AH2035" s="1168">
        <f t="shared" si="702"/>
        <v>0</v>
      </c>
      <c r="AI2035" s="747"/>
      <c r="AJ2035" s="747"/>
      <c r="AK2035" s="747"/>
      <c r="AL2035" s="1170"/>
      <c r="AM2035" s="1170"/>
      <c r="AN2035" s="1209"/>
      <c r="AO2035" s="1170"/>
      <c r="AP2035" s="1209"/>
      <c r="AQ2035" s="1857"/>
      <c r="AR2035" s="1858"/>
      <c r="AS2035" s="1859"/>
      <c r="AT2035" s="1860"/>
      <c r="AU2035" s="1861"/>
      <c r="AV2035" s="1862"/>
      <c r="AW2035" s="1898"/>
      <c r="AX2035" s="1899"/>
      <c r="AY2035" s="1900"/>
      <c r="AZ2035" s="1901"/>
    </row>
    <row r="2036" spans="1:54" s="2" customFormat="1" x14ac:dyDescent="0.25">
      <c r="A2036" s="656" t="s">
        <v>2528</v>
      </c>
      <c r="B2036" s="656"/>
      <c r="C2036" s="417"/>
      <c r="D2036" s="656"/>
      <c r="E2036" s="657" t="s">
        <v>1096</v>
      </c>
      <c r="F2036" s="658" t="s">
        <v>1096</v>
      </c>
      <c r="G2036" s="565">
        <v>6000000</v>
      </c>
      <c r="H2036" s="147" t="str">
        <f t="shared" ref="H2036:H2055" si="706">IFERROR(VLOOKUP(C2036,Tlus,3,FALSE),"   ")</f>
        <v xml:space="preserve">   </v>
      </c>
      <c r="I2036" s="147" t="str">
        <f t="shared" ref="I2036:I2055" si="707">IFERROR(VLOOKUP(C2036,Wis,4,FALSE),"   ")</f>
        <v xml:space="preserve">   </v>
      </c>
      <c r="J2036" s="2035">
        <v>4250000</v>
      </c>
      <c r="K2036" s="2244"/>
      <c r="L2036" s="2245" t="s">
        <v>1049</v>
      </c>
      <c r="M2036" s="2164" t="s">
        <v>1463</v>
      </c>
      <c r="N2036" s="2245" t="s">
        <v>1051</v>
      </c>
      <c r="O2036" s="2164" t="s">
        <v>1464</v>
      </c>
      <c r="P2036" s="2149" t="s">
        <v>1053</v>
      </c>
      <c r="Q2036" s="1438" t="s">
        <v>1466</v>
      </c>
      <c r="R2036" s="2149" t="s">
        <v>1055</v>
      </c>
      <c r="S2036" s="1438" t="s">
        <v>1468</v>
      </c>
      <c r="T2036" s="2149" t="s">
        <v>1057</v>
      </c>
      <c r="U2036" s="1438" t="s">
        <v>1470</v>
      </c>
      <c r="V2036" s="2149" t="s">
        <v>1059</v>
      </c>
      <c r="W2036" s="1438" t="s">
        <v>1718</v>
      </c>
      <c r="X2036" s="1771" t="s">
        <v>1061</v>
      </c>
      <c r="Y2036" s="1438" t="s">
        <v>1719</v>
      </c>
      <c r="Z2036" s="1771" t="s">
        <v>1063</v>
      </c>
      <c r="AA2036" s="1438" t="s">
        <v>1980</v>
      </c>
      <c r="AB2036" s="1813" t="s">
        <v>1065</v>
      </c>
      <c r="AC2036" s="1814" t="s">
        <v>1981</v>
      </c>
      <c r="AD2036" s="1815" t="s">
        <v>1067</v>
      </c>
      <c r="AE2036" s="1814" t="s">
        <v>2269</v>
      </c>
      <c r="AF2036" s="1815" t="s">
        <v>1465</v>
      </c>
      <c r="AG2036" s="1814" t="s">
        <v>2270</v>
      </c>
      <c r="AH2036" s="1408" t="str">
        <f t="shared" si="702"/>
        <v>#</v>
      </c>
      <c r="AI2036" s="1512"/>
      <c r="AJ2036" s="1409"/>
      <c r="AK2036" s="1409"/>
      <c r="AL2036" s="1513"/>
      <c r="AM2036" s="1815" t="s">
        <v>1467</v>
      </c>
      <c r="AN2036" s="1814" t="s">
        <v>2499</v>
      </c>
      <c r="AO2036" s="1815" t="s">
        <v>1469</v>
      </c>
      <c r="AP2036" s="1814" t="s">
        <v>2500</v>
      </c>
      <c r="AQ2036" s="1450" t="s">
        <v>1471</v>
      </c>
      <c r="AR2036" s="1863">
        <v>2000000</v>
      </c>
      <c r="AS2036" s="1450" t="s">
        <v>1472</v>
      </c>
      <c r="AT2036" s="1863">
        <v>1500000</v>
      </c>
      <c r="AU2036" s="1450" t="s">
        <v>1473</v>
      </c>
      <c r="AV2036" s="1863">
        <v>2000000</v>
      </c>
      <c r="AW2036" s="1450" t="s">
        <v>1474</v>
      </c>
      <c r="AX2036" s="1863">
        <v>4000000</v>
      </c>
      <c r="AY2036" s="1450" t="s">
        <v>1475</v>
      </c>
      <c r="AZ2036" s="1863">
        <v>10000000</v>
      </c>
      <c r="BA2036" s="1450" t="s">
        <v>22</v>
      </c>
      <c r="BB2036" s="1902">
        <v>500000</v>
      </c>
    </row>
    <row r="2037" spans="1:54" s="2" customFormat="1" x14ac:dyDescent="0.25">
      <c r="A2037" s="694">
        <v>1874</v>
      </c>
      <c r="B2037" s="695">
        <v>1</v>
      </c>
      <c r="C2037" s="716">
        <v>842919001</v>
      </c>
      <c r="D2037" s="724" t="s">
        <v>2529</v>
      </c>
      <c r="E2037" s="264" t="s">
        <v>2530</v>
      </c>
      <c r="F2037" s="175">
        <v>2019</v>
      </c>
      <c r="G2037" s="360" t="s">
        <v>1483</v>
      </c>
      <c r="H2037" s="215" t="str">
        <f t="shared" si="706"/>
        <v xml:space="preserve">   </v>
      </c>
      <c r="I2037" s="215" t="str">
        <f t="shared" si="707"/>
        <v xml:space="preserve">   </v>
      </c>
      <c r="J2037" s="1366">
        <v>4250000</v>
      </c>
      <c r="K2037" s="1367">
        <v>43719</v>
      </c>
      <c r="L2037" s="1363">
        <v>6000000</v>
      </c>
      <c r="M2037" s="1367">
        <v>43719</v>
      </c>
      <c r="N2037" s="1731">
        <v>6000000</v>
      </c>
      <c r="O2037" s="1367">
        <v>43858.578865740703</v>
      </c>
      <c r="P2037" s="1731">
        <v>6000000</v>
      </c>
      <c r="Q2037" s="1367">
        <v>44057.460648148102</v>
      </c>
      <c r="R2037" s="1941"/>
      <c r="S2037" s="1955"/>
      <c r="T2037" s="1941"/>
      <c r="U2037" s="1954"/>
      <c r="V2037" s="1941"/>
      <c r="W2037" s="1954"/>
      <c r="X2037" s="1941"/>
      <c r="Y2037" s="1954"/>
      <c r="Z2037" s="1941"/>
      <c r="AA2037" s="1954"/>
      <c r="AB2037" s="2262"/>
      <c r="AC2037" s="1940"/>
      <c r="AD2037" s="2263"/>
      <c r="AE2037" s="1664"/>
      <c r="AF2037" s="2263"/>
      <c r="AG2037" s="1664"/>
      <c r="AH2037" s="2062" t="str">
        <f t="shared" si="702"/>
        <v>PAI3-3</v>
      </c>
      <c r="AI2037" s="1963">
        <f>SUM(J2037,L2037,N2037,P2037,R2037,T2037,V2037,X2037,Z2037,AB2037,AD2037,AF2037,AM2037,AO2037,AQ2037,AS2037,AU2037,AW2037,AY2037,BA2037)</f>
        <v>22250000</v>
      </c>
      <c r="AJ2037" s="2063">
        <f t="shared" ref="AJ2037:AJ2051" si="708">(COUNT(L2037,N2037,P2037,R2037,T2037,V2037,X2037,Z2037,AB2037,AD2037,AF2037,AM2037,AO2037)*$G$2036)+(COUNT(J2037)*$J$2036)+(COUNT(AQ2037)*$AR$2036)+(COUNT(AS2037)*$AT$2036)+(COUNT(AU2037)*$AV$2036)++(COUNT(AW2037)*$AX$2036)+(COUNT(AY2037)*$AZ$2036)+(COUNT(BA2037)*$BB$2036)</f>
        <v>22250000</v>
      </c>
      <c r="AK2037" s="1836">
        <f t="shared" ref="AK2037" si="709">AJ2037-AI2037</f>
        <v>0</v>
      </c>
      <c r="AL2037" s="1855" t="str">
        <f t="shared" ref="AL2037" si="710">IF(AK2037=0,"Lunas","Cek")</f>
        <v>Lunas</v>
      </c>
      <c r="AM2037"/>
      <c r="AN2037"/>
      <c r="AO2037"/>
      <c r="AP2037"/>
      <c r="AQ2037" s="1731"/>
      <c r="AR2037" s="1870"/>
      <c r="AS2037" s="1731"/>
      <c r="AT2037" s="1871"/>
      <c r="AU2037" s="1731"/>
      <c r="AV2037" s="1870"/>
      <c r="AW2037" s="1731"/>
      <c r="AX2037" s="1870"/>
      <c r="AY2037" s="1906"/>
      <c r="AZ2037" s="1870"/>
      <c r="BA2037" s="1906"/>
      <c r="BB2037" s="1870"/>
    </row>
    <row r="2038" spans="1:54" s="2" customFormat="1" x14ac:dyDescent="0.25">
      <c r="A2038" s="694">
        <v>1875</v>
      </c>
      <c r="B2038" s="671">
        <v>2</v>
      </c>
      <c r="C2038" s="716">
        <v>842919002</v>
      </c>
      <c r="D2038" s="724" t="s">
        <v>2531</v>
      </c>
      <c r="E2038" s="264" t="s">
        <v>2530</v>
      </c>
      <c r="F2038" s="175">
        <v>2019</v>
      </c>
      <c r="G2038" s="360" t="s">
        <v>1483</v>
      </c>
      <c r="H2038" s="215" t="str">
        <f t="shared" si="706"/>
        <v xml:space="preserve">   </v>
      </c>
      <c r="I2038" s="215" t="str">
        <f t="shared" si="707"/>
        <v xml:space="preserve">   </v>
      </c>
      <c r="J2038" s="1366">
        <v>4250000</v>
      </c>
      <c r="K2038" s="1367">
        <v>43717</v>
      </c>
      <c r="L2038" s="1363">
        <v>6000000</v>
      </c>
      <c r="M2038" s="1367">
        <v>43717</v>
      </c>
      <c r="N2038" s="1731">
        <v>6000000</v>
      </c>
      <c r="O2038" s="1367">
        <v>43858.578275462998</v>
      </c>
      <c r="P2038" s="1731">
        <v>6000000</v>
      </c>
      <c r="Q2038" s="1367">
        <v>44056.672870370399</v>
      </c>
      <c r="R2038" s="1363"/>
      <c r="S2038" s="1563"/>
      <c r="T2038" s="1363"/>
      <c r="U2038" s="1391"/>
      <c r="V2038" s="1363"/>
      <c r="W2038" s="1391"/>
      <c r="X2038" s="1363"/>
      <c r="Y2038" s="1391"/>
      <c r="Z2038" s="1363"/>
      <c r="AA2038" s="1391"/>
      <c r="AB2038" s="1872"/>
      <c r="AC2038" s="1384"/>
      <c r="AD2038" s="2264"/>
      <c r="AE2038" s="1654"/>
      <c r="AF2038" s="2264"/>
      <c r="AG2038" s="1654"/>
      <c r="AH2038" s="2064" t="str">
        <f t="shared" si="702"/>
        <v>PAI3-3</v>
      </c>
      <c r="AI2038" s="1963">
        <f t="shared" ref="AI2038:AI2051" si="711">SUM(J2038,L2038,N2038,P2038,R2038,T2038,V2038,X2038,Z2038,AB2038,AD2038,AF2038,AM2038,AO2038,AQ2038,AS2038,AU2038,AW2038,AY2038,BA2038)</f>
        <v>22250000</v>
      </c>
      <c r="AJ2038" s="2063">
        <f t="shared" si="708"/>
        <v>22250000</v>
      </c>
      <c r="AK2038" s="1836">
        <f t="shared" ref="AK2038:AK2051" si="712">AJ2038-AI2038</f>
        <v>0</v>
      </c>
      <c r="AL2038" s="1855" t="str">
        <f t="shared" ref="AL2038:AL2051" si="713">IF(AK2038=0,"Lunas","Cek")</f>
        <v>Lunas</v>
      </c>
      <c r="AM2038"/>
      <c r="AN2038"/>
      <c r="AO2038"/>
      <c r="AP2038"/>
      <c r="AQ2038" s="1128"/>
      <c r="AR2038" s="1173"/>
      <c r="AT2038" s="1173"/>
      <c r="AV2038" s="1173"/>
      <c r="AX2038" s="1173"/>
      <c r="AY2038" s="1176"/>
      <c r="AZ2038" s="1173"/>
    </row>
    <row r="2039" spans="1:54" s="2" customFormat="1" x14ac:dyDescent="0.25">
      <c r="A2039" s="694">
        <v>1876</v>
      </c>
      <c r="B2039" s="671">
        <v>3</v>
      </c>
      <c r="C2039" s="716">
        <v>842919003</v>
      </c>
      <c r="D2039" s="724" t="s">
        <v>2532</v>
      </c>
      <c r="E2039" s="264" t="s">
        <v>2530</v>
      </c>
      <c r="F2039" s="175">
        <v>2019</v>
      </c>
      <c r="G2039" s="360" t="s">
        <v>1483</v>
      </c>
      <c r="H2039" s="215" t="str">
        <f t="shared" si="706"/>
        <v xml:space="preserve">   </v>
      </c>
      <c r="I2039" s="215" t="str">
        <f t="shared" si="707"/>
        <v xml:space="preserve">   </v>
      </c>
      <c r="J2039" s="1366">
        <v>4250000</v>
      </c>
      <c r="K2039" s="1367">
        <v>43717</v>
      </c>
      <c r="L2039" s="1363">
        <v>6000000</v>
      </c>
      <c r="M2039" s="1367">
        <v>43717</v>
      </c>
      <c r="N2039" s="1731">
        <v>6000000</v>
      </c>
      <c r="O2039" s="1367">
        <v>43860.593541666698</v>
      </c>
      <c r="P2039" s="2279">
        <v>6000000</v>
      </c>
      <c r="Q2039" s="2275">
        <v>44077.404571759304</v>
      </c>
      <c r="R2039" s="1363"/>
      <c r="S2039" s="1563"/>
      <c r="T2039" s="1363"/>
      <c r="U2039" s="1391"/>
      <c r="V2039" s="1363"/>
      <c r="W2039" s="1391"/>
      <c r="X2039" s="1363"/>
      <c r="Y2039" s="1391"/>
      <c r="Z2039" s="1363"/>
      <c r="AA2039" s="1391"/>
      <c r="AB2039" s="1872"/>
      <c r="AC2039" s="1384"/>
      <c r="AD2039" s="2264"/>
      <c r="AE2039" s="1654"/>
      <c r="AF2039" s="2264"/>
      <c r="AG2039" s="1654"/>
      <c r="AH2039" s="2064" t="str">
        <f t="shared" si="702"/>
        <v>PAI3-3</v>
      </c>
      <c r="AI2039" s="1963">
        <f t="shared" si="711"/>
        <v>22250000</v>
      </c>
      <c r="AJ2039" s="2063">
        <f t="shared" si="708"/>
        <v>22250000</v>
      </c>
      <c r="AK2039" s="1836">
        <f t="shared" si="712"/>
        <v>0</v>
      </c>
      <c r="AL2039" s="1855" t="str">
        <f t="shared" si="713"/>
        <v>Lunas</v>
      </c>
      <c r="AM2039"/>
      <c r="AN2039"/>
      <c r="AO2039"/>
      <c r="AP2039"/>
      <c r="AQ2039" s="1128"/>
      <c r="AR2039" s="1173"/>
      <c r="AT2039" s="1173"/>
      <c r="AV2039" s="1173"/>
      <c r="AX2039" s="1173"/>
      <c r="AY2039" s="1176"/>
      <c r="AZ2039" s="1173"/>
    </row>
    <row r="2040" spans="1:54" s="2" customFormat="1" x14ac:dyDescent="0.25">
      <c r="A2040" s="694">
        <v>1877</v>
      </c>
      <c r="B2040" s="671">
        <v>4</v>
      </c>
      <c r="C2040" s="716">
        <v>842919004</v>
      </c>
      <c r="D2040" s="724" t="s">
        <v>2533</v>
      </c>
      <c r="E2040" s="264" t="s">
        <v>2530</v>
      </c>
      <c r="F2040" s="175">
        <v>2019</v>
      </c>
      <c r="G2040" s="360" t="s">
        <v>1483</v>
      </c>
      <c r="H2040" s="215" t="str">
        <f t="shared" si="706"/>
        <v xml:space="preserve">   </v>
      </c>
      <c r="I2040" s="215" t="str">
        <f t="shared" si="707"/>
        <v xml:space="preserve">   </v>
      </c>
      <c r="J2040" s="1366">
        <v>4250000</v>
      </c>
      <c r="K2040" s="1367">
        <v>43717</v>
      </c>
      <c r="L2040" s="1363">
        <v>6000000</v>
      </c>
      <c r="M2040" s="1367">
        <v>43717</v>
      </c>
      <c r="N2040" s="1731">
        <v>6000000</v>
      </c>
      <c r="O2040" s="1367">
        <v>43860.466898148101</v>
      </c>
      <c r="P2040" s="1731">
        <v>6000000</v>
      </c>
      <c r="Q2040" s="1367">
        <v>44057.547708333303</v>
      </c>
      <c r="R2040" s="1363"/>
      <c r="S2040" s="1563"/>
      <c r="T2040" s="1363"/>
      <c r="U2040" s="1391"/>
      <c r="V2040" s="1363"/>
      <c r="W2040" s="1391"/>
      <c r="X2040" s="1363"/>
      <c r="Y2040" s="1391"/>
      <c r="Z2040" s="1363"/>
      <c r="AA2040" s="1391"/>
      <c r="AB2040" s="1872"/>
      <c r="AC2040" s="1384"/>
      <c r="AD2040" s="2264"/>
      <c r="AE2040" s="1654"/>
      <c r="AF2040" s="2264"/>
      <c r="AG2040" s="1654"/>
      <c r="AH2040" s="2064" t="str">
        <f t="shared" si="702"/>
        <v>PAI3-3</v>
      </c>
      <c r="AI2040" s="1963">
        <f t="shared" si="711"/>
        <v>22250000</v>
      </c>
      <c r="AJ2040" s="2063">
        <f t="shared" si="708"/>
        <v>22250000</v>
      </c>
      <c r="AK2040" s="1836">
        <f t="shared" si="712"/>
        <v>0</v>
      </c>
      <c r="AL2040" s="1855" t="str">
        <f t="shared" si="713"/>
        <v>Lunas</v>
      </c>
      <c r="AM2040"/>
      <c r="AN2040"/>
      <c r="AO2040"/>
      <c r="AP2040"/>
      <c r="AQ2040" s="1128"/>
      <c r="AR2040" s="1173"/>
      <c r="AT2040" s="1173"/>
      <c r="AV2040" s="1173"/>
      <c r="AX2040" s="1173"/>
      <c r="AY2040" s="1176"/>
      <c r="AZ2040" s="1173"/>
    </row>
    <row r="2041" spans="1:54" s="2" customFormat="1" x14ac:dyDescent="0.25">
      <c r="A2041" s="694">
        <v>1878</v>
      </c>
      <c r="B2041" s="671">
        <v>5</v>
      </c>
      <c r="C2041" s="716">
        <v>842919005</v>
      </c>
      <c r="D2041" s="724" t="s">
        <v>2534</v>
      </c>
      <c r="E2041" s="264" t="s">
        <v>2530</v>
      </c>
      <c r="F2041" s="175">
        <v>2019</v>
      </c>
      <c r="G2041" s="360" t="s">
        <v>1483</v>
      </c>
      <c r="H2041" s="215" t="str">
        <f t="shared" si="706"/>
        <v xml:space="preserve">   </v>
      </c>
      <c r="I2041" s="215" t="str">
        <f t="shared" si="707"/>
        <v xml:space="preserve">   </v>
      </c>
      <c r="J2041" s="1366">
        <v>4250000</v>
      </c>
      <c r="K2041" s="1367">
        <v>43718</v>
      </c>
      <c r="L2041" s="1363">
        <v>6000000</v>
      </c>
      <c r="M2041" s="1367">
        <v>43718</v>
      </c>
      <c r="N2041" s="1731">
        <v>6000000</v>
      </c>
      <c r="O2041" s="1367">
        <v>43861.590034722198</v>
      </c>
      <c r="P2041" s="1731">
        <v>6000000</v>
      </c>
      <c r="Q2041" s="1367">
        <v>44050.573541666701</v>
      </c>
      <c r="R2041" s="1363"/>
      <c r="S2041" s="1563"/>
      <c r="T2041" s="1363"/>
      <c r="U2041" s="1391"/>
      <c r="V2041" s="1363"/>
      <c r="W2041" s="1391"/>
      <c r="X2041" s="1363"/>
      <c r="Y2041" s="1391"/>
      <c r="Z2041" s="1363"/>
      <c r="AA2041" s="1391"/>
      <c r="AB2041" s="1872"/>
      <c r="AC2041" s="1384"/>
      <c r="AD2041" s="2264"/>
      <c r="AE2041" s="1654"/>
      <c r="AF2041" s="2264"/>
      <c r="AG2041" s="1654"/>
      <c r="AH2041" s="2064" t="str">
        <f t="shared" si="702"/>
        <v>PAI3-3</v>
      </c>
      <c r="AI2041" s="1963">
        <f t="shared" si="711"/>
        <v>22250000</v>
      </c>
      <c r="AJ2041" s="2063">
        <f t="shared" si="708"/>
        <v>22250000</v>
      </c>
      <c r="AK2041" s="1836">
        <f t="shared" si="712"/>
        <v>0</v>
      </c>
      <c r="AL2041" s="1855" t="str">
        <f t="shared" si="713"/>
        <v>Lunas</v>
      </c>
      <c r="AM2041"/>
      <c r="AN2041"/>
      <c r="AO2041"/>
      <c r="AP2041"/>
      <c r="AQ2041" s="1128"/>
      <c r="AR2041" s="1173"/>
      <c r="AT2041" s="1173"/>
      <c r="AV2041" s="1173"/>
      <c r="AX2041" s="1173"/>
      <c r="AY2041" s="1176"/>
      <c r="AZ2041" s="1173"/>
    </row>
    <row r="2042" spans="1:54" s="2" customFormat="1" x14ac:dyDescent="0.25">
      <c r="A2042" s="694">
        <v>1879</v>
      </c>
      <c r="B2042" s="671">
        <v>6</v>
      </c>
      <c r="C2042" s="716">
        <v>842919006</v>
      </c>
      <c r="D2042" s="724" t="s">
        <v>2535</v>
      </c>
      <c r="E2042" s="264" t="s">
        <v>2530</v>
      </c>
      <c r="F2042" s="175">
        <v>2019</v>
      </c>
      <c r="G2042" s="360" t="s">
        <v>1483</v>
      </c>
      <c r="H2042" s="215" t="str">
        <f t="shared" si="706"/>
        <v xml:space="preserve">   </v>
      </c>
      <c r="I2042" s="215" t="str">
        <f t="shared" si="707"/>
        <v xml:space="preserve">   </v>
      </c>
      <c r="J2042" s="1366">
        <v>4250000</v>
      </c>
      <c r="K2042" s="1367">
        <v>43724</v>
      </c>
      <c r="L2042" s="1363">
        <v>6000000</v>
      </c>
      <c r="M2042" s="1367">
        <v>43724</v>
      </c>
      <c r="N2042" s="1731">
        <v>6000000</v>
      </c>
      <c r="O2042" s="1367">
        <v>43860.555706018502</v>
      </c>
      <c r="P2042" s="1731">
        <v>6000000</v>
      </c>
      <c r="Q2042" s="1367">
        <v>44048</v>
      </c>
      <c r="R2042" s="1363"/>
      <c r="S2042" s="1563"/>
      <c r="T2042" s="1363"/>
      <c r="U2042" s="1391"/>
      <c r="V2042" s="1363"/>
      <c r="W2042" s="1391"/>
      <c r="X2042" s="1363"/>
      <c r="Y2042" s="1391"/>
      <c r="Z2042" s="1363"/>
      <c r="AA2042" s="1391"/>
      <c r="AB2042" s="1872"/>
      <c r="AC2042" s="1384"/>
      <c r="AD2042" s="2264"/>
      <c r="AE2042" s="1654"/>
      <c r="AF2042" s="2264"/>
      <c r="AG2042" s="1654"/>
      <c r="AH2042" s="2064" t="str">
        <f t="shared" si="702"/>
        <v>PAI3-3</v>
      </c>
      <c r="AI2042" s="1963">
        <f t="shared" si="711"/>
        <v>22250000</v>
      </c>
      <c r="AJ2042" s="2063">
        <f t="shared" si="708"/>
        <v>22250000</v>
      </c>
      <c r="AK2042" s="1836">
        <f t="shared" si="712"/>
        <v>0</v>
      </c>
      <c r="AL2042" s="1855" t="str">
        <f t="shared" si="713"/>
        <v>Lunas</v>
      </c>
      <c r="AM2042"/>
      <c r="AN2042"/>
      <c r="AO2042"/>
      <c r="AP2042"/>
      <c r="AQ2042" s="1128"/>
      <c r="AR2042" s="1173"/>
      <c r="AT2042" s="1173"/>
      <c r="AV2042" s="1173"/>
      <c r="AX2042" s="1173"/>
      <c r="AY2042" s="1176"/>
      <c r="AZ2042" s="1173"/>
    </row>
    <row r="2043" spans="1:54" s="2" customFormat="1" x14ac:dyDescent="0.25">
      <c r="A2043" s="694">
        <v>1880</v>
      </c>
      <c r="B2043" s="671">
        <v>7</v>
      </c>
      <c r="C2043" s="716">
        <v>842919007</v>
      </c>
      <c r="D2043" s="724" t="s">
        <v>2536</v>
      </c>
      <c r="E2043" s="264" t="s">
        <v>2530</v>
      </c>
      <c r="F2043" s="175">
        <v>2019</v>
      </c>
      <c r="G2043" s="360" t="s">
        <v>1483</v>
      </c>
      <c r="H2043" s="215" t="str">
        <f t="shared" si="706"/>
        <v xml:space="preserve">   </v>
      </c>
      <c r="I2043" s="215" t="str">
        <f t="shared" si="707"/>
        <v xml:space="preserve">   </v>
      </c>
      <c r="J2043" s="1366">
        <v>4250000</v>
      </c>
      <c r="K2043" s="1367">
        <v>43717</v>
      </c>
      <c r="L2043" s="1363">
        <v>6000000</v>
      </c>
      <c r="M2043" s="1367">
        <v>43717</v>
      </c>
      <c r="N2043" s="1731">
        <v>6000000</v>
      </c>
      <c r="O2043" s="1367">
        <v>43860.338136574101</v>
      </c>
      <c r="P2043" s="1731">
        <v>6000000</v>
      </c>
      <c r="Q2043" s="1367">
        <v>44070.435763888898</v>
      </c>
      <c r="R2043" s="1363"/>
      <c r="S2043" s="1563"/>
      <c r="T2043" s="1363"/>
      <c r="U2043" s="1391"/>
      <c r="V2043" s="1363"/>
      <c r="W2043" s="1391"/>
      <c r="X2043" s="1363"/>
      <c r="Y2043" s="1391"/>
      <c r="Z2043" s="1363"/>
      <c r="AA2043" s="1391"/>
      <c r="AB2043" s="1872"/>
      <c r="AC2043" s="1384"/>
      <c r="AD2043" s="2264"/>
      <c r="AE2043" s="1654"/>
      <c r="AF2043" s="2264"/>
      <c r="AG2043" s="1654"/>
      <c r="AH2043" s="2064" t="str">
        <f t="shared" si="702"/>
        <v>PAI3-3</v>
      </c>
      <c r="AI2043" s="1963">
        <f t="shared" si="711"/>
        <v>22250000</v>
      </c>
      <c r="AJ2043" s="2063">
        <f t="shared" si="708"/>
        <v>22250000</v>
      </c>
      <c r="AK2043" s="1836">
        <f t="shared" si="712"/>
        <v>0</v>
      </c>
      <c r="AL2043" s="1855" t="str">
        <f t="shared" si="713"/>
        <v>Lunas</v>
      </c>
      <c r="AM2043"/>
      <c r="AN2043"/>
      <c r="AO2043"/>
      <c r="AP2043"/>
      <c r="AQ2043" s="1128"/>
      <c r="AR2043" s="1173"/>
      <c r="AT2043" s="1173"/>
      <c r="AV2043" s="1173"/>
      <c r="AX2043" s="1173"/>
      <c r="AY2043" s="1176"/>
      <c r="AZ2043" s="1173"/>
    </row>
    <row r="2044" spans="1:54" s="2" customFormat="1" x14ac:dyDescent="0.25">
      <c r="A2044" s="694">
        <v>1881</v>
      </c>
      <c r="B2044" s="671">
        <v>8</v>
      </c>
      <c r="C2044" s="716">
        <v>842919008</v>
      </c>
      <c r="D2044" s="724" t="s">
        <v>2537</v>
      </c>
      <c r="E2044" s="264" t="s">
        <v>2530</v>
      </c>
      <c r="F2044" s="175">
        <v>2019</v>
      </c>
      <c r="G2044" s="360" t="s">
        <v>1483</v>
      </c>
      <c r="H2044" s="215" t="str">
        <f t="shared" si="706"/>
        <v xml:space="preserve">   </v>
      </c>
      <c r="I2044" s="215" t="str">
        <f t="shared" si="707"/>
        <v xml:space="preserve">   </v>
      </c>
      <c r="J2044" s="1366">
        <v>4250000</v>
      </c>
      <c r="K2044" s="1367">
        <v>43717</v>
      </c>
      <c r="L2044" s="1363">
        <v>6000000</v>
      </c>
      <c r="M2044" s="1367">
        <v>43717</v>
      </c>
      <c r="N2044" s="1731">
        <v>6000000</v>
      </c>
      <c r="O2044" s="1367">
        <v>43860.502685185202</v>
      </c>
      <c r="P2044" s="1731">
        <v>6000000</v>
      </c>
      <c r="Q2044" s="1367">
        <v>44061</v>
      </c>
      <c r="R2044" s="1363"/>
      <c r="S2044" s="1563"/>
      <c r="T2044" s="1363"/>
      <c r="U2044" s="1391"/>
      <c r="V2044" s="1363"/>
      <c r="W2044" s="1391"/>
      <c r="X2044" s="1363"/>
      <c r="Y2044" s="1391"/>
      <c r="Z2044" s="1363"/>
      <c r="AA2044" s="1391"/>
      <c r="AB2044" s="1872"/>
      <c r="AC2044" s="1384"/>
      <c r="AD2044" s="2264"/>
      <c r="AE2044" s="1654"/>
      <c r="AF2044" s="2264"/>
      <c r="AG2044" s="1654"/>
      <c r="AH2044" s="2064" t="str">
        <f t="shared" si="702"/>
        <v>PAI3-3</v>
      </c>
      <c r="AI2044" s="1963">
        <f t="shared" si="711"/>
        <v>22250000</v>
      </c>
      <c r="AJ2044" s="2063">
        <f t="shared" si="708"/>
        <v>22250000</v>
      </c>
      <c r="AK2044" s="1836">
        <f t="shared" si="712"/>
        <v>0</v>
      </c>
      <c r="AL2044" s="1855" t="str">
        <f t="shared" si="713"/>
        <v>Lunas</v>
      </c>
      <c r="AM2044"/>
      <c r="AN2044"/>
      <c r="AO2044"/>
      <c r="AP2044"/>
      <c r="AQ2044" s="1128"/>
      <c r="AR2044" s="1173"/>
      <c r="AT2044" s="1173"/>
      <c r="AV2044" s="1173"/>
      <c r="AX2044" s="1173"/>
      <c r="AY2044" s="1176"/>
      <c r="AZ2044" s="1173"/>
    </row>
    <row r="2045" spans="1:54" s="2" customFormat="1" x14ac:dyDescent="0.25">
      <c r="A2045" s="694">
        <v>1882</v>
      </c>
      <c r="B2045" s="671">
        <v>9</v>
      </c>
      <c r="C2045" s="716">
        <v>842919009</v>
      </c>
      <c r="D2045" s="724" t="s">
        <v>163</v>
      </c>
      <c r="E2045" s="264" t="s">
        <v>2530</v>
      </c>
      <c r="F2045" s="175">
        <v>2019</v>
      </c>
      <c r="G2045" s="360" t="s">
        <v>1483</v>
      </c>
      <c r="H2045" s="215" t="str">
        <f t="shared" si="706"/>
        <v xml:space="preserve">   </v>
      </c>
      <c r="I2045" s="215" t="str">
        <f t="shared" si="707"/>
        <v xml:space="preserve">   </v>
      </c>
      <c r="J2045" s="1366">
        <v>4250000</v>
      </c>
      <c r="K2045" s="1367">
        <v>43718</v>
      </c>
      <c r="L2045" s="1363">
        <v>6000000</v>
      </c>
      <c r="M2045" s="1367">
        <v>43718</v>
      </c>
      <c r="N2045" s="1731">
        <v>6000000</v>
      </c>
      <c r="O2045" s="1367">
        <v>43861.367766203701</v>
      </c>
      <c r="P2045" s="1731">
        <v>6000000</v>
      </c>
      <c r="Q2045" s="1367">
        <v>44071.910023148099</v>
      </c>
      <c r="R2045" s="1363"/>
      <c r="S2045" s="1563"/>
      <c r="T2045" s="1363"/>
      <c r="U2045" s="1391"/>
      <c r="V2045" s="1363"/>
      <c r="W2045" s="1391"/>
      <c r="X2045" s="1363"/>
      <c r="Y2045" s="1391"/>
      <c r="Z2045" s="1363"/>
      <c r="AA2045" s="1391"/>
      <c r="AB2045" s="1872"/>
      <c r="AC2045" s="1384"/>
      <c r="AD2045" s="2264"/>
      <c r="AE2045" s="1654"/>
      <c r="AF2045" s="2264"/>
      <c r="AG2045" s="1654"/>
      <c r="AH2045" s="2064" t="str">
        <f t="shared" si="702"/>
        <v>PAI3-3</v>
      </c>
      <c r="AI2045" s="1963">
        <f t="shared" si="711"/>
        <v>22250000</v>
      </c>
      <c r="AJ2045" s="2063">
        <f t="shared" si="708"/>
        <v>22250000</v>
      </c>
      <c r="AK2045" s="1836">
        <f t="shared" si="712"/>
        <v>0</v>
      </c>
      <c r="AL2045" s="1855" t="str">
        <f t="shared" si="713"/>
        <v>Lunas</v>
      </c>
      <c r="AM2045"/>
      <c r="AN2045"/>
      <c r="AO2045"/>
      <c r="AP2045"/>
      <c r="AQ2045" s="1128"/>
      <c r="AR2045" s="1173"/>
      <c r="AT2045" s="1173"/>
      <c r="AV2045" s="1173"/>
      <c r="AX2045" s="1173"/>
      <c r="AY2045" s="1176"/>
      <c r="AZ2045" s="1173"/>
    </row>
    <row r="2046" spans="1:54" s="2" customFormat="1" x14ac:dyDescent="0.25">
      <c r="A2046" s="694">
        <v>1883</v>
      </c>
      <c r="B2046" s="671">
        <v>10</v>
      </c>
      <c r="C2046" s="716">
        <v>842919010</v>
      </c>
      <c r="D2046" s="724" t="s">
        <v>2538</v>
      </c>
      <c r="E2046" s="264" t="s">
        <v>2530</v>
      </c>
      <c r="F2046" s="175">
        <v>2019</v>
      </c>
      <c r="G2046" s="360" t="s">
        <v>1483</v>
      </c>
      <c r="H2046" s="215" t="str">
        <f t="shared" si="706"/>
        <v xml:space="preserve">   </v>
      </c>
      <c r="I2046" s="215" t="str">
        <f t="shared" si="707"/>
        <v xml:space="preserve">   </v>
      </c>
      <c r="J2046" s="1366">
        <v>4250000</v>
      </c>
      <c r="K2046" s="1367">
        <v>43718</v>
      </c>
      <c r="L2046" s="1363">
        <v>6000000</v>
      </c>
      <c r="M2046" s="1367">
        <v>43718</v>
      </c>
      <c r="N2046" s="1731">
        <v>6000000</v>
      </c>
      <c r="O2046" s="1367">
        <v>43857.871273148201</v>
      </c>
      <c r="P2046" s="1731">
        <v>6000000</v>
      </c>
      <c r="Q2046" s="1367">
        <v>44072</v>
      </c>
      <c r="R2046" s="1363" t="str">
        <f>IFERROR(VLOOKUP(C2046,BSP,3,FALSE),"  ")</f>
        <v xml:space="preserve">  </v>
      </c>
      <c r="S2046" s="1563" t="str">
        <f>IFERROR((VLOOKUP(C2046,BSP,4,FALSE)),"  ")</f>
        <v xml:space="preserve">  </v>
      </c>
      <c r="T2046" s="1363"/>
      <c r="U2046" s="1391"/>
      <c r="V2046" s="1363"/>
      <c r="W2046" s="1391"/>
      <c r="X2046" s="1363"/>
      <c r="Y2046" s="1391"/>
      <c r="Z2046" s="1363"/>
      <c r="AA2046" s="1391"/>
      <c r="AB2046" s="1872"/>
      <c r="AC2046" s="1384"/>
      <c r="AD2046" s="2264"/>
      <c r="AE2046" s="1654"/>
      <c r="AF2046" s="2264"/>
      <c r="AG2046" s="1654"/>
      <c r="AH2046" s="2064" t="str">
        <f t="shared" si="702"/>
        <v>PAI3-3</v>
      </c>
      <c r="AI2046" s="1963">
        <f t="shared" si="711"/>
        <v>22250000</v>
      </c>
      <c r="AJ2046" s="2063">
        <f t="shared" si="708"/>
        <v>22250000</v>
      </c>
      <c r="AK2046" s="1836">
        <f t="shared" si="712"/>
        <v>0</v>
      </c>
      <c r="AL2046" s="1855" t="str">
        <f t="shared" si="713"/>
        <v>Lunas</v>
      </c>
      <c r="AM2046"/>
      <c r="AN2046"/>
      <c r="AO2046"/>
      <c r="AP2046"/>
      <c r="AQ2046" s="1128"/>
      <c r="AR2046" s="1173"/>
      <c r="AT2046" s="1173"/>
      <c r="AV2046" s="1173"/>
      <c r="AX2046" s="1173"/>
      <c r="AY2046" s="1176"/>
      <c r="AZ2046" s="1173"/>
    </row>
    <row r="2047" spans="1:54" s="2" customFormat="1" x14ac:dyDescent="0.25">
      <c r="A2047" s="694">
        <v>1884</v>
      </c>
      <c r="B2047" s="671">
        <v>11</v>
      </c>
      <c r="C2047" s="716">
        <v>842919011</v>
      </c>
      <c r="D2047" s="724" t="s">
        <v>111</v>
      </c>
      <c r="E2047" s="264" t="s">
        <v>2530</v>
      </c>
      <c r="F2047" s="175">
        <v>2019</v>
      </c>
      <c r="G2047" s="360" t="s">
        <v>1483</v>
      </c>
      <c r="H2047" s="215" t="str">
        <f t="shared" si="706"/>
        <v xml:space="preserve">   </v>
      </c>
      <c r="I2047" s="215" t="str">
        <f t="shared" si="707"/>
        <v xml:space="preserve">   </v>
      </c>
      <c r="J2047" s="1366">
        <v>4250000</v>
      </c>
      <c r="K2047" s="1367">
        <v>43717</v>
      </c>
      <c r="L2047" s="1363">
        <v>6000000</v>
      </c>
      <c r="M2047" s="1367">
        <v>43717</v>
      </c>
      <c r="N2047" s="1731">
        <v>6000000</v>
      </c>
      <c r="O2047" s="1367">
        <v>43857.337210648097</v>
      </c>
      <c r="P2047" s="1731">
        <v>6000000</v>
      </c>
      <c r="Q2047" s="1367">
        <v>44054.3429861111</v>
      </c>
      <c r="R2047" s="1363"/>
      <c r="S2047" s="1563"/>
      <c r="T2047" s="1363"/>
      <c r="U2047" s="1391"/>
      <c r="V2047" s="1363"/>
      <c r="W2047" s="1391"/>
      <c r="X2047" s="1363"/>
      <c r="Y2047" s="1391"/>
      <c r="Z2047" s="1363"/>
      <c r="AA2047" s="1391"/>
      <c r="AB2047" s="1872"/>
      <c r="AC2047" s="1384"/>
      <c r="AD2047" s="2264"/>
      <c r="AE2047" s="1654"/>
      <c r="AF2047" s="2264"/>
      <c r="AG2047" s="1654"/>
      <c r="AH2047" s="2064" t="str">
        <f t="shared" si="702"/>
        <v>PAI3-3</v>
      </c>
      <c r="AI2047" s="1963">
        <f t="shared" si="711"/>
        <v>22250000</v>
      </c>
      <c r="AJ2047" s="2063">
        <f t="shared" si="708"/>
        <v>22250000</v>
      </c>
      <c r="AK2047" s="1836">
        <f t="shared" si="712"/>
        <v>0</v>
      </c>
      <c r="AL2047" s="1855" t="str">
        <f t="shared" si="713"/>
        <v>Lunas</v>
      </c>
      <c r="AM2047"/>
      <c r="AN2047"/>
      <c r="AO2047"/>
      <c r="AP2047"/>
      <c r="AQ2047" s="1128"/>
      <c r="AR2047" s="1173"/>
      <c r="AT2047" s="1173"/>
      <c r="AV2047" s="1173"/>
      <c r="AX2047" s="1173"/>
      <c r="AY2047" s="1176"/>
      <c r="AZ2047" s="1173"/>
    </row>
    <row r="2048" spans="1:54" s="2" customFormat="1" x14ac:dyDescent="0.25">
      <c r="A2048" s="694">
        <v>1885</v>
      </c>
      <c r="B2048" s="671">
        <v>12</v>
      </c>
      <c r="C2048" s="716">
        <v>842919012</v>
      </c>
      <c r="D2048" s="724" t="s">
        <v>2539</v>
      </c>
      <c r="E2048" s="264" t="s">
        <v>2530</v>
      </c>
      <c r="F2048" s="175">
        <v>2019</v>
      </c>
      <c r="G2048" s="360" t="s">
        <v>1483</v>
      </c>
      <c r="H2048" s="215" t="str">
        <f t="shared" si="706"/>
        <v xml:space="preserve">   </v>
      </c>
      <c r="I2048" s="215" t="str">
        <f t="shared" si="707"/>
        <v xml:space="preserve">   </v>
      </c>
      <c r="J2048" s="1366">
        <v>4250000</v>
      </c>
      <c r="K2048" s="1367">
        <v>43718</v>
      </c>
      <c r="L2048" s="1363">
        <v>6000000</v>
      </c>
      <c r="M2048" s="1367">
        <v>43718</v>
      </c>
      <c r="N2048" s="1731">
        <v>6000000</v>
      </c>
      <c r="O2048" s="1367">
        <v>43857.573229166701</v>
      </c>
      <c r="P2048" s="1731">
        <v>6000000</v>
      </c>
      <c r="Q2048" s="1367">
        <v>44055.423530092601</v>
      </c>
      <c r="R2048" s="1363"/>
      <c r="S2048" s="1563"/>
      <c r="T2048" s="1363"/>
      <c r="U2048" s="1391"/>
      <c r="V2048" s="1363"/>
      <c r="W2048" s="1391"/>
      <c r="X2048" s="1363"/>
      <c r="Y2048" s="1391"/>
      <c r="Z2048" s="1363"/>
      <c r="AA2048" s="1391"/>
      <c r="AB2048" s="1872"/>
      <c r="AC2048" s="1384"/>
      <c r="AD2048" s="2264"/>
      <c r="AE2048" s="1654"/>
      <c r="AF2048" s="2264"/>
      <c r="AG2048" s="1654"/>
      <c r="AH2048" s="2064" t="str">
        <f t="shared" si="702"/>
        <v>PAI3-3</v>
      </c>
      <c r="AI2048" s="1963">
        <f t="shared" si="711"/>
        <v>22250000</v>
      </c>
      <c r="AJ2048" s="2063">
        <f t="shared" si="708"/>
        <v>22250000</v>
      </c>
      <c r="AK2048" s="1836">
        <f t="shared" si="712"/>
        <v>0</v>
      </c>
      <c r="AL2048" s="1855" t="str">
        <f t="shared" si="713"/>
        <v>Lunas</v>
      </c>
      <c r="AM2048"/>
      <c r="AN2048"/>
      <c r="AO2048"/>
      <c r="AP2048"/>
      <c r="AQ2048" s="1128"/>
      <c r="AR2048" s="1173"/>
      <c r="AT2048" s="1173"/>
      <c r="AV2048" s="1173"/>
      <c r="AX2048" s="1173"/>
      <c r="AY2048" s="1176"/>
      <c r="AZ2048" s="1173"/>
    </row>
    <row r="2049" spans="1:52" s="2" customFormat="1" x14ac:dyDescent="0.25">
      <c r="A2049" s="694">
        <v>1886</v>
      </c>
      <c r="B2049" s="671">
        <v>13</v>
      </c>
      <c r="C2049" s="716">
        <v>842919013</v>
      </c>
      <c r="D2049" s="724" t="s">
        <v>2540</v>
      </c>
      <c r="E2049" s="264" t="s">
        <v>2530</v>
      </c>
      <c r="F2049" s="175">
        <v>2019</v>
      </c>
      <c r="G2049" s="360" t="s">
        <v>1483</v>
      </c>
      <c r="H2049" s="215" t="str">
        <f t="shared" si="706"/>
        <v xml:space="preserve">   </v>
      </c>
      <c r="I2049" s="215" t="str">
        <f t="shared" si="707"/>
        <v xml:space="preserve">   </v>
      </c>
      <c r="J2049" s="1366">
        <v>4250000</v>
      </c>
      <c r="K2049" s="1367">
        <v>43724</v>
      </c>
      <c r="L2049" s="1363">
        <v>6000000</v>
      </c>
      <c r="M2049" s="1367">
        <v>43724</v>
      </c>
      <c r="N2049" s="1731">
        <v>6000000</v>
      </c>
      <c r="O2049" s="2275">
        <v>43907</v>
      </c>
      <c r="P2049" s="1731">
        <v>6000000</v>
      </c>
      <c r="Q2049" s="1367">
        <v>44071.613148148099</v>
      </c>
      <c r="R2049" s="1363"/>
      <c r="S2049" s="1563"/>
      <c r="T2049" s="1363"/>
      <c r="U2049" s="1391"/>
      <c r="V2049" s="1363"/>
      <c r="W2049" s="1391"/>
      <c r="X2049" s="1363"/>
      <c r="Y2049" s="1391"/>
      <c r="Z2049" s="1363"/>
      <c r="AA2049" s="1391"/>
      <c r="AB2049" s="1872"/>
      <c r="AC2049" s="1384"/>
      <c r="AD2049" s="2264"/>
      <c r="AE2049" s="1654"/>
      <c r="AF2049" s="2264"/>
      <c r="AG2049" s="1654"/>
      <c r="AH2049" s="2064" t="str">
        <f t="shared" si="702"/>
        <v>PAI3-3</v>
      </c>
      <c r="AI2049" s="1963">
        <f t="shared" si="711"/>
        <v>22250000</v>
      </c>
      <c r="AJ2049" s="2063">
        <f t="shared" si="708"/>
        <v>22250000</v>
      </c>
      <c r="AK2049" s="1836">
        <f t="shared" si="712"/>
        <v>0</v>
      </c>
      <c r="AL2049" s="1855" t="str">
        <f t="shared" si="713"/>
        <v>Lunas</v>
      </c>
      <c r="AM2049"/>
      <c r="AN2049"/>
      <c r="AO2049"/>
      <c r="AP2049"/>
      <c r="AQ2049" s="1128"/>
      <c r="AR2049" s="1173"/>
      <c r="AT2049" s="1173"/>
      <c r="AV2049" s="1173"/>
      <c r="AX2049" s="1173"/>
      <c r="AY2049" s="1176"/>
      <c r="AZ2049" s="1173"/>
    </row>
    <row r="2050" spans="1:52" s="2" customFormat="1" x14ac:dyDescent="0.25">
      <c r="A2050" s="694">
        <v>1887</v>
      </c>
      <c r="B2050" s="671">
        <v>14</v>
      </c>
      <c r="C2050" s="716">
        <v>842919014</v>
      </c>
      <c r="D2050" s="724" t="s">
        <v>2541</v>
      </c>
      <c r="E2050" s="264" t="s">
        <v>2530</v>
      </c>
      <c r="F2050" s="175">
        <v>2019</v>
      </c>
      <c r="G2050" s="360" t="s">
        <v>1483</v>
      </c>
      <c r="H2050" s="215" t="str">
        <f t="shared" si="706"/>
        <v xml:space="preserve">   </v>
      </c>
      <c r="I2050" s="215" t="str">
        <f t="shared" si="707"/>
        <v xml:space="preserve">   </v>
      </c>
      <c r="J2050" s="1366">
        <v>4250000</v>
      </c>
      <c r="K2050" s="1367">
        <v>43725</v>
      </c>
      <c r="L2050" s="1363">
        <v>6000000</v>
      </c>
      <c r="M2050" s="1367">
        <v>43725</v>
      </c>
      <c r="N2050" s="1731">
        <v>6000000</v>
      </c>
      <c r="O2050" s="1367">
        <v>43859.590532407397</v>
      </c>
      <c r="P2050" s="1731">
        <v>6000000</v>
      </c>
      <c r="Q2050" s="1367">
        <v>44067.4860416667</v>
      </c>
      <c r="R2050" s="1363"/>
      <c r="S2050" s="1563"/>
      <c r="T2050" s="1363"/>
      <c r="U2050" s="1391"/>
      <c r="V2050" s="1363"/>
      <c r="W2050" s="1391"/>
      <c r="X2050" s="1363"/>
      <c r="Y2050" s="1391"/>
      <c r="Z2050" s="1363"/>
      <c r="AA2050" s="1391"/>
      <c r="AB2050" s="1872"/>
      <c r="AC2050" s="1384"/>
      <c r="AD2050" s="2264"/>
      <c r="AE2050" s="1654"/>
      <c r="AF2050" s="2264"/>
      <c r="AG2050" s="1654"/>
      <c r="AH2050" s="2064" t="str">
        <f t="shared" si="702"/>
        <v>PAI3-3</v>
      </c>
      <c r="AI2050" s="1963">
        <f t="shared" si="711"/>
        <v>22250000</v>
      </c>
      <c r="AJ2050" s="2063">
        <f t="shared" si="708"/>
        <v>22250000</v>
      </c>
      <c r="AK2050" s="1836">
        <f t="shared" si="712"/>
        <v>0</v>
      </c>
      <c r="AL2050" s="1855" t="str">
        <f t="shared" si="713"/>
        <v>Lunas</v>
      </c>
      <c r="AM2050"/>
      <c r="AN2050"/>
      <c r="AO2050"/>
      <c r="AP2050"/>
      <c r="AQ2050" s="1128"/>
      <c r="AR2050" s="1173"/>
      <c r="AT2050" s="1173"/>
      <c r="AV2050" s="1173"/>
      <c r="AX2050" s="1173"/>
      <c r="AY2050" s="1176"/>
      <c r="AZ2050" s="1173"/>
    </row>
    <row r="2051" spans="1:52" s="2" customFormat="1" x14ac:dyDescent="0.25">
      <c r="A2051" s="694">
        <v>1888</v>
      </c>
      <c r="B2051" s="732">
        <v>15</v>
      </c>
      <c r="C2051" s="739">
        <v>842919015</v>
      </c>
      <c r="D2051" s="733" t="s">
        <v>2542</v>
      </c>
      <c r="E2051" s="735" t="s">
        <v>2530</v>
      </c>
      <c r="F2051" s="736">
        <v>2019</v>
      </c>
      <c r="G2051" s="329" t="s">
        <v>1077</v>
      </c>
      <c r="H2051" s="737" t="str">
        <f t="shared" si="706"/>
        <v xml:space="preserve">   </v>
      </c>
      <c r="I2051" s="737" t="str">
        <f t="shared" si="707"/>
        <v xml:space="preserve">   </v>
      </c>
      <c r="J2051" s="2282">
        <v>4250000</v>
      </c>
      <c r="K2051" s="2283">
        <v>43726</v>
      </c>
      <c r="L2051" s="2092">
        <v>6000000</v>
      </c>
      <c r="M2051" s="2283">
        <v>43726</v>
      </c>
      <c r="N2051" s="2284"/>
      <c r="O2051" s="2283"/>
      <c r="P2051" s="1731"/>
      <c r="Q2051" s="1367"/>
      <c r="R2051" s="1363" t="str">
        <f>IFERROR(VLOOKUP(C2051,BSP,3,FALSE),"  ")</f>
        <v xml:space="preserve">  </v>
      </c>
      <c r="S2051" s="1563" t="str">
        <f>IFERROR((VLOOKUP(C2051,BSP,4,FALSE)),"  ")</f>
        <v xml:space="preserve">  </v>
      </c>
      <c r="T2051" s="1363"/>
      <c r="U2051" s="1391"/>
      <c r="V2051" s="1363"/>
      <c r="W2051" s="1391"/>
      <c r="X2051" s="1363"/>
      <c r="Y2051" s="1391"/>
      <c r="Z2051" s="1363"/>
      <c r="AA2051" s="1391"/>
      <c r="AB2051" s="1872"/>
      <c r="AC2051" s="1384"/>
      <c r="AD2051" s="2264"/>
      <c r="AE2051" s="1654"/>
      <c r="AF2051" s="2264"/>
      <c r="AG2051" s="1654"/>
      <c r="AH2051" s="2064" t="str">
        <f t="shared" si="702"/>
        <v>PAI3-3</v>
      </c>
      <c r="AI2051" s="1963">
        <f t="shared" si="711"/>
        <v>10250000</v>
      </c>
      <c r="AJ2051" s="2063">
        <f t="shared" si="708"/>
        <v>10250000</v>
      </c>
      <c r="AK2051" s="1836">
        <f t="shared" si="712"/>
        <v>0</v>
      </c>
      <c r="AL2051" s="1855" t="str">
        <f t="shared" si="713"/>
        <v>Lunas</v>
      </c>
      <c r="AM2051"/>
      <c r="AN2051"/>
      <c r="AO2051"/>
      <c r="AP2051"/>
      <c r="AQ2051" s="1128"/>
      <c r="AR2051" s="1173"/>
      <c r="AT2051" s="1173"/>
      <c r="AV2051" s="1173"/>
      <c r="AX2051" s="1173"/>
      <c r="AY2051" s="1176"/>
      <c r="AZ2051" s="1173"/>
    </row>
    <row r="2052" spans="1:52" s="2" customFormat="1" x14ac:dyDescent="0.25">
      <c r="A2052" s="694">
        <v>1889</v>
      </c>
      <c r="B2052" s="732">
        <v>16</v>
      </c>
      <c r="C2052" s="716">
        <v>842919016</v>
      </c>
      <c r="D2052" s="733" t="s">
        <v>2543</v>
      </c>
      <c r="E2052" s="735" t="s">
        <v>2530</v>
      </c>
      <c r="F2052" s="736">
        <v>2019</v>
      </c>
      <c r="G2052" s="360" t="s">
        <v>1483</v>
      </c>
      <c r="H2052" s="737" t="str">
        <f t="shared" si="706"/>
        <v xml:space="preserve">   </v>
      </c>
      <c r="I2052" s="737" t="str">
        <f t="shared" si="707"/>
        <v xml:space="preserve">   </v>
      </c>
      <c r="J2052" s="2282"/>
      <c r="K2052" s="2283"/>
      <c r="L2052" s="2092">
        <v>6000000</v>
      </c>
      <c r="M2052" s="2283">
        <v>43964</v>
      </c>
      <c r="N2052" s="2092">
        <v>6000000</v>
      </c>
      <c r="O2052" s="2283">
        <v>43964</v>
      </c>
      <c r="P2052" s="1731">
        <v>6000000</v>
      </c>
      <c r="Q2052" s="1367">
        <v>44145</v>
      </c>
      <c r="R2052" s="1363"/>
      <c r="S2052" s="1563"/>
      <c r="T2052" s="1363"/>
      <c r="U2052" s="1391"/>
      <c r="V2052" s="1363"/>
      <c r="W2052" s="1391"/>
      <c r="X2052" s="1363"/>
      <c r="Y2052" s="1391"/>
      <c r="Z2052" s="1363"/>
      <c r="AA2052" s="1391"/>
      <c r="AB2052" s="1872"/>
      <c r="AC2052" s="1384"/>
      <c r="AD2052" s="2264"/>
      <c r="AE2052" s="1654"/>
      <c r="AF2052" s="2264"/>
      <c r="AG2052" s="1654"/>
      <c r="AH2052" s="2064" t="str">
        <f t="shared" si="702"/>
        <v>PAI3-3</v>
      </c>
      <c r="AI2052" s="1366"/>
      <c r="AJ2052" s="1366"/>
      <c r="AK2052" s="1366"/>
      <c r="AL2052" s="2210"/>
      <c r="AM2052"/>
      <c r="AN2052"/>
      <c r="AO2052"/>
      <c r="AP2052"/>
      <c r="AQ2052" s="1128"/>
      <c r="AR2052" s="1173"/>
      <c r="AT2052" s="1173"/>
      <c r="AV2052" s="1173"/>
      <c r="AX2052" s="1173"/>
      <c r="AY2052" s="1176"/>
      <c r="AZ2052" s="1173"/>
    </row>
    <row r="2053" spans="1:52" s="2" customFormat="1" x14ac:dyDescent="0.25">
      <c r="A2053" s="694">
        <v>1890</v>
      </c>
      <c r="B2053" s="732">
        <v>17</v>
      </c>
      <c r="C2053" s="739">
        <v>842919017</v>
      </c>
      <c r="D2053" s="733" t="s">
        <v>2544</v>
      </c>
      <c r="E2053" s="735" t="s">
        <v>2530</v>
      </c>
      <c r="F2053" s="736">
        <v>2019</v>
      </c>
      <c r="G2053" s="360" t="s">
        <v>1483</v>
      </c>
      <c r="H2053" s="737" t="str">
        <f t="shared" si="706"/>
        <v xml:space="preserve">   </v>
      </c>
      <c r="I2053" s="737" t="str">
        <f t="shared" si="707"/>
        <v xml:space="preserve">   </v>
      </c>
      <c r="J2053" s="2282"/>
      <c r="K2053" s="2283"/>
      <c r="L2053" s="2092">
        <v>6000000</v>
      </c>
      <c r="M2053" s="1367">
        <v>44071</v>
      </c>
      <c r="N2053" s="2092">
        <v>6000000</v>
      </c>
      <c r="O2053" s="1367">
        <v>44071</v>
      </c>
      <c r="P2053" s="2092">
        <v>6000000</v>
      </c>
      <c r="Q2053" s="1367">
        <v>44071</v>
      </c>
      <c r="R2053" s="1363"/>
      <c r="S2053" s="1563"/>
      <c r="T2053" s="1363"/>
      <c r="U2053" s="1391"/>
      <c r="V2053" s="1363"/>
      <c r="W2053" s="1391"/>
      <c r="X2053" s="1363"/>
      <c r="Y2053" s="1391"/>
      <c r="Z2053" s="1363"/>
      <c r="AA2053" s="1391"/>
      <c r="AB2053" s="1872"/>
      <c r="AC2053" s="1384"/>
      <c r="AD2053" s="2264"/>
      <c r="AE2053" s="1654"/>
      <c r="AF2053" s="2264"/>
      <c r="AG2053" s="1654"/>
      <c r="AH2053" s="2064" t="str">
        <f t="shared" si="702"/>
        <v>PAI3-3</v>
      </c>
      <c r="AI2053" s="1366"/>
      <c r="AJ2053" s="1366"/>
      <c r="AK2053" s="1366"/>
      <c r="AL2053" s="2210"/>
      <c r="AM2053"/>
      <c r="AN2053"/>
      <c r="AO2053"/>
      <c r="AP2053"/>
      <c r="AQ2053" s="1128"/>
      <c r="AR2053" s="1173"/>
      <c r="AT2053" s="1173"/>
      <c r="AV2053" s="1173"/>
      <c r="AX2053" s="1173"/>
      <c r="AY2053" s="1176"/>
      <c r="AZ2053" s="1173"/>
    </row>
    <row r="2054" spans="1:52" s="2" customFormat="1" x14ac:dyDescent="0.25">
      <c r="A2054" s="694">
        <v>1891</v>
      </c>
      <c r="B2054" s="732">
        <v>18</v>
      </c>
      <c r="C2054" s="716">
        <v>842919018</v>
      </c>
      <c r="D2054" s="733" t="s">
        <v>2545</v>
      </c>
      <c r="E2054" s="735" t="s">
        <v>2530</v>
      </c>
      <c r="F2054" s="736">
        <v>2019</v>
      </c>
      <c r="G2054" s="1758" t="s">
        <v>28</v>
      </c>
      <c r="H2054" s="737" t="str">
        <f t="shared" si="706"/>
        <v xml:space="preserve">   </v>
      </c>
      <c r="I2054" s="737" t="str">
        <f t="shared" si="707"/>
        <v xml:space="preserve">   </v>
      </c>
      <c r="J2054" s="2282"/>
      <c r="K2054" s="2283"/>
      <c r="L2054" s="2092"/>
      <c r="M2054" s="2283"/>
      <c r="N2054" s="2284"/>
      <c r="O2054" s="2283"/>
      <c r="P2054" s="1731">
        <v>0</v>
      </c>
      <c r="Q2054" s="1367"/>
      <c r="R2054" s="1363"/>
      <c r="S2054" s="1563"/>
      <c r="T2054" s="1363"/>
      <c r="U2054" s="1391"/>
      <c r="V2054" s="1363"/>
      <c r="W2054" s="1391"/>
      <c r="X2054" s="1363"/>
      <c r="Y2054" s="1391"/>
      <c r="Z2054" s="1363"/>
      <c r="AA2054" s="1391"/>
      <c r="AB2054" s="1872"/>
      <c r="AC2054" s="1384"/>
      <c r="AD2054" s="2264"/>
      <c r="AE2054" s="1654"/>
      <c r="AF2054" s="2264"/>
      <c r="AG2054" s="1654"/>
      <c r="AH2054" s="2064" t="str">
        <f t="shared" si="702"/>
        <v>PAI3-3</v>
      </c>
      <c r="AI2054" s="1366"/>
      <c r="AJ2054" s="1366"/>
      <c r="AK2054" s="1366"/>
      <c r="AL2054" s="2210"/>
      <c r="AM2054"/>
      <c r="AN2054"/>
      <c r="AO2054"/>
      <c r="AP2054"/>
      <c r="AQ2054" s="1128"/>
      <c r="AR2054" s="1173"/>
      <c r="AT2054" s="1173"/>
      <c r="AV2054" s="1173"/>
      <c r="AX2054" s="1173"/>
      <c r="AY2054" s="1176"/>
      <c r="AZ2054" s="1173"/>
    </row>
    <row r="2055" spans="1:52" s="8" customFormat="1" x14ac:dyDescent="0.25">
      <c r="A2055" s="684"/>
      <c r="B2055" s="678"/>
      <c r="C2055" s="717"/>
      <c r="D2055" s="2280" t="s">
        <v>2546</v>
      </c>
      <c r="E2055" s="691"/>
      <c r="F2055" s="221"/>
      <c r="G2055" s="413"/>
      <c r="H2055" s="222" t="str">
        <f t="shared" si="706"/>
        <v xml:space="preserve">   </v>
      </c>
      <c r="I2055" s="222" t="str">
        <f t="shared" si="707"/>
        <v xml:space="preserve">   </v>
      </c>
      <c r="J2055" s="1444"/>
      <c r="K2055" s="1445"/>
      <c r="L2055" s="1446"/>
      <c r="M2055" s="1445"/>
      <c r="N2055" s="1893"/>
      <c r="O2055" s="1445"/>
      <c r="P2055" s="1731">
        <v>0</v>
      </c>
      <c r="Q2055" s="1367"/>
      <c r="R2055" s="1446"/>
      <c r="S2055" s="1957"/>
      <c r="T2055" s="1446"/>
      <c r="U2055" s="1944"/>
      <c r="V2055" s="1446"/>
      <c r="W2055" s="1944"/>
      <c r="X2055" s="1446"/>
      <c r="Y2055" s="1944"/>
      <c r="Z2055" s="1446"/>
      <c r="AA2055" s="1944"/>
      <c r="AB2055" s="2265"/>
      <c r="AC2055" s="1782"/>
      <c r="AD2055" s="2266"/>
      <c r="AE2055" s="1728"/>
      <c r="AF2055" s="2266"/>
      <c r="AG2055" s="1728"/>
      <c r="AH2055" s="2065">
        <f t="shared" si="702"/>
        <v>0</v>
      </c>
      <c r="AI2055" s="1444"/>
      <c r="AJ2055" s="1444"/>
      <c r="AK2055" s="1444"/>
      <c r="AL2055" s="2285"/>
      <c r="AM2055" s="2286"/>
      <c r="AN2055" s="2286"/>
      <c r="AO2055" s="2286"/>
      <c r="AP2055" s="2286"/>
      <c r="AQ2055" s="2287"/>
      <c r="AR2055" s="2288"/>
      <c r="AT2055" s="2288"/>
      <c r="AV2055" s="2288"/>
      <c r="AX2055" s="2288"/>
      <c r="AY2055" s="2289"/>
      <c r="AZ2055" s="2288"/>
    </row>
    <row r="2056" spans="1:52" x14ac:dyDescent="0.25">
      <c r="A2056" s="725"/>
      <c r="B2056" s="725"/>
      <c r="C2056" s="33"/>
      <c r="D2056" s="123"/>
      <c r="H2056" s="124"/>
      <c r="I2056" s="124"/>
      <c r="J2056" s="1212"/>
      <c r="P2056" s="761"/>
      <c r="Q2056" s="1089"/>
      <c r="S2056" s="1375"/>
      <c r="AH2056">
        <f t="shared" si="702"/>
        <v>0</v>
      </c>
    </row>
    <row r="2057" spans="1:52" x14ac:dyDescent="0.25">
      <c r="A2057" s="725" t="s">
        <v>2547</v>
      </c>
      <c r="B2057" s="725"/>
      <c r="C2057" s="33"/>
      <c r="D2057" s="123"/>
      <c r="H2057" s="124"/>
      <c r="I2057" s="124"/>
      <c r="J2057" s="1212"/>
      <c r="P2057" s="761"/>
      <c r="Q2057" s="1089"/>
      <c r="S2057" s="1375"/>
      <c r="AH2057">
        <f t="shared" si="702"/>
        <v>0</v>
      </c>
    </row>
    <row r="2058" spans="1:52" s="2" customFormat="1" x14ac:dyDescent="0.25">
      <c r="A2058" s="372" t="s">
        <v>2548</v>
      </c>
      <c r="B2058" s="625"/>
      <c r="C2058" s="366"/>
      <c r="D2058" s="625"/>
      <c r="E2058" s="198" t="s">
        <v>1096</v>
      </c>
      <c r="F2058" s="199" t="s">
        <v>1096</v>
      </c>
      <c r="G2058" s="565">
        <v>3750000</v>
      </c>
      <c r="H2058" s="147" t="str">
        <f>IFERROR(VLOOKUP(C2058,Tlus,3,FALSE),"   ")</f>
        <v xml:space="preserve">   </v>
      </c>
      <c r="I2058" s="147" t="str">
        <f>IFERROR(VLOOKUP(C2058,Wis,4,FALSE),"   ")</f>
        <v xml:space="preserve">   </v>
      </c>
      <c r="J2058" s="2035">
        <v>2700000</v>
      </c>
      <c r="K2058" s="2036"/>
      <c r="L2058" s="2163" t="s">
        <v>1049</v>
      </c>
      <c r="M2058" s="2164" t="s">
        <v>1463</v>
      </c>
      <c r="N2058" s="2163" t="s">
        <v>1051</v>
      </c>
      <c r="O2058" s="2164" t="s">
        <v>1464</v>
      </c>
      <c r="P2058" s="2016" t="s">
        <v>1053</v>
      </c>
      <c r="Q2058" s="1438" t="s">
        <v>1466</v>
      </c>
      <c r="R2058" s="2016" t="s">
        <v>1055</v>
      </c>
      <c r="S2058" s="1438" t="s">
        <v>1468</v>
      </c>
      <c r="T2058" s="2016" t="s">
        <v>1057</v>
      </c>
      <c r="U2058" s="1438" t="s">
        <v>1470</v>
      </c>
      <c r="V2058" s="2016" t="s">
        <v>1059</v>
      </c>
      <c r="W2058" s="1438" t="s">
        <v>1718</v>
      </c>
      <c r="X2058" s="1582" t="s">
        <v>1061</v>
      </c>
      <c r="Y2058" s="1438" t="s">
        <v>1719</v>
      </c>
      <c r="Z2058" s="1582" t="s">
        <v>1063</v>
      </c>
      <c r="AA2058" s="1438" t="s">
        <v>1980</v>
      </c>
      <c r="AB2058" s="2177">
        <v>1000000</v>
      </c>
      <c r="AC2058" s="2178" t="s">
        <v>2015</v>
      </c>
      <c r="AD2058" s="1450">
        <v>1200000</v>
      </c>
      <c r="AE2058" s="1663" t="s">
        <v>2016</v>
      </c>
      <c r="AF2058" s="1450">
        <v>1600000</v>
      </c>
      <c r="AG2058" s="1663" t="s">
        <v>1326</v>
      </c>
      <c r="AH2058" s="1408" t="str">
        <f t="shared" si="702"/>
        <v>#</v>
      </c>
      <c r="AI2058" s="1512"/>
      <c r="AJ2058" s="1409"/>
      <c r="AK2058" s="1409"/>
      <c r="AL2058" s="1513"/>
      <c r="AM2058" s="1450">
        <v>500000</v>
      </c>
      <c r="AN2058" s="1663" t="s">
        <v>22</v>
      </c>
      <c r="AO2058"/>
      <c r="AP2058"/>
      <c r="AQ2058" s="1128"/>
      <c r="AR2058" s="1173"/>
      <c r="AT2058" s="1173"/>
      <c r="AV2058" s="1173"/>
      <c r="AX2058" s="1173"/>
      <c r="AY2058" s="1176"/>
      <c r="AZ2058" s="1173"/>
    </row>
    <row r="2059" spans="1:52" s="2" customFormat="1" x14ac:dyDescent="0.25">
      <c r="A2059" s="694">
        <v>1892</v>
      </c>
      <c r="B2059" s="671">
        <v>1</v>
      </c>
      <c r="C2059" s="716">
        <v>203206010001</v>
      </c>
      <c r="D2059" s="701" t="s">
        <v>2549</v>
      </c>
      <c r="E2059" s="264" t="s">
        <v>2550</v>
      </c>
      <c r="F2059" s="175">
        <v>2020</v>
      </c>
      <c r="G2059" s="360" t="s">
        <v>1483</v>
      </c>
      <c r="H2059" s="264" t="s">
        <v>2551</v>
      </c>
      <c r="I2059" s="264" t="s">
        <v>2552</v>
      </c>
      <c r="J2059" s="1359">
        <v>2700000</v>
      </c>
      <c r="K2059" s="1523">
        <v>44070.614884259303</v>
      </c>
      <c r="L2059" s="1359">
        <v>3750000</v>
      </c>
      <c r="M2059" s="1523">
        <v>44070.614884259303</v>
      </c>
      <c r="N2059" s="1731"/>
      <c r="O2059" s="1367"/>
      <c r="P2059" s="1731"/>
      <c r="Q2059" s="1367"/>
      <c r="R2059" s="1363"/>
      <c r="S2059" s="1563"/>
      <c r="T2059" s="1363"/>
      <c r="U2059" s="1391"/>
      <c r="V2059" s="1363"/>
      <c r="W2059" s="1391"/>
      <c r="X2059" s="1363"/>
      <c r="Y2059" s="1391"/>
      <c r="Z2059" s="1363"/>
      <c r="AA2059" s="1391"/>
      <c r="AB2059" s="1666"/>
      <c r="AC2059" s="1590"/>
      <c r="AD2059" s="1666"/>
      <c r="AE2059" s="1590"/>
      <c r="AF2059" s="1666"/>
      <c r="AG2059" s="1590"/>
      <c r="AH2059" s="1625" t="str">
        <f t="shared" si="702"/>
        <v>MPI-1A</v>
      </c>
      <c r="AI2059" s="1675">
        <f t="shared" ref="AI2059:AI2095" si="714">SUM(J2059,L2059,N2059,P2059,R2059,T2059,V2059,X2059,Z2059,AB2059,AD2059,AF2059,AM2059)</f>
        <v>6450000</v>
      </c>
      <c r="AJ2059" s="1675">
        <f t="shared" ref="AJ2059:AJ2095" si="715">(COUNT(L2059,N2059,P2059,R2059,T2059,V2059,X2059,Z2059)*$G$1507)+(COUNT(J2059)*$J$1507)+(COUNT(AB2059)*$AB$1507)+(COUNT(AD2059)*$AD$1507)+(COUNT(AF2059)*$AF$1507)+(COUNT(AM2059)*$AM$1507)</f>
        <v>6450000</v>
      </c>
      <c r="AK2059" s="1520">
        <f t="shared" ref="AK2059" si="716">AJ2059-AI2059</f>
        <v>0</v>
      </c>
      <c r="AL2059" s="2187" t="str">
        <f t="shared" ref="AL2059" si="717">IF(AK2059=0,"Lunas","Cek")</f>
        <v>Lunas</v>
      </c>
      <c r="AM2059" s="1666"/>
      <c r="AN2059" s="1590"/>
      <c r="AO2059"/>
      <c r="AP2059"/>
      <c r="AQ2059" s="1128"/>
      <c r="AR2059" s="1173"/>
      <c r="AT2059" s="1173"/>
      <c r="AV2059" s="1173"/>
      <c r="AX2059" s="1173"/>
      <c r="AY2059" s="1176"/>
      <c r="AZ2059" s="1173"/>
    </row>
    <row r="2060" spans="1:52" s="2" customFormat="1" x14ac:dyDescent="0.25">
      <c r="A2060" s="694">
        <v>1893</v>
      </c>
      <c r="B2060" s="709">
        <v>2</v>
      </c>
      <c r="C2060" s="716">
        <v>203206010002</v>
      </c>
      <c r="D2060" s="701" t="s">
        <v>2553</v>
      </c>
      <c r="E2060" s="264" t="s">
        <v>2550</v>
      </c>
      <c r="F2060" s="175">
        <v>2020</v>
      </c>
      <c r="G2060" s="360" t="s">
        <v>1483</v>
      </c>
      <c r="H2060" s="264" t="s">
        <v>2551</v>
      </c>
      <c r="I2060" s="264" t="s">
        <v>2552</v>
      </c>
      <c r="J2060" s="1359">
        <v>2700000</v>
      </c>
      <c r="K2060" s="1523">
        <v>44070.635347222204</v>
      </c>
      <c r="L2060" s="1363">
        <v>3750000</v>
      </c>
      <c r="M2060" s="1523">
        <v>44070.635347222204</v>
      </c>
      <c r="N2060" s="1731"/>
      <c r="O2060" s="1367"/>
      <c r="P2060" s="1731"/>
      <c r="Q2060" s="1367"/>
      <c r="R2060" s="1363"/>
      <c r="S2060" s="1563"/>
      <c r="T2060" s="1363"/>
      <c r="U2060" s="1391"/>
      <c r="V2060" s="1363"/>
      <c r="W2060" s="1391"/>
      <c r="X2060" s="1363"/>
      <c r="Y2060" s="1391"/>
      <c r="Z2060" s="1363"/>
      <c r="AA2060" s="1391"/>
      <c r="AB2060" s="1731"/>
      <c r="AC2060" s="1367"/>
      <c r="AD2060" s="1666"/>
      <c r="AE2060" s="1590"/>
      <c r="AF2060" s="1666"/>
      <c r="AG2060" s="1590"/>
      <c r="AH2060" s="1625" t="str">
        <f t="shared" si="702"/>
        <v>MPI-1A</v>
      </c>
      <c r="AI2060" s="1675">
        <f t="shared" si="714"/>
        <v>6450000</v>
      </c>
      <c r="AJ2060" s="1675">
        <f t="shared" si="715"/>
        <v>6450000</v>
      </c>
      <c r="AK2060" s="1520">
        <f t="shared" ref="AK2060:AK2095" si="718">AJ2060-AI2060</f>
        <v>0</v>
      </c>
      <c r="AL2060" s="2210" t="str">
        <f t="shared" ref="AL2060:AL2095" si="719">IF(AK2060=0,"Lunas","Cek")</f>
        <v>Lunas</v>
      </c>
      <c r="AM2060" s="1666"/>
      <c r="AN2060" s="1590"/>
      <c r="AO2060"/>
      <c r="AP2060"/>
      <c r="AQ2060" s="1128"/>
      <c r="AR2060" s="1173"/>
      <c r="AT2060" s="1173"/>
      <c r="AV2060" s="1173"/>
      <c r="AX2060" s="1173"/>
      <c r="AY2060" s="1176"/>
      <c r="AZ2060" s="1173"/>
    </row>
    <row r="2061" spans="1:52" s="2" customFormat="1" x14ac:dyDescent="0.25">
      <c r="A2061" s="694">
        <v>1894</v>
      </c>
      <c r="B2061" s="671">
        <v>3</v>
      </c>
      <c r="C2061" s="716">
        <v>203206010003</v>
      </c>
      <c r="D2061" s="701" t="s">
        <v>2554</v>
      </c>
      <c r="E2061" s="264" t="s">
        <v>2550</v>
      </c>
      <c r="F2061" s="175">
        <v>2020</v>
      </c>
      <c r="G2061" s="360" t="s">
        <v>1483</v>
      </c>
      <c r="H2061" s="264" t="s">
        <v>2551</v>
      </c>
      <c r="I2061" s="264" t="s">
        <v>2552</v>
      </c>
      <c r="J2061" s="1359">
        <v>2700000</v>
      </c>
      <c r="K2061" s="1523">
        <v>44067.8383217593</v>
      </c>
      <c r="L2061" s="1359">
        <v>3750000</v>
      </c>
      <c r="M2061" s="1523">
        <v>44067.8383217593</v>
      </c>
      <c r="N2061" s="1731"/>
      <c r="O2061" s="1367"/>
      <c r="P2061" s="1731"/>
      <c r="Q2061" s="1367"/>
      <c r="R2061" s="1363"/>
      <c r="S2061" s="1563"/>
      <c r="T2061" s="1363"/>
      <c r="U2061" s="1391"/>
      <c r="V2061" s="1363"/>
      <c r="W2061" s="1391"/>
      <c r="X2061" s="1363"/>
      <c r="Y2061" s="1391"/>
      <c r="Z2061" s="1363"/>
      <c r="AA2061" s="1391"/>
      <c r="AB2061" s="1731"/>
      <c r="AC2061" s="1367"/>
      <c r="AD2061" s="1666"/>
      <c r="AE2061" s="1590"/>
      <c r="AF2061" s="1666"/>
      <c r="AG2061" s="1590"/>
      <c r="AH2061" s="1625" t="str">
        <f t="shared" si="702"/>
        <v>MPI-1A</v>
      </c>
      <c r="AI2061" s="1675">
        <f t="shared" si="714"/>
        <v>6450000</v>
      </c>
      <c r="AJ2061" s="1675">
        <f t="shared" si="715"/>
        <v>6450000</v>
      </c>
      <c r="AK2061" s="1520">
        <f t="shared" si="718"/>
        <v>0</v>
      </c>
      <c r="AL2061" s="2210" t="str">
        <f t="shared" si="719"/>
        <v>Lunas</v>
      </c>
      <c r="AM2061" s="1666"/>
      <c r="AN2061" s="1590"/>
      <c r="AO2061"/>
      <c r="AP2061"/>
      <c r="AQ2061" s="1128"/>
      <c r="AR2061" s="1173"/>
      <c r="AT2061" s="1173"/>
      <c r="AV2061" s="1173"/>
      <c r="AX2061" s="1173"/>
      <c r="AY2061" s="1176"/>
      <c r="AZ2061" s="1173"/>
    </row>
    <row r="2062" spans="1:52" s="2" customFormat="1" x14ac:dyDescent="0.25">
      <c r="A2062" s="694">
        <v>1895</v>
      </c>
      <c r="B2062" s="709">
        <v>4</v>
      </c>
      <c r="C2062" s="716">
        <v>203206010004</v>
      </c>
      <c r="D2062" s="701" t="s">
        <v>2555</v>
      </c>
      <c r="E2062" s="264" t="s">
        <v>2550</v>
      </c>
      <c r="F2062" s="175">
        <v>2020</v>
      </c>
      <c r="G2062" s="360" t="s">
        <v>1483</v>
      </c>
      <c r="H2062" s="264" t="s">
        <v>2551</v>
      </c>
      <c r="I2062" s="264" t="s">
        <v>2552</v>
      </c>
      <c r="J2062" s="1359">
        <v>2700000</v>
      </c>
      <c r="K2062" s="1523">
        <v>44070.501145833303</v>
      </c>
      <c r="L2062" s="1363">
        <v>3750000</v>
      </c>
      <c r="M2062" s="1523">
        <v>44070.501145833303</v>
      </c>
      <c r="N2062" s="1731"/>
      <c r="O2062" s="1367"/>
      <c r="P2062" s="1731"/>
      <c r="Q2062" s="1367"/>
      <c r="R2062" s="1363"/>
      <c r="S2062" s="1563"/>
      <c r="T2062" s="1363"/>
      <c r="U2062" s="1391"/>
      <c r="V2062" s="1363"/>
      <c r="W2062" s="1391"/>
      <c r="X2062" s="1363"/>
      <c r="Y2062" s="1391"/>
      <c r="Z2062" s="1363"/>
      <c r="AA2062" s="1391"/>
      <c r="AB2062" s="1731"/>
      <c r="AC2062" s="1367"/>
      <c r="AD2062" s="1666"/>
      <c r="AE2062" s="1590"/>
      <c r="AF2062" s="1666"/>
      <c r="AG2062" s="1590"/>
      <c r="AH2062" s="1625" t="str">
        <f t="shared" si="702"/>
        <v>MPI-1A</v>
      </c>
      <c r="AI2062" s="1675">
        <f t="shared" si="714"/>
        <v>6450000</v>
      </c>
      <c r="AJ2062" s="1675">
        <f t="shared" si="715"/>
        <v>6450000</v>
      </c>
      <c r="AK2062" s="1520">
        <f t="shared" si="718"/>
        <v>0</v>
      </c>
      <c r="AL2062" s="2210" t="str">
        <f t="shared" si="719"/>
        <v>Lunas</v>
      </c>
      <c r="AM2062" s="1666"/>
      <c r="AN2062" s="1590"/>
      <c r="AO2062"/>
      <c r="AP2062"/>
      <c r="AQ2062" s="1128"/>
      <c r="AR2062" s="1173"/>
      <c r="AT2062" s="1173"/>
      <c r="AV2062" s="1173"/>
      <c r="AX2062" s="1173"/>
      <c r="AY2062" s="1176"/>
      <c r="AZ2062" s="1173"/>
    </row>
    <row r="2063" spans="1:52" s="2" customFormat="1" x14ac:dyDescent="0.25">
      <c r="A2063" s="694">
        <v>1896</v>
      </c>
      <c r="B2063" s="671">
        <v>5</v>
      </c>
      <c r="C2063" s="716">
        <v>203206010005</v>
      </c>
      <c r="D2063" s="701" t="s">
        <v>2556</v>
      </c>
      <c r="E2063" s="264" t="s">
        <v>2550</v>
      </c>
      <c r="F2063" s="175">
        <v>2020</v>
      </c>
      <c r="G2063" s="360" t="s">
        <v>1483</v>
      </c>
      <c r="H2063" s="264" t="s">
        <v>2551</v>
      </c>
      <c r="I2063" s="264" t="s">
        <v>2552</v>
      </c>
      <c r="J2063" s="1359">
        <v>2700000</v>
      </c>
      <c r="K2063" s="1523">
        <v>44069.6096875</v>
      </c>
      <c r="L2063" s="1359">
        <v>3750000</v>
      </c>
      <c r="M2063" s="1523">
        <v>44069.6096875</v>
      </c>
      <c r="N2063" s="1731"/>
      <c r="O2063" s="1367"/>
      <c r="P2063" s="1731"/>
      <c r="Q2063" s="1367"/>
      <c r="R2063" s="1363"/>
      <c r="S2063" s="1563"/>
      <c r="T2063" s="1363"/>
      <c r="U2063" s="1391"/>
      <c r="V2063" s="1363"/>
      <c r="W2063" s="1391"/>
      <c r="X2063" s="1363"/>
      <c r="Y2063" s="1391"/>
      <c r="Z2063" s="1363"/>
      <c r="AA2063" s="1391"/>
      <c r="AB2063" s="1731"/>
      <c r="AC2063" s="1367"/>
      <c r="AD2063" s="1666"/>
      <c r="AE2063" s="1590"/>
      <c r="AF2063" s="1666"/>
      <c r="AG2063" s="1590"/>
      <c r="AH2063" s="1625" t="str">
        <f t="shared" si="702"/>
        <v>MPI-1A</v>
      </c>
      <c r="AI2063" s="1675">
        <f t="shared" si="714"/>
        <v>6450000</v>
      </c>
      <c r="AJ2063" s="1675">
        <f t="shared" si="715"/>
        <v>6450000</v>
      </c>
      <c r="AK2063" s="1520">
        <f t="shared" si="718"/>
        <v>0</v>
      </c>
      <c r="AL2063" s="2210" t="str">
        <f t="shared" si="719"/>
        <v>Lunas</v>
      </c>
      <c r="AM2063" s="1666"/>
      <c r="AN2063" s="1590"/>
      <c r="AO2063"/>
      <c r="AP2063"/>
      <c r="AQ2063" s="1128"/>
      <c r="AR2063" s="1173"/>
      <c r="AT2063" s="1173"/>
      <c r="AV2063" s="1173"/>
      <c r="AX2063" s="1173"/>
      <c r="AY2063" s="1176"/>
      <c r="AZ2063" s="1173"/>
    </row>
    <row r="2064" spans="1:52" s="2" customFormat="1" x14ac:dyDescent="0.25">
      <c r="A2064" s="694">
        <v>1897</v>
      </c>
      <c r="B2064" s="709">
        <v>6</v>
      </c>
      <c r="C2064" s="716">
        <v>203206010006</v>
      </c>
      <c r="D2064" s="701" t="s">
        <v>2557</v>
      </c>
      <c r="E2064" s="264" t="s">
        <v>2550</v>
      </c>
      <c r="F2064" s="175">
        <v>2020</v>
      </c>
      <c r="G2064" s="360" t="s">
        <v>1483</v>
      </c>
      <c r="H2064" s="264" t="s">
        <v>2551</v>
      </c>
      <c r="I2064" s="264" t="s">
        <v>2552</v>
      </c>
      <c r="J2064" s="1359">
        <v>2700000</v>
      </c>
      <c r="K2064" s="1523">
        <v>44071.424386574101</v>
      </c>
      <c r="L2064" s="1363">
        <v>3750000</v>
      </c>
      <c r="M2064" s="1523">
        <v>44071.424386574101</v>
      </c>
      <c r="N2064" s="1731"/>
      <c r="O2064" s="1367"/>
      <c r="P2064" s="1731"/>
      <c r="Q2064" s="1367"/>
      <c r="R2064" s="1363"/>
      <c r="S2064" s="1563"/>
      <c r="T2064" s="1363"/>
      <c r="U2064" s="1391"/>
      <c r="V2064" s="1363"/>
      <c r="W2064" s="1391"/>
      <c r="X2064" s="1363"/>
      <c r="Y2064" s="1391"/>
      <c r="Z2064" s="1363"/>
      <c r="AA2064" s="1391"/>
      <c r="AB2064" s="1731"/>
      <c r="AC2064" s="1367"/>
      <c r="AD2064" s="1666"/>
      <c r="AE2064" s="1590"/>
      <c r="AF2064" s="1666"/>
      <c r="AG2064" s="1590"/>
      <c r="AH2064" s="1625" t="str">
        <f t="shared" si="702"/>
        <v>MPI-1A</v>
      </c>
      <c r="AI2064" s="1675">
        <f t="shared" si="714"/>
        <v>6450000</v>
      </c>
      <c r="AJ2064" s="1675">
        <f t="shared" si="715"/>
        <v>6450000</v>
      </c>
      <c r="AK2064" s="1520">
        <f t="shared" si="718"/>
        <v>0</v>
      </c>
      <c r="AL2064" s="2210" t="str">
        <f t="shared" si="719"/>
        <v>Lunas</v>
      </c>
      <c r="AM2064" s="1666"/>
      <c r="AN2064" s="1590"/>
      <c r="AO2064"/>
      <c r="AP2064"/>
      <c r="AQ2064" s="1128"/>
      <c r="AR2064" s="1173"/>
      <c r="AT2064" s="1173"/>
      <c r="AV2064" s="1173"/>
      <c r="AX2064" s="1173"/>
      <c r="AY2064" s="1176"/>
      <c r="AZ2064" s="1173"/>
    </row>
    <row r="2065" spans="1:52" s="2" customFormat="1" x14ac:dyDescent="0.25">
      <c r="A2065" s="694">
        <v>1898</v>
      </c>
      <c r="B2065" s="671">
        <v>7</v>
      </c>
      <c r="C2065" s="716">
        <v>203206010007</v>
      </c>
      <c r="D2065" s="701" t="s">
        <v>2558</v>
      </c>
      <c r="E2065" s="264" t="s">
        <v>2550</v>
      </c>
      <c r="F2065" s="175">
        <v>2020</v>
      </c>
      <c r="G2065" s="360" t="s">
        <v>1483</v>
      </c>
      <c r="H2065" s="264" t="s">
        <v>2551</v>
      </c>
      <c r="I2065" s="264" t="s">
        <v>2552</v>
      </c>
      <c r="J2065" s="1359">
        <v>2700000</v>
      </c>
      <c r="K2065" s="1523">
        <v>44070.454351851899</v>
      </c>
      <c r="L2065" s="1359">
        <v>3750000</v>
      </c>
      <c r="M2065" s="1523">
        <v>44070.454351851899</v>
      </c>
      <c r="N2065" s="1731"/>
      <c r="O2065" s="1367"/>
      <c r="P2065" s="1731"/>
      <c r="Q2065" s="1367"/>
      <c r="R2065" s="1363"/>
      <c r="S2065" s="1563"/>
      <c r="T2065" s="1363"/>
      <c r="U2065" s="1391"/>
      <c r="V2065" s="1363"/>
      <c r="W2065" s="1391"/>
      <c r="X2065" s="1363"/>
      <c r="Y2065" s="1391"/>
      <c r="Z2065" s="1363"/>
      <c r="AA2065" s="1391"/>
      <c r="AB2065" s="1731"/>
      <c r="AC2065" s="1367"/>
      <c r="AD2065" s="1666"/>
      <c r="AE2065" s="1590"/>
      <c r="AF2065" s="1666"/>
      <c r="AG2065" s="1590"/>
      <c r="AH2065" s="1625" t="str">
        <f t="shared" si="702"/>
        <v>MPI-1A</v>
      </c>
      <c r="AI2065" s="1675">
        <f t="shared" si="714"/>
        <v>6450000</v>
      </c>
      <c r="AJ2065" s="1675">
        <f t="shared" si="715"/>
        <v>6450000</v>
      </c>
      <c r="AK2065" s="1520">
        <f t="shared" si="718"/>
        <v>0</v>
      </c>
      <c r="AL2065" s="2210" t="str">
        <f t="shared" si="719"/>
        <v>Lunas</v>
      </c>
      <c r="AM2065" s="1666"/>
      <c r="AN2065" s="1590"/>
      <c r="AO2065"/>
      <c r="AP2065"/>
      <c r="AQ2065" s="1128"/>
      <c r="AR2065" s="1173"/>
      <c r="AT2065" s="1173"/>
      <c r="AV2065" s="1173"/>
      <c r="AX2065" s="1173"/>
      <c r="AY2065" s="1176"/>
      <c r="AZ2065" s="1173"/>
    </row>
    <row r="2066" spans="1:52" s="2" customFormat="1" x14ac:dyDescent="0.25">
      <c r="A2066" s="694">
        <v>1899</v>
      </c>
      <c r="B2066" s="709">
        <v>8</v>
      </c>
      <c r="C2066" s="2281">
        <v>203206010008</v>
      </c>
      <c r="D2066" s="701" t="s">
        <v>2559</v>
      </c>
      <c r="E2066" s="264" t="s">
        <v>2550</v>
      </c>
      <c r="F2066" s="175">
        <v>2020</v>
      </c>
      <c r="G2066" s="360" t="s">
        <v>1483</v>
      </c>
      <c r="H2066" s="264" t="s">
        <v>2551</v>
      </c>
      <c r="I2066" s="264" t="s">
        <v>2552</v>
      </c>
      <c r="J2066" s="1359">
        <v>2700000</v>
      </c>
      <c r="K2066" s="1523">
        <v>44071</v>
      </c>
      <c r="L2066" s="1363">
        <v>3750000</v>
      </c>
      <c r="M2066" s="1523">
        <v>44071</v>
      </c>
      <c r="N2066" s="1731"/>
      <c r="O2066" s="1367"/>
      <c r="P2066" s="1731"/>
      <c r="Q2066" s="1367"/>
      <c r="R2066" s="1363"/>
      <c r="S2066" s="1563"/>
      <c r="T2066" s="1363"/>
      <c r="U2066" s="1391"/>
      <c r="V2066" s="1363"/>
      <c r="W2066" s="1391"/>
      <c r="X2066" s="1363"/>
      <c r="Y2066" s="1391"/>
      <c r="Z2066" s="1363"/>
      <c r="AA2066" s="1391"/>
      <c r="AB2066" s="1731"/>
      <c r="AC2066" s="1367"/>
      <c r="AD2066" s="1666"/>
      <c r="AE2066" s="1590"/>
      <c r="AF2066" s="1666"/>
      <c r="AG2066" s="1590"/>
      <c r="AH2066" s="1625" t="str">
        <f t="shared" si="702"/>
        <v>MPI-1A</v>
      </c>
      <c r="AI2066" s="1675">
        <f t="shared" si="714"/>
        <v>6450000</v>
      </c>
      <c r="AJ2066" s="1675">
        <f t="shared" si="715"/>
        <v>6450000</v>
      </c>
      <c r="AK2066" s="1520">
        <f t="shared" si="718"/>
        <v>0</v>
      </c>
      <c r="AL2066" s="2210" t="str">
        <f t="shared" si="719"/>
        <v>Lunas</v>
      </c>
      <c r="AM2066" s="1666"/>
      <c r="AN2066" s="1590"/>
      <c r="AO2066"/>
      <c r="AP2066"/>
      <c r="AQ2066" s="1128"/>
      <c r="AR2066" s="1173"/>
      <c r="AT2066" s="1173"/>
      <c r="AV2066" s="1173"/>
      <c r="AX2066" s="1173"/>
      <c r="AY2066" s="1176"/>
      <c r="AZ2066" s="1173"/>
    </row>
    <row r="2067" spans="1:52" s="2" customFormat="1" x14ac:dyDescent="0.25">
      <c r="A2067" s="694">
        <v>1900</v>
      </c>
      <c r="B2067" s="671">
        <v>9</v>
      </c>
      <c r="C2067" s="716">
        <v>203206010036</v>
      </c>
      <c r="D2067" s="701" t="s">
        <v>2560</v>
      </c>
      <c r="E2067" s="264" t="s">
        <v>2550</v>
      </c>
      <c r="F2067" s="175">
        <v>2020</v>
      </c>
      <c r="G2067" s="360" t="s">
        <v>1483</v>
      </c>
      <c r="H2067" s="264" t="s">
        <v>2551</v>
      </c>
      <c r="I2067" s="264" t="s">
        <v>2552</v>
      </c>
      <c r="J2067" s="1359">
        <v>2700000</v>
      </c>
      <c r="K2067" s="1523">
        <v>44076.5796527778</v>
      </c>
      <c r="L2067" s="1359">
        <v>3750000</v>
      </c>
      <c r="M2067" s="1523">
        <v>44076.5796527778</v>
      </c>
      <c r="N2067" s="1731"/>
      <c r="O2067" s="1367"/>
      <c r="P2067" s="1731"/>
      <c r="Q2067" s="1367"/>
      <c r="R2067" s="1363"/>
      <c r="S2067" s="1563"/>
      <c r="T2067" s="1363"/>
      <c r="U2067" s="1391"/>
      <c r="V2067" s="1363"/>
      <c r="W2067" s="1391"/>
      <c r="X2067" s="1363"/>
      <c r="Y2067" s="1391"/>
      <c r="Z2067" s="1363"/>
      <c r="AA2067" s="1391"/>
      <c r="AB2067" s="1731"/>
      <c r="AC2067" s="1367"/>
      <c r="AD2067" s="1666"/>
      <c r="AE2067" s="1590"/>
      <c r="AF2067" s="1666"/>
      <c r="AG2067" s="1590"/>
      <c r="AH2067" s="1625" t="str">
        <f t="shared" si="702"/>
        <v>MPI-1A</v>
      </c>
      <c r="AI2067" s="1675">
        <f t="shared" si="714"/>
        <v>6450000</v>
      </c>
      <c r="AJ2067" s="1675">
        <f t="shared" si="715"/>
        <v>6450000</v>
      </c>
      <c r="AK2067" s="1520">
        <f t="shared" si="718"/>
        <v>0</v>
      </c>
      <c r="AL2067" s="2210" t="str">
        <f t="shared" si="719"/>
        <v>Lunas</v>
      </c>
      <c r="AM2067" s="1666"/>
      <c r="AN2067" s="1590"/>
      <c r="AO2067"/>
      <c r="AP2067"/>
      <c r="AQ2067" s="1128"/>
      <c r="AR2067" s="1173"/>
      <c r="AT2067" s="1173"/>
      <c r="AV2067" s="1173"/>
      <c r="AX2067" s="1173"/>
      <c r="AY2067" s="1176"/>
      <c r="AZ2067" s="1173"/>
    </row>
    <row r="2068" spans="1:52" s="2" customFormat="1" x14ac:dyDescent="0.25">
      <c r="A2068" s="694">
        <v>1901</v>
      </c>
      <c r="B2068" s="709">
        <v>10</v>
      </c>
      <c r="C2068" s="716">
        <v>203206010009</v>
      </c>
      <c r="D2068" s="701" t="s">
        <v>2561</v>
      </c>
      <c r="E2068" s="264" t="s">
        <v>2550</v>
      </c>
      <c r="F2068" s="175">
        <v>2020</v>
      </c>
      <c r="G2068" s="360" t="s">
        <v>1483</v>
      </c>
      <c r="H2068" s="264" t="s">
        <v>2551</v>
      </c>
      <c r="I2068" s="264" t="s">
        <v>2552</v>
      </c>
      <c r="J2068" s="1359">
        <v>2700000</v>
      </c>
      <c r="K2068" s="1523">
        <v>44068.571782407402</v>
      </c>
      <c r="L2068" s="1363">
        <v>3750000</v>
      </c>
      <c r="M2068" s="1523">
        <v>44068.571782407402</v>
      </c>
      <c r="N2068" s="1731"/>
      <c r="O2068" s="1367"/>
      <c r="P2068" s="1731"/>
      <c r="Q2068" s="1367"/>
      <c r="R2068" s="1363"/>
      <c r="S2068" s="1563"/>
      <c r="T2068" s="1363"/>
      <c r="U2068" s="1391"/>
      <c r="V2068" s="1363"/>
      <c r="W2068" s="1391"/>
      <c r="X2068" s="1363"/>
      <c r="Y2068" s="1391"/>
      <c r="Z2068" s="1363"/>
      <c r="AA2068" s="1391"/>
      <c r="AB2068" s="1731"/>
      <c r="AC2068" s="1367"/>
      <c r="AD2068" s="1666"/>
      <c r="AE2068" s="1590"/>
      <c r="AF2068" s="1666"/>
      <c r="AG2068" s="1590"/>
      <c r="AH2068" s="1625" t="str">
        <f t="shared" si="702"/>
        <v>MPI-1A</v>
      </c>
      <c r="AI2068" s="1675">
        <f t="shared" si="714"/>
        <v>6450000</v>
      </c>
      <c r="AJ2068" s="1675">
        <f t="shared" si="715"/>
        <v>6450000</v>
      </c>
      <c r="AK2068" s="1520">
        <f t="shared" si="718"/>
        <v>0</v>
      </c>
      <c r="AL2068" s="2210" t="str">
        <f t="shared" si="719"/>
        <v>Lunas</v>
      </c>
      <c r="AM2068" s="1666"/>
      <c r="AN2068" s="1590"/>
      <c r="AO2068"/>
      <c r="AP2068"/>
      <c r="AQ2068" s="1128"/>
      <c r="AR2068" s="1173"/>
      <c r="AT2068" s="1173"/>
      <c r="AV2068" s="1173"/>
      <c r="AX2068" s="1173"/>
      <c r="AY2068" s="1176"/>
      <c r="AZ2068" s="1173"/>
    </row>
    <row r="2069" spans="1:52" s="2" customFormat="1" x14ac:dyDescent="0.25">
      <c r="A2069" s="694">
        <v>1902</v>
      </c>
      <c r="B2069" s="671">
        <v>11</v>
      </c>
      <c r="C2069" s="716">
        <v>203206010010</v>
      </c>
      <c r="D2069" s="701" t="s">
        <v>2562</v>
      </c>
      <c r="E2069" s="264" t="s">
        <v>2550</v>
      </c>
      <c r="F2069" s="175">
        <v>2020</v>
      </c>
      <c r="G2069" s="360" t="s">
        <v>1483</v>
      </c>
      <c r="H2069" s="264" t="s">
        <v>2551</v>
      </c>
      <c r="I2069" s="264" t="s">
        <v>2552</v>
      </c>
      <c r="J2069" s="1359">
        <v>2700000</v>
      </c>
      <c r="K2069" s="1523">
        <v>44071.4358333333</v>
      </c>
      <c r="L2069" s="1359">
        <v>3750000</v>
      </c>
      <c r="M2069" s="1523">
        <v>44071.4358333333</v>
      </c>
      <c r="N2069" s="1731"/>
      <c r="O2069" s="1367"/>
      <c r="P2069" s="1731"/>
      <c r="Q2069" s="1367"/>
      <c r="R2069" s="1363"/>
      <c r="S2069" s="1563"/>
      <c r="T2069" s="1363"/>
      <c r="U2069" s="1391"/>
      <c r="V2069" s="1363"/>
      <c r="W2069" s="1391"/>
      <c r="X2069" s="1363"/>
      <c r="Y2069" s="1391"/>
      <c r="Z2069" s="1363"/>
      <c r="AA2069" s="1391"/>
      <c r="AB2069" s="1731"/>
      <c r="AC2069" s="1367"/>
      <c r="AD2069" s="1666"/>
      <c r="AE2069" s="1590"/>
      <c r="AF2069" s="1666"/>
      <c r="AG2069" s="1590"/>
      <c r="AH2069" s="1625" t="str">
        <f t="shared" si="702"/>
        <v>MPI-1A</v>
      </c>
      <c r="AI2069" s="1675">
        <f t="shared" si="714"/>
        <v>6450000</v>
      </c>
      <c r="AJ2069" s="1675">
        <f t="shared" si="715"/>
        <v>6450000</v>
      </c>
      <c r="AK2069" s="1520">
        <f t="shared" si="718"/>
        <v>0</v>
      </c>
      <c r="AL2069" s="2210" t="str">
        <f t="shared" si="719"/>
        <v>Lunas</v>
      </c>
      <c r="AM2069" s="1666"/>
      <c r="AN2069" s="1590"/>
      <c r="AO2069"/>
      <c r="AP2069"/>
      <c r="AQ2069" s="1128"/>
      <c r="AR2069" s="1173"/>
      <c r="AT2069" s="1173"/>
      <c r="AV2069" s="1173"/>
      <c r="AX2069" s="1173"/>
      <c r="AY2069" s="1176"/>
      <c r="AZ2069" s="1173"/>
    </row>
    <row r="2070" spans="1:52" s="2" customFormat="1" x14ac:dyDescent="0.25">
      <c r="A2070" s="694">
        <v>1903</v>
      </c>
      <c r="B2070" s="709">
        <v>12</v>
      </c>
      <c r="C2070" s="716">
        <v>203206010011</v>
      </c>
      <c r="D2070" s="701" t="s">
        <v>2563</v>
      </c>
      <c r="E2070" s="264" t="s">
        <v>2550</v>
      </c>
      <c r="F2070" s="175">
        <v>2020</v>
      </c>
      <c r="G2070" s="360" t="s">
        <v>1483</v>
      </c>
      <c r="H2070" s="264" t="s">
        <v>2551</v>
      </c>
      <c r="I2070" s="264" t="s">
        <v>2552</v>
      </c>
      <c r="J2070" s="1359">
        <v>2700000</v>
      </c>
      <c r="K2070" s="1523">
        <v>44071.341932870397</v>
      </c>
      <c r="L2070" s="1363">
        <v>3750000</v>
      </c>
      <c r="M2070" s="1523">
        <v>44071.341932870397</v>
      </c>
      <c r="N2070" s="1731"/>
      <c r="O2070" s="1367"/>
      <c r="P2070" s="1731"/>
      <c r="Q2070" s="1367"/>
      <c r="R2070" s="1363"/>
      <c r="S2070" s="1563"/>
      <c r="T2070" s="1363"/>
      <c r="U2070" s="1391"/>
      <c r="V2070" s="1363"/>
      <c r="W2070" s="1391"/>
      <c r="X2070" s="1363"/>
      <c r="Y2070" s="1391"/>
      <c r="Z2070" s="1363"/>
      <c r="AA2070" s="1391"/>
      <c r="AB2070" s="1731"/>
      <c r="AC2070" s="1367"/>
      <c r="AD2070" s="1666"/>
      <c r="AE2070" s="1590"/>
      <c r="AF2070" s="1666"/>
      <c r="AG2070" s="1590"/>
      <c r="AH2070" s="1625" t="str">
        <f t="shared" si="702"/>
        <v>MPI-1A</v>
      </c>
      <c r="AI2070" s="1675">
        <f t="shared" si="714"/>
        <v>6450000</v>
      </c>
      <c r="AJ2070" s="1675">
        <f t="shared" si="715"/>
        <v>6450000</v>
      </c>
      <c r="AK2070" s="1520">
        <f t="shared" si="718"/>
        <v>0</v>
      </c>
      <c r="AL2070" s="2210" t="str">
        <f t="shared" si="719"/>
        <v>Lunas</v>
      </c>
      <c r="AM2070" s="1666"/>
      <c r="AN2070" s="1590"/>
      <c r="AO2070"/>
      <c r="AP2070"/>
      <c r="AQ2070" s="1128"/>
      <c r="AR2070" s="1173"/>
      <c r="AT2070" s="1173"/>
      <c r="AV2070" s="1173"/>
      <c r="AX2070" s="1173"/>
      <c r="AY2070" s="1176"/>
      <c r="AZ2070" s="1173"/>
    </row>
    <row r="2071" spans="1:52" s="2" customFormat="1" x14ac:dyDescent="0.25">
      <c r="A2071" s="694">
        <v>1904</v>
      </c>
      <c r="B2071" s="671">
        <v>13</v>
      </c>
      <c r="C2071" s="716">
        <v>203206010012</v>
      </c>
      <c r="D2071" s="701" t="s">
        <v>2564</v>
      </c>
      <c r="E2071" s="264" t="s">
        <v>2550</v>
      </c>
      <c r="F2071" s="175">
        <v>2020</v>
      </c>
      <c r="G2071" s="360" t="s">
        <v>1483</v>
      </c>
      <c r="H2071" s="264" t="s">
        <v>2551</v>
      </c>
      <c r="I2071" s="264" t="s">
        <v>2552</v>
      </c>
      <c r="J2071" s="1359">
        <v>2700000</v>
      </c>
      <c r="K2071" s="1523">
        <v>44070.511203703703</v>
      </c>
      <c r="L2071" s="1359">
        <v>3750000</v>
      </c>
      <c r="M2071" s="1523">
        <v>44070.511203703703</v>
      </c>
      <c r="N2071" s="1731"/>
      <c r="O2071" s="1367"/>
      <c r="P2071" s="1731"/>
      <c r="Q2071" s="1367"/>
      <c r="R2071" s="1363"/>
      <c r="S2071" s="1563"/>
      <c r="T2071" s="1363"/>
      <c r="U2071" s="1391"/>
      <c r="V2071" s="1363"/>
      <c r="W2071" s="1391"/>
      <c r="X2071" s="1363"/>
      <c r="Y2071" s="1391"/>
      <c r="Z2071" s="1363"/>
      <c r="AA2071" s="1391"/>
      <c r="AB2071" s="1731"/>
      <c r="AC2071" s="1367"/>
      <c r="AD2071" s="1666"/>
      <c r="AE2071" s="1590"/>
      <c r="AF2071" s="1666"/>
      <c r="AG2071" s="1590"/>
      <c r="AH2071" s="1625" t="str">
        <f t="shared" si="702"/>
        <v>MPI-1A</v>
      </c>
      <c r="AI2071" s="1675">
        <f t="shared" si="714"/>
        <v>6450000</v>
      </c>
      <c r="AJ2071" s="1675">
        <f t="shared" si="715"/>
        <v>6450000</v>
      </c>
      <c r="AK2071" s="1520">
        <f t="shared" si="718"/>
        <v>0</v>
      </c>
      <c r="AL2071" s="2210" t="str">
        <f t="shared" si="719"/>
        <v>Lunas</v>
      </c>
      <c r="AM2071" s="1666"/>
      <c r="AN2071" s="1590"/>
      <c r="AO2071"/>
      <c r="AP2071"/>
      <c r="AQ2071" s="1128"/>
      <c r="AR2071" s="1173"/>
      <c r="AT2071" s="1173"/>
      <c r="AV2071" s="1173"/>
      <c r="AX2071" s="1173"/>
      <c r="AY2071" s="1176"/>
      <c r="AZ2071" s="1173"/>
    </row>
    <row r="2072" spans="1:52" s="2" customFormat="1" x14ac:dyDescent="0.25">
      <c r="A2072" s="694">
        <v>1905</v>
      </c>
      <c r="B2072" s="709">
        <v>14</v>
      </c>
      <c r="C2072" s="716">
        <v>203206010013</v>
      </c>
      <c r="D2072" s="701" t="s">
        <v>2565</v>
      </c>
      <c r="E2072" s="264" t="s">
        <v>2550</v>
      </c>
      <c r="F2072" s="175">
        <v>2020</v>
      </c>
      <c r="G2072" s="360" t="s">
        <v>1483</v>
      </c>
      <c r="H2072" s="264" t="s">
        <v>2551</v>
      </c>
      <c r="I2072" s="264" t="s">
        <v>2552</v>
      </c>
      <c r="J2072" s="1359">
        <v>2700000</v>
      </c>
      <c r="K2072" s="1523">
        <v>44071.542789351799</v>
      </c>
      <c r="L2072" s="1363">
        <v>3750000</v>
      </c>
      <c r="M2072" s="1523">
        <v>44071.542789351799</v>
      </c>
      <c r="N2072" s="1731"/>
      <c r="O2072" s="1367"/>
      <c r="P2072" s="1731"/>
      <c r="Q2072" s="1367"/>
      <c r="R2072" s="1363"/>
      <c r="S2072" s="1563"/>
      <c r="T2072" s="1363"/>
      <c r="U2072" s="1391"/>
      <c r="V2072" s="1363"/>
      <c r="W2072" s="1391"/>
      <c r="X2072" s="1363"/>
      <c r="Y2072" s="1391"/>
      <c r="Z2072" s="1363"/>
      <c r="AA2072" s="1391"/>
      <c r="AB2072" s="1731"/>
      <c r="AC2072" s="1367"/>
      <c r="AD2072" s="1666"/>
      <c r="AE2072" s="1590"/>
      <c r="AF2072" s="1666"/>
      <c r="AG2072" s="1590"/>
      <c r="AH2072" s="1625" t="str">
        <f t="shared" si="702"/>
        <v>MPI-1A</v>
      </c>
      <c r="AI2072" s="1675">
        <f t="shared" si="714"/>
        <v>6450000</v>
      </c>
      <c r="AJ2072" s="1675">
        <f t="shared" si="715"/>
        <v>6450000</v>
      </c>
      <c r="AK2072" s="1520">
        <f t="shared" si="718"/>
        <v>0</v>
      </c>
      <c r="AL2072" s="2210" t="str">
        <f t="shared" si="719"/>
        <v>Lunas</v>
      </c>
      <c r="AM2072" s="1666"/>
      <c r="AN2072" s="1590"/>
      <c r="AO2072"/>
      <c r="AP2072"/>
      <c r="AQ2072" s="1128"/>
      <c r="AR2072" s="1173"/>
      <c r="AT2072" s="1173"/>
      <c r="AV2072" s="1173"/>
      <c r="AX2072" s="1173"/>
      <c r="AY2072" s="1176"/>
      <c r="AZ2072" s="1173"/>
    </row>
    <row r="2073" spans="1:52" s="2" customFormat="1" x14ac:dyDescent="0.25">
      <c r="A2073" s="694">
        <v>1906</v>
      </c>
      <c r="B2073" s="671">
        <v>15</v>
      </c>
      <c r="C2073" s="716">
        <v>203206010014</v>
      </c>
      <c r="D2073" s="701" t="s">
        <v>2566</v>
      </c>
      <c r="E2073" s="264" t="s">
        <v>2550</v>
      </c>
      <c r="F2073" s="175">
        <v>2020</v>
      </c>
      <c r="G2073" s="360" t="s">
        <v>1483</v>
      </c>
      <c r="H2073" s="264" t="s">
        <v>2551</v>
      </c>
      <c r="I2073" s="264" t="s">
        <v>2552</v>
      </c>
      <c r="J2073" s="1359">
        <v>2700000</v>
      </c>
      <c r="K2073" s="1523">
        <v>44067.619837963</v>
      </c>
      <c r="L2073" s="1359">
        <v>3750000</v>
      </c>
      <c r="M2073" s="1523">
        <v>44067.619837963</v>
      </c>
      <c r="N2073" s="1731"/>
      <c r="O2073" s="1367"/>
      <c r="P2073" s="1731"/>
      <c r="Q2073" s="1367"/>
      <c r="R2073" s="1363"/>
      <c r="S2073" s="1563"/>
      <c r="T2073" s="1363"/>
      <c r="U2073" s="1391"/>
      <c r="V2073" s="1363"/>
      <c r="W2073" s="1391"/>
      <c r="X2073" s="1363"/>
      <c r="Y2073" s="1391"/>
      <c r="Z2073" s="1363"/>
      <c r="AA2073" s="1391"/>
      <c r="AB2073" s="1731"/>
      <c r="AC2073" s="1367"/>
      <c r="AD2073" s="1666"/>
      <c r="AE2073" s="1590"/>
      <c r="AF2073" s="1666"/>
      <c r="AG2073" s="1590"/>
      <c r="AH2073" s="1625" t="str">
        <f t="shared" si="702"/>
        <v>MPI-1A</v>
      </c>
      <c r="AI2073" s="1675">
        <f t="shared" si="714"/>
        <v>6450000</v>
      </c>
      <c r="AJ2073" s="1675">
        <f t="shared" si="715"/>
        <v>6450000</v>
      </c>
      <c r="AK2073" s="1520">
        <f t="shared" si="718"/>
        <v>0</v>
      </c>
      <c r="AL2073" s="2210" t="str">
        <f t="shared" si="719"/>
        <v>Lunas</v>
      </c>
      <c r="AM2073" s="1666"/>
      <c r="AN2073" s="1590"/>
      <c r="AO2073"/>
      <c r="AP2073"/>
      <c r="AQ2073" s="1128"/>
      <c r="AR2073" s="1173"/>
      <c r="AT2073" s="1173"/>
      <c r="AV2073" s="1173"/>
      <c r="AX2073" s="1173"/>
      <c r="AY2073" s="1176"/>
      <c r="AZ2073" s="1173"/>
    </row>
    <row r="2074" spans="1:52" s="2" customFormat="1" x14ac:dyDescent="0.25">
      <c r="A2074" s="694">
        <v>1907</v>
      </c>
      <c r="B2074" s="709">
        <v>16</v>
      </c>
      <c r="C2074" s="716">
        <v>203206010015</v>
      </c>
      <c r="D2074" s="701" t="s">
        <v>2567</v>
      </c>
      <c r="E2074" s="264" t="s">
        <v>2550</v>
      </c>
      <c r="F2074" s="175">
        <v>2020</v>
      </c>
      <c r="G2074" s="360" t="s">
        <v>1483</v>
      </c>
      <c r="H2074" s="264" t="s">
        <v>2551</v>
      </c>
      <c r="I2074" s="264" t="s">
        <v>2552</v>
      </c>
      <c r="J2074" s="1359">
        <v>2700000</v>
      </c>
      <c r="K2074" s="1523">
        <v>44070.832951388897</v>
      </c>
      <c r="L2074" s="1363">
        <v>3750000</v>
      </c>
      <c r="M2074" s="1523">
        <v>44070.832951388897</v>
      </c>
      <c r="N2074" s="1731"/>
      <c r="O2074" s="1367"/>
      <c r="P2074" s="1731"/>
      <c r="Q2074" s="1367"/>
      <c r="R2074" s="1363"/>
      <c r="S2074" s="1563"/>
      <c r="T2074" s="1363"/>
      <c r="U2074" s="1391"/>
      <c r="V2074" s="1363"/>
      <c r="W2074" s="1391"/>
      <c r="X2074" s="1363"/>
      <c r="Y2074" s="1391"/>
      <c r="Z2074" s="1363"/>
      <c r="AA2074" s="1391"/>
      <c r="AB2074" s="1731"/>
      <c r="AC2074" s="1367"/>
      <c r="AD2074" s="1666"/>
      <c r="AE2074" s="1590"/>
      <c r="AF2074" s="1666"/>
      <c r="AG2074" s="1590"/>
      <c r="AH2074" s="1625" t="str">
        <f t="shared" si="702"/>
        <v>MPI-1A</v>
      </c>
      <c r="AI2074" s="1675">
        <f t="shared" si="714"/>
        <v>6450000</v>
      </c>
      <c r="AJ2074" s="1675">
        <f t="shared" si="715"/>
        <v>6450000</v>
      </c>
      <c r="AK2074" s="1520">
        <f t="shared" si="718"/>
        <v>0</v>
      </c>
      <c r="AL2074" s="2210" t="str">
        <f t="shared" si="719"/>
        <v>Lunas</v>
      </c>
      <c r="AM2074" s="1666"/>
      <c r="AN2074" s="1590"/>
      <c r="AO2074"/>
      <c r="AP2074"/>
      <c r="AQ2074" s="1128"/>
      <c r="AR2074" s="1173"/>
      <c r="AT2074" s="1173"/>
      <c r="AV2074" s="1173"/>
      <c r="AX2074" s="1173"/>
      <c r="AY2074" s="1176"/>
      <c r="AZ2074" s="1173"/>
    </row>
    <row r="2075" spans="1:52" s="2" customFormat="1" x14ac:dyDescent="0.25">
      <c r="A2075" s="694">
        <v>1908</v>
      </c>
      <c r="B2075" s="671">
        <v>17</v>
      </c>
      <c r="C2075" s="716">
        <v>203206010016</v>
      </c>
      <c r="D2075" s="701" t="s">
        <v>2568</v>
      </c>
      <c r="E2075" s="264" t="s">
        <v>2550</v>
      </c>
      <c r="F2075" s="175">
        <v>2020</v>
      </c>
      <c r="G2075" s="360" t="s">
        <v>1483</v>
      </c>
      <c r="H2075" s="264" t="s">
        <v>2551</v>
      </c>
      <c r="I2075" s="264" t="s">
        <v>2552</v>
      </c>
      <c r="J2075" s="1359">
        <v>2700000</v>
      </c>
      <c r="K2075" s="1523">
        <v>44070.601747685199</v>
      </c>
      <c r="L2075" s="1359">
        <v>3750000</v>
      </c>
      <c r="M2075" s="1523">
        <v>44070.601747685199</v>
      </c>
      <c r="N2075" s="1731"/>
      <c r="O2075" s="1367"/>
      <c r="P2075" s="1731"/>
      <c r="Q2075" s="1367"/>
      <c r="R2075" s="1363"/>
      <c r="S2075" s="1563"/>
      <c r="T2075" s="1363"/>
      <c r="U2075" s="1391"/>
      <c r="V2075" s="1363"/>
      <c r="W2075" s="1391"/>
      <c r="X2075" s="1363"/>
      <c r="Y2075" s="1391"/>
      <c r="Z2075" s="1363"/>
      <c r="AA2075" s="1391"/>
      <c r="AB2075" s="1731"/>
      <c r="AC2075" s="1367"/>
      <c r="AD2075" s="1666"/>
      <c r="AE2075" s="1590"/>
      <c r="AF2075" s="1666"/>
      <c r="AG2075" s="1590"/>
      <c r="AH2075" s="1625" t="str">
        <f t="shared" si="702"/>
        <v>MPI-1A</v>
      </c>
      <c r="AI2075" s="1675">
        <f t="shared" si="714"/>
        <v>6450000</v>
      </c>
      <c r="AJ2075" s="1675">
        <f t="shared" si="715"/>
        <v>6450000</v>
      </c>
      <c r="AK2075" s="1520">
        <f t="shared" si="718"/>
        <v>0</v>
      </c>
      <c r="AL2075" s="2210" t="str">
        <f t="shared" si="719"/>
        <v>Lunas</v>
      </c>
      <c r="AM2075" s="1666"/>
      <c r="AN2075" s="1590"/>
      <c r="AO2075"/>
      <c r="AP2075"/>
      <c r="AQ2075" s="1128"/>
      <c r="AR2075" s="1173"/>
      <c r="AT2075" s="1173"/>
      <c r="AV2075" s="1173"/>
      <c r="AX2075" s="1173"/>
      <c r="AY2075" s="1176"/>
      <c r="AZ2075" s="1173"/>
    </row>
    <row r="2076" spans="1:52" s="2" customFormat="1" x14ac:dyDescent="0.25">
      <c r="A2076" s="694">
        <v>1909</v>
      </c>
      <c r="B2076" s="709">
        <v>18</v>
      </c>
      <c r="C2076" s="716">
        <v>203206010017</v>
      </c>
      <c r="D2076" s="701" t="s">
        <v>2569</v>
      </c>
      <c r="E2076" s="264" t="s">
        <v>2550</v>
      </c>
      <c r="F2076" s="175">
        <v>2020</v>
      </c>
      <c r="G2076" s="360" t="s">
        <v>1483</v>
      </c>
      <c r="H2076" s="264" t="s">
        <v>2551</v>
      </c>
      <c r="I2076" s="264" t="s">
        <v>2552</v>
      </c>
      <c r="J2076" s="1359">
        <v>2700000</v>
      </c>
      <c r="K2076" s="1523">
        <v>44071.428402777798</v>
      </c>
      <c r="L2076" s="1363">
        <v>3750000</v>
      </c>
      <c r="M2076" s="1523">
        <v>44071.428402777798</v>
      </c>
      <c r="N2076" s="1731"/>
      <c r="O2076" s="1367"/>
      <c r="P2076" s="1731"/>
      <c r="Q2076" s="1367"/>
      <c r="R2076" s="1363"/>
      <c r="S2076" s="1563"/>
      <c r="T2076" s="1363"/>
      <c r="U2076" s="1391"/>
      <c r="V2076" s="1363"/>
      <c r="W2076" s="1391"/>
      <c r="X2076" s="1363"/>
      <c r="Y2076" s="1391"/>
      <c r="Z2076" s="1363"/>
      <c r="AA2076" s="1391"/>
      <c r="AB2076" s="1731"/>
      <c r="AC2076" s="1367"/>
      <c r="AD2076" s="1666"/>
      <c r="AE2076" s="1590"/>
      <c r="AF2076" s="1666"/>
      <c r="AG2076" s="1590"/>
      <c r="AH2076" s="1625" t="str">
        <f t="shared" si="702"/>
        <v>MPI-1A</v>
      </c>
      <c r="AI2076" s="1675">
        <f t="shared" si="714"/>
        <v>6450000</v>
      </c>
      <c r="AJ2076" s="1675">
        <f t="shared" si="715"/>
        <v>6450000</v>
      </c>
      <c r="AK2076" s="1520">
        <f t="shared" si="718"/>
        <v>0</v>
      </c>
      <c r="AL2076" s="2210" t="str">
        <f t="shared" si="719"/>
        <v>Lunas</v>
      </c>
      <c r="AM2076" s="1666"/>
      <c r="AN2076" s="1590"/>
      <c r="AO2076"/>
      <c r="AP2076"/>
      <c r="AQ2076" s="1128"/>
      <c r="AR2076" s="1173"/>
      <c r="AT2076" s="1173"/>
      <c r="AV2076" s="1173"/>
      <c r="AX2076" s="1173"/>
      <c r="AY2076" s="1176"/>
      <c r="AZ2076" s="1173"/>
    </row>
    <row r="2077" spans="1:52" s="2" customFormat="1" x14ac:dyDescent="0.25">
      <c r="A2077" s="694">
        <v>1910</v>
      </c>
      <c r="B2077" s="671">
        <v>19</v>
      </c>
      <c r="C2077" s="716">
        <v>203206010018</v>
      </c>
      <c r="D2077" s="701" t="s">
        <v>2570</v>
      </c>
      <c r="E2077" s="264" t="s">
        <v>2550</v>
      </c>
      <c r="F2077" s="175">
        <v>2020</v>
      </c>
      <c r="G2077" s="360" t="s">
        <v>1483</v>
      </c>
      <c r="H2077" s="264" t="s">
        <v>2551</v>
      </c>
      <c r="I2077" s="264" t="s">
        <v>2552</v>
      </c>
      <c r="J2077" s="1359">
        <v>2700000</v>
      </c>
      <c r="K2077" s="1523">
        <v>44069.577071759297</v>
      </c>
      <c r="L2077" s="1359">
        <v>3750000</v>
      </c>
      <c r="M2077" s="1523">
        <v>44069.577071759297</v>
      </c>
      <c r="N2077" s="1731"/>
      <c r="O2077" s="1367"/>
      <c r="P2077" s="1731"/>
      <c r="Q2077" s="1367"/>
      <c r="R2077" s="1363"/>
      <c r="S2077" s="1563"/>
      <c r="T2077" s="1363"/>
      <c r="U2077" s="1391"/>
      <c r="V2077" s="1363"/>
      <c r="W2077" s="1391"/>
      <c r="X2077" s="1363"/>
      <c r="Y2077" s="1391"/>
      <c r="Z2077" s="1363"/>
      <c r="AA2077" s="1391"/>
      <c r="AB2077" s="1731"/>
      <c r="AC2077" s="1367"/>
      <c r="AD2077" s="1666"/>
      <c r="AE2077" s="1590"/>
      <c r="AF2077" s="1666"/>
      <c r="AG2077" s="1590"/>
      <c r="AH2077" s="1625" t="str">
        <f t="shared" si="702"/>
        <v>MPI-1A</v>
      </c>
      <c r="AI2077" s="1675">
        <f t="shared" si="714"/>
        <v>6450000</v>
      </c>
      <c r="AJ2077" s="1675">
        <f t="shared" si="715"/>
        <v>6450000</v>
      </c>
      <c r="AK2077" s="1520">
        <f t="shared" si="718"/>
        <v>0</v>
      </c>
      <c r="AL2077" s="2210" t="str">
        <f t="shared" si="719"/>
        <v>Lunas</v>
      </c>
      <c r="AM2077" s="1666"/>
      <c r="AN2077" s="1590"/>
      <c r="AO2077"/>
      <c r="AP2077"/>
      <c r="AQ2077" s="1128"/>
      <c r="AR2077" s="1173"/>
      <c r="AT2077" s="1173"/>
      <c r="AV2077" s="1173"/>
      <c r="AX2077" s="1173"/>
      <c r="AY2077" s="1176"/>
      <c r="AZ2077" s="1173"/>
    </row>
    <row r="2078" spans="1:52" s="2" customFormat="1" x14ac:dyDescent="0.25">
      <c r="A2078" s="694">
        <v>1911</v>
      </c>
      <c r="B2078" s="709">
        <v>20</v>
      </c>
      <c r="C2078" s="716">
        <v>203206010019</v>
      </c>
      <c r="D2078" s="701" t="s">
        <v>2571</v>
      </c>
      <c r="E2078" s="264" t="s">
        <v>2572</v>
      </c>
      <c r="F2078" s="175">
        <v>2020</v>
      </c>
      <c r="G2078" s="360" t="s">
        <v>1483</v>
      </c>
      <c r="H2078" s="264" t="s">
        <v>2551</v>
      </c>
      <c r="I2078" s="264" t="s">
        <v>2552</v>
      </c>
      <c r="J2078" s="1359">
        <v>2700000</v>
      </c>
      <c r="K2078" s="1523">
        <v>44071.378761574102</v>
      </c>
      <c r="L2078" s="1363">
        <v>3750000</v>
      </c>
      <c r="M2078" s="1523">
        <v>44071.378761574102</v>
      </c>
      <c r="N2078" s="1731"/>
      <c r="O2078" s="1367"/>
      <c r="P2078" s="1731"/>
      <c r="Q2078" s="1367"/>
      <c r="R2078" s="1363"/>
      <c r="S2078" s="1563"/>
      <c r="T2078" s="1363"/>
      <c r="U2078" s="1391"/>
      <c r="V2078" s="1363"/>
      <c r="W2078" s="1391"/>
      <c r="X2078" s="1363"/>
      <c r="Y2078" s="1391"/>
      <c r="Z2078" s="1363"/>
      <c r="AA2078" s="1391"/>
      <c r="AB2078" s="1731"/>
      <c r="AC2078" s="1367"/>
      <c r="AD2078" s="1666"/>
      <c r="AE2078" s="1590"/>
      <c r="AF2078" s="1666"/>
      <c r="AG2078" s="1590"/>
      <c r="AH2078" s="1625" t="str">
        <f t="shared" si="702"/>
        <v>MPI-1B</v>
      </c>
      <c r="AI2078" s="1675">
        <f t="shared" si="714"/>
        <v>6450000</v>
      </c>
      <c r="AJ2078" s="1675">
        <f t="shared" si="715"/>
        <v>6450000</v>
      </c>
      <c r="AK2078" s="1520">
        <f t="shared" si="718"/>
        <v>0</v>
      </c>
      <c r="AL2078" s="2210" t="str">
        <f t="shared" si="719"/>
        <v>Lunas</v>
      </c>
      <c r="AM2078" s="1666"/>
      <c r="AN2078" s="1590"/>
      <c r="AO2078"/>
      <c r="AP2078"/>
      <c r="AQ2078" s="1128"/>
      <c r="AR2078" s="1173"/>
      <c r="AT2078" s="1173"/>
      <c r="AV2078" s="1173"/>
      <c r="AX2078" s="1173"/>
      <c r="AY2078" s="1176"/>
      <c r="AZ2078" s="1173"/>
    </row>
    <row r="2079" spans="1:52" s="2" customFormat="1" x14ac:dyDescent="0.25">
      <c r="A2079" s="694">
        <v>1912</v>
      </c>
      <c r="B2079" s="671">
        <v>21</v>
      </c>
      <c r="C2079" s="174">
        <v>203206010020</v>
      </c>
      <c r="D2079" s="701" t="s">
        <v>2573</v>
      </c>
      <c r="E2079" s="264" t="s">
        <v>2572</v>
      </c>
      <c r="F2079" s="175">
        <v>2020</v>
      </c>
      <c r="G2079" s="360" t="s">
        <v>1483</v>
      </c>
      <c r="H2079" s="264" t="s">
        <v>2551</v>
      </c>
      <c r="I2079" s="264" t="s">
        <v>2552</v>
      </c>
      <c r="J2079" s="1359">
        <v>2700000</v>
      </c>
      <c r="K2079" s="1523">
        <v>44078</v>
      </c>
      <c r="L2079" s="1359">
        <v>3750000</v>
      </c>
      <c r="M2079" s="1523">
        <v>44078</v>
      </c>
      <c r="N2079" s="1731"/>
      <c r="O2079" s="1367"/>
      <c r="P2079" s="1731"/>
      <c r="Q2079" s="1367"/>
      <c r="R2079" s="1363"/>
      <c r="S2079" s="1563"/>
      <c r="T2079" s="1363"/>
      <c r="U2079" s="1391"/>
      <c r="V2079" s="1363"/>
      <c r="W2079" s="1391"/>
      <c r="X2079" s="1363"/>
      <c r="Y2079" s="1391"/>
      <c r="Z2079" s="1363"/>
      <c r="AA2079" s="1391"/>
      <c r="AB2079" s="1731"/>
      <c r="AC2079" s="1367"/>
      <c r="AD2079" s="1666"/>
      <c r="AE2079" s="1590"/>
      <c r="AF2079" s="1666"/>
      <c r="AG2079" s="1590"/>
      <c r="AH2079" s="1625" t="str">
        <f t="shared" si="702"/>
        <v>MPI-1B</v>
      </c>
      <c r="AI2079" s="1675">
        <f t="shared" si="714"/>
        <v>6450000</v>
      </c>
      <c r="AJ2079" s="1675">
        <f t="shared" si="715"/>
        <v>6450000</v>
      </c>
      <c r="AK2079" s="1520">
        <f t="shared" si="718"/>
        <v>0</v>
      </c>
      <c r="AL2079" s="2210" t="str">
        <f t="shared" si="719"/>
        <v>Lunas</v>
      </c>
      <c r="AM2079" s="1666"/>
      <c r="AN2079" s="1590"/>
      <c r="AO2079"/>
      <c r="AP2079"/>
      <c r="AQ2079" s="1128"/>
      <c r="AR2079" s="1173"/>
      <c r="AT2079" s="1173"/>
      <c r="AV2079" s="1173"/>
      <c r="AX2079" s="1173"/>
      <c r="AY2079" s="1176"/>
      <c r="AZ2079" s="1173"/>
    </row>
    <row r="2080" spans="1:52" s="2" customFormat="1" x14ac:dyDescent="0.25">
      <c r="A2080" s="694">
        <v>1913</v>
      </c>
      <c r="B2080" s="709">
        <v>22</v>
      </c>
      <c r="C2080" s="716">
        <v>203206010021</v>
      </c>
      <c r="D2080" s="701" t="s">
        <v>2574</v>
      </c>
      <c r="E2080" s="264" t="s">
        <v>2572</v>
      </c>
      <c r="F2080" s="175">
        <v>2020</v>
      </c>
      <c r="G2080" s="360" t="s">
        <v>1483</v>
      </c>
      <c r="H2080" s="264" t="s">
        <v>2551</v>
      </c>
      <c r="I2080" s="264" t="s">
        <v>2552</v>
      </c>
      <c r="J2080" s="1359">
        <v>2700000</v>
      </c>
      <c r="K2080" s="1523">
        <v>44071.581782407397</v>
      </c>
      <c r="L2080" s="1363">
        <v>3750000</v>
      </c>
      <c r="M2080" s="1523">
        <v>44071.581782407397</v>
      </c>
      <c r="N2080" s="1731"/>
      <c r="O2080" s="1367"/>
      <c r="P2080" s="1731"/>
      <c r="Q2080" s="1367"/>
      <c r="R2080" s="1363"/>
      <c r="S2080" s="1563"/>
      <c r="T2080" s="1363"/>
      <c r="U2080" s="1391"/>
      <c r="V2080" s="1363"/>
      <c r="W2080" s="1391"/>
      <c r="X2080" s="1363"/>
      <c r="Y2080" s="1391"/>
      <c r="Z2080" s="1363"/>
      <c r="AA2080" s="1391"/>
      <c r="AB2080" s="1731"/>
      <c r="AC2080" s="1367"/>
      <c r="AD2080" s="1666"/>
      <c r="AE2080" s="1590"/>
      <c r="AF2080" s="1666"/>
      <c r="AG2080" s="1590"/>
      <c r="AH2080" s="1625" t="str">
        <f t="shared" si="702"/>
        <v>MPI-1B</v>
      </c>
      <c r="AI2080" s="1675">
        <f t="shared" si="714"/>
        <v>6450000</v>
      </c>
      <c r="AJ2080" s="1675">
        <f t="shared" si="715"/>
        <v>6450000</v>
      </c>
      <c r="AK2080" s="1520">
        <f t="shared" si="718"/>
        <v>0</v>
      </c>
      <c r="AL2080" s="2210" t="str">
        <f t="shared" si="719"/>
        <v>Lunas</v>
      </c>
      <c r="AM2080" s="1666"/>
      <c r="AN2080" s="1590"/>
      <c r="AO2080"/>
      <c r="AP2080"/>
      <c r="AQ2080" s="1128"/>
      <c r="AR2080" s="1173"/>
      <c r="AT2080" s="1173"/>
      <c r="AV2080" s="1173"/>
      <c r="AX2080" s="1173"/>
      <c r="AY2080" s="1176"/>
      <c r="AZ2080" s="1173"/>
    </row>
    <row r="2081" spans="1:52" s="2" customFormat="1" x14ac:dyDescent="0.25">
      <c r="A2081" s="694">
        <v>1914</v>
      </c>
      <c r="B2081" s="671">
        <v>23</v>
      </c>
      <c r="C2081" s="716">
        <v>203206010022</v>
      </c>
      <c r="D2081" s="701" t="s">
        <v>2575</v>
      </c>
      <c r="E2081" s="264" t="s">
        <v>2572</v>
      </c>
      <c r="F2081" s="175">
        <v>2020</v>
      </c>
      <c r="G2081" s="360" t="s">
        <v>1483</v>
      </c>
      <c r="H2081" s="264" t="s">
        <v>2551</v>
      </c>
      <c r="I2081" s="264" t="s">
        <v>2552</v>
      </c>
      <c r="J2081" s="1359">
        <v>2700000</v>
      </c>
      <c r="K2081" s="1523">
        <v>44071.5299421296</v>
      </c>
      <c r="L2081" s="1359">
        <v>3750000</v>
      </c>
      <c r="M2081" s="1523">
        <v>44071.5299421296</v>
      </c>
      <c r="N2081" s="1731"/>
      <c r="O2081" s="1367"/>
      <c r="P2081" s="1731"/>
      <c r="Q2081" s="1367"/>
      <c r="R2081" s="1363"/>
      <c r="S2081" s="1563"/>
      <c r="T2081" s="1363"/>
      <c r="U2081" s="1391"/>
      <c r="V2081" s="1363"/>
      <c r="W2081" s="1391"/>
      <c r="X2081" s="1363"/>
      <c r="Y2081" s="1391"/>
      <c r="Z2081" s="1363"/>
      <c r="AA2081" s="1391"/>
      <c r="AB2081" s="1731"/>
      <c r="AC2081" s="1367"/>
      <c r="AD2081" s="1666"/>
      <c r="AE2081" s="1590"/>
      <c r="AF2081" s="1666"/>
      <c r="AG2081" s="1590"/>
      <c r="AH2081" s="1625" t="str">
        <f t="shared" si="702"/>
        <v>MPI-1B</v>
      </c>
      <c r="AI2081" s="1675">
        <f t="shared" si="714"/>
        <v>6450000</v>
      </c>
      <c r="AJ2081" s="1675">
        <f t="shared" si="715"/>
        <v>6450000</v>
      </c>
      <c r="AK2081" s="1520">
        <f t="shared" si="718"/>
        <v>0</v>
      </c>
      <c r="AL2081" s="2210" t="str">
        <f t="shared" si="719"/>
        <v>Lunas</v>
      </c>
      <c r="AM2081" s="1666"/>
      <c r="AN2081" s="1590"/>
      <c r="AO2081"/>
      <c r="AP2081"/>
      <c r="AQ2081" s="1128"/>
      <c r="AR2081" s="1173"/>
      <c r="AT2081" s="1173"/>
      <c r="AV2081" s="1173"/>
      <c r="AX2081" s="1173"/>
      <c r="AY2081" s="1176"/>
      <c r="AZ2081" s="1173"/>
    </row>
    <row r="2082" spans="1:52" s="2" customFormat="1" x14ac:dyDescent="0.25">
      <c r="A2082" s="694">
        <v>1915</v>
      </c>
      <c r="B2082" s="709">
        <v>24</v>
      </c>
      <c r="C2082" s="716">
        <v>203206010023</v>
      </c>
      <c r="D2082" s="701" t="s">
        <v>2576</v>
      </c>
      <c r="E2082" s="264" t="s">
        <v>2572</v>
      </c>
      <c r="F2082" s="175">
        <v>2020</v>
      </c>
      <c r="G2082" s="360" t="s">
        <v>1483</v>
      </c>
      <c r="H2082" s="264" t="s">
        <v>2551</v>
      </c>
      <c r="I2082" s="264" t="s">
        <v>2552</v>
      </c>
      <c r="J2082" s="1359">
        <v>2700000</v>
      </c>
      <c r="K2082" s="1523">
        <v>44071.444432870398</v>
      </c>
      <c r="L2082" s="1363">
        <v>3750000</v>
      </c>
      <c r="M2082" s="1523">
        <v>44071.444432870398</v>
      </c>
      <c r="N2082" s="1731"/>
      <c r="O2082" s="1367"/>
      <c r="P2082" s="1731"/>
      <c r="Q2082" s="1367"/>
      <c r="R2082" s="1363"/>
      <c r="S2082" s="1563"/>
      <c r="T2082" s="1363"/>
      <c r="U2082" s="1391"/>
      <c r="V2082" s="1363"/>
      <c r="W2082" s="1391"/>
      <c r="X2082" s="1363"/>
      <c r="Y2082" s="1391"/>
      <c r="Z2082" s="1363"/>
      <c r="AA2082" s="1391"/>
      <c r="AB2082" s="1731"/>
      <c r="AC2082" s="1367"/>
      <c r="AD2082" s="1666"/>
      <c r="AE2082" s="1590"/>
      <c r="AF2082" s="1666"/>
      <c r="AG2082" s="1590"/>
      <c r="AH2082" s="1625" t="str">
        <f t="shared" si="702"/>
        <v>MPI-1B</v>
      </c>
      <c r="AI2082" s="1675">
        <f t="shared" si="714"/>
        <v>6450000</v>
      </c>
      <c r="AJ2082" s="1675">
        <f t="shared" si="715"/>
        <v>6450000</v>
      </c>
      <c r="AK2082" s="1520">
        <f t="shared" si="718"/>
        <v>0</v>
      </c>
      <c r="AL2082" s="2210" t="str">
        <f t="shared" si="719"/>
        <v>Lunas</v>
      </c>
      <c r="AM2082" s="1666"/>
      <c r="AN2082" s="1590"/>
      <c r="AO2082"/>
      <c r="AP2082"/>
      <c r="AQ2082" s="1128"/>
      <c r="AR2082" s="1173"/>
      <c r="AT2082" s="1173"/>
      <c r="AV2082" s="1173"/>
      <c r="AX2082" s="1173"/>
      <c r="AY2082" s="1176"/>
      <c r="AZ2082" s="1173"/>
    </row>
    <row r="2083" spans="1:52" s="2" customFormat="1" x14ac:dyDescent="0.25">
      <c r="A2083" s="694">
        <v>1916</v>
      </c>
      <c r="B2083" s="671">
        <v>25</v>
      </c>
      <c r="C2083" s="716">
        <v>203206010024</v>
      </c>
      <c r="D2083" s="701" t="s">
        <v>2577</v>
      </c>
      <c r="E2083" s="264" t="s">
        <v>2572</v>
      </c>
      <c r="F2083" s="175">
        <v>2020</v>
      </c>
      <c r="G2083" s="360" t="s">
        <v>1483</v>
      </c>
      <c r="H2083" s="264" t="s">
        <v>2551</v>
      </c>
      <c r="I2083" s="264" t="s">
        <v>2552</v>
      </c>
      <c r="J2083" s="1359">
        <v>2700000</v>
      </c>
      <c r="K2083" s="1523">
        <v>44071.593726851897</v>
      </c>
      <c r="L2083" s="1359">
        <v>3750000</v>
      </c>
      <c r="M2083" s="1523">
        <v>44071.593726851897</v>
      </c>
      <c r="N2083" s="1731"/>
      <c r="O2083" s="1367"/>
      <c r="P2083" s="1731"/>
      <c r="Q2083" s="1367"/>
      <c r="R2083" s="1363"/>
      <c r="S2083" s="1563"/>
      <c r="T2083" s="1363"/>
      <c r="U2083" s="1391"/>
      <c r="V2083" s="1363"/>
      <c r="W2083" s="1391"/>
      <c r="X2083" s="1363"/>
      <c r="Y2083" s="1391"/>
      <c r="Z2083" s="1363"/>
      <c r="AA2083" s="1391"/>
      <c r="AB2083" s="1731"/>
      <c r="AC2083" s="1367"/>
      <c r="AD2083" s="1666"/>
      <c r="AE2083" s="1590"/>
      <c r="AF2083" s="1666"/>
      <c r="AG2083" s="1590"/>
      <c r="AH2083" s="1625" t="str">
        <f t="shared" ref="AH2083:AH2146" si="720">E2083</f>
        <v>MPI-1B</v>
      </c>
      <c r="AI2083" s="1675">
        <f t="shared" si="714"/>
        <v>6450000</v>
      </c>
      <c r="AJ2083" s="1675">
        <f t="shared" si="715"/>
        <v>6450000</v>
      </c>
      <c r="AK2083" s="1520">
        <f t="shared" si="718"/>
        <v>0</v>
      </c>
      <c r="AL2083" s="2210" t="str">
        <f t="shared" si="719"/>
        <v>Lunas</v>
      </c>
      <c r="AM2083" s="1666"/>
      <c r="AN2083" s="1590"/>
      <c r="AO2083"/>
      <c r="AP2083"/>
      <c r="AQ2083" s="1128"/>
      <c r="AR2083" s="1173"/>
      <c r="AT2083" s="1173"/>
      <c r="AV2083" s="1173"/>
      <c r="AX2083" s="1173"/>
      <c r="AY2083" s="1176"/>
      <c r="AZ2083" s="1173"/>
    </row>
    <row r="2084" spans="1:52" s="2" customFormat="1" x14ac:dyDescent="0.25">
      <c r="A2084" s="694">
        <v>1917</v>
      </c>
      <c r="B2084" s="709">
        <v>26</v>
      </c>
      <c r="C2084" s="716">
        <v>203206010025</v>
      </c>
      <c r="D2084" s="701" t="s">
        <v>2578</v>
      </c>
      <c r="E2084" s="264" t="s">
        <v>2572</v>
      </c>
      <c r="F2084" s="175">
        <v>2020</v>
      </c>
      <c r="G2084" s="360" t="s">
        <v>1483</v>
      </c>
      <c r="H2084" s="264" t="s">
        <v>2551</v>
      </c>
      <c r="I2084" s="264" t="s">
        <v>2552</v>
      </c>
      <c r="J2084" s="1359">
        <v>2700000</v>
      </c>
      <c r="K2084" s="1523">
        <v>44071.790474537003</v>
      </c>
      <c r="L2084" s="1363">
        <v>3750000</v>
      </c>
      <c r="M2084" s="1523">
        <v>44071.790474537003</v>
      </c>
      <c r="N2084" s="1731"/>
      <c r="O2084" s="1367"/>
      <c r="P2084" s="1731"/>
      <c r="Q2084" s="1367"/>
      <c r="R2084" s="1363"/>
      <c r="S2084" s="1563"/>
      <c r="T2084" s="1363"/>
      <c r="U2084" s="1391"/>
      <c r="V2084" s="1363"/>
      <c r="W2084" s="1391"/>
      <c r="X2084" s="1363"/>
      <c r="Y2084" s="1391"/>
      <c r="Z2084" s="1363"/>
      <c r="AA2084" s="1391"/>
      <c r="AB2084" s="1731"/>
      <c r="AC2084" s="1367"/>
      <c r="AD2084" s="1666"/>
      <c r="AE2084" s="1590"/>
      <c r="AF2084" s="1666"/>
      <c r="AG2084" s="1590"/>
      <c r="AH2084" s="1625" t="str">
        <f t="shared" si="720"/>
        <v>MPI-1B</v>
      </c>
      <c r="AI2084" s="1675">
        <f t="shared" si="714"/>
        <v>6450000</v>
      </c>
      <c r="AJ2084" s="1675">
        <f t="shared" si="715"/>
        <v>6450000</v>
      </c>
      <c r="AK2084" s="1520">
        <f t="shared" si="718"/>
        <v>0</v>
      </c>
      <c r="AL2084" s="2210" t="str">
        <f t="shared" si="719"/>
        <v>Lunas</v>
      </c>
      <c r="AM2084" s="1666"/>
      <c r="AN2084" s="1590"/>
      <c r="AO2084"/>
      <c r="AP2084"/>
      <c r="AQ2084" s="1128"/>
      <c r="AR2084" s="1173"/>
      <c r="AT2084" s="1173"/>
      <c r="AV2084" s="1173"/>
      <c r="AX2084" s="1173"/>
      <c r="AY2084" s="1176"/>
      <c r="AZ2084" s="1173"/>
    </row>
    <row r="2085" spans="1:52" s="2" customFormat="1" x14ac:dyDescent="0.25">
      <c r="A2085" s="694">
        <v>1918</v>
      </c>
      <c r="B2085" s="671">
        <v>27</v>
      </c>
      <c r="C2085" s="716">
        <v>203206010026</v>
      </c>
      <c r="D2085" s="701" t="s">
        <v>2579</v>
      </c>
      <c r="E2085" s="264" t="s">
        <v>2572</v>
      </c>
      <c r="F2085" s="175">
        <v>2020</v>
      </c>
      <c r="G2085" s="360" t="s">
        <v>1483</v>
      </c>
      <c r="H2085" s="264" t="s">
        <v>2551</v>
      </c>
      <c r="I2085" s="264" t="s">
        <v>2552</v>
      </c>
      <c r="J2085" s="1359">
        <v>2700000</v>
      </c>
      <c r="K2085" s="1523">
        <v>44068.423634259299</v>
      </c>
      <c r="L2085" s="1359">
        <v>3750000</v>
      </c>
      <c r="M2085" s="1523">
        <v>44068.423634259299</v>
      </c>
      <c r="N2085" s="1731"/>
      <c r="O2085" s="1367"/>
      <c r="P2085" s="1731"/>
      <c r="Q2085" s="1367"/>
      <c r="R2085" s="1363"/>
      <c r="S2085" s="1563"/>
      <c r="T2085" s="1363"/>
      <c r="U2085" s="1391"/>
      <c r="V2085" s="1363"/>
      <c r="W2085" s="1391"/>
      <c r="X2085" s="1363"/>
      <c r="Y2085" s="1391"/>
      <c r="Z2085" s="1363"/>
      <c r="AA2085" s="1391"/>
      <c r="AB2085" s="1731"/>
      <c r="AC2085" s="1367"/>
      <c r="AD2085" s="1666"/>
      <c r="AE2085" s="1590"/>
      <c r="AF2085" s="1666"/>
      <c r="AG2085" s="1590"/>
      <c r="AH2085" s="1625" t="str">
        <f t="shared" si="720"/>
        <v>MPI-1B</v>
      </c>
      <c r="AI2085" s="1675">
        <f t="shared" si="714"/>
        <v>6450000</v>
      </c>
      <c r="AJ2085" s="1675">
        <f t="shared" si="715"/>
        <v>6450000</v>
      </c>
      <c r="AK2085" s="1520">
        <f t="shared" si="718"/>
        <v>0</v>
      </c>
      <c r="AL2085" s="2210" t="str">
        <f t="shared" si="719"/>
        <v>Lunas</v>
      </c>
      <c r="AM2085" s="1666"/>
      <c r="AN2085" s="1590"/>
      <c r="AO2085"/>
      <c r="AP2085"/>
      <c r="AQ2085" s="1128"/>
      <c r="AR2085" s="1173"/>
      <c r="AT2085" s="1173"/>
      <c r="AV2085" s="1173"/>
      <c r="AX2085" s="1173"/>
      <c r="AY2085" s="1176"/>
      <c r="AZ2085" s="1173"/>
    </row>
    <row r="2086" spans="1:52" s="2" customFormat="1" x14ac:dyDescent="0.25">
      <c r="A2086" s="694">
        <v>1919</v>
      </c>
      <c r="B2086" s="709">
        <v>28</v>
      </c>
      <c r="C2086" s="716">
        <v>203206010027</v>
      </c>
      <c r="D2086" s="701" t="s">
        <v>2580</v>
      </c>
      <c r="E2086" s="264" t="s">
        <v>2572</v>
      </c>
      <c r="F2086" s="175">
        <v>2020</v>
      </c>
      <c r="G2086" s="360" t="s">
        <v>1483</v>
      </c>
      <c r="H2086" s="264" t="s">
        <v>2551</v>
      </c>
      <c r="I2086" s="264" t="s">
        <v>2552</v>
      </c>
      <c r="J2086" s="1359">
        <v>2700000</v>
      </c>
      <c r="K2086" s="1523">
        <v>44071.586712962999</v>
      </c>
      <c r="L2086" s="1363">
        <v>3750000</v>
      </c>
      <c r="M2086" s="1523">
        <v>44071.586712962999</v>
      </c>
      <c r="N2086" s="1731"/>
      <c r="O2086" s="1367"/>
      <c r="P2086" s="1731"/>
      <c r="Q2086" s="1367"/>
      <c r="R2086" s="1363"/>
      <c r="S2086" s="1563"/>
      <c r="T2086" s="1363"/>
      <c r="U2086" s="1391"/>
      <c r="V2086" s="1363"/>
      <c r="W2086" s="1391"/>
      <c r="X2086" s="1363"/>
      <c r="Y2086" s="1391"/>
      <c r="Z2086" s="1363"/>
      <c r="AA2086" s="1391"/>
      <c r="AB2086" s="1731"/>
      <c r="AC2086" s="1367"/>
      <c r="AD2086" s="1666"/>
      <c r="AE2086" s="1590"/>
      <c r="AF2086" s="1666"/>
      <c r="AG2086" s="1590"/>
      <c r="AH2086" s="1625" t="str">
        <f t="shared" si="720"/>
        <v>MPI-1B</v>
      </c>
      <c r="AI2086" s="1675">
        <f t="shared" si="714"/>
        <v>6450000</v>
      </c>
      <c r="AJ2086" s="1675">
        <f t="shared" si="715"/>
        <v>6450000</v>
      </c>
      <c r="AK2086" s="1520">
        <f t="shared" si="718"/>
        <v>0</v>
      </c>
      <c r="AL2086" s="2210" t="str">
        <f t="shared" si="719"/>
        <v>Lunas</v>
      </c>
      <c r="AM2086" s="1666"/>
      <c r="AN2086" s="1590"/>
      <c r="AO2086"/>
      <c r="AP2086"/>
      <c r="AQ2086" s="1128"/>
      <c r="AR2086" s="1173"/>
      <c r="AT2086" s="1173"/>
      <c r="AV2086" s="1173"/>
      <c r="AX2086" s="1173"/>
      <c r="AY2086" s="1176"/>
      <c r="AZ2086" s="1173"/>
    </row>
    <row r="2087" spans="1:52" s="2" customFormat="1" x14ac:dyDescent="0.25">
      <c r="A2087" s="694">
        <v>1920</v>
      </c>
      <c r="B2087" s="671">
        <v>29</v>
      </c>
      <c r="C2087" s="716">
        <v>203206010028</v>
      </c>
      <c r="D2087" s="701" t="s">
        <v>2581</v>
      </c>
      <c r="E2087" s="264" t="s">
        <v>2572</v>
      </c>
      <c r="F2087" s="175">
        <v>2020</v>
      </c>
      <c r="G2087" s="360" t="s">
        <v>1483</v>
      </c>
      <c r="H2087" s="264" t="s">
        <v>2551</v>
      </c>
      <c r="I2087" s="264" t="s">
        <v>2552</v>
      </c>
      <c r="J2087" s="1359">
        <v>2700000</v>
      </c>
      <c r="K2087" s="1523">
        <v>44071.606909722199</v>
      </c>
      <c r="L2087" s="1359">
        <v>3750000</v>
      </c>
      <c r="M2087" s="1523">
        <v>44071.606909722199</v>
      </c>
      <c r="N2087" s="1731"/>
      <c r="O2087" s="1367"/>
      <c r="P2087" s="1731"/>
      <c r="Q2087" s="1367"/>
      <c r="R2087" s="1363"/>
      <c r="S2087" s="1563"/>
      <c r="T2087" s="1363"/>
      <c r="U2087" s="1391"/>
      <c r="V2087" s="1363"/>
      <c r="W2087" s="1391"/>
      <c r="X2087" s="1363"/>
      <c r="Y2087" s="1391"/>
      <c r="Z2087" s="1363"/>
      <c r="AA2087" s="1391"/>
      <c r="AB2087" s="1731"/>
      <c r="AC2087" s="1367"/>
      <c r="AD2087" s="1666"/>
      <c r="AE2087" s="1590"/>
      <c r="AF2087" s="1666"/>
      <c r="AG2087" s="1590"/>
      <c r="AH2087" s="1625" t="str">
        <f t="shared" si="720"/>
        <v>MPI-1B</v>
      </c>
      <c r="AI2087" s="1675">
        <f t="shared" si="714"/>
        <v>6450000</v>
      </c>
      <c r="AJ2087" s="1675">
        <f t="shared" si="715"/>
        <v>6450000</v>
      </c>
      <c r="AK2087" s="1520">
        <f t="shared" si="718"/>
        <v>0</v>
      </c>
      <c r="AL2087" s="2210" t="str">
        <f t="shared" si="719"/>
        <v>Lunas</v>
      </c>
      <c r="AM2087" s="1666"/>
      <c r="AN2087" s="1590"/>
      <c r="AO2087"/>
      <c r="AP2087"/>
      <c r="AQ2087" s="1128"/>
      <c r="AR2087" s="1173"/>
      <c r="AT2087" s="1173"/>
      <c r="AV2087" s="1173"/>
      <c r="AX2087" s="1173"/>
      <c r="AY2087" s="1176"/>
      <c r="AZ2087" s="1173"/>
    </row>
    <row r="2088" spans="1:52" s="2" customFormat="1" x14ac:dyDescent="0.25">
      <c r="A2088" s="694">
        <v>1921</v>
      </c>
      <c r="B2088" s="709">
        <v>30</v>
      </c>
      <c r="C2088" s="716">
        <v>203206010029</v>
      </c>
      <c r="D2088" s="701" t="s">
        <v>2582</v>
      </c>
      <c r="E2088" s="264" t="s">
        <v>2572</v>
      </c>
      <c r="F2088" s="175">
        <v>2020</v>
      </c>
      <c r="G2088" s="360" t="s">
        <v>1483</v>
      </c>
      <c r="H2088" s="264" t="s">
        <v>2551</v>
      </c>
      <c r="I2088" s="264" t="s">
        <v>2552</v>
      </c>
      <c r="J2088" s="1359">
        <v>2700000</v>
      </c>
      <c r="K2088" s="1523">
        <v>44071.596030092602</v>
      </c>
      <c r="L2088" s="1363">
        <v>3750000</v>
      </c>
      <c r="M2088" s="1523">
        <v>44071.596030092602</v>
      </c>
      <c r="N2088" s="1731"/>
      <c r="O2088" s="1367"/>
      <c r="P2088" s="1731"/>
      <c r="Q2088" s="1367"/>
      <c r="R2088" s="1363"/>
      <c r="S2088" s="1563"/>
      <c r="T2088" s="1363"/>
      <c r="U2088" s="1391"/>
      <c r="V2088" s="1363"/>
      <c r="W2088" s="1391"/>
      <c r="X2088" s="1363"/>
      <c r="Y2088" s="1391"/>
      <c r="Z2088" s="1363"/>
      <c r="AA2088" s="1391"/>
      <c r="AB2088" s="1731"/>
      <c r="AC2088" s="1367"/>
      <c r="AD2088" s="1666"/>
      <c r="AE2088" s="1590"/>
      <c r="AF2088" s="1666"/>
      <c r="AG2088" s="1590"/>
      <c r="AH2088" s="1625" t="str">
        <f t="shared" si="720"/>
        <v>MPI-1B</v>
      </c>
      <c r="AI2088" s="1675">
        <f t="shared" si="714"/>
        <v>6450000</v>
      </c>
      <c r="AJ2088" s="1675">
        <f t="shared" si="715"/>
        <v>6450000</v>
      </c>
      <c r="AK2088" s="1520">
        <f t="shared" si="718"/>
        <v>0</v>
      </c>
      <c r="AL2088" s="2210" t="str">
        <f t="shared" si="719"/>
        <v>Lunas</v>
      </c>
      <c r="AM2088" s="1666"/>
      <c r="AN2088" s="1590"/>
      <c r="AO2088"/>
      <c r="AP2088"/>
      <c r="AQ2088" s="1128"/>
      <c r="AR2088" s="1173"/>
      <c r="AT2088" s="1173"/>
      <c r="AV2088" s="1173"/>
      <c r="AX2088" s="1173"/>
      <c r="AY2088" s="1176"/>
      <c r="AZ2088" s="1173"/>
    </row>
    <row r="2089" spans="1:52" s="2" customFormat="1" x14ac:dyDescent="0.25">
      <c r="A2089" s="694">
        <v>1922</v>
      </c>
      <c r="B2089" s="671">
        <v>31</v>
      </c>
      <c r="C2089" s="716">
        <v>203206010030</v>
      </c>
      <c r="D2089" s="701" t="s">
        <v>2583</v>
      </c>
      <c r="E2089" s="264" t="s">
        <v>2572</v>
      </c>
      <c r="F2089" s="175">
        <v>2020</v>
      </c>
      <c r="G2089" s="360" t="s">
        <v>1483</v>
      </c>
      <c r="H2089" s="264" t="s">
        <v>2551</v>
      </c>
      <c r="I2089" s="264" t="s">
        <v>2552</v>
      </c>
      <c r="J2089" s="1359">
        <v>2700000</v>
      </c>
      <c r="K2089" s="1523">
        <v>44067.530023148101</v>
      </c>
      <c r="L2089" s="1359">
        <v>3750000</v>
      </c>
      <c r="M2089" s="1523">
        <v>44067.530023148101</v>
      </c>
      <c r="N2089" s="1731"/>
      <c r="O2089" s="1367"/>
      <c r="P2089" s="1731"/>
      <c r="Q2089" s="1367"/>
      <c r="R2089" s="1363"/>
      <c r="S2089" s="1563"/>
      <c r="T2089" s="1363"/>
      <c r="U2089" s="1391"/>
      <c r="V2089" s="1363"/>
      <c r="W2089" s="1391"/>
      <c r="X2089" s="1363"/>
      <c r="Y2089" s="1391"/>
      <c r="Z2089" s="1363"/>
      <c r="AA2089" s="1391"/>
      <c r="AB2089" s="1731"/>
      <c r="AC2089" s="1367"/>
      <c r="AD2089" s="1666"/>
      <c r="AE2089" s="1590"/>
      <c r="AF2089" s="1666"/>
      <c r="AG2089" s="1590"/>
      <c r="AH2089" s="1625" t="str">
        <f t="shared" si="720"/>
        <v>MPI-1B</v>
      </c>
      <c r="AI2089" s="1675">
        <f t="shared" si="714"/>
        <v>6450000</v>
      </c>
      <c r="AJ2089" s="1675">
        <f t="shared" si="715"/>
        <v>6450000</v>
      </c>
      <c r="AK2089" s="1520">
        <f t="shared" si="718"/>
        <v>0</v>
      </c>
      <c r="AL2089" s="2210" t="str">
        <f t="shared" si="719"/>
        <v>Lunas</v>
      </c>
      <c r="AM2089" s="1666"/>
      <c r="AN2089" s="1590"/>
      <c r="AO2089"/>
      <c r="AP2089"/>
      <c r="AQ2089" s="1128"/>
      <c r="AR2089" s="1173"/>
      <c r="AT2089" s="1173"/>
      <c r="AV2089" s="1173"/>
      <c r="AX2089" s="1173"/>
      <c r="AY2089" s="1176"/>
      <c r="AZ2089" s="1173"/>
    </row>
    <row r="2090" spans="1:52" s="2" customFormat="1" x14ac:dyDescent="0.25">
      <c r="A2090" s="694">
        <v>1923</v>
      </c>
      <c r="B2090" s="709">
        <v>32</v>
      </c>
      <c r="C2090" s="716">
        <v>203206010031</v>
      </c>
      <c r="D2090" s="701" t="s">
        <v>2584</v>
      </c>
      <c r="E2090" s="264" t="s">
        <v>2572</v>
      </c>
      <c r="F2090" s="175">
        <v>2020</v>
      </c>
      <c r="G2090" s="360" t="s">
        <v>1483</v>
      </c>
      <c r="H2090" s="264" t="s">
        <v>2551</v>
      </c>
      <c r="I2090" s="264" t="s">
        <v>2552</v>
      </c>
      <c r="J2090" s="1359">
        <v>2700000</v>
      </c>
      <c r="K2090" s="1523">
        <v>44070.817812499998</v>
      </c>
      <c r="L2090" s="1363">
        <v>3750000</v>
      </c>
      <c r="M2090" s="1523">
        <v>44070.817812499998</v>
      </c>
      <c r="N2090" s="1731"/>
      <c r="O2090" s="1367"/>
      <c r="P2090" s="1731"/>
      <c r="Q2090" s="1367"/>
      <c r="R2090" s="1363"/>
      <c r="S2090" s="1563"/>
      <c r="T2090" s="1363"/>
      <c r="U2090" s="1391"/>
      <c r="V2090" s="1363"/>
      <c r="W2090" s="1391"/>
      <c r="X2090" s="1363"/>
      <c r="Y2090" s="1391"/>
      <c r="Z2090" s="1363"/>
      <c r="AA2090" s="1391"/>
      <c r="AB2090" s="1731"/>
      <c r="AC2090" s="1367"/>
      <c r="AD2090" s="1666"/>
      <c r="AE2090" s="1590"/>
      <c r="AF2090" s="1666"/>
      <c r="AG2090" s="1590"/>
      <c r="AH2090" s="1625" t="str">
        <f t="shared" si="720"/>
        <v>MPI-1B</v>
      </c>
      <c r="AI2090" s="1675">
        <f t="shared" si="714"/>
        <v>6450000</v>
      </c>
      <c r="AJ2090" s="1675">
        <f t="shared" si="715"/>
        <v>6450000</v>
      </c>
      <c r="AK2090" s="1520">
        <f t="shared" si="718"/>
        <v>0</v>
      </c>
      <c r="AL2090" s="2210" t="str">
        <f t="shared" si="719"/>
        <v>Lunas</v>
      </c>
      <c r="AM2090" s="1666"/>
      <c r="AN2090" s="1590"/>
      <c r="AO2090"/>
      <c r="AP2090"/>
      <c r="AQ2090" s="1128"/>
      <c r="AR2090" s="1173"/>
      <c r="AT2090" s="1173"/>
      <c r="AV2090" s="1173"/>
      <c r="AX2090" s="1173"/>
      <c r="AY2090" s="1176"/>
      <c r="AZ2090" s="1173"/>
    </row>
    <row r="2091" spans="1:52" s="2" customFormat="1" x14ac:dyDescent="0.25">
      <c r="A2091" s="694">
        <v>1924</v>
      </c>
      <c r="B2091" s="671">
        <v>33</v>
      </c>
      <c r="C2091" s="716">
        <v>203206010032</v>
      </c>
      <c r="D2091" s="701" t="s">
        <v>2585</v>
      </c>
      <c r="E2091" s="264" t="s">
        <v>2572</v>
      </c>
      <c r="F2091" s="175">
        <v>2020</v>
      </c>
      <c r="G2091" s="360" t="s">
        <v>1483</v>
      </c>
      <c r="H2091" s="264" t="s">
        <v>2551</v>
      </c>
      <c r="I2091" s="264" t="s">
        <v>2552</v>
      </c>
      <c r="J2091" s="1359">
        <v>2700000</v>
      </c>
      <c r="K2091" s="1523">
        <v>44070.809120370403</v>
      </c>
      <c r="L2091" s="1359">
        <v>3750000</v>
      </c>
      <c r="M2091" s="1523">
        <v>44070.809120370403</v>
      </c>
      <c r="N2091" s="1731"/>
      <c r="O2091" s="1367"/>
      <c r="P2091" s="1731"/>
      <c r="Q2091" s="1367"/>
      <c r="R2091" s="1363"/>
      <c r="S2091" s="1563"/>
      <c r="T2091" s="1363"/>
      <c r="U2091" s="1391"/>
      <c r="V2091" s="1363"/>
      <c r="W2091" s="1391"/>
      <c r="X2091" s="1363"/>
      <c r="Y2091" s="1391"/>
      <c r="Z2091" s="1363"/>
      <c r="AA2091" s="1391"/>
      <c r="AB2091" s="1731"/>
      <c r="AC2091" s="1367"/>
      <c r="AD2091" s="1666"/>
      <c r="AE2091" s="1590"/>
      <c r="AF2091" s="1666"/>
      <c r="AG2091" s="1590"/>
      <c r="AH2091" s="1625" t="str">
        <f t="shared" si="720"/>
        <v>MPI-1B</v>
      </c>
      <c r="AI2091" s="1675">
        <f t="shared" si="714"/>
        <v>6450000</v>
      </c>
      <c r="AJ2091" s="1675">
        <f t="shared" si="715"/>
        <v>6450000</v>
      </c>
      <c r="AK2091" s="1520">
        <f t="shared" si="718"/>
        <v>0</v>
      </c>
      <c r="AL2091" s="2210" t="str">
        <f t="shared" si="719"/>
        <v>Lunas</v>
      </c>
      <c r="AM2091" s="1666"/>
      <c r="AN2091" s="1590"/>
      <c r="AO2091"/>
      <c r="AP2091"/>
      <c r="AQ2091" s="1128"/>
      <c r="AR2091" s="1173"/>
      <c r="AT2091" s="1173"/>
      <c r="AV2091" s="1173"/>
      <c r="AX2091" s="1173"/>
      <c r="AY2091" s="1176"/>
      <c r="AZ2091" s="1173"/>
    </row>
    <row r="2092" spans="1:52" s="2" customFormat="1" x14ac:dyDescent="0.25">
      <c r="A2092" s="694">
        <v>1925</v>
      </c>
      <c r="B2092" s="709">
        <v>34</v>
      </c>
      <c r="C2092" s="716">
        <v>203206010033</v>
      </c>
      <c r="D2092" s="701" t="s">
        <v>2586</v>
      </c>
      <c r="E2092" s="264" t="s">
        <v>2572</v>
      </c>
      <c r="F2092" s="175">
        <v>2020</v>
      </c>
      <c r="G2092" s="360" t="s">
        <v>1483</v>
      </c>
      <c r="H2092" s="264" t="s">
        <v>2551</v>
      </c>
      <c r="I2092" s="264" t="s">
        <v>2552</v>
      </c>
      <c r="J2092" s="1359">
        <v>2700000</v>
      </c>
      <c r="K2092" s="1523">
        <v>44071.4241203704</v>
      </c>
      <c r="L2092" s="1363">
        <v>3750000</v>
      </c>
      <c r="M2092" s="1523">
        <v>44071.4241203704</v>
      </c>
      <c r="N2092" s="1731"/>
      <c r="O2092" s="1367"/>
      <c r="P2092" s="1731"/>
      <c r="Q2092" s="1367"/>
      <c r="R2092" s="1363"/>
      <c r="S2092" s="1563"/>
      <c r="T2092" s="1363"/>
      <c r="U2092" s="1391"/>
      <c r="V2092" s="1363"/>
      <c r="W2092" s="1391"/>
      <c r="X2092" s="1363"/>
      <c r="Y2092" s="1391"/>
      <c r="Z2092" s="1363"/>
      <c r="AA2092" s="1391"/>
      <c r="AB2092" s="1731"/>
      <c r="AC2092" s="1367"/>
      <c r="AD2092" s="1666"/>
      <c r="AE2092" s="1590"/>
      <c r="AF2092" s="1666"/>
      <c r="AG2092" s="1590"/>
      <c r="AH2092" s="1625" t="str">
        <f t="shared" si="720"/>
        <v>MPI-1B</v>
      </c>
      <c r="AI2092" s="1675">
        <f t="shared" si="714"/>
        <v>6450000</v>
      </c>
      <c r="AJ2092" s="1675">
        <f t="shared" si="715"/>
        <v>6450000</v>
      </c>
      <c r="AK2092" s="1520">
        <f t="shared" si="718"/>
        <v>0</v>
      </c>
      <c r="AL2092" s="2210" t="str">
        <f t="shared" si="719"/>
        <v>Lunas</v>
      </c>
      <c r="AM2092" s="1666"/>
      <c r="AN2092" s="1590"/>
      <c r="AO2092"/>
      <c r="AP2092"/>
      <c r="AQ2092" s="1128"/>
      <c r="AR2092" s="1173"/>
      <c r="AT2092" s="1173"/>
      <c r="AV2092" s="1173"/>
      <c r="AX2092" s="1173"/>
      <c r="AY2092" s="1176"/>
      <c r="AZ2092" s="1173"/>
    </row>
    <row r="2093" spans="1:52" s="2" customFormat="1" x14ac:dyDescent="0.25">
      <c r="A2093" s="694">
        <v>1926</v>
      </c>
      <c r="B2093" s="671">
        <v>35</v>
      </c>
      <c r="C2093" s="716">
        <v>203206010034</v>
      </c>
      <c r="D2093" s="701" t="s">
        <v>2587</v>
      </c>
      <c r="E2093" s="264" t="s">
        <v>2572</v>
      </c>
      <c r="F2093" s="175">
        <v>2020</v>
      </c>
      <c r="G2093" s="360" t="s">
        <v>1483</v>
      </c>
      <c r="H2093" s="264" t="s">
        <v>2551</v>
      </c>
      <c r="I2093" s="264" t="s">
        <v>2552</v>
      </c>
      <c r="J2093" s="1359">
        <v>2700000</v>
      </c>
      <c r="K2093" s="1523">
        <v>44071.591238425899</v>
      </c>
      <c r="L2093" s="1359">
        <v>3750000</v>
      </c>
      <c r="M2093" s="1523">
        <v>44071.591238425899</v>
      </c>
      <c r="N2093" s="1731"/>
      <c r="O2093" s="1367"/>
      <c r="P2093" s="1731"/>
      <c r="Q2093" s="1367"/>
      <c r="R2093" s="1363"/>
      <c r="S2093" s="1563"/>
      <c r="T2093" s="1363"/>
      <c r="U2093" s="1391"/>
      <c r="V2093" s="1363"/>
      <c r="W2093" s="1391"/>
      <c r="X2093" s="1363"/>
      <c r="Y2093" s="1391"/>
      <c r="Z2093" s="1363"/>
      <c r="AA2093" s="1391"/>
      <c r="AB2093" s="1731"/>
      <c r="AC2093" s="1367"/>
      <c r="AD2093" s="1666"/>
      <c r="AE2093" s="1590"/>
      <c r="AF2093" s="1666"/>
      <c r="AG2093" s="1590"/>
      <c r="AH2093" s="1625" t="str">
        <f t="shared" si="720"/>
        <v>MPI-1B</v>
      </c>
      <c r="AI2093" s="1675">
        <f t="shared" si="714"/>
        <v>6450000</v>
      </c>
      <c r="AJ2093" s="1675">
        <f t="shared" si="715"/>
        <v>6450000</v>
      </c>
      <c r="AK2093" s="1520">
        <f t="shared" si="718"/>
        <v>0</v>
      </c>
      <c r="AL2093" s="2210" t="str">
        <f t="shared" si="719"/>
        <v>Lunas</v>
      </c>
      <c r="AM2093" s="1666"/>
      <c r="AN2093" s="1590"/>
      <c r="AO2093"/>
      <c r="AP2093"/>
      <c r="AQ2093" s="1128"/>
      <c r="AR2093" s="1173"/>
      <c r="AT2093" s="1173"/>
      <c r="AV2093" s="1173"/>
      <c r="AX2093" s="1173"/>
      <c r="AY2093" s="1176"/>
      <c r="AZ2093" s="1173"/>
    </row>
    <row r="2094" spans="1:52" s="2" customFormat="1" x14ac:dyDescent="0.25">
      <c r="A2094" s="694">
        <v>1927</v>
      </c>
      <c r="B2094" s="709">
        <v>36</v>
      </c>
      <c r="C2094" s="716">
        <v>203206010035</v>
      </c>
      <c r="D2094" s="701" t="s">
        <v>2588</v>
      </c>
      <c r="E2094" s="264" t="s">
        <v>2572</v>
      </c>
      <c r="F2094" s="175">
        <v>2020</v>
      </c>
      <c r="G2094" s="360" t="s">
        <v>1483</v>
      </c>
      <c r="H2094" s="264" t="s">
        <v>2551</v>
      </c>
      <c r="I2094" s="264" t="s">
        <v>2552</v>
      </c>
      <c r="J2094" s="1359">
        <v>2700000</v>
      </c>
      <c r="K2094" s="1523">
        <v>44071.8026157407</v>
      </c>
      <c r="L2094" s="1363">
        <v>3750000</v>
      </c>
      <c r="M2094" s="1523">
        <v>44071.8026157407</v>
      </c>
      <c r="N2094" s="1731"/>
      <c r="O2094" s="1367"/>
      <c r="P2094" s="1731"/>
      <c r="Q2094" s="1367"/>
      <c r="R2094" s="1363"/>
      <c r="S2094" s="1563"/>
      <c r="T2094" s="1363"/>
      <c r="U2094" s="1391"/>
      <c r="V2094" s="1363"/>
      <c r="W2094" s="1391"/>
      <c r="X2094" s="1363"/>
      <c r="Y2094" s="1391"/>
      <c r="Z2094" s="1363"/>
      <c r="AA2094" s="1391"/>
      <c r="AB2094" s="1731"/>
      <c r="AC2094" s="1367"/>
      <c r="AD2094" s="1666"/>
      <c r="AE2094" s="1590"/>
      <c r="AF2094" s="1666"/>
      <c r="AG2094" s="1590"/>
      <c r="AH2094" s="1625" t="str">
        <f t="shared" si="720"/>
        <v>MPI-1B</v>
      </c>
      <c r="AI2094" s="1675">
        <f t="shared" si="714"/>
        <v>6450000</v>
      </c>
      <c r="AJ2094" s="1675">
        <f t="shared" si="715"/>
        <v>6450000</v>
      </c>
      <c r="AK2094" s="1520">
        <f t="shared" si="718"/>
        <v>0</v>
      </c>
      <c r="AL2094" s="2210" t="str">
        <f t="shared" si="719"/>
        <v>Lunas</v>
      </c>
      <c r="AM2094" s="1666"/>
      <c r="AN2094" s="1590"/>
      <c r="AO2094"/>
      <c r="AP2094"/>
      <c r="AQ2094" s="1128"/>
      <c r="AR2094" s="1173"/>
      <c r="AT2094" s="1173"/>
      <c r="AV2094" s="1173"/>
      <c r="AX2094" s="1173"/>
      <c r="AY2094" s="1176"/>
      <c r="AZ2094" s="1173"/>
    </row>
    <row r="2095" spans="1:52" s="2" customFormat="1" x14ac:dyDescent="0.25">
      <c r="A2095" s="694">
        <v>1928</v>
      </c>
      <c r="B2095" s="671">
        <v>37</v>
      </c>
      <c r="C2095" s="716">
        <v>203206010037</v>
      </c>
      <c r="D2095" s="701" t="s">
        <v>2589</v>
      </c>
      <c r="E2095" s="264" t="s">
        <v>2572</v>
      </c>
      <c r="F2095" s="175">
        <v>2020</v>
      </c>
      <c r="G2095" s="360" t="s">
        <v>1483</v>
      </c>
      <c r="H2095" s="264" t="s">
        <v>2551</v>
      </c>
      <c r="I2095" s="264" t="s">
        <v>2552</v>
      </c>
      <c r="J2095" s="1359">
        <v>2700000</v>
      </c>
      <c r="K2095" s="1523">
        <v>44077.419432870403</v>
      </c>
      <c r="L2095" s="1359">
        <v>3750000</v>
      </c>
      <c r="M2095" s="1523">
        <v>44077.419432870403</v>
      </c>
      <c r="N2095" s="1731"/>
      <c r="O2095" s="1367"/>
      <c r="P2095" s="1731"/>
      <c r="Q2095" s="1367"/>
      <c r="R2095" s="1363"/>
      <c r="S2095" s="1563"/>
      <c r="T2095" s="1363"/>
      <c r="U2095" s="1391"/>
      <c r="V2095" s="1363"/>
      <c r="W2095" s="1391"/>
      <c r="X2095" s="1363"/>
      <c r="Y2095" s="1391"/>
      <c r="Z2095" s="1363"/>
      <c r="AA2095" s="1391"/>
      <c r="AB2095" s="1731"/>
      <c r="AC2095" s="1367"/>
      <c r="AD2095" s="1666"/>
      <c r="AE2095" s="1590"/>
      <c r="AF2095" s="1666"/>
      <c r="AG2095" s="1590"/>
      <c r="AH2095" s="1625" t="str">
        <f t="shared" si="720"/>
        <v>MPI-1B</v>
      </c>
      <c r="AI2095" s="1675">
        <f t="shared" si="714"/>
        <v>6450000</v>
      </c>
      <c r="AJ2095" s="1675">
        <f t="shared" si="715"/>
        <v>6450000</v>
      </c>
      <c r="AK2095" s="1520">
        <f t="shared" si="718"/>
        <v>0</v>
      </c>
      <c r="AL2095" s="2210" t="str">
        <f t="shared" si="719"/>
        <v>Lunas</v>
      </c>
      <c r="AM2095" s="1666"/>
      <c r="AN2095" s="1590"/>
      <c r="AO2095"/>
      <c r="AP2095"/>
      <c r="AQ2095" s="1128"/>
      <c r="AR2095" s="1173"/>
      <c r="AT2095" s="1173"/>
      <c r="AV2095" s="1173"/>
      <c r="AX2095" s="1173"/>
      <c r="AY2095" s="1176"/>
      <c r="AZ2095" s="1173"/>
    </row>
    <row r="2096" spans="1:52" x14ac:dyDescent="0.25">
      <c r="A2096" s="725"/>
      <c r="B2096" s="725"/>
      <c r="C2096" s="33"/>
      <c r="D2096" s="123"/>
      <c r="H2096" s="124"/>
      <c r="I2096" s="124"/>
      <c r="J2096" s="1212"/>
      <c r="P2096" s="761"/>
      <c r="Q2096" s="1089"/>
      <c r="S2096" s="1375"/>
      <c r="AH2096">
        <f t="shared" si="720"/>
        <v>0</v>
      </c>
    </row>
    <row r="2097" spans="1:52" s="2" customFormat="1" x14ac:dyDescent="0.25">
      <c r="A2097" s="625" t="s">
        <v>2590</v>
      </c>
      <c r="B2097" s="625"/>
      <c r="C2097" s="366"/>
      <c r="D2097" s="625"/>
      <c r="E2097" s="198" t="s">
        <v>1096</v>
      </c>
      <c r="F2097" s="199" t="s">
        <v>1096</v>
      </c>
      <c r="G2097" s="565">
        <v>3750000</v>
      </c>
      <c r="H2097" s="147" t="str">
        <f>IFERROR(VLOOKUP(C2097,Tlus,3,FALSE),"   ")</f>
        <v xml:space="preserve">   </v>
      </c>
      <c r="I2097" s="147" t="str">
        <f>IFERROR(VLOOKUP(C2097,Wis,4,FALSE),"   ")</f>
        <v xml:space="preserve">   </v>
      </c>
      <c r="J2097" s="2035">
        <v>2700000</v>
      </c>
      <c r="K2097" s="2036"/>
      <c r="L2097" s="2163" t="s">
        <v>1049</v>
      </c>
      <c r="M2097" s="2164" t="s">
        <v>1463</v>
      </c>
      <c r="N2097" s="2163" t="s">
        <v>1051</v>
      </c>
      <c r="O2097" s="2164" t="s">
        <v>1464</v>
      </c>
      <c r="P2097" s="2016" t="s">
        <v>1053</v>
      </c>
      <c r="Q2097" s="1438" t="s">
        <v>1466</v>
      </c>
      <c r="R2097" s="2016" t="s">
        <v>1055</v>
      </c>
      <c r="S2097" s="1438" t="s">
        <v>1468</v>
      </c>
      <c r="T2097" s="2016" t="s">
        <v>1057</v>
      </c>
      <c r="U2097" s="1438" t="s">
        <v>1470</v>
      </c>
      <c r="V2097" s="2016" t="s">
        <v>1059</v>
      </c>
      <c r="W2097" s="1438" t="s">
        <v>1718</v>
      </c>
      <c r="X2097" s="1582" t="s">
        <v>1061</v>
      </c>
      <c r="Y2097" s="1438" t="s">
        <v>1719</v>
      </c>
      <c r="Z2097" s="1582" t="s">
        <v>1063</v>
      </c>
      <c r="AA2097" s="1438" t="s">
        <v>1980</v>
      </c>
      <c r="AB2097" s="2177">
        <v>1000000</v>
      </c>
      <c r="AC2097" s="2178" t="s">
        <v>2015</v>
      </c>
      <c r="AD2097" s="1450">
        <v>1200000</v>
      </c>
      <c r="AE2097" s="1663" t="s">
        <v>2016</v>
      </c>
      <c r="AF2097" s="1450">
        <v>1600000</v>
      </c>
      <c r="AG2097" s="1663" t="s">
        <v>1326</v>
      </c>
      <c r="AH2097" s="1408" t="str">
        <f t="shared" si="720"/>
        <v>#</v>
      </c>
      <c r="AI2097" s="1512"/>
      <c r="AJ2097" s="1409"/>
      <c r="AK2097" s="1409"/>
      <c r="AL2097" s="1513"/>
      <c r="AM2097" s="1450">
        <v>500000</v>
      </c>
      <c r="AN2097" s="1663" t="s">
        <v>22</v>
      </c>
      <c r="AO2097"/>
      <c r="AP2097"/>
      <c r="AQ2097" s="1128"/>
      <c r="AR2097" s="1173"/>
      <c r="AT2097" s="1173"/>
      <c r="AV2097" s="1173"/>
      <c r="AX2097" s="1173"/>
      <c r="AY2097" s="1176"/>
      <c r="AZ2097" s="1173"/>
    </row>
    <row r="2098" spans="1:52" s="2" customFormat="1" x14ac:dyDescent="0.25">
      <c r="A2098" s="694">
        <v>1929</v>
      </c>
      <c r="B2098" s="671">
        <v>1</v>
      </c>
      <c r="C2098" s="174">
        <v>203206050001</v>
      </c>
      <c r="D2098" s="701" t="s">
        <v>2591</v>
      </c>
      <c r="E2098" s="264" t="s">
        <v>2592</v>
      </c>
      <c r="F2098" s="175">
        <v>2020</v>
      </c>
      <c r="G2098" s="360" t="s">
        <v>1483</v>
      </c>
      <c r="H2098" s="264" t="s">
        <v>2551</v>
      </c>
      <c r="I2098" s="264" t="s">
        <v>2552</v>
      </c>
      <c r="J2098" s="1359">
        <v>2700000</v>
      </c>
      <c r="K2098" s="1523">
        <v>44071.418726851902</v>
      </c>
      <c r="L2098" s="1359">
        <v>3750000</v>
      </c>
      <c r="M2098" s="1523">
        <v>44071.418726851902</v>
      </c>
      <c r="N2098" s="1731"/>
      <c r="O2098" s="1367"/>
      <c r="P2098" s="1731"/>
      <c r="Q2098" s="1367"/>
      <c r="R2098" s="1363"/>
      <c r="S2098" s="1563"/>
      <c r="T2098" s="1363"/>
      <c r="U2098" s="1391"/>
      <c r="V2098" s="1363"/>
      <c r="W2098" s="1391"/>
      <c r="X2098" s="1363"/>
      <c r="Y2098" s="1391"/>
      <c r="Z2098" s="1363"/>
      <c r="AA2098" s="1391"/>
      <c r="AB2098" s="1666"/>
      <c r="AC2098" s="1590"/>
      <c r="AD2098" s="1666"/>
      <c r="AE2098" s="1590"/>
      <c r="AF2098" s="1666"/>
      <c r="AG2098" s="1590"/>
      <c r="AH2098" s="1625" t="str">
        <f t="shared" si="720"/>
        <v>HK-1A</v>
      </c>
      <c r="AI2098" s="1675">
        <f t="shared" ref="AI2098:AI2127" si="721">SUM(J2098,L2098,N2098,P2098,R2098,T2098,V2098,X2098,Z2098,AB2098,AD2098,AF2098,AM2098)</f>
        <v>6450000</v>
      </c>
      <c r="AJ2098" s="1675">
        <f t="shared" ref="AJ2098:AJ2127" si="722">(COUNT(L2098,N2098,P2098,R2098,T2098,V2098,X2098,Z2098)*$G$1507)+(COUNT(J2098)*$J$1507)+(COUNT(AB2098)*$AB$1507)+(COUNT(AD2098)*$AD$1507)+(COUNT(AF2098)*$AF$1507)+(COUNT(AM2098)*$AM$1507)</f>
        <v>6450000</v>
      </c>
      <c r="AK2098" s="1520">
        <f t="shared" ref="AK2098" si="723">AJ2098-AI2098</f>
        <v>0</v>
      </c>
      <c r="AL2098" s="2187" t="str">
        <f t="shared" ref="AL2098" si="724">IF(AK2098=0,"Lunas","Cek")</f>
        <v>Lunas</v>
      </c>
      <c r="AM2098" s="1666"/>
      <c r="AN2098" s="1590"/>
      <c r="AO2098"/>
      <c r="AP2098"/>
      <c r="AQ2098" s="1128"/>
      <c r="AR2098" s="1173"/>
      <c r="AT2098" s="1173"/>
      <c r="AV2098" s="1173"/>
      <c r="AX2098" s="1173"/>
      <c r="AY2098" s="1176"/>
      <c r="AZ2098" s="1173"/>
    </row>
    <row r="2099" spans="1:52" s="2" customFormat="1" x14ac:dyDescent="0.25">
      <c r="A2099" s="694">
        <v>1930</v>
      </c>
      <c r="B2099" s="709">
        <v>2</v>
      </c>
      <c r="C2099" s="716">
        <v>203206050002</v>
      </c>
      <c r="D2099" s="701" t="s">
        <v>2593</v>
      </c>
      <c r="E2099" s="264" t="s">
        <v>2592</v>
      </c>
      <c r="F2099" s="175">
        <v>2020</v>
      </c>
      <c r="G2099" s="360" t="s">
        <v>1483</v>
      </c>
      <c r="H2099" s="264" t="s">
        <v>2551</v>
      </c>
      <c r="I2099" s="264" t="s">
        <v>2552</v>
      </c>
      <c r="J2099" s="1359">
        <v>2700000</v>
      </c>
      <c r="K2099" s="1523">
        <v>44070.426342592596</v>
      </c>
      <c r="L2099" s="1359">
        <v>3750000</v>
      </c>
      <c r="M2099" s="1523">
        <v>44070.426342592596</v>
      </c>
      <c r="N2099" s="1731"/>
      <c r="O2099" s="1367"/>
      <c r="P2099" s="1731"/>
      <c r="Q2099" s="1367"/>
      <c r="R2099" s="1363"/>
      <c r="S2099" s="1563"/>
      <c r="T2099" s="1363"/>
      <c r="U2099" s="1391"/>
      <c r="V2099" s="1363"/>
      <c r="W2099" s="1391"/>
      <c r="X2099" s="1363"/>
      <c r="Y2099" s="1391"/>
      <c r="Z2099" s="1363"/>
      <c r="AA2099" s="1391"/>
      <c r="AB2099" s="1731"/>
      <c r="AC2099" s="1367"/>
      <c r="AD2099" s="1666"/>
      <c r="AE2099" s="1590"/>
      <c r="AF2099" s="1666"/>
      <c r="AG2099" s="1590"/>
      <c r="AH2099" s="1625" t="str">
        <f t="shared" si="720"/>
        <v>HK-1A</v>
      </c>
      <c r="AI2099" s="1675">
        <f t="shared" si="721"/>
        <v>6450000</v>
      </c>
      <c r="AJ2099" s="1675">
        <f t="shared" si="722"/>
        <v>6450000</v>
      </c>
      <c r="AK2099" s="1520">
        <f t="shared" ref="AK2099:AK2127" si="725">AJ2099-AI2099</f>
        <v>0</v>
      </c>
      <c r="AL2099" s="2210" t="str">
        <f t="shared" ref="AL2099:AL2127" si="726">IF(AK2099=0,"Lunas","Cek")</f>
        <v>Lunas</v>
      </c>
      <c r="AM2099" s="1666"/>
      <c r="AN2099" s="1590"/>
      <c r="AO2099"/>
      <c r="AP2099"/>
      <c r="AQ2099" s="1128"/>
      <c r="AR2099" s="1173"/>
      <c r="AT2099" s="1173"/>
      <c r="AV2099" s="1173"/>
      <c r="AX2099" s="1173"/>
      <c r="AY2099" s="1176"/>
      <c r="AZ2099" s="1173"/>
    </row>
    <row r="2100" spans="1:52" s="2" customFormat="1" x14ac:dyDescent="0.25">
      <c r="A2100" s="694">
        <v>1931</v>
      </c>
      <c r="B2100" s="671">
        <v>3</v>
      </c>
      <c r="C2100" s="716">
        <v>203206050003</v>
      </c>
      <c r="D2100" s="701" t="s">
        <v>2594</v>
      </c>
      <c r="E2100" s="264" t="s">
        <v>2592</v>
      </c>
      <c r="F2100" s="175">
        <v>2020</v>
      </c>
      <c r="G2100" s="360" t="s">
        <v>1483</v>
      </c>
      <c r="H2100" s="264" t="s">
        <v>2551</v>
      </c>
      <c r="I2100" s="264" t="s">
        <v>2552</v>
      </c>
      <c r="J2100" s="1359">
        <v>2700000</v>
      </c>
      <c r="K2100" s="1523">
        <v>44069.435289351903</v>
      </c>
      <c r="L2100" s="1359">
        <v>3750000</v>
      </c>
      <c r="M2100" s="1523">
        <v>44069.435289351903</v>
      </c>
      <c r="N2100" s="1731"/>
      <c r="O2100" s="1367"/>
      <c r="P2100" s="1731"/>
      <c r="Q2100" s="1367"/>
      <c r="R2100" s="1363"/>
      <c r="S2100" s="1563"/>
      <c r="T2100" s="1363"/>
      <c r="U2100" s="1391"/>
      <c r="V2100" s="1363"/>
      <c r="W2100" s="1391"/>
      <c r="X2100" s="1363"/>
      <c r="Y2100" s="1391"/>
      <c r="Z2100" s="1363"/>
      <c r="AA2100" s="1391"/>
      <c r="AB2100" s="1731"/>
      <c r="AC2100" s="1367"/>
      <c r="AD2100" s="1666"/>
      <c r="AE2100" s="1590"/>
      <c r="AF2100" s="1666"/>
      <c r="AG2100" s="1590"/>
      <c r="AH2100" s="1625" t="str">
        <f t="shared" si="720"/>
        <v>HK-1A</v>
      </c>
      <c r="AI2100" s="1675">
        <f t="shared" si="721"/>
        <v>6450000</v>
      </c>
      <c r="AJ2100" s="1675">
        <f t="shared" si="722"/>
        <v>6450000</v>
      </c>
      <c r="AK2100" s="1520">
        <f t="shared" si="725"/>
        <v>0</v>
      </c>
      <c r="AL2100" s="2210" t="str">
        <f t="shared" si="726"/>
        <v>Lunas</v>
      </c>
      <c r="AM2100" s="1666"/>
      <c r="AN2100" s="1590"/>
      <c r="AO2100"/>
      <c r="AP2100"/>
      <c r="AQ2100" s="1128"/>
      <c r="AR2100" s="1173"/>
      <c r="AT2100" s="1173"/>
      <c r="AV2100" s="1173"/>
      <c r="AX2100" s="1173"/>
      <c r="AY2100" s="1176"/>
      <c r="AZ2100" s="1173"/>
    </row>
    <row r="2101" spans="1:52" s="2" customFormat="1" x14ac:dyDescent="0.25">
      <c r="A2101" s="694">
        <v>1932</v>
      </c>
      <c r="B2101" s="709">
        <v>4</v>
      </c>
      <c r="C2101" s="174">
        <v>203206050004</v>
      </c>
      <c r="D2101" s="701" t="s">
        <v>2595</v>
      </c>
      <c r="E2101" s="264" t="s">
        <v>2592</v>
      </c>
      <c r="F2101" s="175">
        <v>2020</v>
      </c>
      <c r="G2101" s="360" t="s">
        <v>1483</v>
      </c>
      <c r="H2101" s="264" t="s">
        <v>2551</v>
      </c>
      <c r="I2101" s="264" t="s">
        <v>2552</v>
      </c>
      <c r="J2101" s="1359">
        <v>2700000</v>
      </c>
      <c r="K2101" s="1523">
        <v>44070.556238425903</v>
      </c>
      <c r="L2101" s="1359">
        <v>3750000</v>
      </c>
      <c r="M2101" s="1523">
        <v>44070.556238425903</v>
      </c>
      <c r="N2101" s="1731"/>
      <c r="O2101" s="1367"/>
      <c r="P2101" s="1731"/>
      <c r="Q2101" s="1367"/>
      <c r="R2101" s="1363"/>
      <c r="S2101" s="1563"/>
      <c r="T2101" s="1363"/>
      <c r="U2101" s="1391"/>
      <c r="V2101" s="1363"/>
      <c r="W2101" s="1391"/>
      <c r="X2101" s="1363"/>
      <c r="Y2101" s="1391"/>
      <c r="Z2101" s="1363"/>
      <c r="AA2101" s="1391"/>
      <c r="AB2101" s="1731"/>
      <c r="AC2101" s="1367"/>
      <c r="AD2101" s="1666"/>
      <c r="AE2101" s="1590"/>
      <c r="AF2101" s="1666"/>
      <c r="AG2101" s="1590"/>
      <c r="AH2101" s="1625" t="str">
        <f t="shared" si="720"/>
        <v>HK-1A</v>
      </c>
      <c r="AI2101" s="1675">
        <f t="shared" si="721"/>
        <v>6450000</v>
      </c>
      <c r="AJ2101" s="1675">
        <f t="shared" si="722"/>
        <v>6450000</v>
      </c>
      <c r="AK2101" s="1520">
        <f t="shared" si="725"/>
        <v>0</v>
      </c>
      <c r="AL2101" s="2210" t="str">
        <f t="shared" si="726"/>
        <v>Lunas</v>
      </c>
      <c r="AM2101" s="1666"/>
      <c r="AN2101" s="1590"/>
      <c r="AO2101"/>
      <c r="AP2101"/>
      <c r="AQ2101" s="1128"/>
      <c r="AR2101" s="1173"/>
      <c r="AT2101" s="1173"/>
      <c r="AV2101" s="1173"/>
      <c r="AX2101" s="1173"/>
      <c r="AY2101" s="1176"/>
      <c r="AZ2101" s="1173"/>
    </row>
    <row r="2102" spans="1:52" s="2" customFormat="1" x14ac:dyDescent="0.25">
      <c r="A2102" s="694">
        <v>1933</v>
      </c>
      <c r="B2102" s="671">
        <v>5</v>
      </c>
      <c r="C2102" s="716">
        <v>203206050005</v>
      </c>
      <c r="D2102" s="701" t="s">
        <v>2596</v>
      </c>
      <c r="E2102" s="264" t="s">
        <v>2592</v>
      </c>
      <c r="F2102" s="175">
        <v>2020</v>
      </c>
      <c r="G2102" s="360" t="s">
        <v>1483</v>
      </c>
      <c r="H2102" s="264" t="s">
        <v>2551</v>
      </c>
      <c r="I2102" s="264" t="s">
        <v>2552</v>
      </c>
      <c r="J2102" s="1359">
        <v>2700000</v>
      </c>
      <c r="K2102" s="1523">
        <v>44070.425543981502</v>
      </c>
      <c r="L2102" s="1359">
        <v>3750000</v>
      </c>
      <c r="M2102" s="1523">
        <v>44070.425543981502</v>
      </c>
      <c r="N2102" s="1731"/>
      <c r="O2102" s="1367"/>
      <c r="P2102" s="1731"/>
      <c r="Q2102" s="1367"/>
      <c r="R2102" s="1363"/>
      <c r="S2102" s="1563"/>
      <c r="T2102" s="1363"/>
      <c r="U2102" s="1391"/>
      <c r="V2102" s="1363"/>
      <c r="W2102" s="1391"/>
      <c r="X2102" s="1363"/>
      <c r="Y2102" s="1391"/>
      <c r="Z2102" s="1363"/>
      <c r="AA2102" s="1391"/>
      <c r="AB2102" s="1731"/>
      <c r="AC2102" s="1367"/>
      <c r="AD2102" s="1666"/>
      <c r="AE2102" s="1590"/>
      <c r="AF2102" s="1666"/>
      <c r="AG2102" s="1590"/>
      <c r="AH2102" s="1625" t="str">
        <f t="shared" si="720"/>
        <v>HK-1A</v>
      </c>
      <c r="AI2102" s="1675">
        <f t="shared" si="721"/>
        <v>6450000</v>
      </c>
      <c r="AJ2102" s="1675">
        <f t="shared" si="722"/>
        <v>6450000</v>
      </c>
      <c r="AK2102" s="1520">
        <f t="shared" si="725"/>
        <v>0</v>
      </c>
      <c r="AL2102" s="2210" t="str">
        <f t="shared" si="726"/>
        <v>Lunas</v>
      </c>
      <c r="AM2102" s="1666"/>
      <c r="AN2102" s="1590"/>
      <c r="AO2102"/>
      <c r="AP2102"/>
      <c r="AQ2102" s="1128"/>
      <c r="AR2102" s="1173"/>
      <c r="AT2102" s="1173"/>
      <c r="AV2102" s="1173"/>
      <c r="AX2102" s="1173"/>
      <c r="AY2102" s="1176"/>
      <c r="AZ2102" s="1173"/>
    </row>
    <row r="2103" spans="1:52" s="2" customFormat="1" x14ac:dyDescent="0.25">
      <c r="A2103" s="694">
        <v>1934</v>
      </c>
      <c r="B2103" s="709">
        <v>6</v>
      </c>
      <c r="C2103" s="716">
        <v>203206050006</v>
      </c>
      <c r="D2103" s="701" t="s">
        <v>2597</v>
      </c>
      <c r="E2103" s="264" t="s">
        <v>2592</v>
      </c>
      <c r="F2103" s="175">
        <v>2020</v>
      </c>
      <c r="G2103" s="360" t="s">
        <v>1483</v>
      </c>
      <c r="H2103" s="264" t="s">
        <v>2551</v>
      </c>
      <c r="I2103" s="264" t="s">
        <v>2552</v>
      </c>
      <c r="J2103" s="1359">
        <v>2700000</v>
      </c>
      <c r="K2103" s="1523">
        <v>44068.5862962963</v>
      </c>
      <c r="L2103" s="1359">
        <v>3750000</v>
      </c>
      <c r="M2103" s="1523">
        <v>44068.5862962963</v>
      </c>
      <c r="N2103" s="1731"/>
      <c r="O2103" s="1367"/>
      <c r="P2103" s="1731"/>
      <c r="Q2103" s="1367"/>
      <c r="R2103" s="1363"/>
      <c r="S2103" s="1563"/>
      <c r="T2103" s="1363"/>
      <c r="U2103" s="1391"/>
      <c r="V2103" s="1363"/>
      <c r="W2103" s="1391"/>
      <c r="X2103" s="1363"/>
      <c r="Y2103" s="1391"/>
      <c r="Z2103" s="1363"/>
      <c r="AA2103" s="1391"/>
      <c r="AB2103" s="1731"/>
      <c r="AC2103" s="1367"/>
      <c r="AD2103" s="1666"/>
      <c r="AE2103" s="1590"/>
      <c r="AF2103" s="1666"/>
      <c r="AG2103" s="1590"/>
      <c r="AH2103" s="1625" t="str">
        <f t="shared" si="720"/>
        <v>HK-1A</v>
      </c>
      <c r="AI2103" s="1675">
        <f t="shared" si="721"/>
        <v>6450000</v>
      </c>
      <c r="AJ2103" s="1675">
        <f t="shared" si="722"/>
        <v>6450000</v>
      </c>
      <c r="AK2103" s="1520">
        <f t="shared" si="725"/>
        <v>0</v>
      </c>
      <c r="AL2103" s="2210" t="str">
        <f t="shared" si="726"/>
        <v>Lunas</v>
      </c>
      <c r="AM2103" s="1666"/>
      <c r="AN2103" s="1590"/>
      <c r="AO2103"/>
      <c r="AP2103"/>
      <c r="AQ2103" s="1128"/>
      <c r="AR2103" s="1173"/>
      <c r="AT2103" s="1173"/>
      <c r="AV2103" s="1173"/>
      <c r="AX2103" s="1173"/>
      <c r="AY2103" s="1176"/>
      <c r="AZ2103" s="1173"/>
    </row>
    <row r="2104" spans="1:52" s="2" customFormat="1" x14ac:dyDescent="0.25">
      <c r="A2104" s="694">
        <v>1935</v>
      </c>
      <c r="B2104" s="671">
        <v>7</v>
      </c>
      <c r="C2104" s="716">
        <v>203206050007</v>
      </c>
      <c r="D2104" s="701" t="s">
        <v>2598</v>
      </c>
      <c r="E2104" s="264" t="s">
        <v>2592</v>
      </c>
      <c r="F2104" s="175">
        <v>2020</v>
      </c>
      <c r="G2104" s="360" t="s">
        <v>1483</v>
      </c>
      <c r="H2104" s="264" t="s">
        <v>2551</v>
      </c>
      <c r="I2104" s="264" t="s">
        <v>2552</v>
      </c>
      <c r="J2104" s="1359">
        <v>2700000</v>
      </c>
      <c r="K2104" s="1523">
        <v>44070.791273148097</v>
      </c>
      <c r="L2104" s="1359">
        <v>3750000</v>
      </c>
      <c r="M2104" s="1523">
        <v>44070.791273148097</v>
      </c>
      <c r="N2104" s="1731"/>
      <c r="O2104" s="1367"/>
      <c r="P2104" s="1731"/>
      <c r="Q2104" s="1367"/>
      <c r="R2104" s="1363"/>
      <c r="S2104" s="1563"/>
      <c r="T2104" s="1363"/>
      <c r="U2104" s="1391"/>
      <c r="V2104" s="1363"/>
      <c r="W2104" s="1391"/>
      <c r="X2104" s="1363"/>
      <c r="Y2104" s="1391"/>
      <c r="Z2104" s="1363"/>
      <c r="AA2104" s="1391"/>
      <c r="AB2104" s="1731"/>
      <c r="AC2104" s="1367"/>
      <c r="AD2104" s="1666"/>
      <c r="AE2104" s="1590"/>
      <c r="AF2104" s="1666"/>
      <c r="AG2104" s="1590"/>
      <c r="AH2104" s="1625" t="str">
        <f t="shared" si="720"/>
        <v>HK-1A</v>
      </c>
      <c r="AI2104" s="1675">
        <f t="shared" si="721"/>
        <v>6450000</v>
      </c>
      <c r="AJ2104" s="1675">
        <f t="shared" si="722"/>
        <v>6450000</v>
      </c>
      <c r="AK2104" s="1520">
        <f t="shared" si="725"/>
        <v>0</v>
      </c>
      <c r="AL2104" s="2210" t="str">
        <f t="shared" si="726"/>
        <v>Lunas</v>
      </c>
      <c r="AM2104" s="1666"/>
      <c r="AN2104" s="1590"/>
      <c r="AO2104"/>
      <c r="AP2104"/>
      <c r="AQ2104" s="1128"/>
      <c r="AR2104" s="1173"/>
      <c r="AT2104" s="1173"/>
      <c r="AV2104" s="1173"/>
      <c r="AX2104" s="1173"/>
      <c r="AY2104" s="1176"/>
      <c r="AZ2104" s="1173"/>
    </row>
    <row r="2105" spans="1:52" s="2" customFormat="1" x14ac:dyDescent="0.25">
      <c r="A2105" s="694">
        <v>1936</v>
      </c>
      <c r="B2105" s="709">
        <v>8</v>
      </c>
      <c r="C2105" s="716">
        <v>203206050008</v>
      </c>
      <c r="D2105" s="701" t="s">
        <v>2599</v>
      </c>
      <c r="E2105" s="264" t="s">
        <v>2592</v>
      </c>
      <c r="F2105" s="175">
        <v>2020</v>
      </c>
      <c r="G2105" s="360" t="s">
        <v>1483</v>
      </c>
      <c r="H2105" s="264" t="s">
        <v>2551</v>
      </c>
      <c r="I2105" s="264" t="s">
        <v>2552</v>
      </c>
      <c r="J2105" s="1359">
        <v>2700000</v>
      </c>
      <c r="K2105" s="1523">
        <v>44071.882800925901</v>
      </c>
      <c r="L2105" s="1359">
        <v>3750000</v>
      </c>
      <c r="M2105" s="1523">
        <v>44071.882800925901</v>
      </c>
      <c r="N2105" s="1731"/>
      <c r="O2105" s="1367"/>
      <c r="P2105" s="1731"/>
      <c r="Q2105" s="1367"/>
      <c r="R2105" s="1363"/>
      <c r="S2105" s="1563"/>
      <c r="T2105" s="1363"/>
      <c r="U2105" s="1391"/>
      <c r="V2105" s="1363"/>
      <c r="W2105" s="1391"/>
      <c r="X2105" s="1363"/>
      <c r="Y2105" s="1391"/>
      <c r="Z2105" s="1363"/>
      <c r="AA2105" s="1391"/>
      <c r="AB2105" s="1731"/>
      <c r="AC2105" s="1367"/>
      <c r="AD2105" s="1666"/>
      <c r="AE2105" s="1590"/>
      <c r="AF2105" s="1666"/>
      <c r="AG2105" s="1590"/>
      <c r="AH2105" s="1625" t="str">
        <f t="shared" si="720"/>
        <v>HK-1A</v>
      </c>
      <c r="AI2105" s="1675">
        <f t="shared" si="721"/>
        <v>6450000</v>
      </c>
      <c r="AJ2105" s="1675">
        <f t="shared" si="722"/>
        <v>6450000</v>
      </c>
      <c r="AK2105" s="1520">
        <f t="shared" si="725"/>
        <v>0</v>
      </c>
      <c r="AL2105" s="2210" t="str">
        <f t="shared" si="726"/>
        <v>Lunas</v>
      </c>
      <c r="AM2105" s="1666"/>
      <c r="AN2105" s="1590"/>
      <c r="AO2105"/>
      <c r="AP2105"/>
      <c r="AQ2105" s="1128"/>
      <c r="AR2105" s="1173"/>
      <c r="AT2105" s="1173"/>
      <c r="AV2105" s="1173"/>
      <c r="AX2105" s="1173"/>
      <c r="AY2105" s="1176"/>
      <c r="AZ2105" s="1173"/>
    </row>
    <row r="2106" spans="1:52" s="2" customFormat="1" x14ac:dyDescent="0.25">
      <c r="A2106" s="694">
        <v>1937</v>
      </c>
      <c r="B2106" s="671">
        <v>9</v>
      </c>
      <c r="C2106" s="716">
        <v>203206050009</v>
      </c>
      <c r="D2106" s="701" t="s">
        <v>2600</v>
      </c>
      <c r="E2106" s="264" t="s">
        <v>2592</v>
      </c>
      <c r="F2106" s="175">
        <v>2020</v>
      </c>
      <c r="G2106" s="360" t="s">
        <v>1483</v>
      </c>
      <c r="H2106" s="264" t="s">
        <v>2551</v>
      </c>
      <c r="I2106" s="264" t="s">
        <v>2552</v>
      </c>
      <c r="J2106" s="1359">
        <v>2700000</v>
      </c>
      <c r="K2106" s="1523">
        <v>44071.611921296302</v>
      </c>
      <c r="L2106" s="1359">
        <v>3750000</v>
      </c>
      <c r="M2106" s="1523">
        <v>44071.611921296302</v>
      </c>
      <c r="N2106" s="1731"/>
      <c r="O2106" s="1367"/>
      <c r="P2106" s="1731"/>
      <c r="Q2106" s="1367"/>
      <c r="R2106" s="1363"/>
      <c r="S2106" s="1563"/>
      <c r="T2106" s="1363"/>
      <c r="U2106" s="1391"/>
      <c r="V2106" s="1363"/>
      <c r="W2106" s="1391"/>
      <c r="X2106" s="1363"/>
      <c r="Y2106" s="1391"/>
      <c r="Z2106" s="1363"/>
      <c r="AA2106" s="1391"/>
      <c r="AB2106" s="1731"/>
      <c r="AC2106" s="1367"/>
      <c r="AD2106" s="1666"/>
      <c r="AE2106" s="1590"/>
      <c r="AF2106" s="1666"/>
      <c r="AG2106" s="1590"/>
      <c r="AH2106" s="1625" t="str">
        <f t="shared" si="720"/>
        <v>HK-1A</v>
      </c>
      <c r="AI2106" s="1675">
        <f t="shared" si="721"/>
        <v>6450000</v>
      </c>
      <c r="AJ2106" s="1675">
        <f t="shared" si="722"/>
        <v>6450000</v>
      </c>
      <c r="AK2106" s="1520">
        <f t="shared" si="725"/>
        <v>0</v>
      </c>
      <c r="AL2106" s="2210" t="str">
        <f t="shared" si="726"/>
        <v>Lunas</v>
      </c>
      <c r="AM2106" s="1666"/>
      <c r="AN2106" s="1590"/>
      <c r="AO2106"/>
      <c r="AP2106"/>
      <c r="AQ2106" s="1128"/>
      <c r="AR2106" s="1173"/>
      <c r="AT2106" s="1173"/>
      <c r="AV2106" s="1173"/>
      <c r="AX2106" s="1173"/>
      <c r="AY2106" s="1176"/>
      <c r="AZ2106" s="1173"/>
    </row>
    <row r="2107" spans="1:52" s="2" customFormat="1" x14ac:dyDescent="0.25">
      <c r="A2107" s="694">
        <v>1938</v>
      </c>
      <c r="B2107" s="709">
        <v>10</v>
      </c>
      <c r="C2107" s="716">
        <v>203206050010</v>
      </c>
      <c r="D2107" s="701" t="s">
        <v>2601</v>
      </c>
      <c r="E2107" s="264" t="s">
        <v>2592</v>
      </c>
      <c r="F2107" s="175">
        <v>2020</v>
      </c>
      <c r="G2107" s="360" t="s">
        <v>1483</v>
      </c>
      <c r="H2107" s="264" t="s">
        <v>2551</v>
      </c>
      <c r="I2107" s="264" t="s">
        <v>2552</v>
      </c>
      <c r="J2107" s="1359">
        <v>2700000</v>
      </c>
      <c r="K2107" s="1523">
        <v>44071.410127314797</v>
      </c>
      <c r="L2107" s="1359">
        <v>3750000</v>
      </c>
      <c r="M2107" s="1523">
        <v>44071.410127314797</v>
      </c>
      <c r="N2107" s="1731"/>
      <c r="O2107" s="1367"/>
      <c r="P2107" s="1731"/>
      <c r="Q2107" s="1367"/>
      <c r="R2107" s="1363"/>
      <c r="S2107" s="1563"/>
      <c r="T2107" s="1363"/>
      <c r="U2107" s="1391"/>
      <c r="V2107" s="1363"/>
      <c r="W2107" s="1391"/>
      <c r="X2107" s="1363"/>
      <c r="Y2107" s="1391"/>
      <c r="Z2107" s="1363"/>
      <c r="AA2107" s="1391"/>
      <c r="AB2107" s="1731"/>
      <c r="AC2107" s="1367"/>
      <c r="AD2107" s="1666"/>
      <c r="AE2107" s="1590"/>
      <c r="AF2107" s="1666"/>
      <c r="AG2107" s="1590"/>
      <c r="AH2107" s="1625" t="str">
        <f t="shared" si="720"/>
        <v>HK-1A</v>
      </c>
      <c r="AI2107" s="1675">
        <f t="shared" si="721"/>
        <v>6450000</v>
      </c>
      <c r="AJ2107" s="1675">
        <f t="shared" si="722"/>
        <v>6450000</v>
      </c>
      <c r="AK2107" s="1520">
        <f t="shared" si="725"/>
        <v>0</v>
      </c>
      <c r="AL2107" s="2210" t="str">
        <f t="shared" si="726"/>
        <v>Lunas</v>
      </c>
      <c r="AM2107" s="1666"/>
      <c r="AN2107" s="1590"/>
      <c r="AO2107"/>
      <c r="AP2107"/>
      <c r="AQ2107" s="1128"/>
      <c r="AR2107" s="1173"/>
      <c r="AT2107" s="1173"/>
      <c r="AV2107" s="1173"/>
      <c r="AX2107" s="1173"/>
      <c r="AY2107" s="1176"/>
      <c r="AZ2107" s="1173"/>
    </row>
    <row r="2108" spans="1:52" s="2" customFormat="1" x14ac:dyDescent="0.25">
      <c r="A2108" s="694">
        <v>1939</v>
      </c>
      <c r="B2108" s="671">
        <v>11</v>
      </c>
      <c r="C2108" s="716">
        <v>203206050011</v>
      </c>
      <c r="D2108" s="701" t="s">
        <v>2602</v>
      </c>
      <c r="E2108" s="264" t="s">
        <v>2592</v>
      </c>
      <c r="F2108" s="175">
        <v>2020</v>
      </c>
      <c r="G2108" s="360" t="s">
        <v>1483</v>
      </c>
      <c r="H2108" s="264" t="s">
        <v>2551</v>
      </c>
      <c r="I2108" s="264" t="s">
        <v>2552</v>
      </c>
      <c r="J2108" s="1359">
        <v>2700000</v>
      </c>
      <c r="K2108" s="1523">
        <v>44071.404351851903</v>
      </c>
      <c r="L2108" s="1359">
        <v>3750000</v>
      </c>
      <c r="M2108" s="1523">
        <v>44071.404351851903</v>
      </c>
      <c r="N2108" s="1731"/>
      <c r="O2108" s="1367"/>
      <c r="P2108" s="1731"/>
      <c r="Q2108" s="1367"/>
      <c r="R2108" s="1363"/>
      <c r="S2108" s="1563"/>
      <c r="T2108" s="1363"/>
      <c r="U2108" s="1391"/>
      <c r="V2108" s="1363"/>
      <c r="W2108" s="1391"/>
      <c r="X2108" s="1363"/>
      <c r="Y2108" s="1391"/>
      <c r="Z2108" s="1363"/>
      <c r="AA2108" s="1391"/>
      <c r="AB2108" s="1731"/>
      <c r="AC2108" s="1367"/>
      <c r="AD2108" s="1666"/>
      <c r="AE2108" s="1590"/>
      <c r="AF2108" s="1666"/>
      <c r="AG2108" s="1590"/>
      <c r="AH2108" s="1625" t="str">
        <f t="shared" si="720"/>
        <v>HK-1A</v>
      </c>
      <c r="AI2108" s="1675">
        <f t="shared" si="721"/>
        <v>6450000</v>
      </c>
      <c r="AJ2108" s="1675">
        <f t="shared" si="722"/>
        <v>6450000</v>
      </c>
      <c r="AK2108" s="1520">
        <f t="shared" si="725"/>
        <v>0</v>
      </c>
      <c r="AL2108" s="2210" t="str">
        <f t="shared" si="726"/>
        <v>Lunas</v>
      </c>
      <c r="AM2108" s="1666"/>
      <c r="AN2108" s="1590"/>
      <c r="AO2108"/>
      <c r="AP2108"/>
      <c r="AQ2108" s="1128"/>
      <c r="AR2108" s="1173"/>
      <c r="AT2108" s="1173"/>
      <c r="AV2108" s="1173"/>
      <c r="AX2108" s="1173"/>
      <c r="AY2108" s="1176"/>
      <c r="AZ2108" s="1173"/>
    </row>
    <row r="2109" spans="1:52" s="2" customFormat="1" x14ac:dyDescent="0.25">
      <c r="A2109" s="694">
        <v>1940</v>
      </c>
      <c r="B2109" s="709">
        <v>12</v>
      </c>
      <c r="C2109" s="716">
        <v>203206050012</v>
      </c>
      <c r="D2109" s="701" t="s">
        <v>2603</v>
      </c>
      <c r="E2109" s="264" t="s">
        <v>2592</v>
      </c>
      <c r="F2109" s="175">
        <v>2020</v>
      </c>
      <c r="G2109" s="360" t="s">
        <v>1483</v>
      </c>
      <c r="H2109" s="264" t="s">
        <v>2551</v>
      </c>
      <c r="I2109" s="264" t="s">
        <v>2552</v>
      </c>
      <c r="J2109" s="1359">
        <v>2700000</v>
      </c>
      <c r="K2109" s="1523">
        <v>44071.3773842593</v>
      </c>
      <c r="L2109" s="1359">
        <v>3750000</v>
      </c>
      <c r="M2109" s="1523">
        <v>44071.3773842593</v>
      </c>
      <c r="N2109" s="1731"/>
      <c r="O2109" s="1367"/>
      <c r="P2109" s="1731"/>
      <c r="Q2109" s="1367"/>
      <c r="R2109" s="1363"/>
      <c r="S2109" s="1563"/>
      <c r="T2109" s="1363"/>
      <c r="U2109" s="1391"/>
      <c r="V2109" s="1363"/>
      <c r="W2109" s="1391"/>
      <c r="X2109" s="1363"/>
      <c r="Y2109" s="1391"/>
      <c r="Z2109" s="1363"/>
      <c r="AA2109" s="1391"/>
      <c r="AB2109" s="1731"/>
      <c r="AC2109" s="1367"/>
      <c r="AD2109" s="1666"/>
      <c r="AE2109" s="1590"/>
      <c r="AF2109" s="1666"/>
      <c r="AG2109" s="1590"/>
      <c r="AH2109" s="1625" t="str">
        <f t="shared" si="720"/>
        <v>HK-1A</v>
      </c>
      <c r="AI2109" s="1675">
        <f t="shared" si="721"/>
        <v>6450000</v>
      </c>
      <c r="AJ2109" s="1675">
        <f t="shared" si="722"/>
        <v>6450000</v>
      </c>
      <c r="AK2109" s="1520">
        <f t="shared" si="725"/>
        <v>0</v>
      </c>
      <c r="AL2109" s="2210" t="str">
        <f t="shared" si="726"/>
        <v>Lunas</v>
      </c>
      <c r="AM2109" s="1666"/>
      <c r="AN2109" s="1590"/>
      <c r="AO2109"/>
      <c r="AP2109"/>
      <c r="AQ2109" s="1128"/>
      <c r="AR2109" s="1173"/>
      <c r="AT2109" s="1173"/>
      <c r="AV2109" s="1173"/>
      <c r="AX2109" s="1173"/>
      <c r="AY2109" s="1176"/>
      <c r="AZ2109" s="1173"/>
    </row>
    <row r="2110" spans="1:52" s="2" customFormat="1" x14ac:dyDescent="0.25">
      <c r="A2110" s="694">
        <v>1941</v>
      </c>
      <c r="B2110" s="671">
        <v>13</v>
      </c>
      <c r="C2110" s="716">
        <v>203206050013</v>
      </c>
      <c r="D2110" s="701" t="s">
        <v>2604</v>
      </c>
      <c r="E2110" s="264" t="s">
        <v>2592</v>
      </c>
      <c r="F2110" s="175">
        <v>2020</v>
      </c>
      <c r="G2110" s="360" t="s">
        <v>1483</v>
      </c>
      <c r="H2110" s="264" t="s">
        <v>2551</v>
      </c>
      <c r="I2110" s="264" t="s">
        <v>2552</v>
      </c>
      <c r="J2110" s="1359">
        <v>2700000</v>
      </c>
      <c r="K2110" s="1523">
        <v>44071.4077777778</v>
      </c>
      <c r="L2110" s="1359">
        <v>3750000</v>
      </c>
      <c r="M2110" s="1523">
        <v>44071.4077777778</v>
      </c>
      <c r="N2110" s="1731"/>
      <c r="O2110" s="1367"/>
      <c r="P2110" s="1731"/>
      <c r="Q2110" s="1367"/>
      <c r="R2110" s="1363"/>
      <c r="S2110" s="1563"/>
      <c r="T2110" s="1363"/>
      <c r="U2110" s="1391"/>
      <c r="V2110" s="1363"/>
      <c r="W2110" s="1391"/>
      <c r="X2110" s="1363"/>
      <c r="Y2110" s="1391"/>
      <c r="Z2110" s="1363"/>
      <c r="AA2110" s="1391"/>
      <c r="AB2110" s="1731"/>
      <c r="AC2110" s="1367"/>
      <c r="AD2110" s="1666"/>
      <c r="AE2110" s="1590"/>
      <c r="AF2110" s="1666"/>
      <c r="AG2110" s="1590"/>
      <c r="AH2110" s="1625" t="str">
        <f t="shared" si="720"/>
        <v>HK-1A</v>
      </c>
      <c r="AI2110" s="1675">
        <f t="shared" si="721"/>
        <v>6450000</v>
      </c>
      <c r="AJ2110" s="1675">
        <f t="shared" si="722"/>
        <v>6450000</v>
      </c>
      <c r="AK2110" s="1520">
        <f t="shared" si="725"/>
        <v>0</v>
      </c>
      <c r="AL2110" s="2210" t="str">
        <f t="shared" si="726"/>
        <v>Lunas</v>
      </c>
      <c r="AM2110" s="1666"/>
      <c r="AN2110" s="1590"/>
      <c r="AO2110"/>
      <c r="AP2110"/>
      <c r="AQ2110" s="1128"/>
      <c r="AR2110" s="1173"/>
      <c r="AT2110" s="1173"/>
      <c r="AV2110" s="1173"/>
      <c r="AX2110" s="1173"/>
      <c r="AY2110" s="1176"/>
      <c r="AZ2110" s="1173"/>
    </row>
    <row r="2111" spans="1:52" s="2" customFormat="1" x14ac:dyDescent="0.25">
      <c r="A2111" s="694">
        <v>1942</v>
      </c>
      <c r="B2111" s="709">
        <v>14</v>
      </c>
      <c r="C2111" s="716">
        <v>203206050014</v>
      </c>
      <c r="D2111" s="701" t="s">
        <v>2605</v>
      </c>
      <c r="E2111" s="264" t="s">
        <v>2592</v>
      </c>
      <c r="F2111" s="175">
        <v>2020</v>
      </c>
      <c r="G2111" s="360" t="s">
        <v>1483</v>
      </c>
      <c r="H2111" s="264" t="s">
        <v>2551</v>
      </c>
      <c r="I2111" s="264" t="s">
        <v>2552</v>
      </c>
      <c r="J2111" s="1359">
        <v>2700000</v>
      </c>
      <c r="K2111" s="1523">
        <v>44071.589247685202</v>
      </c>
      <c r="L2111" s="1359">
        <v>3750000</v>
      </c>
      <c r="M2111" s="1523">
        <v>44071.589247685202</v>
      </c>
      <c r="N2111" s="1731"/>
      <c r="O2111" s="1367"/>
      <c r="P2111" s="1731"/>
      <c r="Q2111" s="1367"/>
      <c r="R2111" s="1363"/>
      <c r="S2111" s="1563"/>
      <c r="T2111" s="1363"/>
      <c r="U2111" s="1391"/>
      <c r="V2111" s="1363"/>
      <c r="W2111" s="1391"/>
      <c r="X2111" s="1363"/>
      <c r="Y2111" s="1391"/>
      <c r="Z2111" s="1363"/>
      <c r="AA2111" s="1391"/>
      <c r="AB2111" s="1731"/>
      <c r="AC2111" s="1367"/>
      <c r="AD2111" s="1666"/>
      <c r="AE2111" s="1590"/>
      <c r="AF2111" s="1666"/>
      <c r="AG2111" s="1590"/>
      <c r="AH2111" s="1625" t="str">
        <f t="shared" si="720"/>
        <v>HK-1A</v>
      </c>
      <c r="AI2111" s="1675">
        <f t="shared" si="721"/>
        <v>6450000</v>
      </c>
      <c r="AJ2111" s="1675">
        <f t="shared" si="722"/>
        <v>6450000</v>
      </c>
      <c r="AK2111" s="1520">
        <f t="shared" si="725"/>
        <v>0</v>
      </c>
      <c r="AL2111" s="2210" t="str">
        <f t="shared" si="726"/>
        <v>Lunas</v>
      </c>
      <c r="AM2111" s="1666"/>
      <c r="AN2111" s="1590"/>
      <c r="AO2111"/>
      <c r="AP2111"/>
      <c r="AQ2111" s="1128"/>
      <c r="AR2111" s="1173"/>
      <c r="AT2111" s="1173"/>
      <c r="AV2111" s="1173"/>
      <c r="AX2111" s="1173"/>
      <c r="AY2111" s="1176"/>
      <c r="AZ2111" s="1173"/>
    </row>
    <row r="2112" spans="1:52" s="2" customFormat="1" x14ac:dyDescent="0.25">
      <c r="A2112" s="694">
        <v>1943</v>
      </c>
      <c r="B2112" s="671">
        <v>15</v>
      </c>
      <c r="C2112" s="716">
        <v>203206050015</v>
      </c>
      <c r="D2112" s="701" t="s">
        <v>2606</v>
      </c>
      <c r="E2112" s="264" t="s">
        <v>2592</v>
      </c>
      <c r="F2112" s="175">
        <v>2020</v>
      </c>
      <c r="G2112" s="360" t="s">
        <v>1483</v>
      </c>
      <c r="H2112" s="264" t="s">
        <v>2551</v>
      </c>
      <c r="I2112" s="264" t="s">
        <v>2552</v>
      </c>
      <c r="J2112" s="1359">
        <v>2700000</v>
      </c>
      <c r="K2112" s="1523">
        <v>44069.745821759301</v>
      </c>
      <c r="L2112" s="1359">
        <v>3750000</v>
      </c>
      <c r="M2112" s="1523">
        <v>44069.745821759301</v>
      </c>
      <c r="N2112" s="1731"/>
      <c r="O2112" s="1367"/>
      <c r="P2112" s="1731"/>
      <c r="Q2112" s="1367"/>
      <c r="R2112" s="1363"/>
      <c r="S2112" s="1563"/>
      <c r="T2112" s="1363"/>
      <c r="U2112" s="1391"/>
      <c r="V2112" s="1363"/>
      <c r="W2112" s="1391"/>
      <c r="X2112" s="1363"/>
      <c r="Y2112" s="1391"/>
      <c r="Z2112" s="1363"/>
      <c r="AA2112" s="1391"/>
      <c r="AB2112" s="1731"/>
      <c r="AC2112" s="1367"/>
      <c r="AD2112" s="1666"/>
      <c r="AE2112" s="1590"/>
      <c r="AF2112" s="1666"/>
      <c r="AG2112" s="1590"/>
      <c r="AH2112" s="1625" t="str">
        <f t="shared" si="720"/>
        <v>HK-1A</v>
      </c>
      <c r="AI2112" s="1675">
        <f t="shared" si="721"/>
        <v>6450000</v>
      </c>
      <c r="AJ2112" s="1675">
        <f t="shared" si="722"/>
        <v>6450000</v>
      </c>
      <c r="AK2112" s="1520">
        <f t="shared" si="725"/>
        <v>0</v>
      </c>
      <c r="AL2112" s="2210" t="str">
        <f t="shared" si="726"/>
        <v>Lunas</v>
      </c>
      <c r="AM2112" s="1666"/>
      <c r="AN2112" s="1590"/>
      <c r="AO2112"/>
      <c r="AP2112"/>
      <c r="AQ2112" s="1128"/>
      <c r="AR2112" s="1173"/>
      <c r="AT2112" s="1173"/>
      <c r="AV2112" s="1173"/>
      <c r="AX2112" s="1173"/>
      <c r="AY2112" s="1176"/>
      <c r="AZ2112" s="1173"/>
    </row>
    <row r="2113" spans="1:52" s="2" customFormat="1" x14ac:dyDescent="0.25">
      <c r="A2113" s="694">
        <v>1944</v>
      </c>
      <c r="B2113" s="709">
        <v>16</v>
      </c>
      <c r="C2113" s="716">
        <v>203206050016</v>
      </c>
      <c r="D2113" s="701" t="s">
        <v>2607</v>
      </c>
      <c r="E2113" s="264" t="s">
        <v>2608</v>
      </c>
      <c r="F2113" s="175">
        <v>2020</v>
      </c>
      <c r="G2113" s="360" t="s">
        <v>1483</v>
      </c>
      <c r="H2113" s="264" t="s">
        <v>2551</v>
      </c>
      <c r="I2113" s="264" t="s">
        <v>2552</v>
      </c>
      <c r="J2113" s="1359">
        <v>2700000</v>
      </c>
      <c r="K2113" s="1523">
        <v>44069.398773148103</v>
      </c>
      <c r="L2113" s="1359">
        <v>3750000</v>
      </c>
      <c r="M2113" s="1523">
        <v>44069.398773148103</v>
      </c>
      <c r="N2113" s="1731"/>
      <c r="O2113" s="1367"/>
      <c r="P2113" s="1731"/>
      <c r="Q2113" s="1367"/>
      <c r="R2113" s="1363"/>
      <c r="S2113" s="1563"/>
      <c r="T2113" s="1363"/>
      <c r="U2113" s="1391"/>
      <c r="V2113" s="1363"/>
      <c r="W2113" s="1391"/>
      <c r="X2113" s="1363"/>
      <c r="Y2113" s="1391"/>
      <c r="Z2113" s="1363"/>
      <c r="AA2113" s="1391"/>
      <c r="AB2113" s="1731"/>
      <c r="AC2113" s="1367"/>
      <c r="AD2113" s="1666"/>
      <c r="AE2113" s="1590"/>
      <c r="AF2113" s="1666"/>
      <c r="AG2113" s="1590"/>
      <c r="AH2113" s="1625" t="str">
        <f t="shared" si="720"/>
        <v>HK-1B</v>
      </c>
      <c r="AI2113" s="1675">
        <f t="shared" si="721"/>
        <v>6450000</v>
      </c>
      <c r="AJ2113" s="1675">
        <f t="shared" si="722"/>
        <v>6450000</v>
      </c>
      <c r="AK2113" s="1520">
        <f t="shared" si="725"/>
        <v>0</v>
      </c>
      <c r="AL2113" s="2210" t="str">
        <f t="shared" si="726"/>
        <v>Lunas</v>
      </c>
      <c r="AM2113" s="1666"/>
      <c r="AN2113" s="1590"/>
      <c r="AO2113"/>
      <c r="AP2113"/>
      <c r="AQ2113" s="1128"/>
      <c r="AR2113" s="1173"/>
      <c r="AT2113" s="1173"/>
      <c r="AV2113" s="1173"/>
      <c r="AX2113" s="1173"/>
      <c r="AY2113" s="1176"/>
      <c r="AZ2113" s="1173"/>
    </row>
    <row r="2114" spans="1:52" s="2" customFormat="1" x14ac:dyDescent="0.25">
      <c r="A2114" s="694">
        <v>1945</v>
      </c>
      <c r="B2114" s="671">
        <v>17</v>
      </c>
      <c r="C2114" s="716">
        <v>203206050017</v>
      </c>
      <c r="D2114" s="701" t="s">
        <v>2609</v>
      </c>
      <c r="E2114" s="264" t="s">
        <v>2608</v>
      </c>
      <c r="F2114" s="175">
        <v>2020</v>
      </c>
      <c r="G2114" s="360" t="s">
        <v>1483</v>
      </c>
      <c r="H2114" s="264" t="s">
        <v>2551</v>
      </c>
      <c r="I2114" s="264" t="s">
        <v>2552</v>
      </c>
      <c r="J2114" s="1359">
        <v>2700000</v>
      </c>
      <c r="K2114" s="1523">
        <v>44071.521226851903</v>
      </c>
      <c r="L2114" s="1359">
        <v>3750000</v>
      </c>
      <c r="M2114" s="1523">
        <v>44071.521226851903</v>
      </c>
      <c r="N2114" s="1731"/>
      <c r="O2114" s="1367"/>
      <c r="P2114" s="1731"/>
      <c r="Q2114" s="1367"/>
      <c r="R2114" s="1363"/>
      <c r="S2114" s="1563"/>
      <c r="T2114" s="1363"/>
      <c r="U2114" s="1391"/>
      <c r="V2114" s="1363"/>
      <c r="W2114" s="1391"/>
      <c r="X2114" s="1363"/>
      <c r="Y2114" s="1391"/>
      <c r="Z2114" s="1363"/>
      <c r="AA2114" s="1391"/>
      <c r="AB2114" s="1731"/>
      <c r="AC2114" s="1367"/>
      <c r="AD2114" s="1666"/>
      <c r="AE2114" s="1590"/>
      <c r="AF2114" s="1666"/>
      <c r="AG2114" s="1590"/>
      <c r="AH2114" s="1625" t="str">
        <f t="shared" si="720"/>
        <v>HK-1B</v>
      </c>
      <c r="AI2114" s="1675">
        <f t="shared" si="721"/>
        <v>6450000</v>
      </c>
      <c r="AJ2114" s="1675">
        <f t="shared" si="722"/>
        <v>6450000</v>
      </c>
      <c r="AK2114" s="1520">
        <f t="shared" si="725"/>
        <v>0</v>
      </c>
      <c r="AL2114" s="2210" t="str">
        <f t="shared" si="726"/>
        <v>Lunas</v>
      </c>
      <c r="AM2114" s="1666"/>
      <c r="AN2114" s="1590"/>
      <c r="AO2114"/>
      <c r="AP2114"/>
      <c r="AQ2114" s="1128"/>
      <c r="AR2114" s="1173"/>
      <c r="AT2114" s="1173"/>
      <c r="AV2114" s="1173"/>
      <c r="AX2114" s="1173"/>
      <c r="AY2114" s="1176"/>
      <c r="AZ2114" s="1173"/>
    </row>
    <row r="2115" spans="1:52" s="2" customFormat="1" x14ac:dyDescent="0.25">
      <c r="A2115" s="694">
        <v>1946</v>
      </c>
      <c r="B2115" s="709">
        <v>18</v>
      </c>
      <c r="C2115" s="716">
        <v>203206050018</v>
      </c>
      <c r="D2115" s="701" t="s">
        <v>2610</v>
      </c>
      <c r="E2115" s="264" t="s">
        <v>2608</v>
      </c>
      <c r="F2115" s="175">
        <v>2020</v>
      </c>
      <c r="G2115" s="360" t="s">
        <v>1483</v>
      </c>
      <c r="H2115" s="264" t="s">
        <v>2551</v>
      </c>
      <c r="I2115" s="264" t="s">
        <v>2552</v>
      </c>
      <c r="J2115" s="1359">
        <v>2700000</v>
      </c>
      <c r="K2115" s="1523">
        <v>44070.485127314802</v>
      </c>
      <c r="L2115" s="1359">
        <v>3750000</v>
      </c>
      <c r="M2115" s="1523">
        <v>44070.485127314802</v>
      </c>
      <c r="N2115" s="1731"/>
      <c r="O2115" s="1367"/>
      <c r="P2115" s="1731"/>
      <c r="Q2115" s="1367"/>
      <c r="R2115" s="1363"/>
      <c r="S2115" s="1563"/>
      <c r="T2115" s="1363"/>
      <c r="U2115" s="1391"/>
      <c r="V2115" s="1363"/>
      <c r="W2115" s="1391"/>
      <c r="X2115" s="1363"/>
      <c r="Y2115" s="1391"/>
      <c r="Z2115" s="1363"/>
      <c r="AA2115" s="1391"/>
      <c r="AB2115" s="1731"/>
      <c r="AC2115" s="1367"/>
      <c r="AD2115" s="1666"/>
      <c r="AE2115" s="1590"/>
      <c r="AF2115" s="1666"/>
      <c r="AG2115" s="1590"/>
      <c r="AH2115" s="1625" t="str">
        <f t="shared" si="720"/>
        <v>HK-1B</v>
      </c>
      <c r="AI2115" s="1675">
        <f t="shared" si="721"/>
        <v>6450000</v>
      </c>
      <c r="AJ2115" s="1675">
        <f t="shared" si="722"/>
        <v>6450000</v>
      </c>
      <c r="AK2115" s="1520">
        <f t="shared" si="725"/>
        <v>0</v>
      </c>
      <c r="AL2115" s="2210" t="str">
        <f t="shared" si="726"/>
        <v>Lunas</v>
      </c>
      <c r="AM2115" s="1666"/>
      <c r="AN2115" s="1590"/>
      <c r="AO2115"/>
      <c r="AP2115"/>
      <c r="AQ2115" s="1128"/>
      <c r="AR2115" s="1173"/>
      <c r="AT2115" s="1173"/>
      <c r="AV2115" s="1173"/>
      <c r="AX2115" s="1173"/>
      <c r="AY2115" s="1176"/>
      <c r="AZ2115" s="1173"/>
    </row>
    <row r="2116" spans="1:52" s="2" customFormat="1" x14ac:dyDescent="0.25">
      <c r="A2116" s="694">
        <v>1947</v>
      </c>
      <c r="B2116" s="671">
        <v>19</v>
      </c>
      <c r="C2116" s="716">
        <v>203206050019</v>
      </c>
      <c r="D2116" s="701" t="s">
        <v>2611</v>
      </c>
      <c r="E2116" s="264" t="s">
        <v>2608</v>
      </c>
      <c r="F2116" s="175">
        <v>2020</v>
      </c>
      <c r="G2116" s="360" t="s">
        <v>1483</v>
      </c>
      <c r="H2116" s="264" t="s">
        <v>2551</v>
      </c>
      <c r="I2116" s="264" t="s">
        <v>2552</v>
      </c>
      <c r="J2116" s="1359">
        <v>2700000</v>
      </c>
      <c r="K2116" s="1523">
        <v>44068.394756944399</v>
      </c>
      <c r="L2116" s="1359">
        <v>3750000</v>
      </c>
      <c r="M2116" s="1523">
        <v>44068.394756944399</v>
      </c>
      <c r="N2116" s="1731"/>
      <c r="O2116" s="1367"/>
      <c r="P2116" s="1731"/>
      <c r="Q2116" s="1367"/>
      <c r="R2116" s="1363"/>
      <c r="S2116" s="1563"/>
      <c r="T2116" s="1363"/>
      <c r="U2116" s="1391"/>
      <c r="V2116" s="1363"/>
      <c r="W2116" s="1391"/>
      <c r="X2116" s="1363"/>
      <c r="Y2116" s="1391"/>
      <c r="Z2116" s="1363"/>
      <c r="AA2116" s="1391"/>
      <c r="AB2116" s="1731"/>
      <c r="AC2116" s="1367"/>
      <c r="AD2116" s="1666"/>
      <c r="AE2116" s="1590"/>
      <c r="AF2116" s="1666"/>
      <c r="AG2116" s="1590"/>
      <c r="AH2116" s="1625" t="str">
        <f t="shared" si="720"/>
        <v>HK-1B</v>
      </c>
      <c r="AI2116" s="1675">
        <f t="shared" si="721"/>
        <v>6450000</v>
      </c>
      <c r="AJ2116" s="1675">
        <f t="shared" si="722"/>
        <v>6450000</v>
      </c>
      <c r="AK2116" s="1520">
        <f t="shared" si="725"/>
        <v>0</v>
      </c>
      <c r="AL2116" s="2210" t="str">
        <f t="shared" si="726"/>
        <v>Lunas</v>
      </c>
      <c r="AM2116" s="1666"/>
      <c r="AN2116" s="1590"/>
      <c r="AO2116"/>
      <c r="AP2116"/>
      <c r="AQ2116" s="1128"/>
      <c r="AR2116" s="1173"/>
      <c r="AT2116" s="1173"/>
      <c r="AV2116" s="1173"/>
      <c r="AX2116" s="1173"/>
      <c r="AY2116" s="1176"/>
      <c r="AZ2116" s="1173"/>
    </row>
    <row r="2117" spans="1:52" s="2" customFormat="1" x14ac:dyDescent="0.25">
      <c r="A2117" s="694">
        <v>1948</v>
      </c>
      <c r="B2117" s="709">
        <v>20</v>
      </c>
      <c r="C2117" s="716">
        <v>203206050020</v>
      </c>
      <c r="D2117" s="701" t="s">
        <v>2612</v>
      </c>
      <c r="E2117" s="264" t="s">
        <v>2608</v>
      </c>
      <c r="F2117" s="175">
        <v>2020</v>
      </c>
      <c r="G2117" s="360" t="s">
        <v>1483</v>
      </c>
      <c r="H2117" s="264" t="s">
        <v>2551</v>
      </c>
      <c r="I2117" s="264" t="s">
        <v>2552</v>
      </c>
      <c r="J2117" s="1359">
        <v>2700000</v>
      </c>
      <c r="K2117" s="1523">
        <v>44077.599074074104</v>
      </c>
      <c r="L2117" s="1359">
        <v>3750000</v>
      </c>
      <c r="M2117" s="1523">
        <v>44077.599074074104</v>
      </c>
      <c r="N2117" s="1731"/>
      <c r="O2117" s="1367"/>
      <c r="P2117" s="1731"/>
      <c r="Q2117" s="1367"/>
      <c r="R2117" s="1363"/>
      <c r="S2117" s="1563"/>
      <c r="T2117" s="1363"/>
      <c r="U2117" s="1391"/>
      <c r="V2117" s="1363"/>
      <c r="W2117" s="1391"/>
      <c r="X2117" s="1363"/>
      <c r="Y2117" s="1391"/>
      <c r="Z2117" s="1363"/>
      <c r="AA2117" s="1391"/>
      <c r="AB2117" s="1731"/>
      <c r="AC2117" s="1367"/>
      <c r="AD2117" s="1666"/>
      <c r="AE2117" s="1590"/>
      <c r="AF2117" s="1666"/>
      <c r="AG2117" s="1590"/>
      <c r="AH2117" s="1625" t="str">
        <f t="shared" si="720"/>
        <v>HK-1B</v>
      </c>
      <c r="AI2117" s="1675">
        <f t="shared" si="721"/>
        <v>6450000</v>
      </c>
      <c r="AJ2117" s="1675">
        <f t="shared" si="722"/>
        <v>6450000</v>
      </c>
      <c r="AK2117" s="1520">
        <f t="shared" si="725"/>
        <v>0</v>
      </c>
      <c r="AL2117" s="2210" t="str">
        <f t="shared" si="726"/>
        <v>Lunas</v>
      </c>
      <c r="AM2117" s="1666"/>
      <c r="AN2117" s="1590"/>
      <c r="AO2117"/>
      <c r="AP2117"/>
      <c r="AQ2117" s="1128"/>
      <c r="AR2117" s="1173"/>
      <c r="AT2117" s="1173"/>
      <c r="AV2117" s="1173"/>
      <c r="AX2117" s="1173"/>
      <c r="AY2117" s="1176"/>
      <c r="AZ2117" s="1173"/>
    </row>
    <row r="2118" spans="1:52" s="2" customFormat="1" x14ac:dyDescent="0.25">
      <c r="A2118" s="694">
        <v>1949</v>
      </c>
      <c r="B2118" s="671">
        <v>21</v>
      </c>
      <c r="C2118" s="716">
        <v>203206050021</v>
      </c>
      <c r="D2118" s="701" t="s">
        <v>2613</v>
      </c>
      <c r="E2118" s="264" t="s">
        <v>2608</v>
      </c>
      <c r="F2118" s="175">
        <v>2020</v>
      </c>
      <c r="G2118" s="360" t="s">
        <v>1483</v>
      </c>
      <c r="H2118" s="264" t="s">
        <v>2551</v>
      </c>
      <c r="I2118" s="264" t="s">
        <v>2552</v>
      </c>
      <c r="J2118" s="1359">
        <v>2700000</v>
      </c>
      <c r="K2118" s="1523">
        <v>44071.512673611098</v>
      </c>
      <c r="L2118" s="1359">
        <v>3750000</v>
      </c>
      <c r="M2118" s="1523">
        <v>44071.512673611098</v>
      </c>
      <c r="N2118" s="1731"/>
      <c r="O2118" s="1367"/>
      <c r="P2118" s="1731"/>
      <c r="Q2118" s="1367"/>
      <c r="R2118" s="1363"/>
      <c r="S2118" s="1563"/>
      <c r="T2118" s="1363"/>
      <c r="U2118" s="1391"/>
      <c r="V2118" s="1363"/>
      <c r="W2118" s="1391"/>
      <c r="X2118" s="1363"/>
      <c r="Y2118" s="1391"/>
      <c r="Z2118" s="1363"/>
      <c r="AA2118" s="1391"/>
      <c r="AB2118" s="1731"/>
      <c r="AC2118" s="1367"/>
      <c r="AD2118" s="1666"/>
      <c r="AE2118" s="1590"/>
      <c r="AF2118" s="1666"/>
      <c r="AG2118" s="1590"/>
      <c r="AH2118" s="1625" t="str">
        <f t="shared" si="720"/>
        <v>HK-1B</v>
      </c>
      <c r="AI2118" s="1675">
        <f t="shared" si="721"/>
        <v>6450000</v>
      </c>
      <c r="AJ2118" s="1675">
        <f t="shared" si="722"/>
        <v>6450000</v>
      </c>
      <c r="AK2118" s="1520">
        <f t="shared" si="725"/>
        <v>0</v>
      </c>
      <c r="AL2118" s="2210" t="str">
        <f t="shared" si="726"/>
        <v>Lunas</v>
      </c>
      <c r="AM2118" s="1666"/>
      <c r="AN2118" s="1590"/>
      <c r="AO2118"/>
      <c r="AP2118"/>
      <c r="AQ2118" s="1128"/>
      <c r="AR2118" s="1173"/>
      <c r="AT2118" s="1173"/>
      <c r="AV2118" s="1173"/>
      <c r="AX2118" s="1173"/>
      <c r="AY2118" s="1176"/>
      <c r="AZ2118" s="1173"/>
    </row>
    <row r="2119" spans="1:52" s="2" customFormat="1" x14ac:dyDescent="0.25">
      <c r="A2119" s="694">
        <v>1950</v>
      </c>
      <c r="B2119" s="709">
        <v>22</v>
      </c>
      <c r="C2119" s="716">
        <v>203206050022</v>
      </c>
      <c r="D2119" s="701" t="s">
        <v>2614</v>
      </c>
      <c r="E2119" s="264" t="s">
        <v>2608</v>
      </c>
      <c r="F2119" s="175">
        <v>2020</v>
      </c>
      <c r="G2119" s="360" t="s">
        <v>1483</v>
      </c>
      <c r="H2119" s="264" t="s">
        <v>2551</v>
      </c>
      <c r="I2119" s="264" t="s">
        <v>2552</v>
      </c>
      <c r="J2119" s="1359">
        <v>2700000</v>
      </c>
      <c r="K2119" s="1523">
        <v>44072.156863425902</v>
      </c>
      <c r="L2119" s="1359">
        <v>3750000</v>
      </c>
      <c r="M2119" s="1523">
        <v>44072.156863425902</v>
      </c>
      <c r="N2119" s="1731"/>
      <c r="O2119" s="1367"/>
      <c r="P2119" s="1731"/>
      <c r="Q2119" s="1367"/>
      <c r="R2119" s="1363"/>
      <c r="S2119" s="1563"/>
      <c r="T2119" s="1363"/>
      <c r="U2119" s="1391"/>
      <c r="V2119" s="1363"/>
      <c r="W2119" s="1391"/>
      <c r="X2119" s="1363"/>
      <c r="Y2119" s="1391"/>
      <c r="Z2119" s="1363"/>
      <c r="AA2119" s="1391"/>
      <c r="AB2119" s="1731"/>
      <c r="AC2119" s="1367"/>
      <c r="AD2119" s="1666"/>
      <c r="AE2119" s="1590"/>
      <c r="AF2119" s="1666"/>
      <c r="AG2119" s="1590"/>
      <c r="AH2119" s="1625" t="str">
        <f t="shared" si="720"/>
        <v>HK-1B</v>
      </c>
      <c r="AI2119" s="1675">
        <f t="shared" si="721"/>
        <v>6450000</v>
      </c>
      <c r="AJ2119" s="1675">
        <f t="shared" si="722"/>
        <v>6450000</v>
      </c>
      <c r="AK2119" s="1520">
        <f t="shared" si="725"/>
        <v>0</v>
      </c>
      <c r="AL2119" s="2210" t="str">
        <f t="shared" si="726"/>
        <v>Lunas</v>
      </c>
      <c r="AM2119" s="1666"/>
      <c r="AN2119" s="1590"/>
      <c r="AO2119"/>
      <c r="AP2119"/>
      <c r="AQ2119" s="1128"/>
      <c r="AR2119" s="1173"/>
      <c r="AT2119" s="1173"/>
      <c r="AV2119" s="1173"/>
      <c r="AX2119" s="1173"/>
      <c r="AY2119" s="1176"/>
      <c r="AZ2119" s="1173"/>
    </row>
    <row r="2120" spans="1:52" s="2" customFormat="1" x14ac:dyDescent="0.25">
      <c r="A2120" s="694">
        <v>1951</v>
      </c>
      <c r="B2120" s="671">
        <v>23</v>
      </c>
      <c r="C2120" s="716">
        <v>203206050023</v>
      </c>
      <c r="D2120" s="701" t="s">
        <v>2615</v>
      </c>
      <c r="E2120" s="264" t="s">
        <v>2608</v>
      </c>
      <c r="F2120" s="175">
        <v>2020</v>
      </c>
      <c r="G2120" s="360" t="s">
        <v>1483</v>
      </c>
      <c r="H2120" s="264" t="s">
        <v>2551</v>
      </c>
      <c r="I2120" s="264" t="s">
        <v>2552</v>
      </c>
      <c r="J2120" s="1359">
        <v>2700000</v>
      </c>
      <c r="K2120" s="1523">
        <v>44070.379733796297</v>
      </c>
      <c r="L2120" s="1359">
        <v>3750000</v>
      </c>
      <c r="M2120" s="1523">
        <v>44070.379733796297</v>
      </c>
      <c r="N2120" s="1731"/>
      <c r="O2120" s="1367"/>
      <c r="P2120" s="1731"/>
      <c r="Q2120" s="1367"/>
      <c r="R2120" s="1363"/>
      <c r="S2120" s="1563"/>
      <c r="T2120" s="1363"/>
      <c r="U2120" s="1391"/>
      <c r="V2120" s="1363"/>
      <c r="W2120" s="1391"/>
      <c r="X2120" s="1363"/>
      <c r="Y2120" s="1391"/>
      <c r="Z2120" s="1363"/>
      <c r="AA2120" s="1391"/>
      <c r="AB2120" s="1731"/>
      <c r="AC2120" s="1367"/>
      <c r="AD2120" s="1666"/>
      <c r="AE2120" s="1590"/>
      <c r="AF2120" s="1666"/>
      <c r="AG2120" s="1590"/>
      <c r="AH2120" s="1625" t="str">
        <f t="shared" si="720"/>
        <v>HK-1B</v>
      </c>
      <c r="AI2120" s="1675">
        <f t="shared" si="721"/>
        <v>6450000</v>
      </c>
      <c r="AJ2120" s="1675">
        <f t="shared" si="722"/>
        <v>6450000</v>
      </c>
      <c r="AK2120" s="1520">
        <f t="shared" si="725"/>
        <v>0</v>
      </c>
      <c r="AL2120" s="2210" t="str">
        <f t="shared" si="726"/>
        <v>Lunas</v>
      </c>
      <c r="AM2120" s="1666"/>
      <c r="AN2120" s="1590"/>
      <c r="AO2120"/>
      <c r="AP2120"/>
      <c r="AQ2120" s="1128"/>
      <c r="AR2120" s="1173"/>
      <c r="AT2120" s="1173"/>
      <c r="AV2120" s="1173"/>
      <c r="AX2120" s="1173"/>
      <c r="AY2120" s="1176"/>
      <c r="AZ2120" s="1173"/>
    </row>
    <row r="2121" spans="1:52" s="2" customFormat="1" x14ac:dyDescent="0.25">
      <c r="A2121" s="694">
        <v>1952</v>
      </c>
      <c r="B2121" s="709">
        <v>24</v>
      </c>
      <c r="C2121" s="716">
        <v>203206050024</v>
      </c>
      <c r="D2121" s="701" t="s">
        <v>2616</v>
      </c>
      <c r="E2121" s="264" t="s">
        <v>2608</v>
      </c>
      <c r="F2121" s="175">
        <v>2020</v>
      </c>
      <c r="G2121" s="360" t="s">
        <v>1483</v>
      </c>
      <c r="H2121" s="264" t="s">
        <v>2551</v>
      </c>
      <c r="I2121" s="264" t="s">
        <v>2552</v>
      </c>
      <c r="J2121" s="1359">
        <v>2700000</v>
      </c>
      <c r="K2121" s="1523">
        <v>44071.465057870402</v>
      </c>
      <c r="L2121" s="1359">
        <v>3750000</v>
      </c>
      <c r="M2121" s="1523">
        <v>44071.465057870402</v>
      </c>
      <c r="N2121" s="1731"/>
      <c r="O2121" s="1367"/>
      <c r="P2121" s="1731"/>
      <c r="Q2121" s="1367"/>
      <c r="R2121" s="1363"/>
      <c r="S2121" s="1563"/>
      <c r="T2121" s="1363"/>
      <c r="U2121" s="1391"/>
      <c r="V2121" s="1363"/>
      <c r="W2121" s="1391"/>
      <c r="X2121" s="1363"/>
      <c r="Y2121" s="1391"/>
      <c r="Z2121" s="1363"/>
      <c r="AA2121" s="1391"/>
      <c r="AB2121" s="1731"/>
      <c r="AC2121" s="1367"/>
      <c r="AD2121" s="1666"/>
      <c r="AE2121" s="1590"/>
      <c r="AF2121" s="1666"/>
      <c r="AG2121" s="1590"/>
      <c r="AH2121" s="1625" t="str">
        <f t="shared" si="720"/>
        <v>HK-1B</v>
      </c>
      <c r="AI2121" s="1675">
        <f t="shared" si="721"/>
        <v>6450000</v>
      </c>
      <c r="AJ2121" s="1675">
        <f t="shared" si="722"/>
        <v>6450000</v>
      </c>
      <c r="AK2121" s="1520">
        <f t="shared" si="725"/>
        <v>0</v>
      </c>
      <c r="AL2121" s="2210" t="str">
        <f t="shared" si="726"/>
        <v>Lunas</v>
      </c>
      <c r="AM2121" s="1666"/>
      <c r="AN2121" s="1590"/>
      <c r="AO2121"/>
      <c r="AP2121"/>
      <c r="AQ2121" s="1128"/>
      <c r="AR2121" s="1173"/>
      <c r="AT2121" s="1173"/>
      <c r="AV2121" s="1173"/>
      <c r="AX2121" s="1173"/>
      <c r="AY2121" s="1176"/>
      <c r="AZ2121" s="1173"/>
    </row>
    <row r="2122" spans="1:52" s="2" customFormat="1" x14ac:dyDescent="0.25">
      <c r="A2122" s="694">
        <v>1953</v>
      </c>
      <c r="B2122" s="671">
        <v>25</v>
      </c>
      <c r="C2122" s="716">
        <v>203206050025</v>
      </c>
      <c r="D2122" s="701" t="s">
        <v>2617</v>
      </c>
      <c r="E2122" s="264" t="s">
        <v>2608</v>
      </c>
      <c r="F2122" s="175">
        <v>2020</v>
      </c>
      <c r="G2122" s="360" t="s">
        <v>1483</v>
      </c>
      <c r="H2122" s="264" t="s">
        <v>2551</v>
      </c>
      <c r="I2122" s="264" t="s">
        <v>2552</v>
      </c>
      <c r="J2122" s="1359">
        <v>2700000</v>
      </c>
      <c r="K2122" s="1523">
        <v>44071.440034722204</v>
      </c>
      <c r="L2122" s="1359">
        <v>3750000</v>
      </c>
      <c r="M2122" s="1523">
        <v>44071.440034722204</v>
      </c>
      <c r="N2122" s="1731"/>
      <c r="O2122" s="1367"/>
      <c r="P2122" s="1731"/>
      <c r="Q2122" s="1367"/>
      <c r="R2122" s="1363"/>
      <c r="S2122" s="1563"/>
      <c r="T2122" s="1363"/>
      <c r="U2122" s="1391"/>
      <c r="V2122" s="1363"/>
      <c r="W2122" s="1391"/>
      <c r="X2122" s="1363"/>
      <c r="Y2122" s="1391"/>
      <c r="Z2122" s="1363"/>
      <c r="AA2122" s="1391"/>
      <c r="AB2122" s="1731"/>
      <c r="AC2122" s="1367"/>
      <c r="AD2122" s="1666"/>
      <c r="AE2122" s="1590"/>
      <c r="AF2122" s="1666"/>
      <c r="AG2122" s="1590"/>
      <c r="AH2122" s="1625" t="str">
        <f t="shared" si="720"/>
        <v>HK-1B</v>
      </c>
      <c r="AI2122" s="1675">
        <f t="shared" si="721"/>
        <v>6450000</v>
      </c>
      <c r="AJ2122" s="1675">
        <f t="shared" si="722"/>
        <v>6450000</v>
      </c>
      <c r="AK2122" s="1520">
        <f t="shared" si="725"/>
        <v>0</v>
      </c>
      <c r="AL2122" s="2210" t="str">
        <f t="shared" si="726"/>
        <v>Lunas</v>
      </c>
      <c r="AM2122" s="1666"/>
      <c r="AN2122" s="1590"/>
      <c r="AO2122"/>
      <c r="AP2122"/>
      <c r="AQ2122" s="1128"/>
      <c r="AR2122" s="1173"/>
      <c r="AT2122" s="1173"/>
      <c r="AV2122" s="1173"/>
      <c r="AX2122" s="1173"/>
      <c r="AY2122" s="1176"/>
      <c r="AZ2122" s="1173"/>
    </row>
    <row r="2123" spans="1:52" s="2" customFormat="1" x14ac:dyDescent="0.25">
      <c r="A2123" s="694">
        <v>1954</v>
      </c>
      <c r="B2123" s="709">
        <v>26</v>
      </c>
      <c r="C2123" s="716">
        <v>203206050026</v>
      </c>
      <c r="D2123" s="701" t="s">
        <v>2618</v>
      </c>
      <c r="E2123" s="264" t="s">
        <v>2608</v>
      </c>
      <c r="F2123" s="175">
        <v>2020</v>
      </c>
      <c r="G2123" s="360" t="s">
        <v>1483</v>
      </c>
      <c r="H2123" s="264" t="s">
        <v>2551</v>
      </c>
      <c r="I2123" s="264" t="s">
        <v>2552</v>
      </c>
      <c r="J2123" s="1359">
        <v>2700000</v>
      </c>
      <c r="K2123" s="1523">
        <v>44070.426388888904</v>
      </c>
      <c r="L2123" s="1359">
        <v>3750000</v>
      </c>
      <c r="M2123" s="1523">
        <v>44070.426388888904</v>
      </c>
      <c r="N2123" s="1731"/>
      <c r="O2123" s="1367"/>
      <c r="P2123" s="1731"/>
      <c r="Q2123" s="1367"/>
      <c r="R2123" s="1363"/>
      <c r="S2123" s="1563"/>
      <c r="T2123" s="1363"/>
      <c r="U2123" s="1391"/>
      <c r="V2123" s="1363"/>
      <c r="W2123" s="1391"/>
      <c r="X2123" s="1363"/>
      <c r="Y2123" s="1391"/>
      <c r="Z2123" s="1363"/>
      <c r="AA2123" s="1391"/>
      <c r="AB2123" s="1731"/>
      <c r="AC2123" s="1367"/>
      <c r="AD2123" s="1666"/>
      <c r="AE2123" s="1590"/>
      <c r="AF2123" s="1666"/>
      <c r="AG2123" s="1590"/>
      <c r="AH2123" s="1625" t="str">
        <f t="shared" si="720"/>
        <v>HK-1B</v>
      </c>
      <c r="AI2123" s="1675">
        <f t="shared" si="721"/>
        <v>6450000</v>
      </c>
      <c r="AJ2123" s="1675">
        <f t="shared" si="722"/>
        <v>6450000</v>
      </c>
      <c r="AK2123" s="1520">
        <f t="shared" si="725"/>
        <v>0</v>
      </c>
      <c r="AL2123" s="2210" t="str">
        <f t="shared" si="726"/>
        <v>Lunas</v>
      </c>
      <c r="AM2123" s="1666"/>
      <c r="AN2123" s="1590"/>
      <c r="AO2123"/>
      <c r="AP2123"/>
      <c r="AQ2123" s="1128"/>
      <c r="AR2123" s="1173"/>
      <c r="AT2123" s="1173"/>
      <c r="AV2123" s="1173"/>
      <c r="AX2123" s="1173"/>
      <c r="AY2123" s="1176"/>
      <c r="AZ2123" s="1173"/>
    </row>
    <row r="2124" spans="1:52" s="2" customFormat="1" x14ac:dyDescent="0.25">
      <c r="A2124" s="694">
        <v>1955</v>
      </c>
      <c r="B2124" s="671">
        <v>27</v>
      </c>
      <c r="C2124" s="716">
        <v>203206050027</v>
      </c>
      <c r="D2124" s="701" t="s">
        <v>2619</v>
      </c>
      <c r="E2124" s="264" t="s">
        <v>2608</v>
      </c>
      <c r="F2124" s="175">
        <v>2020</v>
      </c>
      <c r="G2124" s="360" t="s">
        <v>1483</v>
      </c>
      <c r="H2124" s="264" t="s">
        <v>2551</v>
      </c>
      <c r="I2124" s="264" t="s">
        <v>2552</v>
      </c>
      <c r="J2124" s="1359">
        <v>2700000</v>
      </c>
      <c r="K2124" s="1523">
        <v>44070.714259259301</v>
      </c>
      <c r="L2124" s="1359">
        <v>3750000</v>
      </c>
      <c r="M2124" s="1523">
        <v>44070.714259259301</v>
      </c>
      <c r="N2124" s="1731"/>
      <c r="O2124" s="1367"/>
      <c r="P2124" s="1731"/>
      <c r="Q2124" s="1367"/>
      <c r="R2124" s="1363"/>
      <c r="S2124" s="1563"/>
      <c r="T2124" s="1363"/>
      <c r="U2124" s="1391"/>
      <c r="V2124" s="1363"/>
      <c r="W2124" s="1391"/>
      <c r="X2124" s="1363"/>
      <c r="Y2124" s="1391"/>
      <c r="Z2124" s="1363"/>
      <c r="AA2124" s="1391"/>
      <c r="AB2124" s="1731"/>
      <c r="AC2124" s="1367"/>
      <c r="AD2124" s="1666"/>
      <c r="AE2124" s="1590"/>
      <c r="AF2124" s="1666"/>
      <c r="AG2124" s="1590"/>
      <c r="AH2124" s="1625" t="str">
        <f t="shared" si="720"/>
        <v>HK-1B</v>
      </c>
      <c r="AI2124" s="1675">
        <f t="shared" si="721"/>
        <v>6450000</v>
      </c>
      <c r="AJ2124" s="1675">
        <f t="shared" si="722"/>
        <v>6450000</v>
      </c>
      <c r="AK2124" s="1520">
        <f t="shared" si="725"/>
        <v>0</v>
      </c>
      <c r="AL2124" s="2210" t="str">
        <f t="shared" si="726"/>
        <v>Lunas</v>
      </c>
      <c r="AM2124" s="1666"/>
      <c r="AN2124" s="1590"/>
      <c r="AO2124"/>
      <c r="AP2124"/>
      <c r="AQ2124" s="1128"/>
      <c r="AR2124" s="1173"/>
      <c r="AT2124" s="1173"/>
      <c r="AV2124" s="1173"/>
      <c r="AX2124" s="1173"/>
      <c r="AY2124" s="1176"/>
      <c r="AZ2124" s="1173"/>
    </row>
    <row r="2125" spans="1:52" s="2" customFormat="1" x14ac:dyDescent="0.25">
      <c r="A2125" s="694">
        <v>1956</v>
      </c>
      <c r="B2125" s="709">
        <v>28</v>
      </c>
      <c r="C2125" s="716">
        <v>203206050028</v>
      </c>
      <c r="D2125" s="701" t="s">
        <v>2620</v>
      </c>
      <c r="E2125" s="264" t="s">
        <v>2608</v>
      </c>
      <c r="F2125" s="175">
        <v>2020</v>
      </c>
      <c r="G2125" s="360" t="s">
        <v>1483</v>
      </c>
      <c r="H2125" s="264" t="s">
        <v>2551</v>
      </c>
      <c r="I2125" s="264" t="s">
        <v>2552</v>
      </c>
      <c r="J2125" s="1359">
        <v>2700000</v>
      </c>
      <c r="K2125" s="1523">
        <v>44070.855428240699</v>
      </c>
      <c r="L2125" s="1359">
        <v>3750000</v>
      </c>
      <c r="M2125" s="1523">
        <v>44070.855428240699</v>
      </c>
      <c r="N2125" s="1731"/>
      <c r="O2125" s="1367"/>
      <c r="P2125" s="1731"/>
      <c r="Q2125" s="1367"/>
      <c r="R2125" s="1363"/>
      <c r="S2125" s="1563"/>
      <c r="T2125" s="1363"/>
      <c r="U2125" s="1391"/>
      <c r="V2125" s="1363"/>
      <c r="W2125" s="1391"/>
      <c r="X2125" s="1363"/>
      <c r="Y2125" s="1391"/>
      <c r="Z2125" s="1363"/>
      <c r="AA2125" s="1391"/>
      <c r="AB2125" s="1731"/>
      <c r="AC2125" s="1367"/>
      <c r="AD2125" s="1666"/>
      <c r="AE2125" s="1590"/>
      <c r="AF2125" s="1666"/>
      <c r="AG2125" s="1590"/>
      <c r="AH2125" s="1625" t="str">
        <f t="shared" si="720"/>
        <v>HK-1B</v>
      </c>
      <c r="AI2125" s="1675">
        <f t="shared" si="721"/>
        <v>6450000</v>
      </c>
      <c r="AJ2125" s="1675">
        <f t="shared" si="722"/>
        <v>6450000</v>
      </c>
      <c r="AK2125" s="1520">
        <f t="shared" si="725"/>
        <v>0</v>
      </c>
      <c r="AL2125" s="2210" t="str">
        <f t="shared" si="726"/>
        <v>Lunas</v>
      </c>
      <c r="AM2125" s="1666"/>
      <c r="AN2125" s="1590"/>
      <c r="AO2125"/>
      <c r="AP2125"/>
      <c r="AQ2125" s="1128"/>
      <c r="AR2125" s="1173"/>
      <c r="AT2125" s="1173"/>
      <c r="AV2125" s="1173"/>
      <c r="AX2125" s="1173"/>
      <c r="AY2125" s="1176"/>
      <c r="AZ2125" s="1173"/>
    </row>
    <row r="2126" spans="1:52" s="2" customFormat="1" x14ac:dyDescent="0.25">
      <c r="A2126" s="694">
        <v>1957</v>
      </c>
      <c r="B2126" s="671">
        <v>29</v>
      </c>
      <c r="C2126" s="716">
        <v>203206050029</v>
      </c>
      <c r="D2126" s="701" t="s">
        <v>2621</v>
      </c>
      <c r="E2126" s="264" t="s">
        <v>2608</v>
      </c>
      <c r="F2126" s="175">
        <v>2020</v>
      </c>
      <c r="G2126" s="360" t="s">
        <v>1483</v>
      </c>
      <c r="H2126" s="264" t="s">
        <v>2551</v>
      </c>
      <c r="I2126" s="264" t="s">
        <v>2552</v>
      </c>
      <c r="J2126" s="1359">
        <v>2700000</v>
      </c>
      <c r="K2126" s="1523">
        <v>44071.449872685203</v>
      </c>
      <c r="L2126" s="1359">
        <v>3750000</v>
      </c>
      <c r="M2126" s="1523">
        <v>44071.449872685203</v>
      </c>
      <c r="N2126" s="1731"/>
      <c r="O2126" s="1367"/>
      <c r="P2126" s="1731"/>
      <c r="Q2126" s="1367"/>
      <c r="R2126" s="1363"/>
      <c r="S2126" s="1563"/>
      <c r="T2126" s="1363"/>
      <c r="U2126" s="1391"/>
      <c r="V2126" s="1363"/>
      <c r="W2126" s="1391"/>
      <c r="X2126" s="1363"/>
      <c r="Y2126" s="1391"/>
      <c r="Z2126" s="1363"/>
      <c r="AA2126" s="1391"/>
      <c r="AB2126" s="1731"/>
      <c r="AC2126" s="1367"/>
      <c r="AD2126" s="1666"/>
      <c r="AE2126" s="1590"/>
      <c r="AF2126" s="1666"/>
      <c r="AG2126" s="1590"/>
      <c r="AH2126" s="1625" t="str">
        <f t="shared" si="720"/>
        <v>HK-1B</v>
      </c>
      <c r="AI2126" s="1675">
        <f t="shared" si="721"/>
        <v>6450000</v>
      </c>
      <c r="AJ2126" s="1675">
        <f t="shared" si="722"/>
        <v>6450000</v>
      </c>
      <c r="AK2126" s="1520">
        <f t="shared" si="725"/>
        <v>0</v>
      </c>
      <c r="AL2126" s="2210" t="str">
        <f t="shared" si="726"/>
        <v>Lunas</v>
      </c>
      <c r="AM2126" s="1666"/>
      <c r="AN2126" s="1590"/>
      <c r="AO2126"/>
      <c r="AP2126"/>
      <c r="AQ2126" s="1128"/>
      <c r="AR2126" s="1173"/>
      <c r="AT2126" s="1173"/>
      <c r="AV2126" s="1173"/>
      <c r="AX2126" s="1173"/>
      <c r="AY2126" s="1176"/>
      <c r="AZ2126" s="1173"/>
    </row>
    <row r="2127" spans="1:52" s="2" customFormat="1" x14ac:dyDescent="0.25">
      <c r="A2127" s="694">
        <v>1958</v>
      </c>
      <c r="B2127" s="709">
        <v>30</v>
      </c>
      <c r="C2127" s="716">
        <v>203206050030</v>
      </c>
      <c r="D2127" s="701" t="s">
        <v>2622</v>
      </c>
      <c r="E2127" s="264" t="s">
        <v>2608</v>
      </c>
      <c r="F2127" s="175">
        <v>2020</v>
      </c>
      <c r="G2127" s="360" t="s">
        <v>1483</v>
      </c>
      <c r="H2127" s="264" t="s">
        <v>2551</v>
      </c>
      <c r="I2127" s="264" t="s">
        <v>2552</v>
      </c>
      <c r="J2127" s="1359">
        <v>2700000</v>
      </c>
      <c r="K2127" s="1523">
        <v>44070.390104166698</v>
      </c>
      <c r="L2127" s="1359">
        <v>3750000</v>
      </c>
      <c r="M2127" s="1523">
        <v>44070.390104166698</v>
      </c>
      <c r="N2127" s="1731"/>
      <c r="O2127" s="1367"/>
      <c r="P2127" s="1731"/>
      <c r="Q2127" s="1367"/>
      <c r="R2127" s="1363"/>
      <c r="S2127" s="1563"/>
      <c r="T2127" s="1363"/>
      <c r="U2127" s="1391"/>
      <c r="V2127" s="1363"/>
      <c r="W2127" s="1391"/>
      <c r="X2127" s="1363"/>
      <c r="Y2127" s="1391"/>
      <c r="Z2127" s="1363"/>
      <c r="AA2127" s="1391"/>
      <c r="AB2127" s="1731"/>
      <c r="AC2127" s="1367"/>
      <c r="AD2127" s="1666"/>
      <c r="AE2127" s="1590"/>
      <c r="AF2127" s="1666"/>
      <c r="AG2127" s="1590"/>
      <c r="AH2127" s="1625" t="str">
        <f t="shared" si="720"/>
        <v>HK-1B</v>
      </c>
      <c r="AI2127" s="1675">
        <f t="shared" si="721"/>
        <v>6450000</v>
      </c>
      <c r="AJ2127" s="1675">
        <f t="shared" si="722"/>
        <v>6450000</v>
      </c>
      <c r="AK2127" s="1520">
        <f t="shared" si="725"/>
        <v>0</v>
      </c>
      <c r="AL2127" s="2210" t="str">
        <f t="shared" si="726"/>
        <v>Lunas</v>
      </c>
      <c r="AM2127" s="1666"/>
      <c r="AN2127" s="1590"/>
      <c r="AO2127"/>
      <c r="AP2127"/>
      <c r="AQ2127" s="1128"/>
      <c r="AR2127" s="1173"/>
      <c r="AT2127" s="1173"/>
      <c r="AV2127" s="1173"/>
      <c r="AX2127" s="1173"/>
      <c r="AY2127" s="1176"/>
      <c r="AZ2127" s="1173"/>
    </row>
    <row r="2128" spans="1:52" x14ac:dyDescent="0.25">
      <c r="A2128" s="725"/>
      <c r="B2128" s="725"/>
      <c r="C2128" s="33"/>
      <c r="D2128" s="123"/>
      <c r="H2128" s="124"/>
      <c r="I2128" s="124"/>
      <c r="J2128" s="1212"/>
      <c r="P2128" s="761"/>
      <c r="Q2128" s="1089"/>
      <c r="S2128" s="1375"/>
      <c r="AH2128">
        <f t="shared" si="720"/>
        <v>0</v>
      </c>
    </row>
    <row r="2129" spans="1:52" s="2" customFormat="1" x14ac:dyDescent="0.25">
      <c r="A2129" s="625" t="s">
        <v>2623</v>
      </c>
      <c r="B2129" s="625"/>
      <c r="C2129" s="366"/>
      <c r="D2129" s="625"/>
      <c r="E2129" s="198" t="s">
        <v>1096</v>
      </c>
      <c r="F2129" s="199" t="s">
        <v>1096</v>
      </c>
      <c r="G2129" s="565">
        <v>3750000</v>
      </c>
      <c r="H2129" s="147" t="str">
        <f>IFERROR(VLOOKUP(C2129,Tlus,3,FALSE),"   ")</f>
        <v xml:space="preserve">   </v>
      </c>
      <c r="I2129" s="147" t="str">
        <f>IFERROR(VLOOKUP(C2129,Wis,4,FALSE),"   ")</f>
        <v xml:space="preserve">   </v>
      </c>
      <c r="J2129" s="2035">
        <v>2700000</v>
      </c>
      <c r="K2129" s="2036"/>
      <c r="L2129" s="2163" t="s">
        <v>1049</v>
      </c>
      <c r="M2129" s="2164" t="s">
        <v>1463</v>
      </c>
      <c r="N2129" s="2163" t="s">
        <v>1051</v>
      </c>
      <c r="O2129" s="2164" t="s">
        <v>1464</v>
      </c>
      <c r="P2129" s="2016" t="s">
        <v>1053</v>
      </c>
      <c r="Q2129" s="1438" t="s">
        <v>1466</v>
      </c>
      <c r="R2129" s="2016" t="s">
        <v>1055</v>
      </c>
      <c r="S2129" s="1438" t="s">
        <v>1468</v>
      </c>
      <c r="T2129" s="2016" t="s">
        <v>1057</v>
      </c>
      <c r="U2129" s="1438" t="s">
        <v>1470</v>
      </c>
      <c r="V2129" s="2016" t="s">
        <v>1059</v>
      </c>
      <c r="W2129" s="1438" t="s">
        <v>1718</v>
      </c>
      <c r="X2129" s="1582" t="s">
        <v>1061</v>
      </c>
      <c r="Y2129" s="1438" t="s">
        <v>1719</v>
      </c>
      <c r="Z2129" s="1582" t="s">
        <v>1063</v>
      </c>
      <c r="AA2129" s="1438" t="s">
        <v>1980</v>
      </c>
      <c r="AB2129" s="2177">
        <v>1000000</v>
      </c>
      <c r="AC2129" s="2178" t="s">
        <v>2015</v>
      </c>
      <c r="AD2129" s="1450">
        <v>1200000</v>
      </c>
      <c r="AE2129" s="1663" t="s">
        <v>2016</v>
      </c>
      <c r="AF2129" s="1450">
        <v>1600000</v>
      </c>
      <c r="AG2129" s="1663" t="s">
        <v>1326</v>
      </c>
      <c r="AH2129" s="1408" t="str">
        <f t="shared" si="720"/>
        <v>#</v>
      </c>
      <c r="AI2129" s="1512"/>
      <c r="AJ2129" s="1409"/>
      <c r="AK2129" s="1409"/>
      <c r="AL2129" s="1513"/>
      <c r="AM2129" s="1450">
        <v>500000</v>
      </c>
      <c r="AN2129" s="1663" t="s">
        <v>22</v>
      </c>
      <c r="AO2129"/>
      <c r="AP2129"/>
      <c r="AQ2129" s="1128"/>
      <c r="AR2129" s="1173"/>
      <c r="AT2129" s="1173"/>
      <c r="AV2129" s="1173"/>
      <c r="AX2129" s="1173"/>
      <c r="AY2129" s="1176"/>
      <c r="AZ2129" s="1173"/>
    </row>
    <row r="2130" spans="1:52" s="2" customFormat="1" x14ac:dyDescent="0.25">
      <c r="A2130" s="694">
        <v>1959</v>
      </c>
      <c r="B2130" s="671">
        <v>1</v>
      </c>
      <c r="C2130" s="716">
        <v>203206020001</v>
      </c>
      <c r="D2130" s="701" t="s">
        <v>2624</v>
      </c>
      <c r="E2130" s="264" t="s">
        <v>2625</v>
      </c>
      <c r="F2130" s="175">
        <v>2020</v>
      </c>
      <c r="G2130" s="360" t="s">
        <v>1483</v>
      </c>
      <c r="H2130" s="264" t="s">
        <v>2551</v>
      </c>
      <c r="I2130" s="264" t="s">
        <v>2552</v>
      </c>
      <c r="J2130" s="1359">
        <v>2700000</v>
      </c>
      <c r="K2130" s="1523">
        <v>44069</v>
      </c>
      <c r="L2130" s="1359">
        <v>3750000</v>
      </c>
      <c r="M2130" s="1523">
        <v>44069</v>
      </c>
      <c r="N2130" s="1731" t="str">
        <f>IFERROR(VLOOKUP(C2130,BSP,3,FALSE),"  ")</f>
        <v xml:space="preserve">  </v>
      </c>
      <c r="O2130" s="1367" t="str">
        <f>IFERROR((VLOOKUP(C2130,BSP,4,FALSE)),"  ")</f>
        <v xml:space="preserve">  </v>
      </c>
      <c r="P2130" s="1731"/>
      <c r="Q2130" s="1367"/>
      <c r="R2130" s="1363"/>
      <c r="S2130" s="1563"/>
      <c r="T2130" s="1363"/>
      <c r="U2130" s="1391"/>
      <c r="V2130" s="1363"/>
      <c r="W2130" s="1391"/>
      <c r="X2130" s="1363"/>
      <c r="Y2130" s="1391"/>
      <c r="Z2130" s="1363"/>
      <c r="AA2130" s="1391"/>
      <c r="AB2130" s="1666"/>
      <c r="AC2130" s="1590"/>
      <c r="AD2130" s="1666"/>
      <c r="AE2130" s="1590"/>
      <c r="AF2130" s="1666"/>
      <c r="AG2130" s="1590"/>
      <c r="AH2130" s="1625" t="str">
        <f t="shared" si="720"/>
        <v>PBA-1</v>
      </c>
      <c r="AI2130" s="1675">
        <f t="shared" ref="AI2130:AI2149" si="727">SUM(J2130,L2130,N2130,P2130,R2130,T2130,V2130,X2130,Z2130,AB2130,AD2130,AF2130,AM2130)</f>
        <v>6450000</v>
      </c>
      <c r="AJ2130" s="1675">
        <f t="shared" ref="AJ2130:AJ2149" si="728">(COUNT(L2130,N2130,P2130,R2130,T2130,V2130,X2130,Z2130)*$G$1507)+(COUNT(J2130)*$J$1507)+(COUNT(AB2130)*$AB$1507)+(COUNT(AD2130)*$AD$1507)+(COUNT(AF2130)*$AF$1507)+(COUNT(AM2130)*$AM$1507)</f>
        <v>6450000</v>
      </c>
      <c r="AK2130" s="1520">
        <f t="shared" ref="AK2130" si="729">AJ2130-AI2130</f>
        <v>0</v>
      </c>
      <c r="AL2130" s="2187" t="str">
        <f t="shared" ref="AL2130" si="730">IF(AK2130=0,"Lunas","Cek")</f>
        <v>Lunas</v>
      </c>
      <c r="AM2130" s="1666"/>
      <c r="AN2130" s="1590"/>
      <c r="AO2130"/>
      <c r="AP2130"/>
      <c r="AQ2130" s="1128"/>
      <c r="AR2130" s="1173"/>
      <c r="AT2130" s="1173"/>
      <c r="AV2130" s="1173"/>
      <c r="AX2130" s="1173"/>
      <c r="AY2130" s="1176"/>
      <c r="AZ2130" s="1173"/>
    </row>
    <row r="2131" spans="1:52" s="2" customFormat="1" x14ac:dyDescent="0.25">
      <c r="A2131" s="694">
        <v>1960</v>
      </c>
      <c r="B2131" s="671">
        <v>2</v>
      </c>
      <c r="C2131" s="716">
        <v>203206020002</v>
      </c>
      <c r="D2131" s="701" t="s">
        <v>2626</v>
      </c>
      <c r="E2131" s="264" t="s">
        <v>2625</v>
      </c>
      <c r="F2131" s="175">
        <v>2020</v>
      </c>
      <c r="G2131" s="360" t="s">
        <v>1483</v>
      </c>
      <c r="H2131" s="264" t="s">
        <v>2551</v>
      </c>
      <c r="I2131" s="264" t="s">
        <v>2552</v>
      </c>
      <c r="J2131" s="1359">
        <v>2700000</v>
      </c>
      <c r="K2131" s="1523">
        <v>44068.374710648102</v>
      </c>
      <c r="L2131" s="1359">
        <v>3750000</v>
      </c>
      <c r="M2131" s="1523">
        <v>44068.374710648102</v>
      </c>
      <c r="N2131" s="1731"/>
      <c r="O2131" s="1367"/>
      <c r="P2131" s="1731"/>
      <c r="Q2131" s="1367"/>
      <c r="R2131" s="1363"/>
      <c r="S2131" s="1563"/>
      <c r="T2131" s="1363"/>
      <c r="U2131" s="1391"/>
      <c r="V2131" s="1363"/>
      <c r="W2131" s="1391"/>
      <c r="X2131" s="1363"/>
      <c r="Y2131" s="1391"/>
      <c r="Z2131" s="1363"/>
      <c r="AA2131" s="1391"/>
      <c r="AB2131" s="1731"/>
      <c r="AC2131" s="1367"/>
      <c r="AD2131" s="1666"/>
      <c r="AE2131" s="1590"/>
      <c r="AF2131" s="1666"/>
      <c r="AG2131" s="1590"/>
      <c r="AH2131" s="1625" t="str">
        <f t="shared" si="720"/>
        <v>PBA-1</v>
      </c>
      <c r="AI2131" s="1675">
        <f t="shared" si="727"/>
        <v>6450000</v>
      </c>
      <c r="AJ2131" s="1675">
        <f t="shared" si="728"/>
        <v>6450000</v>
      </c>
      <c r="AK2131" s="1520">
        <f t="shared" ref="AK2131:AK2149" si="731">AJ2131-AI2131</f>
        <v>0</v>
      </c>
      <c r="AL2131" s="2210" t="str">
        <f t="shared" ref="AL2131:AL2149" si="732">IF(AK2131=0,"Lunas","Cek")</f>
        <v>Lunas</v>
      </c>
      <c r="AM2131" s="1666"/>
      <c r="AN2131" s="1590"/>
      <c r="AO2131"/>
      <c r="AP2131"/>
      <c r="AQ2131" s="1128"/>
      <c r="AR2131" s="1173"/>
      <c r="AT2131" s="1173"/>
      <c r="AV2131" s="1173"/>
      <c r="AX2131" s="1173"/>
      <c r="AY2131" s="1176"/>
      <c r="AZ2131" s="1173"/>
    </row>
    <row r="2132" spans="1:52" s="2" customFormat="1" x14ac:dyDescent="0.25">
      <c r="A2132" s="694">
        <v>1961</v>
      </c>
      <c r="B2132" s="671">
        <v>3</v>
      </c>
      <c r="C2132" s="716">
        <v>203206020003</v>
      </c>
      <c r="D2132" s="701" t="s">
        <v>2627</v>
      </c>
      <c r="E2132" s="264" t="s">
        <v>2625</v>
      </c>
      <c r="F2132" s="175">
        <v>2020</v>
      </c>
      <c r="G2132" s="360" t="s">
        <v>1483</v>
      </c>
      <c r="H2132" s="264" t="s">
        <v>2551</v>
      </c>
      <c r="I2132" s="264" t="s">
        <v>2552</v>
      </c>
      <c r="J2132" s="1359">
        <v>2700000</v>
      </c>
      <c r="K2132" s="1523">
        <v>44070.444699074098</v>
      </c>
      <c r="L2132" s="1359">
        <v>3750000</v>
      </c>
      <c r="M2132" s="1523">
        <v>44070.444699074098</v>
      </c>
      <c r="N2132" s="1731"/>
      <c r="O2132" s="1367"/>
      <c r="P2132" s="1731"/>
      <c r="Q2132" s="1367"/>
      <c r="R2132" s="1363"/>
      <c r="S2132" s="1563"/>
      <c r="T2132" s="1363"/>
      <c r="U2132" s="1391"/>
      <c r="V2132" s="1363"/>
      <c r="W2132" s="1391"/>
      <c r="X2132" s="1363"/>
      <c r="Y2132" s="1391"/>
      <c r="Z2132" s="1363"/>
      <c r="AA2132" s="1391"/>
      <c r="AB2132" s="1731"/>
      <c r="AC2132" s="1367"/>
      <c r="AD2132" s="1666"/>
      <c r="AE2132" s="1590"/>
      <c r="AF2132" s="1666"/>
      <c r="AG2132" s="1590"/>
      <c r="AH2132" s="1625" t="str">
        <f t="shared" si="720"/>
        <v>PBA-1</v>
      </c>
      <c r="AI2132" s="1675">
        <f t="shared" si="727"/>
        <v>6450000</v>
      </c>
      <c r="AJ2132" s="1675">
        <f t="shared" si="728"/>
        <v>6450000</v>
      </c>
      <c r="AK2132" s="1520">
        <f t="shared" si="731"/>
        <v>0</v>
      </c>
      <c r="AL2132" s="2210" t="str">
        <f t="shared" si="732"/>
        <v>Lunas</v>
      </c>
      <c r="AM2132" s="1666"/>
      <c r="AN2132" s="1590"/>
      <c r="AO2132"/>
      <c r="AP2132"/>
      <c r="AQ2132" s="1128"/>
      <c r="AR2132" s="1173"/>
      <c r="AT2132" s="1173"/>
      <c r="AV2132" s="1173"/>
      <c r="AX2132" s="1173"/>
      <c r="AY2132" s="1176"/>
      <c r="AZ2132" s="1173"/>
    </row>
    <row r="2133" spans="1:52" s="2" customFormat="1" x14ac:dyDescent="0.25">
      <c r="A2133" s="694">
        <v>1962</v>
      </c>
      <c r="B2133" s="671">
        <v>4</v>
      </c>
      <c r="C2133" s="716">
        <v>203206020004</v>
      </c>
      <c r="D2133" s="701" t="s">
        <v>2628</v>
      </c>
      <c r="E2133" s="264" t="s">
        <v>2625</v>
      </c>
      <c r="F2133" s="175">
        <v>2020</v>
      </c>
      <c r="G2133" s="360" t="s">
        <v>1483</v>
      </c>
      <c r="H2133" s="264" t="s">
        <v>2551</v>
      </c>
      <c r="I2133" s="264" t="s">
        <v>2552</v>
      </c>
      <c r="J2133" s="1359">
        <v>2700000</v>
      </c>
      <c r="K2133" s="1523">
        <v>44071.440162036997</v>
      </c>
      <c r="L2133" s="1359">
        <v>3750000</v>
      </c>
      <c r="M2133" s="1523">
        <v>44071.440162036997</v>
      </c>
      <c r="N2133" s="1731"/>
      <c r="O2133" s="1367"/>
      <c r="P2133" s="1731"/>
      <c r="Q2133" s="1367"/>
      <c r="R2133" s="1363"/>
      <c r="S2133" s="1563"/>
      <c r="T2133" s="1363"/>
      <c r="U2133" s="1391"/>
      <c r="V2133" s="1363"/>
      <c r="W2133" s="1391"/>
      <c r="X2133" s="1363"/>
      <c r="Y2133" s="1391"/>
      <c r="Z2133" s="1363"/>
      <c r="AA2133" s="1391"/>
      <c r="AB2133" s="1731"/>
      <c r="AC2133" s="1367"/>
      <c r="AD2133" s="1666"/>
      <c r="AE2133" s="1590"/>
      <c r="AF2133" s="1666"/>
      <c r="AG2133" s="1590"/>
      <c r="AH2133" s="1625" t="str">
        <f t="shared" si="720"/>
        <v>PBA-1</v>
      </c>
      <c r="AI2133" s="1675">
        <f t="shared" si="727"/>
        <v>6450000</v>
      </c>
      <c r="AJ2133" s="1675">
        <f t="shared" si="728"/>
        <v>6450000</v>
      </c>
      <c r="AK2133" s="1520">
        <f t="shared" si="731"/>
        <v>0</v>
      </c>
      <c r="AL2133" s="2210" t="str">
        <f t="shared" si="732"/>
        <v>Lunas</v>
      </c>
      <c r="AM2133" s="1666"/>
      <c r="AN2133" s="1590"/>
      <c r="AO2133"/>
      <c r="AP2133"/>
      <c r="AQ2133" s="1128"/>
      <c r="AR2133" s="1173"/>
      <c r="AT2133" s="1173"/>
      <c r="AV2133" s="1173"/>
      <c r="AX2133" s="1173"/>
      <c r="AY2133" s="1176"/>
      <c r="AZ2133" s="1173"/>
    </row>
    <row r="2134" spans="1:52" s="2" customFormat="1" x14ac:dyDescent="0.25">
      <c r="A2134" s="694">
        <v>1963</v>
      </c>
      <c r="B2134" s="671">
        <v>5</v>
      </c>
      <c r="C2134" s="716">
        <v>203206020005</v>
      </c>
      <c r="D2134" s="701" t="s">
        <v>2629</v>
      </c>
      <c r="E2134" s="264" t="s">
        <v>2625</v>
      </c>
      <c r="F2134" s="175">
        <v>2020</v>
      </c>
      <c r="G2134" s="360" t="s">
        <v>1483</v>
      </c>
      <c r="H2134" s="264" t="s">
        <v>2551</v>
      </c>
      <c r="I2134" s="264" t="s">
        <v>2552</v>
      </c>
      <c r="J2134" s="1359">
        <v>2700000</v>
      </c>
      <c r="K2134" s="1523">
        <v>44071.475787037001</v>
      </c>
      <c r="L2134" s="1359">
        <v>3750000</v>
      </c>
      <c r="M2134" s="1523">
        <v>44071.475787037001</v>
      </c>
      <c r="N2134" s="1731"/>
      <c r="O2134" s="1367"/>
      <c r="P2134" s="1731"/>
      <c r="Q2134" s="1367"/>
      <c r="R2134" s="1363"/>
      <c r="S2134" s="1563"/>
      <c r="T2134" s="1363"/>
      <c r="U2134" s="1391"/>
      <c r="V2134" s="1363"/>
      <c r="W2134" s="1391"/>
      <c r="X2134" s="1363"/>
      <c r="Y2134" s="1391"/>
      <c r="Z2134" s="1363"/>
      <c r="AA2134" s="1391"/>
      <c r="AB2134" s="1731"/>
      <c r="AC2134" s="1367"/>
      <c r="AD2134" s="1666"/>
      <c r="AE2134" s="1590"/>
      <c r="AF2134" s="1666"/>
      <c r="AG2134" s="1590"/>
      <c r="AH2134" s="1625" t="str">
        <f t="shared" si="720"/>
        <v>PBA-1</v>
      </c>
      <c r="AI2134" s="1675">
        <f t="shared" si="727"/>
        <v>6450000</v>
      </c>
      <c r="AJ2134" s="1675">
        <f t="shared" si="728"/>
        <v>6450000</v>
      </c>
      <c r="AK2134" s="1520">
        <f t="shared" si="731"/>
        <v>0</v>
      </c>
      <c r="AL2134" s="2210" t="str">
        <f t="shared" si="732"/>
        <v>Lunas</v>
      </c>
      <c r="AM2134" s="1666"/>
      <c r="AN2134" s="1590"/>
      <c r="AO2134"/>
      <c r="AP2134"/>
      <c r="AQ2134" s="1128"/>
      <c r="AR2134" s="1173"/>
      <c r="AT2134" s="1173"/>
      <c r="AV2134" s="1173"/>
      <c r="AX2134" s="1173"/>
      <c r="AY2134" s="1176"/>
      <c r="AZ2134" s="1173"/>
    </row>
    <row r="2135" spans="1:52" s="2" customFormat="1" x14ac:dyDescent="0.25">
      <c r="A2135" s="694">
        <v>1964</v>
      </c>
      <c r="B2135" s="671">
        <v>6</v>
      </c>
      <c r="C2135" s="716">
        <v>203206020006</v>
      </c>
      <c r="D2135" s="701" t="s">
        <v>2630</v>
      </c>
      <c r="E2135" s="264" t="s">
        <v>2625</v>
      </c>
      <c r="F2135" s="175">
        <v>2020</v>
      </c>
      <c r="G2135" s="360" t="s">
        <v>1483</v>
      </c>
      <c r="H2135" s="264" t="s">
        <v>2551</v>
      </c>
      <c r="I2135" s="264" t="s">
        <v>2552</v>
      </c>
      <c r="J2135" s="1359">
        <v>2700000</v>
      </c>
      <c r="K2135" s="1523">
        <v>44071.440162036997</v>
      </c>
      <c r="L2135" s="1359">
        <v>3750000</v>
      </c>
      <c r="M2135" s="1523">
        <v>44071.440162036997</v>
      </c>
      <c r="N2135" s="1731"/>
      <c r="O2135" s="1367"/>
      <c r="P2135" s="1731"/>
      <c r="Q2135" s="1367"/>
      <c r="R2135" s="1363"/>
      <c r="S2135" s="1563"/>
      <c r="T2135" s="1363"/>
      <c r="U2135" s="1391"/>
      <c r="V2135" s="1363"/>
      <c r="W2135" s="1391"/>
      <c r="X2135" s="1363"/>
      <c r="Y2135" s="1391"/>
      <c r="Z2135" s="1363"/>
      <c r="AA2135" s="1391"/>
      <c r="AB2135" s="1731"/>
      <c r="AC2135" s="1367"/>
      <c r="AD2135" s="1666"/>
      <c r="AE2135" s="1590"/>
      <c r="AF2135" s="1666"/>
      <c r="AG2135" s="1590"/>
      <c r="AH2135" s="1625" t="str">
        <f t="shared" si="720"/>
        <v>PBA-1</v>
      </c>
      <c r="AI2135" s="1675">
        <f t="shared" si="727"/>
        <v>6450000</v>
      </c>
      <c r="AJ2135" s="1675">
        <f t="shared" si="728"/>
        <v>6450000</v>
      </c>
      <c r="AK2135" s="1520">
        <f t="shared" si="731"/>
        <v>0</v>
      </c>
      <c r="AL2135" s="2210" t="str">
        <f t="shared" si="732"/>
        <v>Lunas</v>
      </c>
      <c r="AM2135" s="1666"/>
      <c r="AN2135" s="1590"/>
      <c r="AO2135"/>
      <c r="AP2135"/>
      <c r="AQ2135" s="1128"/>
      <c r="AR2135" s="1173"/>
      <c r="AT2135" s="1173"/>
      <c r="AV2135" s="1173"/>
      <c r="AX2135" s="1173"/>
      <c r="AY2135" s="1176"/>
      <c r="AZ2135" s="1173"/>
    </row>
    <row r="2136" spans="1:52" s="2" customFormat="1" x14ac:dyDescent="0.25">
      <c r="A2136" s="694">
        <v>1965</v>
      </c>
      <c r="B2136" s="671">
        <v>7</v>
      </c>
      <c r="C2136" s="716">
        <v>203206020007</v>
      </c>
      <c r="D2136" s="701" t="s">
        <v>2631</v>
      </c>
      <c r="E2136" s="264" t="s">
        <v>2625</v>
      </c>
      <c r="F2136" s="175">
        <v>2020</v>
      </c>
      <c r="G2136" s="360" t="s">
        <v>1483</v>
      </c>
      <c r="H2136" s="264" t="s">
        <v>2551</v>
      </c>
      <c r="I2136" s="264" t="s">
        <v>2552</v>
      </c>
      <c r="J2136" s="1359">
        <v>2700000</v>
      </c>
      <c r="K2136" s="1523">
        <v>44070.854594907403</v>
      </c>
      <c r="L2136" s="1359">
        <v>3750000</v>
      </c>
      <c r="M2136" s="1523">
        <v>44070.854594907403</v>
      </c>
      <c r="N2136" s="1731"/>
      <c r="O2136" s="1367"/>
      <c r="P2136" s="1731"/>
      <c r="Q2136" s="1367"/>
      <c r="R2136" s="1363"/>
      <c r="S2136" s="1563"/>
      <c r="T2136" s="1363"/>
      <c r="U2136" s="1391"/>
      <c r="V2136" s="1363"/>
      <c r="W2136" s="1391"/>
      <c r="X2136" s="1363"/>
      <c r="Y2136" s="1391"/>
      <c r="Z2136" s="1363"/>
      <c r="AA2136" s="1391"/>
      <c r="AB2136" s="1731"/>
      <c r="AC2136" s="1367"/>
      <c r="AD2136" s="1666"/>
      <c r="AE2136" s="1590"/>
      <c r="AF2136" s="1666"/>
      <c r="AG2136" s="1590"/>
      <c r="AH2136" s="1625" t="str">
        <f t="shared" si="720"/>
        <v>PBA-1</v>
      </c>
      <c r="AI2136" s="1675">
        <f t="shared" si="727"/>
        <v>6450000</v>
      </c>
      <c r="AJ2136" s="1675">
        <f t="shared" si="728"/>
        <v>6450000</v>
      </c>
      <c r="AK2136" s="1520">
        <f t="shared" si="731"/>
        <v>0</v>
      </c>
      <c r="AL2136" s="2210" t="str">
        <f t="shared" si="732"/>
        <v>Lunas</v>
      </c>
      <c r="AM2136" s="1666"/>
      <c r="AN2136" s="1590"/>
      <c r="AO2136"/>
      <c r="AP2136"/>
      <c r="AQ2136" s="1128"/>
      <c r="AR2136" s="1173"/>
      <c r="AT2136" s="1173"/>
      <c r="AV2136" s="1173"/>
      <c r="AX2136" s="1173"/>
      <c r="AY2136" s="1176"/>
      <c r="AZ2136" s="1173"/>
    </row>
    <row r="2137" spans="1:52" s="2" customFormat="1" x14ac:dyDescent="0.25">
      <c r="A2137" s="694">
        <v>1966</v>
      </c>
      <c r="B2137" s="671">
        <v>8</v>
      </c>
      <c r="C2137" s="716">
        <v>203206020008</v>
      </c>
      <c r="D2137" s="701" t="s">
        <v>2632</v>
      </c>
      <c r="E2137" s="264" t="s">
        <v>2625</v>
      </c>
      <c r="F2137" s="175">
        <v>2020</v>
      </c>
      <c r="G2137" s="360" t="s">
        <v>1483</v>
      </c>
      <c r="H2137" s="264" t="s">
        <v>2551</v>
      </c>
      <c r="I2137" s="264" t="s">
        <v>2552</v>
      </c>
      <c r="J2137" s="1359">
        <v>2700000</v>
      </c>
      <c r="K2137" s="1523">
        <v>44070.6118055556</v>
      </c>
      <c r="L2137" s="1359">
        <v>3750000</v>
      </c>
      <c r="M2137" s="1523">
        <v>44070.6118055556</v>
      </c>
      <c r="N2137" s="1731"/>
      <c r="O2137" s="1367"/>
      <c r="P2137" s="1731"/>
      <c r="Q2137" s="1367"/>
      <c r="R2137" s="1363"/>
      <c r="S2137" s="1563"/>
      <c r="T2137" s="1363"/>
      <c r="U2137" s="1391"/>
      <c r="V2137" s="1363"/>
      <c r="W2137" s="1391"/>
      <c r="X2137" s="1363"/>
      <c r="Y2137" s="1391"/>
      <c r="Z2137" s="1363"/>
      <c r="AA2137" s="1391"/>
      <c r="AB2137" s="1731"/>
      <c r="AC2137" s="1367"/>
      <c r="AD2137" s="1666"/>
      <c r="AE2137" s="1590"/>
      <c r="AF2137" s="1666"/>
      <c r="AG2137" s="1590"/>
      <c r="AH2137" s="1625" t="str">
        <f t="shared" si="720"/>
        <v>PBA-1</v>
      </c>
      <c r="AI2137" s="1675">
        <f t="shared" si="727"/>
        <v>6450000</v>
      </c>
      <c r="AJ2137" s="1675">
        <f t="shared" si="728"/>
        <v>6450000</v>
      </c>
      <c r="AK2137" s="1520">
        <f t="shared" si="731"/>
        <v>0</v>
      </c>
      <c r="AL2137" s="2210" t="str">
        <f t="shared" si="732"/>
        <v>Lunas</v>
      </c>
      <c r="AM2137" s="1666"/>
      <c r="AN2137" s="1590"/>
      <c r="AO2137"/>
      <c r="AP2137"/>
      <c r="AQ2137" s="1128"/>
      <c r="AR2137" s="1173"/>
      <c r="AT2137" s="1173"/>
      <c r="AV2137" s="1173"/>
      <c r="AX2137" s="1173"/>
      <c r="AY2137" s="1176"/>
      <c r="AZ2137" s="1173"/>
    </row>
    <row r="2138" spans="1:52" s="2" customFormat="1" x14ac:dyDescent="0.25">
      <c r="A2138" s="694">
        <v>1967</v>
      </c>
      <c r="B2138" s="671">
        <v>9</v>
      </c>
      <c r="C2138" s="716">
        <v>203206020009</v>
      </c>
      <c r="D2138" s="701" t="s">
        <v>2633</v>
      </c>
      <c r="E2138" s="264" t="s">
        <v>2625</v>
      </c>
      <c r="F2138" s="175">
        <v>2020</v>
      </c>
      <c r="G2138" s="360" t="s">
        <v>1483</v>
      </c>
      <c r="H2138" s="264" t="s">
        <v>2551</v>
      </c>
      <c r="I2138" s="264" t="s">
        <v>2552</v>
      </c>
      <c r="J2138" s="1359">
        <v>2700000</v>
      </c>
      <c r="K2138" s="1523">
        <v>44070.713437500002</v>
      </c>
      <c r="L2138" s="1359">
        <v>3750000</v>
      </c>
      <c r="M2138" s="1523">
        <v>44070.713437500002</v>
      </c>
      <c r="N2138" s="1731"/>
      <c r="O2138" s="1367"/>
      <c r="P2138" s="1731"/>
      <c r="Q2138" s="1367"/>
      <c r="R2138" s="1363"/>
      <c r="S2138" s="1563"/>
      <c r="T2138" s="1363"/>
      <c r="U2138" s="1391"/>
      <c r="V2138" s="1363"/>
      <c r="W2138" s="1391"/>
      <c r="X2138" s="1363"/>
      <c r="Y2138" s="1391"/>
      <c r="Z2138" s="1363"/>
      <c r="AA2138" s="1391"/>
      <c r="AB2138" s="1731"/>
      <c r="AC2138" s="1367"/>
      <c r="AD2138" s="1666"/>
      <c r="AE2138" s="1590"/>
      <c r="AF2138" s="1666"/>
      <c r="AG2138" s="1590"/>
      <c r="AH2138" s="1625" t="str">
        <f t="shared" si="720"/>
        <v>PBA-1</v>
      </c>
      <c r="AI2138" s="1675">
        <f t="shared" si="727"/>
        <v>6450000</v>
      </c>
      <c r="AJ2138" s="1675">
        <f t="shared" si="728"/>
        <v>6450000</v>
      </c>
      <c r="AK2138" s="1520">
        <f t="shared" si="731"/>
        <v>0</v>
      </c>
      <c r="AL2138" s="2210" t="str">
        <f t="shared" si="732"/>
        <v>Lunas</v>
      </c>
      <c r="AM2138" s="1666"/>
      <c r="AN2138" s="1590"/>
      <c r="AO2138"/>
      <c r="AP2138"/>
      <c r="AQ2138" s="1128"/>
      <c r="AR2138" s="1173"/>
      <c r="AT2138" s="1173"/>
      <c r="AV2138" s="1173"/>
      <c r="AX2138" s="1173"/>
      <c r="AY2138" s="1176"/>
      <c r="AZ2138" s="1173"/>
    </row>
    <row r="2139" spans="1:52" s="2" customFormat="1" x14ac:dyDescent="0.25">
      <c r="A2139" s="694">
        <v>1968</v>
      </c>
      <c r="B2139" s="671">
        <v>10</v>
      </c>
      <c r="C2139" s="716">
        <v>203206020010</v>
      </c>
      <c r="D2139" s="701" t="s">
        <v>2634</v>
      </c>
      <c r="E2139" s="264" t="s">
        <v>2625</v>
      </c>
      <c r="F2139" s="175">
        <v>2020</v>
      </c>
      <c r="G2139" s="360" t="s">
        <v>1483</v>
      </c>
      <c r="H2139" s="264" t="s">
        <v>2551</v>
      </c>
      <c r="I2139" s="264" t="s">
        <v>2552</v>
      </c>
      <c r="J2139" s="1359">
        <v>2700000</v>
      </c>
      <c r="K2139" s="1523">
        <v>44071.388136574104</v>
      </c>
      <c r="L2139" s="1359">
        <v>3750000</v>
      </c>
      <c r="M2139" s="1523">
        <v>44071.388136574104</v>
      </c>
      <c r="N2139" s="1731"/>
      <c r="O2139" s="1367"/>
      <c r="P2139" s="1731"/>
      <c r="Q2139" s="1367"/>
      <c r="R2139" s="1363"/>
      <c r="S2139" s="1563"/>
      <c r="T2139" s="1363"/>
      <c r="U2139" s="1391"/>
      <c r="V2139" s="1363"/>
      <c r="W2139" s="1391"/>
      <c r="X2139" s="1363"/>
      <c r="Y2139" s="1391"/>
      <c r="Z2139" s="1363"/>
      <c r="AA2139" s="1391"/>
      <c r="AB2139" s="1731"/>
      <c r="AC2139" s="1367"/>
      <c r="AD2139" s="1666"/>
      <c r="AE2139" s="1590"/>
      <c r="AF2139" s="1666"/>
      <c r="AG2139" s="1590"/>
      <c r="AH2139" s="1625" t="str">
        <f t="shared" si="720"/>
        <v>PBA-1</v>
      </c>
      <c r="AI2139" s="1675">
        <f t="shared" si="727"/>
        <v>6450000</v>
      </c>
      <c r="AJ2139" s="1675">
        <f t="shared" si="728"/>
        <v>6450000</v>
      </c>
      <c r="AK2139" s="1520">
        <f t="shared" si="731"/>
        <v>0</v>
      </c>
      <c r="AL2139" s="2210" t="str">
        <f t="shared" si="732"/>
        <v>Lunas</v>
      </c>
      <c r="AM2139" s="1666"/>
      <c r="AN2139" s="1590"/>
      <c r="AO2139"/>
      <c r="AP2139"/>
      <c r="AQ2139" s="1128"/>
      <c r="AR2139" s="1173"/>
      <c r="AT2139" s="1173"/>
      <c r="AV2139" s="1173"/>
      <c r="AX2139" s="1173"/>
      <c r="AY2139" s="1176"/>
      <c r="AZ2139" s="1173"/>
    </row>
    <row r="2140" spans="1:52" s="2" customFormat="1" x14ac:dyDescent="0.25">
      <c r="A2140" s="694">
        <v>1969</v>
      </c>
      <c r="B2140" s="671">
        <v>11</v>
      </c>
      <c r="C2140" s="716">
        <v>203206020011</v>
      </c>
      <c r="D2140" s="701" t="s">
        <v>2635</v>
      </c>
      <c r="E2140" s="264" t="s">
        <v>2625</v>
      </c>
      <c r="F2140" s="175">
        <v>2020</v>
      </c>
      <c r="G2140" s="360" t="s">
        <v>1483</v>
      </c>
      <c r="H2140" s="264" t="s">
        <v>2551</v>
      </c>
      <c r="I2140" s="264" t="s">
        <v>2552</v>
      </c>
      <c r="J2140" s="1359">
        <v>2700000</v>
      </c>
      <c r="K2140" s="1523">
        <v>44068.472905092603</v>
      </c>
      <c r="L2140" s="1359">
        <v>3750000</v>
      </c>
      <c r="M2140" s="1523">
        <v>44068.472905092603</v>
      </c>
      <c r="N2140" s="1731"/>
      <c r="O2140" s="1367"/>
      <c r="P2140" s="1731"/>
      <c r="Q2140" s="1367"/>
      <c r="R2140" s="1363"/>
      <c r="S2140" s="1563"/>
      <c r="T2140" s="1363"/>
      <c r="U2140" s="1391"/>
      <c r="V2140" s="1363"/>
      <c r="W2140" s="1391"/>
      <c r="X2140" s="1363"/>
      <c r="Y2140" s="1391"/>
      <c r="Z2140" s="1363"/>
      <c r="AA2140" s="1391"/>
      <c r="AB2140" s="1731"/>
      <c r="AC2140" s="1367"/>
      <c r="AD2140" s="1666"/>
      <c r="AE2140" s="1590"/>
      <c r="AF2140" s="1666"/>
      <c r="AG2140" s="1590"/>
      <c r="AH2140" s="1625" t="str">
        <f t="shared" si="720"/>
        <v>PBA-1</v>
      </c>
      <c r="AI2140" s="1675">
        <f t="shared" si="727"/>
        <v>6450000</v>
      </c>
      <c r="AJ2140" s="1675">
        <f t="shared" si="728"/>
        <v>6450000</v>
      </c>
      <c r="AK2140" s="1520">
        <f t="shared" ref="AK2140:AK2144" si="733">AJ2140-AI2140</f>
        <v>0</v>
      </c>
      <c r="AL2140" s="2210" t="str">
        <f t="shared" ref="AL2140:AL2144" si="734">IF(AK2140=0,"Lunas","Cek")</f>
        <v>Lunas</v>
      </c>
      <c r="AM2140" s="1666"/>
      <c r="AN2140" s="1590"/>
      <c r="AO2140"/>
      <c r="AP2140"/>
      <c r="AQ2140" s="1128"/>
      <c r="AR2140" s="1173"/>
      <c r="AT2140" s="1173"/>
      <c r="AV2140" s="1173"/>
      <c r="AX2140" s="1173"/>
      <c r="AY2140" s="1176"/>
      <c r="AZ2140" s="1173"/>
    </row>
    <row r="2141" spans="1:52" s="2" customFormat="1" x14ac:dyDescent="0.25">
      <c r="A2141" s="694">
        <v>1970</v>
      </c>
      <c r="B2141" s="671">
        <v>12</v>
      </c>
      <c r="C2141" s="716">
        <v>203206020012</v>
      </c>
      <c r="D2141" s="701" t="s">
        <v>2636</v>
      </c>
      <c r="E2141" s="264" t="s">
        <v>2625</v>
      </c>
      <c r="F2141" s="175">
        <v>2020</v>
      </c>
      <c r="G2141" s="360" t="s">
        <v>1483</v>
      </c>
      <c r="H2141" s="264" t="s">
        <v>2551</v>
      </c>
      <c r="I2141" s="264" t="s">
        <v>2552</v>
      </c>
      <c r="J2141" s="1359">
        <v>2700000</v>
      </c>
      <c r="K2141" s="1523">
        <v>44068.868923611102</v>
      </c>
      <c r="L2141" s="1359">
        <v>3750000</v>
      </c>
      <c r="M2141" s="1523">
        <v>44068.868923611102</v>
      </c>
      <c r="N2141" s="1731"/>
      <c r="O2141" s="1367"/>
      <c r="P2141" s="1731"/>
      <c r="Q2141" s="1367"/>
      <c r="R2141" s="1363"/>
      <c r="S2141" s="1563"/>
      <c r="T2141" s="1363"/>
      <c r="U2141" s="1391"/>
      <c r="V2141" s="1363"/>
      <c r="W2141" s="1391"/>
      <c r="X2141" s="1363"/>
      <c r="Y2141" s="1391"/>
      <c r="Z2141" s="1363"/>
      <c r="AA2141" s="1391"/>
      <c r="AB2141" s="1731"/>
      <c r="AC2141" s="1367"/>
      <c r="AD2141" s="1666"/>
      <c r="AE2141" s="1590"/>
      <c r="AF2141" s="1666"/>
      <c r="AG2141" s="1590"/>
      <c r="AH2141" s="1625" t="str">
        <f t="shared" si="720"/>
        <v>PBA-1</v>
      </c>
      <c r="AI2141" s="1675">
        <f t="shared" si="727"/>
        <v>6450000</v>
      </c>
      <c r="AJ2141" s="1675">
        <f t="shared" si="728"/>
        <v>6450000</v>
      </c>
      <c r="AK2141" s="1520">
        <f t="shared" si="733"/>
        <v>0</v>
      </c>
      <c r="AL2141" s="2210" t="str">
        <f t="shared" si="734"/>
        <v>Lunas</v>
      </c>
      <c r="AM2141" s="1666"/>
      <c r="AN2141" s="1590"/>
      <c r="AO2141"/>
      <c r="AP2141"/>
      <c r="AQ2141" s="1128"/>
      <c r="AR2141" s="1173"/>
      <c r="AT2141" s="1173"/>
      <c r="AV2141" s="1173"/>
      <c r="AX2141" s="1173"/>
      <c r="AY2141" s="1176"/>
      <c r="AZ2141" s="1173"/>
    </row>
    <row r="2142" spans="1:52" s="2" customFormat="1" x14ac:dyDescent="0.25">
      <c r="A2142" s="694">
        <v>1971</v>
      </c>
      <c r="B2142" s="671">
        <v>13</v>
      </c>
      <c r="C2142" s="716">
        <v>203206020013</v>
      </c>
      <c r="D2142" s="701" t="s">
        <v>2637</v>
      </c>
      <c r="E2142" s="264" t="s">
        <v>2625</v>
      </c>
      <c r="F2142" s="175">
        <v>2020</v>
      </c>
      <c r="G2142" s="360" t="s">
        <v>1483</v>
      </c>
      <c r="H2142" s="264" t="s">
        <v>2551</v>
      </c>
      <c r="I2142" s="264" t="s">
        <v>2552</v>
      </c>
      <c r="J2142" s="1359">
        <v>2700000</v>
      </c>
      <c r="K2142" s="1523">
        <v>44070.363402777803</v>
      </c>
      <c r="L2142" s="1359">
        <v>3750000</v>
      </c>
      <c r="M2142" s="1523">
        <v>44070.363402777803</v>
      </c>
      <c r="N2142" s="1731"/>
      <c r="O2142" s="1367"/>
      <c r="P2142" s="1731"/>
      <c r="Q2142" s="1367"/>
      <c r="R2142" s="1363"/>
      <c r="S2142" s="1563"/>
      <c r="T2142" s="1363"/>
      <c r="U2142" s="1391"/>
      <c r="V2142" s="1363"/>
      <c r="W2142" s="1391"/>
      <c r="X2142" s="1363"/>
      <c r="Y2142" s="1391"/>
      <c r="Z2142" s="1363"/>
      <c r="AA2142" s="1391"/>
      <c r="AB2142" s="1731"/>
      <c r="AC2142" s="1367"/>
      <c r="AD2142" s="1666"/>
      <c r="AE2142" s="1590"/>
      <c r="AF2142" s="1666"/>
      <c r="AG2142" s="1590"/>
      <c r="AH2142" s="1625" t="str">
        <f t="shared" si="720"/>
        <v>PBA-1</v>
      </c>
      <c r="AI2142" s="1675">
        <f t="shared" si="727"/>
        <v>6450000</v>
      </c>
      <c r="AJ2142" s="1675">
        <f t="shared" si="728"/>
        <v>6450000</v>
      </c>
      <c r="AK2142" s="1520">
        <f t="shared" si="733"/>
        <v>0</v>
      </c>
      <c r="AL2142" s="2210" t="str">
        <f t="shared" si="734"/>
        <v>Lunas</v>
      </c>
      <c r="AM2142" s="1666"/>
      <c r="AN2142" s="1590"/>
      <c r="AO2142"/>
      <c r="AP2142"/>
      <c r="AQ2142" s="1128"/>
      <c r="AR2142" s="1173"/>
      <c r="AT2142" s="1173"/>
      <c r="AV2142" s="1173"/>
      <c r="AX2142" s="1173"/>
      <c r="AY2142" s="1176"/>
      <c r="AZ2142" s="1173"/>
    </row>
    <row r="2143" spans="1:52" s="2" customFormat="1" x14ac:dyDescent="0.25">
      <c r="A2143" s="694">
        <v>1972</v>
      </c>
      <c r="B2143" s="671">
        <v>14</v>
      </c>
      <c r="C2143" s="716">
        <v>203206020014</v>
      </c>
      <c r="D2143" s="701" t="s">
        <v>2638</v>
      </c>
      <c r="E2143" s="264" t="s">
        <v>2625</v>
      </c>
      <c r="F2143" s="175">
        <v>2020</v>
      </c>
      <c r="G2143" s="360" t="s">
        <v>1483</v>
      </c>
      <c r="H2143" s="264" t="s">
        <v>2551</v>
      </c>
      <c r="I2143" s="264" t="s">
        <v>2552</v>
      </c>
      <c r="J2143" s="1359">
        <v>2700000</v>
      </c>
      <c r="K2143" s="1523">
        <v>44070.805532407401</v>
      </c>
      <c r="L2143" s="1359">
        <v>3750000</v>
      </c>
      <c r="M2143" s="1523">
        <v>44070.805532407401</v>
      </c>
      <c r="N2143" s="1731"/>
      <c r="O2143" s="1367"/>
      <c r="P2143" s="1731"/>
      <c r="Q2143" s="1367"/>
      <c r="R2143" s="1363"/>
      <c r="S2143" s="1563"/>
      <c r="T2143" s="1363"/>
      <c r="U2143" s="1391"/>
      <c r="V2143" s="1363"/>
      <c r="W2143" s="1391"/>
      <c r="X2143" s="1363"/>
      <c r="Y2143" s="1391"/>
      <c r="Z2143" s="1363"/>
      <c r="AA2143" s="1391"/>
      <c r="AB2143" s="1731"/>
      <c r="AC2143" s="1367"/>
      <c r="AD2143" s="1666"/>
      <c r="AE2143" s="1590"/>
      <c r="AF2143" s="1666"/>
      <c r="AG2143" s="1590"/>
      <c r="AH2143" s="1625" t="str">
        <f t="shared" si="720"/>
        <v>PBA-1</v>
      </c>
      <c r="AI2143" s="1675">
        <f t="shared" si="727"/>
        <v>6450000</v>
      </c>
      <c r="AJ2143" s="1675">
        <f t="shared" si="728"/>
        <v>6450000</v>
      </c>
      <c r="AK2143" s="1520">
        <f t="shared" si="733"/>
        <v>0</v>
      </c>
      <c r="AL2143" s="2210" t="str">
        <f t="shared" si="734"/>
        <v>Lunas</v>
      </c>
      <c r="AM2143" s="1666"/>
      <c r="AN2143" s="1590"/>
      <c r="AO2143"/>
      <c r="AP2143"/>
      <c r="AQ2143" s="1128"/>
      <c r="AR2143" s="1173"/>
      <c r="AT2143" s="1173"/>
      <c r="AV2143" s="1173"/>
      <c r="AX2143" s="1173"/>
      <c r="AY2143" s="1176"/>
      <c r="AZ2143" s="1173"/>
    </row>
    <row r="2144" spans="1:52" s="2" customFormat="1" x14ac:dyDescent="0.25">
      <c r="A2144" s="694">
        <v>1973</v>
      </c>
      <c r="B2144" s="671">
        <v>15</v>
      </c>
      <c r="C2144" s="716">
        <v>203206020015</v>
      </c>
      <c r="D2144" s="701" t="s">
        <v>2639</v>
      </c>
      <c r="E2144" s="264" t="s">
        <v>2625</v>
      </c>
      <c r="F2144" s="175">
        <v>2020</v>
      </c>
      <c r="G2144" s="360" t="s">
        <v>1483</v>
      </c>
      <c r="H2144" s="264" t="s">
        <v>2551</v>
      </c>
      <c r="I2144" s="264" t="s">
        <v>2552</v>
      </c>
      <c r="J2144" s="1359">
        <v>2700000</v>
      </c>
      <c r="K2144" s="1523">
        <v>44041.5944675926</v>
      </c>
      <c r="L2144" s="1359">
        <v>3750000</v>
      </c>
      <c r="M2144" s="1523">
        <v>44041.5944675926</v>
      </c>
      <c r="N2144" s="1731"/>
      <c r="O2144" s="1367"/>
      <c r="P2144" s="1731"/>
      <c r="Q2144" s="1367"/>
      <c r="R2144" s="1363"/>
      <c r="S2144" s="1563"/>
      <c r="T2144" s="1363"/>
      <c r="U2144" s="1391"/>
      <c r="V2144" s="1363"/>
      <c r="W2144" s="1391"/>
      <c r="X2144" s="1363"/>
      <c r="Y2144" s="1391"/>
      <c r="Z2144" s="1363"/>
      <c r="AA2144" s="1391"/>
      <c r="AB2144" s="1731"/>
      <c r="AC2144" s="1367"/>
      <c r="AD2144" s="1666"/>
      <c r="AE2144" s="1590"/>
      <c r="AF2144" s="1666"/>
      <c r="AG2144" s="1590"/>
      <c r="AH2144" s="1625" t="str">
        <f t="shared" si="720"/>
        <v>PBA-1</v>
      </c>
      <c r="AI2144" s="1675">
        <f t="shared" si="727"/>
        <v>6450000</v>
      </c>
      <c r="AJ2144" s="1675">
        <f t="shared" si="728"/>
        <v>6450000</v>
      </c>
      <c r="AK2144" s="1520">
        <f t="shared" si="733"/>
        <v>0</v>
      </c>
      <c r="AL2144" s="2210" t="str">
        <f t="shared" si="734"/>
        <v>Lunas</v>
      </c>
      <c r="AM2144" s="1666"/>
      <c r="AN2144" s="1590"/>
      <c r="AO2144"/>
      <c r="AP2144"/>
      <c r="AQ2144" s="1128"/>
      <c r="AR2144" s="1173"/>
      <c r="AT2144" s="1173"/>
      <c r="AV2144" s="1173"/>
      <c r="AX2144" s="1173"/>
      <c r="AY2144" s="1176"/>
      <c r="AZ2144" s="1173"/>
    </row>
    <row r="2145" spans="1:52" s="2" customFormat="1" x14ac:dyDescent="0.25">
      <c r="A2145" s="694">
        <v>1974</v>
      </c>
      <c r="B2145" s="671">
        <v>16</v>
      </c>
      <c r="C2145" s="716">
        <v>203206020016</v>
      </c>
      <c r="D2145" s="701" t="s">
        <v>2640</v>
      </c>
      <c r="E2145" s="264" t="s">
        <v>2625</v>
      </c>
      <c r="F2145" s="175">
        <v>2020</v>
      </c>
      <c r="G2145" s="360" t="s">
        <v>1483</v>
      </c>
      <c r="H2145" s="264" t="s">
        <v>2551</v>
      </c>
      <c r="I2145" s="264" t="s">
        <v>2552</v>
      </c>
      <c r="J2145" s="1359">
        <v>2700000</v>
      </c>
      <c r="K2145" s="1523">
        <v>44070.828761574099</v>
      </c>
      <c r="L2145" s="1359">
        <v>3750000</v>
      </c>
      <c r="M2145" s="1523">
        <v>44070.828761574099</v>
      </c>
      <c r="N2145" s="1731"/>
      <c r="O2145" s="1367"/>
      <c r="P2145" s="1731"/>
      <c r="Q2145" s="1367"/>
      <c r="R2145" s="1363"/>
      <c r="S2145" s="1563"/>
      <c r="T2145" s="1363"/>
      <c r="U2145" s="1391"/>
      <c r="V2145" s="1363"/>
      <c r="W2145" s="1391"/>
      <c r="X2145" s="1363"/>
      <c r="Y2145" s="1391"/>
      <c r="Z2145" s="1363"/>
      <c r="AA2145" s="1391"/>
      <c r="AB2145" s="1731"/>
      <c r="AC2145" s="1367"/>
      <c r="AD2145" s="1666"/>
      <c r="AE2145" s="1590"/>
      <c r="AF2145" s="1666"/>
      <c r="AG2145" s="1590"/>
      <c r="AH2145" s="1625" t="str">
        <f t="shared" si="720"/>
        <v>PBA-1</v>
      </c>
      <c r="AI2145" s="1675">
        <f t="shared" si="727"/>
        <v>6450000</v>
      </c>
      <c r="AJ2145" s="1675">
        <f t="shared" si="728"/>
        <v>6450000</v>
      </c>
      <c r="AK2145" s="1520">
        <f t="shared" si="731"/>
        <v>0</v>
      </c>
      <c r="AL2145" s="2210" t="str">
        <f t="shared" si="732"/>
        <v>Lunas</v>
      </c>
      <c r="AM2145" s="1666"/>
      <c r="AN2145" s="1590"/>
      <c r="AO2145"/>
      <c r="AP2145"/>
      <c r="AQ2145" s="1128"/>
      <c r="AR2145" s="1173"/>
      <c r="AT2145" s="1173"/>
      <c r="AV2145" s="1173"/>
      <c r="AX2145" s="1173"/>
      <c r="AY2145" s="1176"/>
      <c r="AZ2145" s="1173"/>
    </row>
    <row r="2146" spans="1:52" s="2" customFormat="1" x14ac:dyDescent="0.25">
      <c r="A2146" s="694">
        <v>1975</v>
      </c>
      <c r="B2146" s="671">
        <v>17</v>
      </c>
      <c r="C2146" s="716">
        <v>203206020017</v>
      </c>
      <c r="D2146" s="701" t="s">
        <v>2641</v>
      </c>
      <c r="E2146" s="264" t="s">
        <v>2625</v>
      </c>
      <c r="F2146" s="175">
        <v>2020</v>
      </c>
      <c r="G2146" s="360" t="s">
        <v>1483</v>
      </c>
      <c r="H2146" s="264" t="s">
        <v>2551</v>
      </c>
      <c r="I2146" s="264" t="s">
        <v>2552</v>
      </c>
      <c r="J2146" s="1359">
        <v>2700000</v>
      </c>
      <c r="K2146" s="1523">
        <v>44071.345393518503</v>
      </c>
      <c r="L2146" s="1359">
        <v>3750000</v>
      </c>
      <c r="M2146" s="1523">
        <v>44071.345393518503</v>
      </c>
      <c r="N2146" s="1731"/>
      <c r="O2146" s="1367"/>
      <c r="P2146" s="1731"/>
      <c r="Q2146" s="1367"/>
      <c r="R2146" s="1363"/>
      <c r="S2146" s="1563"/>
      <c r="T2146" s="1363"/>
      <c r="U2146" s="1391"/>
      <c r="V2146" s="1363"/>
      <c r="W2146" s="1391"/>
      <c r="X2146" s="1363"/>
      <c r="Y2146" s="1391"/>
      <c r="Z2146" s="1363"/>
      <c r="AA2146" s="1391"/>
      <c r="AB2146" s="1731"/>
      <c r="AC2146" s="1367"/>
      <c r="AD2146" s="1666"/>
      <c r="AE2146" s="1590"/>
      <c r="AF2146" s="1666"/>
      <c r="AG2146" s="1590"/>
      <c r="AH2146" s="1625" t="str">
        <f t="shared" si="720"/>
        <v>PBA-1</v>
      </c>
      <c r="AI2146" s="1675">
        <f t="shared" si="727"/>
        <v>6450000</v>
      </c>
      <c r="AJ2146" s="1675">
        <f t="shared" si="728"/>
        <v>6450000</v>
      </c>
      <c r="AK2146" s="1520">
        <f t="shared" si="731"/>
        <v>0</v>
      </c>
      <c r="AL2146" s="2210" t="str">
        <f t="shared" si="732"/>
        <v>Lunas</v>
      </c>
      <c r="AM2146" s="1666"/>
      <c r="AN2146" s="1590"/>
      <c r="AO2146"/>
      <c r="AP2146"/>
      <c r="AQ2146" s="1128"/>
      <c r="AR2146" s="1173"/>
      <c r="AT2146" s="1173"/>
      <c r="AV2146" s="1173"/>
      <c r="AX2146" s="1173"/>
      <c r="AY2146" s="1176"/>
      <c r="AZ2146" s="1173"/>
    </row>
    <row r="2147" spans="1:52" s="2" customFormat="1" x14ac:dyDescent="0.25">
      <c r="A2147" s="694">
        <v>1976</v>
      </c>
      <c r="B2147" s="671">
        <v>18</v>
      </c>
      <c r="C2147" s="716">
        <v>203206020018</v>
      </c>
      <c r="D2147" s="701" t="s">
        <v>2642</v>
      </c>
      <c r="E2147" s="264" t="s">
        <v>2625</v>
      </c>
      <c r="F2147" s="175">
        <v>2020</v>
      </c>
      <c r="G2147" s="360" t="s">
        <v>1483</v>
      </c>
      <c r="H2147" s="264" t="s">
        <v>2551</v>
      </c>
      <c r="I2147" s="264" t="s">
        <v>2552</v>
      </c>
      <c r="J2147" s="1359">
        <v>2700000</v>
      </c>
      <c r="K2147" s="1523">
        <v>44070.869039351899</v>
      </c>
      <c r="L2147" s="1359">
        <v>3750000</v>
      </c>
      <c r="M2147" s="1523">
        <v>44070.869039351899</v>
      </c>
      <c r="N2147" s="1731"/>
      <c r="O2147" s="1367"/>
      <c r="P2147" s="1731"/>
      <c r="Q2147" s="1367"/>
      <c r="R2147" s="1363"/>
      <c r="S2147" s="1563"/>
      <c r="T2147" s="1363"/>
      <c r="U2147" s="1391"/>
      <c r="V2147" s="1363"/>
      <c r="W2147" s="1391"/>
      <c r="X2147" s="1363"/>
      <c r="Y2147" s="1391"/>
      <c r="Z2147" s="1363"/>
      <c r="AA2147" s="1391"/>
      <c r="AB2147" s="1731"/>
      <c r="AC2147" s="1367"/>
      <c r="AD2147" s="1666"/>
      <c r="AE2147" s="1590"/>
      <c r="AF2147" s="1666"/>
      <c r="AG2147" s="1590"/>
      <c r="AH2147" s="1625" t="str">
        <f t="shared" ref="AH2147:AH2211" si="735">E2147</f>
        <v>PBA-1</v>
      </c>
      <c r="AI2147" s="1675">
        <f t="shared" si="727"/>
        <v>6450000</v>
      </c>
      <c r="AJ2147" s="1675">
        <f t="shared" si="728"/>
        <v>6450000</v>
      </c>
      <c r="AK2147" s="1520">
        <f t="shared" si="731"/>
        <v>0</v>
      </c>
      <c r="AL2147" s="2210" t="str">
        <f t="shared" si="732"/>
        <v>Lunas</v>
      </c>
      <c r="AM2147" s="1666"/>
      <c r="AN2147" s="1590"/>
      <c r="AO2147"/>
      <c r="AP2147"/>
      <c r="AQ2147" s="1128"/>
      <c r="AR2147" s="1173"/>
      <c r="AT2147" s="1173"/>
      <c r="AV2147" s="1173"/>
      <c r="AX2147" s="1173"/>
      <c r="AY2147" s="1176"/>
      <c r="AZ2147" s="1173"/>
    </row>
    <row r="2148" spans="1:52" s="2" customFormat="1" x14ac:dyDescent="0.25">
      <c r="A2148" s="694">
        <v>1977</v>
      </c>
      <c r="B2148" s="671">
        <v>19</v>
      </c>
      <c r="C2148" s="716">
        <v>203206020019</v>
      </c>
      <c r="D2148" s="701" t="s">
        <v>2643</v>
      </c>
      <c r="E2148" s="264" t="s">
        <v>2625</v>
      </c>
      <c r="F2148" s="175">
        <v>2020</v>
      </c>
      <c r="G2148" s="360" t="s">
        <v>1483</v>
      </c>
      <c r="H2148" s="264" t="s">
        <v>2551</v>
      </c>
      <c r="I2148" s="264" t="s">
        <v>2552</v>
      </c>
      <c r="J2148" s="1359">
        <v>2700000</v>
      </c>
      <c r="K2148" s="1523">
        <v>44077.583275463003</v>
      </c>
      <c r="L2148" s="1359">
        <v>3750000</v>
      </c>
      <c r="M2148" s="1523">
        <v>44077.583275463003</v>
      </c>
      <c r="N2148" s="1731"/>
      <c r="O2148" s="1367"/>
      <c r="P2148" s="1731"/>
      <c r="Q2148" s="1367"/>
      <c r="R2148" s="1363"/>
      <c r="S2148" s="1563"/>
      <c r="T2148" s="1363"/>
      <c r="U2148" s="1391"/>
      <c r="V2148" s="1363"/>
      <c r="W2148" s="1391"/>
      <c r="X2148" s="1363"/>
      <c r="Y2148" s="1391"/>
      <c r="Z2148" s="1363"/>
      <c r="AA2148" s="1391"/>
      <c r="AB2148" s="1731"/>
      <c r="AC2148" s="1367"/>
      <c r="AD2148" s="1666"/>
      <c r="AE2148" s="1590"/>
      <c r="AF2148" s="1666"/>
      <c r="AG2148" s="1590"/>
      <c r="AH2148" s="1625" t="str">
        <f t="shared" si="735"/>
        <v>PBA-1</v>
      </c>
      <c r="AI2148" s="1675">
        <f t="shared" si="727"/>
        <v>6450000</v>
      </c>
      <c r="AJ2148" s="1675">
        <f t="shared" si="728"/>
        <v>6450000</v>
      </c>
      <c r="AK2148" s="1520">
        <f t="shared" si="731"/>
        <v>0</v>
      </c>
      <c r="AL2148" s="2210" t="str">
        <f t="shared" si="732"/>
        <v>Lunas</v>
      </c>
      <c r="AM2148" s="1666"/>
      <c r="AN2148" s="1590"/>
      <c r="AO2148"/>
      <c r="AP2148"/>
      <c r="AQ2148" s="1128"/>
      <c r="AR2148" s="1173"/>
      <c r="AT2148" s="1173"/>
      <c r="AV2148" s="1173"/>
      <c r="AX2148" s="1173"/>
      <c r="AY2148" s="1176"/>
      <c r="AZ2148" s="1173"/>
    </row>
    <row r="2149" spans="1:52" s="2" customFormat="1" x14ac:dyDescent="0.25">
      <c r="A2149" s="694">
        <v>1978</v>
      </c>
      <c r="B2149" s="671">
        <v>20</v>
      </c>
      <c r="C2149" s="716">
        <v>203206020020</v>
      </c>
      <c r="D2149" s="701" t="s">
        <v>2644</v>
      </c>
      <c r="E2149" s="264" t="s">
        <v>2625</v>
      </c>
      <c r="F2149" s="175">
        <v>2020</v>
      </c>
      <c r="G2149" s="360" t="s">
        <v>1483</v>
      </c>
      <c r="H2149" s="264" t="s">
        <v>2551</v>
      </c>
      <c r="I2149" s="264" t="s">
        <v>2552</v>
      </c>
      <c r="J2149" s="1359">
        <v>2700000</v>
      </c>
      <c r="K2149" s="1523">
        <v>44079.877476851798</v>
      </c>
      <c r="L2149" s="1359">
        <v>3750000</v>
      </c>
      <c r="M2149" s="1523">
        <v>44079.877476851798</v>
      </c>
      <c r="N2149" s="1731"/>
      <c r="O2149" s="1367"/>
      <c r="P2149" s="1731"/>
      <c r="Q2149" s="1367"/>
      <c r="R2149" s="1363"/>
      <c r="S2149" s="1563"/>
      <c r="T2149" s="1363"/>
      <c r="U2149" s="1391"/>
      <c r="V2149" s="1363"/>
      <c r="W2149" s="1391"/>
      <c r="X2149" s="1363"/>
      <c r="Y2149" s="1391"/>
      <c r="Z2149" s="1363"/>
      <c r="AA2149" s="1391"/>
      <c r="AB2149" s="1731"/>
      <c r="AC2149" s="1367"/>
      <c r="AD2149" s="1666"/>
      <c r="AE2149" s="1590"/>
      <c r="AF2149" s="1666"/>
      <c r="AG2149" s="1590"/>
      <c r="AH2149" s="1625" t="str">
        <f t="shared" si="735"/>
        <v>PBA-1</v>
      </c>
      <c r="AI2149" s="1675">
        <f t="shared" si="727"/>
        <v>6450000</v>
      </c>
      <c r="AJ2149" s="1675">
        <f t="shared" si="728"/>
        <v>6450000</v>
      </c>
      <c r="AK2149" s="1520">
        <f t="shared" si="731"/>
        <v>0</v>
      </c>
      <c r="AL2149" s="2210" t="str">
        <f t="shared" si="732"/>
        <v>Lunas</v>
      </c>
      <c r="AM2149" s="1666"/>
      <c r="AN2149" s="1590"/>
      <c r="AO2149"/>
      <c r="AP2149"/>
      <c r="AQ2149" s="1128"/>
      <c r="AR2149" s="1173"/>
      <c r="AT2149" s="1173"/>
      <c r="AV2149" s="1173"/>
      <c r="AX2149" s="1173"/>
      <c r="AY2149" s="1176"/>
      <c r="AZ2149" s="1173"/>
    </row>
    <row r="2150" spans="1:52" x14ac:dyDescent="0.25">
      <c r="A2150" s="725"/>
      <c r="B2150" s="725">
        <v>21</v>
      </c>
      <c r="C2150" s="716">
        <v>203206020021</v>
      </c>
      <c r="D2150" s="2371" t="s">
        <v>4877</v>
      </c>
      <c r="E2150" s="264" t="s">
        <v>4878</v>
      </c>
      <c r="F2150" s="175">
        <v>2021</v>
      </c>
      <c r="G2150" s="360" t="s">
        <v>1483</v>
      </c>
      <c r="H2150" s="264" t="s">
        <v>2551</v>
      </c>
      <c r="I2150" s="264" t="s">
        <v>2552</v>
      </c>
      <c r="J2150" s="1212"/>
      <c r="P2150" s="761"/>
      <c r="Q2150" s="1089"/>
      <c r="S2150" s="1375"/>
      <c r="AH2150" t="str">
        <f t="shared" si="735"/>
        <v>PBA-2</v>
      </c>
    </row>
    <row r="2151" spans="1:52" x14ac:dyDescent="0.25">
      <c r="A2151" s="725"/>
      <c r="B2151" s="725"/>
      <c r="C2151" s="716">
        <v>203206020021</v>
      </c>
      <c r="D2151" s="123"/>
      <c r="H2151" s="124"/>
      <c r="I2151" s="124"/>
      <c r="J2151" s="1212"/>
      <c r="P2151" s="761"/>
      <c r="Q2151" s="1089"/>
      <c r="S2151" s="1375"/>
    </row>
    <row r="2152" spans="1:52" s="2" customFormat="1" x14ac:dyDescent="0.25">
      <c r="A2152" s="625" t="s">
        <v>2645</v>
      </c>
      <c r="B2152" s="625"/>
      <c r="C2152" s="366"/>
      <c r="D2152" s="625"/>
      <c r="E2152" s="198" t="s">
        <v>1096</v>
      </c>
      <c r="F2152" s="199" t="s">
        <v>1096</v>
      </c>
      <c r="G2152" s="565">
        <v>3750000</v>
      </c>
      <c r="H2152" s="147" t="str">
        <f>IFERROR(VLOOKUP(C2152,Tlus,3,FALSE),"   ")</f>
        <v xml:space="preserve">   </v>
      </c>
      <c r="I2152" s="147" t="str">
        <f>IFERROR(VLOOKUP(C2152,Wis,4,FALSE),"   ")</f>
        <v xml:space="preserve">   </v>
      </c>
      <c r="J2152" s="2035">
        <v>2700000</v>
      </c>
      <c r="K2152" s="2036"/>
      <c r="L2152" s="2163" t="s">
        <v>1049</v>
      </c>
      <c r="M2152" s="2164" t="s">
        <v>1463</v>
      </c>
      <c r="N2152" s="2163" t="s">
        <v>1051</v>
      </c>
      <c r="O2152" s="2164" t="s">
        <v>1464</v>
      </c>
      <c r="P2152" s="2016" t="s">
        <v>1053</v>
      </c>
      <c r="Q2152" s="1438" t="s">
        <v>1466</v>
      </c>
      <c r="R2152" s="2016" t="s">
        <v>1055</v>
      </c>
      <c r="S2152" s="1438" t="s">
        <v>1468</v>
      </c>
      <c r="T2152" s="2016" t="s">
        <v>1057</v>
      </c>
      <c r="U2152" s="1438" t="s">
        <v>1470</v>
      </c>
      <c r="V2152" s="2016" t="s">
        <v>1059</v>
      </c>
      <c r="W2152" s="1438" t="s">
        <v>1718</v>
      </c>
      <c r="X2152" s="1582" t="s">
        <v>1061</v>
      </c>
      <c r="Y2152" s="1438" t="s">
        <v>1719</v>
      </c>
      <c r="Z2152" s="1582" t="s">
        <v>1063</v>
      </c>
      <c r="AA2152" s="1438" t="s">
        <v>1980</v>
      </c>
      <c r="AB2152" s="2177">
        <v>1000000</v>
      </c>
      <c r="AC2152" s="2178" t="s">
        <v>2015</v>
      </c>
      <c r="AD2152" s="1450">
        <v>1200000</v>
      </c>
      <c r="AE2152" s="1663" t="s">
        <v>2016</v>
      </c>
      <c r="AF2152" s="1450">
        <v>1600000</v>
      </c>
      <c r="AG2152" s="1663" t="s">
        <v>1326</v>
      </c>
      <c r="AH2152" s="1408" t="str">
        <f t="shared" si="735"/>
        <v>#</v>
      </c>
      <c r="AI2152" s="1512"/>
      <c r="AJ2152" s="1409"/>
      <c r="AK2152" s="1409"/>
      <c r="AL2152" s="1513"/>
      <c r="AM2152" s="1450">
        <v>500000</v>
      </c>
      <c r="AN2152" s="1663" t="s">
        <v>22</v>
      </c>
      <c r="AO2152"/>
      <c r="AP2152"/>
      <c r="AQ2152" s="1128"/>
      <c r="AR2152" s="1173"/>
      <c r="AT2152" s="1173"/>
      <c r="AV2152" s="1173"/>
      <c r="AX2152" s="1173"/>
      <c r="AY2152" s="1176"/>
      <c r="AZ2152" s="1173"/>
    </row>
    <row r="2153" spans="1:52" s="2" customFormat="1" x14ac:dyDescent="0.25">
      <c r="A2153" s="694">
        <v>1979</v>
      </c>
      <c r="B2153" s="671">
        <v>1</v>
      </c>
      <c r="C2153" s="716">
        <v>203206060001</v>
      </c>
      <c r="D2153" s="701" t="s">
        <v>2646</v>
      </c>
      <c r="E2153" s="264" t="s">
        <v>2647</v>
      </c>
      <c r="F2153" s="175">
        <v>2020</v>
      </c>
      <c r="G2153" s="360" t="s">
        <v>1483</v>
      </c>
      <c r="H2153" s="264" t="s">
        <v>2551</v>
      </c>
      <c r="I2153" s="264" t="s">
        <v>2552</v>
      </c>
      <c r="J2153" s="1359">
        <v>2700000</v>
      </c>
      <c r="K2153" s="1523">
        <v>44071.418726851902</v>
      </c>
      <c r="L2153" s="1359">
        <v>3750000</v>
      </c>
      <c r="M2153" s="1523">
        <v>44071.418726851902</v>
      </c>
      <c r="N2153" s="1731"/>
      <c r="O2153" s="1367"/>
      <c r="P2153" s="1731"/>
      <c r="Q2153" s="1367"/>
      <c r="R2153" s="1363"/>
      <c r="S2153" s="1563"/>
      <c r="T2153" s="1363"/>
      <c r="U2153" s="1391"/>
      <c r="V2153" s="1363"/>
      <c r="W2153" s="1391"/>
      <c r="X2153" s="1363"/>
      <c r="Y2153" s="1391"/>
      <c r="Z2153" s="1363"/>
      <c r="AA2153" s="1391"/>
      <c r="AB2153" s="1666"/>
      <c r="AC2153" s="1590"/>
      <c r="AD2153" s="1666"/>
      <c r="AE2153" s="1590"/>
      <c r="AF2153" s="1666"/>
      <c r="AG2153" s="1590"/>
      <c r="AH2153" s="1625" t="str">
        <f t="shared" si="735"/>
        <v>ES-1A</v>
      </c>
      <c r="AI2153" s="1675">
        <f t="shared" ref="AI2153:AI2183" si="736">SUM(J2153,L2153,N2153,P2153,R2153,T2153,V2153,X2153,Z2153,AB2153,AD2153,AF2153,AM2153)</f>
        <v>6450000</v>
      </c>
      <c r="AJ2153" s="1675">
        <f t="shared" ref="AJ2153:AJ2183" si="737">(COUNT(L2153,N2153,P2153,R2153,T2153,V2153,X2153,Z2153)*$G$1507)+(COUNT(J2153)*$J$1507)+(COUNT(AB2153)*$AB$1507)+(COUNT(AD2153)*$AD$1507)+(COUNT(AF2153)*$AF$1507)+(COUNT(AM2153)*$AM$1507)</f>
        <v>6450000</v>
      </c>
      <c r="AK2153" s="1520">
        <f t="shared" ref="AK2153" si="738">AJ2153-AI2153</f>
        <v>0</v>
      </c>
      <c r="AL2153" s="2187" t="str">
        <f t="shared" ref="AL2153" si="739">IF(AK2153=0,"Lunas","Cek")</f>
        <v>Lunas</v>
      </c>
      <c r="AM2153" s="1666"/>
      <c r="AN2153" s="1590"/>
      <c r="AO2153"/>
      <c r="AP2153"/>
      <c r="AQ2153" s="1128"/>
      <c r="AR2153" s="1173"/>
      <c r="AT2153" s="1173"/>
      <c r="AV2153" s="1173"/>
      <c r="AX2153" s="1173"/>
      <c r="AY2153" s="1176"/>
      <c r="AZ2153" s="1173"/>
    </row>
    <row r="2154" spans="1:52" s="2" customFormat="1" x14ac:dyDescent="0.25">
      <c r="A2154" s="694">
        <v>1980</v>
      </c>
      <c r="B2154" s="709">
        <v>2</v>
      </c>
      <c r="C2154" s="716">
        <v>203206060002</v>
      </c>
      <c r="D2154" s="701" t="s">
        <v>2648</v>
      </c>
      <c r="E2154" s="264" t="s">
        <v>2647</v>
      </c>
      <c r="F2154" s="175">
        <v>2020</v>
      </c>
      <c r="G2154" s="360" t="s">
        <v>1483</v>
      </c>
      <c r="H2154" s="264" t="s">
        <v>2551</v>
      </c>
      <c r="I2154" s="264" t="s">
        <v>2552</v>
      </c>
      <c r="J2154" s="1359">
        <v>2700000</v>
      </c>
      <c r="K2154" s="1523">
        <v>44070.426342592596</v>
      </c>
      <c r="L2154" s="1359">
        <v>3750000</v>
      </c>
      <c r="M2154" s="1523">
        <v>44070.426342592596</v>
      </c>
      <c r="N2154" s="1731"/>
      <c r="O2154" s="1367"/>
      <c r="P2154" s="1731"/>
      <c r="Q2154" s="1367"/>
      <c r="R2154" s="1363"/>
      <c r="S2154" s="1563"/>
      <c r="T2154" s="1363"/>
      <c r="U2154" s="1391"/>
      <c r="V2154" s="1363"/>
      <c r="W2154" s="1391"/>
      <c r="X2154" s="1363"/>
      <c r="Y2154" s="1391"/>
      <c r="Z2154" s="1363"/>
      <c r="AA2154" s="1391"/>
      <c r="AB2154" s="1731"/>
      <c r="AC2154" s="1367"/>
      <c r="AD2154" s="1666"/>
      <c r="AE2154" s="1590"/>
      <c r="AF2154" s="1666"/>
      <c r="AG2154" s="1590"/>
      <c r="AH2154" s="1625" t="str">
        <f t="shared" si="735"/>
        <v>ES-1A</v>
      </c>
      <c r="AI2154" s="1675">
        <f t="shared" si="736"/>
        <v>6450000</v>
      </c>
      <c r="AJ2154" s="1675">
        <f t="shared" si="737"/>
        <v>6450000</v>
      </c>
      <c r="AK2154" s="1520">
        <f t="shared" ref="AK2154:AK2183" si="740">AJ2154-AI2154</f>
        <v>0</v>
      </c>
      <c r="AL2154" s="2210" t="str">
        <f t="shared" ref="AL2154:AL2183" si="741">IF(AK2154=0,"Lunas","Cek")</f>
        <v>Lunas</v>
      </c>
      <c r="AM2154" s="1666"/>
      <c r="AN2154" s="1590"/>
      <c r="AO2154"/>
      <c r="AP2154"/>
      <c r="AQ2154" s="1128"/>
      <c r="AR2154" s="1173"/>
      <c r="AT2154" s="1173"/>
      <c r="AV2154" s="1173"/>
      <c r="AX2154" s="1173"/>
      <c r="AY2154" s="1176"/>
      <c r="AZ2154" s="1173"/>
    </row>
    <row r="2155" spans="1:52" s="2" customFormat="1" x14ac:dyDescent="0.25">
      <c r="A2155" s="694">
        <v>1981</v>
      </c>
      <c r="B2155" s="671">
        <v>3</v>
      </c>
      <c r="C2155" s="716">
        <v>203206060003</v>
      </c>
      <c r="D2155" s="701" t="s">
        <v>2649</v>
      </c>
      <c r="E2155" s="264" t="s">
        <v>2647</v>
      </c>
      <c r="F2155" s="175">
        <v>2020</v>
      </c>
      <c r="G2155" s="360" t="s">
        <v>1483</v>
      </c>
      <c r="H2155" s="264" t="s">
        <v>2551</v>
      </c>
      <c r="I2155" s="264" t="s">
        <v>2552</v>
      </c>
      <c r="J2155" s="1359">
        <v>2700000</v>
      </c>
      <c r="K2155" s="1523">
        <v>44069.435289351903</v>
      </c>
      <c r="L2155" s="1359">
        <v>3750000</v>
      </c>
      <c r="M2155" s="1523">
        <v>44069.435289351903</v>
      </c>
      <c r="N2155" s="1731"/>
      <c r="O2155" s="1367"/>
      <c r="P2155" s="1731"/>
      <c r="Q2155" s="1367"/>
      <c r="R2155" s="1363"/>
      <c r="S2155" s="1563"/>
      <c r="T2155" s="1363"/>
      <c r="U2155" s="1391"/>
      <c r="V2155" s="1363"/>
      <c r="W2155" s="1391"/>
      <c r="X2155" s="1363"/>
      <c r="Y2155" s="1391"/>
      <c r="Z2155" s="1363"/>
      <c r="AA2155" s="1391"/>
      <c r="AB2155" s="1731"/>
      <c r="AC2155" s="1367"/>
      <c r="AD2155" s="1666"/>
      <c r="AE2155" s="1590"/>
      <c r="AF2155" s="1666"/>
      <c r="AG2155" s="1590"/>
      <c r="AH2155" s="1625" t="str">
        <f t="shared" si="735"/>
        <v>ES-1A</v>
      </c>
      <c r="AI2155" s="1675">
        <f t="shared" si="736"/>
        <v>6450000</v>
      </c>
      <c r="AJ2155" s="1675">
        <f t="shared" si="737"/>
        <v>6450000</v>
      </c>
      <c r="AK2155" s="1520">
        <f t="shared" si="740"/>
        <v>0</v>
      </c>
      <c r="AL2155" s="2210" t="str">
        <f t="shared" si="741"/>
        <v>Lunas</v>
      </c>
      <c r="AM2155" s="1666"/>
      <c r="AN2155" s="1590"/>
      <c r="AO2155"/>
      <c r="AP2155"/>
      <c r="AQ2155" s="1128"/>
      <c r="AR2155" s="1173"/>
      <c r="AT2155" s="1173"/>
      <c r="AV2155" s="1173"/>
      <c r="AX2155" s="1173"/>
      <c r="AY2155" s="1176"/>
      <c r="AZ2155" s="1173"/>
    </row>
    <row r="2156" spans="1:52" s="2" customFormat="1" x14ac:dyDescent="0.25">
      <c r="A2156" s="694">
        <v>1982</v>
      </c>
      <c r="B2156" s="709">
        <v>4</v>
      </c>
      <c r="C2156" s="716">
        <v>203206060004</v>
      </c>
      <c r="D2156" s="701" t="s">
        <v>2650</v>
      </c>
      <c r="E2156" s="264" t="s">
        <v>2647</v>
      </c>
      <c r="F2156" s="175">
        <v>2020</v>
      </c>
      <c r="G2156" s="360" t="s">
        <v>1483</v>
      </c>
      <c r="H2156" s="264" t="s">
        <v>2551</v>
      </c>
      <c r="I2156" s="264" t="s">
        <v>2552</v>
      </c>
      <c r="J2156" s="1359">
        <v>2700000</v>
      </c>
      <c r="K2156" s="1523">
        <v>44070.556238425903</v>
      </c>
      <c r="L2156" s="1359">
        <v>3750000</v>
      </c>
      <c r="M2156" s="1523">
        <v>44070.556238425903</v>
      </c>
      <c r="N2156" s="1731"/>
      <c r="O2156" s="1367"/>
      <c r="P2156" s="1731"/>
      <c r="Q2156" s="1367"/>
      <c r="R2156" s="1363"/>
      <c r="S2156" s="1563"/>
      <c r="T2156" s="1363"/>
      <c r="U2156" s="1391"/>
      <c r="V2156" s="1363"/>
      <c r="W2156" s="1391"/>
      <c r="X2156" s="1363"/>
      <c r="Y2156" s="1391"/>
      <c r="Z2156" s="1363"/>
      <c r="AA2156" s="1391"/>
      <c r="AB2156" s="1731"/>
      <c r="AC2156" s="1367"/>
      <c r="AD2156" s="1666"/>
      <c r="AE2156" s="1590"/>
      <c r="AF2156" s="1666"/>
      <c r="AG2156" s="1590"/>
      <c r="AH2156" s="1625" t="str">
        <f t="shared" si="735"/>
        <v>ES-1A</v>
      </c>
      <c r="AI2156" s="1675">
        <f t="shared" si="736"/>
        <v>6450000</v>
      </c>
      <c r="AJ2156" s="1675">
        <f t="shared" si="737"/>
        <v>6450000</v>
      </c>
      <c r="AK2156" s="1520">
        <f t="shared" si="740"/>
        <v>0</v>
      </c>
      <c r="AL2156" s="2210" t="str">
        <f t="shared" si="741"/>
        <v>Lunas</v>
      </c>
      <c r="AM2156" s="1666"/>
      <c r="AN2156" s="1590"/>
      <c r="AO2156"/>
      <c r="AP2156"/>
      <c r="AQ2156" s="1128"/>
      <c r="AR2156" s="1173"/>
      <c r="AT2156" s="1173"/>
      <c r="AV2156" s="1173"/>
      <c r="AX2156" s="1173"/>
      <c r="AY2156" s="1176"/>
      <c r="AZ2156" s="1173"/>
    </row>
    <row r="2157" spans="1:52" s="2" customFormat="1" x14ac:dyDescent="0.25">
      <c r="A2157" s="694">
        <v>1983</v>
      </c>
      <c r="B2157" s="671">
        <v>5</v>
      </c>
      <c r="C2157" s="716">
        <v>203206060005</v>
      </c>
      <c r="D2157" s="701" t="s">
        <v>2651</v>
      </c>
      <c r="E2157" s="264" t="s">
        <v>2647</v>
      </c>
      <c r="F2157" s="175">
        <v>2020</v>
      </c>
      <c r="G2157" s="360" t="s">
        <v>1483</v>
      </c>
      <c r="H2157" s="264" t="s">
        <v>2551</v>
      </c>
      <c r="I2157" s="264" t="s">
        <v>2552</v>
      </c>
      <c r="J2157" s="1359">
        <v>2700000</v>
      </c>
      <c r="K2157" s="1523">
        <v>44070.425543981502</v>
      </c>
      <c r="L2157" s="1359">
        <v>3750000</v>
      </c>
      <c r="M2157" s="1523">
        <v>44070.425543981502</v>
      </c>
      <c r="N2157" s="1731"/>
      <c r="O2157" s="1367"/>
      <c r="P2157" s="1731"/>
      <c r="Q2157" s="1367"/>
      <c r="R2157" s="1363"/>
      <c r="S2157" s="1563"/>
      <c r="T2157" s="1363"/>
      <c r="U2157" s="1391"/>
      <c r="V2157" s="1363"/>
      <c r="W2157" s="1391"/>
      <c r="X2157" s="1363"/>
      <c r="Y2157" s="1391"/>
      <c r="Z2157" s="1363"/>
      <c r="AA2157" s="1391"/>
      <c r="AB2157" s="1731"/>
      <c r="AC2157" s="1367"/>
      <c r="AD2157" s="1666"/>
      <c r="AE2157" s="1590"/>
      <c r="AF2157" s="1666"/>
      <c r="AG2157" s="1590"/>
      <c r="AH2157" s="1625" t="str">
        <f t="shared" si="735"/>
        <v>ES-1A</v>
      </c>
      <c r="AI2157" s="1675">
        <f t="shared" si="736"/>
        <v>6450000</v>
      </c>
      <c r="AJ2157" s="1675">
        <f t="shared" si="737"/>
        <v>6450000</v>
      </c>
      <c r="AK2157" s="1520">
        <f t="shared" si="740"/>
        <v>0</v>
      </c>
      <c r="AL2157" s="2210" t="str">
        <f t="shared" si="741"/>
        <v>Lunas</v>
      </c>
      <c r="AM2157" s="1666"/>
      <c r="AN2157" s="1590"/>
      <c r="AO2157"/>
      <c r="AP2157"/>
      <c r="AQ2157" s="1128"/>
      <c r="AR2157" s="1173"/>
      <c r="AT2157" s="1173"/>
      <c r="AV2157" s="1173"/>
      <c r="AX2157" s="1173"/>
      <c r="AY2157" s="1176"/>
      <c r="AZ2157" s="1173"/>
    </row>
    <row r="2158" spans="1:52" s="2" customFormat="1" x14ac:dyDescent="0.25">
      <c r="A2158" s="694">
        <v>1984</v>
      </c>
      <c r="B2158" s="709">
        <v>6</v>
      </c>
      <c r="C2158" s="716">
        <v>203206060006</v>
      </c>
      <c r="D2158" s="701" t="s">
        <v>2652</v>
      </c>
      <c r="E2158" s="264" t="s">
        <v>2647</v>
      </c>
      <c r="F2158" s="175">
        <v>2020</v>
      </c>
      <c r="G2158" s="360" t="s">
        <v>1483</v>
      </c>
      <c r="H2158" s="264" t="s">
        <v>2551</v>
      </c>
      <c r="I2158" s="264" t="s">
        <v>2552</v>
      </c>
      <c r="J2158" s="1359">
        <v>2700000</v>
      </c>
      <c r="K2158" s="1523">
        <v>44068.5862962963</v>
      </c>
      <c r="L2158" s="1359">
        <v>3750000</v>
      </c>
      <c r="M2158" s="1523">
        <v>44068.5862962963</v>
      </c>
      <c r="N2158" s="1731"/>
      <c r="O2158" s="1367"/>
      <c r="P2158" s="1731"/>
      <c r="Q2158" s="1367"/>
      <c r="R2158" s="1363"/>
      <c r="S2158" s="1563"/>
      <c r="T2158" s="1363"/>
      <c r="U2158" s="1391"/>
      <c r="V2158" s="1363"/>
      <c r="W2158" s="1391"/>
      <c r="X2158" s="1363"/>
      <c r="Y2158" s="1391"/>
      <c r="Z2158" s="1363"/>
      <c r="AA2158" s="1391"/>
      <c r="AB2158" s="1731"/>
      <c r="AC2158" s="1367"/>
      <c r="AD2158" s="1666"/>
      <c r="AE2158" s="1590"/>
      <c r="AF2158" s="1666"/>
      <c r="AG2158" s="1590"/>
      <c r="AH2158" s="1625" t="str">
        <f t="shared" si="735"/>
        <v>ES-1A</v>
      </c>
      <c r="AI2158" s="1675">
        <f t="shared" si="736"/>
        <v>6450000</v>
      </c>
      <c r="AJ2158" s="1675">
        <f t="shared" si="737"/>
        <v>6450000</v>
      </c>
      <c r="AK2158" s="1520">
        <f t="shared" si="740"/>
        <v>0</v>
      </c>
      <c r="AL2158" s="2210" t="str">
        <f t="shared" si="741"/>
        <v>Lunas</v>
      </c>
      <c r="AM2158" s="1666"/>
      <c r="AN2158" s="1590"/>
      <c r="AO2158"/>
      <c r="AP2158"/>
      <c r="AQ2158" s="1128"/>
      <c r="AR2158" s="1173"/>
      <c r="AT2158" s="1173"/>
      <c r="AV2158" s="1173"/>
      <c r="AX2158" s="1173"/>
      <c r="AY2158" s="1176"/>
      <c r="AZ2158" s="1173"/>
    </row>
    <row r="2159" spans="1:52" s="2" customFormat="1" x14ac:dyDescent="0.25">
      <c r="A2159" s="694">
        <v>1985</v>
      </c>
      <c r="B2159" s="671">
        <v>7</v>
      </c>
      <c r="C2159" s="716">
        <v>203206060007</v>
      </c>
      <c r="D2159" s="701" t="s">
        <v>2653</v>
      </c>
      <c r="E2159" s="264" t="s">
        <v>2647</v>
      </c>
      <c r="F2159" s="175">
        <v>2020</v>
      </c>
      <c r="G2159" s="360" t="s">
        <v>1483</v>
      </c>
      <c r="H2159" s="264" t="s">
        <v>2551</v>
      </c>
      <c r="I2159" s="264" t="s">
        <v>2552</v>
      </c>
      <c r="J2159" s="1359">
        <v>2700000</v>
      </c>
      <c r="K2159" s="1523">
        <v>44070.791273148097</v>
      </c>
      <c r="L2159" s="1359">
        <v>3750000</v>
      </c>
      <c r="M2159" s="1523">
        <v>44070.791273148097</v>
      </c>
      <c r="N2159" s="1731"/>
      <c r="O2159" s="1367"/>
      <c r="P2159" s="1731"/>
      <c r="Q2159" s="1367"/>
      <c r="R2159" s="1363"/>
      <c r="S2159" s="1563"/>
      <c r="T2159" s="1363"/>
      <c r="U2159" s="1391"/>
      <c r="V2159" s="1363"/>
      <c r="W2159" s="1391"/>
      <c r="X2159" s="1363"/>
      <c r="Y2159" s="1391"/>
      <c r="Z2159" s="1363"/>
      <c r="AA2159" s="1391"/>
      <c r="AB2159" s="1731"/>
      <c r="AC2159" s="1367"/>
      <c r="AD2159" s="1666"/>
      <c r="AE2159" s="1590"/>
      <c r="AF2159" s="1666"/>
      <c r="AG2159" s="1590"/>
      <c r="AH2159" s="1625" t="str">
        <f t="shared" si="735"/>
        <v>ES-1A</v>
      </c>
      <c r="AI2159" s="1675">
        <f t="shared" si="736"/>
        <v>6450000</v>
      </c>
      <c r="AJ2159" s="1675">
        <f t="shared" si="737"/>
        <v>6450000</v>
      </c>
      <c r="AK2159" s="1520">
        <f t="shared" si="740"/>
        <v>0</v>
      </c>
      <c r="AL2159" s="2210" t="str">
        <f t="shared" si="741"/>
        <v>Lunas</v>
      </c>
      <c r="AM2159" s="1666"/>
      <c r="AN2159" s="1590"/>
      <c r="AO2159"/>
      <c r="AP2159"/>
      <c r="AQ2159" s="1128"/>
      <c r="AR2159" s="1173"/>
      <c r="AT2159" s="1173"/>
      <c r="AV2159" s="1173"/>
      <c r="AX2159" s="1173"/>
      <c r="AY2159" s="1176"/>
      <c r="AZ2159" s="1173"/>
    </row>
    <row r="2160" spans="1:52" s="2" customFormat="1" x14ac:dyDescent="0.25">
      <c r="A2160" s="694">
        <v>1986</v>
      </c>
      <c r="B2160" s="709">
        <v>8</v>
      </c>
      <c r="C2160" s="716">
        <v>203206060008</v>
      </c>
      <c r="D2160" s="701" t="s">
        <v>2654</v>
      </c>
      <c r="E2160" s="264" t="s">
        <v>2647</v>
      </c>
      <c r="F2160" s="175">
        <v>2020</v>
      </c>
      <c r="G2160" s="360" t="s">
        <v>1483</v>
      </c>
      <c r="H2160" s="264" t="s">
        <v>2551</v>
      </c>
      <c r="I2160" s="264" t="s">
        <v>2552</v>
      </c>
      <c r="J2160" s="1359">
        <v>2700000</v>
      </c>
      <c r="K2160" s="1523">
        <v>44071.882800925901</v>
      </c>
      <c r="L2160" s="1359">
        <v>3750000</v>
      </c>
      <c r="M2160" s="1523">
        <v>44071.882800925901</v>
      </c>
      <c r="N2160" s="1731"/>
      <c r="O2160" s="1367"/>
      <c r="P2160" s="1731"/>
      <c r="Q2160" s="1367"/>
      <c r="R2160" s="1363"/>
      <c r="S2160" s="1563"/>
      <c r="T2160" s="1363"/>
      <c r="U2160" s="1391"/>
      <c r="V2160" s="1363"/>
      <c r="W2160" s="1391"/>
      <c r="X2160" s="1363"/>
      <c r="Y2160" s="1391"/>
      <c r="Z2160" s="1363"/>
      <c r="AA2160" s="1391"/>
      <c r="AB2160" s="1731"/>
      <c r="AC2160" s="1367"/>
      <c r="AD2160" s="1666"/>
      <c r="AE2160" s="1590"/>
      <c r="AF2160" s="1666"/>
      <c r="AG2160" s="1590"/>
      <c r="AH2160" s="1625" t="str">
        <f t="shared" si="735"/>
        <v>ES-1A</v>
      </c>
      <c r="AI2160" s="1675">
        <f t="shared" si="736"/>
        <v>6450000</v>
      </c>
      <c r="AJ2160" s="1675">
        <f t="shared" si="737"/>
        <v>6450000</v>
      </c>
      <c r="AK2160" s="1520">
        <f t="shared" si="740"/>
        <v>0</v>
      </c>
      <c r="AL2160" s="2210" t="str">
        <f t="shared" si="741"/>
        <v>Lunas</v>
      </c>
      <c r="AM2160" s="1666"/>
      <c r="AN2160" s="1590"/>
      <c r="AO2160"/>
      <c r="AP2160"/>
      <c r="AQ2160" s="1128"/>
      <c r="AR2160" s="1173"/>
      <c r="AT2160" s="1173"/>
      <c r="AV2160" s="1173"/>
      <c r="AX2160" s="1173"/>
      <c r="AY2160" s="1176"/>
      <c r="AZ2160" s="1173"/>
    </row>
    <row r="2161" spans="1:52" s="2" customFormat="1" x14ac:dyDescent="0.25">
      <c r="A2161" s="694">
        <v>1987</v>
      </c>
      <c r="B2161" s="671">
        <v>9</v>
      </c>
      <c r="C2161" s="716">
        <v>203206060009</v>
      </c>
      <c r="D2161" s="701" t="s">
        <v>2655</v>
      </c>
      <c r="E2161" s="264" t="s">
        <v>2647</v>
      </c>
      <c r="F2161" s="175">
        <v>2020</v>
      </c>
      <c r="G2161" s="360" t="s">
        <v>1483</v>
      </c>
      <c r="H2161" s="264" t="s">
        <v>2551</v>
      </c>
      <c r="I2161" s="264" t="s">
        <v>2552</v>
      </c>
      <c r="J2161" s="1359">
        <v>2700000</v>
      </c>
      <c r="K2161" s="1523">
        <v>44071.611921296302</v>
      </c>
      <c r="L2161" s="1359">
        <v>3750000</v>
      </c>
      <c r="M2161" s="1523">
        <v>44071.611921296302</v>
      </c>
      <c r="N2161" s="1731"/>
      <c r="O2161" s="1367"/>
      <c r="P2161" s="1731"/>
      <c r="Q2161" s="1367"/>
      <c r="R2161" s="1363"/>
      <c r="S2161" s="1563"/>
      <c r="T2161" s="1363"/>
      <c r="U2161" s="1391"/>
      <c r="V2161" s="1363"/>
      <c r="W2161" s="1391"/>
      <c r="X2161" s="1363"/>
      <c r="Y2161" s="1391"/>
      <c r="Z2161" s="1363"/>
      <c r="AA2161" s="1391"/>
      <c r="AB2161" s="1731"/>
      <c r="AC2161" s="1367"/>
      <c r="AD2161" s="1666"/>
      <c r="AE2161" s="1590"/>
      <c r="AF2161" s="1666"/>
      <c r="AG2161" s="1590"/>
      <c r="AH2161" s="1625" t="str">
        <f t="shared" si="735"/>
        <v>ES-1A</v>
      </c>
      <c r="AI2161" s="1675">
        <f t="shared" si="736"/>
        <v>6450000</v>
      </c>
      <c r="AJ2161" s="1675">
        <f t="shared" si="737"/>
        <v>6450000</v>
      </c>
      <c r="AK2161" s="1520">
        <f t="shared" si="740"/>
        <v>0</v>
      </c>
      <c r="AL2161" s="2210" t="str">
        <f t="shared" si="741"/>
        <v>Lunas</v>
      </c>
      <c r="AM2161" s="1666"/>
      <c r="AN2161" s="1590"/>
      <c r="AO2161"/>
      <c r="AP2161"/>
      <c r="AQ2161" s="1128"/>
      <c r="AR2161" s="1173"/>
      <c r="AT2161" s="1173"/>
      <c r="AV2161" s="1173"/>
      <c r="AX2161" s="1173"/>
      <c r="AY2161" s="1176"/>
      <c r="AZ2161" s="1173"/>
    </row>
    <row r="2162" spans="1:52" s="2" customFormat="1" x14ac:dyDescent="0.25">
      <c r="A2162" s="694">
        <v>1988</v>
      </c>
      <c r="B2162" s="709">
        <v>10</v>
      </c>
      <c r="C2162" s="716">
        <v>203206060010</v>
      </c>
      <c r="D2162" s="701" t="s">
        <v>2656</v>
      </c>
      <c r="E2162" s="264" t="s">
        <v>2647</v>
      </c>
      <c r="F2162" s="175">
        <v>2020</v>
      </c>
      <c r="G2162" s="360" t="s">
        <v>1483</v>
      </c>
      <c r="H2162" s="264" t="s">
        <v>2551</v>
      </c>
      <c r="I2162" s="264" t="s">
        <v>2552</v>
      </c>
      <c r="J2162" s="1359">
        <v>2700000</v>
      </c>
      <c r="K2162" s="1523">
        <v>44071.410127314797</v>
      </c>
      <c r="L2162" s="1359">
        <v>3750000</v>
      </c>
      <c r="M2162" s="1523">
        <v>44071.410127314797</v>
      </c>
      <c r="N2162" s="1731"/>
      <c r="O2162" s="1367"/>
      <c r="P2162" s="1731"/>
      <c r="Q2162" s="1367"/>
      <c r="R2162" s="1363"/>
      <c r="S2162" s="1563"/>
      <c r="T2162" s="1363"/>
      <c r="U2162" s="1391"/>
      <c r="V2162" s="1363"/>
      <c r="W2162" s="1391"/>
      <c r="X2162" s="1363"/>
      <c r="Y2162" s="1391"/>
      <c r="Z2162" s="1363"/>
      <c r="AA2162" s="1391"/>
      <c r="AB2162" s="1731"/>
      <c r="AC2162" s="1367"/>
      <c r="AD2162" s="1666"/>
      <c r="AE2162" s="1590"/>
      <c r="AF2162" s="1666"/>
      <c r="AG2162" s="1590"/>
      <c r="AH2162" s="1625" t="str">
        <f t="shared" si="735"/>
        <v>ES-1A</v>
      </c>
      <c r="AI2162" s="1675">
        <f t="shared" si="736"/>
        <v>6450000</v>
      </c>
      <c r="AJ2162" s="1675">
        <f t="shared" si="737"/>
        <v>6450000</v>
      </c>
      <c r="AK2162" s="1520">
        <f t="shared" si="740"/>
        <v>0</v>
      </c>
      <c r="AL2162" s="2210" t="str">
        <f t="shared" si="741"/>
        <v>Lunas</v>
      </c>
      <c r="AM2162" s="1666"/>
      <c r="AN2162" s="1590"/>
      <c r="AO2162"/>
      <c r="AP2162"/>
      <c r="AQ2162" s="1128"/>
      <c r="AR2162" s="1173"/>
      <c r="AT2162" s="1173"/>
      <c r="AV2162" s="1173"/>
      <c r="AX2162" s="1173"/>
      <c r="AY2162" s="1176"/>
      <c r="AZ2162" s="1173"/>
    </row>
    <row r="2163" spans="1:52" s="2" customFormat="1" x14ac:dyDescent="0.25">
      <c r="A2163" s="694">
        <v>1989</v>
      </c>
      <c r="B2163" s="671">
        <v>11</v>
      </c>
      <c r="C2163" s="716">
        <v>203206060011</v>
      </c>
      <c r="D2163" s="701" t="s">
        <v>2657</v>
      </c>
      <c r="E2163" s="264" t="s">
        <v>2647</v>
      </c>
      <c r="F2163" s="175">
        <v>2020</v>
      </c>
      <c r="G2163" s="360" t="s">
        <v>1483</v>
      </c>
      <c r="H2163" s="264" t="s">
        <v>2551</v>
      </c>
      <c r="I2163" s="264" t="s">
        <v>2552</v>
      </c>
      <c r="J2163" s="1359">
        <v>2700000</v>
      </c>
      <c r="K2163" s="1523">
        <v>44071.404351851903</v>
      </c>
      <c r="L2163" s="1359">
        <v>3750000</v>
      </c>
      <c r="M2163" s="1523">
        <v>44071.404351851903</v>
      </c>
      <c r="N2163" s="1731"/>
      <c r="O2163" s="1367"/>
      <c r="P2163" s="1731"/>
      <c r="Q2163" s="1367"/>
      <c r="R2163" s="1363"/>
      <c r="S2163" s="1563"/>
      <c r="T2163" s="1363"/>
      <c r="U2163" s="1391"/>
      <c r="V2163" s="1363"/>
      <c r="W2163" s="1391"/>
      <c r="X2163" s="1363"/>
      <c r="Y2163" s="1391"/>
      <c r="Z2163" s="1363"/>
      <c r="AA2163" s="1391"/>
      <c r="AB2163" s="1731"/>
      <c r="AC2163" s="1367"/>
      <c r="AD2163" s="1666"/>
      <c r="AE2163" s="1590"/>
      <c r="AF2163" s="1666"/>
      <c r="AG2163" s="1590"/>
      <c r="AH2163" s="1625" t="str">
        <f t="shared" si="735"/>
        <v>ES-1A</v>
      </c>
      <c r="AI2163" s="1675">
        <f t="shared" si="736"/>
        <v>6450000</v>
      </c>
      <c r="AJ2163" s="1675">
        <f t="shared" si="737"/>
        <v>6450000</v>
      </c>
      <c r="AK2163" s="1520">
        <f t="shared" si="740"/>
        <v>0</v>
      </c>
      <c r="AL2163" s="2210" t="str">
        <f t="shared" si="741"/>
        <v>Lunas</v>
      </c>
      <c r="AM2163" s="1666"/>
      <c r="AN2163" s="1590"/>
      <c r="AO2163"/>
      <c r="AP2163"/>
      <c r="AQ2163" s="1128"/>
      <c r="AR2163" s="1173"/>
      <c r="AT2163" s="1173"/>
      <c r="AV2163" s="1173"/>
      <c r="AX2163" s="1173"/>
      <c r="AY2163" s="1176"/>
      <c r="AZ2163" s="1173"/>
    </row>
    <row r="2164" spans="1:52" s="2" customFormat="1" x14ac:dyDescent="0.25">
      <c r="A2164" s="694">
        <v>1990</v>
      </c>
      <c r="B2164" s="709">
        <v>12</v>
      </c>
      <c r="C2164" s="716">
        <v>203206060012</v>
      </c>
      <c r="D2164" s="701" t="s">
        <v>2658</v>
      </c>
      <c r="E2164" s="264" t="s">
        <v>2647</v>
      </c>
      <c r="F2164" s="175">
        <v>2020</v>
      </c>
      <c r="G2164" s="360" t="s">
        <v>1483</v>
      </c>
      <c r="H2164" s="264" t="s">
        <v>2551</v>
      </c>
      <c r="I2164" s="264" t="s">
        <v>2552</v>
      </c>
      <c r="J2164" s="1359">
        <v>2700000</v>
      </c>
      <c r="K2164" s="1523">
        <v>44071.3773842593</v>
      </c>
      <c r="L2164" s="1359">
        <v>3750000</v>
      </c>
      <c r="M2164" s="1523">
        <v>44071.3773842593</v>
      </c>
      <c r="N2164" s="1731"/>
      <c r="O2164" s="1367"/>
      <c r="P2164" s="1731"/>
      <c r="Q2164" s="1367"/>
      <c r="R2164" s="1363"/>
      <c r="S2164" s="1563"/>
      <c r="T2164" s="1363"/>
      <c r="U2164" s="1391"/>
      <c r="V2164" s="1363"/>
      <c r="W2164" s="1391"/>
      <c r="X2164" s="1363"/>
      <c r="Y2164" s="1391"/>
      <c r="Z2164" s="1363"/>
      <c r="AA2164" s="1391"/>
      <c r="AB2164" s="1731"/>
      <c r="AC2164" s="1367"/>
      <c r="AD2164" s="1666"/>
      <c r="AE2164" s="1590"/>
      <c r="AF2164" s="1666"/>
      <c r="AG2164" s="1590"/>
      <c r="AH2164" s="1625" t="str">
        <f t="shared" si="735"/>
        <v>ES-1A</v>
      </c>
      <c r="AI2164" s="1675">
        <f t="shared" si="736"/>
        <v>6450000</v>
      </c>
      <c r="AJ2164" s="1675">
        <f t="shared" si="737"/>
        <v>6450000</v>
      </c>
      <c r="AK2164" s="1520">
        <f t="shared" si="740"/>
        <v>0</v>
      </c>
      <c r="AL2164" s="2210" t="str">
        <f t="shared" si="741"/>
        <v>Lunas</v>
      </c>
      <c r="AM2164" s="1666"/>
      <c r="AN2164" s="1590"/>
      <c r="AO2164"/>
      <c r="AP2164"/>
      <c r="AQ2164" s="1128"/>
      <c r="AR2164" s="1173"/>
      <c r="AT2164" s="1173"/>
      <c r="AV2164" s="1173"/>
      <c r="AX2164" s="1173"/>
      <c r="AY2164" s="1176"/>
      <c r="AZ2164" s="1173"/>
    </row>
    <row r="2165" spans="1:52" s="2" customFormat="1" x14ac:dyDescent="0.25">
      <c r="A2165" s="694">
        <v>1991</v>
      </c>
      <c r="B2165" s="671">
        <v>13</v>
      </c>
      <c r="C2165" s="716">
        <v>203206060013</v>
      </c>
      <c r="D2165" s="701" t="s">
        <v>2659</v>
      </c>
      <c r="E2165" s="264" t="s">
        <v>2647</v>
      </c>
      <c r="F2165" s="175">
        <v>2020</v>
      </c>
      <c r="G2165" s="360" t="s">
        <v>1483</v>
      </c>
      <c r="H2165" s="264" t="s">
        <v>2551</v>
      </c>
      <c r="I2165" s="264" t="s">
        <v>2552</v>
      </c>
      <c r="J2165" s="1359">
        <v>2700000</v>
      </c>
      <c r="K2165" s="1523">
        <v>44071.4077777778</v>
      </c>
      <c r="L2165" s="1359">
        <v>3750000</v>
      </c>
      <c r="M2165" s="1523">
        <v>44071.4077777778</v>
      </c>
      <c r="N2165" s="1731"/>
      <c r="O2165" s="1367"/>
      <c r="P2165" s="1731"/>
      <c r="Q2165" s="1367"/>
      <c r="R2165" s="1363"/>
      <c r="S2165" s="1563"/>
      <c r="T2165" s="1363"/>
      <c r="U2165" s="1391"/>
      <c r="V2165" s="1363"/>
      <c r="W2165" s="1391"/>
      <c r="X2165" s="1363"/>
      <c r="Y2165" s="1391"/>
      <c r="Z2165" s="1363"/>
      <c r="AA2165" s="1391"/>
      <c r="AB2165" s="1731"/>
      <c r="AC2165" s="1367"/>
      <c r="AD2165" s="1666"/>
      <c r="AE2165" s="1590"/>
      <c r="AF2165" s="1666"/>
      <c r="AG2165" s="1590"/>
      <c r="AH2165" s="1625" t="str">
        <f t="shared" si="735"/>
        <v>ES-1A</v>
      </c>
      <c r="AI2165" s="1675">
        <f t="shared" si="736"/>
        <v>6450000</v>
      </c>
      <c r="AJ2165" s="1675">
        <f t="shared" si="737"/>
        <v>6450000</v>
      </c>
      <c r="AK2165" s="1520">
        <f t="shared" si="740"/>
        <v>0</v>
      </c>
      <c r="AL2165" s="2210" t="str">
        <f t="shared" si="741"/>
        <v>Lunas</v>
      </c>
      <c r="AM2165" s="1666"/>
      <c r="AN2165" s="1590"/>
      <c r="AO2165"/>
      <c r="AP2165"/>
      <c r="AQ2165" s="1128"/>
      <c r="AR2165" s="1173"/>
      <c r="AT2165" s="1173"/>
      <c r="AV2165" s="1173"/>
      <c r="AX2165" s="1173"/>
      <c r="AY2165" s="1176"/>
      <c r="AZ2165" s="1173"/>
    </row>
    <row r="2166" spans="1:52" s="2" customFormat="1" x14ac:dyDescent="0.25">
      <c r="A2166" s="694">
        <v>1992</v>
      </c>
      <c r="B2166" s="709">
        <v>14</v>
      </c>
      <c r="C2166" s="716">
        <v>203206060014</v>
      </c>
      <c r="D2166" s="701" t="s">
        <v>2660</v>
      </c>
      <c r="E2166" s="264" t="s">
        <v>2647</v>
      </c>
      <c r="F2166" s="175">
        <v>2020</v>
      </c>
      <c r="G2166" s="360" t="s">
        <v>1483</v>
      </c>
      <c r="H2166" s="264" t="s">
        <v>2551</v>
      </c>
      <c r="I2166" s="264" t="s">
        <v>2552</v>
      </c>
      <c r="J2166" s="1359">
        <v>2700000</v>
      </c>
      <c r="K2166" s="1523">
        <v>44071.589247685202</v>
      </c>
      <c r="L2166" s="1359">
        <v>3750000</v>
      </c>
      <c r="M2166" s="1523">
        <v>44071.589247685202</v>
      </c>
      <c r="N2166" s="1731"/>
      <c r="O2166" s="1367"/>
      <c r="P2166" s="1731"/>
      <c r="Q2166" s="1367"/>
      <c r="R2166" s="1363"/>
      <c r="S2166" s="1563"/>
      <c r="T2166" s="1363"/>
      <c r="U2166" s="1391"/>
      <c r="V2166" s="1363"/>
      <c r="W2166" s="1391"/>
      <c r="X2166" s="1363"/>
      <c r="Y2166" s="1391"/>
      <c r="Z2166" s="1363"/>
      <c r="AA2166" s="1391"/>
      <c r="AB2166" s="1731"/>
      <c r="AC2166" s="1367"/>
      <c r="AD2166" s="1666"/>
      <c r="AE2166" s="1590"/>
      <c r="AF2166" s="1666"/>
      <c r="AG2166" s="1590"/>
      <c r="AH2166" s="1625" t="str">
        <f t="shared" si="735"/>
        <v>ES-1A</v>
      </c>
      <c r="AI2166" s="1675">
        <f t="shared" si="736"/>
        <v>6450000</v>
      </c>
      <c r="AJ2166" s="1675">
        <f t="shared" si="737"/>
        <v>6450000</v>
      </c>
      <c r="AK2166" s="1520">
        <f t="shared" si="740"/>
        <v>0</v>
      </c>
      <c r="AL2166" s="2210" t="str">
        <f t="shared" si="741"/>
        <v>Lunas</v>
      </c>
      <c r="AM2166" s="1666"/>
      <c r="AN2166" s="1590"/>
      <c r="AO2166"/>
      <c r="AP2166"/>
      <c r="AQ2166" s="1128"/>
      <c r="AR2166" s="1173"/>
      <c r="AT2166" s="1173"/>
      <c r="AV2166" s="1173"/>
      <c r="AX2166" s="1173"/>
      <c r="AY2166" s="1176"/>
      <c r="AZ2166" s="1173"/>
    </row>
    <row r="2167" spans="1:52" s="2" customFormat="1" x14ac:dyDescent="0.25">
      <c r="A2167" s="694">
        <v>1993</v>
      </c>
      <c r="B2167" s="671">
        <v>15</v>
      </c>
      <c r="C2167" s="716">
        <v>203206060015</v>
      </c>
      <c r="D2167" s="701" t="s">
        <v>2661</v>
      </c>
      <c r="E2167" s="264" t="s">
        <v>2647</v>
      </c>
      <c r="F2167" s="175">
        <v>2020</v>
      </c>
      <c r="G2167" s="360" t="s">
        <v>1483</v>
      </c>
      <c r="H2167" s="264" t="s">
        <v>2551</v>
      </c>
      <c r="I2167" s="264" t="s">
        <v>2552</v>
      </c>
      <c r="J2167" s="1359">
        <v>2700000</v>
      </c>
      <c r="K2167" s="1523">
        <v>44069.745821759301</v>
      </c>
      <c r="L2167" s="1359">
        <v>3750000</v>
      </c>
      <c r="M2167" s="1523">
        <v>44069.745821759301</v>
      </c>
      <c r="N2167" s="1731"/>
      <c r="O2167" s="1367"/>
      <c r="P2167" s="1731"/>
      <c r="Q2167" s="1367"/>
      <c r="R2167" s="1363"/>
      <c r="S2167" s="1563"/>
      <c r="T2167" s="1363"/>
      <c r="U2167" s="1391"/>
      <c r="V2167" s="1363"/>
      <c r="W2167" s="1391"/>
      <c r="X2167" s="1363"/>
      <c r="Y2167" s="1391"/>
      <c r="Z2167" s="1363"/>
      <c r="AA2167" s="1391"/>
      <c r="AB2167" s="1731"/>
      <c r="AC2167" s="1367"/>
      <c r="AD2167" s="1666"/>
      <c r="AE2167" s="1590"/>
      <c r="AF2167" s="1666"/>
      <c r="AG2167" s="1590"/>
      <c r="AH2167" s="1625" t="str">
        <f t="shared" si="735"/>
        <v>ES-1A</v>
      </c>
      <c r="AI2167" s="1675">
        <f t="shared" si="736"/>
        <v>6450000</v>
      </c>
      <c r="AJ2167" s="1675">
        <f t="shared" si="737"/>
        <v>6450000</v>
      </c>
      <c r="AK2167" s="1520">
        <f t="shared" si="740"/>
        <v>0</v>
      </c>
      <c r="AL2167" s="2210" t="str">
        <f t="shared" si="741"/>
        <v>Lunas</v>
      </c>
      <c r="AM2167" s="1666"/>
      <c r="AN2167" s="1590"/>
      <c r="AO2167"/>
      <c r="AP2167"/>
      <c r="AQ2167" s="1128"/>
      <c r="AR2167" s="1173"/>
      <c r="AT2167" s="1173"/>
      <c r="AV2167" s="1173"/>
      <c r="AX2167" s="1173"/>
      <c r="AY2167" s="1176"/>
      <c r="AZ2167" s="1173"/>
    </row>
    <row r="2168" spans="1:52" s="2" customFormat="1" x14ac:dyDescent="0.25">
      <c r="A2168" s="694">
        <v>1994</v>
      </c>
      <c r="B2168" s="709">
        <v>16</v>
      </c>
      <c r="C2168" s="716">
        <v>203206060016</v>
      </c>
      <c r="D2168" s="701" t="s">
        <v>2662</v>
      </c>
      <c r="E2168" s="264" t="s">
        <v>2663</v>
      </c>
      <c r="F2168" s="175">
        <v>2020</v>
      </c>
      <c r="G2168" s="360" t="s">
        <v>1483</v>
      </c>
      <c r="H2168" s="264" t="s">
        <v>2551</v>
      </c>
      <c r="I2168" s="264" t="s">
        <v>2552</v>
      </c>
      <c r="J2168" s="1359">
        <v>2700000</v>
      </c>
      <c r="K2168" s="1523">
        <v>44069.398773148103</v>
      </c>
      <c r="L2168" s="1359">
        <v>3750000</v>
      </c>
      <c r="M2168" s="1523">
        <v>44069.398773148103</v>
      </c>
      <c r="N2168" s="1731"/>
      <c r="O2168" s="1367"/>
      <c r="P2168" s="1731"/>
      <c r="Q2168" s="1367"/>
      <c r="R2168" s="1363"/>
      <c r="S2168" s="1563"/>
      <c r="T2168" s="1363"/>
      <c r="U2168" s="1391"/>
      <c r="V2168" s="1363"/>
      <c r="W2168" s="1391"/>
      <c r="X2168" s="1363"/>
      <c r="Y2168" s="1391"/>
      <c r="Z2168" s="1363"/>
      <c r="AA2168" s="1391"/>
      <c r="AB2168" s="1731"/>
      <c r="AC2168" s="1367"/>
      <c r="AD2168" s="1666"/>
      <c r="AE2168" s="1590"/>
      <c r="AF2168" s="1666"/>
      <c r="AG2168" s="1590"/>
      <c r="AH2168" s="1625" t="str">
        <f t="shared" si="735"/>
        <v>ES-1B</v>
      </c>
      <c r="AI2168" s="1675">
        <f t="shared" si="736"/>
        <v>6450000</v>
      </c>
      <c r="AJ2168" s="1675">
        <f t="shared" si="737"/>
        <v>6450000</v>
      </c>
      <c r="AK2168" s="1520">
        <f t="shared" si="740"/>
        <v>0</v>
      </c>
      <c r="AL2168" s="2210" t="str">
        <f t="shared" si="741"/>
        <v>Lunas</v>
      </c>
      <c r="AM2168" s="1666"/>
      <c r="AN2168" s="1590"/>
      <c r="AO2168"/>
      <c r="AP2168"/>
      <c r="AQ2168" s="1128"/>
      <c r="AR2168" s="1173"/>
      <c r="AT2168" s="1173"/>
      <c r="AV2168" s="1173"/>
      <c r="AX2168" s="1173"/>
      <c r="AY2168" s="1176"/>
      <c r="AZ2168" s="1173"/>
    </row>
    <row r="2169" spans="1:52" s="2" customFormat="1" x14ac:dyDescent="0.25">
      <c r="A2169" s="694">
        <v>1995</v>
      </c>
      <c r="B2169" s="671">
        <v>17</v>
      </c>
      <c r="C2169" s="716">
        <v>203206060017</v>
      </c>
      <c r="D2169" s="701" t="s">
        <v>2664</v>
      </c>
      <c r="E2169" s="264" t="s">
        <v>2663</v>
      </c>
      <c r="F2169" s="175">
        <v>2020</v>
      </c>
      <c r="G2169" s="360" t="s">
        <v>1483</v>
      </c>
      <c r="H2169" s="264" t="s">
        <v>2551</v>
      </c>
      <c r="I2169" s="264" t="s">
        <v>2552</v>
      </c>
      <c r="J2169" s="1359">
        <v>2700000</v>
      </c>
      <c r="K2169" s="1523">
        <v>44071.521226851903</v>
      </c>
      <c r="L2169" s="1359">
        <v>3750000</v>
      </c>
      <c r="M2169" s="1523">
        <v>44071.521226851903</v>
      </c>
      <c r="N2169" s="1731"/>
      <c r="O2169" s="1367"/>
      <c r="P2169" s="1731"/>
      <c r="Q2169" s="1367"/>
      <c r="R2169" s="1363"/>
      <c r="S2169" s="1563"/>
      <c r="T2169" s="1363"/>
      <c r="U2169" s="1391"/>
      <c r="V2169" s="1363"/>
      <c r="W2169" s="1391"/>
      <c r="X2169" s="1363"/>
      <c r="Y2169" s="1391"/>
      <c r="Z2169" s="1363"/>
      <c r="AA2169" s="1391"/>
      <c r="AB2169" s="1731"/>
      <c r="AC2169" s="1367"/>
      <c r="AD2169" s="1666"/>
      <c r="AE2169" s="1590"/>
      <c r="AF2169" s="1666"/>
      <c r="AG2169" s="1590"/>
      <c r="AH2169" s="1625" t="str">
        <f t="shared" si="735"/>
        <v>ES-1B</v>
      </c>
      <c r="AI2169" s="1675">
        <f t="shared" si="736"/>
        <v>6450000</v>
      </c>
      <c r="AJ2169" s="1675">
        <f t="shared" si="737"/>
        <v>6450000</v>
      </c>
      <c r="AK2169" s="1520">
        <f t="shared" si="740"/>
        <v>0</v>
      </c>
      <c r="AL2169" s="2210" t="str">
        <f t="shared" si="741"/>
        <v>Lunas</v>
      </c>
      <c r="AM2169" s="1666"/>
      <c r="AN2169" s="1590"/>
      <c r="AO2169"/>
      <c r="AP2169"/>
      <c r="AQ2169" s="1128"/>
      <c r="AR2169" s="1173"/>
      <c r="AT2169" s="1173"/>
      <c r="AV2169" s="1173"/>
      <c r="AX2169" s="1173"/>
      <c r="AY2169" s="1176"/>
      <c r="AZ2169" s="1173"/>
    </row>
    <row r="2170" spans="1:52" s="2" customFormat="1" x14ac:dyDescent="0.25">
      <c r="A2170" s="694">
        <v>1996</v>
      </c>
      <c r="B2170" s="709">
        <v>18</v>
      </c>
      <c r="C2170" s="716">
        <v>203206060018</v>
      </c>
      <c r="D2170" s="701" t="s">
        <v>2665</v>
      </c>
      <c r="E2170" s="264" t="s">
        <v>2663</v>
      </c>
      <c r="F2170" s="175">
        <v>2020</v>
      </c>
      <c r="G2170" s="360" t="s">
        <v>1483</v>
      </c>
      <c r="H2170" s="264" t="s">
        <v>2551</v>
      </c>
      <c r="I2170" s="264" t="s">
        <v>2552</v>
      </c>
      <c r="J2170" s="1359">
        <v>2700000</v>
      </c>
      <c r="K2170" s="1523">
        <v>44070.485127314802</v>
      </c>
      <c r="L2170" s="1359">
        <v>3750000</v>
      </c>
      <c r="M2170" s="1523">
        <v>44070.485127314802</v>
      </c>
      <c r="N2170" s="1731"/>
      <c r="O2170" s="1367"/>
      <c r="P2170" s="1731"/>
      <c r="Q2170" s="1367"/>
      <c r="R2170" s="1363"/>
      <c r="S2170" s="1563"/>
      <c r="T2170" s="1363"/>
      <c r="U2170" s="1391"/>
      <c r="V2170" s="1363"/>
      <c r="W2170" s="1391"/>
      <c r="X2170" s="1363"/>
      <c r="Y2170" s="1391"/>
      <c r="Z2170" s="1363"/>
      <c r="AA2170" s="1391"/>
      <c r="AB2170" s="1731"/>
      <c r="AC2170" s="1367"/>
      <c r="AD2170" s="1666"/>
      <c r="AE2170" s="1590"/>
      <c r="AF2170" s="1666"/>
      <c r="AG2170" s="1590"/>
      <c r="AH2170" s="1625" t="str">
        <f t="shared" si="735"/>
        <v>ES-1B</v>
      </c>
      <c r="AI2170" s="1675">
        <f t="shared" si="736"/>
        <v>6450000</v>
      </c>
      <c r="AJ2170" s="1675">
        <f t="shared" si="737"/>
        <v>6450000</v>
      </c>
      <c r="AK2170" s="1520">
        <f t="shared" si="740"/>
        <v>0</v>
      </c>
      <c r="AL2170" s="2210" t="str">
        <f t="shared" si="741"/>
        <v>Lunas</v>
      </c>
      <c r="AM2170" s="1666"/>
      <c r="AN2170" s="1590"/>
      <c r="AO2170"/>
      <c r="AP2170"/>
      <c r="AQ2170" s="1128"/>
      <c r="AR2170" s="1173"/>
      <c r="AT2170" s="1173"/>
      <c r="AV2170" s="1173"/>
      <c r="AX2170" s="1173"/>
      <c r="AY2170" s="1176"/>
      <c r="AZ2170" s="1173"/>
    </row>
    <row r="2171" spans="1:52" s="2" customFormat="1" x14ac:dyDescent="0.25">
      <c r="A2171" s="694">
        <v>1997</v>
      </c>
      <c r="B2171" s="671">
        <v>19</v>
      </c>
      <c r="C2171" s="716">
        <v>203206060019</v>
      </c>
      <c r="D2171" s="701" t="s">
        <v>2666</v>
      </c>
      <c r="E2171" s="264" t="s">
        <v>2663</v>
      </c>
      <c r="F2171" s="175">
        <v>2020</v>
      </c>
      <c r="G2171" s="360" t="s">
        <v>1483</v>
      </c>
      <c r="H2171" s="264" t="s">
        <v>2551</v>
      </c>
      <c r="I2171" s="264" t="s">
        <v>2552</v>
      </c>
      <c r="J2171" s="1359">
        <v>2700000</v>
      </c>
      <c r="K2171" s="1523">
        <v>44068.394756944399</v>
      </c>
      <c r="L2171" s="1359">
        <v>3750000</v>
      </c>
      <c r="M2171" s="1523">
        <v>44068.394756944399</v>
      </c>
      <c r="N2171" s="1731"/>
      <c r="O2171" s="1367"/>
      <c r="P2171" s="1731"/>
      <c r="Q2171" s="1367"/>
      <c r="R2171" s="1363"/>
      <c r="S2171" s="1563"/>
      <c r="T2171" s="1363"/>
      <c r="U2171" s="1391"/>
      <c r="V2171" s="1363"/>
      <c r="W2171" s="1391"/>
      <c r="X2171" s="1363"/>
      <c r="Y2171" s="1391"/>
      <c r="Z2171" s="1363"/>
      <c r="AA2171" s="1391"/>
      <c r="AB2171" s="1731"/>
      <c r="AC2171" s="1367"/>
      <c r="AD2171" s="1666"/>
      <c r="AE2171" s="1590"/>
      <c r="AF2171" s="1666"/>
      <c r="AG2171" s="1590"/>
      <c r="AH2171" s="1625" t="str">
        <f t="shared" si="735"/>
        <v>ES-1B</v>
      </c>
      <c r="AI2171" s="1675">
        <f t="shared" si="736"/>
        <v>6450000</v>
      </c>
      <c r="AJ2171" s="1675">
        <f t="shared" si="737"/>
        <v>6450000</v>
      </c>
      <c r="AK2171" s="1520">
        <f t="shared" si="740"/>
        <v>0</v>
      </c>
      <c r="AL2171" s="2210" t="str">
        <f t="shared" si="741"/>
        <v>Lunas</v>
      </c>
      <c r="AM2171" s="1666"/>
      <c r="AN2171" s="1590"/>
      <c r="AO2171"/>
      <c r="AP2171"/>
      <c r="AQ2171" s="1128"/>
      <c r="AR2171" s="1173"/>
      <c r="AT2171" s="1173"/>
      <c r="AV2171" s="1173"/>
      <c r="AX2171" s="1173"/>
      <c r="AY2171" s="1176"/>
      <c r="AZ2171" s="1173"/>
    </row>
    <row r="2172" spans="1:52" s="2" customFormat="1" x14ac:dyDescent="0.25">
      <c r="A2172" s="694">
        <v>1998</v>
      </c>
      <c r="B2172" s="709">
        <v>20</v>
      </c>
      <c r="C2172" s="716">
        <v>203206060031</v>
      </c>
      <c r="D2172" s="701" t="s">
        <v>2667</v>
      </c>
      <c r="E2172" s="264" t="s">
        <v>2663</v>
      </c>
      <c r="F2172" s="175">
        <v>2020</v>
      </c>
      <c r="G2172" s="360" t="s">
        <v>1483</v>
      </c>
      <c r="H2172" s="264" t="s">
        <v>2551</v>
      </c>
      <c r="I2172" s="264" t="s">
        <v>2552</v>
      </c>
      <c r="J2172" s="1359">
        <v>2700000</v>
      </c>
      <c r="K2172" s="1523">
        <v>44077.599074074104</v>
      </c>
      <c r="L2172" s="1359">
        <v>3750000</v>
      </c>
      <c r="M2172" s="1523">
        <v>44077.599074074104</v>
      </c>
      <c r="N2172" s="1731"/>
      <c r="O2172" s="1367"/>
      <c r="P2172" s="1731"/>
      <c r="Q2172" s="1367"/>
      <c r="R2172" s="1363"/>
      <c r="S2172" s="1563"/>
      <c r="T2172" s="1363"/>
      <c r="U2172" s="1391"/>
      <c r="V2172" s="1363"/>
      <c r="W2172" s="1391"/>
      <c r="X2172" s="1363"/>
      <c r="Y2172" s="1391"/>
      <c r="Z2172" s="1363"/>
      <c r="AA2172" s="1391"/>
      <c r="AB2172" s="1731"/>
      <c r="AC2172" s="1367"/>
      <c r="AD2172" s="1666"/>
      <c r="AE2172" s="1590"/>
      <c r="AF2172" s="1666"/>
      <c r="AG2172" s="1590"/>
      <c r="AH2172" s="1625" t="str">
        <f t="shared" si="735"/>
        <v>ES-1B</v>
      </c>
      <c r="AI2172" s="1675">
        <f t="shared" si="736"/>
        <v>6450000</v>
      </c>
      <c r="AJ2172" s="1675">
        <f t="shared" si="737"/>
        <v>6450000</v>
      </c>
      <c r="AK2172" s="1520">
        <f t="shared" si="740"/>
        <v>0</v>
      </c>
      <c r="AL2172" s="2210" t="str">
        <f t="shared" si="741"/>
        <v>Lunas</v>
      </c>
      <c r="AM2172" s="1666"/>
      <c r="AN2172" s="1590"/>
      <c r="AO2172"/>
      <c r="AP2172"/>
      <c r="AQ2172" s="1128"/>
      <c r="AR2172" s="1173"/>
      <c r="AT2172" s="1173"/>
      <c r="AV2172" s="1173"/>
      <c r="AX2172" s="1173"/>
      <c r="AY2172" s="1176"/>
      <c r="AZ2172" s="1173"/>
    </row>
    <row r="2173" spans="1:52" s="2" customFormat="1" x14ac:dyDescent="0.25">
      <c r="A2173" s="694">
        <v>1999</v>
      </c>
      <c r="B2173" s="671">
        <v>21</v>
      </c>
      <c r="C2173" s="716">
        <v>203206060020</v>
      </c>
      <c r="D2173" s="701" t="s">
        <v>2668</v>
      </c>
      <c r="E2173" s="264" t="s">
        <v>2663</v>
      </c>
      <c r="F2173" s="175">
        <v>2020</v>
      </c>
      <c r="G2173" s="360" t="s">
        <v>1483</v>
      </c>
      <c r="H2173" s="264" t="s">
        <v>2551</v>
      </c>
      <c r="I2173" s="264" t="s">
        <v>2552</v>
      </c>
      <c r="J2173" s="1359">
        <v>2700000</v>
      </c>
      <c r="K2173" s="1523">
        <v>44071.512673611098</v>
      </c>
      <c r="L2173" s="1359">
        <v>3750000</v>
      </c>
      <c r="M2173" s="1523">
        <v>44071.512673611098</v>
      </c>
      <c r="N2173" s="1731"/>
      <c r="O2173" s="1367"/>
      <c r="P2173" s="1731"/>
      <c r="Q2173" s="1367"/>
      <c r="R2173" s="1363"/>
      <c r="S2173" s="1563"/>
      <c r="T2173" s="1363"/>
      <c r="U2173" s="1391"/>
      <c r="V2173" s="1363"/>
      <c r="W2173" s="1391"/>
      <c r="X2173" s="1363"/>
      <c r="Y2173" s="1391"/>
      <c r="Z2173" s="1363"/>
      <c r="AA2173" s="1391"/>
      <c r="AB2173" s="1731"/>
      <c r="AC2173" s="1367"/>
      <c r="AD2173" s="1666"/>
      <c r="AE2173" s="1590"/>
      <c r="AF2173" s="1666"/>
      <c r="AG2173" s="1590"/>
      <c r="AH2173" s="1625" t="str">
        <f t="shared" si="735"/>
        <v>ES-1B</v>
      </c>
      <c r="AI2173" s="1675">
        <f t="shared" si="736"/>
        <v>6450000</v>
      </c>
      <c r="AJ2173" s="1675">
        <f t="shared" si="737"/>
        <v>6450000</v>
      </c>
      <c r="AK2173" s="1520">
        <f t="shared" si="740"/>
        <v>0</v>
      </c>
      <c r="AL2173" s="2210" t="str">
        <f t="shared" si="741"/>
        <v>Lunas</v>
      </c>
      <c r="AM2173" s="1666"/>
      <c r="AN2173" s="1590"/>
      <c r="AO2173"/>
      <c r="AP2173"/>
      <c r="AQ2173" s="1128"/>
      <c r="AR2173" s="1173"/>
      <c r="AT2173" s="1173"/>
      <c r="AV2173" s="1173"/>
      <c r="AX2173" s="1173"/>
      <c r="AY2173" s="1176"/>
      <c r="AZ2173" s="1173"/>
    </row>
    <row r="2174" spans="1:52" s="2" customFormat="1" x14ac:dyDescent="0.25">
      <c r="A2174" s="694">
        <v>2000</v>
      </c>
      <c r="B2174" s="709">
        <v>22</v>
      </c>
      <c r="C2174" s="716">
        <v>203206060021</v>
      </c>
      <c r="D2174" s="701" t="s">
        <v>2669</v>
      </c>
      <c r="E2174" s="264" t="s">
        <v>2663</v>
      </c>
      <c r="F2174" s="175">
        <v>2020</v>
      </c>
      <c r="G2174" s="360" t="s">
        <v>1483</v>
      </c>
      <c r="H2174" s="264" t="s">
        <v>2551</v>
      </c>
      <c r="I2174" s="264" t="s">
        <v>2552</v>
      </c>
      <c r="J2174" s="1359">
        <v>2700000</v>
      </c>
      <c r="K2174" s="1523">
        <v>44072.156863425902</v>
      </c>
      <c r="L2174" s="1359">
        <v>3750000</v>
      </c>
      <c r="M2174" s="1523">
        <v>44072.156863425902</v>
      </c>
      <c r="N2174" s="1731"/>
      <c r="O2174" s="1367"/>
      <c r="P2174" s="1731"/>
      <c r="Q2174" s="1367"/>
      <c r="R2174" s="1363"/>
      <c r="S2174" s="1563"/>
      <c r="T2174" s="1363"/>
      <c r="U2174" s="1391"/>
      <c r="V2174" s="1363"/>
      <c r="W2174" s="1391"/>
      <c r="X2174" s="1363"/>
      <c r="Y2174" s="1391"/>
      <c r="Z2174" s="1363"/>
      <c r="AA2174" s="1391"/>
      <c r="AB2174" s="1731"/>
      <c r="AC2174" s="1367"/>
      <c r="AD2174" s="1666"/>
      <c r="AE2174" s="1590"/>
      <c r="AF2174" s="1666"/>
      <c r="AG2174" s="1590"/>
      <c r="AH2174" s="1625" t="str">
        <f t="shared" si="735"/>
        <v>ES-1B</v>
      </c>
      <c r="AI2174" s="1675">
        <f t="shared" si="736"/>
        <v>6450000</v>
      </c>
      <c r="AJ2174" s="1675">
        <f t="shared" si="737"/>
        <v>6450000</v>
      </c>
      <c r="AK2174" s="1520">
        <f t="shared" si="740"/>
        <v>0</v>
      </c>
      <c r="AL2174" s="2210" t="str">
        <f t="shared" si="741"/>
        <v>Lunas</v>
      </c>
      <c r="AM2174" s="1666"/>
      <c r="AN2174" s="1590"/>
      <c r="AO2174"/>
      <c r="AP2174"/>
      <c r="AQ2174" s="1128"/>
      <c r="AR2174" s="1173"/>
      <c r="AT2174" s="1173"/>
      <c r="AV2174" s="1173"/>
      <c r="AX2174" s="1173"/>
      <c r="AY2174" s="1176"/>
      <c r="AZ2174" s="1173"/>
    </row>
    <row r="2175" spans="1:52" s="2" customFormat="1" x14ac:dyDescent="0.25">
      <c r="A2175" s="694">
        <v>2001</v>
      </c>
      <c r="B2175" s="671">
        <v>23</v>
      </c>
      <c r="C2175" s="716">
        <v>203206060022</v>
      </c>
      <c r="D2175" s="701" t="s">
        <v>2670</v>
      </c>
      <c r="E2175" s="264" t="s">
        <v>2663</v>
      </c>
      <c r="F2175" s="175">
        <v>2020</v>
      </c>
      <c r="G2175" s="360" t="s">
        <v>1483</v>
      </c>
      <c r="H2175" s="264" t="s">
        <v>2551</v>
      </c>
      <c r="I2175" s="264" t="s">
        <v>2552</v>
      </c>
      <c r="J2175" s="1359">
        <v>2700000</v>
      </c>
      <c r="K2175" s="1523">
        <v>44070.379733796297</v>
      </c>
      <c r="L2175" s="1359">
        <v>3750000</v>
      </c>
      <c r="M2175" s="1523">
        <v>44070.379733796297</v>
      </c>
      <c r="N2175" s="1731"/>
      <c r="O2175" s="1367"/>
      <c r="P2175" s="1731"/>
      <c r="Q2175" s="1367"/>
      <c r="R2175" s="1363"/>
      <c r="S2175" s="1563"/>
      <c r="T2175" s="1363"/>
      <c r="U2175" s="1391"/>
      <c r="V2175" s="1363"/>
      <c r="W2175" s="1391"/>
      <c r="X2175" s="1363"/>
      <c r="Y2175" s="1391"/>
      <c r="Z2175" s="1363"/>
      <c r="AA2175" s="1391"/>
      <c r="AB2175" s="1731"/>
      <c r="AC2175" s="1367"/>
      <c r="AD2175" s="1666"/>
      <c r="AE2175" s="1590"/>
      <c r="AF2175" s="1666"/>
      <c r="AG2175" s="1590"/>
      <c r="AH2175" s="1625" t="str">
        <f t="shared" si="735"/>
        <v>ES-1B</v>
      </c>
      <c r="AI2175" s="1675">
        <f t="shared" si="736"/>
        <v>6450000</v>
      </c>
      <c r="AJ2175" s="1675">
        <f t="shared" si="737"/>
        <v>6450000</v>
      </c>
      <c r="AK2175" s="1520">
        <f t="shared" si="740"/>
        <v>0</v>
      </c>
      <c r="AL2175" s="2210" t="str">
        <f t="shared" si="741"/>
        <v>Lunas</v>
      </c>
      <c r="AM2175" s="1666"/>
      <c r="AN2175" s="1590"/>
      <c r="AO2175"/>
      <c r="AP2175"/>
      <c r="AQ2175" s="1128"/>
      <c r="AR2175" s="1173"/>
      <c r="AT2175" s="1173"/>
      <c r="AV2175" s="1173"/>
      <c r="AX2175" s="1173"/>
      <c r="AY2175" s="1176"/>
      <c r="AZ2175" s="1173"/>
    </row>
    <row r="2176" spans="1:52" s="2" customFormat="1" x14ac:dyDescent="0.25">
      <c r="A2176" s="694">
        <v>2002</v>
      </c>
      <c r="B2176" s="709">
        <v>24</v>
      </c>
      <c r="C2176" s="716">
        <v>203206060023</v>
      </c>
      <c r="D2176" s="701" t="s">
        <v>2671</v>
      </c>
      <c r="E2176" s="264" t="s">
        <v>2663</v>
      </c>
      <c r="F2176" s="175">
        <v>2020</v>
      </c>
      <c r="G2176" s="360" t="s">
        <v>1483</v>
      </c>
      <c r="H2176" s="264" t="s">
        <v>2551</v>
      </c>
      <c r="I2176" s="264" t="s">
        <v>2552</v>
      </c>
      <c r="J2176" s="1359">
        <v>2700000</v>
      </c>
      <c r="K2176" s="1523">
        <v>44071.465057870402</v>
      </c>
      <c r="L2176" s="1359">
        <v>3750000</v>
      </c>
      <c r="M2176" s="1523">
        <v>44071.465057870402</v>
      </c>
      <c r="N2176" s="1731"/>
      <c r="O2176" s="1367"/>
      <c r="P2176" s="1731"/>
      <c r="Q2176" s="1367"/>
      <c r="R2176" s="1363"/>
      <c r="S2176" s="1563"/>
      <c r="T2176" s="1363"/>
      <c r="U2176" s="1391"/>
      <c r="V2176" s="1363"/>
      <c r="W2176" s="1391"/>
      <c r="X2176" s="1363"/>
      <c r="Y2176" s="1391"/>
      <c r="Z2176" s="1363"/>
      <c r="AA2176" s="1391"/>
      <c r="AB2176" s="1731"/>
      <c r="AC2176" s="1367"/>
      <c r="AD2176" s="1666"/>
      <c r="AE2176" s="1590"/>
      <c r="AF2176" s="1666"/>
      <c r="AG2176" s="1590"/>
      <c r="AH2176" s="1625" t="str">
        <f t="shared" si="735"/>
        <v>ES-1B</v>
      </c>
      <c r="AI2176" s="1675">
        <f t="shared" si="736"/>
        <v>6450000</v>
      </c>
      <c r="AJ2176" s="1675">
        <f t="shared" si="737"/>
        <v>6450000</v>
      </c>
      <c r="AK2176" s="1520">
        <f t="shared" si="740"/>
        <v>0</v>
      </c>
      <c r="AL2176" s="2210" t="str">
        <f t="shared" si="741"/>
        <v>Lunas</v>
      </c>
      <c r="AM2176" s="1666"/>
      <c r="AN2176" s="1590"/>
      <c r="AO2176"/>
      <c r="AP2176"/>
      <c r="AQ2176" s="1128"/>
      <c r="AR2176" s="1173"/>
      <c r="AT2176" s="1173"/>
      <c r="AV2176" s="1173"/>
      <c r="AX2176" s="1173"/>
      <c r="AY2176" s="1176"/>
      <c r="AZ2176" s="1173"/>
    </row>
    <row r="2177" spans="1:52" s="2" customFormat="1" x14ac:dyDescent="0.25">
      <c r="A2177" s="694">
        <v>2003</v>
      </c>
      <c r="B2177" s="671">
        <v>25</v>
      </c>
      <c r="C2177" s="716">
        <v>203206060024</v>
      </c>
      <c r="D2177" s="701" t="s">
        <v>2672</v>
      </c>
      <c r="E2177" s="264" t="s">
        <v>2663</v>
      </c>
      <c r="F2177" s="175">
        <v>2020</v>
      </c>
      <c r="G2177" s="360" t="s">
        <v>1483</v>
      </c>
      <c r="H2177" s="264" t="s">
        <v>2551</v>
      </c>
      <c r="I2177" s="264" t="s">
        <v>2552</v>
      </c>
      <c r="J2177" s="1359">
        <v>2700000</v>
      </c>
      <c r="K2177" s="1523">
        <v>44071.440034722204</v>
      </c>
      <c r="L2177" s="1359">
        <v>3750000</v>
      </c>
      <c r="M2177" s="1523">
        <v>44071.440034722204</v>
      </c>
      <c r="N2177" s="1731"/>
      <c r="O2177" s="1367"/>
      <c r="P2177" s="1731"/>
      <c r="Q2177" s="1367"/>
      <c r="R2177" s="1363"/>
      <c r="S2177" s="1563"/>
      <c r="T2177" s="1363"/>
      <c r="U2177" s="1391"/>
      <c r="V2177" s="1363"/>
      <c r="W2177" s="1391"/>
      <c r="X2177" s="1363"/>
      <c r="Y2177" s="1391"/>
      <c r="Z2177" s="1363"/>
      <c r="AA2177" s="1391"/>
      <c r="AB2177" s="1731"/>
      <c r="AC2177" s="1367"/>
      <c r="AD2177" s="1666"/>
      <c r="AE2177" s="1590"/>
      <c r="AF2177" s="1666"/>
      <c r="AG2177" s="1590"/>
      <c r="AH2177" s="1625" t="str">
        <f t="shared" si="735"/>
        <v>ES-1B</v>
      </c>
      <c r="AI2177" s="1675">
        <f t="shared" si="736"/>
        <v>6450000</v>
      </c>
      <c r="AJ2177" s="1675">
        <f t="shared" si="737"/>
        <v>6450000</v>
      </c>
      <c r="AK2177" s="1520">
        <f t="shared" si="740"/>
        <v>0</v>
      </c>
      <c r="AL2177" s="2210" t="str">
        <f t="shared" si="741"/>
        <v>Lunas</v>
      </c>
      <c r="AM2177" s="1666"/>
      <c r="AN2177" s="1590"/>
      <c r="AO2177"/>
      <c r="AP2177"/>
      <c r="AQ2177" s="1128"/>
      <c r="AR2177" s="1173"/>
      <c r="AT2177" s="1173"/>
      <c r="AV2177" s="1173"/>
      <c r="AX2177" s="1173"/>
      <c r="AY2177" s="1176"/>
      <c r="AZ2177" s="1173"/>
    </row>
    <row r="2178" spans="1:52" s="2" customFormat="1" x14ac:dyDescent="0.25">
      <c r="A2178" s="694">
        <v>2004</v>
      </c>
      <c r="B2178" s="709">
        <v>26</v>
      </c>
      <c r="C2178" s="716">
        <v>203206060025</v>
      </c>
      <c r="D2178" s="701" t="s">
        <v>2673</v>
      </c>
      <c r="E2178" s="264" t="s">
        <v>2663</v>
      </c>
      <c r="F2178" s="175">
        <v>2020</v>
      </c>
      <c r="G2178" s="360" t="s">
        <v>1483</v>
      </c>
      <c r="H2178" s="264" t="s">
        <v>2551</v>
      </c>
      <c r="I2178" s="264" t="s">
        <v>2552</v>
      </c>
      <c r="J2178" s="1359">
        <v>2700000</v>
      </c>
      <c r="K2178" s="1523">
        <v>44070.426388888904</v>
      </c>
      <c r="L2178" s="1359">
        <v>3750000</v>
      </c>
      <c r="M2178" s="1523">
        <v>44070.426388888904</v>
      </c>
      <c r="N2178" s="1731"/>
      <c r="O2178" s="1367"/>
      <c r="P2178" s="1731"/>
      <c r="Q2178" s="1367"/>
      <c r="R2178" s="1363"/>
      <c r="S2178" s="1563"/>
      <c r="T2178" s="1363"/>
      <c r="U2178" s="1391"/>
      <c r="V2178" s="1363"/>
      <c r="W2178" s="1391"/>
      <c r="X2178" s="1363"/>
      <c r="Y2178" s="1391"/>
      <c r="Z2178" s="1363"/>
      <c r="AA2178" s="1391"/>
      <c r="AB2178" s="1731"/>
      <c r="AC2178" s="1367"/>
      <c r="AD2178" s="1666"/>
      <c r="AE2178" s="1590"/>
      <c r="AF2178" s="1666"/>
      <c r="AG2178" s="1590"/>
      <c r="AH2178" s="1625" t="str">
        <f t="shared" si="735"/>
        <v>ES-1B</v>
      </c>
      <c r="AI2178" s="1675">
        <f t="shared" si="736"/>
        <v>6450000</v>
      </c>
      <c r="AJ2178" s="1675">
        <f t="shared" si="737"/>
        <v>6450000</v>
      </c>
      <c r="AK2178" s="1520">
        <f t="shared" si="740"/>
        <v>0</v>
      </c>
      <c r="AL2178" s="2210" t="str">
        <f t="shared" si="741"/>
        <v>Lunas</v>
      </c>
      <c r="AM2178" s="1666"/>
      <c r="AN2178" s="1590"/>
      <c r="AO2178"/>
      <c r="AP2178"/>
      <c r="AQ2178" s="1128"/>
      <c r="AR2178" s="1173"/>
      <c r="AT2178" s="1173"/>
      <c r="AV2178" s="1173"/>
      <c r="AX2178" s="1173"/>
      <c r="AY2178" s="1176"/>
      <c r="AZ2178" s="1173"/>
    </row>
    <row r="2179" spans="1:52" s="2" customFormat="1" x14ac:dyDescent="0.25">
      <c r="A2179" s="694">
        <v>2005</v>
      </c>
      <c r="B2179" s="671">
        <v>27</v>
      </c>
      <c r="C2179" s="716">
        <v>203206060026</v>
      </c>
      <c r="D2179" s="701" t="s">
        <v>2674</v>
      </c>
      <c r="E2179" s="264" t="s">
        <v>2663</v>
      </c>
      <c r="F2179" s="175">
        <v>2020</v>
      </c>
      <c r="G2179" s="360" t="s">
        <v>1483</v>
      </c>
      <c r="H2179" s="264" t="s">
        <v>2551</v>
      </c>
      <c r="I2179" s="264" t="s">
        <v>2552</v>
      </c>
      <c r="J2179" s="1359">
        <v>2700000</v>
      </c>
      <c r="K2179" s="1523">
        <v>44070.714259259301</v>
      </c>
      <c r="L2179" s="1359">
        <v>3750000</v>
      </c>
      <c r="M2179" s="1523">
        <v>44070.714259259301</v>
      </c>
      <c r="N2179" s="1731"/>
      <c r="O2179" s="1367"/>
      <c r="P2179" s="1731"/>
      <c r="Q2179" s="1367"/>
      <c r="R2179" s="1363"/>
      <c r="S2179" s="1563"/>
      <c r="T2179" s="1363"/>
      <c r="U2179" s="1391"/>
      <c r="V2179" s="1363"/>
      <c r="W2179" s="1391"/>
      <c r="X2179" s="1363"/>
      <c r="Y2179" s="1391"/>
      <c r="Z2179" s="1363"/>
      <c r="AA2179" s="1391"/>
      <c r="AB2179" s="1731"/>
      <c r="AC2179" s="1367"/>
      <c r="AD2179" s="1666"/>
      <c r="AE2179" s="1590"/>
      <c r="AF2179" s="1666"/>
      <c r="AG2179" s="1590"/>
      <c r="AH2179" s="1625" t="str">
        <f t="shared" si="735"/>
        <v>ES-1B</v>
      </c>
      <c r="AI2179" s="1675">
        <f t="shared" si="736"/>
        <v>6450000</v>
      </c>
      <c r="AJ2179" s="1675">
        <f t="shared" si="737"/>
        <v>6450000</v>
      </c>
      <c r="AK2179" s="1520">
        <f t="shared" si="740"/>
        <v>0</v>
      </c>
      <c r="AL2179" s="2210" t="str">
        <f t="shared" si="741"/>
        <v>Lunas</v>
      </c>
      <c r="AM2179" s="1666"/>
      <c r="AN2179" s="1590"/>
      <c r="AO2179"/>
      <c r="AP2179"/>
      <c r="AQ2179" s="1128"/>
      <c r="AR2179" s="1173"/>
      <c r="AT2179" s="1173"/>
      <c r="AV2179" s="1173"/>
      <c r="AX2179" s="1173"/>
      <c r="AY2179" s="1176"/>
      <c r="AZ2179" s="1173"/>
    </row>
    <row r="2180" spans="1:52" s="2" customFormat="1" x14ac:dyDescent="0.25">
      <c r="A2180" s="694">
        <v>2006</v>
      </c>
      <c r="B2180" s="709">
        <v>28</v>
      </c>
      <c r="C2180" s="716">
        <v>203206060027</v>
      </c>
      <c r="D2180" s="701" t="s">
        <v>2675</v>
      </c>
      <c r="E2180" s="264" t="s">
        <v>2663</v>
      </c>
      <c r="F2180" s="175">
        <v>2020</v>
      </c>
      <c r="G2180" s="360" t="s">
        <v>1483</v>
      </c>
      <c r="H2180" s="264" t="s">
        <v>2551</v>
      </c>
      <c r="I2180" s="264" t="s">
        <v>2552</v>
      </c>
      <c r="J2180" s="1359">
        <v>2700000</v>
      </c>
      <c r="K2180" s="1523">
        <v>44070.855428240699</v>
      </c>
      <c r="L2180" s="1359">
        <v>3750000</v>
      </c>
      <c r="M2180" s="1523">
        <v>44070.855428240699</v>
      </c>
      <c r="N2180" s="1731"/>
      <c r="O2180" s="1367"/>
      <c r="P2180" s="1731"/>
      <c r="Q2180" s="1367"/>
      <c r="R2180" s="1363"/>
      <c r="S2180" s="1563"/>
      <c r="T2180" s="1363"/>
      <c r="U2180" s="1391"/>
      <c r="V2180" s="1363"/>
      <c r="W2180" s="1391"/>
      <c r="X2180" s="1363"/>
      <c r="Y2180" s="1391"/>
      <c r="Z2180" s="1363"/>
      <c r="AA2180" s="1391"/>
      <c r="AB2180" s="1731"/>
      <c r="AC2180" s="1367"/>
      <c r="AD2180" s="1666"/>
      <c r="AE2180" s="1590"/>
      <c r="AF2180" s="1666"/>
      <c r="AG2180" s="1590"/>
      <c r="AH2180" s="1625" t="str">
        <f t="shared" si="735"/>
        <v>ES-1B</v>
      </c>
      <c r="AI2180" s="1675">
        <f t="shared" si="736"/>
        <v>6450000</v>
      </c>
      <c r="AJ2180" s="1675">
        <f t="shared" si="737"/>
        <v>6450000</v>
      </c>
      <c r="AK2180" s="1520">
        <f t="shared" si="740"/>
        <v>0</v>
      </c>
      <c r="AL2180" s="2210" t="str">
        <f t="shared" si="741"/>
        <v>Lunas</v>
      </c>
      <c r="AM2180" s="1666"/>
      <c r="AN2180" s="1590"/>
      <c r="AO2180"/>
      <c r="AP2180"/>
      <c r="AQ2180" s="1128"/>
      <c r="AR2180" s="1173"/>
      <c r="AT2180" s="1173"/>
      <c r="AV2180" s="1173"/>
      <c r="AX2180" s="1173"/>
      <c r="AY2180" s="1176"/>
      <c r="AZ2180" s="1173"/>
    </row>
    <row r="2181" spans="1:52" s="2" customFormat="1" x14ac:dyDescent="0.25">
      <c r="A2181" s="694">
        <v>2007</v>
      </c>
      <c r="B2181" s="671">
        <v>29</v>
      </c>
      <c r="C2181" s="716">
        <v>203206060028</v>
      </c>
      <c r="D2181" s="701" t="s">
        <v>2676</v>
      </c>
      <c r="E2181" s="264" t="s">
        <v>2663</v>
      </c>
      <c r="F2181" s="175">
        <v>2020</v>
      </c>
      <c r="G2181" s="360" t="s">
        <v>1483</v>
      </c>
      <c r="H2181" s="264" t="s">
        <v>2551</v>
      </c>
      <c r="I2181" s="264" t="s">
        <v>2552</v>
      </c>
      <c r="J2181" s="1359">
        <v>2700000</v>
      </c>
      <c r="K2181" s="1523">
        <v>44071.449872685203</v>
      </c>
      <c r="L2181" s="1359">
        <v>3750000</v>
      </c>
      <c r="M2181" s="1523">
        <v>44071.449872685203</v>
      </c>
      <c r="N2181" s="1731"/>
      <c r="O2181" s="1367"/>
      <c r="P2181" s="1731"/>
      <c r="Q2181" s="1367"/>
      <c r="R2181" s="1363"/>
      <c r="S2181" s="1563"/>
      <c r="T2181" s="1363"/>
      <c r="U2181" s="1391"/>
      <c r="V2181" s="1363"/>
      <c r="W2181" s="1391"/>
      <c r="X2181" s="1363"/>
      <c r="Y2181" s="1391"/>
      <c r="Z2181" s="1363"/>
      <c r="AA2181" s="1391"/>
      <c r="AB2181" s="1731"/>
      <c r="AC2181" s="1367"/>
      <c r="AD2181" s="1666"/>
      <c r="AE2181" s="1590"/>
      <c r="AF2181" s="1666"/>
      <c r="AG2181" s="1590"/>
      <c r="AH2181" s="1625" t="str">
        <f t="shared" si="735"/>
        <v>ES-1B</v>
      </c>
      <c r="AI2181" s="1675">
        <f t="shared" si="736"/>
        <v>6450000</v>
      </c>
      <c r="AJ2181" s="1675">
        <f t="shared" si="737"/>
        <v>6450000</v>
      </c>
      <c r="AK2181" s="1520">
        <f t="shared" si="740"/>
        <v>0</v>
      </c>
      <c r="AL2181" s="2210" t="str">
        <f t="shared" si="741"/>
        <v>Lunas</v>
      </c>
      <c r="AM2181" s="1666"/>
      <c r="AN2181" s="1590"/>
      <c r="AO2181"/>
      <c r="AP2181"/>
      <c r="AQ2181" s="1128"/>
      <c r="AR2181" s="1173"/>
      <c r="AT2181" s="1173"/>
      <c r="AV2181" s="1173"/>
      <c r="AX2181" s="1173"/>
      <c r="AY2181" s="1176"/>
      <c r="AZ2181" s="1173"/>
    </row>
    <row r="2182" spans="1:52" s="2" customFormat="1" x14ac:dyDescent="0.25">
      <c r="A2182" s="694">
        <v>2008</v>
      </c>
      <c r="B2182" s="709">
        <v>30</v>
      </c>
      <c r="C2182" s="716">
        <v>203206060029</v>
      </c>
      <c r="D2182" s="701" t="s">
        <v>2677</v>
      </c>
      <c r="E2182" s="264" t="s">
        <v>2663</v>
      </c>
      <c r="F2182" s="175">
        <v>2020</v>
      </c>
      <c r="G2182" s="360" t="s">
        <v>1483</v>
      </c>
      <c r="H2182" s="264" t="s">
        <v>2551</v>
      </c>
      <c r="I2182" s="264" t="s">
        <v>2552</v>
      </c>
      <c r="J2182" s="1359">
        <v>2700000</v>
      </c>
      <c r="K2182" s="1523">
        <v>44070.390104166698</v>
      </c>
      <c r="L2182" s="1359">
        <v>3750000</v>
      </c>
      <c r="M2182" s="1523">
        <v>44070.390104166698</v>
      </c>
      <c r="N2182" s="1731"/>
      <c r="O2182" s="1367"/>
      <c r="P2182" s="1731"/>
      <c r="Q2182" s="1367"/>
      <c r="R2182" s="1363"/>
      <c r="S2182" s="1563"/>
      <c r="T2182" s="1363"/>
      <c r="U2182" s="1391"/>
      <c r="V2182" s="1363"/>
      <c r="W2182" s="1391"/>
      <c r="X2182" s="1363"/>
      <c r="Y2182" s="1391"/>
      <c r="Z2182" s="1363"/>
      <c r="AA2182" s="1391"/>
      <c r="AB2182" s="1731"/>
      <c r="AC2182" s="1367"/>
      <c r="AD2182" s="1666"/>
      <c r="AE2182" s="1590"/>
      <c r="AF2182" s="1666"/>
      <c r="AG2182" s="1590"/>
      <c r="AH2182" s="1625" t="str">
        <f t="shared" si="735"/>
        <v>ES-1B</v>
      </c>
      <c r="AI2182" s="1675">
        <f t="shared" si="736"/>
        <v>6450000</v>
      </c>
      <c r="AJ2182" s="1675">
        <f t="shared" si="737"/>
        <v>6450000</v>
      </c>
      <c r="AK2182" s="1520">
        <f t="shared" ref="AK2182" si="742">AJ2182-AI2182</f>
        <v>0</v>
      </c>
      <c r="AL2182" s="2210" t="str">
        <f t="shared" ref="AL2182" si="743">IF(AK2182=0,"Lunas","Cek")</f>
        <v>Lunas</v>
      </c>
      <c r="AM2182" s="1666"/>
      <c r="AN2182" s="1590"/>
      <c r="AO2182"/>
      <c r="AP2182"/>
      <c r="AQ2182" s="1128"/>
      <c r="AR2182" s="1173"/>
      <c r="AT2182" s="1173"/>
      <c r="AV2182" s="1173"/>
      <c r="AX2182" s="1173"/>
      <c r="AY2182" s="1176"/>
      <c r="AZ2182" s="1173"/>
    </row>
    <row r="2183" spans="1:52" s="2" customFormat="1" x14ac:dyDescent="0.25">
      <c r="A2183" s="694">
        <v>2009</v>
      </c>
      <c r="B2183" s="671">
        <v>31</v>
      </c>
      <c r="C2183" s="716">
        <v>203206060030</v>
      </c>
      <c r="D2183" s="701" t="s">
        <v>2678</v>
      </c>
      <c r="E2183" s="264" t="s">
        <v>2663</v>
      </c>
      <c r="F2183" s="175">
        <v>2020</v>
      </c>
      <c r="G2183" s="360" t="s">
        <v>1483</v>
      </c>
      <c r="H2183" s="264" t="s">
        <v>2551</v>
      </c>
      <c r="I2183" s="264" t="s">
        <v>2552</v>
      </c>
      <c r="J2183" s="1359">
        <v>950000</v>
      </c>
      <c r="K2183" s="1523">
        <v>44081</v>
      </c>
      <c r="L2183" s="1359">
        <v>3750000</v>
      </c>
      <c r="M2183" s="1523">
        <v>44081</v>
      </c>
      <c r="N2183" s="1731" t="str">
        <f>IFERROR(VLOOKUP(C2183,BSP,3,FALSE),"  ")</f>
        <v xml:space="preserve">  </v>
      </c>
      <c r="O2183" s="1367" t="str">
        <f>IFERROR((VLOOKUP(C2183,BSP,4,FALSE)),"  ")</f>
        <v xml:space="preserve">  </v>
      </c>
      <c r="P2183" s="1731"/>
      <c r="Q2183" s="1367"/>
      <c r="R2183" s="1363"/>
      <c r="S2183" s="1563"/>
      <c r="T2183" s="1363"/>
      <c r="U2183" s="1391"/>
      <c r="V2183" s="1363"/>
      <c r="W2183" s="1391"/>
      <c r="X2183" s="1363"/>
      <c r="Y2183" s="1391"/>
      <c r="Z2183" s="1363"/>
      <c r="AA2183" s="1391"/>
      <c r="AB2183" s="1731">
        <v>1000000</v>
      </c>
      <c r="AC2183" s="1367">
        <v>44123</v>
      </c>
      <c r="AD2183" s="1666"/>
      <c r="AE2183" s="1590"/>
      <c r="AF2183" s="1666"/>
      <c r="AG2183" s="1590"/>
      <c r="AH2183" s="1625" t="str">
        <f t="shared" si="735"/>
        <v>ES-1B</v>
      </c>
      <c r="AI2183" s="1675">
        <f t="shared" si="736"/>
        <v>5700000</v>
      </c>
      <c r="AJ2183" s="1675">
        <f t="shared" si="737"/>
        <v>7450000</v>
      </c>
      <c r="AK2183" s="1520">
        <f t="shared" si="740"/>
        <v>1750000</v>
      </c>
      <c r="AL2183" s="2210" t="str">
        <f t="shared" si="741"/>
        <v>Cek</v>
      </c>
      <c r="AM2183" s="1666"/>
      <c r="AN2183" s="1590"/>
      <c r="AO2183"/>
      <c r="AP2183"/>
      <c r="AQ2183" s="1128"/>
      <c r="AR2183" s="1173"/>
      <c r="AT2183" s="1173"/>
      <c r="AV2183" s="1173"/>
      <c r="AX2183" s="1173"/>
      <c r="AY2183" s="1176"/>
      <c r="AZ2183" s="1173"/>
    </row>
    <row r="2184" spans="1:52" x14ac:dyDescent="0.25">
      <c r="A2184" s="725"/>
      <c r="B2184" s="725"/>
      <c r="C2184" s="33"/>
      <c r="D2184" s="123"/>
      <c r="H2184" s="124"/>
      <c r="I2184" s="124"/>
      <c r="J2184" s="1212"/>
      <c r="P2184" s="761"/>
      <c r="Q2184" s="1089"/>
      <c r="S2184" s="1375"/>
      <c r="AH2184">
        <f t="shared" si="735"/>
        <v>0</v>
      </c>
    </row>
    <row r="2185" spans="1:52" s="2" customFormat="1" x14ac:dyDescent="0.25">
      <c r="A2185" s="625" t="s">
        <v>2679</v>
      </c>
      <c r="B2185" s="625"/>
      <c r="C2185" s="366"/>
      <c r="D2185" s="625"/>
      <c r="E2185" s="198" t="s">
        <v>1096</v>
      </c>
      <c r="F2185" s="199" t="s">
        <v>1096</v>
      </c>
      <c r="G2185" s="565">
        <v>3750000</v>
      </c>
      <c r="H2185" s="147" t="str">
        <f>IFERROR(VLOOKUP(C2185,Tlus,3,FALSE),"   ")</f>
        <v xml:space="preserve">   </v>
      </c>
      <c r="I2185" s="147" t="str">
        <f>IFERROR(VLOOKUP(C2185,Wis,4,FALSE),"   ")</f>
        <v xml:space="preserve">   </v>
      </c>
      <c r="J2185" s="2035">
        <v>2700000</v>
      </c>
      <c r="K2185" s="2036"/>
      <c r="L2185" s="2163" t="s">
        <v>1049</v>
      </c>
      <c r="M2185" s="2164" t="s">
        <v>1463</v>
      </c>
      <c r="N2185" s="2163" t="s">
        <v>1051</v>
      </c>
      <c r="O2185" s="2164" t="s">
        <v>1464</v>
      </c>
      <c r="P2185" s="2016" t="s">
        <v>1053</v>
      </c>
      <c r="Q2185" s="1438" t="s">
        <v>1466</v>
      </c>
      <c r="R2185" s="2016" t="s">
        <v>1055</v>
      </c>
      <c r="S2185" s="1438" t="s">
        <v>1468</v>
      </c>
      <c r="T2185" s="2016" t="s">
        <v>1057</v>
      </c>
      <c r="U2185" s="1438" t="s">
        <v>1470</v>
      </c>
      <c r="V2185" s="2016" t="s">
        <v>1059</v>
      </c>
      <c r="W2185" s="1438" t="s">
        <v>1718</v>
      </c>
      <c r="X2185" s="1582" t="s">
        <v>1061</v>
      </c>
      <c r="Y2185" s="1438" t="s">
        <v>1719</v>
      </c>
      <c r="Z2185" s="1582" t="s">
        <v>1063</v>
      </c>
      <c r="AA2185" s="1438" t="s">
        <v>1980</v>
      </c>
      <c r="AB2185" s="2177">
        <v>1000000</v>
      </c>
      <c r="AC2185" s="2178" t="s">
        <v>2015</v>
      </c>
      <c r="AD2185" s="1450">
        <v>1200000</v>
      </c>
      <c r="AE2185" s="1663" t="s">
        <v>2016</v>
      </c>
      <c r="AF2185" s="1450">
        <v>1600000</v>
      </c>
      <c r="AG2185" s="1663" t="s">
        <v>1326</v>
      </c>
      <c r="AH2185" s="1408" t="str">
        <f t="shared" si="735"/>
        <v>#</v>
      </c>
      <c r="AI2185" s="1512"/>
      <c r="AJ2185" s="1409"/>
      <c r="AK2185" s="1409"/>
      <c r="AL2185" s="1513"/>
      <c r="AM2185" s="1450">
        <v>500000</v>
      </c>
      <c r="AN2185" s="1663" t="s">
        <v>22</v>
      </c>
      <c r="AO2185"/>
      <c r="AP2185"/>
      <c r="AQ2185" s="1128"/>
      <c r="AR2185" s="1173"/>
      <c r="AT2185" s="1173"/>
      <c r="AV2185" s="1173"/>
      <c r="AX2185" s="1173"/>
      <c r="AY2185" s="1176"/>
      <c r="AZ2185" s="1173"/>
    </row>
    <row r="2186" spans="1:52" s="2" customFormat="1" x14ac:dyDescent="0.25">
      <c r="A2186" s="694">
        <v>2010</v>
      </c>
      <c r="B2186" s="671">
        <v>1</v>
      </c>
      <c r="C2186" s="716">
        <v>203206030001</v>
      </c>
      <c r="D2186" s="701" t="s">
        <v>2680</v>
      </c>
      <c r="E2186" s="264" t="s">
        <v>2681</v>
      </c>
      <c r="F2186" s="175">
        <v>2020</v>
      </c>
      <c r="G2186" s="360" t="s">
        <v>1483</v>
      </c>
      <c r="H2186" s="264" t="s">
        <v>2682</v>
      </c>
      <c r="I2186" s="264" t="s">
        <v>2552</v>
      </c>
      <c r="J2186" s="1359">
        <v>2700000</v>
      </c>
      <c r="K2186" s="1523">
        <v>44068.558136574102</v>
      </c>
      <c r="L2186" s="1359">
        <v>3750000</v>
      </c>
      <c r="M2186" s="1523">
        <v>44068.558136574102</v>
      </c>
      <c r="N2186" s="1731"/>
      <c r="O2186" s="1367"/>
      <c r="P2186" s="1731"/>
      <c r="Q2186" s="1367"/>
      <c r="R2186" s="1363"/>
      <c r="S2186" s="1563"/>
      <c r="T2186" s="1363"/>
      <c r="U2186" s="1391"/>
      <c r="V2186" s="1363"/>
      <c r="W2186" s="1391"/>
      <c r="X2186" s="1363"/>
      <c r="Y2186" s="1391"/>
      <c r="Z2186" s="1363"/>
      <c r="AA2186" s="1391"/>
      <c r="AB2186" s="1666"/>
      <c r="AC2186" s="1590"/>
      <c r="AD2186" s="1666"/>
      <c r="AE2186" s="1590"/>
      <c r="AF2186" s="1666"/>
      <c r="AG2186" s="1590"/>
      <c r="AH2186" s="1625" t="str">
        <f t="shared" si="735"/>
        <v>PAI-1A</v>
      </c>
      <c r="AI2186" s="1675">
        <f t="shared" ref="AI2186:AI2239" si="744">SUM(J2186,L2186,N2186,P2186,R2186,T2186,V2186,X2186,Z2186,AB2186,AD2186,AF2186,AM2186)</f>
        <v>6450000</v>
      </c>
      <c r="AJ2186" s="1675">
        <f t="shared" ref="AJ2186:AJ2217" si="745">(COUNT(L2186,N2186,P2186,R2186,T2186,V2186,X2186,Z2186)*$G$1507)+(COUNT(J2186)*$J$1507)+(COUNT(AB2186)*$AB$1507)+(COUNT(AD2186)*$AD$1507)+(COUNT(AF2186)*$AF$1507)+(COUNT(AM2186)*$AM$1507)</f>
        <v>6450000</v>
      </c>
      <c r="AK2186" s="1520">
        <f t="shared" ref="AK2186" si="746">AJ2186-AI2186</f>
        <v>0</v>
      </c>
      <c r="AL2186" s="2187" t="str">
        <f t="shared" ref="AL2186" si="747">IF(AK2186=0,"Lunas","Cek")</f>
        <v>Lunas</v>
      </c>
      <c r="AM2186" s="1666"/>
      <c r="AN2186" s="1590"/>
      <c r="AO2186"/>
      <c r="AP2186"/>
      <c r="AQ2186" s="1128"/>
      <c r="AR2186" s="1173"/>
      <c r="AT2186" s="1173"/>
      <c r="AV2186" s="1173"/>
      <c r="AX2186" s="1173"/>
      <c r="AY2186" s="1176"/>
      <c r="AZ2186" s="1173"/>
    </row>
    <row r="2187" spans="1:52" s="2" customFormat="1" x14ac:dyDescent="0.25">
      <c r="A2187" s="694">
        <v>2011</v>
      </c>
      <c r="B2187" s="709">
        <v>2</v>
      </c>
      <c r="C2187" s="716">
        <v>203206030002</v>
      </c>
      <c r="D2187" s="701" t="s">
        <v>2683</v>
      </c>
      <c r="E2187" s="264" t="s">
        <v>2681</v>
      </c>
      <c r="F2187" s="175">
        <v>2020</v>
      </c>
      <c r="G2187" s="360" t="s">
        <v>1483</v>
      </c>
      <c r="H2187" s="264" t="s">
        <v>2682</v>
      </c>
      <c r="I2187" s="264" t="s">
        <v>2552</v>
      </c>
      <c r="J2187" s="1359">
        <v>2700000</v>
      </c>
      <c r="K2187" s="1523">
        <v>44071.553252314799</v>
      </c>
      <c r="L2187" s="1359">
        <v>3750000</v>
      </c>
      <c r="M2187" s="1523">
        <v>44071.553252314799</v>
      </c>
      <c r="N2187" s="1731"/>
      <c r="O2187" s="1367"/>
      <c r="P2187" s="1731"/>
      <c r="Q2187" s="1367"/>
      <c r="R2187" s="1363"/>
      <c r="S2187" s="1563"/>
      <c r="T2187" s="1363"/>
      <c r="U2187" s="1391"/>
      <c r="V2187" s="1363"/>
      <c r="W2187" s="1391"/>
      <c r="X2187" s="1363"/>
      <c r="Y2187" s="1391"/>
      <c r="Z2187" s="1363"/>
      <c r="AA2187" s="1391"/>
      <c r="AB2187" s="1731"/>
      <c r="AC2187" s="1367"/>
      <c r="AD2187" s="1666"/>
      <c r="AE2187" s="1590"/>
      <c r="AF2187" s="1666"/>
      <c r="AG2187" s="1590"/>
      <c r="AH2187" s="1625" t="str">
        <f t="shared" si="735"/>
        <v>PAI-1A</v>
      </c>
      <c r="AI2187" s="1675">
        <f t="shared" si="744"/>
        <v>6450000</v>
      </c>
      <c r="AJ2187" s="1675">
        <f t="shared" si="745"/>
        <v>6450000</v>
      </c>
      <c r="AK2187" s="1520">
        <f t="shared" ref="AK2187:AK2217" si="748">AJ2187-AI2187</f>
        <v>0</v>
      </c>
      <c r="AL2187" s="2210" t="str">
        <f t="shared" ref="AL2187:AL2217" si="749">IF(AK2187=0,"Lunas","Cek")</f>
        <v>Lunas</v>
      </c>
      <c r="AM2187" s="1666"/>
      <c r="AN2187" s="1590"/>
      <c r="AO2187"/>
      <c r="AP2187"/>
      <c r="AQ2187" s="1128"/>
      <c r="AR2187" s="1173"/>
      <c r="AT2187" s="1173"/>
      <c r="AV2187" s="1173"/>
      <c r="AX2187" s="1173"/>
      <c r="AY2187" s="1176"/>
      <c r="AZ2187" s="1173"/>
    </row>
    <row r="2188" spans="1:52" s="2" customFormat="1" x14ac:dyDescent="0.25">
      <c r="A2188" s="694">
        <v>2012</v>
      </c>
      <c r="B2188" s="671">
        <v>3</v>
      </c>
      <c r="C2188" s="716">
        <v>203206030003</v>
      </c>
      <c r="D2188" s="701" t="s">
        <v>2684</v>
      </c>
      <c r="E2188" s="264" t="s">
        <v>2681</v>
      </c>
      <c r="F2188" s="175">
        <v>2020</v>
      </c>
      <c r="G2188" s="360" t="s">
        <v>1483</v>
      </c>
      <c r="H2188" s="264" t="s">
        <v>2682</v>
      </c>
      <c r="I2188" s="264" t="s">
        <v>2552</v>
      </c>
      <c r="J2188" s="1359">
        <v>2700000</v>
      </c>
      <c r="K2188" s="1523">
        <v>44071.594178240703</v>
      </c>
      <c r="L2188" s="1359">
        <v>3750000</v>
      </c>
      <c r="M2188" s="1523">
        <v>44071.594178240703</v>
      </c>
      <c r="N2188" s="1731"/>
      <c r="O2188" s="1367"/>
      <c r="P2188" s="1731"/>
      <c r="Q2188" s="1367"/>
      <c r="R2188" s="1363"/>
      <c r="S2188" s="1563"/>
      <c r="T2188" s="1363"/>
      <c r="U2188" s="1391"/>
      <c r="V2188" s="1363"/>
      <c r="W2188" s="1391"/>
      <c r="X2188" s="1363"/>
      <c r="Y2188" s="1391"/>
      <c r="Z2188" s="1363"/>
      <c r="AA2188" s="1391"/>
      <c r="AB2188" s="1731"/>
      <c r="AC2188" s="1367"/>
      <c r="AD2188" s="1666"/>
      <c r="AE2188" s="1590"/>
      <c r="AF2188" s="1666"/>
      <c r="AG2188" s="1590"/>
      <c r="AH2188" s="1625" t="str">
        <f t="shared" si="735"/>
        <v>PAI-1A</v>
      </c>
      <c r="AI2188" s="1675">
        <f t="shared" si="744"/>
        <v>6450000</v>
      </c>
      <c r="AJ2188" s="1675">
        <f t="shared" si="745"/>
        <v>6450000</v>
      </c>
      <c r="AK2188" s="1520">
        <f t="shared" si="748"/>
        <v>0</v>
      </c>
      <c r="AL2188" s="2210" t="str">
        <f t="shared" si="749"/>
        <v>Lunas</v>
      </c>
      <c r="AM2188" s="1666"/>
      <c r="AN2188" s="1590"/>
      <c r="AO2188"/>
      <c r="AP2188"/>
      <c r="AQ2188" s="1128"/>
      <c r="AR2188" s="1173"/>
      <c r="AT2188" s="1173"/>
      <c r="AV2188" s="1173"/>
      <c r="AX2188" s="1173"/>
      <c r="AY2188" s="1176"/>
      <c r="AZ2188" s="1173"/>
    </row>
    <row r="2189" spans="1:52" s="2" customFormat="1" x14ac:dyDescent="0.25">
      <c r="A2189" s="694">
        <v>2013</v>
      </c>
      <c r="B2189" s="709">
        <v>4</v>
      </c>
      <c r="C2189" s="716">
        <v>203206030004</v>
      </c>
      <c r="D2189" s="701" t="s">
        <v>2685</v>
      </c>
      <c r="E2189" s="264" t="s">
        <v>2681</v>
      </c>
      <c r="F2189" s="175">
        <v>2020</v>
      </c>
      <c r="G2189" s="360" t="s">
        <v>1483</v>
      </c>
      <c r="H2189" s="264" t="s">
        <v>2682</v>
      </c>
      <c r="I2189" s="264" t="s">
        <v>2552</v>
      </c>
      <c r="J2189" s="1359">
        <v>2700000</v>
      </c>
      <c r="K2189" s="1523">
        <v>44068.457060185203</v>
      </c>
      <c r="L2189" s="1359">
        <v>3750000</v>
      </c>
      <c r="M2189" s="1523">
        <v>44068.457060185203</v>
      </c>
      <c r="N2189" s="1731"/>
      <c r="O2189" s="1367"/>
      <c r="P2189" s="1731"/>
      <c r="Q2189" s="1367"/>
      <c r="R2189" s="1363"/>
      <c r="S2189" s="1563"/>
      <c r="T2189" s="1363"/>
      <c r="U2189" s="1391"/>
      <c r="V2189" s="1363"/>
      <c r="W2189" s="1391"/>
      <c r="X2189" s="1363"/>
      <c r="Y2189" s="1391"/>
      <c r="Z2189" s="1363"/>
      <c r="AA2189" s="1391"/>
      <c r="AB2189" s="1731"/>
      <c r="AC2189" s="1367"/>
      <c r="AD2189" s="1666"/>
      <c r="AE2189" s="1590"/>
      <c r="AF2189" s="1666"/>
      <c r="AG2189" s="1590"/>
      <c r="AH2189" s="1625" t="str">
        <f t="shared" si="735"/>
        <v>PAI-1A</v>
      </c>
      <c r="AI2189" s="1675">
        <f t="shared" si="744"/>
        <v>6450000</v>
      </c>
      <c r="AJ2189" s="1675">
        <f t="shared" si="745"/>
        <v>6450000</v>
      </c>
      <c r="AK2189" s="1520">
        <f t="shared" si="748"/>
        <v>0</v>
      </c>
      <c r="AL2189" s="2210" t="str">
        <f t="shared" si="749"/>
        <v>Lunas</v>
      </c>
      <c r="AM2189" s="1666"/>
      <c r="AN2189" s="1590"/>
      <c r="AO2189"/>
      <c r="AP2189"/>
      <c r="AQ2189" s="1128"/>
      <c r="AR2189" s="1173"/>
      <c r="AT2189" s="1173"/>
      <c r="AV2189" s="1173"/>
      <c r="AX2189" s="1173"/>
      <c r="AY2189" s="1176"/>
      <c r="AZ2189" s="1173"/>
    </row>
    <row r="2190" spans="1:52" s="2" customFormat="1" x14ac:dyDescent="0.25">
      <c r="A2190" s="694">
        <v>2014</v>
      </c>
      <c r="B2190" s="671">
        <v>5</v>
      </c>
      <c r="C2190" s="716">
        <v>203206030005</v>
      </c>
      <c r="D2190" s="701" t="s">
        <v>2686</v>
      </c>
      <c r="E2190" s="264" t="s">
        <v>2681</v>
      </c>
      <c r="F2190" s="175">
        <v>2020</v>
      </c>
      <c r="G2190" s="360" t="s">
        <v>1483</v>
      </c>
      <c r="H2190" s="264" t="s">
        <v>2682</v>
      </c>
      <c r="I2190" s="264" t="s">
        <v>2552</v>
      </c>
      <c r="J2190" s="1359">
        <v>2700000</v>
      </c>
      <c r="K2190" s="1523">
        <v>44070.639756944402</v>
      </c>
      <c r="L2190" s="1359">
        <v>3750000</v>
      </c>
      <c r="M2190" s="1523">
        <v>44070.639756944402</v>
      </c>
      <c r="N2190" s="1731"/>
      <c r="O2190" s="1367"/>
      <c r="P2190" s="1731"/>
      <c r="Q2190" s="1367"/>
      <c r="R2190" s="1363"/>
      <c r="S2190" s="1563"/>
      <c r="T2190" s="1363"/>
      <c r="U2190" s="1391"/>
      <c r="V2190" s="1363"/>
      <c r="W2190" s="1391"/>
      <c r="X2190" s="1363"/>
      <c r="Y2190" s="1391"/>
      <c r="Z2190" s="1363"/>
      <c r="AA2190" s="1391"/>
      <c r="AB2190" s="1731"/>
      <c r="AC2190" s="1367"/>
      <c r="AD2190" s="1666"/>
      <c r="AE2190" s="1590"/>
      <c r="AF2190" s="1666"/>
      <c r="AG2190" s="1590"/>
      <c r="AH2190" s="1625" t="str">
        <f t="shared" si="735"/>
        <v>PAI-1A</v>
      </c>
      <c r="AI2190" s="1675">
        <f t="shared" si="744"/>
        <v>6450000</v>
      </c>
      <c r="AJ2190" s="1675">
        <f t="shared" si="745"/>
        <v>6450000</v>
      </c>
      <c r="AK2190" s="1520">
        <f t="shared" si="748"/>
        <v>0</v>
      </c>
      <c r="AL2190" s="2210" t="str">
        <f t="shared" si="749"/>
        <v>Lunas</v>
      </c>
      <c r="AM2190" s="1666"/>
      <c r="AN2190" s="1590"/>
      <c r="AO2190"/>
      <c r="AP2190"/>
      <c r="AQ2190" s="1128"/>
      <c r="AR2190" s="1173"/>
      <c r="AT2190" s="1173"/>
      <c r="AV2190" s="1173"/>
      <c r="AX2190" s="1173"/>
      <c r="AY2190" s="1176"/>
      <c r="AZ2190" s="1173"/>
    </row>
    <row r="2191" spans="1:52" s="2" customFormat="1" x14ac:dyDescent="0.25">
      <c r="A2191" s="694">
        <v>2015</v>
      </c>
      <c r="B2191" s="709">
        <v>6</v>
      </c>
      <c r="C2191" s="716">
        <v>203206030006</v>
      </c>
      <c r="D2191" s="701" t="s">
        <v>2687</v>
      </c>
      <c r="E2191" s="264" t="s">
        <v>2681</v>
      </c>
      <c r="F2191" s="175">
        <v>2020</v>
      </c>
      <c r="G2191" s="360" t="s">
        <v>1483</v>
      </c>
      <c r="H2191" s="264" t="s">
        <v>2682</v>
      </c>
      <c r="I2191" s="264" t="s">
        <v>2552</v>
      </c>
      <c r="J2191" s="1359">
        <v>2700000</v>
      </c>
      <c r="K2191" s="1523">
        <v>44071.764016203699</v>
      </c>
      <c r="L2191" s="1359">
        <v>3750000</v>
      </c>
      <c r="M2191" s="1523">
        <v>44071.764016203699</v>
      </c>
      <c r="N2191" s="1731"/>
      <c r="O2191" s="1367"/>
      <c r="P2191" s="1731"/>
      <c r="Q2191" s="1367"/>
      <c r="R2191" s="1363"/>
      <c r="S2191" s="1563"/>
      <c r="T2191" s="1363"/>
      <c r="U2191" s="1391"/>
      <c r="V2191" s="1363"/>
      <c r="W2191" s="1391"/>
      <c r="X2191" s="1363"/>
      <c r="Y2191" s="1391"/>
      <c r="Z2191" s="1363"/>
      <c r="AA2191" s="1391"/>
      <c r="AB2191" s="1731"/>
      <c r="AC2191" s="1367"/>
      <c r="AD2191" s="1666"/>
      <c r="AE2191" s="1590"/>
      <c r="AF2191" s="1666"/>
      <c r="AG2191" s="1590"/>
      <c r="AH2191" s="1625" t="str">
        <f t="shared" si="735"/>
        <v>PAI-1A</v>
      </c>
      <c r="AI2191" s="1675">
        <f t="shared" si="744"/>
        <v>6450000</v>
      </c>
      <c r="AJ2191" s="1675">
        <f t="shared" si="745"/>
        <v>6450000</v>
      </c>
      <c r="AK2191" s="1520">
        <f t="shared" si="748"/>
        <v>0</v>
      </c>
      <c r="AL2191" s="2210" t="str">
        <f t="shared" si="749"/>
        <v>Lunas</v>
      </c>
      <c r="AM2191" s="1666"/>
      <c r="AN2191" s="1590"/>
      <c r="AO2191"/>
      <c r="AP2191"/>
      <c r="AQ2191" s="1128"/>
      <c r="AR2191" s="1173"/>
      <c r="AT2191" s="1173"/>
      <c r="AV2191" s="1173"/>
      <c r="AX2191" s="1173"/>
      <c r="AY2191" s="1176"/>
      <c r="AZ2191" s="1173"/>
    </row>
    <row r="2192" spans="1:52" s="2" customFormat="1" x14ac:dyDescent="0.25">
      <c r="A2192" s="694">
        <v>2016</v>
      </c>
      <c r="B2192" s="671">
        <v>7</v>
      </c>
      <c r="C2192" s="716">
        <v>203206030007</v>
      </c>
      <c r="D2192" s="701" t="s">
        <v>2688</v>
      </c>
      <c r="E2192" s="264" t="s">
        <v>2681</v>
      </c>
      <c r="F2192" s="175">
        <v>2020</v>
      </c>
      <c r="G2192" s="360" t="s">
        <v>1483</v>
      </c>
      <c r="H2192" s="264" t="s">
        <v>2682</v>
      </c>
      <c r="I2192" s="264" t="s">
        <v>2552</v>
      </c>
      <c r="J2192" s="1359">
        <v>2700000</v>
      </c>
      <c r="K2192" s="1523">
        <v>44067.611643518503</v>
      </c>
      <c r="L2192" s="1359">
        <v>3750000</v>
      </c>
      <c r="M2192" s="1523">
        <v>44067.611643518503</v>
      </c>
      <c r="N2192" s="1731"/>
      <c r="O2192" s="1367"/>
      <c r="P2192" s="1731"/>
      <c r="Q2192" s="1367"/>
      <c r="R2192" s="1363"/>
      <c r="S2192" s="1563"/>
      <c r="T2192" s="1363"/>
      <c r="U2192" s="1391"/>
      <c r="V2192" s="1363"/>
      <c r="W2192" s="1391"/>
      <c r="X2192" s="1363"/>
      <c r="Y2192" s="1391"/>
      <c r="Z2192" s="1363"/>
      <c r="AA2192" s="1391"/>
      <c r="AB2192" s="1731"/>
      <c r="AC2192" s="1367"/>
      <c r="AD2192" s="1666"/>
      <c r="AE2192" s="1590"/>
      <c r="AF2192" s="1666"/>
      <c r="AG2192" s="1590"/>
      <c r="AH2192" s="1625" t="str">
        <f t="shared" si="735"/>
        <v>PAI-1A</v>
      </c>
      <c r="AI2192" s="1675">
        <f t="shared" si="744"/>
        <v>6450000</v>
      </c>
      <c r="AJ2192" s="1675">
        <f t="shared" si="745"/>
        <v>6450000</v>
      </c>
      <c r="AK2192" s="1520">
        <f t="shared" si="748"/>
        <v>0</v>
      </c>
      <c r="AL2192" s="2210" t="str">
        <f t="shared" si="749"/>
        <v>Lunas</v>
      </c>
      <c r="AM2192" s="1666"/>
      <c r="AN2192" s="1590"/>
      <c r="AO2192"/>
      <c r="AP2192"/>
      <c r="AQ2192" s="1128"/>
      <c r="AR2192" s="1173"/>
      <c r="AT2192" s="1173"/>
      <c r="AV2192" s="1173"/>
      <c r="AX2192" s="1173"/>
      <c r="AY2192" s="1176"/>
      <c r="AZ2192" s="1173"/>
    </row>
    <row r="2193" spans="1:52" s="2" customFormat="1" x14ac:dyDescent="0.25">
      <c r="A2193" s="694">
        <v>2017</v>
      </c>
      <c r="B2193" s="709">
        <v>8</v>
      </c>
      <c r="C2193" s="716">
        <v>203206030008</v>
      </c>
      <c r="D2193" s="701" t="s">
        <v>2689</v>
      </c>
      <c r="E2193" s="264" t="s">
        <v>2681</v>
      </c>
      <c r="F2193" s="175">
        <v>2020</v>
      </c>
      <c r="G2193" s="360" t="s">
        <v>1483</v>
      </c>
      <c r="H2193" s="264" t="s">
        <v>2682</v>
      </c>
      <c r="I2193" s="264" t="s">
        <v>2552</v>
      </c>
      <c r="J2193" s="1359">
        <v>2700000</v>
      </c>
      <c r="K2193" s="1523">
        <v>44071.5961342593</v>
      </c>
      <c r="L2193" s="1359">
        <v>3750000</v>
      </c>
      <c r="M2193" s="1523">
        <v>44071.5961342593</v>
      </c>
      <c r="N2193" s="1731"/>
      <c r="O2193" s="1367"/>
      <c r="P2193" s="1731"/>
      <c r="Q2193" s="1367"/>
      <c r="R2193" s="1363"/>
      <c r="S2193" s="1563"/>
      <c r="T2193" s="1363"/>
      <c r="U2193" s="1391"/>
      <c r="V2193" s="1363"/>
      <c r="W2193" s="1391"/>
      <c r="X2193" s="1363"/>
      <c r="Y2193" s="1391"/>
      <c r="Z2193" s="1363"/>
      <c r="AA2193" s="1391"/>
      <c r="AB2193" s="1731"/>
      <c r="AC2193" s="1367"/>
      <c r="AD2193" s="1666"/>
      <c r="AE2193" s="1590"/>
      <c r="AF2193" s="1666"/>
      <c r="AG2193" s="1590"/>
      <c r="AH2193" s="1625" t="str">
        <f t="shared" si="735"/>
        <v>PAI-1A</v>
      </c>
      <c r="AI2193" s="1675">
        <f t="shared" si="744"/>
        <v>6450000</v>
      </c>
      <c r="AJ2193" s="1675">
        <f t="shared" si="745"/>
        <v>6450000</v>
      </c>
      <c r="AK2193" s="1520">
        <f t="shared" si="748"/>
        <v>0</v>
      </c>
      <c r="AL2193" s="2210" t="str">
        <f t="shared" si="749"/>
        <v>Lunas</v>
      </c>
      <c r="AM2193" s="1666"/>
      <c r="AN2193" s="1590"/>
      <c r="AO2193"/>
      <c r="AP2193"/>
      <c r="AQ2193" s="1128"/>
      <c r="AR2193" s="1173"/>
      <c r="AT2193" s="1173"/>
      <c r="AV2193" s="1173"/>
      <c r="AX2193" s="1173"/>
      <c r="AY2193" s="1176"/>
      <c r="AZ2193" s="1173"/>
    </row>
    <row r="2194" spans="1:52" s="2" customFormat="1" x14ac:dyDescent="0.25">
      <c r="A2194" s="694">
        <v>2018</v>
      </c>
      <c r="B2194" s="671">
        <v>9</v>
      </c>
      <c r="C2194" s="716">
        <v>203206030009</v>
      </c>
      <c r="D2194" s="701" t="s">
        <v>2690</v>
      </c>
      <c r="E2194" s="264" t="s">
        <v>2681</v>
      </c>
      <c r="F2194" s="175">
        <v>2020</v>
      </c>
      <c r="G2194" s="360" t="s">
        <v>1483</v>
      </c>
      <c r="H2194" s="264" t="s">
        <v>2682</v>
      </c>
      <c r="I2194" s="264" t="s">
        <v>2552</v>
      </c>
      <c r="J2194" s="1359">
        <v>2700000</v>
      </c>
      <c r="K2194" s="1523">
        <v>44071.350381944401</v>
      </c>
      <c r="L2194" s="1359">
        <v>3750000</v>
      </c>
      <c r="M2194" s="1523">
        <v>44071.350381944401</v>
      </c>
      <c r="N2194" s="1731"/>
      <c r="O2194" s="1367"/>
      <c r="P2194" s="1731"/>
      <c r="Q2194" s="1367"/>
      <c r="R2194" s="1363"/>
      <c r="S2194" s="1563"/>
      <c r="T2194" s="1363"/>
      <c r="U2194" s="1391"/>
      <c r="V2194" s="1363"/>
      <c r="W2194" s="1391"/>
      <c r="X2194" s="1363"/>
      <c r="Y2194" s="1391"/>
      <c r="Z2194" s="1363"/>
      <c r="AA2194" s="1391"/>
      <c r="AB2194" s="1731"/>
      <c r="AC2194" s="1367"/>
      <c r="AD2194" s="1666"/>
      <c r="AE2194" s="1590"/>
      <c r="AF2194" s="1666"/>
      <c r="AG2194" s="1590"/>
      <c r="AH2194" s="1625" t="str">
        <f t="shared" si="735"/>
        <v>PAI-1A</v>
      </c>
      <c r="AI2194" s="1675">
        <f t="shared" si="744"/>
        <v>6450000</v>
      </c>
      <c r="AJ2194" s="1675">
        <f t="shared" si="745"/>
        <v>6450000</v>
      </c>
      <c r="AK2194" s="1520">
        <f t="shared" si="748"/>
        <v>0</v>
      </c>
      <c r="AL2194" s="2210" t="str">
        <f t="shared" si="749"/>
        <v>Lunas</v>
      </c>
      <c r="AM2194" s="1666"/>
      <c r="AN2194" s="1590"/>
      <c r="AO2194"/>
      <c r="AP2194"/>
      <c r="AQ2194" s="1128"/>
      <c r="AR2194" s="1173"/>
      <c r="AT2194" s="1173"/>
      <c r="AV2194" s="1173"/>
      <c r="AX2194" s="1173"/>
      <c r="AY2194" s="1176"/>
      <c r="AZ2194" s="1173"/>
    </row>
    <row r="2195" spans="1:52" s="2" customFormat="1" x14ac:dyDescent="0.25">
      <c r="A2195" s="694">
        <v>2019</v>
      </c>
      <c r="B2195" s="709">
        <v>10</v>
      </c>
      <c r="C2195" s="716">
        <v>203206030010</v>
      </c>
      <c r="D2195" s="701" t="s">
        <v>2691</v>
      </c>
      <c r="E2195" s="264" t="s">
        <v>2681</v>
      </c>
      <c r="F2195" s="175">
        <v>2020</v>
      </c>
      <c r="G2195" s="360" t="s">
        <v>1483</v>
      </c>
      <c r="H2195" s="264" t="s">
        <v>2682</v>
      </c>
      <c r="I2195" s="264" t="s">
        <v>2552</v>
      </c>
      <c r="J2195" s="1359">
        <v>2700000</v>
      </c>
      <c r="K2195" s="1523">
        <v>44071.561550925901</v>
      </c>
      <c r="L2195" s="1359">
        <v>3750000</v>
      </c>
      <c r="M2195" s="1523">
        <v>44071.561550925901</v>
      </c>
      <c r="N2195" s="1731"/>
      <c r="O2195" s="1367"/>
      <c r="P2195" s="1731"/>
      <c r="Q2195" s="1367"/>
      <c r="R2195" s="1363"/>
      <c r="S2195" s="1563"/>
      <c r="T2195" s="1363"/>
      <c r="U2195" s="1391"/>
      <c r="V2195" s="1363"/>
      <c r="W2195" s="1391"/>
      <c r="X2195" s="1363"/>
      <c r="Y2195" s="1391"/>
      <c r="Z2195" s="1363"/>
      <c r="AA2195" s="1391"/>
      <c r="AB2195" s="1731"/>
      <c r="AC2195" s="1367"/>
      <c r="AD2195" s="1666"/>
      <c r="AE2195" s="1590"/>
      <c r="AF2195" s="1666"/>
      <c r="AG2195" s="1590"/>
      <c r="AH2195" s="1625" t="str">
        <f t="shared" si="735"/>
        <v>PAI-1A</v>
      </c>
      <c r="AI2195" s="1675">
        <f t="shared" si="744"/>
        <v>6450000</v>
      </c>
      <c r="AJ2195" s="1675">
        <f t="shared" si="745"/>
        <v>6450000</v>
      </c>
      <c r="AK2195" s="1520">
        <f t="shared" si="748"/>
        <v>0</v>
      </c>
      <c r="AL2195" s="2210" t="str">
        <f t="shared" si="749"/>
        <v>Lunas</v>
      </c>
      <c r="AM2195" s="1666"/>
      <c r="AN2195" s="1590"/>
      <c r="AO2195"/>
      <c r="AP2195"/>
      <c r="AQ2195" s="1128"/>
      <c r="AR2195" s="1173"/>
      <c r="AT2195" s="1173"/>
      <c r="AV2195" s="1173"/>
      <c r="AX2195" s="1173"/>
      <c r="AY2195" s="1176"/>
      <c r="AZ2195" s="1173"/>
    </row>
    <row r="2196" spans="1:52" s="2" customFormat="1" x14ac:dyDescent="0.25">
      <c r="A2196" s="694">
        <v>2020</v>
      </c>
      <c r="B2196" s="671">
        <v>11</v>
      </c>
      <c r="C2196" s="716">
        <v>203206030011</v>
      </c>
      <c r="D2196" s="701" t="s">
        <v>2692</v>
      </c>
      <c r="E2196" s="264" t="s">
        <v>2681</v>
      </c>
      <c r="F2196" s="175">
        <v>2020</v>
      </c>
      <c r="G2196" s="360" t="s">
        <v>1483</v>
      </c>
      <c r="H2196" s="264" t="s">
        <v>2682</v>
      </c>
      <c r="I2196" s="264" t="s">
        <v>2552</v>
      </c>
      <c r="J2196" s="1359">
        <v>2700000</v>
      </c>
      <c r="K2196" s="1523">
        <v>44070.499398148102</v>
      </c>
      <c r="L2196" s="1359">
        <v>3750000</v>
      </c>
      <c r="M2196" s="1523">
        <v>44070.499398148102</v>
      </c>
      <c r="N2196" s="1731"/>
      <c r="O2196" s="1367"/>
      <c r="P2196" s="1731"/>
      <c r="Q2196" s="1367"/>
      <c r="R2196" s="1363"/>
      <c r="S2196" s="1563"/>
      <c r="T2196" s="1363"/>
      <c r="U2196" s="1391"/>
      <c r="V2196" s="1363"/>
      <c r="W2196" s="1391"/>
      <c r="X2196" s="1363"/>
      <c r="Y2196" s="1391"/>
      <c r="Z2196" s="1363"/>
      <c r="AA2196" s="1391"/>
      <c r="AB2196" s="1731"/>
      <c r="AC2196" s="1367"/>
      <c r="AD2196" s="1666"/>
      <c r="AE2196" s="1590"/>
      <c r="AF2196" s="1666"/>
      <c r="AG2196" s="1590"/>
      <c r="AH2196" s="1625" t="str">
        <f t="shared" si="735"/>
        <v>PAI-1A</v>
      </c>
      <c r="AI2196" s="1675">
        <f t="shared" si="744"/>
        <v>6450000</v>
      </c>
      <c r="AJ2196" s="1675">
        <f t="shared" si="745"/>
        <v>6450000</v>
      </c>
      <c r="AK2196" s="1520">
        <f t="shared" si="748"/>
        <v>0</v>
      </c>
      <c r="AL2196" s="2210" t="str">
        <f t="shared" si="749"/>
        <v>Lunas</v>
      </c>
      <c r="AM2196" s="1666"/>
      <c r="AN2196" s="1590"/>
      <c r="AO2196"/>
      <c r="AP2196"/>
      <c r="AQ2196" s="1128"/>
      <c r="AR2196" s="1173"/>
      <c r="AT2196" s="1173"/>
      <c r="AV2196" s="1173"/>
      <c r="AX2196" s="1173"/>
      <c r="AY2196" s="1176"/>
      <c r="AZ2196" s="1173"/>
    </row>
    <row r="2197" spans="1:52" s="2" customFormat="1" x14ac:dyDescent="0.25">
      <c r="A2197" s="694">
        <v>2021</v>
      </c>
      <c r="B2197" s="709">
        <v>12</v>
      </c>
      <c r="C2197" s="716">
        <v>203206030012</v>
      </c>
      <c r="D2197" s="701" t="s">
        <v>2693</v>
      </c>
      <c r="E2197" s="264" t="s">
        <v>2694</v>
      </c>
      <c r="F2197" s="175">
        <v>2020</v>
      </c>
      <c r="G2197" s="360" t="s">
        <v>1483</v>
      </c>
      <c r="H2197" s="264" t="s">
        <v>2551</v>
      </c>
      <c r="I2197" s="264" t="s">
        <v>2552</v>
      </c>
      <c r="J2197" s="1359">
        <v>2700000</v>
      </c>
      <c r="K2197" s="1523">
        <v>44071.418935185196</v>
      </c>
      <c r="L2197" s="1359">
        <v>3750000</v>
      </c>
      <c r="M2197" s="1523">
        <v>44071.418935185196</v>
      </c>
      <c r="N2197" s="1731"/>
      <c r="O2197" s="1367"/>
      <c r="P2197" s="1731"/>
      <c r="Q2197" s="1367"/>
      <c r="R2197" s="1363"/>
      <c r="S2197" s="1563"/>
      <c r="T2197" s="1363"/>
      <c r="U2197" s="1391"/>
      <c r="V2197" s="1363"/>
      <c r="W2197" s="1391"/>
      <c r="X2197" s="1363"/>
      <c r="Y2197" s="1391"/>
      <c r="Z2197" s="1363"/>
      <c r="AA2197" s="1391"/>
      <c r="AB2197" s="1731"/>
      <c r="AC2197" s="1367"/>
      <c r="AD2197" s="1666"/>
      <c r="AE2197" s="1590"/>
      <c r="AF2197" s="1666"/>
      <c r="AG2197" s="1590"/>
      <c r="AH2197" s="1625" t="str">
        <f t="shared" si="735"/>
        <v>PAI-1B</v>
      </c>
      <c r="AI2197" s="1675">
        <f t="shared" si="744"/>
        <v>6450000</v>
      </c>
      <c r="AJ2197" s="1675">
        <f t="shared" si="745"/>
        <v>6450000</v>
      </c>
      <c r="AK2197" s="1520">
        <f t="shared" si="748"/>
        <v>0</v>
      </c>
      <c r="AL2197" s="2210" t="str">
        <f t="shared" si="749"/>
        <v>Lunas</v>
      </c>
      <c r="AM2197" s="1666"/>
      <c r="AN2197" s="1590"/>
      <c r="AO2197"/>
      <c r="AP2197"/>
      <c r="AQ2197" s="1128"/>
      <c r="AR2197" s="1173"/>
      <c r="AT2197" s="1173"/>
      <c r="AV2197" s="1173"/>
      <c r="AX2197" s="1173"/>
      <c r="AY2197" s="1176"/>
      <c r="AZ2197" s="1173"/>
    </row>
    <row r="2198" spans="1:52" s="2" customFormat="1" x14ac:dyDescent="0.25">
      <c r="A2198" s="694">
        <v>2022</v>
      </c>
      <c r="B2198" s="671">
        <v>13</v>
      </c>
      <c r="C2198" s="716">
        <v>203206030013</v>
      </c>
      <c r="D2198" s="701" t="s">
        <v>2695</v>
      </c>
      <c r="E2198" s="264" t="s">
        <v>2694</v>
      </c>
      <c r="F2198" s="175">
        <v>2020</v>
      </c>
      <c r="G2198" s="360" t="s">
        <v>1483</v>
      </c>
      <c r="H2198" s="264" t="s">
        <v>2551</v>
      </c>
      <c r="I2198" s="264" t="s">
        <v>2552</v>
      </c>
      <c r="J2198" s="1359">
        <v>2700000</v>
      </c>
      <c r="K2198" s="1523">
        <v>44069.576354166697</v>
      </c>
      <c r="L2198" s="1359">
        <v>3750000</v>
      </c>
      <c r="M2198" s="1523">
        <v>44069.576354166697</v>
      </c>
      <c r="N2198" s="1731"/>
      <c r="O2198" s="1367"/>
      <c r="P2198" s="1731"/>
      <c r="Q2198" s="1367"/>
      <c r="R2198" s="1363"/>
      <c r="S2198" s="1563"/>
      <c r="T2198" s="1363"/>
      <c r="U2198" s="1391"/>
      <c r="V2198" s="1363"/>
      <c r="W2198" s="1391"/>
      <c r="X2198" s="1363"/>
      <c r="Y2198" s="1391"/>
      <c r="Z2198" s="1363"/>
      <c r="AA2198" s="1391"/>
      <c r="AB2198" s="1731"/>
      <c r="AC2198" s="1367"/>
      <c r="AD2198" s="1666"/>
      <c r="AE2198" s="1590"/>
      <c r="AF2198" s="1666"/>
      <c r="AG2198" s="1590"/>
      <c r="AH2198" s="1625" t="str">
        <f t="shared" si="735"/>
        <v>PAI-1B</v>
      </c>
      <c r="AI2198" s="1675">
        <f t="shared" si="744"/>
        <v>6450000</v>
      </c>
      <c r="AJ2198" s="1675">
        <f t="shared" si="745"/>
        <v>6450000</v>
      </c>
      <c r="AK2198" s="1520">
        <f t="shared" si="748"/>
        <v>0</v>
      </c>
      <c r="AL2198" s="2210" t="str">
        <f t="shared" si="749"/>
        <v>Lunas</v>
      </c>
      <c r="AM2198" s="1666"/>
      <c r="AN2198" s="1590"/>
      <c r="AO2198"/>
      <c r="AP2198"/>
      <c r="AQ2198" s="1128"/>
      <c r="AR2198" s="1173"/>
      <c r="AT2198" s="1173"/>
      <c r="AV2198" s="1173"/>
      <c r="AX2198" s="1173"/>
      <c r="AY2198" s="1176"/>
      <c r="AZ2198" s="1173"/>
    </row>
    <row r="2199" spans="1:52" s="2" customFormat="1" x14ac:dyDescent="0.25">
      <c r="A2199" s="694">
        <v>2023</v>
      </c>
      <c r="B2199" s="709">
        <v>14</v>
      </c>
      <c r="C2199" s="716">
        <v>203206030014</v>
      </c>
      <c r="D2199" s="701" t="s">
        <v>2696</v>
      </c>
      <c r="E2199" s="264" t="s">
        <v>2694</v>
      </c>
      <c r="F2199" s="175">
        <v>2020</v>
      </c>
      <c r="G2199" s="360" t="s">
        <v>1483</v>
      </c>
      <c r="H2199" s="264" t="s">
        <v>2551</v>
      </c>
      <c r="I2199" s="264" t="s">
        <v>2552</v>
      </c>
      <c r="J2199" s="1359">
        <v>2700000</v>
      </c>
      <c r="K2199" s="1523">
        <v>44070.556030092601</v>
      </c>
      <c r="L2199" s="1359">
        <v>3750000</v>
      </c>
      <c r="M2199" s="1523">
        <v>44070.556030092601</v>
      </c>
      <c r="N2199" s="1731"/>
      <c r="O2199" s="1367"/>
      <c r="P2199" s="1731"/>
      <c r="Q2199" s="1367"/>
      <c r="R2199" s="1363"/>
      <c r="S2199" s="1563"/>
      <c r="T2199" s="1363"/>
      <c r="U2199" s="1391"/>
      <c r="V2199" s="1363"/>
      <c r="W2199" s="1391"/>
      <c r="X2199" s="1363"/>
      <c r="Y2199" s="1391"/>
      <c r="Z2199" s="1363"/>
      <c r="AA2199" s="1391"/>
      <c r="AB2199" s="1731"/>
      <c r="AC2199" s="1367"/>
      <c r="AD2199" s="1666"/>
      <c r="AE2199" s="1590"/>
      <c r="AF2199" s="1666"/>
      <c r="AG2199" s="1590"/>
      <c r="AH2199" s="1625" t="str">
        <f t="shared" si="735"/>
        <v>PAI-1B</v>
      </c>
      <c r="AI2199" s="1675">
        <f t="shared" si="744"/>
        <v>6450000</v>
      </c>
      <c r="AJ2199" s="1675">
        <f t="shared" si="745"/>
        <v>6450000</v>
      </c>
      <c r="AK2199" s="1520">
        <f t="shared" si="748"/>
        <v>0</v>
      </c>
      <c r="AL2199" s="2210" t="str">
        <f t="shared" si="749"/>
        <v>Lunas</v>
      </c>
      <c r="AM2199" s="1666"/>
      <c r="AN2199" s="1590"/>
      <c r="AO2199"/>
      <c r="AP2199"/>
      <c r="AQ2199" s="1128"/>
      <c r="AR2199" s="1173"/>
      <c r="AT2199" s="1173"/>
      <c r="AV2199" s="1173"/>
      <c r="AX2199" s="1173"/>
      <c r="AY2199" s="1176"/>
      <c r="AZ2199" s="1173"/>
    </row>
    <row r="2200" spans="1:52" s="2" customFormat="1" x14ac:dyDescent="0.25">
      <c r="A2200" s="694">
        <v>2024</v>
      </c>
      <c r="B2200" s="671">
        <v>15</v>
      </c>
      <c r="C2200" s="716">
        <v>203206030015</v>
      </c>
      <c r="D2200" s="701" t="s">
        <v>2697</v>
      </c>
      <c r="E2200" s="264" t="s">
        <v>2694</v>
      </c>
      <c r="F2200" s="175">
        <v>2020</v>
      </c>
      <c r="G2200" s="360" t="s">
        <v>1483</v>
      </c>
      <c r="H2200" s="264" t="s">
        <v>2551</v>
      </c>
      <c r="I2200" s="264" t="s">
        <v>2552</v>
      </c>
      <c r="J2200" s="1359">
        <v>2700000</v>
      </c>
      <c r="K2200" s="1523">
        <v>44070.349305555603</v>
      </c>
      <c r="L2200" s="1359">
        <v>3750000</v>
      </c>
      <c r="M2200" s="1523">
        <v>44070.349305555603</v>
      </c>
      <c r="N2200" s="1731"/>
      <c r="O2200" s="1367"/>
      <c r="P2200" s="1731"/>
      <c r="Q2200" s="1367"/>
      <c r="R2200" s="1363"/>
      <c r="S2200" s="1563"/>
      <c r="T2200" s="1363"/>
      <c r="U2200" s="1391"/>
      <c r="V2200" s="1363"/>
      <c r="W2200" s="1391"/>
      <c r="X2200" s="1363"/>
      <c r="Y2200" s="1391"/>
      <c r="Z2200" s="1363"/>
      <c r="AA2200" s="1391"/>
      <c r="AB2200" s="1731"/>
      <c r="AC2200" s="1367"/>
      <c r="AD2200" s="1666"/>
      <c r="AE2200" s="1590"/>
      <c r="AF2200" s="1666"/>
      <c r="AG2200" s="1590"/>
      <c r="AH2200" s="1625" t="str">
        <f t="shared" si="735"/>
        <v>PAI-1B</v>
      </c>
      <c r="AI2200" s="1675">
        <f t="shared" si="744"/>
        <v>6450000</v>
      </c>
      <c r="AJ2200" s="1675">
        <f t="shared" si="745"/>
        <v>6450000</v>
      </c>
      <c r="AK2200" s="1520">
        <f t="shared" si="748"/>
        <v>0</v>
      </c>
      <c r="AL2200" s="2210" t="str">
        <f t="shared" si="749"/>
        <v>Lunas</v>
      </c>
      <c r="AM2200" s="1666"/>
      <c r="AN2200" s="1590"/>
      <c r="AO2200"/>
      <c r="AP2200"/>
      <c r="AQ2200" s="1128"/>
      <c r="AR2200" s="1173"/>
      <c r="AT2200" s="1173"/>
      <c r="AV2200" s="1173"/>
      <c r="AX2200" s="1173"/>
      <c r="AY2200" s="1176"/>
      <c r="AZ2200" s="1173"/>
    </row>
    <row r="2201" spans="1:52" s="2" customFormat="1" x14ac:dyDescent="0.25">
      <c r="A2201" s="694">
        <v>2025</v>
      </c>
      <c r="B2201" s="709">
        <v>16</v>
      </c>
      <c r="C2201" s="716">
        <v>203206030016</v>
      </c>
      <c r="D2201" s="701" t="s">
        <v>2698</v>
      </c>
      <c r="E2201" s="264" t="s">
        <v>2694</v>
      </c>
      <c r="F2201" s="175">
        <v>2020</v>
      </c>
      <c r="G2201" s="360" t="s">
        <v>1483</v>
      </c>
      <c r="H2201" s="264" t="s">
        <v>2551</v>
      </c>
      <c r="I2201" s="264" t="s">
        <v>2552</v>
      </c>
      <c r="J2201" s="1359">
        <v>2700000</v>
      </c>
      <c r="K2201" s="1523">
        <v>44070.606435185196</v>
      </c>
      <c r="L2201" s="1359">
        <v>3750000</v>
      </c>
      <c r="M2201" s="1523">
        <v>44070.606435185196</v>
      </c>
      <c r="N2201" s="1731"/>
      <c r="O2201" s="1367"/>
      <c r="P2201" s="1731"/>
      <c r="Q2201" s="1367"/>
      <c r="R2201" s="1363"/>
      <c r="S2201" s="1563"/>
      <c r="T2201" s="1363"/>
      <c r="U2201" s="1391"/>
      <c r="V2201" s="1363"/>
      <c r="W2201" s="1391"/>
      <c r="X2201" s="1363"/>
      <c r="Y2201" s="1391"/>
      <c r="Z2201" s="1363"/>
      <c r="AA2201" s="1391"/>
      <c r="AB2201" s="1731"/>
      <c r="AC2201" s="1367"/>
      <c r="AD2201" s="1666"/>
      <c r="AE2201" s="1590"/>
      <c r="AF2201" s="1666"/>
      <c r="AG2201" s="1590"/>
      <c r="AH2201" s="1625" t="str">
        <f t="shared" si="735"/>
        <v>PAI-1B</v>
      </c>
      <c r="AI2201" s="1675">
        <f t="shared" si="744"/>
        <v>6450000</v>
      </c>
      <c r="AJ2201" s="1675">
        <f t="shared" si="745"/>
        <v>6450000</v>
      </c>
      <c r="AK2201" s="1520">
        <f t="shared" si="748"/>
        <v>0</v>
      </c>
      <c r="AL2201" s="2210" t="str">
        <f t="shared" si="749"/>
        <v>Lunas</v>
      </c>
      <c r="AM2201" s="1666"/>
      <c r="AN2201" s="1590"/>
      <c r="AO2201"/>
      <c r="AP2201"/>
      <c r="AQ2201" s="1128"/>
      <c r="AR2201" s="1173"/>
      <c r="AT2201" s="1173"/>
      <c r="AV2201" s="1173"/>
      <c r="AX2201" s="1173"/>
      <c r="AY2201" s="1176"/>
      <c r="AZ2201" s="1173"/>
    </row>
    <row r="2202" spans="1:52" s="2" customFormat="1" x14ac:dyDescent="0.25">
      <c r="A2202" s="694">
        <v>2026</v>
      </c>
      <c r="B2202" s="671">
        <v>17</v>
      </c>
      <c r="C2202" s="716">
        <v>203206030017</v>
      </c>
      <c r="D2202" s="701" t="s">
        <v>2699</v>
      </c>
      <c r="E2202" s="264" t="s">
        <v>2694</v>
      </c>
      <c r="F2202" s="175">
        <v>2020</v>
      </c>
      <c r="G2202" s="360" t="s">
        <v>1483</v>
      </c>
      <c r="H2202" s="264" t="s">
        <v>2551</v>
      </c>
      <c r="I2202" s="264" t="s">
        <v>2552</v>
      </c>
      <c r="J2202" s="1359">
        <v>2700000</v>
      </c>
      <c r="K2202" s="1523">
        <v>44071.614305555602</v>
      </c>
      <c r="L2202" s="1359">
        <v>3750000</v>
      </c>
      <c r="M2202" s="1523">
        <v>44071.614305555602</v>
      </c>
      <c r="N2202" s="1731"/>
      <c r="O2202" s="1367"/>
      <c r="P2202" s="1731"/>
      <c r="Q2202" s="1367"/>
      <c r="R2202" s="1363"/>
      <c r="S2202" s="1563"/>
      <c r="T2202" s="1363"/>
      <c r="U2202" s="1391"/>
      <c r="V2202" s="1363"/>
      <c r="W2202" s="1391"/>
      <c r="X2202" s="1363"/>
      <c r="Y2202" s="1391"/>
      <c r="Z2202" s="1363"/>
      <c r="AA2202" s="1391"/>
      <c r="AB2202" s="1731"/>
      <c r="AC2202" s="1367"/>
      <c r="AD2202" s="1666"/>
      <c r="AE2202" s="1590"/>
      <c r="AF2202" s="1666"/>
      <c r="AG2202" s="1590"/>
      <c r="AH2202" s="1625" t="str">
        <f t="shared" si="735"/>
        <v>PAI-1B</v>
      </c>
      <c r="AI2202" s="1675">
        <f t="shared" si="744"/>
        <v>6450000</v>
      </c>
      <c r="AJ2202" s="1675">
        <f t="shared" si="745"/>
        <v>6450000</v>
      </c>
      <c r="AK2202" s="1520">
        <f t="shared" si="748"/>
        <v>0</v>
      </c>
      <c r="AL2202" s="2210" t="str">
        <f t="shared" si="749"/>
        <v>Lunas</v>
      </c>
      <c r="AM2202" s="1666"/>
      <c r="AN2202" s="1590"/>
      <c r="AO2202"/>
      <c r="AP2202"/>
      <c r="AQ2202" s="1128"/>
      <c r="AR2202" s="1173"/>
      <c r="AT2202" s="1173"/>
      <c r="AV2202" s="1173"/>
      <c r="AX2202" s="1173"/>
      <c r="AY2202" s="1176"/>
      <c r="AZ2202" s="1173"/>
    </row>
    <row r="2203" spans="1:52" s="2" customFormat="1" x14ac:dyDescent="0.25">
      <c r="A2203" s="694">
        <v>2027</v>
      </c>
      <c r="B2203" s="709">
        <v>18</v>
      </c>
      <c r="C2203" s="716">
        <v>203206030018</v>
      </c>
      <c r="D2203" s="701" t="s">
        <v>2700</v>
      </c>
      <c r="E2203" s="264" t="s">
        <v>2694</v>
      </c>
      <c r="F2203" s="175">
        <v>2020</v>
      </c>
      <c r="G2203" s="360" t="s">
        <v>1483</v>
      </c>
      <c r="H2203" s="264" t="s">
        <v>2551</v>
      </c>
      <c r="I2203" s="264" t="s">
        <v>2552</v>
      </c>
      <c r="J2203" s="1359">
        <v>2700000</v>
      </c>
      <c r="K2203" s="1523">
        <v>44071.524490740703</v>
      </c>
      <c r="L2203" s="1359">
        <v>3750000</v>
      </c>
      <c r="M2203" s="1523">
        <v>44071.524490740703</v>
      </c>
      <c r="N2203" s="1731"/>
      <c r="O2203" s="1367"/>
      <c r="P2203" s="1731"/>
      <c r="Q2203" s="1367"/>
      <c r="R2203" s="1363"/>
      <c r="S2203" s="1563"/>
      <c r="T2203" s="1363"/>
      <c r="U2203" s="1391"/>
      <c r="V2203" s="1363"/>
      <c r="W2203" s="1391"/>
      <c r="X2203" s="1363"/>
      <c r="Y2203" s="1391"/>
      <c r="Z2203" s="1363"/>
      <c r="AA2203" s="1391"/>
      <c r="AB2203" s="1731"/>
      <c r="AC2203" s="1367"/>
      <c r="AD2203" s="1666"/>
      <c r="AE2203" s="1590"/>
      <c r="AF2203" s="1666"/>
      <c r="AG2203" s="1590"/>
      <c r="AH2203" s="1625" t="str">
        <f t="shared" si="735"/>
        <v>PAI-1B</v>
      </c>
      <c r="AI2203" s="1675">
        <f t="shared" si="744"/>
        <v>6450000</v>
      </c>
      <c r="AJ2203" s="1675">
        <f t="shared" si="745"/>
        <v>6450000</v>
      </c>
      <c r="AK2203" s="1520">
        <f t="shared" si="748"/>
        <v>0</v>
      </c>
      <c r="AL2203" s="2210" t="str">
        <f t="shared" si="749"/>
        <v>Lunas</v>
      </c>
      <c r="AM2203" s="1666"/>
      <c r="AN2203" s="1590"/>
      <c r="AO2203"/>
      <c r="AP2203"/>
      <c r="AQ2203" s="1128"/>
      <c r="AR2203" s="1173"/>
      <c r="AT2203" s="1173"/>
      <c r="AV2203" s="1173"/>
      <c r="AX2203" s="1173"/>
      <c r="AY2203" s="1176"/>
      <c r="AZ2203" s="1173"/>
    </row>
    <row r="2204" spans="1:52" s="2" customFormat="1" x14ac:dyDescent="0.25">
      <c r="A2204" s="694">
        <v>2028</v>
      </c>
      <c r="B2204" s="671">
        <v>19</v>
      </c>
      <c r="C2204" s="716">
        <v>203206030019</v>
      </c>
      <c r="D2204" s="701" t="s">
        <v>2701</v>
      </c>
      <c r="E2204" s="264" t="s">
        <v>2694</v>
      </c>
      <c r="F2204" s="175">
        <v>2020</v>
      </c>
      <c r="G2204" s="360" t="s">
        <v>1483</v>
      </c>
      <c r="H2204" s="264" t="s">
        <v>2551</v>
      </c>
      <c r="I2204" s="264" t="s">
        <v>2552</v>
      </c>
      <c r="J2204" s="1359">
        <v>2700000</v>
      </c>
      <c r="K2204" s="1523">
        <v>44071.394710648201</v>
      </c>
      <c r="L2204" s="1359">
        <v>3750000</v>
      </c>
      <c r="M2204" s="1523">
        <v>44071.394710648201</v>
      </c>
      <c r="N2204" s="1731"/>
      <c r="O2204" s="1367"/>
      <c r="P2204" s="1731"/>
      <c r="Q2204" s="1367"/>
      <c r="R2204" s="1363"/>
      <c r="S2204" s="1563"/>
      <c r="T2204" s="1363"/>
      <c r="U2204" s="1391"/>
      <c r="V2204" s="1363"/>
      <c r="W2204" s="1391"/>
      <c r="X2204" s="1363"/>
      <c r="Y2204" s="1391"/>
      <c r="Z2204" s="1363"/>
      <c r="AA2204" s="1391"/>
      <c r="AB2204" s="1731"/>
      <c r="AC2204" s="1367"/>
      <c r="AD2204" s="1666"/>
      <c r="AE2204" s="1590"/>
      <c r="AF2204" s="1666"/>
      <c r="AG2204" s="1590"/>
      <c r="AH2204" s="1625" t="str">
        <f t="shared" si="735"/>
        <v>PAI-1B</v>
      </c>
      <c r="AI2204" s="1675">
        <f t="shared" si="744"/>
        <v>6450000</v>
      </c>
      <c r="AJ2204" s="1675">
        <f t="shared" si="745"/>
        <v>6450000</v>
      </c>
      <c r="AK2204" s="1520">
        <f t="shared" si="748"/>
        <v>0</v>
      </c>
      <c r="AL2204" s="2210" t="str">
        <f t="shared" si="749"/>
        <v>Lunas</v>
      </c>
      <c r="AM2204" s="1666"/>
      <c r="AN2204" s="1590"/>
      <c r="AO2204"/>
      <c r="AP2204"/>
      <c r="AQ2204" s="1128"/>
      <c r="AR2204" s="1173"/>
      <c r="AT2204" s="1173"/>
      <c r="AV2204" s="1173"/>
      <c r="AX2204" s="1173"/>
      <c r="AY2204" s="1176"/>
      <c r="AZ2204" s="1173"/>
    </row>
    <row r="2205" spans="1:52" s="2" customFormat="1" x14ac:dyDescent="0.25">
      <c r="A2205" s="694">
        <v>2029</v>
      </c>
      <c r="B2205" s="709">
        <v>20</v>
      </c>
      <c r="C2205" s="716">
        <v>203206030020</v>
      </c>
      <c r="D2205" s="701" t="s">
        <v>2702</v>
      </c>
      <c r="E2205" s="264" t="s">
        <v>2694</v>
      </c>
      <c r="F2205" s="175">
        <v>2020</v>
      </c>
      <c r="G2205" s="360" t="s">
        <v>1483</v>
      </c>
      <c r="H2205" s="264" t="s">
        <v>2551</v>
      </c>
      <c r="I2205" s="264" t="s">
        <v>2552</v>
      </c>
      <c r="J2205" s="1359">
        <v>2700000</v>
      </c>
      <c r="K2205" s="1523">
        <v>44068.414270833302</v>
      </c>
      <c r="L2205" s="1359">
        <v>3750000</v>
      </c>
      <c r="M2205" s="1523">
        <v>44068.414270833302</v>
      </c>
      <c r="N2205" s="1731"/>
      <c r="O2205" s="1367"/>
      <c r="P2205" s="1731"/>
      <c r="Q2205" s="1367"/>
      <c r="R2205" s="1363"/>
      <c r="S2205" s="1563"/>
      <c r="T2205" s="1363"/>
      <c r="U2205" s="1391"/>
      <c r="V2205" s="1363"/>
      <c r="W2205" s="1391"/>
      <c r="X2205" s="1363"/>
      <c r="Y2205" s="1391"/>
      <c r="Z2205" s="1363"/>
      <c r="AA2205" s="1391"/>
      <c r="AB2205" s="1731"/>
      <c r="AC2205" s="1367"/>
      <c r="AD2205" s="1666"/>
      <c r="AE2205" s="1590"/>
      <c r="AF2205" s="1666"/>
      <c r="AG2205" s="1590"/>
      <c r="AH2205" s="1625" t="str">
        <f t="shared" si="735"/>
        <v>PAI-1B</v>
      </c>
      <c r="AI2205" s="1675">
        <f t="shared" si="744"/>
        <v>6450000</v>
      </c>
      <c r="AJ2205" s="1675">
        <f t="shared" si="745"/>
        <v>6450000</v>
      </c>
      <c r="AK2205" s="1520">
        <f t="shared" si="748"/>
        <v>0</v>
      </c>
      <c r="AL2205" s="2210" t="str">
        <f t="shared" si="749"/>
        <v>Lunas</v>
      </c>
      <c r="AM2205" s="1666"/>
      <c r="AN2205" s="1590"/>
      <c r="AO2205"/>
      <c r="AP2205"/>
      <c r="AQ2205" s="1128"/>
      <c r="AR2205" s="1173"/>
      <c r="AT2205" s="1173"/>
      <c r="AV2205" s="1173"/>
      <c r="AX2205" s="1173"/>
      <c r="AY2205" s="1176"/>
      <c r="AZ2205" s="1173"/>
    </row>
    <row r="2206" spans="1:52" s="2" customFormat="1" x14ac:dyDescent="0.25">
      <c r="A2206" s="694">
        <v>2030</v>
      </c>
      <c r="B2206" s="671">
        <v>21</v>
      </c>
      <c r="C2206" s="716">
        <v>203206030021</v>
      </c>
      <c r="D2206" s="701" t="s">
        <v>2703</v>
      </c>
      <c r="E2206" s="264" t="s">
        <v>2694</v>
      </c>
      <c r="F2206" s="175">
        <v>2020</v>
      </c>
      <c r="G2206" s="360" t="s">
        <v>1483</v>
      </c>
      <c r="H2206" s="264" t="s">
        <v>2551</v>
      </c>
      <c r="I2206" s="264" t="s">
        <v>2552</v>
      </c>
      <c r="J2206" s="1359">
        <v>2700000</v>
      </c>
      <c r="K2206" s="1523">
        <v>44070.390023148102</v>
      </c>
      <c r="L2206" s="1359">
        <v>3750000</v>
      </c>
      <c r="M2206" s="1523">
        <v>44070.390023148102</v>
      </c>
      <c r="N2206" s="1731"/>
      <c r="O2206" s="1367"/>
      <c r="P2206" s="1731"/>
      <c r="Q2206" s="1367"/>
      <c r="R2206" s="1363"/>
      <c r="S2206" s="1563"/>
      <c r="T2206" s="1363"/>
      <c r="U2206" s="1391"/>
      <c r="V2206" s="1363"/>
      <c r="W2206" s="1391"/>
      <c r="X2206" s="1363"/>
      <c r="Y2206" s="1391"/>
      <c r="Z2206" s="1363"/>
      <c r="AA2206" s="1391"/>
      <c r="AB2206" s="1731"/>
      <c r="AC2206" s="1367"/>
      <c r="AD2206" s="1666"/>
      <c r="AE2206" s="1590"/>
      <c r="AF2206" s="1666"/>
      <c r="AG2206" s="1590"/>
      <c r="AH2206" s="1625" t="str">
        <f t="shared" si="735"/>
        <v>PAI-1B</v>
      </c>
      <c r="AI2206" s="1675">
        <f t="shared" si="744"/>
        <v>6450000</v>
      </c>
      <c r="AJ2206" s="1675">
        <f t="shared" si="745"/>
        <v>6450000</v>
      </c>
      <c r="AK2206" s="1520">
        <f t="shared" si="748"/>
        <v>0</v>
      </c>
      <c r="AL2206" s="2210" t="str">
        <f t="shared" si="749"/>
        <v>Lunas</v>
      </c>
      <c r="AM2206" s="1666"/>
      <c r="AN2206" s="1590"/>
      <c r="AO2206"/>
      <c r="AP2206"/>
      <c r="AQ2206" s="1128"/>
      <c r="AR2206" s="1173"/>
      <c r="AT2206" s="1173"/>
      <c r="AV2206" s="1173"/>
      <c r="AX2206" s="1173"/>
      <c r="AY2206" s="1176"/>
      <c r="AZ2206" s="1173"/>
    </row>
    <row r="2207" spans="1:52" s="2" customFormat="1" x14ac:dyDescent="0.25">
      <c r="A2207" s="694">
        <v>2031</v>
      </c>
      <c r="B2207" s="709">
        <v>22</v>
      </c>
      <c r="C2207" s="716">
        <v>203206030022</v>
      </c>
      <c r="D2207" s="701" t="s">
        <v>2704</v>
      </c>
      <c r="E2207" s="264" t="s">
        <v>2694</v>
      </c>
      <c r="F2207" s="175">
        <v>2020</v>
      </c>
      <c r="G2207" s="360" t="s">
        <v>1483</v>
      </c>
      <c r="H2207" s="264" t="s">
        <v>2551</v>
      </c>
      <c r="I2207" s="264" t="s">
        <v>2552</v>
      </c>
      <c r="J2207" s="1359">
        <v>2700000</v>
      </c>
      <c r="K2207" s="1523">
        <v>44071.394375000003</v>
      </c>
      <c r="L2207" s="1359">
        <v>3750000</v>
      </c>
      <c r="M2207" s="1523">
        <v>44071.394375000003</v>
      </c>
      <c r="N2207" s="1731"/>
      <c r="O2207" s="1367"/>
      <c r="P2207" s="1731"/>
      <c r="Q2207" s="1367"/>
      <c r="R2207" s="1363"/>
      <c r="S2207" s="1563"/>
      <c r="T2207" s="1363"/>
      <c r="U2207" s="1391"/>
      <c r="V2207" s="1363"/>
      <c r="W2207" s="1391"/>
      <c r="X2207" s="1363"/>
      <c r="Y2207" s="1391"/>
      <c r="Z2207" s="1363"/>
      <c r="AA2207" s="1391"/>
      <c r="AB2207" s="1731"/>
      <c r="AC2207" s="1367"/>
      <c r="AD2207" s="1666"/>
      <c r="AE2207" s="1590"/>
      <c r="AF2207" s="1666"/>
      <c r="AG2207" s="1590"/>
      <c r="AH2207" s="1625" t="str">
        <f t="shared" si="735"/>
        <v>PAI-1B</v>
      </c>
      <c r="AI2207" s="1675">
        <f t="shared" si="744"/>
        <v>6450000</v>
      </c>
      <c r="AJ2207" s="1675">
        <f t="shared" si="745"/>
        <v>6450000</v>
      </c>
      <c r="AK2207" s="1520">
        <f t="shared" si="748"/>
        <v>0</v>
      </c>
      <c r="AL2207" s="2210" t="str">
        <f t="shared" si="749"/>
        <v>Lunas</v>
      </c>
      <c r="AM2207" s="1666"/>
      <c r="AN2207" s="1590"/>
      <c r="AO2207"/>
      <c r="AP2207"/>
      <c r="AQ2207" s="1128"/>
      <c r="AR2207" s="1173"/>
      <c r="AT2207" s="1173"/>
      <c r="AV2207" s="1173"/>
      <c r="AX2207" s="1173"/>
      <c r="AY2207" s="1176"/>
      <c r="AZ2207" s="1173"/>
    </row>
    <row r="2208" spans="1:52" s="2" customFormat="1" x14ac:dyDescent="0.25">
      <c r="A2208" s="694">
        <v>2032</v>
      </c>
      <c r="B2208" s="671">
        <v>23</v>
      </c>
      <c r="C2208" s="716">
        <v>203206030023</v>
      </c>
      <c r="D2208" s="701" t="s">
        <v>2705</v>
      </c>
      <c r="E2208" s="264" t="s">
        <v>2694</v>
      </c>
      <c r="F2208" s="175">
        <v>2020</v>
      </c>
      <c r="G2208" s="360" t="s">
        <v>1483</v>
      </c>
      <c r="H2208" s="264" t="s">
        <v>2551</v>
      </c>
      <c r="I2208" s="264" t="s">
        <v>2552</v>
      </c>
      <c r="J2208" s="1359">
        <v>2700000</v>
      </c>
      <c r="K2208" s="1523">
        <v>44070.373657407399</v>
      </c>
      <c r="L2208" s="1359">
        <v>3750000</v>
      </c>
      <c r="M2208" s="1523">
        <v>44070.373657407399</v>
      </c>
      <c r="N2208" s="1731"/>
      <c r="O2208" s="1367"/>
      <c r="P2208" s="1731"/>
      <c r="Q2208" s="1367"/>
      <c r="R2208" s="1363"/>
      <c r="S2208" s="1563"/>
      <c r="T2208" s="1363"/>
      <c r="U2208" s="1391"/>
      <c r="V2208" s="1363"/>
      <c r="W2208" s="1391"/>
      <c r="X2208" s="1363"/>
      <c r="Y2208" s="1391"/>
      <c r="Z2208" s="1363"/>
      <c r="AA2208" s="1391"/>
      <c r="AB2208" s="1731"/>
      <c r="AC2208" s="1367"/>
      <c r="AD2208" s="1666"/>
      <c r="AE2208" s="1590"/>
      <c r="AF2208" s="1666"/>
      <c r="AG2208" s="1590"/>
      <c r="AH2208" s="1625" t="str">
        <f t="shared" si="735"/>
        <v>PAI-1B</v>
      </c>
      <c r="AI2208" s="1675">
        <f t="shared" si="744"/>
        <v>6450000</v>
      </c>
      <c r="AJ2208" s="1675">
        <f t="shared" si="745"/>
        <v>6450000</v>
      </c>
      <c r="AK2208" s="1520">
        <f t="shared" si="748"/>
        <v>0</v>
      </c>
      <c r="AL2208" s="2210" t="str">
        <f t="shared" si="749"/>
        <v>Lunas</v>
      </c>
      <c r="AM2208" s="1666"/>
      <c r="AN2208" s="1590"/>
      <c r="AO2208"/>
      <c r="AP2208"/>
      <c r="AQ2208" s="1128"/>
      <c r="AR2208" s="1173"/>
      <c r="AT2208" s="1173"/>
      <c r="AV2208" s="1173"/>
      <c r="AX2208" s="1173"/>
      <c r="AY2208" s="1176"/>
      <c r="AZ2208" s="1173"/>
    </row>
    <row r="2209" spans="1:52" s="2" customFormat="1" x14ac:dyDescent="0.25">
      <c r="A2209" s="694">
        <v>2033</v>
      </c>
      <c r="B2209" s="709">
        <v>24</v>
      </c>
      <c r="C2209" s="716">
        <v>203206030024</v>
      </c>
      <c r="D2209" s="701" t="s">
        <v>2706</v>
      </c>
      <c r="E2209" s="264" t="s">
        <v>2694</v>
      </c>
      <c r="F2209" s="175">
        <v>2020</v>
      </c>
      <c r="G2209" s="360" t="s">
        <v>1483</v>
      </c>
      <c r="H2209" s="264" t="s">
        <v>2551</v>
      </c>
      <c r="I2209" s="264" t="s">
        <v>2552</v>
      </c>
      <c r="J2209" s="1359">
        <v>2700000</v>
      </c>
      <c r="K2209" s="1523">
        <v>44071.355891203697</v>
      </c>
      <c r="L2209" s="1359">
        <v>3750000</v>
      </c>
      <c r="M2209" s="1523">
        <v>44071.355891203697</v>
      </c>
      <c r="N2209" s="1731"/>
      <c r="O2209" s="1367"/>
      <c r="P2209" s="1731"/>
      <c r="Q2209" s="1367"/>
      <c r="R2209" s="1363"/>
      <c r="S2209" s="1563"/>
      <c r="T2209" s="1363"/>
      <c r="U2209" s="1391"/>
      <c r="V2209" s="1363"/>
      <c r="W2209" s="1391"/>
      <c r="X2209" s="1363"/>
      <c r="Y2209" s="1391"/>
      <c r="Z2209" s="1363"/>
      <c r="AA2209" s="1391"/>
      <c r="AB2209" s="1731"/>
      <c r="AC2209" s="1367"/>
      <c r="AD2209" s="1666"/>
      <c r="AE2209" s="1590"/>
      <c r="AF2209" s="1666"/>
      <c r="AG2209" s="1590"/>
      <c r="AH2209" s="1625" t="str">
        <f t="shared" si="735"/>
        <v>PAI-1B</v>
      </c>
      <c r="AI2209" s="1675">
        <f t="shared" si="744"/>
        <v>6450000</v>
      </c>
      <c r="AJ2209" s="1675">
        <f t="shared" si="745"/>
        <v>6450000</v>
      </c>
      <c r="AK2209" s="1520">
        <f t="shared" si="748"/>
        <v>0</v>
      </c>
      <c r="AL2209" s="2210" t="str">
        <f t="shared" si="749"/>
        <v>Lunas</v>
      </c>
      <c r="AM2209" s="1666"/>
      <c r="AN2209" s="1590"/>
      <c r="AO2209"/>
      <c r="AP2209"/>
      <c r="AQ2209" s="1128"/>
      <c r="AR2209" s="1173"/>
      <c r="AT2209" s="1173"/>
      <c r="AV2209" s="1173"/>
      <c r="AX2209" s="1173"/>
      <c r="AY2209" s="1176"/>
      <c r="AZ2209" s="1173"/>
    </row>
    <row r="2210" spans="1:52" s="2" customFormat="1" x14ac:dyDescent="0.25">
      <c r="A2210" s="694">
        <v>2034</v>
      </c>
      <c r="B2210" s="671">
        <v>25</v>
      </c>
      <c r="C2210" s="716">
        <v>203206030025</v>
      </c>
      <c r="D2210" s="701" t="s">
        <v>2707</v>
      </c>
      <c r="E2210" s="264" t="s">
        <v>2694</v>
      </c>
      <c r="F2210" s="175">
        <v>2020</v>
      </c>
      <c r="G2210" s="360" t="s">
        <v>1483</v>
      </c>
      <c r="H2210" s="264" t="s">
        <v>2551</v>
      </c>
      <c r="I2210" s="264" t="s">
        <v>2552</v>
      </c>
      <c r="J2210" s="1359">
        <v>2700000</v>
      </c>
      <c r="K2210" s="1523">
        <v>44069.4594560185</v>
      </c>
      <c r="L2210" s="1359">
        <v>3750000</v>
      </c>
      <c r="M2210" s="1523">
        <v>44069.4594560185</v>
      </c>
      <c r="N2210" s="1731"/>
      <c r="O2210" s="1367"/>
      <c r="P2210" s="1731"/>
      <c r="Q2210" s="1367"/>
      <c r="R2210" s="1363"/>
      <c r="S2210" s="1563"/>
      <c r="T2210" s="1363"/>
      <c r="U2210" s="1391"/>
      <c r="V2210" s="1363"/>
      <c r="W2210" s="1391"/>
      <c r="X2210" s="1363"/>
      <c r="Y2210" s="1391"/>
      <c r="Z2210" s="1363"/>
      <c r="AA2210" s="1391"/>
      <c r="AB2210" s="1731"/>
      <c r="AC2210" s="1367"/>
      <c r="AD2210" s="1666"/>
      <c r="AE2210" s="1590"/>
      <c r="AF2210" s="1666"/>
      <c r="AG2210" s="1590"/>
      <c r="AH2210" s="1625" t="str">
        <f t="shared" si="735"/>
        <v>PAI-1B</v>
      </c>
      <c r="AI2210" s="1675">
        <f t="shared" si="744"/>
        <v>6450000</v>
      </c>
      <c r="AJ2210" s="1675">
        <f t="shared" si="745"/>
        <v>6450000</v>
      </c>
      <c r="AK2210" s="1520">
        <f t="shared" si="748"/>
        <v>0</v>
      </c>
      <c r="AL2210" s="2210" t="str">
        <f t="shared" si="749"/>
        <v>Lunas</v>
      </c>
      <c r="AM2210" s="1666"/>
      <c r="AN2210" s="1590"/>
      <c r="AO2210"/>
      <c r="AP2210"/>
      <c r="AQ2210" s="1128"/>
      <c r="AR2210" s="1173"/>
      <c r="AT2210" s="1173"/>
      <c r="AV2210" s="1173"/>
      <c r="AX2210" s="1173"/>
      <c r="AY2210" s="1176"/>
      <c r="AZ2210" s="1173"/>
    </row>
    <row r="2211" spans="1:52" s="2" customFormat="1" x14ac:dyDescent="0.25">
      <c r="A2211" s="694">
        <v>2035</v>
      </c>
      <c r="B2211" s="709">
        <v>26</v>
      </c>
      <c r="C2211" s="716">
        <v>203206030026</v>
      </c>
      <c r="D2211" s="701" t="s">
        <v>2708</v>
      </c>
      <c r="E2211" s="264" t="s">
        <v>2694</v>
      </c>
      <c r="F2211" s="175">
        <v>2020</v>
      </c>
      <c r="G2211" s="360" t="s">
        <v>1483</v>
      </c>
      <c r="H2211" s="264" t="s">
        <v>2551</v>
      </c>
      <c r="I2211" s="264" t="s">
        <v>2552</v>
      </c>
      <c r="J2211" s="1359">
        <v>2700000</v>
      </c>
      <c r="K2211" s="1523">
        <v>44069.467453703699</v>
      </c>
      <c r="L2211" s="1359">
        <v>3750000</v>
      </c>
      <c r="M2211" s="1523">
        <v>44069.467453703699</v>
      </c>
      <c r="N2211" s="1731"/>
      <c r="O2211" s="1367"/>
      <c r="P2211" s="1731"/>
      <c r="Q2211" s="1367"/>
      <c r="R2211" s="1363"/>
      <c r="S2211" s="1563"/>
      <c r="T2211" s="1363"/>
      <c r="U2211" s="1391"/>
      <c r="V2211" s="1363"/>
      <c r="W2211" s="1391"/>
      <c r="X2211" s="1363"/>
      <c r="Y2211" s="1391"/>
      <c r="Z2211" s="1363"/>
      <c r="AA2211" s="1391"/>
      <c r="AB2211" s="1731"/>
      <c r="AC2211" s="1367"/>
      <c r="AD2211" s="1666"/>
      <c r="AE2211" s="1590"/>
      <c r="AF2211" s="1666"/>
      <c r="AG2211" s="1590"/>
      <c r="AH2211" s="1625" t="str">
        <f t="shared" si="735"/>
        <v>PAI-1B</v>
      </c>
      <c r="AI2211" s="1675">
        <f t="shared" si="744"/>
        <v>6450000</v>
      </c>
      <c r="AJ2211" s="1675">
        <f t="shared" si="745"/>
        <v>6450000</v>
      </c>
      <c r="AK2211" s="1520">
        <f t="shared" si="748"/>
        <v>0</v>
      </c>
      <c r="AL2211" s="2210" t="str">
        <f t="shared" si="749"/>
        <v>Lunas</v>
      </c>
      <c r="AM2211" s="1666"/>
      <c r="AN2211" s="1590"/>
      <c r="AO2211"/>
      <c r="AP2211"/>
      <c r="AQ2211" s="1128"/>
      <c r="AR2211" s="1173"/>
      <c r="AT2211" s="1173"/>
      <c r="AV2211" s="1173"/>
      <c r="AX2211" s="1173"/>
      <c r="AY2211" s="1176"/>
      <c r="AZ2211" s="1173"/>
    </row>
    <row r="2212" spans="1:52" s="2" customFormat="1" x14ac:dyDescent="0.25">
      <c r="A2212" s="694">
        <v>2036</v>
      </c>
      <c r="B2212" s="671">
        <v>27</v>
      </c>
      <c r="C2212" s="716">
        <v>203206030027</v>
      </c>
      <c r="D2212" s="701" t="s">
        <v>2709</v>
      </c>
      <c r="E2212" s="264" t="s">
        <v>2694</v>
      </c>
      <c r="F2212" s="175">
        <v>2020</v>
      </c>
      <c r="G2212" s="360" t="s">
        <v>1483</v>
      </c>
      <c r="H2212" s="264" t="s">
        <v>2551</v>
      </c>
      <c r="I2212" s="264" t="s">
        <v>2552</v>
      </c>
      <c r="J2212" s="1359">
        <v>2700000</v>
      </c>
      <c r="K2212" s="1523">
        <v>44070.5916782407</v>
      </c>
      <c r="L2212" s="1359">
        <v>3750000</v>
      </c>
      <c r="M2212" s="1523">
        <v>44070.5916782407</v>
      </c>
      <c r="N2212" s="1731"/>
      <c r="O2212" s="1367"/>
      <c r="P2212" s="1731"/>
      <c r="Q2212" s="1367"/>
      <c r="R2212" s="1363"/>
      <c r="S2212" s="1563"/>
      <c r="T2212" s="1363"/>
      <c r="U2212" s="1391"/>
      <c r="V2212" s="1363"/>
      <c r="W2212" s="1391"/>
      <c r="X2212" s="1363"/>
      <c r="Y2212" s="1391"/>
      <c r="Z2212" s="1363"/>
      <c r="AA2212" s="1391"/>
      <c r="AB2212" s="1731"/>
      <c r="AC2212" s="1367"/>
      <c r="AD2212" s="1666"/>
      <c r="AE2212" s="1590"/>
      <c r="AF2212" s="1666"/>
      <c r="AG2212" s="1590"/>
      <c r="AH2212" s="1625" t="str">
        <f t="shared" ref="AH2212:AH2275" si="750">E2212</f>
        <v>PAI-1B</v>
      </c>
      <c r="AI2212" s="1675">
        <f t="shared" si="744"/>
        <v>6450000</v>
      </c>
      <c r="AJ2212" s="1675">
        <f t="shared" si="745"/>
        <v>6450000</v>
      </c>
      <c r="AK2212" s="1520">
        <f t="shared" si="748"/>
        <v>0</v>
      </c>
      <c r="AL2212" s="2210" t="str">
        <f t="shared" si="749"/>
        <v>Lunas</v>
      </c>
      <c r="AM2212" s="1666"/>
      <c r="AN2212" s="1590"/>
      <c r="AO2212"/>
      <c r="AP2212"/>
      <c r="AQ2212" s="1128"/>
      <c r="AR2212" s="1173"/>
      <c r="AT2212" s="1173"/>
      <c r="AV2212" s="1173"/>
      <c r="AX2212" s="1173"/>
      <c r="AY2212" s="1176"/>
      <c r="AZ2212" s="1173"/>
    </row>
    <row r="2213" spans="1:52" s="2" customFormat="1" x14ac:dyDescent="0.25">
      <c r="A2213" s="694">
        <v>2037</v>
      </c>
      <c r="B2213" s="709">
        <v>28</v>
      </c>
      <c r="C2213" s="716">
        <v>203206030028</v>
      </c>
      <c r="D2213" s="701" t="s">
        <v>2710</v>
      </c>
      <c r="E2213" s="264" t="s">
        <v>2694</v>
      </c>
      <c r="F2213" s="175">
        <v>2020</v>
      </c>
      <c r="G2213" s="360" t="s">
        <v>1483</v>
      </c>
      <c r="H2213" s="264" t="s">
        <v>2551</v>
      </c>
      <c r="I2213" s="264" t="s">
        <v>2552</v>
      </c>
      <c r="J2213" s="1359">
        <v>2700000</v>
      </c>
      <c r="K2213" s="1523">
        <v>44070.616759259297</v>
      </c>
      <c r="L2213" s="1359">
        <v>3750000</v>
      </c>
      <c r="M2213" s="1523">
        <v>44070.616759259297</v>
      </c>
      <c r="N2213" s="1731"/>
      <c r="O2213" s="1367"/>
      <c r="P2213" s="1731"/>
      <c r="Q2213" s="1367"/>
      <c r="R2213" s="1363"/>
      <c r="S2213" s="1563"/>
      <c r="T2213" s="1363"/>
      <c r="U2213" s="1391"/>
      <c r="V2213" s="1363"/>
      <c r="W2213" s="1391"/>
      <c r="X2213" s="1363"/>
      <c r="Y2213" s="1391"/>
      <c r="Z2213" s="1363"/>
      <c r="AA2213" s="1391"/>
      <c r="AB2213" s="1731"/>
      <c r="AC2213" s="1367"/>
      <c r="AD2213" s="1666"/>
      <c r="AE2213" s="1590"/>
      <c r="AF2213" s="1666"/>
      <c r="AG2213" s="1590"/>
      <c r="AH2213" s="1625" t="str">
        <f t="shared" si="750"/>
        <v>PAI-1B</v>
      </c>
      <c r="AI2213" s="1675">
        <f t="shared" si="744"/>
        <v>6450000</v>
      </c>
      <c r="AJ2213" s="1675">
        <f t="shared" si="745"/>
        <v>6450000</v>
      </c>
      <c r="AK2213" s="1520">
        <f t="shared" si="748"/>
        <v>0</v>
      </c>
      <c r="AL2213" s="2210" t="str">
        <f t="shared" si="749"/>
        <v>Lunas</v>
      </c>
      <c r="AM2213" s="1666"/>
      <c r="AN2213" s="1590"/>
      <c r="AO2213"/>
      <c r="AP2213"/>
      <c r="AQ2213" s="1128"/>
      <c r="AR2213" s="1173"/>
      <c r="AT2213" s="1173"/>
      <c r="AV2213" s="1173"/>
      <c r="AX2213" s="1173"/>
      <c r="AY2213" s="1176"/>
      <c r="AZ2213" s="1173"/>
    </row>
    <row r="2214" spans="1:52" s="2" customFormat="1" x14ac:dyDescent="0.25">
      <c r="A2214" s="694">
        <v>2038</v>
      </c>
      <c r="B2214" s="671">
        <v>29</v>
      </c>
      <c r="C2214" s="716">
        <v>203206030029</v>
      </c>
      <c r="D2214" s="701" t="s">
        <v>2711</v>
      </c>
      <c r="E2214" s="264" t="s">
        <v>2694</v>
      </c>
      <c r="F2214" s="175">
        <v>2020</v>
      </c>
      <c r="G2214" s="360" t="s">
        <v>1483</v>
      </c>
      <c r="H2214" s="264" t="s">
        <v>2551</v>
      </c>
      <c r="I2214" s="264" t="s">
        <v>2552</v>
      </c>
      <c r="J2214" s="1359">
        <v>2700000</v>
      </c>
      <c r="K2214" s="1523">
        <v>44070.525613425903</v>
      </c>
      <c r="L2214" s="1359">
        <v>3750000</v>
      </c>
      <c r="M2214" s="1523">
        <v>44070.525613425903</v>
      </c>
      <c r="N2214" s="1731"/>
      <c r="O2214" s="1367"/>
      <c r="P2214" s="1731"/>
      <c r="Q2214" s="1367"/>
      <c r="R2214" s="1363"/>
      <c r="S2214" s="1563"/>
      <c r="T2214" s="1363"/>
      <c r="U2214" s="1391"/>
      <c r="V2214" s="1363"/>
      <c r="W2214" s="1391"/>
      <c r="X2214" s="1363"/>
      <c r="Y2214" s="1391"/>
      <c r="Z2214" s="1363"/>
      <c r="AA2214" s="1391"/>
      <c r="AB2214" s="1731"/>
      <c r="AC2214" s="1367"/>
      <c r="AD2214" s="1666"/>
      <c r="AE2214" s="1590"/>
      <c r="AF2214" s="1666"/>
      <c r="AG2214" s="1590"/>
      <c r="AH2214" s="1625" t="str">
        <f t="shared" si="750"/>
        <v>PAI-1B</v>
      </c>
      <c r="AI2214" s="1675">
        <f t="shared" si="744"/>
        <v>6450000</v>
      </c>
      <c r="AJ2214" s="1675">
        <f t="shared" si="745"/>
        <v>6450000</v>
      </c>
      <c r="AK2214" s="1520">
        <f t="shared" si="748"/>
        <v>0</v>
      </c>
      <c r="AL2214" s="2210" t="str">
        <f t="shared" si="749"/>
        <v>Lunas</v>
      </c>
      <c r="AM2214" s="1666"/>
      <c r="AN2214" s="1590"/>
      <c r="AO2214"/>
      <c r="AP2214"/>
      <c r="AQ2214" s="1128"/>
      <c r="AR2214" s="1173"/>
      <c r="AT2214" s="1173"/>
      <c r="AV2214" s="1173"/>
      <c r="AX2214" s="1173"/>
      <c r="AY2214" s="1176"/>
      <c r="AZ2214" s="1173"/>
    </row>
    <row r="2215" spans="1:52" s="2" customFormat="1" x14ac:dyDescent="0.25">
      <c r="A2215" s="694">
        <v>2039</v>
      </c>
      <c r="B2215" s="709">
        <v>30</v>
      </c>
      <c r="C2215" s="716">
        <v>203206030030</v>
      </c>
      <c r="D2215" s="701" t="s">
        <v>2712</v>
      </c>
      <c r="E2215" s="264" t="s">
        <v>2694</v>
      </c>
      <c r="F2215" s="175">
        <v>2020</v>
      </c>
      <c r="G2215" s="360" t="s">
        <v>1483</v>
      </c>
      <c r="H2215" s="264" t="s">
        <v>2551</v>
      </c>
      <c r="I2215" s="264" t="s">
        <v>2552</v>
      </c>
      <c r="J2215" s="1359">
        <v>2700000</v>
      </c>
      <c r="K2215" s="1523">
        <v>44070.6092824074</v>
      </c>
      <c r="L2215" s="1359">
        <v>3750000</v>
      </c>
      <c r="M2215" s="1523">
        <v>44070.6092824074</v>
      </c>
      <c r="N2215" s="1731"/>
      <c r="O2215" s="1367"/>
      <c r="P2215" s="1731"/>
      <c r="Q2215" s="1367"/>
      <c r="R2215" s="1363"/>
      <c r="S2215" s="1563"/>
      <c r="T2215" s="1363"/>
      <c r="U2215" s="1391"/>
      <c r="V2215" s="1363"/>
      <c r="W2215" s="1391"/>
      <c r="X2215" s="1363"/>
      <c r="Y2215" s="1391"/>
      <c r="Z2215" s="1363"/>
      <c r="AA2215" s="1391"/>
      <c r="AB2215" s="1731"/>
      <c r="AC2215" s="1367"/>
      <c r="AD2215" s="1666"/>
      <c r="AE2215" s="1590"/>
      <c r="AF2215" s="1666"/>
      <c r="AG2215" s="1590"/>
      <c r="AH2215" s="1625" t="str">
        <f t="shared" si="750"/>
        <v>PAI-1B</v>
      </c>
      <c r="AI2215" s="1675">
        <f t="shared" si="744"/>
        <v>6450000</v>
      </c>
      <c r="AJ2215" s="1675">
        <f t="shared" si="745"/>
        <v>6450000</v>
      </c>
      <c r="AK2215" s="1520">
        <f t="shared" si="748"/>
        <v>0</v>
      </c>
      <c r="AL2215" s="2210" t="str">
        <f t="shared" si="749"/>
        <v>Lunas</v>
      </c>
      <c r="AM2215" s="1666"/>
      <c r="AN2215" s="1590"/>
      <c r="AO2215"/>
      <c r="AP2215"/>
      <c r="AQ2215" s="1128"/>
      <c r="AR2215" s="1173"/>
      <c r="AT2215" s="1173"/>
      <c r="AV2215" s="1173"/>
      <c r="AX2215" s="1173"/>
      <c r="AY2215" s="1176"/>
      <c r="AZ2215" s="1173"/>
    </row>
    <row r="2216" spans="1:52" s="2" customFormat="1" x14ac:dyDescent="0.25">
      <c r="A2216" s="694">
        <v>2040</v>
      </c>
      <c r="B2216" s="671">
        <v>31</v>
      </c>
      <c r="C2216" s="716">
        <v>203206030031</v>
      </c>
      <c r="D2216" s="701" t="s">
        <v>2713</v>
      </c>
      <c r="E2216" s="264" t="s">
        <v>2694</v>
      </c>
      <c r="F2216" s="175">
        <v>2020</v>
      </c>
      <c r="G2216" s="360" t="s">
        <v>1483</v>
      </c>
      <c r="H2216" s="264" t="s">
        <v>2551</v>
      </c>
      <c r="I2216" s="264" t="s">
        <v>2552</v>
      </c>
      <c r="J2216" s="1359">
        <v>2700000</v>
      </c>
      <c r="K2216" s="1523">
        <v>44071.615729166697</v>
      </c>
      <c r="L2216" s="1359">
        <v>3750000</v>
      </c>
      <c r="M2216" s="1523">
        <v>44071.615729166697</v>
      </c>
      <c r="N2216" s="1731"/>
      <c r="O2216" s="1367"/>
      <c r="P2216" s="1731"/>
      <c r="Q2216" s="1367"/>
      <c r="R2216" s="1363"/>
      <c r="S2216" s="1563"/>
      <c r="T2216" s="1363"/>
      <c r="U2216" s="1391"/>
      <c r="V2216" s="1363"/>
      <c r="W2216" s="1391"/>
      <c r="X2216" s="1363"/>
      <c r="Y2216" s="1391"/>
      <c r="Z2216" s="1363"/>
      <c r="AA2216" s="1391"/>
      <c r="AB2216" s="1731"/>
      <c r="AC2216" s="1367"/>
      <c r="AD2216" s="1666"/>
      <c r="AE2216" s="1590"/>
      <c r="AF2216" s="1666"/>
      <c r="AG2216" s="1590"/>
      <c r="AH2216" s="1625" t="str">
        <f t="shared" si="750"/>
        <v>PAI-1B</v>
      </c>
      <c r="AI2216" s="1675">
        <f t="shared" si="744"/>
        <v>6450000</v>
      </c>
      <c r="AJ2216" s="1675">
        <f t="shared" si="745"/>
        <v>6450000</v>
      </c>
      <c r="AK2216" s="1520">
        <f t="shared" si="748"/>
        <v>0</v>
      </c>
      <c r="AL2216" s="2210" t="str">
        <f t="shared" si="749"/>
        <v>Lunas</v>
      </c>
      <c r="AM2216" s="1666"/>
      <c r="AN2216" s="1590"/>
      <c r="AO2216"/>
      <c r="AP2216"/>
      <c r="AQ2216" s="1128"/>
      <c r="AR2216" s="1173"/>
      <c r="AT2216" s="1173"/>
      <c r="AV2216" s="1173"/>
      <c r="AX2216" s="1173"/>
      <c r="AY2216" s="1176"/>
      <c r="AZ2216" s="1173"/>
    </row>
    <row r="2217" spans="1:52" s="2" customFormat="1" x14ac:dyDescent="0.25">
      <c r="A2217" s="694">
        <v>2041</v>
      </c>
      <c r="B2217" s="709">
        <v>32</v>
      </c>
      <c r="C2217" s="716">
        <v>203206030032</v>
      </c>
      <c r="D2217" s="701" t="s">
        <v>2714</v>
      </c>
      <c r="E2217" s="264" t="s">
        <v>2694</v>
      </c>
      <c r="F2217" s="175">
        <v>2020</v>
      </c>
      <c r="G2217" s="360" t="s">
        <v>1483</v>
      </c>
      <c r="H2217" s="264" t="s">
        <v>2551</v>
      </c>
      <c r="I2217" s="264" t="s">
        <v>2552</v>
      </c>
      <c r="J2217" s="1359">
        <v>2700000</v>
      </c>
      <c r="K2217" s="1523">
        <v>44068.444108796299</v>
      </c>
      <c r="L2217" s="1359">
        <v>3750000</v>
      </c>
      <c r="M2217" s="1523">
        <v>44068.444108796299</v>
      </c>
      <c r="N2217" s="1731"/>
      <c r="O2217" s="1367"/>
      <c r="P2217" s="1731"/>
      <c r="Q2217" s="1367"/>
      <c r="R2217" s="1363"/>
      <c r="S2217" s="1563"/>
      <c r="T2217" s="1363"/>
      <c r="U2217" s="1391"/>
      <c r="V2217" s="1363"/>
      <c r="W2217" s="1391"/>
      <c r="X2217" s="1363"/>
      <c r="Y2217" s="1391"/>
      <c r="Z2217" s="1363"/>
      <c r="AA2217" s="1391"/>
      <c r="AB2217" s="1731"/>
      <c r="AC2217" s="1367"/>
      <c r="AD2217" s="1666"/>
      <c r="AE2217" s="1590"/>
      <c r="AF2217" s="1666"/>
      <c r="AG2217" s="1590"/>
      <c r="AH2217" s="1625" t="str">
        <f t="shared" si="750"/>
        <v>PAI-1B</v>
      </c>
      <c r="AI2217" s="1675">
        <f t="shared" si="744"/>
        <v>6450000</v>
      </c>
      <c r="AJ2217" s="1675">
        <f t="shared" si="745"/>
        <v>6450000</v>
      </c>
      <c r="AK2217" s="1520">
        <f t="shared" si="748"/>
        <v>0</v>
      </c>
      <c r="AL2217" s="2210" t="str">
        <f t="shared" si="749"/>
        <v>Lunas</v>
      </c>
      <c r="AM2217" s="1666"/>
      <c r="AN2217" s="1590"/>
      <c r="AO2217"/>
      <c r="AP2217"/>
      <c r="AQ2217" s="1128"/>
      <c r="AR2217" s="1173"/>
      <c r="AT2217" s="1173"/>
      <c r="AV2217" s="1173"/>
      <c r="AX2217" s="1173"/>
      <c r="AY2217" s="1176"/>
      <c r="AZ2217" s="1173"/>
    </row>
    <row r="2218" spans="1:52" s="2" customFormat="1" x14ac:dyDescent="0.25">
      <c r="A2218" s="694">
        <v>2042</v>
      </c>
      <c r="B2218" s="671">
        <v>33</v>
      </c>
      <c r="C2218" s="716">
        <v>203206030033</v>
      </c>
      <c r="D2218" s="701" t="s">
        <v>2715</v>
      </c>
      <c r="E2218" s="264" t="s">
        <v>2694</v>
      </c>
      <c r="F2218" s="175">
        <v>2020</v>
      </c>
      <c r="G2218" s="360" t="s">
        <v>1483</v>
      </c>
      <c r="H2218" s="264" t="s">
        <v>2551</v>
      </c>
      <c r="I2218" s="264" t="s">
        <v>2552</v>
      </c>
      <c r="J2218" s="1359">
        <v>2700000</v>
      </c>
      <c r="K2218" s="1523">
        <v>44069.600381944401</v>
      </c>
      <c r="L2218" s="1359">
        <v>3750000</v>
      </c>
      <c r="M2218" s="1523">
        <v>44069.600381944401</v>
      </c>
      <c r="N2218" s="1731"/>
      <c r="O2218" s="1367"/>
      <c r="P2218" s="1731"/>
      <c r="Q2218" s="1367"/>
      <c r="R2218" s="1363"/>
      <c r="S2218" s="1563"/>
      <c r="T2218" s="1363"/>
      <c r="U2218" s="1391"/>
      <c r="V2218" s="1363"/>
      <c r="W2218" s="1391"/>
      <c r="X2218" s="1363"/>
      <c r="Y2218" s="1391"/>
      <c r="Z2218" s="1363"/>
      <c r="AA2218" s="1391"/>
      <c r="AB2218" s="1731"/>
      <c r="AC2218" s="1367"/>
      <c r="AD2218" s="1666"/>
      <c r="AE2218" s="1590"/>
      <c r="AF2218" s="1666"/>
      <c r="AG2218" s="1590"/>
      <c r="AH2218" s="1625" t="str">
        <f t="shared" si="750"/>
        <v>PAI-1B</v>
      </c>
      <c r="AI2218" s="1675">
        <f t="shared" si="744"/>
        <v>6450000</v>
      </c>
      <c r="AJ2218" s="1675">
        <f t="shared" ref="AJ2218:AJ2239" si="751">(COUNT(L2218,N2218,P2218,R2218,T2218,V2218,X2218,Z2218)*$G$1507)+(COUNT(J2218)*$J$1507)+(COUNT(AB2218)*$AB$1507)+(COUNT(AD2218)*$AD$1507)+(COUNT(AF2218)*$AF$1507)+(COUNT(AM2218)*$AM$1507)</f>
        <v>6450000</v>
      </c>
      <c r="AK2218" s="1520">
        <f t="shared" ref="AK2218:AK2239" si="752">AJ2218-AI2218</f>
        <v>0</v>
      </c>
      <c r="AL2218" s="2210" t="str">
        <f t="shared" ref="AL2218:AL2239" si="753">IF(AK2218=0,"Lunas","Cek")</f>
        <v>Lunas</v>
      </c>
      <c r="AM2218" s="1666"/>
      <c r="AN2218" s="1590"/>
      <c r="AO2218"/>
      <c r="AP2218"/>
      <c r="AQ2218" s="1128"/>
      <c r="AR2218" s="1173"/>
      <c r="AT2218" s="1173"/>
      <c r="AV2218" s="1173"/>
      <c r="AX2218" s="1173"/>
      <c r="AY2218" s="1176"/>
      <c r="AZ2218" s="1173"/>
    </row>
    <row r="2219" spans="1:52" s="2" customFormat="1" x14ac:dyDescent="0.25">
      <c r="A2219" s="694">
        <v>2043</v>
      </c>
      <c r="B2219" s="709">
        <v>34</v>
      </c>
      <c r="C2219" s="716">
        <v>203206030034</v>
      </c>
      <c r="D2219" s="701" t="s">
        <v>2716</v>
      </c>
      <c r="E2219" s="264" t="s">
        <v>2717</v>
      </c>
      <c r="F2219" s="175">
        <v>2020</v>
      </c>
      <c r="G2219" s="360" t="s">
        <v>1483</v>
      </c>
      <c r="H2219" s="264" t="s">
        <v>2551</v>
      </c>
      <c r="I2219" s="264" t="s">
        <v>2552</v>
      </c>
      <c r="J2219" s="1359">
        <v>2700000</v>
      </c>
      <c r="K2219" s="1523">
        <v>44070.496770833299</v>
      </c>
      <c r="L2219" s="1359">
        <v>3750000</v>
      </c>
      <c r="M2219" s="1523">
        <v>44070.496770833299</v>
      </c>
      <c r="N2219" s="1731"/>
      <c r="O2219" s="1367"/>
      <c r="P2219" s="1731"/>
      <c r="Q2219" s="1367"/>
      <c r="R2219" s="1363"/>
      <c r="S2219" s="1563"/>
      <c r="T2219" s="1363"/>
      <c r="U2219" s="1391"/>
      <c r="V2219" s="1363"/>
      <c r="W2219" s="1391"/>
      <c r="X2219" s="1363"/>
      <c r="Y2219" s="1391"/>
      <c r="Z2219" s="1363"/>
      <c r="AA2219" s="1391"/>
      <c r="AB2219" s="1731"/>
      <c r="AC2219" s="1367"/>
      <c r="AD2219" s="1666"/>
      <c r="AE2219" s="1590"/>
      <c r="AF2219" s="1666"/>
      <c r="AG2219" s="1590"/>
      <c r="AH2219" s="1625" t="str">
        <f t="shared" si="750"/>
        <v>PAI-1C</v>
      </c>
      <c r="AI2219" s="1675">
        <f t="shared" si="744"/>
        <v>6450000</v>
      </c>
      <c r="AJ2219" s="1675">
        <f t="shared" si="751"/>
        <v>6450000</v>
      </c>
      <c r="AK2219" s="1520">
        <f t="shared" si="752"/>
        <v>0</v>
      </c>
      <c r="AL2219" s="2210" t="str">
        <f t="shared" si="753"/>
        <v>Lunas</v>
      </c>
      <c r="AM2219" s="1666"/>
      <c r="AN2219" s="1590"/>
      <c r="AO2219"/>
      <c r="AP2219"/>
      <c r="AQ2219" s="1128"/>
      <c r="AR2219" s="1173"/>
      <c r="AT2219" s="1173"/>
      <c r="AV2219" s="1173"/>
      <c r="AX2219" s="1173"/>
      <c r="AY2219" s="1176"/>
      <c r="AZ2219" s="1173"/>
    </row>
    <row r="2220" spans="1:52" s="2" customFormat="1" x14ac:dyDescent="0.25">
      <c r="A2220" s="694">
        <v>2044</v>
      </c>
      <c r="B2220" s="671">
        <v>35</v>
      </c>
      <c r="C2220" s="716">
        <v>203206030035</v>
      </c>
      <c r="D2220" s="701" t="s">
        <v>2718</v>
      </c>
      <c r="E2220" s="264" t="s">
        <v>2717</v>
      </c>
      <c r="F2220" s="175">
        <v>2020</v>
      </c>
      <c r="G2220" s="360" t="s">
        <v>1483</v>
      </c>
      <c r="H2220" s="264" t="s">
        <v>2551</v>
      </c>
      <c r="I2220" s="264" t="s">
        <v>2552</v>
      </c>
      <c r="J2220" s="1359">
        <v>2700000</v>
      </c>
      <c r="K2220" s="1523">
        <v>44071.584085648101</v>
      </c>
      <c r="L2220" s="1359">
        <v>3750000</v>
      </c>
      <c r="M2220" s="1523">
        <v>44071.584085648101</v>
      </c>
      <c r="N2220" s="1731"/>
      <c r="O2220" s="1367"/>
      <c r="P2220" s="1731"/>
      <c r="Q2220" s="1367"/>
      <c r="R2220" s="1363"/>
      <c r="S2220" s="1563"/>
      <c r="T2220" s="1363"/>
      <c r="U2220" s="1391"/>
      <c r="V2220" s="1363"/>
      <c r="W2220" s="1391"/>
      <c r="X2220" s="1363"/>
      <c r="Y2220" s="1391"/>
      <c r="Z2220" s="1363"/>
      <c r="AA2220" s="1391"/>
      <c r="AB2220" s="1731"/>
      <c r="AC2220" s="1367"/>
      <c r="AD2220" s="1666"/>
      <c r="AE2220" s="1590"/>
      <c r="AF2220" s="1666"/>
      <c r="AG2220" s="1590"/>
      <c r="AH2220" s="1625" t="str">
        <f t="shared" si="750"/>
        <v>PAI-1C</v>
      </c>
      <c r="AI2220" s="1675">
        <f t="shared" si="744"/>
        <v>6450000</v>
      </c>
      <c r="AJ2220" s="1675">
        <f t="shared" si="751"/>
        <v>6450000</v>
      </c>
      <c r="AK2220" s="1520">
        <f t="shared" si="752"/>
        <v>0</v>
      </c>
      <c r="AL2220" s="2210" t="str">
        <f t="shared" si="753"/>
        <v>Lunas</v>
      </c>
      <c r="AM2220" s="1666"/>
      <c r="AN2220" s="1590"/>
      <c r="AO2220"/>
      <c r="AP2220"/>
      <c r="AQ2220" s="1128"/>
      <c r="AR2220" s="1173"/>
      <c r="AT2220" s="1173"/>
      <c r="AV2220" s="1173"/>
      <c r="AX2220" s="1173"/>
      <c r="AY2220" s="1176"/>
      <c r="AZ2220" s="1173"/>
    </row>
    <row r="2221" spans="1:52" s="2" customFormat="1" x14ac:dyDescent="0.25">
      <c r="A2221" s="694">
        <v>2045</v>
      </c>
      <c r="B2221" s="709">
        <v>36</v>
      </c>
      <c r="C2221" s="716">
        <v>203206030036</v>
      </c>
      <c r="D2221" s="701" t="s">
        <v>2719</v>
      </c>
      <c r="E2221" s="264" t="s">
        <v>2717</v>
      </c>
      <c r="F2221" s="175">
        <v>2020</v>
      </c>
      <c r="G2221" s="360" t="s">
        <v>1483</v>
      </c>
      <c r="H2221" s="264" t="s">
        <v>2551</v>
      </c>
      <c r="I2221" s="264" t="s">
        <v>2552</v>
      </c>
      <c r="J2221" s="1359">
        <v>2700000</v>
      </c>
      <c r="K2221" s="1523">
        <v>44071.394027777802</v>
      </c>
      <c r="L2221" s="1359">
        <v>3750000</v>
      </c>
      <c r="M2221" s="1523">
        <v>44071.394027777802</v>
      </c>
      <c r="N2221" s="1731"/>
      <c r="O2221" s="1367"/>
      <c r="P2221" s="1731"/>
      <c r="Q2221" s="1367"/>
      <c r="R2221" s="1363"/>
      <c r="S2221" s="1563"/>
      <c r="T2221" s="1363"/>
      <c r="U2221" s="1391"/>
      <c r="V2221" s="1363"/>
      <c r="W2221" s="1391"/>
      <c r="X2221" s="1363"/>
      <c r="Y2221" s="1391"/>
      <c r="Z2221" s="1363"/>
      <c r="AA2221" s="1391"/>
      <c r="AB2221" s="1731"/>
      <c r="AC2221" s="1367"/>
      <c r="AD2221" s="1666"/>
      <c r="AE2221" s="1590"/>
      <c r="AF2221" s="1666"/>
      <c r="AG2221" s="1590"/>
      <c r="AH2221" s="1625" t="str">
        <f t="shared" si="750"/>
        <v>PAI-1C</v>
      </c>
      <c r="AI2221" s="1675">
        <f t="shared" si="744"/>
        <v>6450000</v>
      </c>
      <c r="AJ2221" s="1675">
        <f t="shared" si="751"/>
        <v>6450000</v>
      </c>
      <c r="AK2221" s="1520">
        <f t="shared" si="752"/>
        <v>0</v>
      </c>
      <c r="AL2221" s="2210" t="str">
        <f t="shared" si="753"/>
        <v>Lunas</v>
      </c>
      <c r="AM2221" s="1666"/>
      <c r="AN2221" s="1590"/>
      <c r="AO2221"/>
      <c r="AP2221"/>
      <c r="AQ2221" s="1128"/>
      <c r="AR2221" s="1173"/>
      <c r="AT2221" s="1173"/>
      <c r="AV2221" s="1173"/>
      <c r="AX2221" s="1173"/>
      <c r="AY2221" s="1176"/>
      <c r="AZ2221" s="1173"/>
    </row>
    <row r="2222" spans="1:52" s="2" customFormat="1" x14ac:dyDescent="0.25">
      <c r="A2222" s="694">
        <v>2046</v>
      </c>
      <c r="B2222" s="671">
        <v>37</v>
      </c>
      <c r="C2222" s="716">
        <v>203206030037</v>
      </c>
      <c r="D2222" s="701" t="s">
        <v>2720</v>
      </c>
      <c r="E2222" s="264" t="s">
        <v>2717</v>
      </c>
      <c r="F2222" s="175">
        <v>2020</v>
      </c>
      <c r="G2222" s="360" t="s">
        <v>1483</v>
      </c>
      <c r="H2222" s="264" t="s">
        <v>2551</v>
      </c>
      <c r="I2222" s="264" t="s">
        <v>2552</v>
      </c>
      <c r="J2222" s="1359">
        <v>2700000</v>
      </c>
      <c r="K2222" s="1523">
        <v>44071.445497685199</v>
      </c>
      <c r="L2222" s="1359">
        <v>3750000</v>
      </c>
      <c r="M2222" s="1523">
        <v>44071.445497685199</v>
      </c>
      <c r="N2222" s="1731"/>
      <c r="O2222" s="1367"/>
      <c r="P2222" s="1731"/>
      <c r="Q2222" s="1367"/>
      <c r="R2222" s="1363"/>
      <c r="S2222" s="1563"/>
      <c r="T2222" s="1363"/>
      <c r="U2222" s="1391"/>
      <c r="V2222" s="1363"/>
      <c r="W2222" s="1391"/>
      <c r="X2222" s="1363"/>
      <c r="Y2222" s="1391"/>
      <c r="Z2222" s="1363"/>
      <c r="AA2222" s="1391"/>
      <c r="AB2222" s="1731"/>
      <c r="AC2222" s="1367"/>
      <c r="AD2222" s="1666"/>
      <c r="AE2222" s="1590"/>
      <c r="AF2222" s="1666"/>
      <c r="AG2222" s="1590"/>
      <c r="AH2222" s="1625" t="str">
        <f t="shared" si="750"/>
        <v>PAI-1C</v>
      </c>
      <c r="AI2222" s="1675">
        <f t="shared" si="744"/>
        <v>6450000</v>
      </c>
      <c r="AJ2222" s="1675">
        <f t="shared" si="751"/>
        <v>6450000</v>
      </c>
      <c r="AK2222" s="1520">
        <f t="shared" si="752"/>
        <v>0</v>
      </c>
      <c r="AL2222" s="2210" t="str">
        <f t="shared" si="753"/>
        <v>Lunas</v>
      </c>
      <c r="AM2222" s="1666"/>
      <c r="AN2222" s="1590"/>
      <c r="AO2222"/>
      <c r="AP2222"/>
      <c r="AQ2222" s="1128"/>
      <c r="AR2222" s="1173"/>
      <c r="AT2222" s="1173"/>
      <c r="AV2222" s="1173"/>
      <c r="AX2222" s="1173"/>
      <c r="AY2222" s="1176"/>
      <c r="AZ2222" s="1173"/>
    </row>
    <row r="2223" spans="1:52" s="2" customFormat="1" x14ac:dyDescent="0.25">
      <c r="A2223" s="694">
        <v>2047</v>
      </c>
      <c r="B2223" s="709">
        <v>38</v>
      </c>
      <c r="C2223" s="716">
        <v>203206030038</v>
      </c>
      <c r="D2223" s="701" t="s">
        <v>2721</v>
      </c>
      <c r="E2223" s="264" t="s">
        <v>2717</v>
      </c>
      <c r="F2223" s="175">
        <v>2020</v>
      </c>
      <c r="G2223" s="360" t="s">
        <v>1483</v>
      </c>
      <c r="H2223" s="264" t="s">
        <v>2551</v>
      </c>
      <c r="I2223" s="264" t="s">
        <v>2552</v>
      </c>
      <c r="J2223" s="1359">
        <v>2700000</v>
      </c>
      <c r="K2223" s="1523">
        <v>44069.575613425899</v>
      </c>
      <c r="L2223" s="1359">
        <v>3750000</v>
      </c>
      <c r="M2223" s="1523">
        <v>44069.575613425899</v>
      </c>
      <c r="N2223" s="1731"/>
      <c r="O2223" s="1367"/>
      <c r="P2223" s="1731"/>
      <c r="Q2223" s="1367"/>
      <c r="R2223" s="1363"/>
      <c r="S2223" s="1563"/>
      <c r="T2223" s="1363"/>
      <c r="U2223" s="1391"/>
      <c r="V2223" s="1363"/>
      <c r="W2223" s="1391"/>
      <c r="X2223" s="1363"/>
      <c r="Y2223" s="1391"/>
      <c r="Z2223" s="1363"/>
      <c r="AA2223" s="1391"/>
      <c r="AB2223" s="1731"/>
      <c r="AC2223" s="1367"/>
      <c r="AD2223" s="1666"/>
      <c r="AE2223" s="1590"/>
      <c r="AF2223" s="1666"/>
      <c r="AG2223" s="1590"/>
      <c r="AH2223" s="1625" t="str">
        <f t="shared" si="750"/>
        <v>PAI-1C</v>
      </c>
      <c r="AI2223" s="1675">
        <f t="shared" si="744"/>
        <v>6450000</v>
      </c>
      <c r="AJ2223" s="1675">
        <f t="shared" si="751"/>
        <v>6450000</v>
      </c>
      <c r="AK2223" s="1520">
        <f t="shared" si="752"/>
        <v>0</v>
      </c>
      <c r="AL2223" s="2210" t="str">
        <f t="shared" si="753"/>
        <v>Lunas</v>
      </c>
      <c r="AM2223" s="1666"/>
      <c r="AN2223" s="1590"/>
      <c r="AO2223"/>
      <c r="AP2223"/>
      <c r="AQ2223" s="1128"/>
      <c r="AR2223" s="1173"/>
      <c r="AT2223" s="1173"/>
      <c r="AV2223" s="1173"/>
      <c r="AX2223" s="1173"/>
      <c r="AY2223" s="1176"/>
      <c r="AZ2223" s="1173"/>
    </row>
    <row r="2224" spans="1:52" s="2" customFormat="1" x14ac:dyDescent="0.25">
      <c r="A2224" s="694">
        <v>2048</v>
      </c>
      <c r="B2224" s="671">
        <v>39</v>
      </c>
      <c r="C2224" s="716">
        <v>203206030039</v>
      </c>
      <c r="D2224" s="701" t="s">
        <v>2722</v>
      </c>
      <c r="E2224" s="264" t="s">
        <v>2717</v>
      </c>
      <c r="F2224" s="175">
        <v>2020</v>
      </c>
      <c r="G2224" s="360" t="s">
        <v>1483</v>
      </c>
      <c r="H2224" s="264" t="s">
        <v>2551</v>
      </c>
      <c r="I2224" s="264" t="s">
        <v>2552</v>
      </c>
      <c r="J2224" s="1359">
        <v>2700000</v>
      </c>
      <c r="K2224" s="1523">
        <v>44067.603078703702</v>
      </c>
      <c r="L2224" s="1359">
        <v>3750000</v>
      </c>
      <c r="M2224" s="1523">
        <v>44067.603078703702</v>
      </c>
      <c r="N2224" s="1731"/>
      <c r="O2224" s="1367"/>
      <c r="P2224" s="1731"/>
      <c r="Q2224" s="1367"/>
      <c r="R2224" s="1363"/>
      <c r="S2224" s="1563"/>
      <c r="T2224" s="1363"/>
      <c r="U2224" s="1391"/>
      <c r="V2224" s="1363"/>
      <c r="W2224" s="1391"/>
      <c r="X2224" s="1363"/>
      <c r="Y2224" s="1391"/>
      <c r="Z2224" s="1363"/>
      <c r="AA2224" s="1391"/>
      <c r="AB2224" s="1731"/>
      <c r="AC2224" s="1367"/>
      <c r="AD2224" s="1666"/>
      <c r="AE2224" s="1590"/>
      <c r="AF2224" s="1666"/>
      <c r="AG2224" s="1590"/>
      <c r="AH2224" s="1625" t="str">
        <f t="shared" si="750"/>
        <v>PAI-1C</v>
      </c>
      <c r="AI2224" s="1675">
        <f t="shared" si="744"/>
        <v>6450000</v>
      </c>
      <c r="AJ2224" s="1675">
        <f t="shared" si="751"/>
        <v>6450000</v>
      </c>
      <c r="AK2224" s="1520">
        <f t="shared" si="752"/>
        <v>0</v>
      </c>
      <c r="AL2224" s="2210" t="str">
        <f t="shared" si="753"/>
        <v>Lunas</v>
      </c>
      <c r="AM2224" s="1666"/>
      <c r="AN2224" s="1590"/>
      <c r="AO2224"/>
      <c r="AP2224"/>
      <c r="AQ2224" s="1128"/>
      <c r="AR2224" s="1173"/>
      <c r="AT2224" s="1173"/>
      <c r="AV2224" s="1173"/>
      <c r="AX2224" s="1173"/>
      <c r="AY2224" s="1176"/>
      <c r="AZ2224" s="1173"/>
    </row>
    <row r="2225" spans="1:52" s="2" customFormat="1" x14ac:dyDescent="0.25">
      <c r="A2225" s="694">
        <v>2049</v>
      </c>
      <c r="B2225" s="709">
        <v>40</v>
      </c>
      <c r="C2225" s="716">
        <v>203206030040</v>
      </c>
      <c r="D2225" s="701" t="s">
        <v>2723</v>
      </c>
      <c r="E2225" s="264" t="s">
        <v>2717</v>
      </c>
      <c r="F2225" s="175">
        <v>2020</v>
      </c>
      <c r="G2225" s="360" t="s">
        <v>1483</v>
      </c>
      <c r="H2225" s="264" t="s">
        <v>2551</v>
      </c>
      <c r="I2225" s="264" t="s">
        <v>2552</v>
      </c>
      <c r="J2225" s="1359">
        <v>2700000</v>
      </c>
      <c r="K2225" s="1523">
        <v>44071.442592592597</v>
      </c>
      <c r="L2225" s="1359">
        <v>3750000</v>
      </c>
      <c r="M2225" s="1523">
        <v>44071.442592592597</v>
      </c>
      <c r="N2225" s="1731"/>
      <c r="O2225" s="1367"/>
      <c r="P2225" s="1731"/>
      <c r="Q2225" s="1367"/>
      <c r="R2225" s="1363"/>
      <c r="S2225" s="1563"/>
      <c r="T2225" s="1363"/>
      <c r="U2225" s="1391"/>
      <c r="V2225" s="1363"/>
      <c r="W2225" s="1391"/>
      <c r="X2225" s="1363"/>
      <c r="Y2225" s="1391"/>
      <c r="Z2225" s="1363"/>
      <c r="AA2225" s="1391"/>
      <c r="AB2225" s="1731"/>
      <c r="AC2225" s="1367"/>
      <c r="AD2225" s="1666"/>
      <c r="AE2225" s="1590"/>
      <c r="AF2225" s="1666"/>
      <c r="AG2225" s="1590"/>
      <c r="AH2225" s="1625" t="str">
        <f t="shared" si="750"/>
        <v>PAI-1C</v>
      </c>
      <c r="AI2225" s="1675">
        <f t="shared" si="744"/>
        <v>6450000</v>
      </c>
      <c r="AJ2225" s="1675">
        <f t="shared" si="751"/>
        <v>6450000</v>
      </c>
      <c r="AK2225" s="1520">
        <f t="shared" si="752"/>
        <v>0</v>
      </c>
      <c r="AL2225" s="2210" t="str">
        <f t="shared" si="753"/>
        <v>Lunas</v>
      </c>
      <c r="AM2225" s="1666"/>
      <c r="AN2225" s="1590"/>
      <c r="AO2225"/>
      <c r="AP2225"/>
      <c r="AQ2225" s="1128"/>
      <c r="AR2225" s="1173"/>
      <c r="AT2225" s="1173"/>
      <c r="AV2225" s="1173"/>
      <c r="AX2225" s="1173"/>
      <c r="AY2225" s="1176"/>
      <c r="AZ2225" s="1173"/>
    </row>
    <row r="2226" spans="1:52" s="2" customFormat="1" x14ac:dyDescent="0.25">
      <c r="A2226" s="694">
        <v>2050</v>
      </c>
      <c r="B2226" s="671">
        <v>41</v>
      </c>
      <c r="C2226" s="716">
        <v>203206030041</v>
      </c>
      <c r="D2226" s="701" t="s">
        <v>2724</v>
      </c>
      <c r="E2226" s="264" t="s">
        <v>2717</v>
      </c>
      <c r="F2226" s="175">
        <v>2020</v>
      </c>
      <c r="G2226" s="360" t="s">
        <v>1483</v>
      </c>
      <c r="H2226" s="264" t="s">
        <v>2551</v>
      </c>
      <c r="I2226" s="264" t="s">
        <v>2552</v>
      </c>
      <c r="J2226" s="1359">
        <v>2700000</v>
      </c>
      <c r="K2226" s="1523">
        <v>44069.430706018502</v>
      </c>
      <c r="L2226" s="1359">
        <v>3750000</v>
      </c>
      <c r="M2226" s="1523">
        <v>44069.430706018502</v>
      </c>
      <c r="N2226" s="1731"/>
      <c r="O2226" s="1367"/>
      <c r="P2226" s="1731"/>
      <c r="Q2226" s="1367"/>
      <c r="R2226" s="1363"/>
      <c r="S2226" s="1563"/>
      <c r="T2226" s="1363"/>
      <c r="U2226" s="1391"/>
      <c r="V2226" s="1363"/>
      <c r="W2226" s="1391"/>
      <c r="X2226" s="1363"/>
      <c r="Y2226" s="1391"/>
      <c r="Z2226" s="1363"/>
      <c r="AA2226" s="1391"/>
      <c r="AB2226" s="1731"/>
      <c r="AC2226" s="1367"/>
      <c r="AD2226" s="1666"/>
      <c r="AE2226" s="1590"/>
      <c r="AF2226" s="1666"/>
      <c r="AG2226" s="1590"/>
      <c r="AH2226" s="1625" t="str">
        <f t="shared" si="750"/>
        <v>PAI-1C</v>
      </c>
      <c r="AI2226" s="1675">
        <f t="shared" si="744"/>
        <v>6450000</v>
      </c>
      <c r="AJ2226" s="1675">
        <f t="shared" si="751"/>
        <v>6450000</v>
      </c>
      <c r="AK2226" s="1520">
        <f t="shared" si="752"/>
        <v>0</v>
      </c>
      <c r="AL2226" s="2210" t="str">
        <f t="shared" si="753"/>
        <v>Lunas</v>
      </c>
      <c r="AM2226" s="1666"/>
      <c r="AN2226" s="1590"/>
      <c r="AO2226"/>
      <c r="AP2226"/>
      <c r="AQ2226" s="1128"/>
      <c r="AR2226" s="1173"/>
      <c r="AT2226" s="1173"/>
      <c r="AV2226" s="1173"/>
      <c r="AX2226" s="1173"/>
      <c r="AY2226" s="1176"/>
      <c r="AZ2226" s="1173"/>
    </row>
    <row r="2227" spans="1:52" s="2" customFormat="1" x14ac:dyDescent="0.25">
      <c r="A2227" s="694">
        <v>2051</v>
      </c>
      <c r="B2227" s="709">
        <v>42</v>
      </c>
      <c r="C2227" s="716">
        <v>203206030042</v>
      </c>
      <c r="D2227" s="701" t="s">
        <v>2725</v>
      </c>
      <c r="E2227" s="264" t="s">
        <v>2717</v>
      </c>
      <c r="F2227" s="175">
        <v>2020</v>
      </c>
      <c r="G2227" s="360" t="s">
        <v>1483</v>
      </c>
      <c r="H2227" s="264" t="s">
        <v>2551</v>
      </c>
      <c r="I2227" s="264" t="s">
        <v>2552</v>
      </c>
      <c r="J2227" s="1359">
        <v>2700000</v>
      </c>
      <c r="K2227" s="1523">
        <v>44070.600243055596</v>
      </c>
      <c r="L2227" s="1359">
        <v>3750000</v>
      </c>
      <c r="M2227" s="1523">
        <v>44070.600243055596</v>
      </c>
      <c r="N2227" s="1731"/>
      <c r="O2227" s="1367"/>
      <c r="P2227" s="1731"/>
      <c r="Q2227" s="1367"/>
      <c r="R2227" s="1363"/>
      <c r="S2227" s="1563"/>
      <c r="T2227" s="1363"/>
      <c r="U2227" s="1391"/>
      <c r="V2227" s="1363"/>
      <c r="W2227" s="1391"/>
      <c r="X2227" s="1363"/>
      <c r="Y2227" s="1391"/>
      <c r="Z2227" s="1363"/>
      <c r="AA2227" s="1391"/>
      <c r="AB2227" s="1731"/>
      <c r="AC2227" s="1367"/>
      <c r="AD2227" s="1666"/>
      <c r="AE2227" s="1590"/>
      <c r="AF2227" s="1666"/>
      <c r="AG2227" s="1590"/>
      <c r="AH2227" s="1625" t="str">
        <f t="shared" si="750"/>
        <v>PAI-1C</v>
      </c>
      <c r="AI2227" s="1675">
        <f t="shared" si="744"/>
        <v>6450000</v>
      </c>
      <c r="AJ2227" s="1675">
        <f t="shared" si="751"/>
        <v>6450000</v>
      </c>
      <c r="AK2227" s="1520">
        <f t="shared" si="752"/>
        <v>0</v>
      </c>
      <c r="AL2227" s="2210" t="str">
        <f t="shared" si="753"/>
        <v>Lunas</v>
      </c>
      <c r="AM2227" s="1666"/>
      <c r="AN2227" s="1590"/>
      <c r="AO2227"/>
      <c r="AP2227"/>
      <c r="AQ2227" s="1128"/>
      <c r="AR2227" s="1173"/>
      <c r="AT2227" s="1173"/>
      <c r="AV2227" s="1173"/>
      <c r="AX2227" s="1173"/>
      <c r="AY2227" s="1176"/>
      <c r="AZ2227" s="1173"/>
    </row>
    <row r="2228" spans="1:52" s="2" customFormat="1" x14ac:dyDescent="0.25">
      <c r="A2228" s="694">
        <v>2052</v>
      </c>
      <c r="B2228" s="671">
        <v>43</v>
      </c>
      <c r="C2228" s="716">
        <v>203206030043</v>
      </c>
      <c r="D2228" s="701" t="s">
        <v>2726</v>
      </c>
      <c r="E2228" s="264" t="s">
        <v>2717</v>
      </c>
      <c r="F2228" s="175">
        <v>2020</v>
      </c>
      <c r="G2228" s="360" t="s">
        <v>1483</v>
      </c>
      <c r="H2228" s="264" t="s">
        <v>2551</v>
      </c>
      <c r="I2228" s="264" t="s">
        <v>2552</v>
      </c>
      <c r="J2228" s="1359">
        <v>2700000</v>
      </c>
      <c r="K2228" s="1523">
        <v>44071.865671296298</v>
      </c>
      <c r="L2228" s="1359">
        <v>3750000</v>
      </c>
      <c r="M2228" s="1523">
        <v>44071.865671296298</v>
      </c>
      <c r="N2228" s="1731"/>
      <c r="O2228" s="1367"/>
      <c r="P2228" s="1731"/>
      <c r="Q2228" s="1367"/>
      <c r="R2228" s="1363"/>
      <c r="S2228" s="1563"/>
      <c r="T2228" s="1363"/>
      <c r="U2228" s="1391"/>
      <c r="V2228" s="1363"/>
      <c r="W2228" s="1391"/>
      <c r="X2228" s="1363"/>
      <c r="Y2228" s="1391"/>
      <c r="Z2228" s="1363"/>
      <c r="AA2228" s="1391"/>
      <c r="AB2228" s="1731"/>
      <c r="AC2228" s="1367"/>
      <c r="AD2228" s="1666"/>
      <c r="AE2228" s="1590"/>
      <c r="AF2228" s="1666"/>
      <c r="AG2228" s="1590"/>
      <c r="AH2228" s="1625" t="str">
        <f t="shared" si="750"/>
        <v>PAI-1C</v>
      </c>
      <c r="AI2228" s="1675">
        <f t="shared" si="744"/>
        <v>6450000</v>
      </c>
      <c r="AJ2228" s="1675">
        <f t="shared" si="751"/>
        <v>6450000</v>
      </c>
      <c r="AK2228" s="1520">
        <f t="shared" si="752"/>
        <v>0</v>
      </c>
      <c r="AL2228" s="2210" t="str">
        <f t="shared" si="753"/>
        <v>Lunas</v>
      </c>
      <c r="AM2228" s="1666"/>
      <c r="AN2228" s="1590"/>
      <c r="AO2228"/>
      <c r="AP2228"/>
      <c r="AQ2228" s="1128"/>
      <c r="AR2228" s="1173"/>
      <c r="AT2228" s="1173"/>
      <c r="AV2228" s="1173"/>
      <c r="AX2228" s="1173"/>
      <c r="AY2228" s="1176"/>
      <c r="AZ2228" s="1173"/>
    </row>
    <row r="2229" spans="1:52" s="2" customFormat="1" x14ac:dyDescent="0.25">
      <c r="A2229" s="694">
        <v>2053</v>
      </c>
      <c r="B2229" s="709">
        <v>44</v>
      </c>
      <c r="C2229" s="716">
        <v>203206030044</v>
      </c>
      <c r="D2229" s="701" t="s">
        <v>2727</v>
      </c>
      <c r="E2229" s="264" t="s">
        <v>2717</v>
      </c>
      <c r="F2229" s="175">
        <v>2020</v>
      </c>
      <c r="G2229" s="360" t="s">
        <v>1483</v>
      </c>
      <c r="H2229" s="264" t="s">
        <v>2551</v>
      </c>
      <c r="I2229" s="264" t="s">
        <v>2552</v>
      </c>
      <c r="J2229" s="1359">
        <v>2700000</v>
      </c>
      <c r="K2229" s="1523">
        <v>44071.355416666702</v>
      </c>
      <c r="L2229" s="1359">
        <v>3750000</v>
      </c>
      <c r="M2229" s="1523">
        <v>44071.355416666702</v>
      </c>
      <c r="N2229" s="1731"/>
      <c r="O2229" s="1367"/>
      <c r="P2229" s="1731"/>
      <c r="Q2229" s="1367"/>
      <c r="R2229" s="1363"/>
      <c r="S2229" s="1563"/>
      <c r="T2229" s="1363"/>
      <c r="U2229" s="1391"/>
      <c r="V2229" s="1363"/>
      <c r="W2229" s="1391"/>
      <c r="X2229" s="1363"/>
      <c r="Y2229" s="1391"/>
      <c r="Z2229" s="1363"/>
      <c r="AA2229" s="1391"/>
      <c r="AB2229" s="1731"/>
      <c r="AC2229" s="1367"/>
      <c r="AD2229" s="1666"/>
      <c r="AE2229" s="1590"/>
      <c r="AF2229" s="1666"/>
      <c r="AG2229" s="1590"/>
      <c r="AH2229" s="1625" t="str">
        <f t="shared" si="750"/>
        <v>PAI-1C</v>
      </c>
      <c r="AI2229" s="1675">
        <f t="shared" si="744"/>
        <v>6450000</v>
      </c>
      <c r="AJ2229" s="1675">
        <f t="shared" si="751"/>
        <v>6450000</v>
      </c>
      <c r="AK2229" s="1520">
        <f t="shared" si="752"/>
        <v>0</v>
      </c>
      <c r="AL2229" s="2210" t="str">
        <f t="shared" si="753"/>
        <v>Lunas</v>
      </c>
      <c r="AM2229" s="1666"/>
      <c r="AN2229" s="1590"/>
      <c r="AO2229"/>
      <c r="AP2229"/>
      <c r="AQ2229" s="1128"/>
      <c r="AR2229" s="1173"/>
      <c r="AT2229" s="1173"/>
      <c r="AV2229" s="1173"/>
      <c r="AX2229" s="1173"/>
      <c r="AY2229" s="1176"/>
      <c r="AZ2229" s="1173"/>
    </row>
    <row r="2230" spans="1:52" s="2" customFormat="1" x14ac:dyDescent="0.25">
      <c r="A2230" s="694">
        <v>2054</v>
      </c>
      <c r="B2230" s="671">
        <v>45</v>
      </c>
      <c r="C2230" s="716">
        <v>203206030045</v>
      </c>
      <c r="D2230" s="701" t="s">
        <v>2728</v>
      </c>
      <c r="E2230" s="264" t="s">
        <v>2717</v>
      </c>
      <c r="F2230" s="175">
        <v>2020</v>
      </c>
      <c r="G2230" s="360" t="s">
        <v>1483</v>
      </c>
      <c r="H2230" s="264" t="s">
        <v>2551</v>
      </c>
      <c r="I2230" s="264" t="s">
        <v>2552</v>
      </c>
      <c r="J2230" s="1359">
        <v>2700000</v>
      </c>
      <c r="K2230" s="1523">
        <v>44070.344525462999</v>
      </c>
      <c r="L2230" s="1359">
        <v>3750000</v>
      </c>
      <c r="M2230" s="1523">
        <v>44070.344525462999</v>
      </c>
      <c r="N2230" s="1731"/>
      <c r="O2230" s="1367"/>
      <c r="P2230" s="1731"/>
      <c r="Q2230" s="1367"/>
      <c r="R2230" s="1363"/>
      <c r="S2230" s="1563"/>
      <c r="T2230" s="1363"/>
      <c r="U2230" s="1391"/>
      <c r="V2230" s="1363"/>
      <c r="W2230" s="1391"/>
      <c r="X2230" s="1363"/>
      <c r="Y2230" s="1391"/>
      <c r="Z2230" s="1363"/>
      <c r="AA2230" s="1391"/>
      <c r="AB2230" s="1731"/>
      <c r="AC2230" s="1367"/>
      <c r="AD2230" s="1666"/>
      <c r="AE2230" s="1590"/>
      <c r="AF2230" s="1666"/>
      <c r="AG2230" s="1590"/>
      <c r="AH2230" s="1625" t="str">
        <f t="shared" si="750"/>
        <v>PAI-1C</v>
      </c>
      <c r="AI2230" s="1675">
        <f t="shared" si="744"/>
        <v>6450000</v>
      </c>
      <c r="AJ2230" s="1675">
        <f t="shared" si="751"/>
        <v>6450000</v>
      </c>
      <c r="AK2230" s="1520">
        <f t="shared" si="752"/>
        <v>0</v>
      </c>
      <c r="AL2230" s="2210" t="str">
        <f t="shared" si="753"/>
        <v>Lunas</v>
      </c>
      <c r="AM2230" s="1666"/>
      <c r="AN2230" s="1590"/>
      <c r="AO2230"/>
      <c r="AP2230"/>
      <c r="AQ2230" s="1128"/>
      <c r="AR2230" s="1173"/>
      <c r="AT2230" s="1173"/>
      <c r="AV2230" s="1173"/>
      <c r="AX2230" s="1173"/>
      <c r="AY2230" s="1176"/>
      <c r="AZ2230" s="1173"/>
    </row>
    <row r="2231" spans="1:52" s="2" customFormat="1" x14ac:dyDescent="0.25">
      <c r="A2231" s="694">
        <v>2055</v>
      </c>
      <c r="B2231" s="709">
        <v>46</v>
      </c>
      <c r="C2231" s="716">
        <v>203206030046</v>
      </c>
      <c r="D2231" s="701" t="s">
        <v>2729</v>
      </c>
      <c r="E2231" s="264" t="s">
        <v>2717</v>
      </c>
      <c r="F2231" s="175">
        <v>2020</v>
      </c>
      <c r="G2231" s="360" t="s">
        <v>1483</v>
      </c>
      <c r="H2231" s="264" t="s">
        <v>2551</v>
      </c>
      <c r="I2231" s="264" t="s">
        <v>2552</v>
      </c>
      <c r="J2231" s="1359">
        <v>2700000</v>
      </c>
      <c r="K2231" s="1523">
        <v>44070.6018287037</v>
      </c>
      <c r="L2231" s="1359">
        <v>3750000</v>
      </c>
      <c r="M2231" s="1523">
        <v>44070.6018287037</v>
      </c>
      <c r="N2231" s="1731"/>
      <c r="O2231" s="1367"/>
      <c r="P2231" s="1731"/>
      <c r="Q2231" s="1367"/>
      <c r="R2231" s="1363"/>
      <c r="S2231" s="1563"/>
      <c r="T2231" s="1363"/>
      <c r="U2231" s="1391"/>
      <c r="V2231" s="1363"/>
      <c r="W2231" s="1391"/>
      <c r="X2231" s="1363"/>
      <c r="Y2231" s="1391"/>
      <c r="Z2231" s="1363"/>
      <c r="AA2231" s="1391"/>
      <c r="AB2231" s="1731"/>
      <c r="AC2231" s="1367"/>
      <c r="AD2231" s="1666"/>
      <c r="AE2231" s="1590"/>
      <c r="AF2231" s="1666"/>
      <c r="AG2231" s="1590"/>
      <c r="AH2231" s="1625" t="str">
        <f t="shared" si="750"/>
        <v>PAI-1C</v>
      </c>
      <c r="AI2231" s="1675">
        <f t="shared" si="744"/>
        <v>6450000</v>
      </c>
      <c r="AJ2231" s="1675">
        <f t="shared" si="751"/>
        <v>6450000</v>
      </c>
      <c r="AK2231" s="1520">
        <f t="shared" si="752"/>
        <v>0</v>
      </c>
      <c r="AL2231" s="2210" t="str">
        <f t="shared" si="753"/>
        <v>Lunas</v>
      </c>
      <c r="AM2231" s="1666"/>
      <c r="AN2231" s="1590"/>
      <c r="AO2231"/>
      <c r="AP2231"/>
      <c r="AQ2231" s="1128"/>
      <c r="AR2231" s="1173"/>
      <c r="AT2231" s="1173"/>
      <c r="AV2231" s="1173"/>
      <c r="AX2231" s="1173"/>
      <c r="AY2231" s="1176"/>
      <c r="AZ2231" s="1173"/>
    </row>
    <row r="2232" spans="1:52" s="2" customFormat="1" x14ac:dyDescent="0.25">
      <c r="A2232" s="694">
        <v>2056</v>
      </c>
      <c r="B2232" s="671">
        <v>47</v>
      </c>
      <c r="C2232" s="716">
        <v>203206030047</v>
      </c>
      <c r="D2232" s="701" t="s">
        <v>2730</v>
      </c>
      <c r="E2232" s="264" t="s">
        <v>2717</v>
      </c>
      <c r="F2232" s="175">
        <v>2020</v>
      </c>
      <c r="G2232" s="360" t="s">
        <v>1483</v>
      </c>
      <c r="H2232" s="264" t="s">
        <v>2551</v>
      </c>
      <c r="I2232" s="264" t="s">
        <v>2552</v>
      </c>
      <c r="J2232" s="1359">
        <v>2700000</v>
      </c>
      <c r="K2232" s="1523">
        <v>44071.386134259301</v>
      </c>
      <c r="L2232" s="1359">
        <v>3750000</v>
      </c>
      <c r="M2232" s="1523">
        <v>44071.386134259301</v>
      </c>
      <c r="N2232" s="1731"/>
      <c r="O2232" s="1367"/>
      <c r="P2232" s="1731"/>
      <c r="Q2232" s="1367"/>
      <c r="R2232" s="1363"/>
      <c r="S2232" s="1563"/>
      <c r="T2232" s="1363"/>
      <c r="U2232" s="1391"/>
      <c r="V2232" s="1363"/>
      <c r="W2232" s="1391"/>
      <c r="X2232" s="1363"/>
      <c r="Y2232" s="1391"/>
      <c r="Z2232" s="1363"/>
      <c r="AA2232" s="1391"/>
      <c r="AB2232" s="1731"/>
      <c r="AC2232" s="1367"/>
      <c r="AD2232" s="1666"/>
      <c r="AE2232" s="1590"/>
      <c r="AF2232" s="1666"/>
      <c r="AG2232" s="1590"/>
      <c r="AH2232" s="1625" t="str">
        <f t="shared" si="750"/>
        <v>PAI-1C</v>
      </c>
      <c r="AI2232" s="1675">
        <f t="shared" si="744"/>
        <v>6450000</v>
      </c>
      <c r="AJ2232" s="1675">
        <f t="shared" si="751"/>
        <v>6450000</v>
      </c>
      <c r="AK2232" s="1520">
        <f t="shared" si="752"/>
        <v>0</v>
      </c>
      <c r="AL2232" s="2210" t="str">
        <f t="shared" si="753"/>
        <v>Lunas</v>
      </c>
      <c r="AM2232" s="1666"/>
      <c r="AN2232" s="1590"/>
      <c r="AO2232"/>
      <c r="AP2232"/>
      <c r="AQ2232" s="1128"/>
      <c r="AR2232" s="1173"/>
      <c r="AT2232" s="1173"/>
      <c r="AV2232" s="1173"/>
      <c r="AX2232" s="1173"/>
      <c r="AY2232" s="1176"/>
      <c r="AZ2232" s="1173"/>
    </row>
    <row r="2233" spans="1:52" s="2" customFormat="1" x14ac:dyDescent="0.25">
      <c r="A2233" s="694">
        <v>2057</v>
      </c>
      <c r="B2233" s="709">
        <v>48</v>
      </c>
      <c r="C2233" s="716">
        <v>203206030048</v>
      </c>
      <c r="D2233" s="701" t="s">
        <v>2731</v>
      </c>
      <c r="E2233" s="264" t="s">
        <v>2717</v>
      </c>
      <c r="F2233" s="175">
        <v>2020</v>
      </c>
      <c r="G2233" s="360" t="s">
        <v>1483</v>
      </c>
      <c r="H2233" s="264" t="s">
        <v>2551</v>
      </c>
      <c r="I2233" s="264" t="s">
        <v>2552</v>
      </c>
      <c r="J2233" s="1359">
        <v>2700000</v>
      </c>
      <c r="K2233" s="1523">
        <v>44070.397928240702</v>
      </c>
      <c r="L2233" s="1359">
        <v>3750000</v>
      </c>
      <c r="M2233" s="1523">
        <v>44070.397928240702</v>
      </c>
      <c r="N2233" s="1731"/>
      <c r="O2233" s="1367"/>
      <c r="P2233" s="1731"/>
      <c r="Q2233" s="1367"/>
      <c r="R2233" s="1363"/>
      <c r="S2233" s="1563"/>
      <c r="T2233" s="1363"/>
      <c r="U2233" s="1391"/>
      <c r="V2233" s="1363"/>
      <c r="W2233" s="1391"/>
      <c r="X2233" s="1363"/>
      <c r="Y2233" s="1391"/>
      <c r="Z2233" s="1363"/>
      <c r="AA2233" s="1391"/>
      <c r="AB2233" s="1731"/>
      <c r="AC2233" s="1367"/>
      <c r="AD2233" s="1666"/>
      <c r="AE2233" s="1590"/>
      <c r="AF2233" s="1666"/>
      <c r="AG2233" s="1590"/>
      <c r="AH2233" s="1625" t="str">
        <f t="shared" si="750"/>
        <v>PAI-1C</v>
      </c>
      <c r="AI2233" s="1675">
        <f t="shared" si="744"/>
        <v>6450000</v>
      </c>
      <c r="AJ2233" s="1675">
        <f t="shared" si="751"/>
        <v>6450000</v>
      </c>
      <c r="AK2233" s="1520">
        <f t="shared" si="752"/>
        <v>0</v>
      </c>
      <c r="AL2233" s="2210" t="str">
        <f t="shared" si="753"/>
        <v>Lunas</v>
      </c>
      <c r="AM2233" s="1666"/>
      <c r="AN2233" s="1590"/>
      <c r="AO2233"/>
      <c r="AP2233"/>
      <c r="AQ2233" s="1128"/>
      <c r="AR2233" s="1173"/>
      <c r="AT2233" s="1173"/>
      <c r="AV2233" s="1173"/>
      <c r="AX2233" s="1173"/>
      <c r="AY2233" s="1176"/>
      <c r="AZ2233" s="1173"/>
    </row>
    <row r="2234" spans="1:52" s="2" customFormat="1" x14ac:dyDescent="0.25">
      <c r="A2234" s="694">
        <v>2058</v>
      </c>
      <c r="B2234" s="671">
        <v>49</v>
      </c>
      <c r="C2234" s="716">
        <v>203206030049</v>
      </c>
      <c r="D2234" s="701" t="s">
        <v>2732</v>
      </c>
      <c r="E2234" s="264" t="s">
        <v>2717</v>
      </c>
      <c r="F2234" s="175">
        <v>2020</v>
      </c>
      <c r="G2234" s="360" t="s">
        <v>1483</v>
      </c>
      <c r="H2234" s="264" t="s">
        <v>2551</v>
      </c>
      <c r="I2234" s="264" t="s">
        <v>2552</v>
      </c>
      <c r="J2234" s="1359">
        <v>2700000</v>
      </c>
      <c r="K2234" s="1523">
        <v>44069.378611111097</v>
      </c>
      <c r="L2234" s="1359">
        <v>3750000</v>
      </c>
      <c r="M2234" s="1523">
        <v>44069.378611111097</v>
      </c>
      <c r="N2234" s="1731"/>
      <c r="O2234" s="1367"/>
      <c r="P2234" s="1731"/>
      <c r="Q2234" s="1367"/>
      <c r="R2234" s="1363"/>
      <c r="S2234" s="1563"/>
      <c r="T2234" s="1363"/>
      <c r="U2234" s="1391"/>
      <c r="V2234" s="1363"/>
      <c r="W2234" s="1391"/>
      <c r="X2234" s="1363"/>
      <c r="Y2234" s="1391"/>
      <c r="Z2234" s="1363"/>
      <c r="AA2234" s="1391"/>
      <c r="AB2234" s="1731"/>
      <c r="AC2234" s="1367"/>
      <c r="AD2234" s="1666"/>
      <c r="AE2234" s="1590"/>
      <c r="AF2234" s="1666"/>
      <c r="AG2234" s="1590"/>
      <c r="AH2234" s="1625" t="str">
        <f t="shared" si="750"/>
        <v>PAI-1C</v>
      </c>
      <c r="AI2234" s="1675">
        <f t="shared" si="744"/>
        <v>6450000</v>
      </c>
      <c r="AJ2234" s="1675">
        <f t="shared" si="751"/>
        <v>6450000</v>
      </c>
      <c r="AK2234" s="1520">
        <f t="shared" si="752"/>
        <v>0</v>
      </c>
      <c r="AL2234" s="2210" t="str">
        <f t="shared" si="753"/>
        <v>Lunas</v>
      </c>
      <c r="AM2234" s="1666"/>
      <c r="AN2234" s="1590"/>
      <c r="AO2234"/>
      <c r="AP2234"/>
      <c r="AQ2234" s="1128"/>
      <c r="AR2234" s="1173"/>
      <c r="AT2234" s="1173"/>
      <c r="AV2234" s="1173"/>
      <c r="AX2234" s="1173"/>
      <c r="AY2234" s="1176"/>
      <c r="AZ2234" s="1173"/>
    </row>
    <row r="2235" spans="1:52" s="2" customFormat="1" x14ac:dyDescent="0.25">
      <c r="A2235" s="694">
        <v>2059</v>
      </c>
      <c r="B2235" s="709">
        <v>50</v>
      </c>
      <c r="C2235" s="716">
        <v>203206030050</v>
      </c>
      <c r="D2235" s="701" t="s">
        <v>2488</v>
      </c>
      <c r="E2235" s="264" t="s">
        <v>2717</v>
      </c>
      <c r="F2235" s="175">
        <v>2020</v>
      </c>
      <c r="G2235" s="360" t="s">
        <v>1483</v>
      </c>
      <c r="H2235" s="264" t="s">
        <v>2551</v>
      </c>
      <c r="I2235" s="264" t="s">
        <v>2552</v>
      </c>
      <c r="J2235" s="1359">
        <v>2700000</v>
      </c>
      <c r="K2235" s="1523">
        <v>44070.494768518503</v>
      </c>
      <c r="L2235" s="1359">
        <v>3750000</v>
      </c>
      <c r="M2235" s="1523">
        <v>44070.494768518503</v>
      </c>
      <c r="N2235" s="1731"/>
      <c r="O2235" s="1367"/>
      <c r="P2235" s="1731"/>
      <c r="Q2235" s="1367"/>
      <c r="R2235" s="1363"/>
      <c r="S2235" s="1563"/>
      <c r="T2235" s="1363"/>
      <c r="U2235" s="1391"/>
      <c r="V2235" s="1363"/>
      <c r="W2235" s="1391"/>
      <c r="X2235" s="1363"/>
      <c r="Y2235" s="1391"/>
      <c r="Z2235" s="1363"/>
      <c r="AA2235" s="1391"/>
      <c r="AB2235" s="1731"/>
      <c r="AC2235" s="1367"/>
      <c r="AD2235" s="1666"/>
      <c r="AE2235" s="1590"/>
      <c r="AF2235" s="1666"/>
      <c r="AG2235" s="1590"/>
      <c r="AH2235" s="1625" t="str">
        <f t="shared" si="750"/>
        <v>PAI-1C</v>
      </c>
      <c r="AI2235" s="1675">
        <f t="shared" si="744"/>
        <v>6450000</v>
      </c>
      <c r="AJ2235" s="1675">
        <f t="shared" si="751"/>
        <v>6450000</v>
      </c>
      <c r="AK2235" s="1520">
        <f t="shared" si="752"/>
        <v>0</v>
      </c>
      <c r="AL2235" s="2210" t="str">
        <f t="shared" si="753"/>
        <v>Lunas</v>
      </c>
      <c r="AM2235" s="1666"/>
      <c r="AN2235" s="1590"/>
      <c r="AO2235"/>
      <c r="AP2235"/>
      <c r="AQ2235" s="1128"/>
      <c r="AR2235" s="1173"/>
      <c r="AT2235" s="1173"/>
      <c r="AV2235" s="1173"/>
      <c r="AX2235" s="1173"/>
      <c r="AY2235" s="1176"/>
      <c r="AZ2235" s="1173"/>
    </row>
    <row r="2236" spans="1:52" s="2" customFormat="1" x14ac:dyDescent="0.25">
      <c r="A2236" s="694">
        <v>2060</v>
      </c>
      <c r="B2236" s="671">
        <v>51</v>
      </c>
      <c r="C2236" s="716">
        <v>203206030051</v>
      </c>
      <c r="D2236" s="701" t="s">
        <v>2733</v>
      </c>
      <c r="E2236" s="264" t="s">
        <v>2717</v>
      </c>
      <c r="F2236" s="175">
        <v>2020</v>
      </c>
      <c r="G2236" s="360" t="s">
        <v>1483</v>
      </c>
      <c r="H2236" s="264" t="s">
        <v>2551</v>
      </c>
      <c r="I2236" s="264" t="s">
        <v>2552</v>
      </c>
      <c r="J2236" s="1359">
        <v>2700000</v>
      </c>
      <c r="K2236" s="1523">
        <v>44069.439699074101</v>
      </c>
      <c r="L2236" s="1359">
        <v>3750000</v>
      </c>
      <c r="M2236" s="1523">
        <v>44069.439699074101</v>
      </c>
      <c r="N2236" s="1731"/>
      <c r="O2236" s="1367"/>
      <c r="P2236" s="1731"/>
      <c r="Q2236" s="1367"/>
      <c r="R2236" s="1363"/>
      <c r="S2236" s="1563"/>
      <c r="T2236" s="1363"/>
      <c r="U2236" s="1391"/>
      <c r="V2236" s="1363"/>
      <c r="W2236" s="1391"/>
      <c r="X2236" s="1363"/>
      <c r="Y2236" s="1391"/>
      <c r="Z2236" s="1363"/>
      <c r="AA2236" s="1391"/>
      <c r="AB2236" s="1731"/>
      <c r="AC2236" s="1367"/>
      <c r="AD2236" s="1666"/>
      <c r="AE2236" s="1590"/>
      <c r="AF2236" s="1666"/>
      <c r="AG2236" s="1590"/>
      <c r="AH2236" s="1625" t="str">
        <f t="shared" si="750"/>
        <v>PAI-1C</v>
      </c>
      <c r="AI2236" s="1675">
        <f t="shared" si="744"/>
        <v>6450000</v>
      </c>
      <c r="AJ2236" s="1675">
        <f t="shared" si="751"/>
        <v>6450000</v>
      </c>
      <c r="AK2236" s="1520">
        <f t="shared" si="752"/>
        <v>0</v>
      </c>
      <c r="AL2236" s="2210" t="str">
        <f t="shared" si="753"/>
        <v>Lunas</v>
      </c>
      <c r="AM2236" s="1666"/>
      <c r="AN2236" s="1590"/>
      <c r="AO2236"/>
      <c r="AP2236"/>
      <c r="AQ2236" s="1128"/>
      <c r="AR2236" s="1173"/>
      <c r="AT2236" s="1173"/>
      <c r="AV2236" s="1173"/>
      <c r="AX2236" s="1173"/>
      <c r="AY2236" s="1176"/>
      <c r="AZ2236" s="1173"/>
    </row>
    <row r="2237" spans="1:52" s="2" customFormat="1" x14ac:dyDescent="0.25">
      <c r="A2237" s="694">
        <v>2061</v>
      </c>
      <c r="B2237" s="709">
        <v>52</v>
      </c>
      <c r="C2237" s="716">
        <v>203206030052</v>
      </c>
      <c r="D2237" s="701" t="s">
        <v>2734</v>
      </c>
      <c r="E2237" s="264" t="s">
        <v>2717</v>
      </c>
      <c r="F2237" s="175">
        <v>2020</v>
      </c>
      <c r="G2237" s="360" t="s">
        <v>1483</v>
      </c>
      <c r="H2237" s="264" t="s">
        <v>2551</v>
      </c>
      <c r="I2237" s="264" t="s">
        <v>2552</v>
      </c>
      <c r="J2237" s="1359">
        <v>2700000</v>
      </c>
      <c r="K2237" s="1523">
        <v>44071.609606481499</v>
      </c>
      <c r="L2237" s="1359">
        <v>3750000</v>
      </c>
      <c r="M2237" s="1523">
        <v>44071.609606481499</v>
      </c>
      <c r="N2237" s="1731"/>
      <c r="O2237" s="1367"/>
      <c r="P2237" s="1731"/>
      <c r="Q2237" s="1367"/>
      <c r="R2237" s="1363"/>
      <c r="S2237" s="1563"/>
      <c r="T2237" s="1363"/>
      <c r="U2237" s="1391"/>
      <c r="V2237" s="1363"/>
      <c r="W2237" s="1391"/>
      <c r="X2237" s="1363"/>
      <c r="Y2237" s="1391"/>
      <c r="Z2237" s="1363"/>
      <c r="AA2237" s="1391"/>
      <c r="AB2237" s="1731"/>
      <c r="AC2237" s="1367"/>
      <c r="AD2237" s="1666"/>
      <c r="AE2237" s="1590"/>
      <c r="AF2237" s="1666"/>
      <c r="AG2237" s="1590"/>
      <c r="AH2237" s="1625" t="str">
        <f t="shared" si="750"/>
        <v>PAI-1C</v>
      </c>
      <c r="AI2237" s="1675">
        <f t="shared" si="744"/>
        <v>6450000</v>
      </c>
      <c r="AJ2237" s="1675">
        <f t="shared" si="751"/>
        <v>6450000</v>
      </c>
      <c r="AK2237" s="1520">
        <f t="shared" si="752"/>
        <v>0</v>
      </c>
      <c r="AL2237" s="2210" t="str">
        <f t="shared" si="753"/>
        <v>Lunas</v>
      </c>
      <c r="AM2237" s="1666"/>
      <c r="AN2237" s="1590"/>
      <c r="AO2237"/>
      <c r="AP2237"/>
      <c r="AQ2237" s="1128"/>
      <c r="AR2237" s="1173"/>
      <c r="AT2237" s="1173"/>
      <c r="AV2237" s="1173"/>
      <c r="AX2237" s="1173"/>
      <c r="AY2237" s="1176"/>
      <c r="AZ2237" s="1173"/>
    </row>
    <row r="2238" spans="1:52" s="2" customFormat="1" x14ac:dyDescent="0.25">
      <c r="A2238" s="694">
        <v>2062</v>
      </c>
      <c r="B2238" s="671">
        <v>53</v>
      </c>
      <c r="C2238" s="716">
        <v>203206030053</v>
      </c>
      <c r="D2238" s="701" t="s">
        <v>2735</v>
      </c>
      <c r="E2238" s="264" t="s">
        <v>2717</v>
      </c>
      <c r="F2238" s="175">
        <v>2020</v>
      </c>
      <c r="G2238" s="360" t="s">
        <v>1483</v>
      </c>
      <c r="H2238" s="264" t="s">
        <v>2551</v>
      </c>
      <c r="I2238" s="264" t="s">
        <v>2552</v>
      </c>
      <c r="J2238" s="1359">
        <v>2700000</v>
      </c>
      <c r="K2238" s="1523">
        <v>44077.674039351798</v>
      </c>
      <c r="L2238" s="1359">
        <v>3750000</v>
      </c>
      <c r="M2238" s="1523">
        <v>44077.674039351798</v>
      </c>
      <c r="N2238" s="1731"/>
      <c r="O2238" s="1367"/>
      <c r="P2238" s="1731"/>
      <c r="Q2238" s="1367"/>
      <c r="R2238" s="1363"/>
      <c r="S2238" s="1563"/>
      <c r="T2238" s="1363"/>
      <c r="U2238" s="1391"/>
      <c r="V2238" s="1363"/>
      <c r="W2238" s="1391"/>
      <c r="X2238" s="1363"/>
      <c r="Y2238" s="1391"/>
      <c r="Z2238" s="1363"/>
      <c r="AA2238" s="1391"/>
      <c r="AB2238" s="1731"/>
      <c r="AC2238" s="1367"/>
      <c r="AD2238" s="1666"/>
      <c r="AE2238" s="1590"/>
      <c r="AF2238" s="1666"/>
      <c r="AG2238" s="1590"/>
      <c r="AH2238" s="1625" t="str">
        <f t="shared" si="750"/>
        <v>PAI-1C</v>
      </c>
      <c r="AI2238" s="1675">
        <f t="shared" si="744"/>
        <v>6450000</v>
      </c>
      <c r="AJ2238" s="1675">
        <f t="shared" si="751"/>
        <v>6450000</v>
      </c>
      <c r="AK2238" s="1520">
        <f t="shared" si="752"/>
        <v>0</v>
      </c>
      <c r="AL2238" s="2210" t="str">
        <f t="shared" si="753"/>
        <v>Lunas</v>
      </c>
      <c r="AM2238" s="1666"/>
      <c r="AN2238" s="1590"/>
      <c r="AO2238"/>
      <c r="AP2238"/>
      <c r="AQ2238" s="1128"/>
      <c r="AR2238" s="1173"/>
      <c r="AT2238" s="1173"/>
      <c r="AV2238" s="1173"/>
      <c r="AX2238" s="1173"/>
      <c r="AY2238" s="1176"/>
      <c r="AZ2238" s="1173"/>
    </row>
    <row r="2239" spans="1:52" s="2" customFormat="1" x14ac:dyDescent="0.25">
      <c r="A2239" s="694">
        <v>2063</v>
      </c>
      <c r="B2239" s="709">
        <v>54</v>
      </c>
      <c r="C2239" s="716">
        <v>203206030054</v>
      </c>
      <c r="D2239" s="701" t="s">
        <v>2736</v>
      </c>
      <c r="E2239" s="264" t="s">
        <v>2717</v>
      </c>
      <c r="F2239" s="175">
        <v>2020</v>
      </c>
      <c r="G2239" s="360" t="s">
        <v>1483</v>
      </c>
      <c r="H2239" s="264" t="s">
        <v>2551</v>
      </c>
      <c r="I2239" s="264" t="s">
        <v>2552</v>
      </c>
      <c r="J2239" s="1359">
        <v>2700000</v>
      </c>
      <c r="K2239" s="1523">
        <v>44079.848796296297</v>
      </c>
      <c r="L2239" s="1359">
        <v>3750000</v>
      </c>
      <c r="M2239" s="1523">
        <v>44079.848796296297</v>
      </c>
      <c r="N2239" s="1731"/>
      <c r="O2239" s="1367"/>
      <c r="P2239" s="1731"/>
      <c r="Q2239" s="1367"/>
      <c r="R2239" s="1363"/>
      <c r="S2239" s="1563"/>
      <c r="T2239" s="1363"/>
      <c r="U2239" s="1391"/>
      <c r="V2239" s="1363"/>
      <c r="W2239" s="1391"/>
      <c r="X2239" s="1363"/>
      <c r="Y2239" s="1391"/>
      <c r="Z2239" s="1363"/>
      <c r="AA2239" s="1391"/>
      <c r="AB2239" s="1731"/>
      <c r="AC2239" s="1367"/>
      <c r="AD2239" s="1666"/>
      <c r="AE2239" s="1590"/>
      <c r="AF2239" s="1666"/>
      <c r="AG2239" s="1590"/>
      <c r="AH2239" s="1625" t="str">
        <f t="shared" si="750"/>
        <v>PAI-1C</v>
      </c>
      <c r="AI2239" s="1675">
        <f t="shared" si="744"/>
        <v>6450000</v>
      </c>
      <c r="AJ2239" s="1675">
        <f t="shared" si="751"/>
        <v>6450000</v>
      </c>
      <c r="AK2239" s="1520">
        <f t="shared" si="752"/>
        <v>0</v>
      </c>
      <c r="AL2239" s="2210" t="str">
        <f t="shared" si="753"/>
        <v>Lunas</v>
      </c>
      <c r="AM2239" s="1666"/>
      <c r="AN2239" s="1590"/>
      <c r="AO2239"/>
      <c r="AP2239"/>
      <c r="AQ2239" s="1128"/>
      <c r="AR2239" s="1173"/>
      <c r="AT2239" s="1173"/>
      <c r="AV2239" s="1173"/>
      <c r="AX2239" s="1173"/>
      <c r="AY2239" s="1176"/>
      <c r="AZ2239" s="1173"/>
    </row>
    <row r="2240" spans="1:52" x14ac:dyDescent="0.25">
      <c r="A2240" s="725"/>
      <c r="B2240" s="725"/>
      <c r="C2240" s="33"/>
      <c r="D2240" s="123"/>
      <c r="H2240" s="124"/>
      <c r="I2240" s="124"/>
      <c r="J2240" s="1212"/>
      <c r="P2240" s="761"/>
      <c r="Q2240" s="1089"/>
      <c r="S2240" s="1375"/>
      <c r="AH2240">
        <f t="shared" si="750"/>
        <v>0</v>
      </c>
    </row>
    <row r="2241" spans="1:52" s="2" customFormat="1" x14ac:dyDescent="0.25">
      <c r="A2241" s="625" t="s">
        <v>2737</v>
      </c>
      <c r="B2241" s="625"/>
      <c r="C2241" s="366"/>
      <c r="D2241" s="625"/>
      <c r="E2241" s="198" t="s">
        <v>1096</v>
      </c>
      <c r="F2241" s="199" t="s">
        <v>1096</v>
      </c>
      <c r="G2241" s="565">
        <v>3750000</v>
      </c>
      <c r="H2241" s="147" t="str">
        <f>IFERROR(VLOOKUP(C2241,Tlus,3,FALSE),"   ")</f>
        <v xml:space="preserve">   </v>
      </c>
      <c r="I2241" s="147" t="str">
        <f>IFERROR(VLOOKUP(C2241,Wis,4,FALSE),"   ")</f>
        <v xml:space="preserve">   </v>
      </c>
      <c r="J2241" s="2035">
        <v>2700000</v>
      </c>
      <c r="K2241" s="2036"/>
      <c r="L2241" s="2163" t="s">
        <v>1049</v>
      </c>
      <c r="M2241" s="2164" t="s">
        <v>1463</v>
      </c>
      <c r="N2241" s="2163" t="s">
        <v>1051</v>
      </c>
      <c r="O2241" s="2164" t="s">
        <v>1464</v>
      </c>
      <c r="P2241" s="2016" t="s">
        <v>1053</v>
      </c>
      <c r="Q2241" s="1438" t="s">
        <v>1466</v>
      </c>
      <c r="R2241" s="2016" t="s">
        <v>1055</v>
      </c>
      <c r="S2241" s="1438" t="s">
        <v>1468</v>
      </c>
      <c r="T2241" s="2016" t="s">
        <v>1057</v>
      </c>
      <c r="U2241" s="1438" t="s">
        <v>1470</v>
      </c>
      <c r="V2241" s="2016" t="s">
        <v>1059</v>
      </c>
      <c r="W2241" s="1438" t="s">
        <v>1718</v>
      </c>
      <c r="X2241" s="1582" t="s">
        <v>1061</v>
      </c>
      <c r="Y2241" s="1438" t="s">
        <v>1719</v>
      </c>
      <c r="Z2241" s="1582" t="s">
        <v>1063</v>
      </c>
      <c r="AA2241" s="1438" t="s">
        <v>1980</v>
      </c>
      <c r="AB2241" s="2177">
        <v>1000000</v>
      </c>
      <c r="AC2241" s="2178" t="s">
        <v>2015</v>
      </c>
      <c r="AD2241" s="1450">
        <v>1200000</v>
      </c>
      <c r="AE2241" s="1663" t="s">
        <v>2016</v>
      </c>
      <c r="AF2241" s="1450">
        <v>1600000</v>
      </c>
      <c r="AG2241" s="1663" t="s">
        <v>1326</v>
      </c>
      <c r="AH2241" s="1408" t="str">
        <f t="shared" si="750"/>
        <v>#</v>
      </c>
      <c r="AI2241" s="1512"/>
      <c r="AJ2241" s="1409"/>
      <c r="AK2241" s="1409"/>
      <c r="AL2241" s="1513"/>
      <c r="AM2241" s="1450">
        <v>500000</v>
      </c>
      <c r="AN2241" s="1663" t="s">
        <v>22</v>
      </c>
      <c r="AO2241"/>
      <c r="AP2241"/>
      <c r="AQ2241" s="1128"/>
      <c r="AR2241" s="1173"/>
      <c r="AT2241" s="1173"/>
      <c r="AV2241" s="1173"/>
      <c r="AX2241" s="1173"/>
      <c r="AY2241" s="1176"/>
      <c r="AZ2241" s="1173"/>
    </row>
    <row r="2242" spans="1:52" s="2" customFormat="1" x14ac:dyDescent="0.25">
      <c r="A2242" s="694">
        <v>2064</v>
      </c>
      <c r="B2242" s="671">
        <v>1</v>
      </c>
      <c r="C2242" s="716">
        <v>203206070001</v>
      </c>
      <c r="D2242" s="701" t="s">
        <v>2738</v>
      </c>
      <c r="E2242" s="264" t="s">
        <v>2739</v>
      </c>
      <c r="F2242" s="175">
        <v>2020</v>
      </c>
      <c r="G2242" s="360" t="s">
        <v>1483</v>
      </c>
      <c r="H2242" s="264" t="s">
        <v>2551</v>
      </c>
      <c r="I2242" s="264" t="s">
        <v>2552</v>
      </c>
      <c r="J2242" s="1359">
        <v>2700000</v>
      </c>
      <c r="K2242" s="1523">
        <v>44071.379270833299</v>
      </c>
      <c r="L2242" s="1359">
        <v>3750000</v>
      </c>
      <c r="M2242" s="1523">
        <v>44071.379270833299</v>
      </c>
      <c r="N2242" s="1731"/>
      <c r="O2242" s="1367"/>
      <c r="P2242" s="1731"/>
      <c r="Q2242" s="1367"/>
      <c r="R2242" s="1363"/>
      <c r="S2242" s="1563"/>
      <c r="T2242" s="1363"/>
      <c r="U2242" s="1391"/>
      <c r="V2242" s="1363"/>
      <c r="W2242" s="1391"/>
      <c r="X2242" s="1363"/>
      <c r="Y2242" s="1391"/>
      <c r="Z2242" s="1363"/>
      <c r="AA2242" s="1391"/>
      <c r="AB2242" s="1666"/>
      <c r="AC2242" s="1590"/>
      <c r="AD2242" s="1666"/>
      <c r="AE2242" s="1590"/>
      <c r="AF2242" s="1666"/>
      <c r="AG2242" s="1590"/>
      <c r="AH2242" s="1625" t="str">
        <f t="shared" si="750"/>
        <v>KPI-1</v>
      </c>
      <c r="AI2242" s="1675">
        <f t="shared" ref="AI2242:AI2250" si="754">SUM(J2242,L2242,N2242,P2242,R2242,T2242,V2242,X2242,Z2242,AB2242,AD2242,AF2242,AM2242)</f>
        <v>6450000</v>
      </c>
      <c r="AJ2242" s="1675">
        <f t="shared" ref="AJ2242:AJ2250" si="755">(COUNT(L2242,N2242,P2242,R2242,T2242,V2242,X2242,Z2242)*$G$1507)+(COUNT(J2242)*$J$1507)+(COUNT(AB2242)*$AB$1507)+(COUNT(AD2242)*$AD$1507)+(COUNT(AF2242)*$AF$1507)+(COUNT(AM2242)*$AM$1507)</f>
        <v>6450000</v>
      </c>
      <c r="AK2242" s="1520">
        <f t="shared" ref="AK2242" si="756">AJ2242-AI2242</f>
        <v>0</v>
      </c>
      <c r="AL2242" s="2187" t="str">
        <f t="shared" ref="AL2242" si="757">IF(AK2242=0,"Lunas","Cek")</f>
        <v>Lunas</v>
      </c>
      <c r="AM2242" s="1666"/>
      <c r="AN2242" s="1590"/>
      <c r="AO2242"/>
      <c r="AP2242"/>
      <c r="AQ2242" s="1128"/>
      <c r="AR2242" s="1173"/>
      <c r="AT2242" s="1173"/>
      <c r="AV2242" s="1173"/>
      <c r="AX2242" s="1173"/>
      <c r="AY2242" s="1176"/>
      <c r="AZ2242" s="1173"/>
    </row>
    <row r="2243" spans="1:52" s="2" customFormat="1" x14ac:dyDescent="0.25">
      <c r="A2243" s="694">
        <v>2065</v>
      </c>
      <c r="B2243" s="709">
        <v>2</v>
      </c>
      <c r="C2243" s="716">
        <v>203206070002</v>
      </c>
      <c r="D2243" s="701" t="s">
        <v>2740</v>
      </c>
      <c r="E2243" s="264" t="s">
        <v>2739</v>
      </c>
      <c r="F2243" s="175">
        <v>2020</v>
      </c>
      <c r="G2243" s="360" t="s">
        <v>1483</v>
      </c>
      <c r="H2243" s="264" t="s">
        <v>2551</v>
      </c>
      <c r="I2243" s="264" t="s">
        <v>2552</v>
      </c>
      <c r="J2243" s="1359">
        <v>2700000</v>
      </c>
      <c r="K2243" s="1523">
        <v>44071.5721990741</v>
      </c>
      <c r="L2243" s="1359">
        <v>3750000</v>
      </c>
      <c r="M2243" s="1523">
        <v>44071.5721990741</v>
      </c>
      <c r="N2243" s="1731"/>
      <c r="O2243" s="1367"/>
      <c r="P2243" s="1731"/>
      <c r="Q2243" s="1367"/>
      <c r="R2243" s="1363"/>
      <c r="S2243" s="1563"/>
      <c r="T2243" s="1363"/>
      <c r="U2243" s="1391"/>
      <c r="V2243" s="1363"/>
      <c r="W2243" s="1391"/>
      <c r="X2243" s="1363"/>
      <c r="Y2243" s="1391"/>
      <c r="Z2243" s="1363"/>
      <c r="AA2243" s="1391"/>
      <c r="AB2243" s="1731"/>
      <c r="AC2243" s="1367"/>
      <c r="AD2243" s="1666"/>
      <c r="AE2243" s="1590"/>
      <c r="AF2243" s="1666"/>
      <c r="AG2243" s="1590"/>
      <c r="AH2243" s="1625" t="str">
        <f t="shared" si="750"/>
        <v>KPI-1</v>
      </c>
      <c r="AI2243" s="1675">
        <f t="shared" si="754"/>
        <v>6450000</v>
      </c>
      <c r="AJ2243" s="1675">
        <f t="shared" si="755"/>
        <v>6450000</v>
      </c>
      <c r="AK2243" s="1520">
        <f t="shared" ref="AK2243:AK2250" si="758">AJ2243-AI2243</f>
        <v>0</v>
      </c>
      <c r="AL2243" s="2210" t="str">
        <f t="shared" ref="AL2243:AL2250" si="759">IF(AK2243=0,"Lunas","Cek")</f>
        <v>Lunas</v>
      </c>
      <c r="AM2243" s="1666"/>
      <c r="AN2243" s="1590"/>
      <c r="AO2243"/>
      <c r="AP2243"/>
      <c r="AQ2243" s="1128"/>
      <c r="AR2243" s="1173"/>
      <c r="AT2243" s="1173"/>
      <c r="AV2243" s="1173"/>
      <c r="AX2243" s="1173"/>
      <c r="AY2243" s="1176"/>
      <c r="AZ2243" s="1173"/>
    </row>
    <row r="2244" spans="1:52" s="2" customFormat="1" x14ac:dyDescent="0.25">
      <c r="A2244" s="694">
        <v>2066</v>
      </c>
      <c r="B2244" s="671">
        <v>3</v>
      </c>
      <c r="C2244" s="716">
        <v>203206070003</v>
      </c>
      <c r="D2244" s="701" t="s">
        <v>2741</v>
      </c>
      <c r="E2244" s="264" t="s">
        <v>2739</v>
      </c>
      <c r="F2244" s="175">
        <v>2020</v>
      </c>
      <c r="G2244" s="360" t="s">
        <v>1483</v>
      </c>
      <c r="H2244" s="264" t="s">
        <v>2551</v>
      </c>
      <c r="I2244" s="264" t="s">
        <v>2552</v>
      </c>
      <c r="J2244" s="1359">
        <v>2700000</v>
      </c>
      <c r="K2244" s="1523">
        <v>44071.7801273148</v>
      </c>
      <c r="L2244" s="1359">
        <v>3750000</v>
      </c>
      <c r="M2244" s="1523">
        <v>44071.7801273148</v>
      </c>
      <c r="N2244" s="1731"/>
      <c r="O2244" s="1367"/>
      <c r="P2244" s="1731"/>
      <c r="Q2244" s="1367"/>
      <c r="R2244" s="1363"/>
      <c r="S2244" s="1563"/>
      <c r="T2244" s="1363"/>
      <c r="U2244" s="1391"/>
      <c r="V2244" s="1363"/>
      <c r="W2244" s="1391"/>
      <c r="X2244" s="1363"/>
      <c r="Y2244" s="1391"/>
      <c r="Z2244" s="1363"/>
      <c r="AA2244" s="1391"/>
      <c r="AB2244" s="1731"/>
      <c r="AC2244" s="1367"/>
      <c r="AD2244" s="1666"/>
      <c r="AE2244" s="1590"/>
      <c r="AF2244" s="1666"/>
      <c r="AG2244" s="1590"/>
      <c r="AH2244" s="1625" t="str">
        <f t="shared" si="750"/>
        <v>KPI-1</v>
      </c>
      <c r="AI2244" s="1675">
        <f t="shared" si="754"/>
        <v>6450000</v>
      </c>
      <c r="AJ2244" s="1675">
        <f t="shared" si="755"/>
        <v>6450000</v>
      </c>
      <c r="AK2244" s="1520">
        <f t="shared" si="758"/>
        <v>0</v>
      </c>
      <c r="AL2244" s="2210" t="str">
        <f t="shared" si="759"/>
        <v>Lunas</v>
      </c>
      <c r="AM2244" s="1666"/>
      <c r="AN2244" s="1590"/>
      <c r="AO2244"/>
      <c r="AP2244"/>
      <c r="AQ2244" s="1128"/>
      <c r="AR2244" s="1173"/>
      <c r="AT2244" s="1173"/>
      <c r="AV2244" s="1173"/>
      <c r="AX2244" s="1173"/>
      <c r="AY2244" s="1176"/>
      <c r="AZ2244" s="1173"/>
    </row>
    <row r="2245" spans="1:52" s="2" customFormat="1" x14ac:dyDescent="0.25">
      <c r="A2245" s="694">
        <v>2067</v>
      </c>
      <c r="B2245" s="709">
        <v>4</v>
      </c>
      <c r="C2245" s="716">
        <v>203206070004</v>
      </c>
      <c r="D2245" s="701" t="s">
        <v>2742</v>
      </c>
      <c r="E2245" s="264" t="s">
        <v>2739</v>
      </c>
      <c r="F2245" s="175">
        <v>2020</v>
      </c>
      <c r="G2245" s="360" t="s">
        <v>1483</v>
      </c>
      <c r="H2245" s="264" t="s">
        <v>2551</v>
      </c>
      <c r="I2245" s="264" t="s">
        <v>2552</v>
      </c>
      <c r="J2245" s="1359">
        <v>2700000</v>
      </c>
      <c r="K2245" s="1523">
        <v>44071.350717592599</v>
      </c>
      <c r="L2245" s="1359">
        <v>3750000</v>
      </c>
      <c r="M2245" s="1523">
        <v>44071.350717592599</v>
      </c>
      <c r="N2245" s="1731"/>
      <c r="O2245" s="1367"/>
      <c r="P2245" s="1731"/>
      <c r="Q2245" s="1367"/>
      <c r="R2245" s="1363"/>
      <c r="S2245" s="1563"/>
      <c r="T2245" s="1363"/>
      <c r="U2245" s="1391"/>
      <c r="V2245" s="1363"/>
      <c r="W2245" s="1391"/>
      <c r="X2245" s="1363"/>
      <c r="Y2245" s="1391"/>
      <c r="Z2245" s="1363"/>
      <c r="AA2245" s="1391"/>
      <c r="AB2245" s="1731"/>
      <c r="AC2245" s="1367"/>
      <c r="AD2245" s="1666"/>
      <c r="AE2245" s="1590"/>
      <c r="AF2245" s="1666"/>
      <c r="AG2245" s="1590"/>
      <c r="AH2245" s="1625" t="str">
        <f t="shared" si="750"/>
        <v>KPI-1</v>
      </c>
      <c r="AI2245" s="1675">
        <f t="shared" si="754"/>
        <v>6450000</v>
      </c>
      <c r="AJ2245" s="1675">
        <f t="shared" si="755"/>
        <v>6450000</v>
      </c>
      <c r="AK2245" s="1520">
        <f t="shared" si="758"/>
        <v>0</v>
      </c>
      <c r="AL2245" s="2210" t="str">
        <f t="shared" si="759"/>
        <v>Lunas</v>
      </c>
      <c r="AM2245" s="1666"/>
      <c r="AN2245" s="1590"/>
      <c r="AO2245"/>
      <c r="AP2245"/>
      <c r="AQ2245" s="1128"/>
      <c r="AR2245" s="1173"/>
      <c r="AT2245" s="1173"/>
      <c r="AV2245" s="1173"/>
      <c r="AX2245" s="1173"/>
      <c r="AY2245" s="1176"/>
      <c r="AZ2245" s="1173"/>
    </row>
    <row r="2246" spans="1:52" s="2" customFormat="1" x14ac:dyDescent="0.25">
      <c r="A2246" s="694">
        <v>2068</v>
      </c>
      <c r="B2246" s="671">
        <v>5</v>
      </c>
      <c r="C2246" s="716">
        <v>203206070005</v>
      </c>
      <c r="D2246" s="701" t="s">
        <v>2743</v>
      </c>
      <c r="E2246" s="264" t="s">
        <v>2739</v>
      </c>
      <c r="F2246" s="175">
        <v>2020</v>
      </c>
      <c r="G2246" s="360" t="s">
        <v>1483</v>
      </c>
      <c r="H2246" s="264" t="s">
        <v>2551</v>
      </c>
      <c r="I2246" s="264" t="s">
        <v>2552</v>
      </c>
      <c r="J2246" s="1359">
        <v>2700000</v>
      </c>
      <c r="K2246" s="1523">
        <v>44070.840335648201</v>
      </c>
      <c r="L2246" s="1359">
        <v>3750000</v>
      </c>
      <c r="M2246" s="1523">
        <v>44070.840335648201</v>
      </c>
      <c r="N2246" s="1731"/>
      <c r="O2246" s="1367"/>
      <c r="P2246" s="1731"/>
      <c r="Q2246" s="1367"/>
      <c r="R2246" s="1363"/>
      <c r="S2246" s="1563"/>
      <c r="T2246" s="1363"/>
      <c r="U2246" s="1391"/>
      <c r="V2246" s="1363"/>
      <c r="W2246" s="1391"/>
      <c r="X2246" s="1363"/>
      <c r="Y2246" s="1391"/>
      <c r="Z2246" s="1363"/>
      <c r="AA2246" s="1391"/>
      <c r="AB2246" s="1731"/>
      <c r="AC2246" s="1367"/>
      <c r="AD2246" s="1666"/>
      <c r="AE2246" s="1590"/>
      <c r="AF2246" s="1666"/>
      <c r="AG2246" s="1590"/>
      <c r="AH2246" s="1625" t="str">
        <f t="shared" si="750"/>
        <v>KPI-1</v>
      </c>
      <c r="AI2246" s="1675">
        <f t="shared" si="754"/>
        <v>6450000</v>
      </c>
      <c r="AJ2246" s="1675">
        <f t="shared" si="755"/>
        <v>6450000</v>
      </c>
      <c r="AK2246" s="1520">
        <f t="shared" si="758"/>
        <v>0</v>
      </c>
      <c r="AL2246" s="2210" t="str">
        <f t="shared" si="759"/>
        <v>Lunas</v>
      </c>
      <c r="AM2246" s="1666"/>
      <c r="AN2246" s="1590"/>
      <c r="AO2246"/>
      <c r="AP2246"/>
      <c r="AQ2246" s="1128"/>
      <c r="AR2246" s="1173"/>
      <c r="AT2246" s="1173"/>
      <c r="AV2246" s="1173"/>
      <c r="AX2246" s="1173"/>
      <c r="AY2246" s="1176"/>
      <c r="AZ2246" s="1173"/>
    </row>
    <row r="2247" spans="1:52" s="2" customFormat="1" x14ac:dyDescent="0.25">
      <c r="A2247" s="694">
        <v>2069</v>
      </c>
      <c r="B2247" s="709">
        <v>6</v>
      </c>
      <c r="C2247" s="716">
        <v>203206070006</v>
      </c>
      <c r="D2247" s="701" t="s">
        <v>2744</v>
      </c>
      <c r="E2247" s="264" t="s">
        <v>2739</v>
      </c>
      <c r="F2247" s="175">
        <v>2020</v>
      </c>
      <c r="G2247" s="360" t="s">
        <v>1483</v>
      </c>
      <c r="H2247" s="264" t="s">
        <v>2551</v>
      </c>
      <c r="I2247" s="264" t="s">
        <v>2552</v>
      </c>
      <c r="J2247" s="1359">
        <v>2700000</v>
      </c>
      <c r="K2247" s="1523">
        <v>44069.887037036999</v>
      </c>
      <c r="L2247" s="1359">
        <v>3750000</v>
      </c>
      <c r="M2247" s="1523">
        <v>44069.887037036999</v>
      </c>
      <c r="N2247" s="1731"/>
      <c r="O2247" s="1367"/>
      <c r="P2247" s="1731"/>
      <c r="Q2247" s="1367"/>
      <c r="R2247" s="1363"/>
      <c r="S2247" s="1563"/>
      <c r="T2247" s="1363"/>
      <c r="U2247" s="1391"/>
      <c r="V2247" s="1363"/>
      <c r="W2247" s="1391"/>
      <c r="X2247" s="1363"/>
      <c r="Y2247" s="1391"/>
      <c r="Z2247" s="1363"/>
      <c r="AA2247" s="1391"/>
      <c r="AB2247" s="1731"/>
      <c r="AC2247" s="1367"/>
      <c r="AD2247" s="1666"/>
      <c r="AE2247" s="1590"/>
      <c r="AF2247" s="1666"/>
      <c r="AG2247" s="1590"/>
      <c r="AH2247" s="1625" t="str">
        <f t="shared" si="750"/>
        <v>KPI-1</v>
      </c>
      <c r="AI2247" s="1675">
        <f t="shared" si="754"/>
        <v>6450000</v>
      </c>
      <c r="AJ2247" s="1675">
        <f t="shared" si="755"/>
        <v>6450000</v>
      </c>
      <c r="AK2247" s="1520">
        <f t="shared" si="758"/>
        <v>0</v>
      </c>
      <c r="AL2247" s="2210" t="str">
        <f t="shared" si="759"/>
        <v>Lunas</v>
      </c>
      <c r="AM2247" s="1666"/>
      <c r="AN2247" s="1590"/>
      <c r="AO2247"/>
      <c r="AP2247"/>
      <c r="AQ2247" s="1128"/>
      <c r="AR2247" s="1173"/>
      <c r="AT2247" s="1173"/>
      <c r="AV2247" s="1173"/>
      <c r="AX2247" s="1173"/>
      <c r="AY2247" s="1176"/>
      <c r="AZ2247" s="1173"/>
    </row>
    <row r="2248" spans="1:52" s="2" customFormat="1" x14ac:dyDescent="0.25">
      <c r="A2248" s="694">
        <v>2070</v>
      </c>
      <c r="B2248" s="671">
        <v>7</v>
      </c>
      <c r="C2248" s="716">
        <v>203206070007</v>
      </c>
      <c r="D2248" s="701" t="s">
        <v>2745</v>
      </c>
      <c r="E2248" s="264" t="s">
        <v>2739</v>
      </c>
      <c r="F2248" s="175">
        <v>2020</v>
      </c>
      <c r="G2248" s="360" t="s">
        <v>1483</v>
      </c>
      <c r="H2248" s="264" t="s">
        <v>2551</v>
      </c>
      <c r="I2248" s="264" t="s">
        <v>2552</v>
      </c>
      <c r="J2248" s="1359">
        <v>2700000</v>
      </c>
      <c r="K2248" s="1523">
        <v>44071.652824074103</v>
      </c>
      <c r="L2248" s="1359">
        <v>3750000</v>
      </c>
      <c r="M2248" s="1523">
        <v>44071.652824074103</v>
      </c>
      <c r="N2248" s="1731"/>
      <c r="O2248" s="1367"/>
      <c r="P2248" s="1731"/>
      <c r="Q2248" s="1367"/>
      <c r="R2248" s="1363"/>
      <c r="S2248" s="1563"/>
      <c r="T2248" s="1363"/>
      <c r="U2248" s="1391"/>
      <c r="V2248" s="1363"/>
      <c r="W2248" s="1391"/>
      <c r="X2248" s="1363"/>
      <c r="Y2248" s="1391"/>
      <c r="Z2248" s="1363"/>
      <c r="AA2248" s="1391"/>
      <c r="AB2248" s="1731"/>
      <c r="AC2248" s="1367"/>
      <c r="AD2248" s="1666"/>
      <c r="AE2248" s="1590"/>
      <c r="AF2248" s="1666"/>
      <c r="AG2248" s="1590"/>
      <c r="AH2248" s="1625" t="str">
        <f t="shared" si="750"/>
        <v>KPI-1</v>
      </c>
      <c r="AI2248" s="1675">
        <f t="shared" si="754"/>
        <v>6450000</v>
      </c>
      <c r="AJ2248" s="1675">
        <f t="shared" si="755"/>
        <v>6450000</v>
      </c>
      <c r="AK2248" s="1520">
        <f t="shared" si="758"/>
        <v>0</v>
      </c>
      <c r="AL2248" s="2210" t="str">
        <f t="shared" si="759"/>
        <v>Lunas</v>
      </c>
      <c r="AM2248" s="1666"/>
      <c r="AN2248" s="1590"/>
      <c r="AO2248"/>
      <c r="AP2248"/>
      <c r="AQ2248" s="1128"/>
      <c r="AR2248" s="1173"/>
      <c r="AT2248" s="1173"/>
      <c r="AV2248" s="1173"/>
      <c r="AX2248" s="1173"/>
      <c r="AY2248" s="1176"/>
      <c r="AZ2248" s="1173"/>
    </row>
    <row r="2249" spans="1:52" s="2" customFormat="1" x14ac:dyDescent="0.25">
      <c r="A2249" s="694">
        <v>2071</v>
      </c>
      <c r="B2249" s="709">
        <v>8</v>
      </c>
      <c r="C2249" s="716">
        <v>203206070008</v>
      </c>
      <c r="D2249" s="701" t="s">
        <v>2746</v>
      </c>
      <c r="E2249" s="264" t="s">
        <v>2739</v>
      </c>
      <c r="F2249" s="175">
        <v>2020</v>
      </c>
      <c r="G2249" s="360" t="s">
        <v>1483</v>
      </c>
      <c r="H2249" s="264" t="s">
        <v>2551</v>
      </c>
      <c r="I2249" s="264" t="s">
        <v>2552</v>
      </c>
      <c r="J2249" s="1359">
        <v>2700000</v>
      </c>
      <c r="K2249" s="1523">
        <v>44071.5076736111</v>
      </c>
      <c r="L2249" s="1359">
        <v>3750000</v>
      </c>
      <c r="M2249" s="1523">
        <v>44071.5076736111</v>
      </c>
      <c r="N2249" s="1731"/>
      <c r="O2249" s="1367"/>
      <c r="P2249" s="1731"/>
      <c r="Q2249" s="1367"/>
      <c r="R2249" s="1363"/>
      <c r="S2249" s="1563"/>
      <c r="T2249" s="1363"/>
      <c r="U2249" s="1391"/>
      <c r="V2249" s="1363"/>
      <c r="W2249" s="1391"/>
      <c r="X2249" s="1363"/>
      <c r="Y2249" s="1391"/>
      <c r="Z2249" s="1363"/>
      <c r="AA2249" s="1391"/>
      <c r="AB2249" s="1731"/>
      <c r="AC2249" s="1367"/>
      <c r="AD2249" s="1666"/>
      <c r="AE2249" s="1590"/>
      <c r="AF2249" s="1666"/>
      <c r="AG2249" s="1590"/>
      <c r="AH2249" s="1625" t="str">
        <f t="shared" si="750"/>
        <v>KPI-1</v>
      </c>
      <c r="AI2249" s="1675">
        <f t="shared" si="754"/>
        <v>6450000</v>
      </c>
      <c r="AJ2249" s="1675">
        <f t="shared" si="755"/>
        <v>6450000</v>
      </c>
      <c r="AK2249" s="1520">
        <f t="shared" si="758"/>
        <v>0</v>
      </c>
      <c r="AL2249" s="2210" t="str">
        <f t="shared" si="759"/>
        <v>Lunas</v>
      </c>
      <c r="AM2249" s="1666"/>
      <c r="AN2249" s="1590"/>
      <c r="AO2249"/>
      <c r="AP2249"/>
      <c r="AQ2249" s="1128"/>
      <c r="AR2249" s="1173"/>
      <c r="AT2249" s="1173"/>
      <c r="AV2249" s="1173"/>
      <c r="AX2249" s="1173"/>
      <c r="AY2249" s="1176"/>
      <c r="AZ2249" s="1173"/>
    </row>
    <row r="2250" spans="1:52" s="2" customFormat="1" x14ac:dyDescent="0.25">
      <c r="A2250" s="694">
        <v>2072</v>
      </c>
      <c r="B2250" s="671">
        <v>9</v>
      </c>
      <c r="C2250" s="716">
        <v>204206070001</v>
      </c>
      <c r="D2250" s="701" t="s">
        <v>2747</v>
      </c>
      <c r="E2250" s="264" t="s">
        <v>2739</v>
      </c>
      <c r="F2250" s="175">
        <v>2020</v>
      </c>
      <c r="G2250" s="360" t="s">
        <v>1483</v>
      </c>
      <c r="H2250" s="264" t="s">
        <v>2551</v>
      </c>
      <c r="I2250" s="264" t="s">
        <v>2552</v>
      </c>
      <c r="J2250" s="1359">
        <v>2700000</v>
      </c>
      <c r="K2250" s="1523">
        <v>44080.196956018503</v>
      </c>
      <c r="L2250" s="1359">
        <v>3750000</v>
      </c>
      <c r="M2250" s="1523">
        <v>44080.196956018503</v>
      </c>
      <c r="N2250" s="1731"/>
      <c r="O2250" s="1367"/>
      <c r="P2250" s="1731"/>
      <c r="Q2250" s="1367"/>
      <c r="R2250" s="1363"/>
      <c r="S2250" s="1563"/>
      <c r="T2250" s="1363"/>
      <c r="U2250" s="1391"/>
      <c r="V2250" s="1363"/>
      <c r="W2250" s="1391"/>
      <c r="X2250" s="1363"/>
      <c r="Y2250" s="1391"/>
      <c r="Z2250" s="1363"/>
      <c r="AA2250" s="1391"/>
      <c r="AB2250" s="1731"/>
      <c r="AC2250" s="1367"/>
      <c r="AD2250" s="1666"/>
      <c r="AE2250" s="1590"/>
      <c r="AF2250" s="1666"/>
      <c r="AG2250" s="1590"/>
      <c r="AH2250" s="1625" t="str">
        <f t="shared" si="750"/>
        <v>KPI-1</v>
      </c>
      <c r="AI2250" s="1675">
        <f t="shared" si="754"/>
        <v>6450000</v>
      </c>
      <c r="AJ2250" s="1675">
        <f t="shared" si="755"/>
        <v>6450000</v>
      </c>
      <c r="AK2250" s="1520">
        <f t="shared" si="758"/>
        <v>0</v>
      </c>
      <c r="AL2250" s="2210" t="str">
        <f t="shared" si="759"/>
        <v>Lunas</v>
      </c>
      <c r="AM2250" s="1666"/>
      <c r="AN2250" s="1590"/>
      <c r="AO2250"/>
      <c r="AP2250"/>
      <c r="AQ2250" s="1128"/>
      <c r="AR2250" s="1173"/>
      <c r="AT2250" s="1173"/>
      <c r="AV2250" s="1173"/>
      <c r="AX2250" s="1173"/>
      <c r="AY2250" s="1176"/>
      <c r="AZ2250" s="1173"/>
    </row>
    <row r="2251" spans="1:52" x14ac:dyDescent="0.25">
      <c r="A2251" s="725"/>
      <c r="B2251" s="725"/>
      <c r="C2251" s="33"/>
      <c r="D2251" s="123"/>
      <c r="H2251" s="124"/>
      <c r="I2251" s="124"/>
      <c r="J2251" s="1212"/>
      <c r="P2251" s="761"/>
      <c r="Q2251" s="1089"/>
      <c r="S2251" s="1375"/>
      <c r="AH2251">
        <f t="shared" si="750"/>
        <v>0</v>
      </c>
    </row>
    <row r="2252" spans="1:52" s="2" customFormat="1" x14ac:dyDescent="0.25">
      <c r="A2252" s="625" t="s">
        <v>2748</v>
      </c>
      <c r="B2252" s="625"/>
      <c r="C2252" s="366"/>
      <c r="D2252" s="625"/>
      <c r="E2252" s="198" t="s">
        <v>1096</v>
      </c>
      <c r="F2252" s="199" t="s">
        <v>1096</v>
      </c>
      <c r="G2252" s="565">
        <v>3750000</v>
      </c>
      <c r="H2252" s="147" t="str">
        <f>IFERROR(VLOOKUP(C2252,Tlus,3,FALSE),"   ")</f>
        <v xml:space="preserve">   </v>
      </c>
      <c r="I2252" s="147" t="str">
        <f>IFERROR(VLOOKUP(C2252,Wis,4,FALSE),"   ")</f>
        <v xml:space="preserve">   </v>
      </c>
      <c r="J2252" s="2035">
        <v>2700000</v>
      </c>
      <c r="K2252" s="2036"/>
      <c r="L2252" s="2163" t="s">
        <v>1049</v>
      </c>
      <c r="M2252" s="2164" t="s">
        <v>1463</v>
      </c>
      <c r="N2252" s="2163" t="s">
        <v>1051</v>
      </c>
      <c r="O2252" s="2164" t="s">
        <v>1464</v>
      </c>
      <c r="P2252" s="2016" t="s">
        <v>1053</v>
      </c>
      <c r="Q2252" s="1438" t="s">
        <v>1466</v>
      </c>
      <c r="R2252" s="2016" t="s">
        <v>1055</v>
      </c>
      <c r="S2252" s="1438" t="s">
        <v>1468</v>
      </c>
      <c r="T2252" s="2016" t="s">
        <v>1057</v>
      </c>
      <c r="U2252" s="1438" t="s">
        <v>1470</v>
      </c>
      <c r="V2252" s="2016" t="s">
        <v>1059</v>
      </c>
      <c r="W2252" s="1438" t="s">
        <v>1718</v>
      </c>
      <c r="X2252" s="1582" t="s">
        <v>1061</v>
      </c>
      <c r="Y2252" s="1438" t="s">
        <v>1719</v>
      </c>
      <c r="Z2252" s="1582" t="s">
        <v>1063</v>
      </c>
      <c r="AA2252" s="1438" t="s">
        <v>1980</v>
      </c>
      <c r="AB2252" s="2177">
        <v>1000000</v>
      </c>
      <c r="AC2252" s="2178" t="s">
        <v>2015</v>
      </c>
      <c r="AD2252" s="1450">
        <v>1200000</v>
      </c>
      <c r="AE2252" s="1663" t="s">
        <v>2016</v>
      </c>
      <c r="AF2252" s="1450">
        <v>1600000</v>
      </c>
      <c r="AG2252" s="1663" t="s">
        <v>1326</v>
      </c>
      <c r="AH2252" s="1408" t="str">
        <f t="shared" si="750"/>
        <v>#</v>
      </c>
      <c r="AI2252" s="1512"/>
      <c r="AJ2252" s="1409"/>
      <c r="AK2252" s="1409"/>
      <c r="AL2252" s="1513"/>
      <c r="AM2252" s="1450">
        <v>500000</v>
      </c>
      <c r="AN2252" s="1663" t="s">
        <v>22</v>
      </c>
      <c r="AO2252"/>
      <c r="AP2252"/>
      <c r="AQ2252" s="1128"/>
      <c r="AR2252" s="1173"/>
      <c r="AT2252" s="1173"/>
      <c r="AV2252" s="1173"/>
      <c r="AX2252" s="1173"/>
      <c r="AY2252" s="1176"/>
      <c r="AZ2252" s="1173"/>
    </row>
    <row r="2253" spans="1:52" s="2" customFormat="1" x14ac:dyDescent="0.25">
      <c r="A2253" s="694">
        <v>2073</v>
      </c>
      <c r="B2253" s="671">
        <v>1</v>
      </c>
      <c r="C2253" s="716">
        <v>203206040001</v>
      </c>
      <c r="D2253" s="701" t="s">
        <v>2749</v>
      </c>
      <c r="E2253" s="264" t="s">
        <v>2750</v>
      </c>
      <c r="F2253" s="175">
        <v>2020</v>
      </c>
      <c r="G2253" s="360" t="s">
        <v>1483</v>
      </c>
      <c r="H2253" s="264" t="s">
        <v>2551</v>
      </c>
      <c r="I2253" s="264" t="s">
        <v>2552</v>
      </c>
      <c r="J2253" s="1359">
        <v>2700000</v>
      </c>
      <c r="K2253" s="1523">
        <v>44071.598564814798</v>
      </c>
      <c r="L2253" s="1359">
        <v>3750000</v>
      </c>
      <c r="M2253" s="1523">
        <v>44071.598564814798</v>
      </c>
      <c r="N2253" s="1731"/>
      <c r="O2253" s="1367"/>
      <c r="P2253" s="1731"/>
      <c r="Q2253" s="1367"/>
      <c r="R2253" s="1363"/>
      <c r="S2253" s="1563"/>
      <c r="T2253" s="1363"/>
      <c r="U2253" s="1391"/>
      <c r="V2253" s="1363"/>
      <c r="W2253" s="1391"/>
      <c r="X2253" s="1363"/>
      <c r="Y2253" s="1391"/>
      <c r="Z2253" s="1363"/>
      <c r="AA2253" s="1391"/>
      <c r="AB2253" s="1666"/>
      <c r="AC2253" s="1590"/>
      <c r="AD2253" s="1666"/>
      <c r="AE2253" s="1590"/>
      <c r="AF2253" s="1666"/>
      <c r="AG2253" s="1590"/>
      <c r="AH2253" s="1625" t="str">
        <f t="shared" si="750"/>
        <v>PGMI-1</v>
      </c>
      <c r="AI2253" s="1675">
        <f t="shared" ref="AI2253:AI2264" si="760">SUM(J2253,L2253,N2253,P2253,R2253,T2253,V2253,X2253,Z2253,AB2253,AD2253,AF2253,AM2253)</f>
        <v>6450000</v>
      </c>
      <c r="AJ2253" s="1675">
        <f t="shared" ref="AJ2253:AJ2264" si="761">(COUNT(L2253,N2253,P2253,R2253,T2253,V2253,X2253,Z2253)*$G$1507)+(COUNT(J2253)*$J$1507)+(COUNT(AB2253)*$AB$1507)+(COUNT(AD2253)*$AD$1507)+(COUNT(AF2253)*$AF$1507)+(COUNT(AM2253)*$AM$1507)</f>
        <v>6450000</v>
      </c>
      <c r="AK2253" s="1520">
        <f t="shared" ref="AK2253" si="762">AJ2253-AI2253</f>
        <v>0</v>
      </c>
      <c r="AL2253" s="2187" t="str">
        <f t="shared" ref="AL2253" si="763">IF(AK2253=0,"Lunas","Cek")</f>
        <v>Lunas</v>
      </c>
      <c r="AM2253" s="1666"/>
      <c r="AN2253" s="1590"/>
      <c r="AO2253"/>
      <c r="AP2253"/>
      <c r="AQ2253" s="1128"/>
      <c r="AR2253" s="1173"/>
      <c r="AT2253" s="1173"/>
      <c r="AV2253" s="1173"/>
      <c r="AX2253" s="1173"/>
      <c r="AY2253" s="1176"/>
      <c r="AZ2253" s="1173"/>
    </row>
    <row r="2254" spans="1:52" s="2" customFormat="1" x14ac:dyDescent="0.25">
      <c r="A2254" s="694">
        <v>2074</v>
      </c>
      <c r="B2254" s="709">
        <v>2</v>
      </c>
      <c r="C2254" s="716">
        <v>203206040002</v>
      </c>
      <c r="D2254" s="701" t="s">
        <v>2751</v>
      </c>
      <c r="E2254" s="264" t="s">
        <v>2750</v>
      </c>
      <c r="F2254" s="175">
        <v>2020</v>
      </c>
      <c r="G2254" s="360" t="s">
        <v>1483</v>
      </c>
      <c r="H2254" s="264" t="s">
        <v>2551</v>
      </c>
      <c r="I2254" s="264" t="s">
        <v>2552</v>
      </c>
      <c r="J2254" s="1359">
        <v>2700000</v>
      </c>
      <c r="K2254" s="1523">
        <v>44068.496562499997</v>
      </c>
      <c r="L2254" s="1359">
        <v>3750000</v>
      </c>
      <c r="M2254" s="1523">
        <v>44068.496562499997</v>
      </c>
      <c r="N2254" s="1731"/>
      <c r="O2254" s="1367"/>
      <c r="P2254" s="1731"/>
      <c r="Q2254" s="1367"/>
      <c r="R2254" s="1363"/>
      <c r="S2254" s="1563"/>
      <c r="T2254" s="1363"/>
      <c r="U2254" s="1391"/>
      <c r="V2254" s="1363"/>
      <c r="W2254" s="1391"/>
      <c r="X2254" s="1363"/>
      <c r="Y2254" s="1391"/>
      <c r="Z2254" s="1363"/>
      <c r="AA2254" s="1391"/>
      <c r="AB2254" s="1731"/>
      <c r="AC2254" s="1367"/>
      <c r="AD2254" s="1666"/>
      <c r="AE2254" s="1590"/>
      <c r="AF2254" s="1666"/>
      <c r="AG2254" s="1590"/>
      <c r="AH2254" s="1625" t="str">
        <f t="shared" si="750"/>
        <v>PGMI-1</v>
      </c>
      <c r="AI2254" s="1675">
        <f t="shared" si="760"/>
        <v>6450000</v>
      </c>
      <c r="AJ2254" s="1675">
        <f t="shared" si="761"/>
        <v>6450000</v>
      </c>
      <c r="AK2254" s="1520">
        <f t="shared" ref="AK2254:AK2264" si="764">AJ2254-AI2254</f>
        <v>0</v>
      </c>
      <c r="AL2254" s="2210" t="str">
        <f t="shared" ref="AL2254:AL2264" si="765">IF(AK2254=0,"Lunas","Cek")</f>
        <v>Lunas</v>
      </c>
      <c r="AM2254" s="1666"/>
      <c r="AN2254" s="1590"/>
      <c r="AO2254"/>
      <c r="AP2254"/>
      <c r="AQ2254" s="1128"/>
      <c r="AR2254" s="1173"/>
      <c r="AT2254" s="1173"/>
      <c r="AV2254" s="1173"/>
      <c r="AX2254" s="1173"/>
      <c r="AY2254" s="1176"/>
      <c r="AZ2254" s="1173"/>
    </row>
    <row r="2255" spans="1:52" s="2" customFormat="1" x14ac:dyDescent="0.25">
      <c r="A2255" s="694">
        <v>2075</v>
      </c>
      <c r="B2255" s="671">
        <v>3</v>
      </c>
      <c r="C2255" s="716">
        <v>203206040003</v>
      </c>
      <c r="D2255" s="701" t="s">
        <v>2752</v>
      </c>
      <c r="E2255" s="264" t="s">
        <v>2750</v>
      </c>
      <c r="F2255" s="175">
        <v>2020</v>
      </c>
      <c r="G2255" s="360" t="s">
        <v>1483</v>
      </c>
      <c r="H2255" s="264" t="s">
        <v>2551</v>
      </c>
      <c r="I2255" s="264" t="s">
        <v>2552</v>
      </c>
      <c r="J2255" s="1359">
        <v>2700000</v>
      </c>
      <c r="K2255" s="1523">
        <v>44071.428692129601</v>
      </c>
      <c r="L2255" s="1359">
        <v>3750000</v>
      </c>
      <c r="M2255" s="1523">
        <v>44071.428692129601</v>
      </c>
      <c r="N2255" s="1731"/>
      <c r="O2255" s="1367"/>
      <c r="P2255" s="1731"/>
      <c r="Q2255" s="1367"/>
      <c r="R2255" s="1363"/>
      <c r="S2255" s="1563"/>
      <c r="T2255" s="1363"/>
      <c r="U2255" s="1391"/>
      <c r="V2255" s="1363"/>
      <c r="W2255" s="1391"/>
      <c r="X2255" s="1363"/>
      <c r="Y2255" s="1391"/>
      <c r="Z2255" s="1363"/>
      <c r="AA2255" s="1391"/>
      <c r="AB2255" s="1731"/>
      <c r="AC2255" s="1367"/>
      <c r="AD2255" s="1666"/>
      <c r="AE2255" s="1590"/>
      <c r="AF2255" s="1666"/>
      <c r="AG2255" s="1590"/>
      <c r="AH2255" s="1625" t="str">
        <f t="shared" si="750"/>
        <v>PGMI-1</v>
      </c>
      <c r="AI2255" s="1675">
        <f t="shared" si="760"/>
        <v>6450000</v>
      </c>
      <c r="AJ2255" s="1675">
        <f t="shared" si="761"/>
        <v>6450000</v>
      </c>
      <c r="AK2255" s="1520">
        <f t="shared" si="764"/>
        <v>0</v>
      </c>
      <c r="AL2255" s="2210" t="str">
        <f t="shared" si="765"/>
        <v>Lunas</v>
      </c>
      <c r="AM2255" s="1666"/>
      <c r="AN2255" s="1590"/>
      <c r="AO2255"/>
      <c r="AP2255"/>
      <c r="AQ2255" s="1128"/>
      <c r="AR2255" s="1173"/>
      <c r="AT2255" s="1173"/>
      <c r="AV2255" s="1173"/>
      <c r="AX2255" s="1173"/>
      <c r="AY2255" s="1176"/>
      <c r="AZ2255" s="1173"/>
    </row>
    <row r="2256" spans="1:52" s="2" customFormat="1" x14ac:dyDescent="0.25">
      <c r="A2256" s="694">
        <v>2076</v>
      </c>
      <c r="B2256" s="709">
        <v>4</v>
      </c>
      <c r="C2256" s="716">
        <v>203206040004</v>
      </c>
      <c r="D2256" s="701" t="s">
        <v>2753</v>
      </c>
      <c r="E2256" s="264" t="s">
        <v>2750</v>
      </c>
      <c r="F2256" s="175">
        <v>2020</v>
      </c>
      <c r="G2256" s="360" t="s">
        <v>1483</v>
      </c>
      <c r="H2256" s="264" t="s">
        <v>2551</v>
      </c>
      <c r="I2256" s="264" t="s">
        <v>2552</v>
      </c>
      <c r="J2256" s="1359">
        <v>2700000</v>
      </c>
      <c r="K2256" s="1523">
        <v>44069.514027777797</v>
      </c>
      <c r="L2256" s="1359">
        <v>3750000</v>
      </c>
      <c r="M2256" s="1523">
        <v>44069.514027777797</v>
      </c>
      <c r="N2256" s="1731"/>
      <c r="O2256" s="1367"/>
      <c r="P2256" s="1731"/>
      <c r="Q2256" s="1367"/>
      <c r="R2256" s="1363"/>
      <c r="S2256" s="1563"/>
      <c r="T2256" s="1363"/>
      <c r="U2256" s="1391"/>
      <c r="V2256" s="1363"/>
      <c r="W2256" s="1391"/>
      <c r="X2256" s="1363"/>
      <c r="Y2256" s="1391"/>
      <c r="Z2256" s="1363"/>
      <c r="AA2256" s="1391"/>
      <c r="AB2256" s="1731"/>
      <c r="AC2256" s="1367"/>
      <c r="AD2256" s="1666"/>
      <c r="AE2256" s="1590"/>
      <c r="AF2256" s="1666"/>
      <c r="AG2256" s="1590"/>
      <c r="AH2256" s="1625" t="str">
        <f t="shared" si="750"/>
        <v>PGMI-1</v>
      </c>
      <c r="AI2256" s="1675">
        <f t="shared" si="760"/>
        <v>6450000</v>
      </c>
      <c r="AJ2256" s="1675">
        <f t="shared" si="761"/>
        <v>6450000</v>
      </c>
      <c r="AK2256" s="1520">
        <f t="shared" si="764"/>
        <v>0</v>
      </c>
      <c r="AL2256" s="2210" t="str">
        <f t="shared" si="765"/>
        <v>Lunas</v>
      </c>
      <c r="AM2256" s="1666"/>
      <c r="AN2256" s="1590"/>
      <c r="AO2256"/>
      <c r="AP2256"/>
      <c r="AQ2256" s="1128"/>
      <c r="AR2256" s="1173"/>
      <c r="AT2256" s="1173"/>
      <c r="AV2256" s="1173"/>
      <c r="AX2256" s="1173"/>
      <c r="AY2256" s="1176"/>
      <c r="AZ2256" s="1173"/>
    </row>
    <row r="2257" spans="1:52" s="2" customFormat="1" x14ac:dyDescent="0.25">
      <c r="A2257" s="694">
        <v>2077</v>
      </c>
      <c r="B2257" s="671">
        <v>5</v>
      </c>
      <c r="C2257" s="716">
        <v>203206040005</v>
      </c>
      <c r="D2257" s="701" t="s">
        <v>2754</v>
      </c>
      <c r="E2257" s="264" t="s">
        <v>2750</v>
      </c>
      <c r="F2257" s="175">
        <v>2020</v>
      </c>
      <c r="G2257" s="360" t="s">
        <v>1483</v>
      </c>
      <c r="H2257" s="264" t="s">
        <v>2551</v>
      </c>
      <c r="I2257" s="264" t="s">
        <v>2552</v>
      </c>
      <c r="J2257" s="1359">
        <v>2700000</v>
      </c>
      <c r="K2257" s="1523">
        <v>44067.519780092603</v>
      </c>
      <c r="L2257" s="1359">
        <v>3750000</v>
      </c>
      <c r="M2257" s="1523">
        <v>44067.519780092603</v>
      </c>
      <c r="N2257" s="1731"/>
      <c r="O2257" s="1367"/>
      <c r="P2257" s="1731"/>
      <c r="Q2257" s="1367"/>
      <c r="R2257" s="1363"/>
      <c r="S2257" s="1563"/>
      <c r="T2257" s="1363"/>
      <c r="U2257" s="1391"/>
      <c r="V2257" s="1363"/>
      <c r="W2257" s="1391"/>
      <c r="X2257" s="1363"/>
      <c r="Y2257" s="1391"/>
      <c r="Z2257" s="1363"/>
      <c r="AA2257" s="1391"/>
      <c r="AB2257" s="1731"/>
      <c r="AC2257" s="1367"/>
      <c r="AD2257" s="1666"/>
      <c r="AE2257" s="1590"/>
      <c r="AF2257" s="1666"/>
      <c r="AG2257" s="1590"/>
      <c r="AH2257" s="1625" t="str">
        <f t="shared" si="750"/>
        <v>PGMI-1</v>
      </c>
      <c r="AI2257" s="1675">
        <f t="shared" si="760"/>
        <v>6450000</v>
      </c>
      <c r="AJ2257" s="1675">
        <f t="shared" si="761"/>
        <v>6450000</v>
      </c>
      <c r="AK2257" s="1520">
        <f t="shared" si="764"/>
        <v>0</v>
      </c>
      <c r="AL2257" s="2210" t="str">
        <f t="shared" si="765"/>
        <v>Lunas</v>
      </c>
      <c r="AM2257" s="1666"/>
      <c r="AN2257" s="1590"/>
      <c r="AO2257"/>
      <c r="AP2257"/>
      <c r="AQ2257" s="1128"/>
      <c r="AR2257" s="1173"/>
      <c r="AT2257" s="1173"/>
      <c r="AV2257" s="1173"/>
      <c r="AX2257" s="1173"/>
      <c r="AY2257" s="1176"/>
      <c r="AZ2257" s="1173"/>
    </row>
    <row r="2258" spans="1:52" s="2" customFormat="1" x14ac:dyDescent="0.25">
      <c r="A2258" s="694">
        <v>2078</v>
      </c>
      <c r="B2258" s="709">
        <v>6</v>
      </c>
      <c r="C2258" s="716">
        <v>203206040006</v>
      </c>
      <c r="D2258" s="701" t="s">
        <v>2755</v>
      </c>
      <c r="E2258" s="264" t="s">
        <v>2750</v>
      </c>
      <c r="F2258" s="175">
        <v>2020</v>
      </c>
      <c r="G2258" s="360" t="s">
        <v>1483</v>
      </c>
      <c r="H2258" s="264" t="s">
        <v>2551</v>
      </c>
      <c r="I2258" s="264" t="s">
        <v>2552</v>
      </c>
      <c r="J2258" s="1359">
        <v>2700000</v>
      </c>
      <c r="K2258" s="1523">
        <v>44068.612280092602</v>
      </c>
      <c r="L2258" s="1359">
        <v>3750000</v>
      </c>
      <c r="M2258" s="1523">
        <v>44068.612280092602</v>
      </c>
      <c r="N2258" s="1731"/>
      <c r="O2258" s="1367"/>
      <c r="P2258" s="1731"/>
      <c r="Q2258" s="1367"/>
      <c r="R2258" s="1363"/>
      <c r="S2258" s="1563"/>
      <c r="T2258" s="1363"/>
      <c r="U2258" s="1391"/>
      <c r="V2258" s="1363"/>
      <c r="W2258" s="1391"/>
      <c r="X2258" s="1363"/>
      <c r="Y2258" s="1391"/>
      <c r="Z2258" s="1363"/>
      <c r="AA2258" s="1391"/>
      <c r="AB2258" s="1731"/>
      <c r="AC2258" s="1367"/>
      <c r="AD2258" s="1666"/>
      <c r="AE2258" s="1590"/>
      <c r="AF2258" s="1666"/>
      <c r="AG2258" s="1590"/>
      <c r="AH2258" s="1625" t="str">
        <f t="shared" si="750"/>
        <v>PGMI-1</v>
      </c>
      <c r="AI2258" s="1675">
        <f t="shared" si="760"/>
        <v>6450000</v>
      </c>
      <c r="AJ2258" s="1675">
        <f t="shared" si="761"/>
        <v>6450000</v>
      </c>
      <c r="AK2258" s="1520">
        <f t="shared" si="764"/>
        <v>0</v>
      </c>
      <c r="AL2258" s="2210" t="str">
        <f t="shared" si="765"/>
        <v>Lunas</v>
      </c>
      <c r="AM2258" s="1666"/>
      <c r="AN2258" s="1590"/>
      <c r="AO2258"/>
      <c r="AP2258"/>
      <c r="AQ2258" s="1128"/>
      <c r="AR2258" s="1173"/>
      <c r="AT2258" s="1173"/>
      <c r="AV2258" s="1173"/>
      <c r="AX2258" s="1173"/>
      <c r="AY2258" s="1176"/>
      <c r="AZ2258" s="1173"/>
    </row>
    <row r="2259" spans="1:52" s="2" customFormat="1" x14ac:dyDescent="0.25">
      <c r="A2259" s="694">
        <v>2079</v>
      </c>
      <c r="B2259" s="671">
        <v>7</v>
      </c>
      <c r="C2259" s="716">
        <v>203206040007</v>
      </c>
      <c r="D2259" s="701" t="s">
        <v>2756</v>
      </c>
      <c r="E2259" s="264" t="s">
        <v>2750</v>
      </c>
      <c r="F2259" s="175">
        <v>2020</v>
      </c>
      <c r="G2259" s="360" t="s">
        <v>1483</v>
      </c>
      <c r="H2259" s="264" t="s">
        <v>2551</v>
      </c>
      <c r="I2259" s="264" t="s">
        <v>2552</v>
      </c>
      <c r="J2259" s="1359">
        <v>2700000</v>
      </c>
      <c r="K2259" s="1523">
        <v>44069.613460648201</v>
      </c>
      <c r="L2259" s="1359">
        <v>3750000</v>
      </c>
      <c r="M2259" s="1523">
        <v>44069.613460648201</v>
      </c>
      <c r="N2259" s="1731"/>
      <c r="O2259" s="1367"/>
      <c r="P2259" s="1731"/>
      <c r="Q2259" s="1367"/>
      <c r="R2259" s="1363"/>
      <c r="S2259" s="1563"/>
      <c r="T2259" s="1363"/>
      <c r="U2259" s="1391"/>
      <c r="V2259" s="1363"/>
      <c r="W2259" s="1391"/>
      <c r="X2259" s="1363"/>
      <c r="Y2259" s="1391"/>
      <c r="Z2259" s="1363"/>
      <c r="AA2259" s="1391"/>
      <c r="AB2259" s="1731"/>
      <c r="AC2259" s="1367"/>
      <c r="AD2259" s="1666"/>
      <c r="AE2259" s="1590"/>
      <c r="AF2259" s="1666"/>
      <c r="AG2259" s="1590"/>
      <c r="AH2259" s="1625" t="str">
        <f t="shared" si="750"/>
        <v>PGMI-1</v>
      </c>
      <c r="AI2259" s="1675">
        <f t="shared" si="760"/>
        <v>6450000</v>
      </c>
      <c r="AJ2259" s="1675">
        <f t="shared" si="761"/>
        <v>6450000</v>
      </c>
      <c r="AK2259" s="1520">
        <f t="shared" si="764"/>
        <v>0</v>
      </c>
      <c r="AL2259" s="2210" t="str">
        <f t="shared" si="765"/>
        <v>Lunas</v>
      </c>
      <c r="AM2259" s="1666"/>
      <c r="AN2259" s="1590"/>
      <c r="AO2259"/>
      <c r="AP2259"/>
      <c r="AQ2259" s="1128"/>
      <c r="AR2259" s="1173"/>
      <c r="AT2259" s="1173"/>
      <c r="AV2259" s="1173"/>
      <c r="AX2259" s="1173"/>
      <c r="AY2259" s="1176"/>
      <c r="AZ2259" s="1173"/>
    </row>
    <row r="2260" spans="1:52" s="2" customFormat="1" x14ac:dyDescent="0.25">
      <c r="A2260" s="694">
        <v>2080</v>
      </c>
      <c r="B2260" s="709">
        <v>8</v>
      </c>
      <c r="C2260" s="716">
        <v>203206040008</v>
      </c>
      <c r="D2260" s="701" t="s">
        <v>2757</v>
      </c>
      <c r="E2260" s="264" t="s">
        <v>2750</v>
      </c>
      <c r="F2260" s="175">
        <v>2020</v>
      </c>
      <c r="G2260" s="360" t="s">
        <v>1483</v>
      </c>
      <c r="H2260" s="264" t="s">
        <v>2551</v>
      </c>
      <c r="I2260" s="264" t="s">
        <v>2552</v>
      </c>
      <c r="J2260" s="1359">
        <v>2700000</v>
      </c>
      <c r="K2260" s="1523">
        <v>44068.7583101852</v>
      </c>
      <c r="L2260" s="1359">
        <v>3750000</v>
      </c>
      <c r="M2260" s="1523">
        <v>44068.7583101852</v>
      </c>
      <c r="N2260" s="1731"/>
      <c r="O2260" s="1367"/>
      <c r="P2260" s="1731"/>
      <c r="Q2260" s="1367"/>
      <c r="R2260" s="1363"/>
      <c r="S2260" s="1563"/>
      <c r="T2260" s="1363"/>
      <c r="U2260" s="1391"/>
      <c r="V2260" s="1363"/>
      <c r="W2260" s="1391"/>
      <c r="X2260" s="1363"/>
      <c r="Y2260" s="1391"/>
      <c r="Z2260" s="1363"/>
      <c r="AA2260" s="1391"/>
      <c r="AB2260" s="1731"/>
      <c r="AC2260" s="1367"/>
      <c r="AD2260" s="1666"/>
      <c r="AE2260" s="1590"/>
      <c r="AF2260" s="1666"/>
      <c r="AG2260" s="1590"/>
      <c r="AH2260" s="1625" t="str">
        <f t="shared" si="750"/>
        <v>PGMI-1</v>
      </c>
      <c r="AI2260" s="1675">
        <f t="shared" si="760"/>
        <v>6450000</v>
      </c>
      <c r="AJ2260" s="1675">
        <f t="shared" si="761"/>
        <v>6450000</v>
      </c>
      <c r="AK2260" s="1520">
        <f t="shared" si="764"/>
        <v>0</v>
      </c>
      <c r="AL2260" s="2210" t="str">
        <f t="shared" si="765"/>
        <v>Lunas</v>
      </c>
      <c r="AM2260" s="1666"/>
      <c r="AN2260" s="1590"/>
      <c r="AO2260"/>
      <c r="AP2260"/>
      <c r="AQ2260" s="1128"/>
      <c r="AR2260" s="1173"/>
      <c r="AT2260" s="1173"/>
      <c r="AV2260" s="1173"/>
      <c r="AX2260" s="1173"/>
      <c r="AY2260" s="1176"/>
      <c r="AZ2260" s="1173"/>
    </row>
    <row r="2261" spans="1:52" s="2" customFormat="1" x14ac:dyDescent="0.25">
      <c r="A2261" s="694">
        <v>2081</v>
      </c>
      <c r="B2261" s="671">
        <v>9</v>
      </c>
      <c r="C2261" s="716">
        <v>203206040009</v>
      </c>
      <c r="D2261" s="701" t="s">
        <v>2758</v>
      </c>
      <c r="E2261" s="264" t="s">
        <v>2750</v>
      </c>
      <c r="F2261" s="175">
        <v>2020</v>
      </c>
      <c r="G2261" s="360" t="s">
        <v>1483</v>
      </c>
      <c r="H2261" s="264" t="s">
        <v>2551</v>
      </c>
      <c r="I2261" s="264" t="s">
        <v>2552</v>
      </c>
      <c r="J2261" s="1359">
        <v>2700000</v>
      </c>
      <c r="K2261" s="1523">
        <v>44067.591550925899</v>
      </c>
      <c r="L2261" s="1359">
        <v>3750000</v>
      </c>
      <c r="M2261" s="1523">
        <v>44067.591550925899</v>
      </c>
      <c r="N2261" s="1731"/>
      <c r="O2261" s="1367"/>
      <c r="P2261" s="1731"/>
      <c r="Q2261" s="1367"/>
      <c r="R2261" s="1363"/>
      <c r="S2261" s="1563"/>
      <c r="T2261" s="1363"/>
      <c r="U2261" s="1391"/>
      <c r="V2261" s="1363"/>
      <c r="W2261" s="1391"/>
      <c r="X2261" s="1363"/>
      <c r="Y2261" s="1391"/>
      <c r="Z2261" s="1363"/>
      <c r="AA2261" s="1391"/>
      <c r="AB2261" s="1731"/>
      <c r="AC2261" s="1367"/>
      <c r="AD2261" s="1666"/>
      <c r="AE2261" s="1590"/>
      <c r="AF2261" s="1666"/>
      <c r="AG2261" s="1590"/>
      <c r="AH2261" s="1625" t="str">
        <f t="shared" si="750"/>
        <v>PGMI-1</v>
      </c>
      <c r="AI2261" s="1675">
        <f t="shared" si="760"/>
        <v>6450000</v>
      </c>
      <c r="AJ2261" s="1675">
        <f t="shared" si="761"/>
        <v>6450000</v>
      </c>
      <c r="AK2261" s="1520">
        <f t="shared" si="764"/>
        <v>0</v>
      </c>
      <c r="AL2261" s="2210" t="str">
        <f t="shared" si="765"/>
        <v>Lunas</v>
      </c>
      <c r="AM2261" s="1666"/>
      <c r="AN2261" s="1590"/>
      <c r="AO2261"/>
      <c r="AP2261"/>
      <c r="AQ2261" s="1128"/>
      <c r="AR2261" s="1173"/>
      <c r="AT2261" s="1173"/>
      <c r="AV2261" s="1173"/>
      <c r="AX2261" s="1173"/>
      <c r="AY2261" s="1176"/>
      <c r="AZ2261" s="1173"/>
    </row>
    <row r="2262" spans="1:52" s="2" customFormat="1" x14ac:dyDescent="0.25">
      <c r="A2262" s="694">
        <v>2082</v>
      </c>
      <c r="B2262" s="709">
        <v>10</v>
      </c>
      <c r="C2262" s="716">
        <v>203206040010</v>
      </c>
      <c r="D2262" s="701" t="s">
        <v>2759</v>
      </c>
      <c r="E2262" s="264" t="s">
        <v>2750</v>
      </c>
      <c r="F2262" s="175">
        <v>2020</v>
      </c>
      <c r="G2262" s="360" t="s">
        <v>1483</v>
      </c>
      <c r="H2262" s="264" t="s">
        <v>2551</v>
      </c>
      <c r="I2262" s="264" t="s">
        <v>2552</v>
      </c>
      <c r="J2262" s="1359">
        <v>2700000</v>
      </c>
      <c r="K2262" s="1523">
        <v>44069.5168865741</v>
      </c>
      <c r="L2262" s="1359">
        <v>3750000</v>
      </c>
      <c r="M2262" s="1523">
        <v>44069.5168865741</v>
      </c>
      <c r="N2262" s="1731"/>
      <c r="O2262" s="1367"/>
      <c r="P2262" s="1731"/>
      <c r="Q2262" s="1367"/>
      <c r="R2262" s="1363"/>
      <c r="S2262" s="1563"/>
      <c r="T2262" s="1363"/>
      <c r="U2262" s="1391"/>
      <c r="V2262" s="1363"/>
      <c r="W2262" s="1391"/>
      <c r="X2262" s="1363"/>
      <c r="Y2262" s="1391"/>
      <c r="Z2262" s="1363"/>
      <c r="AA2262" s="1391"/>
      <c r="AB2262" s="1731"/>
      <c r="AC2262" s="1367"/>
      <c r="AD2262" s="1666"/>
      <c r="AE2262" s="1590"/>
      <c r="AF2262" s="1666"/>
      <c r="AG2262" s="1590"/>
      <c r="AH2262" s="1625" t="str">
        <f t="shared" si="750"/>
        <v>PGMI-1</v>
      </c>
      <c r="AI2262" s="1675">
        <f t="shared" si="760"/>
        <v>6450000</v>
      </c>
      <c r="AJ2262" s="1675">
        <f t="shared" si="761"/>
        <v>6450000</v>
      </c>
      <c r="AK2262" s="1520">
        <f t="shared" si="764"/>
        <v>0</v>
      </c>
      <c r="AL2262" s="2210" t="str">
        <f t="shared" si="765"/>
        <v>Lunas</v>
      </c>
      <c r="AM2262" s="1666"/>
      <c r="AN2262" s="1590"/>
      <c r="AO2262"/>
      <c r="AP2262"/>
      <c r="AQ2262" s="1128"/>
      <c r="AR2262" s="1173"/>
      <c r="AT2262" s="1173"/>
      <c r="AV2262" s="1173"/>
      <c r="AX2262" s="1173"/>
      <c r="AY2262" s="1176"/>
      <c r="AZ2262" s="1173"/>
    </row>
    <row r="2263" spans="1:52" s="2" customFormat="1" x14ac:dyDescent="0.25">
      <c r="A2263" s="694">
        <v>2083</v>
      </c>
      <c r="B2263" s="671">
        <v>11</v>
      </c>
      <c r="C2263" s="716">
        <v>203206040011</v>
      </c>
      <c r="D2263" s="701" t="s">
        <v>2760</v>
      </c>
      <c r="E2263" s="264" t="s">
        <v>2750</v>
      </c>
      <c r="F2263" s="175">
        <v>2020</v>
      </c>
      <c r="G2263" s="360" t="s">
        <v>1483</v>
      </c>
      <c r="H2263" s="264" t="s">
        <v>2551</v>
      </c>
      <c r="I2263" s="264" t="s">
        <v>2552</v>
      </c>
      <c r="J2263" s="1359">
        <v>2700000</v>
      </c>
      <c r="K2263" s="1523">
        <v>44071.542581018497</v>
      </c>
      <c r="L2263" s="1359">
        <v>3750000</v>
      </c>
      <c r="M2263" s="1523">
        <v>44071.542581018497</v>
      </c>
      <c r="N2263" s="1731"/>
      <c r="O2263" s="1367"/>
      <c r="P2263" s="1731"/>
      <c r="Q2263" s="1367"/>
      <c r="R2263" s="1363"/>
      <c r="S2263" s="1563"/>
      <c r="T2263" s="1363"/>
      <c r="U2263" s="1391"/>
      <c r="V2263" s="1363"/>
      <c r="W2263" s="1391"/>
      <c r="X2263" s="1363"/>
      <c r="Y2263" s="1391"/>
      <c r="Z2263" s="1363"/>
      <c r="AA2263" s="1391"/>
      <c r="AB2263" s="1731"/>
      <c r="AC2263" s="1367"/>
      <c r="AD2263" s="1666"/>
      <c r="AE2263" s="1590"/>
      <c r="AF2263" s="1666"/>
      <c r="AG2263" s="1590"/>
      <c r="AH2263" s="1625" t="str">
        <f t="shared" si="750"/>
        <v>PGMI-1</v>
      </c>
      <c r="AI2263" s="1675">
        <f t="shared" si="760"/>
        <v>6450000</v>
      </c>
      <c r="AJ2263" s="1675">
        <f t="shared" si="761"/>
        <v>6450000</v>
      </c>
      <c r="AK2263" s="1520">
        <f t="shared" si="764"/>
        <v>0</v>
      </c>
      <c r="AL2263" s="2210" t="str">
        <f t="shared" si="765"/>
        <v>Lunas</v>
      </c>
      <c r="AM2263" s="1666"/>
      <c r="AN2263" s="1590"/>
      <c r="AO2263"/>
      <c r="AP2263"/>
      <c r="AQ2263" s="1128"/>
      <c r="AR2263" s="1173"/>
      <c r="AT2263" s="1173"/>
      <c r="AV2263" s="1173"/>
      <c r="AX2263" s="1173"/>
      <c r="AY2263" s="1176"/>
      <c r="AZ2263" s="1173"/>
    </row>
    <row r="2264" spans="1:52" s="2" customFormat="1" x14ac:dyDescent="0.25">
      <c r="A2264" s="694">
        <v>2084</v>
      </c>
      <c r="B2264" s="709">
        <v>12</v>
      </c>
      <c r="C2264" s="716">
        <v>204206040001</v>
      </c>
      <c r="D2264" s="701" t="s">
        <v>2761</v>
      </c>
      <c r="E2264" s="264" t="s">
        <v>2750</v>
      </c>
      <c r="F2264" s="175">
        <v>2020</v>
      </c>
      <c r="G2264" s="360" t="s">
        <v>1483</v>
      </c>
      <c r="H2264" s="264" t="s">
        <v>2551</v>
      </c>
      <c r="I2264" s="264" t="s">
        <v>2552</v>
      </c>
      <c r="J2264" s="1359">
        <v>2700000</v>
      </c>
      <c r="K2264" s="1523">
        <v>44077.582662036999</v>
      </c>
      <c r="L2264" s="1359">
        <v>3750000</v>
      </c>
      <c r="M2264" s="1523">
        <v>44077.582662036999</v>
      </c>
      <c r="N2264" s="1731"/>
      <c r="O2264" s="1367"/>
      <c r="P2264" s="1731"/>
      <c r="Q2264" s="1367"/>
      <c r="R2264" s="1363"/>
      <c r="S2264" s="1563"/>
      <c r="T2264" s="1363"/>
      <c r="U2264" s="1391"/>
      <c r="V2264" s="1363"/>
      <c r="W2264" s="1391"/>
      <c r="X2264" s="1363"/>
      <c r="Y2264" s="1391"/>
      <c r="Z2264" s="1363"/>
      <c r="AA2264" s="1391"/>
      <c r="AB2264" s="1731"/>
      <c r="AC2264" s="1367"/>
      <c r="AD2264" s="1666"/>
      <c r="AE2264" s="1590"/>
      <c r="AF2264" s="1666"/>
      <c r="AG2264" s="1590"/>
      <c r="AH2264" s="1625" t="str">
        <f t="shared" si="750"/>
        <v>PGMI-1</v>
      </c>
      <c r="AI2264" s="1675">
        <f t="shared" si="760"/>
        <v>6450000</v>
      </c>
      <c r="AJ2264" s="1675">
        <f t="shared" si="761"/>
        <v>6450000</v>
      </c>
      <c r="AK2264" s="1520">
        <f t="shared" si="764"/>
        <v>0</v>
      </c>
      <c r="AL2264" s="2210" t="str">
        <f t="shared" si="765"/>
        <v>Lunas</v>
      </c>
      <c r="AM2264" s="1666"/>
      <c r="AN2264" s="1590"/>
      <c r="AO2264"/>
      <c r="AP2264"/>
      <c r="AQ2264" s="1128"/>
      <c r="AR2264" s="1173"/>
      <c r="AT2264" s="1173"/>
      <c r="AV2264" s="1173"/>
      <c r="AX2264" s="1173"/>
      <c r="AY2264" s="1176"/>
      <c r="AZ2264" s="1173"/>
    </row>
    <row r="2265" spans="1:52" x14ac:dyDescent="0.25">
      <c r="A2265" s="725"/>
      <c r="B2265" s="725"/>
      <c r="C2265" s="33"/>
      <c r="D2265" s="123"/>
      <c r="H2265" s="124"/>
      <c r="I2265" s="124"/>
      <c r="J2265" s="1212"/>
      <c r="P2265" s="761"/>
      <c r="Q2265" s="1089"/>
      <c r="S2265" s="1375"/>
      <c r="AH2265">
        <f t="shared" si="750"/>
        <v>0</v>
      </c>
    </row>
    <row r="2266" spans="1:52" s="2" customFormat="1" x14ac:dyDescent="0.25">
      <c r="A2266" s="625" t="s">
        <v>2762</v>
      </c>
      <c r="B2266" s="625"/>
      <c r="C2266" s="366"/>
      <c r="D2266" s="625"/>
      <c r="E2266" s="198" t="s">
        <v>1096</v>
      </c>
      <c r="F2266" s="199" t="s">
        <v>1096</v>
      </c>
      <c r="G2266" s="565">
        <v>3750000</v>
      </c>
      <c r="H2266" s="147" t="str">
        <f>IFERROR(VLOOKUP(C2266,Tlus,3,FALSE),"   ")</f>
        <v xml:space="preserve">   </v>
      </c>
      <c r="I2266" s="147" t="str">
        <f t="shared" ref="I2266:I2283" si="766">IFERROR(VLOOKUP(C2266,Wis,4,FALSE),"   ")</f>
        <v xml:space="preserve">   </v>
      </c>
      <c r="J2266" s="2035">
        <v>2700000</v>
      </c>
      <c r="K2266" s="2036"/>
      <c r="L2266" s="2163" t="s">
        <v>1049</v>
      </c>
      <c r="M2266" s="2164" t="s">
        <v>1463</v>
      </c>
      <c r="N2266" s="2163" t="s">
        <v>1051</v>
      </c>
      <c r="O2266" s="2164" t="s">
        <v>1464</v>
      </c>
      <c r="P2266" s="2016" t="s">
        <v>1053</v>
      </c>
      <c r="Q2266" s="1438" t="s">
        <v>1466</v>
      </c>
      <c r="R2266" s="2016" t="s">
        <v>1055</v>
      </c>
      <c r="S2266" s="1438" t="s">
        <v>1468</v>
      </c>
      <c r="T2266" s="2016" t="s">
        <v>1057</v>
      </c>
      <c r="U2266" s="1438" t="s">
        <v>1470</v>
      </c>
      <c r="V2266" s="2016" t="s">
        <v>1059</v>
      </c>
      <c r="W2266" s="1438" t="s">
        <v>1718</v>
      </c>
      <c r="X2266" s="1582" t="s">
        <v>1061</v>
      </c>
      <c r="Y2266" s="1438" t="s">
        <v>1719</v>
      </c>
      <c r="Z2266" s="1582" t="s">
        <v>1063</v>
      </c>
      <c r="AA2266" s="1438" t="s">
        <v>1980</v>
      </c>
      <c r="AB2266" s="2177">
        <v>1000000</v>
      </c>
      <c r="AC2266" s="2178" t="s">
        <v>2015</v>
      </c>
      <c r="AD2266" s="1450">
        <v>1200000</v>
      </c>
      <c r="AE2266" s="1663" t="s">
        <v>2016</v>
      </c>
      <c r="AF2266" s="1450">
        <v>1600000</v>
      </c>
      <c r="AG2266" s="1663" t="s">
        <v>1326</v>
      </c>
      <c r="AH2266" s="1408" t="str">
        <f t="shared" si="750"/>
        <v>#</v>
      </c>
      <c r="AI2266" s="1512"/>
      <c r="AJ2266" s="1409"/>
      <c r="AK2266" s="1409"/>
      <c r="AL2266" s="1513"/>
      <c r="AM2266" s="1450">
        <v>500000</v>
      </c>
      <c r="AN2266" s="1663" t="s">
        <v>22</v>
      </c>
      <c r="AO2266"/>
      <c r="AP2266"/>
      <c r="AQ2266" s="1128"/>
      <c r="AR2266" s="1173"/>
      <c r="AT2266" s="1173"/>
      <c r="AV2266" s="1173"/>
      <c r="AX2266" s="1173"/>
      <c r="AY2266" s="1176"/>
      <c r="AZ2266" s="1173"/>
    </row>
    <row r="2267" spans="1:52" s="2" customFormat="1" x14ac:dyDescent="0.25">
      <c r="A2267" s="694">
        <v>2085</v>
      </c>
      <c r="B2267" s="671">
        <v>1</v>
      </c>
      <c r="C2267" s="716">
        <v>203206080001</v>
      </c>
      <c r="D2267" s="701" t="s">
        <v>2763</v>
      </c>
      <c r="E2267" s="264" t="s">
        <v>2764</v>
      </c>
      <c r="F2267" s="175">
        <v>2020</v>
      </c>
      <c r="G2267" s="360" t="s">
        <v>1483</v>
      </c>
      <c r="H2267" s="264" t="s">
        <v>2551</v>
      </c>
      <c r="I2267" s="264" t="str">
        <f t="shared" si="766"/>
        <v xml:space="preserve">   </v>
      </c>
      <c r="J2267" s="1359">
        <v>2700000</v>
      </c>
      <c r="K2267" s="1523">
        <v>44071.387280092596</v>
      </c>
      <c r="L2267" s="1359">
        <v>3750000</v>
      </c>
      <c r="M2267" s="1523">
        <v>44071.387280092596</v>
      </c>
      <c r="N2267" s="1731"/>
      <c r="O2267" s="1367"/>
      <c r="P2267" s="1731"/>
      <c r="Q2267" s="1367"/>
      <c r="R2267" s="1363"/>
      <c r="S2267" s="1563"/>
      <c r="T2267" s="1363"/>
      <c r="U2267" s="1391"/>
      <c r="V2267" s="1363"/>
      <c r="W2267" s="1391"/>
      <c r="X2267" s="1363"/>
      <c r="Y2267" s="1391"/>
      <c r="Z2267" s="1363"/>
      <c r="AA2267" s="1391"/>
      <c r="AB2267" s="1666"/>
      <c r="AC2267" s="1590"/>
      <c r="AD2267" s="1666"/>
      <c r="AE2267" s="1590"/>
      <c r="AF2267" s="1666"/>
      <c r="AG2267" s="1590"/>
      <c r="AH2267" s="1625" t="str">
        <f t="shared" si="750"/>
        <v>SI-1</v>
      </c>
      <c r="AI2267" s="1675">
        <f t="shared" ref="AI2267:AI2283" si="767">SUM(J2267,L2267,N2267,P2267,R2267,T2267,V2267,X2267,Z2267,AB2267,AD2267,AF2267,AM2267)</f>
        <v>6450000</v>
      </c>
      <c r="AJ2267" s="1675">
        <f t="shared" ref="AJ2267:AJ2283" si="768">(COUNT(L2267,N2267,P2267,R2267,T2267,V2267,X2267,Z2267)*$G$1507)+(COUNT(J2267)*$J$1507)+(COUNT(AB2267)*$AB$1507)+(COUNT(AD2267)*$AD$1507)+(COUNT(AF2267)*$AF$1507)+(COUNT(AM2267)*$AM$1507)</f>
        <v>6450000</v>
      </c>
      <c r="AK2267" s="1520">
        <f t="shared" ref="AK2267" si="769">AJ2267-AI2267</f>
        <v>0</v>
      </c>
      <c r="AL2267" s="2187" t="str">
        <f t="shared" ref="AL2267" si="770">IF(AK2267=0,"Lunas","Cek")</f>
        <v>Lunas</v>
      </c>
      <c r="AM2267" s="1666"/>
      <c r="AN2267" s="1590"/>
      <c r="AO2267"/>
      <c r="AP2267"/>
      <c r="AQ2267" s="1128"/>
      <c r="AR2267" s="1173"/>
      <c r="AT2267" s="1173"/>
      <c r="AV2267" s="1173"/>
      <c r="AX2267" s="1173"/>
      <c r="AY2267" s="1176"/>
      <c r="AZ2267" s="1173"/>
    </row>
    <row r="2268" spans="1:52" s="2" customFormat="1" x14ac:dyDescent="0.25">
      <c r="A2268" s="694">
        <v>2086</v>
      </c>
      <c r="B2268" s="709">
        <v>2</v>
      </c>
      <c r="C2268" s="716">
        <v>203206080002</v>
      </c>
      <c r="D2268" s="701" t="s">
        <v>2765</v>
      </c>
      <c r="E2268" s="264" t="s">
        <v>2764</v>
      </c>
      <c r="F2268" s="175">
        <v>2020</v>
      </c>
      <c r="G2268" s="360" t="s">
        <v>1483</v>
      </c>
      <c r="H2268" s="264" t="s">
        <v>2551</v>
      </c>
      <c r="I2268" s="264" t="str">
        <f t="shared" si="766"/>
        <v xml:space="preserve">   </v>
      </c>
      <c r="J2268" s="1359">
        <v>2700000</v>
      </c>
      <c r="K2268" s="1523">
        <v>44071.333287037</v>
      </c>
      <c r="L2268" s="1359">
        <v>3750000</v>
      </c>
      <c r="M2268" s="1523">
        <v>44071.333287037</v>
      </c>
      <c r="N2268" s="1731"/>
      <c r="O2268" s="1367"/>
      <c r="P2268" s="1731"/>
      <c r="Q2268" s="1367"/>
      <c r="R2268" s="1363"/>
      <c r="S2268" s="1563"/>
      <c r="T2268" s="1363"/>
      <c r="U2268" s="1391"/>
      <c r="V2268" s="1363"/>
      <c r="W2268" s="1391"/>
      <c r="X2268" s="1363"/>
      <c r="Y2268" s="1391"/>
      <c r="Z2268" s="1363"/>
      <c r="AA2268" s="1391"/>
      <c r="AB2268" s="1731"/>
      <c r="AC2268" s="1367"/>
      <c r="AD2268" s="1666"/>
      <c r="AE2268" s="1590"/>
      <c r="AF2268" s="1666"/>
      <c r="AG2268" s="1590"/>
      <c r="AH2268" s="1625" t="str">
        <f t="shared" si="750"/>
        <v>SI-1</v>
      </c>
      <c r="AI2268" s="1675">
        <f t="shared" si="767"/>
        <v>6450000</v>
      </c>
      <c r="AJ2268" s="1675">
        <f t="shared" si="768"/>
        <v>6450000</v>
      </c>
      <c r="AK2268" s="1520">
        <f t="shared" ref="AK2268:AK2283" si="771">AJ2268-AI2268</f>
        <v>0</v>
      </c>
      <c r="AL2268" s="2210" t="str">
        <f t="shared" ref="AL2268:AL2283" si="772">IF(AK2268=0,"Lunas","Cek")</f>
        <v>Lunas</v>
      </c>
      <c r="AM2268" s="1666"/>
      <c r="AN2268" s="1590"/>
      <c r="AO2268"/>
      <c r="AP2268"/>
      <c r="AQ2268" s="1128"/>
      <c r="AR2268" s="1173"/>
      <c r="AT2268" s="1173"/>
      <c r="AV2268" s="1173"/>
      <c r="AX2268" s="1173"/>
      <c r="AY2268" s="1176"/>
      <c r="AZ2268" s="1173"/>
    </row>
    <row r="2269" spans="1:52" s="2" customFormat="1" x14ac:dyDescent="0.25">
      <c r="A2269" s="694">
        <v>2087</v>
      </c>
      <c r="B2269" s="671">
        <v>3</v>
      </c>
      <c r="C2269" s="716">
        <v>203206080003</v>
      </c>
      <c r="D2269" s="701" t="s">
        <v>2766</v>
      </c>
      <c r="E2269" s="264" t="s">
        <v>2764</v>
      </c>
      <c r="F2269" s="175">
        <v>2020</v>
      </c>
      <c r="G2269" s="360" t="s">
        <v>1483</v>
      </c>
      <c r="H2269" s="264" t="s">
        <v>2551</v>
      </c>
      <c r="I2269" s="264" t="str">
        <f t="shared" si="766"/>
        <v xml:space="preserve">   </v>
      </c>
      <c r="J2269" s="1359">
        <v>2700000</v>
      </c>
      <c r="K2269" s="1523">
        <v>44071.927916666697</v>
      </c>
      <c r="L2269" s="1359">
        <v>3750000</v>
      </c>
      <c r="M2269" s="1523">
        <v>44071.927916666697</v>
      </c>
      <c r="N2269" s="1731"/>
      <c r="O2269" s="1367"/>
      <c r="P2269" s="1731"/>
      <c r="Q2269" s="1367"/>
      <c r="R2269" s="1363"/>
      <c r="S2269" s="1563"/>
      <c r="T2269" s="1363"/>
      <c r="U2269" s="1391"/>
      <c r="V2269" s="1363"/>
      <c r="W2269" s="1391"/>
      <c r="X2269" s="1363"/>
      <c r="Y2269" s="1391"/>
      <c r="Z2269" s="1363"/>
      <c r="AA2269" s="1391"/>
      <c r="AB2269" s="1731"/>
      <c r="AC2269" s="1367"/>
      <c r="AD2269" s="1666"/>
      <c r="AE2269" s="1590"/>
      <c r="AF2269" s="1666"/>
      <c r="AG2269" s="1590"/>
      <c r="AH2269" s="1625" t="str">
        <f t="shared" si="750"/>
        <v>SI-1</v>
      </c>
      <c r="AI2269" s="1675">
        <f t="shared" si="767"/>
        <v>6450000</v>
      </c>
      <c r="AJ2269" s="1675">
        <f t="shared" si="768"/>
        <v>6450000</v>
      </c>
      <c r="AK2269" s="1520">
        <f t="shared" si="771"/>
        <v>0</v>
      </c>
      <c r="AL2269" s="2210" t="str">
        <f t="shared" si="772"/>
        <v>Lunas</v>
      </c>
      <c r="AM2269" s="1666"/>
      <c r="AN2269" s="1590"/>
      <c r="AO2269"/>
      <c r="AP2269"/>
      <c r="AQ2269" s="1128"/>
      <c r="AR2269" s="1173"/>
      <c r="AT2269" s="1173"/>
      <c r="AV2269" s="1173"/>
      <c r="AX2269" s="1173"/>
      <c r="AY2269" s="1176"/>
      <c r="AZ2269" s="1173"/>
    </row>
    <row r="2270" spans="1:52" s="2" customFormat="1" x14ac:dyDescent="0.25">
      <c r="A2270" s="694">
        <v>2088</v>
      </c>
      <c r="B2270" s="709">
        <v>4</v>
      </c>
      <c r="C2270" s="716">
        <v>203206080012</v>
      </c>
      <c r="D2270" s="701" t="s">
        <v>2767</v>
      </c>
      <c r="E2270" s="264" t="s">
        <v>2764</v>
      </c>
      <c r="F2270" s="175">
        <v>2020</v>
      </c>
      <c r="G2270" s="360" t="s">
        <v>1483</v>
      </c>
      <c r="H2270" s="264" t="s">
        <v>2551</v>
      </c>
      <c r="I2270" s="264" t="str">
        <f t="shared" si="766"/>
        <v xml:space="preserve">   </v>
      </c>
      <c r="J2270" s="1359">
        <v>2700000</v>
      </c>
      <c r="K2270" s="1523">
        <v>44077.336620370399</v>
      </c>
      <c r="L2270" s="1359">
        <v>3750000</v>
      </c>
      <c r="M2270" s="1523">
        <v>44077.336620370399</v>
      </c>
      <c r="N2270" s="1731"/>
      <c r="O2270" s="1367"/>
      <c r="P2270" s="1731"/>
      <c r="Q2270" s="1367"/>
      <c r="R2270" s="1363"/>
      <c r="S2270" s="1563"/>
      <c r="T2270" s="1363"/>
      <c r="U2270" s="1391"/>
      <c r="V2270" s="1363"/>
      <c r="W2270" s="1391"/>
      <c r="X2270" s="1363"/>
      <c r="Y2270" s="1391"/>
      <c r="Z2270" s="1363"/>
      <c r="AA2270" s="1391"/>
      <c r="AB2270" s="1731"/>
      <c r="AC2270" s="1367"/>
      <c r="AD2270" s="1666"/>
      <c r="AE2270" s="1590"/>
      <c r="AF2270" s="1666"/>
      <c r="AG2270" s="1590"/>
      <c r="AH2270" s="1625" t="str">
        <f t="shared" si="750"/>
        <v>SI-1</v>
      </c>
      <c r="AI2270" s="1675">
        <f t="shared" si="767"/>
        <v>6450000</v>
      </c>
      <c r="AJ2270" s="1675">
        <f t="shared" si="768"/>
        <v>6450000</v>
      </c>
      <c r="AK2270" s="1520">
        <f t="shared" si="771"/>
        <v>0</v>
      </c>
      <c r="AL2270" s="2210" t="str">
        <f t="shared" si="772"/>
        <v>Lunas</v>
      </c>
      <c r="AM2270" s="1666"/>
      <c r="AN2270" s="1590"/>
      <c r="AO2270"/>
      <c r="AP2270"/>
      <c r="AQ2270" s="1128"/>
      <c r="AR2270" s="1173"/>
      <c r="AT2270" s="1173"/>
      <c r="AV2270" s="1173"/>
      <c r="AX2270" s="1173"/>
      <c r="AY2270" s="1176"/>
      <c r="AZ2270" s="1173"/>
    </row>
    <row r="2271" spans="1:52" s="2" customFormat="1" x14ac:dyDescent="0.25">
      <c r="A2271" s="694">
        <v>2089</v>
      </c>
      <c r="B2271" s="671">
        <v>5</v>
      </c>
      <c r="C2271" s="716">
        <v>203206080004</v>
      </c>
      <c r="D2271" s="701" t="s">
        <v>2768</v>
      </c>
      <c r="E2271" s="264" t="s">
        <v>2764</v>
      </c>
      <c r="F2271" s="175">
        <v>2020</v>
      </c>
      <c r="G2271" s="360" t="s">
        <v>1483</v>
      </c>
      <c r="H2271" s="264" t="s">
        <v>2551</v>
      </c>
      <c r="I2271" s="264" t="str">
        <f t="shared" si="766"/>
        <v xml:space="preserve">   </v>
      </c>
      <c r="J2271" s="1359">
        <v>2700000</v>
      </c>
      <c r="K2271" s="1523">
        <v>44070.415416666699</v>
      </c>
      <c r="L2271" s="1359">
        <v>3750000</v>
      </c>
      <c r="M2271" s="1523">
        <v>44070.415416666699</v>
      </c>
      <c r="N2271" s="1731"/>
      <c r="O2271" s="1367"/>
      <c r="P2271" s="1731"/>
      <c r="Q2271" s="1367"/>
      <c r="R2271" s="1363"/>
      <c r="S2271" s="1563"/>
      <c r="T2271" s="1363"/>
      <c r="U2271" s="1391"/>
      <c r="V2271" s="1363"/>
      <c r="W2271" s="1391"/>
      <c r="X2271" s="1363"/>
      <c r="Y2271" s="1391"/>
      <c r="Z2271" s="1363"/>
      <c r="AA2271" s="1391"/>
      <c r="AB2271" s="1731"/>
      <c r="AC2271" s="1367"/>
      <c r="AD2271" s="1666"/>
      <c r="AE2271" s="1590"/>
      <c r="AF2271" s="1666"/>
      <c r="AG2271" s="1590"/>
      <c r="AH2271" s="1625" t="str">
        <f t="shared" si="750"/>
        <v>SI-1</v>
      </c>
      <c r="AI2271" s="1675">
        <f t="shared" si="767"/>
        <v>6450000</v>
      </c>
      <c r="AJ2271" s="1675">
        <f t="shared" si="768"/>
        <v>6450000</v>
      </c>
      <c r="AK2271" s="1520">
        <f t="shared" si="771"/>
        <v>0</v>
      </c>
      <c r="AL2271" s="2210" t="str">
        <f t="shared" si="772"/>
        <v>Lunas</v>
      </c>
      <c r="AM2271" s="1666"/>
      <c r="AN2271" s="1590"/>
      <c r="AO2271"/>
      <c r="AP2271"/>
      <c r="AQ2271" s="1128"/>
      <c r="AR2271" s="1173"/>
      <c r="AT2271" s="1173"/>
      <c r="AV2271" s="1173"/>
      <c r="AX2271" s="1173"/>
      <c r="AY2271" s="1176"/>
      <c r="AZ2271" s="1173"/>
    </row>
    <row r="2272" spans="1:52" s="2" customFormat="1" x14ac:dyDescent="0.25">
      <c r="A2272" s="694">
        <v>2090</v>
      </c>
      <c r="B2272" s="709">
        <v>6</v>
      </c>
      <c r="C2272" s="716">
        <v>203206080005</v>
      </c>
      <c r="D2272" s="701" t="s">
        <v>2769</v>
      </c>
      <c r="E2272" s="264" t="s">
        <v>2764</v>
      </c>
      <c r="F2272" s="175">
        <v>2020</v>
      </c>
      <c r="G2272" s="360" t="s">
        <v>1483</v>
      </c>
      <c r="H2272" s="264" t="s">
        <v>2551</v>
      </c>
      <c r="I2272" s="264" t="str">
        <f t="shared" si="766"/>
        <v xml:space="preserve">   </v>
      </c>
      <c r="J2272" s="1359">
        <v>2700000</v>
      </c>
      <c r="K2272" s="1523">
        <v>44071.466574074097</v>
      </c>
      <c r="L2272" s="1359">
        <v>3750000</v>
      </c>
      <c r="M2272" s="1523">
        <v>44071.466574074097</v>
      </c>
      <c r="N2272" s="1731"/>
      <c r="O2272" s="1367"/>
      <c r="P2272" s="1731"/>
      <c r="Q2272" s="1367"/>
      <c r="R2272" s="1363"/>
      <c r="S2272" s="1563"/>
      <c r="T2272" s="1363"/>
      <c r="U2272" s="1391"/>
      <c r="V2272" s="1363"/>
      <c r="W2272" s="1391"/>
      <c r="X2272" s="1363"/>
      <c r="Y2272" s="1391"/>
      <c r="Z2272" s="1363"/>
      <c r="AA2272" s="1391"/>
      <c r="AB2272" s="1731"/>
      <c r="AC2272" s="1367"/>
      <c r="AD2272" s="1666"/>
      <c r="AE2272" s="1590"/>
      <c r="AF2272" s="1666"/>
      <c r="AG2272" s="1590"/>
      <c r="AH2272" s="1625" t="str">
        <f t="shared" si="750"/>
        <v>SI-1</v>
      </c>
      <c r="AI2272" s="1675">
        <f t="shared" si="767"/>
        <v>6450000</v>
      </c>
      <c r="AJ2272" s="1675">
        <f t="shared" si="768"/>
        <v>6450000</v>
      </c>
      <c r="AK2272" s="1520">
        <f t="shared" si="771"/>
        <v>0</v>
      </c>
      <c r="AL2272" s="2210" t="str">
        <f t="shared" si="772"/>
        <v>Lunas</v>
      </c>
      <c r="AM2272" s="1666"/>
      <c r="AN2272" s="1590"/>
      <c r="AO2272"/>
      <c r="AP2272"/>
      <c r="AQ2272" s="1128"/>
      <c r="AR2272" s="1173"/>
      <c r="AT2272" s="1173"/>
      <c r="AV2272" s="1173"/>
      <c r="AX2272" s="1173"/>
      <c r="AY2272" s="1176"/>
      <c r="AZ2272" s="1173"/>
    </row>
    <row r="2273" spans="1:54" s="2" customFormat="1" x14ac:dyDescent="0.25">
      <c r="A2273" s="694">
        <v>2091</v>
      </c>
      <c r="B2273" s="671">
        <v>7</v>
      </c>
      <c r="C2273" s="716">
        <v>203206080006</v>
      </c>
      <c r="D2273" s="701" t="s">
        <v>2770</v>
      </c>
      <c r="E2273" s="264" t="s">
        <v>2764</v>
      </c>
      <c r="F2273" s="175">
        <v>2020</v>
      </c>
      <c r="G2273" s="360" t="s">
        <v>1483</v>
      </c>
      <c r="H2273" s="264" t="s">
        <v>2551</v>
      </c>
      <c r="I2273" s="264" t="str">
        <f t="shared" si="766"/>
        <v xml:space="preserve">   </v>
      </c>
      <c r="J2273" s="1359">
        <v>2700000</v>
      </c>
      <c r="K2273" s="1523">
        <v>44069.436203703699</v>
      </c>
      <c r="L2273" s="1359">
        <v>3750000</v>
      </c>
      <c r="M2273" s="1523">
        <v>44069.436203703699</v>
      </c>
      <c r="N2273" s="1731"/>
      <c r="O2273" s="1367"/>
      <c r="P2273" s="1731"/>
      <c r="Q2273" s="1367"/>
      <c r="R2273" s="1363"/>
      <c r="S2273" s="1563"/>
      <c r="T2273" s="1363"/>
      <c r="U2273" s="1391"/>
      <c r="V2273" s="1363"/>
      <c r="W2273" s="1391"/>
      <c r="X2273" s="1363"/>
      <c r="Y2273" s="1391"/>
      <c r="Z2273" s="1363"/>
      <c r="AA2273" s="1391"/>
      <c r="AB2273" s="1731"/>
      <c r="AC2273" s="1367"/>
      <c r="AD2273" s="1666"/>
      <c r="AE2273" s="1590"/>
      <c r="AF2273" s="1666"/>
      <c r="AG2273" s="1590"/>
      <c r="AH2273" s="1625" t="str">
        <f t="shared" si="750"/>
        <v>SI-1</v>
      </c>
      <c r="AI2273" s="1675">
        <f t="shared" si="767"/>
        <v>6450000</v>
      </c>
      <c r="AJ2273" s="1675">
        <f t="shared" si="768"/>
        <v>6450000</v>
      </c>
      <c r="AK2273" s="1520">
        <f t="shared" si="771"/>
        <v>0</v>
      </c>
      <c r="AL2273" s="2210" t="str">
        <f t="shared" si="772"/>
        <v>Lunas</v>
      </c>
      <c r="AM2273" s="1666"/>
      <c r="AN2273" s="1590"/>
      <c r="AO2273"/>
      <c r="AP2273"/>
      <c r="AQ2273" s="1128"/>
      <c r="AR2273" s="1173"/>
      <c r="AT2273" s="1173"/>
      <c r="AV2273" s="1173"/>
      <c r="AX2273" s="1173"/>
      <c r="AY2273" s="1176"/>
      <c r="AZ2273" s="1173"/>
    </row>
    <row r="2274" spans="1:54" s="2" customFormat="1" x14ac:dyDescent="0.25">
      <c r="A2274" s="694">
        <v>2092</v>
      </c>
      <c r="B2274" s="709">
        <v>8</v>
      </c>
      <c r="C2274" s="716">
        <v>203206080007</v>
      </c>
      <c r="D2274" s="701" t="s">
        <v>2771</v>
      </c>
      <c r="E2274" s="264" t="s">
        <v>2764</v>
      </c>
      <c r="F2274" s="175">
        <v>2020</v>
      </c>
      <c r="G2274" s="360" t="s">
        <v>1483</v>
      </c>
      <c r="H2274" s="264" t="s">
        <v>2551</v>
      </c>
      <c r="I2274" s="264" t="str">
        <f t="shared" si="766"/>
        <v xml:space="preserve">   </v>
      </c>
      <c r="J2274" s="1359">
        <v>2700000</v>
      </c>
      <c r="K2274" s="1523">
        <v>44071.3725694444</v>
      </c>
      <c r="L2274" s="1359">
        <v>3750000</v>
      </c>
      <c r="M2274" s="1523">
        <v>44071.3725694444</v>
      </c>
      <c r="N2274" s="1731"/>
      <c r="O2274" s="1367"/>
      <c r="P2274" s="1731"/>
      <c r="Q2274" s="1367"/>
      <c r="R2274" s="1363"/>
      <c r="S2274" s="1563"/>
      <c r="T2274" s="1363"/>
      <c r="U2274" s="1391"/>
      <c r="V2274" s="1363"/>
      <c r="W2274" s="1391"/>
      <c r="X2274" s="1363"/>
      <c r="Y2274" s="1391"/>
      <c r="Z2274" s="1363"/>
      <c r="AA2274" s="1391"/>
      <c r="AB2274" s="1731"/>
      <c r="AC2274" s="1367"/>
      <c r="AD2274" s="1666"/>
      <c r="AE2274" s="1590"/>
      <c r="AF2274" s="1666"/>
      <c r="AG2274" s="1590"/>
      <c r="AH2274" s="1625" t="str">
        <f t="shared" si="750"/>
        <v>SI-1</v>
      </c>
      <c r="AI2274" s="1675">
        <f t="shared" si="767"/>
        <v>6450000</v>
      </c>
      <c r="AJ2274" s="1675">
        <f t="shared" si="768"/>
        <v>6450000</v>
      </c>
      <c r="AK2274" s="1520">
        <f t="shared" si="771"/>
        <v>0</v>
      </c>
      <c r="AL2274" s="2210" t="str">
        <f t="shared" si="772"/>
        <v>Lunas</v>
      </c>
      <c r="AM2274" s="1666"/>
      <c r="AN2274" s="1590"/>
      <c r="AO2274"/>
      <c r="AP2274"/>
      <c r="AQ2274" s="1128"/>
      <c r="AR2274" s="1173"/>
      <c r="AT2274" s="1173"/>
      <c r="AV2274" s="1173"/>
      <c r="AX2274" s="1173"/>
      <c r="AY2274" s="1176"/>
      <c r="AZ2274" s="1173"/>
    </row>
    <row r="2275" spans="1:54" s="2" customFormat="1" x14ac:dyDescent="0.25">
      <c r="A2275" s="694">
        <v>2093</v>
      </c>
      <c r="B2275" s="671">
        <v>9</v>
      </c>
      <c r="C2275" s="716">
        <v>203206080008</v>
      </c>
      <c r="D2275" s="701" t="s">
        <v>2772</v>
      </c>
      <c r="E2275" s="264" t="s">
        <v>2764</v>
      </c>
      <c r="F2275" s="175">
        <v>2020</v>
      </c>
      <c r="G2275" s="360" t="s">
        <v>1483</v>
      </c>
      <c r="H2275" s="264" t="s">
        <v>2551</v>
      </c>
      <c r="I2275" s="264" t="str">
        <f t="shared" si="766"/>
        <v xml:space="preserve">   </v>
      </c>
      <c r="J2275" s="1359">
        <v>2700000</v>
      </c>
      <c r="K2275" s="1523">
        <v>44071.561585648102</v>
      </c>
      <c r="L2275" s="1359">
        <v>3750000</v>
      </c>
      <c r="M2275" s="1523">
        <v>44071.561585648102</v>
      </c>
      <c r="N2275" s="1731"/>
      <c r="O2275" s="1367"/>
      <c r="P2275" s="1731"/>
      <c r="Q2275" s="1367"/>
      <c r="R2275" s="1363"/>
      <c r="S2275" s="1563"/>
      <c r="T2275" s="1363"/>
      <c r="U2275" s="1391"/>
      <c r="V2275" s="1363"/>
      <c r="W2275" s="1391"/>
      <c r="X2275" s="1363"/>
      <c r="Y2275" s="1391"/>
      <c r="Z2275" s="1363"/>
      <c r="AA2275" s="1391"/>
      <c r="AB2275" s="1731"/>
      <c r="AC2275" s="1367"/>
      <c r="AD2275" s="1666"/>
      <c r="AE2275" s="1590"/>
      <c r="AF2275" s="1666"/>
      <c r="AG2275" s="1590"/>
      <c r="AH2275" s="1625" t="str">
        <f t="shared" si="750"/>
        <v>SI-1</v>
      </c>
      <c r="AI2275" s="1675">
        <f t="shared" si="767"/>
        <v>6450000</v>
      </c>
      <c r="AJ2275" s="1675">
        <f t="shared" si="768"/>
        <v>6450000</v>
      </c>
      <c r="AK2275" s="1520">
        <f t="shared" si="771"/>
        <v>0</v>
      </c>
      <c r="AL2275" s="2210" t="str">
        <f t="shared" si="772"/>
        <v>Lunas</v>
      </c>
      <c r="AM2275" s="1666"/>
      <c r="AN2275" s="1590"/>
      <c r="AO2275"/>
      <c r="AP2275"/>
      <c r="AQ2275" s="1128"/>
      <c r="AR2275" s="1173"/>
      <c r="AT2275" s="1173"/>
      <c r="AV2275" s="1173"/>
      <c r="AX2275" s="1173"/>
      <c r="AY2275" s="1176"/>
      <c r="AZ2275" s="1173"/>
    </row>
    <row r="2276" spans="1:54" s="2" customFormat="1" x14ac:dyDescent="0.25">
      <c r="A2276" s="694">
        <v>2094</v>
      </c>
      <c r="B2276" s="709">
        <v>10</v>
      </c>
      <c r="C2276" s="716">
        <v>203206080009</v>
      </c>
      <c r="D2276" s="701" t="s">
        <v>2773</v>
      </c>
      <c r="E2276" s="264" t="s">
        <v>2764</v>
      </c>
      <c r="F2276" s="175">
        <v>2020</v>
      </c>
      <c r="G2276" s="360" t="s">
        <v>1483</v>
      </c>
      <c r="H2276" s="264" t="s">
        <v>2551</v>
      </c>
      <c r="I2276" s="264" t="str">
        <f t="shared" si="766"/>
        <v xml:space="preserve">   </v>
      </c>
      <c r="J2276" s="1359">
        <v>2700000</v>
      </c>
      <c r="K2276" s="1523">
        <v>44070.377233796302</v>
      </c>
      <c r="L2276" s="1359">
        <v>3750000</v>
      </c>
      <c r="M2276" s="1523">
        <v>44070.377233796302</v>
      </c>
      <c r="N2276" s="1731"/>
      <c r="O2276" s="1367"/>
      <c r="P2276" s="1731"/>
      <c r="Q2276" s="1367"/>
      <c r="R2276" s="1363"/>
      <c r="S2276" s="1563"/>
      <c r="T2276" s="1363"/>
      <c r="U2276" s="1391"/>
      <c r="V2276" s="1363"/>
      <c r="W2276" s="1391"/>
      <c r="X2276" s="1363"/>
      <c r="Y2276" s="1391"/>
      <c r="Z2276" s="1363"/>
      <c r="AA2276" s="1391"/>
      <c r="AB2276" s="1731"/>
      <c r="AC2276" s="1367"/>
      <c r="AD2276" s="1666"/>
      <c r="AE2276" s="1590"/>
      <c r="AF2276" s="1666"/>
      <c r="AG2276" s="1590"/>
      <c r="AH2276" s="1625" t="str">
        <f t="shared" ref="AH2276:AH2312" si="773">E2276</f>
        <v>SI-1</v>
      </c>
      <c r="AI2276" s="1675">
        <f t="shared" si="767"/>
        <v>6450000</v>
      </c>
      <c r="AJ2276" s="1675">
        <f t="shared" si="768"/>
        <v>6450000</v>
      </c>
      <c r="AK2276" s="1520">
        <f t="shared" si="771"/>
        <v>0</v>
      </c>
      <c r="AL2276" s="2210" t="str">
        <f t="shared" si="772"/>
        <v>Lunas</v>
      </c>
      <c r="AM2276" s="1666"/>
      <c r="AN2276" s="1590"/>
      <c r="AO2276"/>
      <c r="AP2276"/>
      <c r="AQ2276" s="1128"/>
      <c r="AR2276" s="1173"/>
      <c r="AT2276" s="1173"/>
      <c r="AV2276" s="1173"/>
      <c r="AX2276" s="1173"/>
      <c r="AY2276" s="1176"/>
      <c r="AZ2276" s="1173"/>
    </row>
    <row r="2277" spans="1:54" s="2" customFormat="1" x14ac:dyDescent="0.25">
      <c r="A2277" s="694">
        <v>2095</v>
      </c>
      <c r="B2277" s="671">
        <v>11</v>
      </c>
      <c r="C2277" s="716">
        <v>203206080010</v>
      </c>
      <c r="D2277" s="701" t="s">
        <v>2774</v>
      </c>
      <c r="E2277" s="264" t="s">
        <v>2764</v>
      </c>
      <c r="F2277" s="175">
        <v>2020</v>
      </c>
      <c r="G2277" s="360" t="s">
        <v>1483</v>
      </c>
      <c r="H2277" s="264" t="s">
        <v>2551</v>
      </c>
      <c r="I2277" s="264" t="str">
        <f t="shared" si="766"/>
        <v xml:space="preserve">   </v>
      </c>
      <c r="J2277" s="1359">
        <v>2700000</v>
      </c>
      <c r="K2277" s="1523">
        <v>44071.423391203702</v>
      </c>
      <c r="L2277" s="1359">
        <v>3750000</v>
      </c>
      <c r="M2277" s="1523">
        <v>44071.423391203702</v>
      </c>
      <c r="N2277" s="1731"/>
      <c r="O2277" s="1367"/>
      <c r="P2277" s="1731"/>
      <c r="Q2277" s="1367"/>
      <c r="R2277" s="1363"/>
      <c r="S2277" s="1563"/>
      <c r="T2277" s="1363"/>
      <c r="U2277" s="1391"/>
      <c r="V2277" s="1363"/>
      <c r="W2277" s="1391"/>
      <c r="X2277" s="1363"/>
      <c r="Y2277" s="1391"/>
      <c r="Z2277" s="1363"/>
      <c r="AA2277" s="1391"/>
      <c r="AB2277" s="1731"/>
      <c r="AC2277" s="1367"/>
      <c r="AD2277" s="1666"/>
      <c r="AE2277" s="1590"/>
      <c r="AF2277" s="1666"/>
      <c r="AG2277" s="1590"/>
      <c r="AH2277" s="1625" t="str">
        <f t="shared" si="773"/>
        <v>SI-1</v>
      </c>
      <c r="AI2277" s="1675">
        <f t="shared" si="767"/>
        <v>6450000</v>
      </c>
      <c r="AJ2277" s="1675">
        <f t="shared" si="768"/>
        <v>6450000</v>
      </c>
      <c r="AK2277" s="1520">
        <f t="shared" si="771"/>
        <v>0</v>
      </c>
      <c r="AL2277" s="2210" t="str">
        <f t="shared" si="772"/>
        <v>Lunas</v>
      </c>
      <c r="AM2277" s="1666"/>
      <c r="AN2277" s="1590"/>
      <c r="AO2277"/>
      <c r="AP2277"/>
      <c r="AQ2277" s="1128"/>
      <c r="AR2277" s="1173"/>
      <c r="AT2277" s="1173"/>
      <c r="AV2277" s="1173"/>
      <c r="AX2277" s="1173"/>
      <c r="AY2277" s="1176"/>
      <c r="AZ2277" s="1173"/>
    </row>
    <row r="2278" spans="1:54" s="2" customFormat="1" x14ac:dyDescent="0.25">
      <c r="A2278" s="694">
        <v>2096</v>
      </c>
      <c r="B2278" s="709">
        <v>12</v>
      </c>
      <c r="C2278" s="716">
        <v>203206080011</v>
      </c>
      <c r="D2278" s="701" t="s">
        <v>2775</v>
      </c>
      <c r="E2278" s="264" t="s">
        <v>2764</v>
      </c>
      <c r="F2278" s="175">
        <v>2020</v>
      </c>
      <c r="G2278" s="360" t="s">
        <v>1483</v>
      </c>
      <c r="H2278" s="264" t="s">
        <v>2551</v>
      </c>
      <c r="I2278" s="264" t="str">
        <f t="shared" si="766"/>
        <v xml:space="preserve">   </v>
      </c>
      <c r="J2278" s="1359">
        <v>2700000</v>
      </c>
      <c r="K2278" s="1523">
        <v>44070.344259259298</v>
      </c>
      <c r="L2278" s="1359">
        <v>3750000</v>
      </c>
      <c r="M2278" s="1523">
        <v>44070.344259259298</v>
      </c>
      <c r="N2278" s="1731"/>
      <c r="O2278" s="1367"/>
      <c r="P2278" s="1731"/>
      <c r="Q2278" s="1367"/>
      <c r="R2278" s="1363"/>
      <c r="S2278" s="1563"/>
      <c r="T2278" s="1363"/>
      <c r="U2278" s="1391"/>
      <c r="V2278" s="1363"/>
      <c r="W2278" s="1391"/>
      <c r="X2278" s="1363"/>
      <c r="Y2278" s="1391"/>
      <c r="Z2278" s="1363"/>
      <c r="AA2278" s="1391"/>
      <c r="AB2278" s="1731"/>
      <c r="AC2278" s="1367"/>
      <c r="AD2278" s="1666"/>
      <c r="AE2278" s="1590"/>
      <c r="AF2278" s="1666"/>
      <c r="AG2278" s="1590"/>
      <c r="AH2278" s="1625" t="str">
        <f t="shared" si="773"/>
        <v>SI-1</v>
      </c>
      <c r="AI2278" s="1675">
        <f t="shared" si="767"/>
        <v>6450000</v>
      </c>
      <c r="AJ2278" s="1675">
        <f t="shared" si="768"/>
        <v>6450000</v>
      </c>
      <c r="AK2278" s="1520">
        <f t="shared" si="771"/>
        <v>0</v>
      </c>
      <c r="AL2278" s="2210" t="str">
        <f t="shared" si="772"/>
        <v>Lunas</v>
      </c>
      <c r="AM2278" s="1666"/>
      <c r="AN2278" s="1590"/>
      <c r="AO2278"/>
      <c r="AP2278"/>
      <c r="AQ2278" s="1128"/>
      <c r="AR2278" s="1173"/>
      <c r="AT2278" s="1173"/>
      <c r="AV2278" s="1173"/>
      <c r="AX2278" s="1173"/>
      <c r="AY2278" s="1176"/>
      <c r="AZ2278" s="1173"/>
    </row>
    <row r="2279" spans="1:54" s="2" customFormat="1" x14ac:dyDescent="0.25">
      <c r="A2279" s="694">
        <v>2097</v>
      </c>
      <c r="B2279" s="671">
        <v>13</v>
      </c>
      <c r="C2279" s="716">
        <v>203206080013</v>
      </c>
      <c r="D2279" s="701" t="s">
        <v>2776</v>
      </c>
      <c r="E2279" s="264" t="s">
        <v>2764</v>
      </c>
      <c r="F2279" s="175">
        <v>2020</v>
      </c>
      <c r="G2279" s="360" t="s">
        <v>1483</v>
      </c>
      <c r="H2279" s="264" t="s">
        <v>2551</v>
      </c>
      <c r="I2279" s="264" t="str">
        <f t="shared" si="766"/>
        <v xml:space="preserve">   </v>
      </c>
      <c r="J2279" s="1359">
        <v>2700000</v>
      </c>
      <c r="K2279" s="1523">
        <v>44077.623553240701</v>
      </c>
      <c r="L2279" s="1359">
        <v>3750000</v>
      </c>
      <c r="M2279" s="1523">
        <v>44077.623553240701</v>
      </c>
      <c r="N2279" s="1731"/>
      <c r="O2279" s="1367"/>
      <c r="P2279" s="1731"/>
      <c r="Q2279" s="1367"/>
      <c r="R2279" s="1363"/>
      <c r="S2279" s="1563"/>
      <c r="T2279" s="1363"/>
      <c r="U2279" s="1391"/>
      <c r="V2279" s="1363"/>
      <c r="W2279" s="1391"/>
      <c r="X2279" s="1363"/>
      <c r="Y2279" s="1391"/>
      <c r="Z2279" s="1363"/>
      <c r="AA2279" s="1391"/>
      <c r="AB2279" s="1731"/>
      <c r="AC2279" s="1367"/>
      <c r="AD2279" s="1666"/>
      <c r="AE2279" s="1590"/>
      <c r="AF2279" s="1666"/>
      <c r="AG2279" s="1590"/>
      <c r="AH2279" s="1625" t="str">
        <f t="shared" si="773"/>
        <v>SI-1</v>
      </c>
      <c r="AI2279" s="1675">
        <f t="shared" si="767"/>
        <v>6450000</v>
      </c>
      <c r="AJ2279" s="1675">
        <f t="shared" si="768"/>
        <v>6450000</v>
      </c>
      <c r="AK2279" s="1520">
        <f t="shared" si="771"/>
        <v>0</v>
      </c>
      <c r="AL2279" s="2210" t="str">
        <f t="shared" si="772"/>
        <v>Lunas</v>
      </c>
      <c r="AM2279" s="1666"/>
      <c r="AN2279" s="1590"/>
      <c r="AO2279"/>
      <c r="AP2279"/>
      <c r="AQ2279" s="1128"/>
      <c r="AR2279" s="1173"/>
      <c r="AT2279" s="1173"/>
      <c r="AV2279" s="1173"/>
      <c r="AX2279" s="1173"/>
      <c r="AY2279" s="1176"/>
      <c r="AZ2279" s="1173"/>
    </row>
    <row r="2280" spans="1:54" s="2" customFormat="1" x14ac:dyDescent="0.25">
      <c r="A2280" s="694">
        <v>2098</v>
      </c>
      <c r="B2280" s="709">
        <v>14</v>
      </c>
      <c r="C2280" s="716">
        <v>204206080001</v>
      </c>
      <c r="D2280" s="701" t="s">
        <v>2777</v>
      </c>
      <c r="E2280" s="264" t="s">
        <v>2764</v>
      </c>
      <c r="F2280" s="175">
        <v>2020</v>
      </c>
      <c r="G2280" s="360" t="s">
        <v>1483</v>
      </c>
      <c r="H2280" s="264" t="s">
        <v>2551</v>
      </c>
      <c r="I2280" s="264" t="str">
        <f t="shared" si="766"/>
        <v xml:space="preserve">   </v>
      </c>
      <c r="J2280" s="1359">
        <v>2700000</v>
      </c>
      <c r="K2280" s="1523">
        <v>44077.480046296303</v>
      </c>
      <c r="L2280" s="1359">
        <v>3750000</v>
      </c>
      <c r="M2280" s="1523">
        <v>44077.480046296303</v>
      </c>
      <c r="N2280" s="1731"/>
      <c r="O2280" s="1367"/>
      <c r="P2280" s="1731"/>
      <c r="Q2280" s="1367"/>
      <c r="R2280" s="1363"/>
      <c r="S2280" s="1563"/>
      <c r="T2280" s="1363"/>
      <c r="U2280" s="1391"/>
      <c r="V2280" s="1363"/>
      <c r="W2280" s="1391"/>
      <c r="X2280" s="1363"/>
      <c r="Y2280" s="1391"/>
      <c r="Z2280" s="1363"/>
      <c r="AA2280" s="1391"/>
      <c r="AB2280" s="1731"/>
      <c r="AC2280" s="1367"/>
      <c r="AD2280" s="1666"/>
      <c r="AE2280" s="1590"/>
      <c r="AF2280" s="1666"/>
      <c r="AG2280" s="1590"/>
      <c r="AH2280" s="1625" t="str">
        <f t="shared" si="773"/>
        <v>SI-1</v>
      </c>
      <c r="AI2280" s="1675">
        <f t="shared" si="767"/>
        <v>6450000</v>
      </c>
      <c r="AJ2280" s="1675">
        <f t="shared" si="768"/>
        <v>6450000</v>
      </c>
      <c r="AK2280" s="1520">
        <f t="shared" ref="AK2280:AK2281" si="774">AJ2280-AI2280</f>
        <v>0</v>
      </c>
      <c r="AL2280" s="2210" t="str">
        <f t="shared" ref="AL2280:AL2281" si="775">IF(AK2280=0,"Lunas","Cek")</f>
        <v>Lunas</v>
      </c>
      <c r="AM2280" s="1666"/>
      <c r="AN2280" s="1590"/>
      <c r="AO2280"/>
      <c r="AP2280"/>
      <c r="AQ2280" s="1128"/>
      <c r="AR2280" s="1173"/>
      <c r="AT2280" s="1173"/>
      <c r="AV2280" s="1173"/>
      <c r="AX2280" s="1173"/>
      <c r="AY2280" s="1176"/>
      <c r="AZ2280" s="1173"/>
    </row>
    <row r="2281" spans="1:54" s="2" customFormat="1" x14ac:dyDescent="0.25">
      <c r="A2281" s="694">
        <v>2099</v>
      </c>
      <c r="B2281" s="671">
        <v>15</v>
      </c>
      <c r="C2281" s="716">
        <v>204206080002</v>
      </c>
      <c r="D2281" s="701" t="s">
        <v>2778</v>
      </c>
      <c r="E2281" s="264" t="s">
        <v>2764</v>
      </c>
      <c r="F2281" s="175">
        <v>2020</v>
      </c>
      <c r="G2281" s="360" t="s">
        <v>1483</v>
      </c>
      <c r="H2281" s="264" t="s">
        <v>2551</v>
      </c>
      <c r="I2281" s="264" t="str">
        <f t="shared" si="766"/>
        <v xml:space="preserve">   </v>
      </c>
      <c r="J2281" s="1359">
        <v>2700000</v>
      </c>
      <c r="K2281" s="1523">
        <v>44079.852615740703</v>
      </c>
      <c r="L2281" s="1359">
        <v>3750000</v>
      </c>
      <c r="M2281" s="1523">
        <v>44079.852615740703</v>
      </c>
      <c r="N2281" s="1731"/>
      <c r="O2281" s="1367"/>
      <c r="P2281" s="1731"/>
      <c r="Q2281" s="1367"/>
      <c r="R2281" s="1363"/>
      <c r="S2281" s="1563"/>
      <c r="T2281" s="1363"/>
      <c r="U2281" s="1391"/>
      <c r="V2281" s="1363"/>
      <c r="W2281" s="1391"/>
      <c r="X2281" s="1363"/>
      <c r="Y2281" s="1391"/>
      <c r="Z2281" s="1363"/>
      <c r="AA2281" s="1391"/>
      <c r="AB2281" s="1731"/>
      <c r="AC2281" s="1367"/>
      <c r="AD2281" s="1666"/>
      <c r="AE2281" s="1590"/>
      <c r="AF2281" s="1666"/>
      <c r="AG2281" s="1590"/>
      <c r="AH2281" s="1625" t="str">
        <f t="shared" si="773"/>
        <v>SI-1</v>
      </c>
      <c r="AI2281" s="1675">
        <f t="shared" si="767"/>
        <v>6450000</v>
      </c>
      <c r="AJ2281" s="1675">
        <f t="shared" si="768"/>
        <v>6450000</v>
      </c>
      <c r="AK2281" s="1520">
        <f t="shared" si="774"/>
        <v>0</v>
      </c>
      <c r="AL2281" s="2210" t="str">
        <f t="shared" si="775"/>
        <v>Lunas</v>
      </c>
      <c r="AM2281" s="1666"/>
      <c r="AN2281" s="1590"/>
      <c r="AO2281"/>
      <c r="AP2281"/>
      <c r="AQ2281" s="1128"/>
      <c r="AR2281" s="1173"/>
      <c r="AT2281" s="1173"/>
      <c r="AV2281" s="1173"/>
      <c r="AX2281" s="1173"/>
      <c r="AY2281" s="1176"/>
      <c r="AZ2281" s="1173"/>
    </row>
    <row r="2282" spans="1:54" s="2" customFormat="1" x14ac:dyDescent="0.25">
      <c r="A2282" s="694">
        <v>2100</v>
      </c>
      <c r="B2282" s="709">
        <v>16</v>
      </c>
      <c r="C2282" s="716">
        <v>204206080003</v>
      </c>
      <c r="D2282" s="701" t="s">
        <v>2779</v>
      </c>
      <c r="E2282" s="264" t="s">
        <v>2764</v>
      </c>
      <c r="F2282" s="175">
        <v>2020</v>
      </c>
      <c r="G2282" s="360" t="s">
        <v>1483</v>
      </c>
      <c r="H2282" s="264" t="s">
        <v>2551</v>
      </c>
      <c r="I2282" s="264" t="str">
        <f t="shared" si="766"/>
        <v xml:space="preserve">   </v>
      </c>
      <c r="J2282" s="1359">
        <v>2700000</v>
      </c>
      <c r="K2282" s="1523">
        <v>44079.702835648102</v>
      </c>
      <c r="L2282" s="1359">
        <v>3750000</v>
      </c>
      <c r="M2282" s="1523">
        <v>44079.702835648102</v>
      </c>
      <c r="N2282" s="1731"/>
      <c r="O2282" s="1367"/>
      <c r="P2282" s="1731"/>
      <c r="Q2282" s="1367"/>
      <c r="R2282" s="1363"/>
      <c r="S2282" s="1563"/>
      <c r="T2282" s="1363"/>
      <c r="U2282" s="1391"/>
      <c r="V2282" s="1363"/>
      <c r="W2282" s="1391"/>
      <c r="X2282" s="1363"/>
      <c r="Y2282" s="1391"/>
      <c r="Z2282" s="1363"/>
      <c r="AA2282" s="1391"/>
      <c r="AB2282" s="1731"/>
      <c r="AC2282" s="1367"/>
      <c r="AD2282" s="1666"/>
      <c r="AE2282" s="1590"/>
      <c r="AF2282" s="1666"/>
      <c r="AG2282" s="1590"/>
      <c r="AH2282" s="1625" t="str">
        <f t="shared" si="773"/>
        <v>SI-1</v>
      </c>
      <c r="AI2282" s="1675">
        <f t="shared" si="767"/>
        <v>6450000</v>
      </c>
      <c r="AJ2282" s="1675">
        <f t="shared" si="768"/>
        <v>6450000</v>
      </c>
      <c r="AK2282" s="1520">
        <f t="shared" si="771"/>
        <v>0</v>
      </c>
      <c r="AL2282" s="2210" t="str">
        <f t="shared" si="772"/>
        <v>Lunas</v>
      </c>
      <c r="AM2282" s="1666"/>
      <c r="AN2282" s="1590"/>
      <c r="AO2282"/>
      <c r="AP2282"/>
      <c r="AQ2282" s="1128"/>
      <c r="AR2282" s="1173"/>
      <c r="AT2282" s="1173"/>
      <c r="AV2282" s="1173"/>
      <c r="AX2282" s="1173"/>
      <c r="AY2282" s="1176"/>
      <c r="AZ2282" s="1173"/>
    </row>
    <row r="2283" spans="1:54" s="2" customFormat="1" x14ac:dyDescent="0.25">
      <c r="A2283" s="694">
        <v>2101</v>
      </c>
      <c r="B2283" s="671">
        <v>17</v>
      </c>
      <c r="C2283" s="716">
        <v>204206080004</v>
      </c>
      <c r="D2283" s="701" t="s">
        <v>2780</v>
      </c>
      <c r="E2283" s="264" t="s">
        <v>2764</v>
      </c>
      <c r="F2283" s="175">
        <v>2020</v>
      </c>
      <c r="G2283" s="360" t="s">
        <v>1483</v>
      </c>
      <c r="H2283" s="264" t="s">
        <v>2551</v>
      </c>
      <c r="I2283" s="264" t="str">
        <f t="shared" si="766"/>
        <v xml:space="preserve">   </v>
      </c>
      <c r="J2283" s="1359">
        <v>2700000</v>
      </c>
      <c r="K2283" s="1523">
        <v>44079.846655092602</v>
      </c>
      <c r="L2283" s="1359">
        <v>3750000</v>
      </c>
      <c r="M2283" s="1523">
        <v>44079.846655092602</v>
      </c>
      <c r="N2283" s="1731"/>
      <c r="O2283" s="1367"/>
      <c r="P2283" s="1731"/>
      <c r="Q2283" s="1367"/>
      <c r="R2283" s="1363"/>
      <c r="S2283" s="1563"/>
      <c r="T2283" s="1363"/>
      <c r="U2283" s="1391"/>
      <c r="V2283" s="1363"/>
      <c r="W2283" s="1391"/>
      <c r="X2283" s="1363"/>
      <c r="Y2283" s="1391"/>
      <c r="Z2283" s="1363"/>
      <c r="AA2283" s="1391"/>
      <c r="AB2283" s="1731"/>
      <c r="AC2283" s="1367"/>
      <c r="AD2283" s="1666"/>
      <c r="AE2283" s="1590"/>
      <c r="AF2283" s="1666"/>
      <c r="AG2283" s="1590"/>
      <c r="AH2283" s="1625" t="str">
        <f t="shared" si="773"/>
        <v>SI-1</v>
      </c>
      <c r="AI2283" s="1675">
        <f t="shared" si="767"/>
        <v>6450000</v>
      </c>
      <c r="AJ2283" s="1675">
        <f t="shared" si="768"/>
        <v>6450000</v>
      </c>
      <c r="AK2283" s="1520">
        <f t="shared" si="771"/>
        <v>0</v>
      </c>
      <c r="AL2283" s="2210" t="str">
        <f t="shared" si="772"/>
        <v>Lunas</v>
      </c>
      <c r="AM2283" s="1666"/>
      <c r="AN2283" s="1590"/>
      <c r="AO2283"/>
      <c r="AP2283"/>
      <c r="AQ2283" s="1128"/>
      <c r="AR2283" s="1173"/>
      <c r="AT2283" s="1173"/>
      <c r="AV2283" s="1173"/>
      <c r="AX2283" s="1173"/>
      <c r="AY2283" s="1176"/>
      <c r="AZ2283" s="1173"/>
    </row>
    <row r="2284" spans="1:54" s="2" customFormat="1" x14ac:dyDescent="0.25">
      <c r="A2284" s="725"/>
      <c r="B2284" s="725"/>
      <c r="C2284" s="33"/>
      <c r="D2284" s="123"/>
      <c r="E2284" s="123"/>
      <c r="F2284" s="120" t="s">
        <v>61</v>
      </c>
      <c r="G2284" s="123"/>
      <c r="H2284" s="124"/>
      <c r="I2284" s="124"/>
      <c r="J2284" s="1212"/>
      <c r="K2284" s="2252"/>
      <c r="L2284" s="2253"/>
      <c r="M2284" s="1436"/>
      <c r="N2284" s="2253"/>
      <c r="O2284" s="2252"/>
      <c r="P2284" s="2253"/>
      <c r="Q2284" s="2252"/>
      <c r="R2284" s="2253"/>
      <c r="S2284" s="2261"/>
      <c r="T2284" s="2253"/>
      <c r="U2284" s="2252"/>
      <c r="V2284" s="2253"/>
      <c r="W2284" s="2252"/>
      <c r="X2284" s="2253"/>
      <c r="Y2284" s="2252"/>
      <c r="Z2284" s="2253"/>
      <c r="AA2284" s="2252"/>
      <c r="AB2284" s="2268"/>
      <c r="AC2284" s="2252"/>
      <c r="AD2284" s="747"/>
      <c r="AE2284" s="1155"/>
      <c r="AF2284" s="747"/>
      <c r="AG2284" s="1155"/>
      <c r="AH2284" s="1168">
        <f t="shared" si="773"/>
        <v>0</v>
      </c>
      <c r="AI2284" s="747"/>
      <c r="AJ2284" s="747"/>
      <c r="AK2284" s="747"/>
      <c r="AL2284" s="1170"/>
      <c r="AM2284" s="1170"/>
      <c r="AN2284" s="1209"/>
      <c r="AO2284" s="1170"/>
      <c r="AP2284" s="1209"/>
      <c r="AQ2284" s="1857"/>
      <c r="AR2284" s="1858"/>
      <c r="AS2284" s="1859"/>
      <c r="AT2284" s="1860"/>
      <c r="AU2284" s="1861"/>
      <c r="AV2284" s="1862"/>
      <c r="AW2284" s="1898"/>
      <c r="AX2284" s="1899"/>
      <c r="AY2284" s="1900"/>
      <c r="AZ2284" s="1901"/>
    </row>
    <row r="2285" spans="1:54" s="2" customFormat="1" x14ac:dyDescent="0.25">
      <c r="A2285" s="656" t="s">
        <v>2781</v>
      </c>
      <c r="B2285" s="656"/>
      <c r="C2285" s="417"/>
      <c r="D2285" s="656"/>
      <c r="E2285" s="657" t="s">
        <v>1096</v>
      </c>
      <c r="F2285" s="658" t="s">
        <v>1096</v>
      </c>
      <c r="G2285" s="565">
        <v>6000000</v>
      </c>
      <c r="H2285" s="147" t="str">
        <f>IFERROR(VLOOKUP(C2285,Tlus,3,FALSE),"   ")</f>
        <v xml:space="preserve">   </v>
      </c>
      <c r="I2285" s="147" t="str">
        <f t="shared" ref="I2285:I2292" si="776">IFERROR(VLOOKUP(C2285,Wis,4,FALSE),"   ")</f>
        <v xml:space="preserve">   </v>
      </c>
      <c r="J2285" s="2035">
        <v>4250000</v>
      </c>
      <c r="K2285" s="2244"/>
      <c r="L2285" s="2245" t="s">
        <v>1049</v>
      </c>
      <c r="M2285" s="2164" t="s">
        <v>1463</v>
      </c>
      <c r="N2285" s="2245" t="s">
        <v>1051</v>
      </c>
      <c r="O2285" s="2164" t="s">
        <v>1464</v>
      </c>
      <c r="P2285" s="2149" t="s">
        <v>1053</v>
      </c>
      <c r="Q2285" s="1438" t="s">
        <v>1466</v>
      </c>
      <c r="R2285" s="2149" t="s">
        <v>1055</v>
      </c>
      <c r="S2285" s="1438" t="s">
        <v>1468</v>
      </c>
      <c r="T2285" s="2149" t="s">
        <v>1057</v>
      </c>
      <c r="U2285" s="1438" t="s">
        <v>1470</v>
      </c>
      <c r="V2285" s="2149" t="s">
        <v>1059</v>
      </c>
      <c r="W2285" s="1438" t="s">
        <v>1718</v>
      </c>
      <c r="X2285" s="1771" t="s">
        <v>1061</v>
      </c>
      <c r="Y2285" s="1438" t="s">
        <v>1719</v>
      </c>
      <c r="Z2285" s="1771" t="s">
        <v>1063</v>
      </c>
      <c r="AA2285" s="1438" t="s">
        <v>1980</v>
      </c>
      <c r="AB2285" s="1813" t="s">
        <v>1065</v>
      </c>
      <c r="AC2285" s="1814" t="s">
        <v>1981</v>
      </c>
      <c r="AD2285" s="1815" t="s">
        <v>1067</v>
      </c>
      <c r="AE2285" s="1814" t="s">
        <v>2269</v>
      </c>
      <c r="AF2285" s="1815" t="s">
        <v>1465</v>
      </c>
      <c r="AG2285" s="1814" t="s">
        <v>2270</v>
      </c>
      <c r="AH2285" s="1408" t="str">
        <f t="shared" si="773"/>
        <v>#</v>
      </c>
      <c r="AI2285" s="1512"/>
      <c r="AJ2285" s="1409"/>
      <c r="AK2285" s="1409"/>
      <c r="AL2285" s="1513"/>
      <c r="AM2285" s="1815" t="s">
        <v>1467</v>
      </c>
      <c r="AN2285" s="1814" t="s">
        <v>2499</v>
      </c>
      <c r="AO2285" s="1815" t="s">
        <v>1469</v>
      </c>
      <c r="AP2285" s="1814" t="s">
        <v>2500</v>
      </c>
      <c r="AQ2285" s="1450" t="s">
        <v>1471</v>
      </c>
      <c r="AR2285" s="1863">
        <v>2000000</v>
      </c>
      <c r="AS2285" s="1450" t="s">
        <v>1472</v>
      </c>
      <c r="AT2285" s="1863">
        <v>1500000</v>
      </c>
      <c r="AU2285" s="1450" t="s">
        <v>1473</v>
      </c>
      <c r="AV2285" s="1863">
        <v>2000000</v>
      </c>
      <c r="AW2285" s="1450" t="s">
        <v>1474</v>
      </c>
      <c r="AX2285" s="1863">
        <v>4000000</v>
      </c>
      <c r="AY2285" s="1450" t="s">
        <v>1475</v>
      </c>
      <c r="AZ2285" s="1863">
        <v>10000000</v>
      </c>
      <c r="BA2285" s="1450" t="s">
        <v>22</v>
      </c>
      <c r="BB2285" s="1902">
        <v>500000</v>
      </c>
    </row>
    <row r="2286" spans="1:54" s="2" customFormat="1" x14ac:dyDescent="0.25">
      <c r="A2286" s="694">
        <v>2102</v>
      </c>
      <c r="B2286" s="695">
        <v>1</v>
      </c>
      <c r="C2286" s="716">
        <v>204307010001</v>
      </c>
      <c r="D2286" s="701" t="s">
        <v>2782</v>
      </c>
      <c r="E2286" s="264" t="s">
        <v>2271</v>
      </c>
      <c r="F2286" s="175">
        <v>2020</v>
      </c>
      <c r="G2286" s="360" t="s">
        <v>1483</v>
      </c>
      <c r="H2286" s="264" t="s">
        <v>2551</v>
      </c>
      <c r="I2286" s="264" t="str">
        <f t="shared" si="776"/>
        <v xml:space="preserve">   </v>
      </c>
      <c r="J2286" s="1366">
        <v>4250000</v>
      </c>
      <c r="K2286" s="2054">
        <v>44078.394722222198</v>
      </c>
      <c r="L2286" s="1363">
        <v>8000000</v>
      </c>
      <c r="M2286" s="1367">
        <v>44078.394722222198</v>
      </c>
      <c r="N2286" s="2290"/>
      <c r="O2286" s="1367"/>
      <c r="P2286" s="1731"/>
      <c r="Q2286" s="1367"/>
      <c r="R2286" s="1363"/>
      <c r="S2286" s="1563"/>
      <c r="T2286" s="1363"/>
      <c r="U2286" s="1391"/>
      <c r="V2286" s="1363"/>
      <c r="W2286" s="1391"/>
      <c r="X2286" s="1363"/>
      <c r="Y2286" s="1391"/>
      <c r="Z2286" s="1363"/>
      <c r="AA2286" s="1391"/>
      <c r="AB2286" s="1363"/>
      <c r="AC2286" s="1940"/>
      <c r="AD2286" s="2263"/>
      <c r="AE2286" s="1664"/>
      <c r="AF2286" s="2263"/>
      <c r="AG2286" s="1664"/>
      <c r="AH2286" s="2062" t="str">
        <f t="shared" si="773"/>
        <v>MPI3-1</v>
      </c>
      <c r="AI2286" s="1963">
        <f>SUM(J2286,L2286,N2286,P2286,R2286,T2286,V2286,X2286,Z2286,AB2286,AD2286,AF2286,AM2286,AO2286,AQ2286,AS2286,AU2286,AW2286,AY2286,BA2286)</f>
        <v>12250000</v>
      </c>
      <c r="AJ2286" s="2063">
        <f t="shared" ref="AJ2286:AJ2292" si="777">(COUNT(L2286,N2286,P2286,R2286,T2286,V2286,X2286,Z2286,AB2286,AD2286,AF2286,AM2286,AO2286)*$G$2036)+(COUNT(J2286)*$J$2036)+(COUNT(AQ2286)*$AR$2036)+(COUNT(AS2286)*$AT$2036)+(COUNT(AU2286)*$AV$2036)++(COUNT(AW2286)*$AX$2036)+(COUNT(AY2286)*$AZ$2036)+(COUNT(BA2286)*$BB$2036)</f>
        <v>10250000</v>
      </c>
      <c r="AK2286" s="1836">
        <f t="shared" ref="AK2286:AK2290" si="778">AJ2286-AI2286</f>
        <v>-2000000</v>
      </c>
      <c r="AL2286" s="1855" t="str">
        <f t="shared" ref="AL2286:AL2290" si="779">IF(AK2286=0,"Lunas","Cek")</f>
        <v>Cek</v>
      </c>
      <c r="AM2286"/>
      <c r="AN2286"/>
      <c r="AO2286"/>
      <c r="AP2286"/>
      <c r="AQ2286" s="1731"/>
      <c r="AR2286" s="1870"/>
      <c r="AS2286" s="1731"/>
      <c r="AT2286" s="1871"/>
      <c r="AU2286" s="1731"/>
      <c r="AV2286" s="1870"/>
      <c r="AW2286" s="1731"/>
      <c r="AX2286" s="1870"/>
      <c r="AY2286" s="1906"/>
      <c r="AZ2286" s="1870"/>
      <c r="BA2286" s="1906"/>
      <c r="BB2286" s="1870"/>
    </row>
    <row r="2287" spans="1:54" s="2" customFormat="1" x14ac:dyDescent="0.25">
      <c r="A2287" s="694">
        <v>2103</v>
      </c>
      <c r="B2287" s="671">
        <v>2</v>
      </c>
      <c r="C2287" s="716">
        <v>204307010002</v>
      </c>
      <c r="D2287" s="701" t="s">
        <v>2783</v>
      </c>
      <c r="E2287" s="264" t="s">
        <v>2271</v>
      </c>
      <c r="F2287" s="175">
        <v>2020</v>
      </c>
      <c r="G2287" s="360" t="s">
        <v>1483</v>
      </c>
      <c r="H2287" s="264" t="s">
        <v>2551</v>
      </c>
      <c r="I2287" s="264" t="str">
        <f t="shared" si="776"/>
        <v xml:space="preserve">   </v>
      </c>
      <c r="J2287" s="1366">
        <v>4250000</v>
      </c>
      <c r="K2287" s="1367">
        <v>44077.426574074103</v>
      </c>
      <c r="L2287" s="1363">
        <v>8000000</v>
      </c>
      <c r="M2287" s="1367">
        <v>44077.426574074103</v>
      </c>
      <c r="N2287" s="2290"/>
      <c r="O2287" s="1367"/>
      <c r="P2287" s="1731"/>
      <c r="Q2287" s="1367"/>
      <c r="R2287" s="1363"/>
      <c r="S2287" s="1563"/>
      <c r="T2287" s="1363"/>
      <c r="U2287" s="1391"/>
      <c r="V2287" s="1363"/>
      <c r="W2287" s="1391"/>
      <c r="X2287" s="1363"/>
      <c r="Y2287" s="1391"/>
      <c r="Z2287" s="1363"/>
      <c r="AA2287" s="1391"/>
      <c r="AB2287" s="1363"/>
      <c r="AC2287" s="1384"/>
      <c r="AD2287" s="2264"/>
      <c r="AE2287" s="1654"/>
      <c r="AF2287" s="2264"/>
      <c r="AG2287" s="1654"/>
      <c r="AH2287" s="2064" t="str">
        <f t="shared" si="773"/>
        <v>MPI3-1</v>
      </c>
      <c r="AI2287" s="1963">
        <f t="shared" ref="AI2287:AI2288" si="780">SUM(J2287,L2287,N2287,P2287,R2287,T2287,V2287,X2287,Z2287,AB2287,AD2287,AF2287,AM2287,AO2287,AQ2287,AS2287,AU2287,AW2287,AY2287,BA2287)</f>
        <v>12250000</v>
      </c>
      <c r="AJ2287" s="2063">
        <f t="shared" si="777"/>
        <v>10250000</v>
      </c>
      <c r="AK2287" s="1836">
        <f t="shared" si="778"/>
        <v>-2000000</v>
      </c>
      <c r="AL2287" s="1855" t="str">
        <f t="shared" si="779"/>
        <v>Cek</v>
      </c>
      <c r="AM2287"/>
      <c r="AN2287"/>
      <c r="AO2287"/>
      <c r="AP2287"/>
      <c r="AQ2287" s="1128"/>
      <c r="AR2287" s="1173"/>
      <c r="AT2287" s="1173"/>
      <c r="AV2287" s="1173"/>
      <c r="AX2287" s="1173"/>
      <c r="AY2287" s="1176"/>
      <c r="AZ2287" s="1173"/>
    </row>
    <row r="2288" spans="1:54" s="2" customFormat="1" x14ac:dyDescent="0.25">
      <c r="A2288" s="694">
        <v>2104</v>
      </c>
      <c r="B2288" s="695">
        <v>3</v>
      </c>
      <c r="C2288" s="716">
        <v>204307010003</v>
      </c>
      <c r="D2288" s="701" t="s">
        <v>2784</v>
      </c>
      <c r="E2288" s="264" t="s">
        <v>2271</v>
      </c>
      <c r="F2288" s="175">
        <v>2020</v>
      </c>
      <c r="G2288" s="360" t="s">
        <v>1483</v>
      </c>
      <c r="H2288" s="264" t="s">
        <v>2551</v>
      </c>
      <c r="I2288" s="264" t="str">
        <f t="shared" si="776"/>
        <v xml:space="preserve">   </v>
      </c>
      <c r="J2288" s="1366">
        <v>4250000</v>
      </c>
      <c r="K2288" s="1367">
        <v>44079.581817129598</v>
      </c>
      <c r="L2288" s="1363">
        <v>8000000</v>
      </c>
      <c r="M2288" s="1367">
        <v>44079.581817129598</v>
      </c>
      <c r="N2288" s="2290"/>
      <c r="O2288" s="1367"/>
      <c r="P2288" s="1731"/>
      <c r="Q2288" s="1367"/>
      <c r="R2288" s="1363"/>
      <c r="S2288" s="1563"/>
      <c r="T2288" s="1363"/>
      <c r="U2288" s="1391"/>
      <c r="V2288" s="1363"/>
      <c r="W2288" s="1391"/>
      <c r="X2288" s="1363"/>
      <c r="Y2288" s="1391"/>
      <c r="Z2288" s="1363"/>
      <c r="AA2288" s="1391"/>
      <c r="AB2288" s="1363"/>
      <c r="AC2288" s="1940"/>
      <c r="AD2288" s="2263"/>
      <c r="AE2288" s="1664"/>
      <c r="AF2288" s="2263"/>
      <c r="AG2288" s="1664"/>
      <c r="AH2288" s="2062" t="str">
        <f t="shared" si="773"/>
        <v>MPI3-1</v>
      </c>
      <c r="AI2288" s="1963">
        <f t="shared" si="780"/>
        <v>12250000</v>
      </c>
      <c r="AJ2288" s="2063">
        <f t="shared" si="777"/>
        <v>10250000</v>
      </c>
      <c r="AK2288" s="1836">
        <f t="shared" si="778"/>
        <v>-2000000</v>
      </c>
      <c r="AL2288" s="1855" t="str">
        <f t="shared" si="779"/>
        <v>Cek</v>
      </c>
      <c r="AM2288"/>
      <c r="AN2288"/>
      <c r="AO2288"/>
      <c r="AP2288"/>
      <c r="AQ2288" s="1731"/>
      <c r="AR2288" s="1870"/>
      <c r="AS2288" s="1731"/>
      <c r="AT2288" s="1871"/>
      <c r="AU2288" s="1731"/>
      <c r="AV2288" s="1870"/>
      <c r="AW2288" s="1731"/>
      <c r="AX2288" s="1870"/>
      <c r="AY2288" s="1906"/>
      <c r="AZ2288" s="1870"/>
      <c r="BA2288" s="1906"/>
      <c r="BB2288" s="1870"/>
    </row>
    <row r="2289" spans="1:54" s="2" customFormat="1" x14ac:dyDescent="0.25">
      <c r="A2289" s="694">
        <v>2105</v>
      </c>
      <c r="B2289" s="671">
        <v>4</v>
      </c>
      <c r="C2289" s="716">
        <v>203307010001</v>
      </c>
      <c r="D2289" s="701" t="s">
        <v>1009</v>
      </c>
      <c r="E2289" s="264" t="s">
        <v>2271</v>
      </c>
      <c r="F2289" s="175">
        <v>2020</v>
      </c>
      <c r="G2289" s="360" t="s">
        <v>1483</v>
      </c>
      <c r="H2289" s="264" t="s">
        <v>2551</v>
      </c>
      <c r="I2289" s="264" t="str">
        <f t="shared" si="776"/>
        <v xml:space="preserve">   </v>
      </c>
      <c r="J2289" s="1366">
        <v>4250000</v>
      </c>
      <c r="K2289" s="1367">
        <v>44079.623761574097</v>
      </c>
      <c r="L2289" s="1363">
        <v>8000000</v>
      </c>
      <c r="M2289" s="1367">
        <v>44079.623761574097</v>
      </c>
      <c r="N2289" s="2290"/>
      <c r="O2289" s="1367"/>
      <c r="P2289" s="1731"/>
      <c r="Q2289" s="1367"/>
      <c r="R2289" s="1363"/>
      <c r="S2289" s="1563"/>
      <c r="T2289" s="1363"/>
      <c r="U2289" s="1391"/>
      <c r="V2289" s="1363"/>
      <c r="W2289" s="1391"/>
      <c r="X2289" s="1363"/>
      <c r="Y2289" s="1391"/>
      <c r="Z2289" s="1363"/>
      <c r="AA2289" s="1391"/>
      <c r="AB2289" s="1363"/>
      <c r="AC2289" s="1384"/>
      <c r="AD2289" s="2264"/>
      <c r="AE2289" s="1654"/>
      <c r="AF2289" s="2264"/>
      <c r="AG2289" s="1654"/>
      <c r="AH2289" s="2064" t="str">
        <f t="shared" si="773"/>
        <v>MPI3-1</v>
      </c>
      <c r="AI2289" s="1963">
        <f t="shared" ref="AI2289:AI2290" si="781">SUM(J2289,L2289,N2289,P2289,R2289,T2289,V2289,X2289,Z2289,AB2289,AD2289,AF2289,AM2289,AO2289,AQ2289,AS2289,AU2289,AW2289,AY2289,BA2289)</f>
        <v>12250000</v>
      </c>
      <c r="AJ2289" s="2063">
        <f t="shared" si="777"/>
        <v>10250000</v>
      </c>
      <c r="AK2289" s="1836">
        <f t="shared" si="778"/>
        <v>-2000000</v>
      </c>
      <c r="AL2289" s="1855" t="str">
        <f t="shared" si="779"/>
        <v>Cek</v>
      </c>
      <c r="AM2289"/>
      <c r="AN2289"/>
      <c r="AO2289"/>
      <c r="AP2289"/>
      <c r="AQ2289" s="1128"/>
      <c r="AR2289" s="1173"/>
      <c r="AT2289" s="1173"/>
      <c r="AV2289" s="1173"/>
      <c r="AX2289" s="1173"/>
      <c r="AY2289" s="1176"/>
      <c r="AZ2289" s="1173"/>
    </row>
    <row r="2290" spans="1:54" s="2" customFormat="1" x14ac:dyDescent="0.25">
      <c r="A2290" s="694">
        <v>2106</v>
      </c>
      <c r="B2290" s="695">
        <v>5</v>
      </c>
      <c r="C2290" s="716">
        <v>204307010004</v>
      </c>
      <c r="D2290" s="701" t="s">
        <v>2785</v>
      </c>
      <c r="E2290" s="264" t="s">
        <v>2271</v>
      </c>
      <c r="F2290" s="175">
        <v>2020</v>
      </c>
      <c r="G2290" s="360" t="s">
        <v>1483</v>
      </c>
      <c r="H2290" s="264" t="s">
        <v>2551</v>
      </c>
      <c r="I2290" s="264" t="str">
        <f t="shared" si="776"/>
        <v xml:space="preserve">   </v>
      </c>
      <c r="J2290" s="1366">
        <v>4250000</v>
      </c>
      <c r="K2290" s="1367">
        <v>44079.5615972222</v>
      </c>
      <c r="L2290" s="1363">
        <v>8000000</v>
      </c>
      <c r="M2290" s="1367">
        <v>44079.5615972222</v>
      </c>
      <c r="N2290" s="2290"/>
      <c r="O2290" s="1367"/>
      <c r="P2290" s="1731"/>
      <c r="Q2290" s="1367"/>
      <c r="R2290" s="1363"/>
      <c r="S2290" s="1563"/>
      <c r="T2290" s="1363"/>
      <c r="U2290" s="1391"/>
      <c r="V2290" s="1363"/>
      <c r="W2290" s="1391"/>
      <c r="X2290" s="1363"/>
      <c r="Y2290" s="1391"/>
      <c r="Z2290" s="1363"/>
      <c r="AA2290" s="1391"/>
      <c r="AB2290" s="1363"/>
      <c r="AC2290" s="1940"/>
      <c r="AD2290" s="2263"/>
      <c r="AE2290" s="1664"/>
      <c r="AF2290" s="2263"/>
      <c r="AG2290" s="1664"/>
      <c r="AH2290" s="2062" t="str">
        <f t="shared" si="773"/>
        <v>MPI3-1</v>
      </c>
      <c r="AI2290" s="1963">
        <f t="shared" si="781"/>
        <v>12250000</v>
      </c>
      <c r="AJ2290" s="2063">
        <f t="shared" si="777"/>
        <v>10250000</v>
      </c>
      <c r="AK2290" s="1836">
        <f t="shared" si="778"/>
        <v>-2000000</v>
      </c>
      <c r="AL2290" s="1855" t="str">
        <f t="shared" si="779"/>
        <v>Cek</v>
      </c>
      <c r="AM2290"/>
      <c r="AN2290"/>
      <c r="AO2290"/>
      <c r="AP2290"/>
      <c r="AQ2290" s="1731"/>
      <c r="AR2290" s="1870"/>
      <c r="AS2290" s="1731"/>
      <c r="AT2290" s="1871"/>
      <c r="AU2290" s="1731"/>
      <c r="AV2290" s="1870"/>
      <c r="AW2290" s="1731"/>
      <c r="AX2290" s="1870"/>
      <c r="AY2290" s="1906"/>
      <c r="AZ2290" s="1870"/>
      <c r="BA2290" s="1906"/>
      <c r="BB2290" s="1870"/>
    </row>
    <row r="2291" spans="1:54" s="2" customFormat="1" x14ac:dyDescent="0.25">
      <c r="A2291" s="694">
        <v>2107</v>
      </c>
      <c r="B2291" s="671">
        <v>6</v>
      </c>
      <c r="C2291" s="716">
        <v>203307010002</v>
      </c>
      <c r="D2291" s="701" t="s">
        <v>2786</v>
      </c>
      <c r="E2291" s="264" t="s">
        <v>2271</v>
      </c>
      <c r="F2291" s="175">
        <v>2020</v>
      </c>
      <c r="G2291" s="360" t="s">
        <v>1483</v>
      </c>
      <c r="H2291" s="264" t="s">
        <v>2551</v>
      </c>
      <c r="I2291" s="264" t="str">
        <f t="shared" si="776"/>
        <v xml:space="preserve">   </v>
      </c>
      <c r="J2291" s="1366">
        <v>4250000</v>
      </c>
      <c r="K2291" s="1367">
        <v>44088.5615972222</v>
      </c>
      <c r="L2291" s="1363">
        <v>8000000</v>
      </c>
      <c r="M2291" s="1367">
        <v>44088.5615972222</v>
      </c>
      <c r="N2291" s="1731" t="str">
        <f>IFERROR(VLOOKUP(C2291,BSP,3,FALSE),"  ")</f>
        <v xml:space="preserve">  </v>
      </c>
      <c r="O2291" s="1367" t="str">
        <f>IFERROR((VLOOKUP(C2291,BSP,4,FALSE)),"  ")</f>
        <v xml:space="preserve">  </v>
      </c>
      <c r="P2291" s="1731"/>
      <c r="Q2291" s="1367"/>
      <c r="R2291" s="1363"/>
      <c r="S2291" s="1563"/>
      <c r="T2291" s="1363"/>
      <c r="U2291" s="1391"/>
      <c r="V2291" s="1363"/>
      <c r="W2291" s="1391"/>
      <c r="X2291" s="1363"/>
      <c r="Y2291" s="1391"/>
      <c r="Z2291" s="1363"/>
      <c r="AA2291" s="1391"/>
      <c r="AB2291" s="1363"/>
      <c r="AC2291" s="1940"/>
      <c r="AD2291" s="2263"/>
      <c r="AE2291" s="1664"/>
      <c r="AF2291" s="2263"/>
      <c r="AG2291" s="1664"/>
      <c r="AH2291" s="2062" t="str">
        <f t="shared" si="773"/>
        <v>MPI3-1</v>
      </c>
      <c r="AI2291" s="1963">
        <f t="shared" ref="AI2291" si="782">SUM(J2291,L2291,N2291,P2291,R2291,T2291,V2291,X2291,Z2291,AB2291,AD2291,AF2291,AM2291,AO2291,AQ2291,AS2291,AU2291,AW2291,AY2291,BA2291)</f>
        <v>12250000</v>
      </c>
      <c r="AJ2291" s="2063">
        <f t="shared" si="777"/>
        <v>10250000</v>
      </c>
      <c r="AK2291" s="1836">
        <f t="shared" ref="AK2291" si="783">AJ2291-AI2291</f>
        <v>-2000000</v>
      </c>
      <c r="AL2291" s="1855" t="str">
        <f t="shared" ref="AL2291" si="784">IF(AK2291=0,"Lunas","Cek")</f>
        <v>Cek</v>
      </c>
      <c r="AM2291"/>
      <c r="AN2291"/>
      <c r="AO2291"/>
      <c r="AP2291"/>
      <c r="AQ2291" s="1731"/>
      <c r="AR2291" s="1870"/>
      <c r="AS2291" s="1731"/>
      <c r="AT2291" s="1871"/>
      <c r="AU2291" s="1731"/>
      <c r="AV2291" s="1870"/>
      <c r="AW2291" s="1731"/>
      <c r="AX2291" s="1870"/>
      <c r="AY2291" s="1906"/>
      <c r="AZ2291" s="1870"/>
      <c r="BA2291" s="1906"/>
      <c r="BB2291" s="1870"/>
    </row>
    <row r="2292" spans="1:54" s="2" customFormat="1" x14ac:dyDescent="0.25">
      <c r="A2292" s="694">
        <v>2108</v>
      </c>
      <c r="B2292" s="695">
        <v>7</v>
      </c>
      <c r="C2292" s="716">
        <v>204307010005</v>
      </c>
      <c r="D2292" s="701" t="s">
        <v>2787</v>
      </c>
      <c r="E2292" s="264" t="s">
        <v>2788</v>
      </c>
      <c r="F2292" s="175">
        <v>2020</v>
      </c>
      <c r="G2292" s="360" t="s">
        <v>1483</v>
      </c>
      <c r="H2292" s="264" t="s">
        <v>2551</v>
      </c>
      <c r="I2292" s="264" t="str">
        <f t="shared" si="776"/>
        <v xml:space="preserve">   </v>
      </c>
      <c r="J2292" s="1366">
        <v>4250000</v>
      </c>
      <c r="K2292" s="1367">
        <v>44088.5615972222</v>
      </c>
      <c r="L2292" s="1363">
        <v>8000000</v>
      </c>
      <c r="M2292" s="1367">
        <v>44088.5615972222</v>
      </c>
      <c r="N2292" s="1731" t="str">
        <f>IFERROR(VLOOKUP(C2292,BSP,3,FALSE),"  ")</f>
        <v xml:space="preserve">  </v>
      </c>
      <c r="O2292" s="1367" t="str">
        <f>IFERROR((VLOOKUP(C2292,BSP,4,FALSE)),"  ")</f>
        <v xml:space="preserve">  </v>
      </c>
      <c r="P2292" s="1731"/>
      <c r="Q2292" s="1367"/>
      <c r="R2292" s="1363"/>
      <c r="S2292" s="1563"/>
      <c r="T2292" s="1363"/>
      <c r="U2292" s="1391"/>
      <c r="V2292" s="1363"/>
      <c r="W2292" s="1391"/>
      <c r="X2292" s="1363"/>
      <c r="Y2292" s="1391"/>
      <c r="Z2292" s="1363"/>
      <c r="AA2292" s="1391"/>
      <c r="AB2292" s="1363"/>
      <c r="AC2292" s="1940"/>
      <c r="AD2292" s="2263"/>
      <c r="AE2292" s="1664"/>
      <c r="AF2292" s="2263"/>
      <c r="AG2292" s="1664"/>
      <c r="AH2292" s="2062" t="str">
        <f t="shared" si="773"/>
        <v>MPI3-M</v>
      </c>
      <c r="AI2292" s="1963">
        <f t="shared" ref="AI2292" si="785">SUM(J2292,L2292,N2292,P2292,R2292,T2292,V2292,X2292,Z2292,AB2292,AD2292,AF2292,AM2292,AO2292,AQ2292,AS2292,AU2292,AW2292,AY2292,BA2292)</f>
        <v>12250000</v>
      </c>
      <c r="AJ2292" s="2063">
        <f t="shared" si="777"/>
        <v>10250000</v>
      </c>
      <c r="AK2292" s="1836">
        <f t="shared" ref="AK2292" si="786">AJ2292-AI2292</f>
        <v>-2000000</v>
      </c>
      <c r="AL2292" s="1855" t="str">
        <f t="shared" ref="AL2292" si="787">IF(AK2292=0,"Lunas","Cek")</f>
        <v>Cek</v>
      </c>
      <c r="AM2292"/>
      <c r="AN2292"/>
      <c r="AO2292"/>
      <c r="AP2292"/>
      <c r="AQ2292" s="1731"/>
      <c r="AR2292" s="1870"/>
      <c r="AS2292" s="1731"/>
      <c r="AT2292" s="1871"/>
      <c r="AU2292" s="1731"/>
      <c r="AV2292" s="1870"/>
      <c r="AW2292" s="1731"/>
      <c r="AX2292" s="1870"/>
      <c r="AY2292" s="1906"/>
      <c r="AZ2292" s="1870"/>
      <c r="BA2292" s="1906"/>
      <c r="BB2292" s="1870"/>
    </row>
    <row r="2293" spans="1:54" s="2" customFormat="1" x14ac:dyDescent="0.25">
      <c r="A2293" s="725"/>
      <c r="B2293" s="725"/>
      <c r="C2293" s="33"/>
      <c r="D2293" s="123"/>
      <c r="E2293" s="123"/>
      <c r="F2293" s="120" t="s">
        <v>61</v>
      </c>
      <c r="G2293" s="123"/>
      <c r="H2293" s="124"/>
      <c r="I2293" s="124"/>
      <c r="J2293" s="1212"/>
      <c r="K2293" s="2252"/>
      <c r="L2293" s="2253"/>
      <c r="M2293" s="1436"/>
      <c r="N2293" s="2253"/>
      <c r="O2293" s="2252"/>
      <c r="P2293" s="2253"/>
      <c r="Q2293" s="2252"/>
      <c r="R2293" s="2253"/>
      <c r="S2293" s="2261"/>
      <c r="T2293" s="2253"/>
      <c r="U2293" s="2252"/>
      <c r="V2293" s="2253"/>
      <c r="W2293" s="2252"/>
      <c r="X2293" s="2253"/>
      <c r="Y2293" s="2252"/>
      <c r="Z2293" s="2253"/>
      <c r="AA2293" s="2252"/>
      <c r="AB2293" s="2268"/>
      <c r="AC2293" s="2252"/>
      <c r="AD2293" s="747"/>
      <c r="AE2293" s="1155"/>
      <c r="AF2293" s="747"/>
      <c r="AG2293" s="1155"/>
      <c r="AH2293" s="1168">
        <f t="shared" si="773"/>
        <v>0</v>
      </c>
      <c r="AI2293" s="747"/>
      <c r="AJ2293" s="747"/>
      <c r="AK2293" s="747"/>
      <c r="AL2293" s="1170"/>
      <c r="AM2293" s="1170"/>
      <c r="AN2293" s="1209"/>
      <c r="AO2293" s="1170"/>
      <c r="AP2293" s="1209"/>
      <c r="AQ2293" s="1857"/>
      <c r="AR2293" s="1858"/>
      <c r="AS2293" s="1859"/>
      <c r="AT2293" s="1860"/>
      <c r="AU2293" s="1861"/>
      <c r="AV2293" s="1862"/>
      <c r="AW2293" s="1898"/>
      <c r="AX2293" s="1899"/>
      <c r="AY2293" s="1900"/>
      <c r="AZ2293" s="1901"/>
    </row>
    <row r="2294" spans="1:54" s="2" customFormat="1" x14ac:dyDescent="0.25">
      <c r="A2294" s="656" t="s">
        <v>2789</v>
      </c>
      <c r="B2294" s="656"/>
      <c r="C2294" s="417"/>
      <c r="D2294" s="656"/>
      <c r="E2294" s="657" t="s">
        <v>1096</v>
      </c>
      <c r="F2294" s="658" t="s">
        <v>1096</v>
      </c>
      <c r="G2294" s="565">
        <v>6000000</v>
      </c>
      <c r="H2294" s="147" t="str">
        <f>IFERROR(VLOOKUP(C2294,Tlus,3,FALSE),"   ")</f>
        <v xml:space="preserve">   </v>
      </c>
      <c r="I2294" s="147" t="str">
        <f t="shared" ref="I2294:I2312" si="788">IFERROR(VLOOKUP(C2294,Wis,4,FALSE),"   ")</f>
        <v xml:space="preserve">   </v>
      </c>
      <c r="J2294" s="2035">
        <v>4250000</v>
      </c>
      <c r="K2294" s="2244"/>
      <c r="L2294" s="2245" t="s">
        <v>1049</v>
      </c>
      <c r="M2294" s="2164" t="s">
        <v>1463</v>
      </c>
      <c r="N2294" s="2245" t="s">
        <v>1051</v>
      </c>
      <c r="O2294" s="2164" t="s">
        <v>1464</v>
      </c>
      <c r="P2294" s="2149" t="s">
        <v>1053</v>
      </c>
      <c r="Q2294" s="1438" t="s">
        <v>1466</v>
      </c>
      <c r="R2294" s="2149" t="s">
        <v>1055</v>
      </c>
      <c r="S2294" s="1438" t="s">
        <v>1468</v>
      </c>
      <c r="T2294" s="2149" t="s">
        <v>1057</v>
      </c>
      <c r="U2294" s="1438" t="s">
        <v>1470</v>
      </c>
      <c r="V2294" s="2149" t="s">
        <v>1059</v>
      </c>
      <c r="W2294" s="1438" t="s">
        <v>1718</v>
      </c>
      <c r="X2294" s="1771" t="s">
        <v>1061</v>
      </c>
      <c r="Y2294" s="1438" t="s">
        <v>1719</v>
      </c>
      <c r="Z2294" s="1771" t="s">
        <v>1063</v>
      </c>
      <c r="AA2294" s="1438" t="s">
        <v>1980</v>
      </c>
      <c r="AB2294" s="1813" t="s">
        <v>1065</v>
      </c>
      <c r="AC2294" s="1814" t="s">
        <v>1981</v>
      </c>
      <c r="AD2294" s="1815" t="s">
        <v>1067</v>
      </c>
      <c r="AE2294" s="1814" t="s">
        <v>2269</v>
      </c>
      <c r="AF2294" s="1815" t="s">
        <v>1465</v>
      </c>
      <c r="AG2294" s="1814" t="s">
        <v>2270</v>
      </c>
      <c r="AH2294" s="1408" t="str">
        <f t="shared" si="773"/>
        <v>#</v>
      </c>
      <c r="AI2294" s="1512"/>
      <c r="AJ2294" s="1409"/>
      <c r="AK2294" s="1409"/>
      <c r="AL2294" s="1513"/>
      <c r="AM2294" s="1815" t="s">
        <v>1467</v>
      </c>
      <c r="AN2294" s="1814" t="s">
        <v>2499</v>
      </c>
      <c r="AO2294" s="1815" t="s">
        <v>1469</v>
      </c>
      <c r="AP2294" s="1814" t="s">
        <v>2500</v>
      </c>
      <c r="AQ2294" s="1450" t="s">
        <v>1471</v>
      </c>
      <c r="AR2294" s="1863">
        <v>2000000</v>
      </c>
      <c r="AS2294" s="1450" t="s">
        <v>1472</v>
      </c>
      <c r="AT2294" s="1863">
        <v>1500000</v>
      </c>
      <c r="AU2294" s="1450" t="s">
        <v>1473</v>
      </c>
      <c r="AV2294" s="1863">
        <v>2000000</v>
      </c>
      <c r="AW2294" s="1450" t="s">
        <v>1474</v>
      </c>
      <c r="AX2294" s="1863">
        <v>4000000</v>
      </c>
      <c r="AY2294" s="1450" t="s">
        <v>1475</v>
      </c>
      <c r="AZ2294" s="1863">
        <v>10000000</v>
      </c>
      <c r="BA2294" s="1450" t="s">
        <v>22</v>
      </c>
      <c r="BB2294" s="1902">
        <v>500000</v>
      </c>
    </row>
    <row r="2295" spans="1:54" s="2" customFormat="1" x14ac:dyDescent="0.25">
      <c r="A2295" s="694">
        <v>2109</v>
      </c>
      <c r="B2295" s="695">
        <v>1</v>
      </c>
      <c r="C2295" s="716">
        <v>203307020001</v>
      </c>
      <c r="D2295" s="701" t="s">
        <v>1492</v>
      </c>
      <c r="E2295" s="264" t="s">
        <v>2790</v>
      </c>
      <c r="F2295" s="175">
        <v>2020</v>
      </c>
      <c r="G2295" s="360" t="s">
        <v>1483</v>
      </c>
      <c r="H2295" s="264" t="s">
        <v>2551</v>
      </c>
      <c r="I2295" s="264" t="str">
        <f t="shared" si="788"/>
        <v xml:space="preserve">   </v>
      </c>
      <c r="J2295" s="1366">
        <v>4250000</v>
      </c>
      <c r="K2295" s="2054">
        <v>44078.216331018499</v>
      </c>
      <c r="L2295" s="1363">
        <v>6000000</v>
      </c>
      <c r="M2295" s="1367">
        <v>44078.216331018499</v>
      </c>
      <c r="N2295" s="2290"/>
      <c r="O2295" s="1367"/>
      <c r="P2295" s="1731"/>
      <c r="Q2295" s="1367"/>
      <c r="R2295" s="1363"/>
      <c r="S2295" s="1563"/>
      <c r="T2295" s="1363"/>
      <c r="U2295" s="1391"/>
      <c r="V2295" s="1363"/>
      <c r="W2295" s="1391"/>
      <c r="X2295" s="1363"/>
      <c r="Y2295" s="1391"/>
      <c r="Z2295" s="1363"/>
      <c r="AA2295" s="1391"/>
      <c r="AB2295" s="1363"/>
      <c r="AC2295" s="1940"/>
      <c r="AD2295" s="2263"/>
      <c r="AE2295" s="1664"/>
      <c r="AF2295" s="2263"/>
      <c r="AG2295" s="1664"/>
      <c r="AH2295" s="2062" t="str">
        <f t="shared" si="773"/>
        <v>PAI3-1</v>
      </c>
      <c r="AI2295" s="1963">
        <f>SUM(J2295,L2295,N2295,P2295,R2295,T2295,V2295,X2295,Z2295,AB2295,AD2295,AF2295,AM2295,AO2295,AQ2295,AS2295,AU2295,AW2295,AY2295,BA2295)</f>
        <v>10250000</v>
      </c>
      <c r="AJ2295" s="2063">
        <f t="shared" ref="AJ2295:AJ2312" si="789">(COUNT(L2295,N2295,P2295,R2295,T2295,V2295,X2295,Z2295,AB2295,AD2295,AF2295,AM2295,AO2295)*$G$2036)+(COUNT(J2295)*$J$2036)+(COUNT(AQ2295)*$AR$2036)+(COUNT(AS2295)*$AT$2036)+(COUNT(AU2295)*$AV$2036)++(COUNT(AW2295)*$AX$2036)+(COUNT(AY2295)*$AZ$2036)+(COUNT(BA2295)*$BB$2036)</f>
        <v>10250000</v>
      </c>
      <c r="AK2295" s="1836">
        <f t="shared" ref="AK2295:AK2302" si="790">AJ2295-AI2295</f>
        <v>0</v>
      </c>
      <c r="AL2295" s="1855" t="str">
        <f t="shared" ref="AL2295:AL2302" si="791">IF(AK2295=0,"Lunas","Cek")</f>
        <v>Lunas</v>
      </c>
      <c r="AM2295"/>
      <c r="AN2295"/>
      <c r="AO2295"/>
      <c r="AP2295"/>
      <c r="AQ2295" s="1731"/>
      <c r="AR2295" s="1870"/>
      <c r="AS2295" s="1731"/>
      <c r="AT2295" s="1871"/>
      <c r="AU2295" s="1731"/>
      <c r="AV2295" s="1870"/>
      <c r="AW2295" s="1731"/>
      <c r="AX2295" s="1870"/>
      <c r="AY2295" s="1906"/>
      <c r="AZ2295" s="1870"/>
      <c r="BA2295" s="1906"/>
      <c r="BB2295" s="1870"/>
    </row>
    <row r="2296" spans="1:54" s="2" customFormat="1" x14ac:dyDescent="0.25">
      <c r="A2296" s="694">
        <v>2110</v>
      </c>
      <c r="B2296" s="671">
        <v>1</v>
      </c>
      <c r="C2296" s="716">
        <v>203307020002</v>
      </c>
      <c r="D2296" s="701" t="s">
        <v>1768</v>
      </c>
      <c r="E2296" s="264" t="s">
        <v>2790</v>
      </c>
      <c r="F2296" s="175">
        <v>2020</v>
      </c>
      <c r="G2296" s="360" t="s">
        <v>1483</v>
      </c>
      <c r="H2296" s="264" t="s">
        <v>2551</v>
      </c>
      <c r="I2296" s="264" t="str">
        <f t="shared" si="788"/>
        <v xml:space="preserve">   </v>
      </c>
      <c r="J2296" s="1366">
        <v>4250000</v>
      </c>
      <c r="K2296" s="1367">
        <v>44074.3328819444</v>
      </c>
      <c r="L2296" s="1363">
        <v>6000000</v>
      </c>
      <c r="M2296" s="1367">
        <v>44074.3328819444</v>
      </c>
      <c r="N2296" s="2290"/>
      <c r="O2296" s="1367"/>
      <c r="P2296" s="1731"/>
      <c r="Q2296" s="1367"/>
      <c r="R2296" s="1363"/>
      <c r="S2296" s="1563"/>
      <c r="T2296" s="1363"/>
      <c r="U2296" s="1391"/>
      <c r="V2296" s="1363"/>
      <c r="W2296" s="1391"/>
      <c r="X2296" s="1363"/>
      <c r="Y2296" s="1391"/>
      <c r="Z2296" s="1363"/>
      <c r="AA2296" s="1391"/>
      <c r="AB2296" s="1363"/>
      <c r="AC2296" s="1384"/>
      <c r="AD2296" s="2264"/>
      <c r="AE2296" s="1654"/>
      <c r="AF2296" s="2264"/>
      <c r="AG2296" s="1654"/>
      <c r="AH2296" s="2064" t="str">
        <f t="shared" si="773"/>
        <v>PAI3-1</v>
      </c>
      <c r="AI2296" s="1963">
        <f t="shared" ref="AI2296:AI2297" si="792">SUM(J2296,L2296,N2296,P2296,R2296,T2296,V2296,X2296,Z2296,AB2296,AD2296,AF2296,AM2296,AO2296,AQ2296,AS2296,AU2296,AW2296,AY2296,BA2296)</f>
        <v>10250000</v>
      </c>
      <c r="AJ2296" s="2063">
        <f t="shared" si="789"/>
        <v>10250000</v>
      </c>
      <c r="AK2296" s="1836">
        <f t="shared" si="790"/>
        <v>0</v>
      </c>
      <c r="AL2296" s="1855" t="str">
        <f t="shared" si="791"/>
        <v>Lunas</v>
      </c>
      <c r="AM2296"/>
      <c r="AN2296"/>
      <c r="AO2296"/>
      <c r="AP2296"/>
      <c r="AQ2296" s="1128"/>
      <c r="AR2296" s="1173"/>
      <c r="AT2296" s="1173"/>
      <c r="AV2296" s="1173"/>
      <c r="AX2296" s="1173"/>
      <c r="AY2296" s="1176"/>
      <c r="AZ2296" s="1173"/>
    </row>
    <row r="2297" spans="1:54" s="2" customFormat="1" x14ac:dyDescent="0.25">
      <c r="A2297" s="694">
        <v>2111</v>
      </c>
      <c r="B2297" s="671">
        <v>2</v>
      </c>
      <c r="C2297" s="716">
        <v>203307020003</v>
      </c>
      <c r="D2297" s="701" t="s">
        <v>2791</v>
      </c>
      <c r="E2297" s="264" t="s">
        <v>2790</v>
      </c>
      <c r="F2297" s="175">
        <v>2020</v>
      </c>
      <c r="G2297" s="360" t="s">
        <v>1483</v>
      </c>
      <c r="H2297" s="264" t="s">
        <v>2551</v>
      </c>
      <c r="I2297" s="264" t="str">
        <f t="shared" si="788"/>
        <v xml:space="preserve">   </v>
      </c>
      <c r="J2297" s="1366">
        <v>4250000</v>
      </c>
      <c r="K2297" s="1367">
        <v>44078.416724536997</v>
      </c>
      <c r="L2297" s="1363">
        <v>6000000</v>
      </c>
      <c r="M2297" s="1367">
        <v>44078.416724536997</v>
      </c>
      <c r="N2297" s="2290"/>
      <c r="O2297" s="1367"/>
      <c r="P2297" s="1731"/>
      <c r="Q2297" s="1367"/>
      <c r="R2297" s="1363"/>
      <c r="S2297" s="1563"/>
      <c r="T2297" s="1363"/>
      <c r="U2297" s="1391"/>
      <c r="V2297" s="1363"/>
      <c r="W2297" s="1391"/>
      <c r="X2297" s="1363"/>
      <c r="Y2297" s="1391"/>
      <c r="Z2297" s="1363"/>
      <c r="AA2297" s="1391"/>
      <c r="AB2297" s="1363"/>
      <c r="AC2297" s="1940"/>
      <c r="AD2297" s="2263"/>
      <c r="AE2297" s="1664"/>
      <c r="AF2297" s="2263"/>
      <c r="AG2297" s="1664"/>
      <c r="AH2297" s="2062" t="str">
        <f t="shared" si="773"/>
        <v>PAI3-1</v>
      </c>
      <c r="AI2297" s="1963">
        <f t="shared" si="792"/>
        <v>10250000</v>
      </c>
      <c r="AJ2297" s="2063">
        <f t="shared" si="789"/>
        <v>10250000</v>
      </c>
      <c r="AK2297" s="1836">
        <f t="shared" si="790"/>
        <v>0</v>
      </c>
      <c r="AL2297" s="1855" t="str">
        <f t="shared" si="791"/>
        <v>Lunas</v>
      </c>
      <c r="AM2297"/>
      <c r="AN2297"/>
      <c r="AO2297"/>
      <c r="AP2297"/>
      <c r="AQ2297" s="1731"/>
      <c r="AR2297" s="1870"/>
      <c r="AS2297" s="1731"/>
      <c r="AT2297" s="1871"/>
      <c r="AU2297" s="1731"/>
      <c r="AV2297" s="1870"/>
      <c r="AW2297" s="1731"/>
      <c r="AX2297" s="1870"/>
      <c r="AY2297" s="1906"/>
      <c r="AZ2297" s="1870"/>
      <c r="BA2297" s="1906"/>
      <c r="BB2297" s="1870"/>
    </row>
    <row r="2298" spans="1:54" s="2" customFormat="1" x14ac:dyDescent="0.25">
      <c r="A2298" s="694">
        <v>2112</v>
      </c>
      <c r="B2298" s="671">
        <v>3</v>
      </c>
      <c r="C2298" s="716">
        <v>203307020004</v>
      </c>
      <c r="D2298" s="701" t="s">
        <v>1787</v>
      </c>
      <c r="E2298" s="264" t="s">
        <v>2790</v>
      </c>
      <c r="F2298" s="175">
        <v>2020</v>
      </c>
      <c r="G2298" s="360" t="s">
        <v>1483</v>
      </c>
      <c r="H2298" s="264" t="s">
        <v>2551</v>
      </c>
      <c r="I2298" s="264" t="str">
        <f t="shared" si="788"/>
        <v xml:space="preserve">   </v>
      </c>
      <c r="J2298" s="1366">
        <v>4250000</v>
      </c>
      <c r="K2298" s="1367">
        <v>44073.391331018502</v>
      </c>
      <c r="L2298" s="1363">
        <v>6000000</v>
      </c>
      <c r="M2298" s="1367">
        <v>44073.391331018502</v>
      </c>
      <c r="N2298" s="2290"/>
      <c r="O2298" s="1367"/>
      <c r="P2298" s="1731"/>
      <c r="Q2298" s="1367"/>
      <c r="R2298" s="1363"/>
      <c r="S2298" s="1563"/>
      <c r="T2298" s="1363"/>
      <c r="U2298" s="1391"/>
      <c r="V2298" s="1363"/>
      <c r="W2298" s="1391"/>
      <c r="X2298" s="1363"/>
      <c r="Y2298" s="1391"/>
      <c r="Z2298" s="1363"/>
      <c r="AA2298" s="1391"/>
      <c r="AB2298" s="1363"/>
      <c r="AC2298" s="1384"/>
      <c r="AD2298" s="2264"/>
      <c r="AE2298" s="1654"/>
      <c r="AF2298" s="2264"/>
      <c r="AG2298" s="1654"/>
      <c r="AH2298" s="2064" t="str">
        <f t="shared" si="773"/>
        <v>PAI3-1</v>
      </c>
      <c r="AI2298" s="1963">
        <f t="shared" ref="AI2298:AI2299" si="793">SUM(J2298,L2298,N2298,P2298,R2298,T2298,V2298,X2298,Z2298,AB2298,AD2298,AF2298,AM2298,AO2298,AQ2298,AS2298,AU2298,AW2298,AY2298,BA2298)</f>
        <v>10250000</v>
      </c>
      <c r="AJ2298" s="2063">
        <f t="shared" si="789"/>
        <v>10250000</v>
      </c>
      <c r="AK2298" s="1836">
        <f t="shared" si="790"/>
        <v>0</v>
      </c>
      <c r="AL2298" s="1855" t="str">
        <f t="shared" si="791"/>
        <v>Lunas</v>
      </c>
      <c r="AM2298"/>
      <c r="AN2298"/>
      <c r="AO2298"/>
      <c r="AP2298"/>
      <c r="AQ2298" s="1128"/>
      <c r="AR2298" s="1173"/>
      <c r="AT2298" s="1173"/>
      <c r="AV2298" s="1173"/>
      <c r="AX2298" s="1173"/>
      <c r="AY2298" s="1176"/>
      <c r="AZ2298" s="1173"/>
    </row>
    <row r="2299" spans="1:54" s="2" customFormat="1" x14ac:dyDescent="0.25">
      <c r="A2299" s="694">
        <v>2113</v>
      </c>
      <c r="B2299" s="671">
        <v>4</v>
      </c>
      <c r="C2299" s="716">
        <v>203307020005</v>
      </c>
      <c r="D2299" s="701" t="s">
        <v>2792</v>
      </c>
      <c r="E2299" s="264" t="s">
        <v>2790</v>
      </c>
      <c r="F2299" s="175">
        <v>2020</v>
      </c>
      <c r="G2299" s="360" t="s">
        <v>1483</v>
      </c>
      <c r="H2299" s="264" t="s">
        <v>2551</v>
      </c>
      <c r="I2299" s="264" t="str">
        <f t="shared" si="788"/>
        <v xml:space="preserve">   </v>
      </c>
      <c r="J2299" s="1366">
        <v>4250000</v>
      </c>
      <c r="K2299" s="1367">
        <v>44073.9354282407</v>
      </c>
      <c r="L2299" s="1363">
        <v>6000000</v>
      </c>
      <c r="M2299" s="1367">
        <v>44073.9354282407</v>
      </c>
      <c r="N2299" s="2290"/>
      <c r="O2299" s="1367"/>
      <c r="P2299" s="1731"/>
      <c r="Q2299" s="1367"/>
      <c r="R2299" s="1363"/>
      <c r="S2299" s="1563"/>
      <c r="T2299" s="1363"/>
      <c r="U2299" s="1391"/>
      <c r="V2299" s="1363"/>
      <c r="W2299" s="1391"/>
      <c r="X2299" s="1363"/>
      <c r="Y2299" s="1391"/>
      <c r="Z2299" s="1363"/>
      <c r="AA2299" s="1391"/>
      <c r="AB2299" s="1363"/>
      <c r="AC2299" s="1940"/>
      <c r="AD2299" s="2263"/>
      <c r="AE2299" s="1664"/>
      <c r="AF2299" s="2263"/>
      <c r="AG2299" s="1664"/>
      <c r="AH2299" s="2062" t="str">
        <f t="shared" si="773"/>
        <v>PAI3-1</v>
      </c>
      <c r="AI2299" s="1963">
        <f t="shared" si="793"/>
        <v>10250000</v>
      </c>
      <c r="AJ2299" s="2063">
        <f t="shared" si="789"/>
        <v>10250000</v>
      </c>
      <c r="AK2299" s="1836">
        <f t="shared" si="790"/>
        <v>0</v>
      </c>
      <c r="AL2299" s="1855" t="str">
        <f t="shared" si="791"/>
        <v>Lunas</v>
      </c>
      <c r="AM2299"/>
      <c r="AN2299"/>
      <c r="AO2299"/>
      <c r="AP2299"/>
      <c r="AQ2299" s="1731"/>
      <c r="AR2299" s="1870"/>
      <c r="AS2299" s="1731"/>
      <c r="AT2299" s="1871"/>
      <c r="AU2299" s="1731"/>
      <c r="AV2299" s="1870"/>
      <c r="AW2299" s="1731"/>
      <c r="AX2299" s="1870"/>
      <c r="AY2299" s="1906"/>
      <c r="AZ2299" s="1870"/>
      <c r="BA2299" s="1906"/>
      <c r="BB2299" s="1870"/>
    </row>
    <row r="2300" spans="1:54" s="2" customFormat="1" x14ac:dyDescent="0.25">
      <c r="A2300" s="694">
        <v>2114</v>
      </c>
      <c r="B2300" s="671">
        <v>5</v>
      </c>
      <c r="C2300" s="716">
        <v>203307020006</v>
      </c>
      <c r="D2300" s="701" t="s">
        <v>2793</v>
      </c>
      <c r="E2300" s="264" t="s">
        <v>2790</v>
      </c>
      <c r="F2300" s="175">
        <v>2020</v>
      </c>
      <c r="G2300" s="360" t="s">
        <v>1483</v>
      </c>
      <c r="H2300" s="264" t="s">
        <v>2551</v>
      </c>
      <c r="I2300" s="264" t="str">
        <f t="shared" si="788"/>
        <v xml:space="preserve">   </v>
      </c>
      <c r="J2300" s="1366">
        <v>4250000</v>
      </c>
      <c r="K2300" s="1367">
        <v>44078.449907407397</v>
      </c>
      <c r="L2300" s="1363">
        <v>6000000</v>
      </c>
      <c r="M2300" s="1367">
        <v>44078.449907407397</v>
      </c>
      <c r="N2300" s="2290"/>
      <c r="O2300" s="1367"/>
      <c r="P2300" s="1731"/>
      <c r="Q2300" s="1367"/>
      <c r="R2300" s="1363"/>
      <c r="S2300" s="1563"/>
      <c r="T2300" s="1363"/>
      <c r="U2300" s="1391"/>
      <c r="V2300" s="1363"/>
      <c r="W2300" s="1391"/>
      <c r="X2300" s="1363"/>
      <c r="Y2300" s="1391"/>
      <c r="Z2300" s="1363"/>
      <c r="AA2300" s="1391"/>
      <c r="AB2300" s="1363"/>
      <c r="AC2300" s="1384"/>
      <c r="AD2300" s="2264"/>
      <c r="AE2300" s="1654"/>
      <c r="AF2300" s="2264"/>
      <c r="AG2300" s="1654"/>
      <c r="AH2300" s="2064" t="str">
        <f t="shared" si="773"/>
        <v>PAI3-1</v>
      </c>
      <c r="AI2300" s="1963">
        <f t="shared" ref="AI2300:AI2301" si="794">SUM(J2300,L2300,N2300,P2300,R2300,T2300,V2300,X2300,Z2300,AB2300,AD2300,AF2300,AM2300,AO2300,AQ2300,AS2300,AU2300,AW2300,AY2300,BA2300)</f>
        <v>10250000</v>
      </c>
      <c r="AJ2300" s="2063">
        <f t="shared" si="789"/>
        <v>10250000</v>
      </c>
      <c r="AK2300" s="1836">
        <f t="shared" si="790"/>
        <v>0</v>
      </c>
      <c r="AL2300" s="1855" t="str">
        <f t="shared" si="791"/>
        <v>Lunas</v>
      </c>
      <c r="AM2300"/>
      <c r="AN2300"/>
      <c r="AO2300"/>
      <c r="AP2300"/>
      <c r="AQ2300" s="1128"/>
      <c r="AR2300" s="1173"/>
      <c r="AT2300" s="1173"/>
      <c r="AV2300" s="1173"/>
      <c r="AX2300" s="1173"/>
      <c r="AY2300" s="1176"/>
      <c r="AZ2300" s="1173"/>
    </row>
    <row r="2301" spans="1:54" s="2" customFormat="1" x14ac:dyDescent="0.25">
      <c r="A2301" s="694">
        <v>2115</v>
      </c>
      <c r="B2301" s="671">
        <v>6</v>
      </c>
      <c r="C2301" s="716">
        <v>203307020007</v>
      </c>
      <c r="D2301" s="701" t="s">
        <v>201</v>
      </c>
      <c r="E2301" s="264" t="s">
        <v>2790</v>
      </c>
      <c r="F2301" s="175">
        <v>2020</v>
      </c>
      <c r="G2301" s="360" t="s">
        <v>1483</v>
      </c>
      <c r="H2301" s="264" t="s">
        <v>2551</v>
      </c>
      <c r="I2301" s="264" t="str">
        <f t="shared" si="788"/>
        <v xml:space="preserve">   </v>
      </c>
      <c r="J2301" s="1366">
        <v>4250000</v>
      </c>
      <c r="K2301" s="1367">
        <v>44075.360798611102</v>
      </c>
      <c r="L2301" s="1363">
        <v>6000000</v>
      </c>
      <c r="M2301" s="1367">
        <v>44075.360798611102</v>
      </c>
      <c r="N2301" s="2290"/>
      <c r="O2301" s="1367"/>
      <c r="P2301" s="1731"/>
      <c r="Q2301" s="1367"/>
      <c r="R2301" s="1363"/>
      <c r="S2301" s="1563"/>
      <c r="T2301" s="1363"/>
      <c r="U2301" s="1391"/>
      <c r="V2301" s="1363"/>
      <c r="W2301" s="1391"/>
      <c r="X2301" s="1363"/>
      <c r="Y2301" s="1391"/>
      <c r="Z2301" s="1363"/>
      <c r="AA2301" s="1391"/>
      <c r="AB2301" s="1363"/>
      <c r="AC2301" s="1940"/>
      <c r="AD2301" s="2263"/>
      <c r="AE2301" s="1664"/>
      <c r="AF2301" s="2263"/>
      <c r="AG2301" s="1664"/>
      <c r="AH2301" s="2062" t="str">
        <f t="shared" si="773"/>
        <v>PAI3-1</v>
      </c>
      <c r="AI2301" s="1963">
        <f t="shared" si="794"/>
        <v>10250000</v>
      </c>
      <c r="AJ2301" s="2063">
        <f t="shared" si="789"/>
        <v>10250000</v>
      </c>
      <c r="AK2301" s="1836">
        <f t="shared" si="790"/>
        <v>0</v>
      </c>
      <c r="AL2301" s="1855" t="str">
        <f t="shared" si="791"/>
        <v>Lunas</v>
      </c>
      <c r="AM2301"/>
      <c r="AN2301"/>
      <c r="AO2301"/>
      <c r="AP2301"/>
      <c r="AQ2301" s="1731"/>
      <c r="AR2301" s="1870"/>
      <c r="AS2301" s="1731"/>
      <c r="AT2301" s="1871"/>
      <c r="AU2301" s="1731"/>
      <c r="AV2301" s="1870"/>
      <c r="AW2301" s="1731"/>
      <c r="AX2301" s="1870"/>
      <c r="AY2301" s="1906"/>
      <c r="AZ2301" s="1870"/>
      <c r="BA2301" s="1906"/>
      <c r="BB2301" s="1870"/>
    </row>
    <row r="2302" spans="1:54" s="2" customFormat="1" x14ac:dyDescent="0.25">
      <c r="A2302" s="694">
        <v>2116</v>
      </c>
      <c r="B2302" s="671">
        <v>7</v>
      </c>
      <c r="C2302" s="716">
        <v>203307020008</v>
      </c>
      <c r="D2302" s="701" t="s">
        <v>2064</v>
      </c>
      <c r="E2302" s="264" t="s">
        <v>2790</v>
      </c>
      <c r="F2302" s="175">
        <v>2020</v>
      </c>
      <c r="G2302" s="360" t="s">
        <v>1483</v>
      </c>
      <c r="H2302" s="264" t="s">
        <v>2551</v>
      </c>
      <c r="I2302" s="264" t="str">
        <f t="shared" si="788"/>
        <v xml:space="preserve">   </v>
      </c>
      <c r="J2302" s="1366">
        <v>4250000</v>
      </c>
      <c r="K2302" s="1367">
        <v>44078.5858449074</v>
      </c>
      <c r="L2302" s="1363">
        <v>6000000</v>
      </c>
      <c r="M2302" s="1367">
        <v>44078.5858449074</v>
      </c>
      <c r="N2302" s="2290"/>
      <c r="O2302" s="1367"/>
      <c r="P2302" s="1731"/>
      <c r="Q2302" s="1367"/>
      <c r="R2302" s="1363"/>
      <c r="S2302" s="1563"/>
      <c r="T2302" s="1363"/>
      <c r="U2302" s="1391"/>
      <c r="V2302" s="1363"/>
      <c r="W2302" s="1391"/>
      <c r="X2302" s="1363"/>
      <c r="Y2302" s="1391"/>
      <c r="Z2302" s="1363"/>
      <c r="AA2302" s="1391"/>
      <c r="AB2302" s="1363"/>
      <c r="AC2302" s="1384"/>
      <c r="AD2302" s="2264"/>
      <c r="AE2302" s="1654"/>
      <c r="AF2302" s="2264"/>
      <c r="AG2302" s="1654"/>
      <c r="AH2302" s="2064" t="str">
        <f t="shared" si="773"/>
        <v>PAI3-1</v>
      </c>
      <c r="AI2302" s="1963">
        <f t="shared" ref="AI2302:AI2303" si="795">SUM(J2302,L2302,N2302,P2302,R2302,T2302,V2302,X2302,Z2302,AB2302,AD2302,AF2302,AM2302,AO2302,AQ2302,AS2302,AU2302,AW2302,AY2302,BA2302)</f>
        <v>10250000</v>
      </c>
      <c r="AJ2302" s="2063">
        <f t="shared" si="789"/>
        <v>10250000</v>
      </c>
      <c r="AK2302" s="1836">
        <f t="shared" si="790"/>
        <v>0</v>
      </c>
      <c r="AL2302" s="1855" t="str">
        <f t="shared" si="791"/>
        <v>Lunas</v>
      </c>
      <c r="AM2302"/>
      <c r="AN2302"/>
      <c r="AO2302"/>
      <c r="AP2302"/>
      <c r="AQ2302" s="1128"/>
      <c r="AR2302" s="1173"/>
      <c r="AT2302" s="1173"/>
      <c r="AV2302" s="1173"/>
      <c r="AX2302" s="1173"/>
      <c r="AY2302" s="1176"/>
      <c r="AZ2302" s="1173"/>
    </row>
    <row r="2303" spans="1:54" s="2" customFormat="1" x14ac:dyDescent="0.25">
      <c r="A2303" s="694">
        <v>2117</v>
      </c>
      <c r="B2303" s="671">
        <v>8</v>
      </c>
      <c r="C2303" s="716">
        <v>204307020001</v>
      </c>
      <c r="D2303" s="701" t="s">
        <v>1075</v>
      </c>
      <c r="E2303" s="264" t="s">
        <v>2790</v>
      </c>
      <c r="F2303" s="175">
        <v>2020</v>
      </c>
      <c r="G2303" s="360" t="s">
        <v>1483</v>
      </c>
      <c r="H2303" s="264" t="s">
        <v>2551</v>
      </c>
      <c r="I2303" s="264" t="str">
        <f t="shared" si="788"/>
        <v xml:space="preserve">   </v>
      </c>
      <c r="J2303" s="1366">
        <v>4250000</v>
      </c>
      <c r="K2303" s="1367">
        <v>44078.581944444399</v>
      </c>
      <c r="L2303" s="1363">
        <v>6000000</v>
      </c>
      <c r="M2303" s="1367">
        <v>44078.581944444399</v>
      </c>
      <c r="N2303" s="2290"/>
      <c r="O2303" s="1367"/>
      <c r="P2303" s="1731"/>
      <c r="Q2303" s="1367"/>
      <c r="R2303" s="1363"/>
      <c r="S2303" s="1563"/>
      <c r="T2303" s="1363"/>
      <c r="U2303" s="1391"/>
      <c r="V2303" s="1363"/>
      <c r="W2303" s="1391"/>
      <c r="X2303" s="1363"/>
      <c r="Y2303" s="1391"/>
      <c r="Z2303" s="1363"/>
      <c r="AA2303" s="1391"/>
      <c r="AB2303" s="1363"/>
      <c r="AC2303" s="1940"/>
      <c r="AD2303" s="2263"/>
      <c r="AE2303" s="1664"/>
      <c r="AF2303" s="2263"/>
      <c r="AG2303" s="1664"/>
      <c r="AH2303" s="2062" t="str">
        <f t="shared" si="773"/>
        <v>PAI3-1</v>
      </c>
      <c r="AI2303" s="1963">
        <f t="shared" si="795"/>
        <v>10250000</v>
      </c>
      <c r="AJ2303" s="2063">
        <f t="shared" si="789"/>
        <v>10250000</v>
      </c>
      <c r="AK2303" s="1836">
        <f t="shared" ref="AK2303:AK2306" si="796">AJ2303-AI2303</f>
        <v>0</v>
      </c>
      <c r="AL2303" s="1855" t="str">
        <f t="shared" ref="AL2303:AL2306" si="797">IF(AK2303=0,"Lunas","Cek")</f>
        <v>Lunas</v>
      </c>
      <c r="AM2303"/>
      <c r="AN2303"/>
      <c r="AO2303"/>
      <c r="AP2303"/>
      <c r="AQ2303" s="1731"/>
      <c r="AR2303" s="1870"/>
      <c r="AS2303" s="1731"/>
      <c r="AT2303" s="1871"/>
      <c r="AU2303" s="1731"/>
      <c r="AV2303" s="1870"/>
      <c r="AW2303" s="1731"/>
      <c r="AX2303" s="1870"/>
      <c r="AY2303" s="1906"/>
      <c r="AZ2303" s="1870"/>
      <c r="BA2303" s="1906"/>
      <c r="BB2303" s="1870"/>
    </row>
    <row r="2304" spans="1:54" s="2" customFormat="1" x14ac:dyDescent="0.25">
      <c r="A2304" s="694">
        <v>2118</v>
      </c>
      <c r="B2304" s="671">
        <v>9</v>
      </c>
      <c r="C2304" s="716">
        <v>204307020002</v>
      </c>
      <c r="D2304" s="701" t="s">
        <v>400</v>
      </c>
      <c r="E2304" s="264" t="s">
        <v>2790</v>
      </c>
      <c r="F2304" s="175">
        <v>2020</v>
      </c>
      <c r="G2304" s="360" t="s">
        <v>1483</v>
      </c>
      <c r="H2304" s="264" t="s">
        <v>2551</v>
      </c>
      <c r="I2304" s="264" t="str">
        <f t="shared" si="788"/>
        <v xml:space="preserve">   </v>
      </c>
      <c r="J2304" s="1366">
        <v>4250000</v>
      </c>
      <c r="K2304" s="1367">
        <v>44079.899953703702</v>
      </c>
      <c r="L2304" s="1363">
        <v>6000000</v>
      </c>
      <c r="M2304" s="1367">
        <v>44079.899953703702</v>
      </c>
      <c r="N2304" s="2290"/>
      <c r="O2304" s="1367"/>
      <c r="P2304" s="1731"/>
      <c r="Q2304" s="1367"/>
      <c r="R2304" s="1363"/>
      <c r="S2304" s="1563"/>
      <c r="T2304" s="1363"/>
      <c r="U2304" s="1391"/>
      <c r="V2304" s="1363"/>
      <c r="W2304" s="1391"/>
      <c r="X2304" s="1363"/>
      <c r="Y2304" s="1391"/>
      <c r="Z2304" s="1363"/>
      <c r="AA2304" s="1391"/>
      <c r="AB2304" s="1363"/>
      <c r="AC2304" s="1384"/>
      <c r="AD2304" s="2264"/>
      <c r="AE2304" s="1654"/>
      <c r="AF2304" s="2264"/>
      <c r="AG2304" s="1654"/>
      <c r="AH2304" s="2064" t="str">
        <f t="shared" si="773"/>
        <v>PAI3-1</v>
      </c>
      <c r="AI2304" s="1963">
        <f t="shared" ref="AI2304:AI2305" si="798">SUM(J2304,L2304,N2304,P2304,R2304,T2304,V2304,X2304,Z2304,AB2304,AD2304,AF2304,AM2304,AO2304,AQ2304,AS2304,AU2304,AW2304,AY2304,BA2304)</f>
        <v>10250000</v>
      </c>
      <c r="AJ2304" s="2063">
        <f t="shared" si="789"/>
        <v>10250000</v>
      </c>
      <c r="AK2304" s="1836">
        <f t="shared" si="796"/>
        <v>0</v>
      </c>
      <c r="AL2304" s="1855" t="str">
        <f t="shared" si="797"/>
        <v>Lunas</v>
      </c>
      <c r="AM2304"/>
      <c r="AN2304"/>
      <c r="AO2304"/>
      <c r="AP2304"/>
      <c r="AQ2304" s="1128"/>
      <c r="AR2304" s="1173"/>
      <c r="AT2304" s="1173"/>
      <c r="AV2304" s="1173"/>
      <c r="AX2304" s="1173"/>
      <c r="AY2304" s="1176"/>
      <c r="AZ2304" s="1173"/>
    </row>
    <row r="2305" spans="1:54" s="2" customFormat="1" x14ac:dyDescent="0.25">
      <c r="A2305" s="694">
        <v>2119</v>
      </c>
      <c r="B2305" s="671">
        <v>10</v>
      </c>
      <c r="C2305" s="716">
        <v>204307020003</v>
      </c>
      <c r="D2305" s="701" t="s">
        <v>2794</v>
      </c>
      <c r="E2305" s="264" t="s">
        <v>2790</v>
      </c>
      <c r="F2305" s="175">
        <v>2020</v>
      </c>
      <c r="G2305" s="360" t="s">
        <v>1483</v>
      </c>
      <c r="H2305" s="264" t="s">
        <v>2551</v>
      </c>
      <c r="I2305" s="264" t="str">
        <f t="shared" si="788"/>
        <v xml:space="preserve">   </v>
      </c>
      <c r="J2305" s="1366">
        <v>4250000</v>
      </c>
      <c r="K2305" s="1367">
        <v>44078.581099536997</v>
      </c>
      <c r="L2305" s="1363">
        <v>6000000</v>
      </c>
      <c r="M2305" s="1367">
        <v>44078.581099536997</v>
      </c>
      <c r="N2305" s="2290"/>
      <c r="O2305" s="1367"/>
      <c r="P2305" s="1731"/>
      <c r="Q2305" s="1367"/>
      <c r="R2305" s="1363"/>
      <c r="S2305" s="1563"/>
      <c r="T2305" s="1363"/>
      <c r="U2305" s="1391"/>
      <c r="V2305" s="1363"/>
      <c r="W2305" s="1391"/>
      <c r="X2305" s="1363"/>
      <c r="Y2305" s="1391"/>
      <c r="Z2305" s="1363"/>
      <c r="AA2305" s="1391"/>
      <c r="AB2305" s="1363"/>
      <c r="AC2305" s="1940"/>
      <c r="AD2305" s="2263"/>
      <c r="AE2305" s="1664"/>
      <c r="AF2305" s="2263"/>
      <c r="AG2305" s="1664"/>
      <c r="AH2305" s="2062" t="str">
        <f t="shared" si="773"/>
        <v>PAI3-1</v>
      </c>
      <c r="AI2305" s="1963">
        <f t="shared" si="798"/>
        <v>10250000</v>
      </c>
      <c r="AJ2305" s="2063">
        <f t="shared" si="789"/>
        <v>10250000</v>
      </c>
      <c r="AK2305" s="1836">
        <f t="shared" si="796"/>
        <v>0</v>
      </c>
      <c r="AL2305" s="1855" t="str">
        <f t="shared" si="797"/>
        <v>Lunas</v>
      </c>
      <c r="AM2305"/>
      <c r="AN2305"/>
      <c r="AO2305"/>
      <c r="AP2305"/>
      <c r="AQ2305" s="1731"/>
      <c r="AR2305" s="1870"/>
      <c r="AS2305" s="1731"/>
      <c r="AT2305" s="1871"/>
      <c r="AU2305" s="1731"/>
      <c r="AV2305" s="1870"/>
      <c r="AW2305" s="1731"/>
      <c r="AX2305" s="1870"/>
      <c r="AY2305" s="1906"/>
      <c r="AZ2305" s="1870"/>
      <c r="BA2305" s="1906"/>
      <c r="BB2305" s="1870"/>
    </row>
    <row r="2306" spans="1:54" s="2" customFormat="1" x14ac:dyDescent="0.25">
      <c r="A2306" s="694">
        <v>2120</v>
      </c>
      <c r="B2306" s="671">
        <v>11</v>
      </c>
      <c r="C2306" s="716">
        <v>204307020004</v>
      </c>
      <c r="D2306" s="701" t="s">
        <v>2795</v>
      </c>
      <c r="E2306" s="264" t="s">
        <v>2790</v>
      </c>
      <c r="F2306" s="175">
        <v>2020</v>
      </c>
      <c r="G2306" s="360" t="s">
        <v>1483</v>
      </c>
      <c r="H2306" s="264" t="s">
        <v>2551</v>
      </c>
      <c r="I2306" s="264" t="str">
        <f t="shared" si="788"/>
        <v xml:space="preserve">   </v>
      </c>
      <c r="J2306" s="1366">
        <v>4250000</v>
      </c>
      <c r="K2306" s="1367">
        <v>44078.830162036997</v>
      </c>
      <c r="L2306" s="1363">
        <v>6000000</v>
      </c>
      <c r="M2306" s="1367">
        <v>44078.830162036997</v>
      </c>
      <c r="N2306" s="2290"/>
      <c r="O2306" s="1367"/>
      <c r="P2306" s="1731"/>
      <c r="Q2306" s="1367"/>
      <c r="R2306" s="1363"/>
      <c r="S2306" s="1563"/>
      <c r="T2306" s="1363"/>
      <c r="U2306" s="1391"/>
      <c r="V2306" s="1363"/>
      <c r="W2306" s="1391"/>
      <c r="X2306" s="1363"/>
      <c r="Y2306" s="1391"/>
      <c r="Z2306" s="1363"/>
      <c r="AA2306" s="1391"/>
      <c r="AB2306" s="1363"/>
      <c r="AC2306" s="1384"/>
      <c r="AD2306" s="2264"/>
      <c r="AE2306" s="1654"/>
      <c r="AF2306" s="2264"/>
      <c r="AG2306" s="1654"/>
      <c r="AH2306" s="2064" t="str">
        <f t="shared" si="773"/>
        <v>PAI3-1</v>
      </c>
      <c r="AI2306" s="1963">
        <f t="shared" ref="AI2306:AI2307" si="799">SUM(J2306,L2306,N2306,P2306,R2306,T2306,V2306,X2306,Z2306,AB2306,AD2306,AF2306,AM2306,AO2306,AQ2306,AS2306,AU2306,AW2306,AY2306,BA2306)</f>
        <v>10250000</v>
      </c>
      <c r="AJ2306" s="2063">
        <f t="shared" si="789"/>
        <v>10250000</v>
      </c>
      <c r="AK2306" s="1836">
        <f t="shared" si="796"/>
        <v>0</v>
      </c>
      <c r="AL2306" s="1855" t="str">
        <f t="shared" si="797"/>
        <v>Lunas</v>
      </c>
      <c r="AM2306"/>
      <c r="AN2306"/>
      <c r="AO2306"/>
      <c r="AP2306"/>
      <c r="AQ2306" s="1128"/>
      <c r="AR2306" s="1173"/>
      <c r="AT2306" s="1173"/>
      <c r="AV2306" s="1173"/>
      <c r="AX2306" s="1173"/>
      <c r="AY2306" s="1176"/>
      <c r="AZ2306" s="1173"/>
    </row>
    <row r="2307" spans="1:54" s="2" customFormat="1" x14ac:dyDescent="0.25">
      <c r="A2307" s="694">
        <v>2121</v>
      </c>
      <c r="B2307" s="671">
        <v>12</v>
      </c>
      <c r="C2307" s="716">
        <v>204307020005</v>
      </c>
      <c r="D2307" s="701" t="s">
        <v>2796</v>
      </c>
      <c r="E2307" s="264" t="s">
        <v>2790</v>
      </c>
      <c r="F2307" s="175">
        <v>2020</v>
      </c>
      <c r="G2307" s="360" t="s">
        <v>1483</v>
      </c>
      <c r="H2307" s="264" t="s">
        <v>2551</v>
      </c>
      <c r="I2307" s="264" t="str">
        <f t="shared" si="788"/>
        <v xml:space="preserve">   </v>
      </c>
      <c r="J2307" s="1366">
        <v>4250000</v>
      </c>
      <c r="K2307" s="1367">
        <v>44078.6409375</v>
      </c>
      <c r="L2307" s="1363">
        <v>6000000</v>
      </c>
      <c r="M2307" s="1367">
        <v>44078.6409375</v>
      </c>
      <c r="N2307" s="2290"/>
      <c r="O2307" s="1367"/>
      <c r="P2307" s="1731"/>
      <c r="Q2307" s="1367"/>
      <c r="R2307" s="1363"/>
      <c r="S2307" s="1563"/>
      <c r="T2307" s="1363"/>
      <c r="U2307" s="1391"/>
      <c r="V2307" s="1363"/>
      <c r="W2307" s="1391"/>
      <c r="X2307" s="1363"/>
      <c r="Y2307" s="1391"/>
      <c r="Z2307" s="1363"/>
      <c r="AA2307" s="1391"/>
      <c r="AB2307" s="1363"/>
      <c r="AC2307" s="1940"/>
      <c r="AD2307" s="2263"/>
      <c r="AE2307" s="1664"/>
      <c r="AF2307" s="2263"/>
      <c r="AG2307" s="1664"/>
      <c r="AH2307" s="2062" t="str">
        <f t="shared" si="773"/>
        <v>PAI3-1</v>
      </c>
      <c r="AI2307" s="1963">
        <f t="shared" si="799"/>
        <v>10250000</v>
      </c>
      <c r="AJ2307" s="2063">
        <f t="shared" si="789"/>
        <v>10250000</v>
      </c>
      <c r="AK2307" s="1836">
        <f t="shared" ref="AK2307:AK2308" si="800">AJ2307-AI2307</f>
        <v>0</v>
      </c>
      <c r="AL2307" s="1855" t="str">
        <f t="shared" ref="AL2307:AL2308" si="801">IF(AK2307=0,"Lunas","Cek")</f>
        <v>Lunas</v>
      </c>
      <c r="AM2307"/>
      <c r="AN2307"/>
      <c r="AO2307"/>
      <c r="AP2307"/>
      <c r="AQ2307" s="1731"/>
      <c r="AR2307" s="1870"/>
      <c r="AS2307" s="1731"/>
      <c r="AT2307" s="1871"/>
      <c r="AU2307" s="1731"/>
      <c r="AV2307" s="1870"/>
      <c r="AW2307" s="1731"/>
      <c r="AX2307" s="1870"/>
      <c r="AY2307" s="1906"/>
      <c r="AZ2307" s="1870"/>
      <c r="BA2307" s="1906"/>
      <c r="BB2307" s="1870"/>
    </row>
    <row r="2308" spans="1:54" s="2" customFormat="1" x14ac:dyDescent="0.25">
      <c r="A2308" s="694">
        <v>2122</v>
      </c>
      <c r="B2308" s="671">
        <v>13</v>
      </c>
      <c r="C2308" s="716">
        <v>204307020006</v>
      </c>
      <c r="D2308" s="701" t="s">
        <v>2797</v>
      </c>
      <c r="E2308" s="264" t="s">
        <v>2790</v>
      </c>
      <c r="F2308" s="175">
        <v>2020</v>
      </c>
      <c r="G2308" s="360" t="s">
        <v>1483</v>
      </c>
      <c r="H2308" s="264" t="s">
        <v>2551</v>
      </c>
      <c r="I2308" s="264" t="str">
        <f t="shared" si="788"/>
        <v xml:space="preserve">   </v>
      </c>
      <c r="J2308" s="1366">
        <v>4250000</v>
      </c>
      <c r="K2308" s="1367">
        <v>44078.914050925901</v>
      </c>
      <c r="L2308" s="1363">
        <v>6000000</v>
      </c>
      <c r="M2308" s="1367">
        <v>44078.914050925901</v>
      </c>
      <c r="N2308" s="2290"/>
      <c r="O2308" s="1367"/>
      <c r="P2308" s="1731"/>
      <c r="Q2308" s="1367"/>
      <c r="R2308" s="1363"/>
      <c r="S2308" s="1563"/>
      <c r="T2308" s="1363"/>
      <c r="U2308" s="1391"/>
      <c r="V2308" s="1363"/>
      <c r="W2308" s="1391"/>
      <c r="X2308" s="1363"/>
      <c r="Y2308" s="1391"/>
      <c r="Z2308" s="1363"/>
      <c r="AA2308" s="1391"/>
      <c r="AB2308" s="1363"/>
      <c r="AC2308" s="1384"/>
      <c r="AD2308" s="2264"/>
      <c r="AE2308" s="1654"/>
      <c r="AF2308" s="2264"/>
      <c r="AG2308" s="1654"/>
      <c r="AH2308" s="2064" t="str">
        <f t="shared" si="773"/>
        <v>PAI3-1</v>
      </c>
      <c r="AI2308" s="1963">
        <f t="shared" ref="AI2308:AI2309" si="802">SUM(J2308,L2308,N2308,P2308,R2308,T2308,V2308,X2308,Z2308,AB2308,AD2308,AF2308,AM2308,AO2308,AQ2308,AS2308,AU2308,AW2308,AY2308,BA2308)</f>
        <v>10250000</v>
      </c>
      <c r="AJ2308" s="2063">
        <f t="shared" si="789"/>
        <v>10250000</v>
      </c>
      <c r="AK2308" s="1836">
        <f t="shared" si="800"/>
        <v>0</v>
      </c>
      <c r="AL2308" s="1855" t="str">
        <f t="shared" si="801"/>
        <v>Lunas</v>
      </c>
      <c r="AM2308"/>
      <c r="AN2308"/>
      <c r="AO2308"/>
      <c r="AP2308"/>
      <c r="AQ2308" s="1128"/>
      <c r="AR2308" s="1173"/>
      <c r="AT2308" s="1173"/>
      <c r="AV2308" s="1173"/>
      <c r="AX2308" s="1173"/>
      <c r="AY2308" s="1176"/>
      <c r="AZ2308" s="1173"/>
    </row>
    <row r="2309" spans="1:54" s="2" customFormat="1" x14ac:dyDescent="0.25">
      <c r="A2309" s="694">
        <v>2123</v>
      </c>
      <c r="B2309" s="671">
        <v>14</v>
      </c>
      <c r="C2309" s="716">
        <v>204307020007</v>
      </c>
      <c r="D2309" s="701" t="s">
        <v>2798</v>
      </c>
      <c r="E2309" s="264" t="s">
        <v>2790</v>
      </c>
      <c r="F2309" s="175">
        <v>2020</v>
      </c>
      <c r="G2309" s="360" t="s">
        <v>1483</v>
      </c>
      <c r="H2309" s="264" t="s">
        <v>2551</v>
      </c>
      <c r="I2309" s="264" t="str">
        <f t="shared" si="788"/>
        <v xml:space="preserve">   </v>
      </c>
      <c r="J2309" s="1366">
        <v>4250000</v>
      </c>
      <c r="K2309" s="1367">
        <v>44078.5804166667</v>
      </c>
      <c r="L2309" s="1363">
        <v>6000000</v>
      </c>
      <c r="M2309" s="1367">
        <v>44078.5804166667</v>
      </c>
      <c r="N2309" s="2290"/>
      <c r="O2309" s="1367"/>
      <c r="P2309" s="1731"/>
      <c r="Q2309" s="1367"/>
      <c r="R2309" s="1363"/>
      <c r="S2309" s="1563"/>
      <c r="T2309" s="1363"/>
      <c r="U2309" s="1391"/>
      <c r="V2309" s="1363"/>
      <c r="W2309" s="1391"/>
      <c r="X2309" s="1363"/>
      <c r="Y2309" s="1391"/>
      <c r="Z2309" s="1363"/>
      <c r="AA2309" s="1391"/>
      <c r="AB2309" s="1363"/>
      <c r="AC2309" s="1940"/>
      <c r="AD2309" s="2263"/>
      <c r="AE2309" s="1664"/>
      <c r="AF2309" s="2263"/>
      <c r="AG2309" s="1664"/>
      <c r="AH2309" s="2062" t="str">
        <f t="shared" si="773"/>
        <v>PAI3-1</v>
      </c>
      <c r="AI2309" s="1963">
        <f t="shared" si="802"/>
        <v>10250000</v>
      </c>
      <c r="AJ2309" s="2063">
        <f t="shared" si="789"/>
        <v>10250000</v>
      </c>
      <c r="AK2309" s="1836">
        <f t="shared" ref="AK2309:AK2311" si="803">AJ2309-AI2309</f>
        <v>0</v>
      </c>
      <c r="AL2309" s="1855" t="str">
        <f t="shared" ref="AL2309:AL2311" si="804">IF(AK2309=0,"Lunas","Cek")</f>
        <v>Lunas</v>
      </c>
      <c r="AM2309"/>
      <c r="AN2309"/>
      <c r="AO2309"/>
      <c r="AP2309"/>
      <c r="AQ2309" s="1731"/>
      <c r="AR2309" s="1870"/>
      <c r="AS2309" s="1731"/>
      <c r="AT2309" s="1871"/>
      <c r="AU2309" s="1731"/>
      <c r="AV2309" s="1870"/>
      <c r="AW2309" s="1731"/>
      <c r="AX2309" s="1870"/>
      <c r="AY2309" s="1906"/>
      <c r="AZ2309" s="1870"/>
      <c r="BA2309" s="1906"/>
      <c r="BB2309" s="1870"/>
    </row>
    <row r="2310" spans="1:54" s="2" customFormat="1" x14ac:dyDescent="0.25">
      <c r="A2310" s="694">
        <v>2124</v>
      </c>
      <c r="B2310" s="671">
        <v>15</v>
      </c>
      <c r="C2310" s="716">
        <v>204307020008</v>
      </c>
      <c r="D2310" s="701" t="s">
        <v>2799</v>
      </c>
      <c r="E2310" s="264" t="s">
        <v>2790</v>
      </c>
      <c r="F2310" s="175">
        <v>2020</v>
      </c>
      <c r="G2310" s="360" t="s">
        <v>1483</v>
      </c>
      <c r="H2310" s="264" t="s">
        <v>2551</v>
      </c>
      <c r="I2310" s="264" t="str">
        <f t="shared" si="788"/>
        <v xml:space="preserve">   </v>
      </c>
      <c r="J2310" s="1366">
        <v>4250000</v>
      </c>
      <c r="K2310" s="1367">
        <v>44078.581736111097</v>
      </c>
      <c r="L2310" s="1363">
        <v>6000000</v>
      </c>
      <c r="M2310" s="1367">
        <v>44078.581736111097</v>
      </c>
      <c r="N2310" s="2290"/>
      <c r="O2310" s="1367"/>
      <c r="P2310" s="1731"/>
      <c r="Q2310" s="1367"/>
      <c r="R2310" s="1363"/>
      <c r="S2310" s="1563"/>
      <c r="T2310" s="1363"/>
      <c r="U2310" s="1391"/>
      <c r="V2310" s="1363"/>
      <c r="W2310" s="1391"/>
      <c r="X2310" s="1363"/>
      <c r="Y2310" s="1391"/>
      <c r="Z2310" s="1363"/>
      <c r="AA2310" s="1391"/>
      <c r="AB2310" s="1363"/>
      <c r="AC2310" s="1384"/>
      <c r="AD2310" s="2264"/>
      <c r="AE2310" s="1654"/>
      <c r="AF2310" s="2264"/>
      <c r="AG2310" s="1654"/>
      <c r="AH2310" s="2064" t="str">
        <f t="shared" si="773"/>
        <v>PAI3-1</v>
      </c>
      <c r="AI2310" s="1963">
        <f t="shared" ref="AI2310:AI2312" si="805">SUM(J2310,L2310,N2310,P2310,R2310,T2310,V2310,X2310,Z2310,AB2310,AD2310,AF2310,AM2310,AO2310,AQ2310,AS2310,AU2310,AW2310,AY2310,BA2310)</f>
        <v>10250000</v>
      </c>
      <c r="AJ2310" s="2063">
        <f t="shared" si="789"/>
        <v>10250000</v>
      </c>
      <c r="AK2310" s="1836">
        <f t="shared" si="803"/>
        <v>0</v>
      </c>
      <c r="AL2310" s="1855" t="str">
        <f t="shared" si="804"/>
        <v>Lunas</v>
      </c>
      <c r="AM2310"/>
      <c r="AN2310"/>
      <c r="AO2310"/>
      <c r="AP2310"/>
      <c r="AQ2310" s="1128"/>
      <c r="AR2310" s="1173"/>
      <c r="AT2310" s="1173"/>
      <c r="AV2310" s="1173"/>
      <c r="AX2310" s="1173"/>
      <c r="AY2310" s="1176"/>
      <c r="AZ2310" s="1173"/>
    </row>
    <row r="2311" spans="1:54" s="2" customFormat="1" x14ac:dyDescent="0.25">
      <c r="A2311" s="694">
        <v>2125</v>
      </c>
      <c r="B2311" s="671">
        <v>16</v>
      </c>
      <c r="C2311" s="716">
        <v>204307020009</v>
      </c>
      <c r="D2311" s="701" t="s">
        <v>2800</v>
      </c>
      <c r="E2311" s="264" t="s">
        <v>2790</v>
      </c>
      <c r="F2311" s="175">
        <v>2020</v>
      </c>
      <c r="G2311" s="360" t="s">
        <v>1483</v>
      </c>
      <c r="H2311" s="264" t="s">
        <v>2551</v>
      </c>
      <c r="I2311" s="264" t="str">
        <f t="shared" si="788"/>
        <v xml:space="preserve">   </v>
      </c>
      <c r="J2311" s="1366">
        <v>4250000</v>
      </c>
      <c r="K2311" s="1367">
        <v>44078.815358796302</v>
      </c>
      <c r="L2311" s="1363">
        <v>6000000</v>
      </c>
      <c r="M2311" s="1367">
        <v>44078.815358796302</v>
      </c>
      <c r="N2311" s="2290"/>
      <c r="O2311" s="1367"/>
      <c r="P2311" s="1731"/>
      <c r="Q2311" s="1367"/>
      <c r="R2311" s="1363"/>
      <c r="S2311" s="1563"/>
      <c r="T2311" s="1363"/>
      <c r="U2311" s="1391"/>
      <c r="V2311" s="1363"/>
      <c r="W2311" s="1391"/>
      <c r="X2311" s="1363"/>
      <c r="Y2311" s="1391"/>
      <c r="Z2311" s="1363"/>
      <c r="AA2311" s="1391"/>
      <c r="AB2311" s="1363"/>
      <c r="AC2311" s="1384"/>
      <c r="AD2311" s="2264"/>
      <c r="AE2311" s="1654"/>
      <c r="AF2311" s="2264"/>
      <c r="AG2311" s="1654"/>
      <c r="AH2311" s="2064" t="str">
        <f t="shared" si="773"/>
        <v>PAI3-1</v>
      </c>
      <c r="AI2311" s="1963">
        <f t="shared" si="805"/>
        <v>10250000</v>
      </c>
      <c r="AJ2311" s="2063">
        <f t="shared" si="789"/>
        <v>10250000</v>
      </c>
      <c r="AK2311" s="1836">
        <f t="shared" si="803"/>
        <v>0</v>
      </c>
      <c r="AL2311" s="1855" t="str">
        <f t="shared" si="804"/>
        <v>Lunas</v>
      </c>
      <c r="AM2311"/>
      <c r="AN2311"/>
      <c r="AO2311"/>
      <c r="AP2311"/>
      <c r="AQ2311" s="1128"/>
      <c r="AR2311" s="1173"/>
      <c r="AT2311" s="1173"/>
      <c r="AV2311" s="1173"/>
      <c r="AX2311" s="1173"/>
      <c r="AY2311" s="1176"/>
      <c r="AZ2311" s="1173"/>
    </row>
    <row r="2312" spans="1:54" s="2" customFormat="1" x14ac:dyDescent="0.25">
      <c r="A2312" s="694">
        <v>2126</v>
      </c>
      <c r="B2312" s="671">
        <v>17</v>
      </c>
      <c r="C2312" s="716">
        <v>203307020009</v>
      </c>
      <c r="D2312" s="701" t="s">
        <v>2801</v>
      </c>
      <c r="E2312" s="264" t="s">
        <v>2790</v>
      </c>
      <c r="F2312" s="175">
        <v>2020</v>
      </c>
      <c r="G2312" s="360" t="s">
        <v>1483</v>
      </c>
      <c r="H2312" s="264" t="s">
        <v>2551</v>
      </c>
      <c r="I2312" s="264" t="str">
        <f t="shared" si="788"/>
        <v xml:space="preserve">   </v>
      </c>
      <c r="J2312" s="1366">
        <v>4250000</v>
      </c>
      <c r="K2312" s="1367">
        <v>44078.706400463001</v>
      </c>
      <c r="L2312" s="1363">
        <v>6000000</v>
      </c>
      <c r="M2312" s="1367">
        <v>44078.706400463001</v>
      </c>
      <c r="N2312" s="2290"/>
      <c r="O2312" s="1367"/>
      <c r="P2312" s="1731"/>
      <c r="Q2312" s="1367"/>
      <c r="R2312" s="1363"/>
      <c r="S2312" s="1563"/>
      <c r="T2312" s="1363"/>
      <c r="U2312" s="1391"/>
      <c r="V2312" s="1363"/>
      <c r="W2312" s="1391"/>
      <c r="X2312" s="1363"/>
      <c r="Y2312" s="1391"/>
      <c r="Z2312" s="1363"/>
      <c r="AA2312" s="1391"/>
      <c r="AB2312" s="1363"/>
      <c r="AC2312" s="1940"/>
      <c r="AD2312" s="2263"/>
      <c r="AE2312" s="1664"/>
      <c r="AF2312" s="2263"/>
      <c r="AG2312" s="1664"/>
      <c r="AH2312" s="2062" t="str">
        <f t="shared" si="773"/>
        <v>PAI3-1</v>
      </c>
      <c r="AI2312" s="1963">
        <f t="shared" si="805"/>
        <v>10250000</v>
      </c>
      <c r="AJ2312" s="2063">
        <f t="shared" si="789"/>
        <v>10250000</v>
      </c>
      <c r="AK2312" s="1836">
        <f t="shared" ref="AK2312" si="806">AJ2312-AI2312</f>
        <v>0</v>
      </c>
      <c r="AL2312" s="1855" t="str">
        <f t="shared" ref="AL2312" si="807">IF(AK2312=0,"Lunas","Cek")</f>
        <v>Lunas</v>
      </c>
      <c r="AM2312"/>
      <c r="AN2312"/>
      <c r="AO2312"/>
      <c r="AP2312"/>
      <c r="AQ2312" s="1731"/>
      <c r="AR2312" s="1870"/>
      <c r="AS2312" s="1731"/>
      <c r="AT2312" s="1871"/>
      <c r="AU2312" s="1731"/>
      <c r="AV2312" s="1870"/>
      <c r="AW2312" s="1731"/>
      <c r="AX2312" s="1870"/>
      <c r="AY2312" s="1906"/>
      <c r="AZ2312" s="1870"/>
      <c r="BA2312" s="1906"/>
      <c r="BB2312" s="1870"/>
    </row>
    <row r="2313" spans="1:54" x14ac:dyDescent="0.25">
      <c r="A2313" s="725"/>
      <c r="B2313" s="725"/>
      <c r="C2313" s="2291">
        <v>205307020001</v>
      </c>
      <c r="D2313" s="750" t="s">
        <v>2802</v>
      </c>
      <c r="H2313" s="124"/>
      <c r="I2313" s="124"/>
      <c r="J2313" s="1212"/>
      <c r="P2313" s="761"/>
      <c r="Q2313" s="1089"/>
      <c r="S2313" s="1375"/>
    </row>
    <row r="2314" spans="1:54" x14ac:dyDescent="0.25">
      <c r="A2314" s="725"/>
      <c r="B2314" s="725"/>
      <c r="C2314" s="33"/>
      <c r="D2314" s="123"/>
      <c r="H2314" s="124"/>
      <c r="I2314" s="124"/>
      <c r="J2314" s="1212"/>
      <c r="P2314" s="761"/>
      <c r="Q2314" s="1089"/>
      <c r="S2314" s="1375"/>
    </row>
    <row r="2315" spans="1:54" x14ac:dyDescent="0.25">
      <c r="A2315" s="725"/>
      <c r="B2315" s="725"/>
      <c r="C2315" s="33"/>
      <c r="D2315" s="123"/>
      <c r="H2315" s="124"/>
      <c r="I2315" s="124"/>
      <c r="J2315" s="1212"/>
      <c r="P2315" s="761"/>
      <c r="Q2315" s="1089"/>
      <c r="S2315" s="1375"/>
    </row>
    <row r="2316" spans="1:54" x14ac:dyDescent="0.25">
      <c r="A2316" s="725"/>
      <c r="B2316" s="725"/>
      <c r="C2316" s="33"/>
      <c r="D2316" s="123"/>
      <c r="H2316" s="124"/>
      <c r="I2316" s="124"/>
      <c r="J2316" s="1212"/>
      <c r="P2316" s="761"/>
      <c r="Q2316" s="1089"/>
      <c r="S2316" s="1375"/>
    </row>
    <row r="2317" spans="1:54" x14ac:dyDescent="0.25">
      <c r="A2317" s="725"/>
      <c r="B2317" s="725"/>
      <c r="C2317" s="33"/>
      <c r="D2317" s="123"/>
      <c r="H2317" s="124"/>
      <c r="I2317" s="124"/>
      <c r="J2317" s="1212"/>
      <c r="P2317" s="761"/>
      <c r="Q2317" s="1089"/>
      <c r="S2317" s="1375"/>
    </row>
    <row r="2318" spans="1:54" x14ac:dyDescent="0.25">
      <c r="A2318" s="725"/>
      <c r="B2318" s="725"/>
      <c r="C2318" s="33"/>
      <c r="D2318" s="123"/>
      <c r="H2318" s="124"/>
      <c r="I2318" s="124"/>
      <c r="J2318" s="1212"/>
      <c r="P2318" s="761"/>
      <c r="Q2318" s="1089"/>
      <c r="S2318" s="1375"/>
    </row>
    <row r="2319" spans="1:54" x14ac:dyDescent="0.25">
      <c r="A2319" s="725"/>
      <c r="B2319" s="725"/>
      <c r="C2319" s="33"/>
      <c r="D2319" s="123"/>
      <c r="H2319" s="124"/>
      <c r="I2319" s="124"/>
      <c r="J2319" s="1212"/>
      <c r="P2319" s="761"/>
      <c r="Q2319" s="1089"/>
      <c r="S2319" s="1375"/>
    </row>
    <row r="2320" spans="1:54" x14ac:dyDescent="0.25">
      <c r="A2320" s="725"/>
      <c r="B2320" s="725"/>
      <c r="C2320" s="33"/>
      <c r="D2320" s="123"/>
      <c r="H2320" s="124"/>
      <c r="I2320" s="124"/>
      <c r="J2320" s="1212"/>
      <c r="P2320" s="761"/>
      <c r="Q2320" s="1089"/>
      <c r="S2320" s="1375"/>
    </row>
    <row r="2321" spans="1:19" x14ac:dyDescent="0.25">
      <c r="A2321" s="725"/>
      <c r="B2321" s="725"/>
      <c r="C2321" s="33"/>
      <c r="D2321" s="123"/>
      <c r="H2321" s="124"/>
      <c r="I2321" s="124"/>
      <c r="J2321" s="1212"/>
      <c r="P2321" s="761"/>
      <c r="Q2321" s="1089"/>
      <c r="S2321" s="1375"/>
    </row>
    <row r="2322" spans="1:19" x14ac:dyDescent="0.25">
      <c r="A2322" s="725"/>
      <c r="B2322" s="725"/>
      <c r="C2322" s="33"/>
      <c r="D2322" s="123"/>
      <c r="H2322" s="124"/>
      <c r="I2322" s="124"/>
      <c r="J2322" s="1212"/>
      <c r="P2322" s="761"/>
      <c r="Q2322" s="1089"/>
      <c r="S2322" s="1375"/>
    </row>
    <row r="2323" spans="1:19" x14ac:dyDescent="0.25">
      <c r="A2323" s="725"/>
      <c r="B2323" s="725"/>
      <c r="C2323" s="33"/>
      <c r="D2323" s="123"/>
      <c r="H2323" s="124"/>
      <c r="I2323" s="124"/>
      <c r="J2323" s="1212"/>
      <c r="P2323" s="761"/>
      <c r="Q2323" s="1089"/>
      <c r="S2323" s="1375"/>
    </row>
    <row r="2324" spans="1:19" x14ac:dyDescent="0.25">
      <c r="A2324" s="725"/>
      <c r="B2324" s="725"/>
      <c r="C2324" s="33"/>
      <c r="D2324" s="123"/>
      <c r="H2324" s="124"/>
      <c r="I2324" s="124"/>
      <c r="J2324" s="1212"/>
      <c r="P2324" s="761"/>
      <c r="Q2324" s="1089"/>
      <c r="S2324" s="1375"/>
    </row>
    <row r="2325" spans="1:19" x14ac:dyDescent="0.25">
      <c r="A2325" s="725"/>
      <c r="B2325" s="725"/>
      <c r="C2325" s="33"/>
      <c r="D2325" s="123"/>
      <c r="H2325" s="124"/>
      <c r="I2325" s="124"/>
      <c r="J2325" s="1212"/>
      <c r="P2325" s="761"/>
      <c r="Q2325" s="1089"/>
      <c r="S2325" s="1375"/>
    </row>
    <row r="2326" spans="1:19" x14ac:dyDescent="0.25">
      <c r="A2326" s="725"/>
      <c r="B2326" s="725"/>
      <c r="C2326" s="33"/>
      <c r="D2326" s="123"/>
      <c r="H2326" s="124"/>
      <c r="I2326" s="124"/>
      <c r="J2326" s="1212"/>
      <c r="P2326" s="761"/>
      <c r="Q2326" s="1089"/>
      <c r="S2326" s="1375"/>
    </row>
    <row r="2327" spans="1:19" x14ac:dyDescent="0.25">
      <c r="A2327" s="725"/>
      <c r="B2327" s="725"/>
      <c r="C2327" s="33"/>
      <c r="D2327" s="123"/>
      <c r="H2327" s="124"/>
      <c r="I2327" s="124"/>
      <c r="J2327" s="1212"/>
      <c r="P2327" s="761"/>
      <c r="Q2327" s="1089"/>
      <c r="S2327" s="1375"/>
    </row>
    <row r="2328" spans="1:19" x14ac:dyDescent="0.25">
      <c r="A2328" s="725"/>
      <c r="B2328" s="725"/>
      <c r="C2328" s="33"/>
      <c r="D2328" s="123"/>
      <c r="H2328" s="124"/>
      <c r="I2328" s="124"/>
      <c r="J2328" s="1212"/>
      <c r="P2328" s="761"/>
      <c r="Q2328" s="1089"/>
      <c r="S2328" s="1375"/>
    </row>
    <row r="2329" spans="1:19" x14ac:dyDescent="0.25">
      <c r="A2329" s="725"/>
      <c r="B2329" s="725"/>
      <c r="C2329" s="33"/>
      <c r="D2329" s="123"/>
      <c r="H2329" s="124"/>
      <c r="I2329" s="124"/>
      <c r="J2329" s="1212"/>
      <c r="P2329" s="761"/>
      <c r="Q2329" s="1089"/>
      <c r="S2329" s="1375"/>
    </row>
    <row r="2330" spans="1:19" x14ac:dyDescent="0.25">
      <c r="A2330" s="725"/>
      <c r="B2330" s="725"/>
      <c r="C2330" s="33"/>
      <c r="D2330" s="123"/>
      <c r="H2330" s="124"/>
      <c r="I2330" s="124"/>
      <c r="J2330" s="1212"/>
      <c r="P2330" s="761"/>
      <c r="Q2330" s="1089"/>
      <c r="S2330" s="1375"/>
    </row>
    <row r="2331" spans="1:19" x14ac:dyDescent="0.25">
      <c r="A2331" s="725"/>
      <c r="B2331" s="725"/>
      <c r="C2331" s="33"/>
      <c r="D2331" s="123"/>
      <c r="H2331" s="124"/>
      <c r="I2331" s="124"/>
      <c r="J2331" s="1212"/>
      <c r="P2331" s="761"/>
      <c r="Q2331" s="1089"/>
      <c r="S2331" s="1375"/>
    </row>
    <row r="2332" spans="1:19" x14ac:dyDescent="0.25">
      <c r="A2332" s="725"/>
      <c r="B2332" s="725"/>
      <c r="C2332" s="33"/>
      <c r="D2332" s="123"/>
      <c r="H2332" s="124"/>
      <c r="I2332" s="124"/>
      <c r="J2332" s="1212"/>
      <c r="P2332" s="761"/>
      <c r="Q2332" s="1089"/>
      <c r="S2332" s="1375"/>
    </row>
    <row r="2333" spans="1:19" x14ac:dyDescent="0.25">
      <c r="A2333" s="725"/>
      <c r="B2333" s="725"/>
      <c r="C2333" s="33"/>
      <c r="D2333" s="123"/>
      <c r="H2333" s="124"/>
      <c r="I2333" s="124"/>
      <c r="J2333" s="1212"/>
      <c r="P2333" s="761"/>
      <c r="Q2333" s="1089"/>
      <c r="S2333" s="1375"/>
    </row>
    <row r="2334" spans="1:19" x14ac:dyDescent="0.25">
      <c r="A2334" s="725"/>
      <c r="B2334" s="725"/>
      <c r="C2334" s="33"/>
      <c r="D2334" s="123"/>
      <c r="H2334" s="124"/>
      <c r="I2334" s="124"/>
      <c r="J2334" s="1212"/>
      <c r="P2334" s="761"/>
      <c r="Q2334" s="1089"/>
      <c r="S2334" s="1375"/>
    </row>
    <row r="2335" spans="1:19" x14ac:dyDescent="0.25">
      <c r="A2335" s="725"/>
      <c r="B2335" s="725"/>
      <c r="C2335" s="33"/>
      <c r="D2335" s="123"/>
      <c r="H2335" s="124"/>
      <c r="I2335" s="124"/>
      <c r="J2335" s="1212"/>
      <c r="P2335" s="761"/>
      <c r="Q2335" s="1089"/>
      <c r="S2335" s="1375"/>
    </row>
    <row r="2336" spans="1:19" x14ac:dyDescent="0.25">
      <c r="A2336" s="725"/>
      <c r="B2336" s="725"/>
      <c r="C2336" s="33"/>
      <c r="D2336" s="123"/>
      <c r="H2336" s="124"/>
      <c r="I2336" s="124"/>
      <c r="J2336" s="1212"/>
      <c r="P2336" s="761"/>
      <c r="Q2336" s="1089"/>
      <c r="S2336" s="1375"/>
    </row>
    <row r="2337" spans="1:19" x14ac:dyDescent="0.25">
      <c r="A2337" s="725"/>
      <c r="B2337" s="725"/>
      <c r="C2337" s="33"/>
      <c r="D2337" s="123"/>
      <c r="H2337" s="124"/>
      <c r="I2337" s="124"/>
      <c r="J2337" s="1212"/>
      <c r="P2337" s="761"/>
      <c r="Q2337" s="1089"/>
      <c r="S2337" s="1375"/>
    </row>
    <row r="2338" spans="1:19" x14ac:dyDescent="0.25">
      <c r="A2338" s="725"/>
      <c r="B2338" s="725"/>
      <c r="C2338" s="33"/>
      <c r="D2338" s="123"/>
      <c r="H2338" s="124"/>
      <c r="I2338" s="124"/>
      <c r="J2338" s="1212"/>
      <c r="P2338" s="761"/>
      <c r="Q2338" s="1089"/>
      <c r="S2338" s="1375"/>
    </row>
    <row r="2339" spans="1:19" x14ac:dyDescent="0.25">
      <c r="A2339" s="725"/>
      <c r="B2339" s="725"/>
      <c r="C2339" s="33"/>
      <c r="D2339" s="123"/>
      <c r="H2339" s="124"/>
      <c r="I2339" s="124"/>
      <c r="J2339" s="1212"/>
      <c r="P2339" s="761"/>
      <c r="Q2339" s="1089"/>
      <c r="S2339" s="1375"/>
    </row>
    <row r="2340" spans="1:19" x14ac:dyDescent="0.25">
      <c r="A2340" s="725"/>
      <c r="B2340" s="725"/>
      <c r="C2340" s="33"/>
      <c r="D2340" s="123"/>
      <c r="H2340" s="124"/>
      <c r="I2340" s="124"/>
      <c r="J2340" s="1212"/>
      <c r="P2340" s="761"/>
      <c r="Q2340" s="1089"/>
      <c r="S2340" s="1375"/>
    </row>
    <row r="2341" spans="1:19" x14ac:dyDescent="0.25">
      <c r="A2341" s="725"/>
      <c r="B2341" s="725"/>
      <c r="C2341" s="33"/>
      <c r="D2341" s="123"/>
      <c r="H2341" s="124"/>
      <c r="I2341" s="124"/>
      <c r="J2341" s="1212"/>
      <c r="P2341" s="761"/>
      <c r="Q2341" s="1089"/>
      <c r="S2341" s="1375"/>
    </row>
    <row r="2342" spans="1:19" x14ac:dyDescent="0.25">
      <c r="A2342" s="725"/>
      <c r="B2342" s="725"/>
      <c r="C2342" s="33"/>
      <c r="D2342" s="123"/>
      <c r="H2342" s="124"/>
      <c r="I2342" s="124"/>
      <c r="J2342" s="1212"/>
      <c r="P2342" s="761"/>
      <c r="Q2342" s="1089"/>
      <c r="S2342" s="1375"/>
    </row>
    <row r="2343" spans="1:19" x14ac:dyDescent="0.25">
      <c r="A2343" s="725"/>
      <c r="B2343" s="725"/>
      <c r="C2343" s="33"/>
      <c r="D2343" s="123"/>
      <c r="H2343" s="124"/>
      <c r="I2343" s="124"/>
      <c r="J2343" s="1212"/>
      <c r="P2343" s="761"/>
      <c r="Q2343" s="1089"/>
      <c r="S2343" s="1375"/>
    </row>
    <row r="2344" spans="1:19" x14ac:dyDescent="0.25">
      <c r="A2344" s="725"/>
      <c r="B2344" s="725"/>
      <c r="C2344" s="33"/>
      <c r="D2344" s="123"/>
      <c r="H2344" s="124"/>
      <c r="I2344" s="124"/>
      <c r="J2344" s="1212"/>
      <c r="P2344" s="761"/>
      <c r="Q2344" s="1089"/>
      <c r="S2344" s="1375"/>
    </row>
    <row r="2345" spans="1:19" x14ac:dyDescent="0.25">
      <c r="A2345" s="725"/>
      <c r="B2345" s="725"/>
      <c r="C2345" s="33"/>
      <c r="D2345" s="123"/>
      <c r="H2345" s="124"/>
      <c r="I2345" s="124"/>
      <c r="J2345" s="1212"/>
      <c r="P2345" s="761"/>
      <c r="Q2345" s="1089"/>
      <c r="S2345" s="1375"/>
    </row>
    <row r="2346" spans="1:19" x14ac:dyDescent="0.25">
      <c r="A2346" s="725"/>
      <c r="B2346" s="725"/>
      <c r="C2346" s="33"/>
      <c r="D2346" s="123"/>
      <c r="H2346" s="124"/>
      <c r="I2346" s="124"/>
      <c r="J2346" s="1212"/>
      <c r="P2346" s="761"/>
      <c r="Q2346" s="1089"/>
      <c r="S2346" s="1375"/>
    </row>
    <row r="2347" spans="1:19" x14ac:dyDescent="0.25">
      <c r="A2347" s="725"/>
      <c r="B2347" s="725"/>
      <c r="C2347" s="33"/>
      <c r="D2347" s="123"/>
      <c r="H2347" s="124"/>
      <c r="I2347" s="124"/>
      <c r="J2347" s="1212"/>
      <c r="P2347" s="761"/>
      <c r="Q2347" s="1089"/>
      <c r="S2347" s="1375"/>
    </row>
    <row r="2348" spans="1:19" x14ac:dyDescent="0.25">
      <c r="A2348" s="725"/>
      <c r="B2348" s="725"/>
      <c r="C2348" s="33"/>
      <c r="D2348" s="123"/>
      <c r="H2348" s="124"/>
      <c r="I2348" s="124"/>
      <c r="J2348" s="1212"/>
      <c r="P2348" s="761"/>
      <c r="Q2348" s="1089"/>
      <c r="S2348" s="1375"/>
    </row>
    <row r="2349" spans="1:19" x14ac:dyDescent="0.25">
      <c r="A2349" s="725"/>
      <c r="B2349" s="725"/>
      <c r="C2349" s="33"/>
      <c r="D2349" s="123"/>
      <c r="H2349" s="124"/>
      <c r="I2349" s="124"/>
      <c r="J2349" s="1212"/>
      <c r="P2349" s="761"/>
      <c r="Q2349" s="1089"/>
      <c r="S2349" s="1375"/>
    </row>
    <row r="2350" spans="1:19" x14ac:dyDescent="0.25">
      <c r="A2350" s="725"/>
      <c r="B2350" s="725"/>
      <c r="C2350" s="33"/>
      <c r="D2350" s="123"/>
      <c r="H2350" s="124"/>
      <c r="I2350" s="124"/>
      <c r="J2350" s="1212"/>
      <c r="P2350" s="761"/>
      <c r="Q2350" s="1089"/>
      <c r="S2350" s="1375"/>
    </row>
    <row r="2351" spans="1:19" x14ac:dyDescent="0.25">
      <c r="A2351" s="725"/>
      <c r="B2351" s="725"/>
      <c r="C2351" s="33"/>
      <c r="D2351" s="123"/>
      <c r="H2351" s="124"/>
      <c r="I2351" s="124"/>
      <c r="J2351" s="1212"/>
      <c r="P2351" s="761"/>
      <c r="Q2351" s="1089"/>
      <c r="S2351" s="1375"/>
    </row>
    <row r="2352" spans="1:19" x14ac:dyDescent="0.25">
      <c r="A2352" s="725"/>
      <c r="B2352" s="725"/>
      <c r="C2352" s="33"/>
      <c r="D2352" s="123"/>
      <c r="H2352" s="124"/>
      <c r="I2352" s="124"/>
      <c r="J2352" s="1212"/>
      <c r="P2352" s="761"/>
      <c r="Q2352" s="1089"/>
      <c r="S2352" s="1375"/>
    </row>
    <row r="2353" spans="1:19" x14ac:dyDescent="0.25">
      <c r="A2353" s="725"/>
      <c r="B2353" s="725"/>
      <c r="C2353" s="33"/>
      <c r="D2353" s="123"/>
      <c r="H2353" s="124"/>
      <c r="I2353" s="124"/>
      <c r="J2353" s="1212"/>
      <c r="P2353" s="761"/>
      <c r="Q2353" s="1089"/>
      <c r="S2353" s="1375"/>
    </row>
    <row r="2354" spans="1:19" x14ac:dyDescent="0.25">
      <c r="A2354" s="725"/>
      <c r="B2354" s="725"/>
      <c r="C2354" s="33"/>
      <c r="D2354" s="123"/>
      <c r="H2354" s="124"/>
      <c r="I2354" s="124"/>
      <c r="J2354" s="1212"/>
      <c r="P2354" s="761"/>
      <c r="Q2354" s="1089"/>
      <c r="S2354" s="1375"/>
    </row>
    <row r="2355" spans="1:19" x14ac:dyDescent="0.25">
      <c r="A2355" s="725"/>
      <c r="B2355" s="725"/>
      <c r="C2355" s="33"/>
      <c r="D2355" s="123"/>
      <c r="H2355" s="124"/>
      <c r="I2355" s="124"/>
      <c r="J2355" s="1212"/>
      <c r="P2355" s="761"/>
      <c r="Q2355" s="1089"/>
      <c r="S2355" s="1375"/>
    </row>
    <row r="2356" spans="1:19" x14ac:dyDescent="0.25">
      <c r="A2356" s="725"/>
      <c r="B2356" s="725"/>
      <c r="C2356" s="33"/>
      <c r="D2356" s="123"/>
      <c r="H2356" s="124"/>
      <c r="I2356" s="124"/>
      <c r="J2356" s="1212"/>
      <c r="P2356" s="761"/>
      <c r="Q2356" s="1089"/>
      <c r="S2356" s="1375"/>
    </row>
    <row r="2357" spans="1:19" x14ac:dyDescent="0.25">
      <c r="A2357" s="725"/>
      <c r="B2357" s="725"/>
      <c r="C2357" s="33"/>
      <c r="D2357" s="123"/>
      <c r="H2357" s="124"/>
      <c r="I2357" s="124"/>
      <c r="J2357" s="1212"/>
      <c r="P2357" s="761"/>
      <c r="Q2357" s="1089"/>
      <c r="S2357" s="1375"/>
    </row>
    <row r="2358" spans="1:19" x14ac:dyDescent="0.25">
      <c r="A2358" s="725"/>
      <c r="B2358" s="725"/>
      <c r="C2358" s="33"/>
      <c r="D2358" s="123"/>
      <c r="H2358" s="124"/>
      <c r="I2358" s="124"/>
      <c r="J2358" s="1212"/>
      <c r="P2358" s="761"/>
      <c r="Q2358" s="1089"/>
      <c r="S2358" s="1375"/>
    </row>
    <row r="2359" spans="1:19" x14ac:dyDescent="0.25">
      <c r="A2359" s="725"/>
      <c r="B2359" s="725"/>
      <c r="C2359" s="33"/>
      <c r="D2359" s="123"/>
      <c r="H2359" s="124"/>
      <c r="I2359" s="124"/>
      <c r="J2359" s="1212"/>
      <c r="P2359" s="761"/>
      <c r="Q2359" s="1089"/>
      <c r="S2359" s="1375"/>
    </row>
    <row r="2360" spans="1:19" x14ac:dyDescent="0.25">
      <c r="A2360" s="725"/>
      <c r="B2360" s="725"/>
      <c r="C2360" s="33"/>
      <c r="D2360" s="123"/>
      <c r="H2360" s="124"/>
      <c r="I2360" s="124"/>
      <c r="J2360" s="1212"/>
      <c r="P2360" s="761"/>
      <c r="Q2360" s="1089"/>
      <c r="S2360" s="1375"/>
    </row>
    <row r="2361" spans="1:19" x14ac:dyDescent="0.25">
      <c r="A2361" s="725"/>
      <c r="B2361" s="725"/>
      <c r="C2361" s="33"/>
      <c r="D2361" s="123"/>
      <c r="H2361" s="124"/>
      <c r="I2361" s="124"/>
      <c r="J2361" s="1212"/>
      <c r="P2361" s="761"/>
      <c r="Q2361" s="1089"/>
      <c r="S2361" s="1375"/>
    </row>
    <row r="2362" spans="1:19" x14ac:dyDescent="0.25">
      <c r="A2362" s="725"/>
      <c r="B2362" s="725"/>
      <c r="C2362" s="33"/>
      <c r="D2362" s="123"/>
      <c r="H2362" s="124"/>
      <c r="I2362" s="124"/>
      <c r="J2362" s="1212"/>
      <c r="P2362" s="761"/>
      <c r="Q2362" s="1089"/>
      <c r="S2362" s="1375"/>
    </row>
    <row r="2363" spans="1:19" x14ac:dyDescent="0.25">
      <c r="A2363" s="725"/>
      <c r="B2363" s="725"/>
      <c r="C2363" s="33"/>
      <c r="D2363" s="123"/>
      <c r="H2363" s="124"/>
      <c r="I2363" s="124"/>
      <c r="J2363" s="1212"/>
      <c r="P2363" s="761"/>
      <c r="Q2363" s="1089"/>
      <c r="S2363" s="1375"/>
    </row>
    <row r="2364" spans="1:19" x14ac:dyDescent="0.25">
      <c r="A2364" s="725"/>
      <c r="B2364" s="725"/>
      <c r="C2364" s="33"/>
      <c r="D2364" s="123"/>
      <c r="H2364" s="124"/>
      <c r="I2364" s="124"/>
      <c r="J2364" s="1212"/>
      <c r="P2364" s="761"/>
      <c r="Q2364" s="1089"/>
      <c r="S2364" s="1375"/>
    </row>
    <row r="2365" spans="1:19" x14ac:dyDescent="0.25">
      <c r="A2365" s="725"/>
      <c r="B2365" s="725"/>
      <c r="C2365" s="33"/>
      <c r="D2365" s="123"/>
      <c r="H2365" s="124"/>
      <c r="I2365" s="124"/>
      <c r="J2365" s="1212"/>
      <c r="P2365" s="761"/>
      <c r="Q2365" s="1089"/>
      <c r="S2365" s="1375"/>
    </row>
    <row r="2366" spans="1:19" x14ac:dyDescent="0.25">
      <c r="A2366" s="725"/>
      <c r="B2366" s="725"/>
      <c r="C2366" s="33"/>
      <c r="D2366" s="123"/>
      <c r="H2366" s="124"/>
      <c r="I2366" s="124"/>
      <c r="J2366" s="1212"/>
      <c r="P2366" s="761"/>
      <c r="Q2366" s="1089"/>
      <c r="S2366" s="1375"/>
    </row>
    <row r="2367" spans="1:19" x14ac:dyDescent="0.25">
      <c r="A2367" s="725"/>
      <c r="B2367" s="725"/>
      <c r="C2367" s="33"/>
      <c r="D2367" s="123"/>
      <c r="H2367" s="124"/>
      <c r="I2367" s="124"/>
      <c r="J2367" s="1212"/>
      <c r="P2367" s="761"/>
      <c r="Q2367" s="1089"/>
      <c r="S2367" s="1375"/>
    </row>
    <row r="2368" spans="1:19" x14ac:dyDescent="0.25">
      <c r="A2368" s="725"/>
      <c r="B2368" s="725"/>
      <c r="C2368" s="33"/>
      <c r="D2368" s="123"/>
      <c r="H2368" s="124"/>
      <c r="I2368" s="124"/>
      <c r="J2368" s="1212"/>
      <c r="P2368" s="761"/>
      <c r="Q2368" s="1089"/>
      <c r="S2368" s="1375"/>
    </row>
    <row r="2369" spans="1:19" x14ac:dyDescent="0.25">
      <c r="A2369" s="725"/>
      <c r="B2369" s="725"/>
      <c r="C2369" s="33"/>
      <c r="D2369" s="123"/>
      <c r="H2369" s="124"/>
      <c r="I2369" s="124"/>
      <c r="J2369" s="1212"/>
      <c r="P2369" s="761"/>
      <c r="Q2369" s="1089"/>
      <c r="S2369" s="1375"/>
    </row>
    <row r="2370" spans="1:19" x14ac:dyDescent="0.25">
      <c r="A2370" s="725"/>
      <c r="B2370" s="725"/>
      <c r="C2370" s="33"/>
      <c r="D2370" s="123"/>
      <c r="H2370" s="124"/>
      <c r="I2370" s="124"/>
      <c r="J2370" s="1212"/>
      <c r="P2370" s="761"/>
      <c r="Q2370" s="1089"/>
      <c r="S2370" s="1375"/>
    </row>
    <row r="2371" spans="1:19" x14ac:dyDescent="0.25">
      <c r="A2371" s="725"/>
      <c r="B2371" s="725"/>
      <c r="C2371" s="33"/>
      <c r="D2371" s="123"/>
      <c r="H2371" s="124"/>
      <c r="I2371" s="124"/>
      <c r="J2371" s="1212"/>
      <c r="P2371" s="761"/>
      <c r="Q2371" s="1089"/>
      <c r="S2371" s="1375"/>
    </row>
    <row r="2372" spans="1:19" x14ac:dyDescent="0.25">
      <c r="A2372" s="725"/>
      <c r="B2372" s="725"/>
      <c r="C2372" s="33"/>
      <c r="D2372" s="123"/>
      <c r="H2372" s="124"/>
      <c r="I2372" s="124"/>
      <c r="J2372" s="1212"/>
      <c r="P2372" s="761"/>
      <c r="Q2372" s="1089"/>
      <c r="S2372" s="1375"/>
    </row>
    <row r="2373" spans="1:19" x14ac:dyDescent="0.25">
      <c r="A2373" s="725"/>
      <c r="B2373" s="725"/>
      <c r="C2373" s="33"/>
      <c r="D2373" s="123"/>
      <c r="H2373" s="124"/>
      <c r="I2373" s="124"/>
      <c r="J2373" s="1212"/>
      <c r="P2373" s="761"/>
      <c r="Q2373" s="1089"/>
      <c r="S2373" s="1375"/>
    </row>
    <row r="2374" spans="1:19" x14ac:dyDescent="0.25">
      <c r="A2374" s="725"/>
      <c r="B2374" s="725"/>
      <c r="C2374" s="33"/>
      <c r="D2374" s="123"/>
      <c r="H2374" s="124"/>
      <c r="I2374" s="124"/>
      <c r="J2374" s="1212"/>
      <c r="P2374" s="761"/>
      <c r="Q2374" s="1089"/>
      <c r="S2374" s="1375"/>
    </row>
    <row r="2375" spans="1:19" x14ac:dyDescent="0.25">
      <c r="A2375" s="725"/>
      <c r="B2375" s="725"/>
      <c r="C2375" s="33"/>
      <c r="D2375" s="123"/>
      <c r="H2375" s="124"/>
      <c r="I2375" s="124"/>
      <c r="J2375" s="1212"/>
      <c r="P2375" s="761"/>
      <c r="Q2375" s="1089"/>
      <c r="S2375" s="1375"/>
    </row>
    <row r="2376" spans="1:19" x14ac:dyDescent="0.25">
      <c r="A2376" s="725"/>
      <c r="B2376" s="725"/>
      <c r="C2376" s="33"/>
      <c r="D2376" s="123"/>
      <c r="H2376" s="124"/>
      <c r="I2376" s="124"/>
      <c r="J2376" s="1212"/>
      <c r="P2376" s="761"/>
      <c r="Q2376" s="1089"/>
      <c r="S2376" s="1375"/>
    </row>
    <row r="2377" spans="1:19" x14ac:dyDescent="0.25">
      <c r="A2377" s="725"/>
      <c r="B2377" s="725"/>
      <c r="C2377" s="33"/>
      <c r="D2377" s="123"/>
      <c r="H2377" s="124"/>
      <c r="I2377" s="124"/>
      <c r="J2377" s="1212"/>
      <c r="P2377" s="761"/>
      <c r="Q2377" s="1089"/>
      <c r="S2377" s="1375"/>
    </row>
    <row r="2378" spans="1:19" x14ac:dyDescent="0.25">
      <c r="A2378" s="725"/>
      <c r="B2378" s="725"/>
      <c r="C2378" s="33"/>
      <c r="D2378" s="123"/>
      <c r="H2378" s="124"/>
      <c r="I2378" s="124"/>
      <c r="J2378" s="1212"/>
      <c r="P2378" s="761"/>
      <c r="Q2378" s="1089"/>
      <c r="S2378" s="1375"/>
    </row>
    <row r="2379" spans="1:19" x14ac:dyDescent="0.25">
      <c r="A2379" s="725"/>
      <c r="B2379" s="725"/>
      <c r="C2379" s="33"/>
      <c r="D2379" s="123"/>
      <c r="H2379" s="124"/>
      <c r="I2379" s="124"/>
      <c r="J2379" s="1212"/>
      <c r="P2379" s="761"/>
      <c r="Q2379" s="1089"/>
      <c r="S2379" s="1375"/>
    </row>
    <row r="2380" spans="1:19" x14ac:dyDescent="0.25">
      <c r="A2380" s="725"/>
      <c r="B2380" s="725"/>
      <c r="C2380" s="33"/>
      <c r="D2380" s="123"/>
      <c r="H2380" s="124"/>
      <c r="I2380" s="124"/>
      <c r="J2380" s="1212"/>
      <c r="P2380" s="761"/>
      <c r="Q2380" s="1089"/>
      <c r="S2380" s="1375"/>
    </row>
    <row r="2381" spans="1:19" x14ac:dyDescent="0.25">
      <c r="A2381" s="725"/>
      <c r="B2381" s="725"/>
      <c r="C2381" s="33"/>
      <c r="D2381" s="123"/>
      <c r="H2381" s="124"/>
      <c r="I2381" s="124"/>
      <c r="J2381" s="1212"/>
      <c r="P2381" s="761"/>
      <c r="Q2381" s="1089"/>
      <c r="S2381" s="1375"/>
    </row>
    <row r="2382" spans="1:19" x14ac:dyDescent="0.25">
      <c r="A2382" s="725"/>
      <c r="B2382" s="725"/>
      <c r="C2382" s="33"/>
      <c r="D2382" s="123"/>
      <c r="H2382" s="124"/>
      <c r="I2382" s="124"/>
      <c r="J2382" s="1212"/>
      <c r="P2382" s="761"/>
      <c r="Q2382" s="1089"/>
      <c r="S2382" s="1375"/>
    </row>
    <row r="2383" spans="1:19" x14ac:dyDescent="0.25">
      <c r="A2383" s="725"/>
      <c r="B2383" s="725"/>
      <c r="C2383" s="33"/>
      <c r="D2383" s="123"/>
      <c r="H2383" s="124"/>
      <c r="I2383" s="124"/>
      <c r="J2383" s="1212"/>
      <c r="P2383" s="761"/>
      <c r="Q2383" s="1089"/>
      <c r="S2383" s="1375"/>
    </row>
    <row r="2384" spans="1:19" x14ac:dyDescent="0.25">
      <c r="A2384" s="725"/>
      <c r="B2384" s="725"/>
      <c r="C2384" s="33"/>
      <c r="D2384" s="123"/>
      <c r="H2384" s="124"/>
      <c r="I2384" s="124"/>
      <c r="J2384" s="1212"/>
      <c r="P2384" s="761"/>
      <c r="Q2384" s="1089"/>
      <c r="S2384" s="1375"/>
    </row>
    <row r="2385" spans="1:19" x14ac:dyDescent="0.25">
      <c r="A2385" s="725"/>
      <c r="B2385" s="725"/>
      <c r="C2385" s="33"/>
      <c r="D2385" s="123"/>
      <c r="H2385" s="124"/>
      <c r="I2385" s="124"/>
      <c r="J2385" s="1212"/>
      <c r="P2385" s="761"/>
      <c r="Q2385" s="1089"/>
      <c r="S2385" s="1375"/>
    </row>
    <row r="2386" spans="1:19" x14ac:dyDescent="0.25">
      <c r="A2386" s="725"/>
      <c r="B2386" s="725"/>
      <c r="C2386" s="33"/>
      <c r="D2386" s="123"/>
      <c r="H2386" s="124"/>
      <c r="I2386" s="124"/>
      <c r="J2386" s="1212"/>
      <c r="P2386" s="761"/>
      <c r="Q2386" s="1089"/>
      <c r="S2386" s="1375"/>
    </row>
    <row r="2387" spans="1:19" x14ac:dyDescent="0.25">
      <c r="A2387" s="725"/>
      <c r="B2387" s="725"/>
      <c r="C2387" s="33"/>
      <c r="D2387" s="123"/>
      <c r="H2387" s="124"/>
      <c r="I2387" s="124"/>
      <c r="J2387" s="1212"/>
      <c r="P2387" s="761"/>
      <c r="Q2387" s="1089"/>
      <c r="S2387" s="1375"/>
    </row>
    <row r="2388" spans="1:19" x14ac:dyDescent="0.25">
      <c r="A2388" s="725"/>
      <c r="B2388" s="725"/>
      <c r="C2388" s="33"/>
      <c r="D2388" s="123"/>
      <c r="H2388" s="124"/>
      <c r="I2388" s="124"/>
      <c r="J2388" s="1212"/>
      <c r="P2388" s="761"/>
      <c r="Q2388" s="1089"/>
      <c r="S2388" s="1375"/>
    </row>
    <row r="2389" spans="1:19" x14ac:dyDescent="0.25">
      <c r="A2389" s="725"/>
      <c r="B2389" s="725"/>
      <c r="C2389" s="33"/>
      <c r="D2389" s="123"/>
      <c r="H2389" s="124"/>
      <c r="I2389" s="124"/>
      <c r="J2389" s="1212"/>
      <c r="P2389" s="761"/>
      <c r="Q2389" s="1089"/>
      <c r="S2389" s="1375"/>
    </row>
    <row r="2390" spans="1:19" x14ac:dyDescent="0.25">
      <c r="A2390" s="725"/>
      <c r="B2390" s="725"/>
      <c r="C2390" s="33"/>
      <c r="D2390" s="123"/>
      <c r="H2390" s="124"/>
      <c r="I2390" s="124"/>
      <c r="J2390" s="1212"/>
      <c r="P2390" s="761"/>
      <c r="Q2390" s="1089"/>
      <c r="S2390" s="1375"/>
    </row>
    <row r="2391" spans="1:19" x14ac:dyDescent="0.25">
      <c r="A2391" s="725"/>
      <c r="B2391" s="725"/>
      <c r="C2391" s="33"/>
      <c r="D2391" s="123"/>
      <c r="H2391" s="124"/>
      <c r="I2391" s="124"/>
      <c r="J2391" s="1212"/>
      <c r="P2391" s="761"/>
      <c r="Q2391" s="1089"/>
      <c r="S2391" s="1375"/>
    </row>
    <row r="2392" spans="1:19" x14ac:dyDescent="0.25">
      <c r="A2392" s="725"/>
      <c r="B2392" s="725"/>
      <c r="C2392" s="33"/>
      <c r="D2392" s="123"/>
      <c r="H2392" s="124"/>
      <c r="I2392" s="124"/>
      <c r="J2392" s="1212"/>
      <c r="P2392" s="761"/>
      <c r="Q2392" s="1089"/>
      <c r="S2392" s="1375"/>
    </row>
    <row r="2393" spans="1:19" x14ac:dyDescent="0.25">
      <c r="A2393" s="725"/>
      <c r="B2393" s="725"/>
      <c r="C2393" s="33"/>
      <c r="D2393" s="123"/>
      <c r="H2393" s="124"/>
      <c r="I2393" s="124"/>
      <c r="J2393" s="1212"/>
      <c r="P2393" s="761"/>
      <c r="Q2393" s="1089"/>
      <c r="S2393" s="1375"/>
    </row>
    <row r="2394" spans="1:19" x14ac:dyDescent="0.25">
      <c r="A2394" s="725"/>
      <c r="B2394" s="725"/>
      <c r="C2394" s="33"/>
      <c r="D2394" s="123"/>
      <c r="H2394" s="124"/>
      <c r="I2394" s="124"/>
      <c r="J2394" s="1212"/>
      <c r="P2394" s="761"/>
      <c r="Q2394" s="1089"/>
      <c r="S2394" s="1375"/>
    </row>
    <row r="2395" spans="1:19" x14ac:dyDescent="0.25">
      <c r="A2395" s="725"/>
      <c r="B2395" s="725"/>
      <c r="C2395" s="33"/>
      <c r="D2395" s="123"/>
      <c r="H2395" s="124"/>
      <c r="I2395" s="124"/>
      <c r="J2395" s="1212"/>
      <c r="P2395" s="761"/>
      <c r="Q2395" s="1089"/>
      <c r="S2395" s="1375"/>
    </row>
    <row r="2396" spans="1:19" x14ac:dyDescent="0.25">
      <c r="A2396" s="725"/>
      <c r="B2396" s="725"/>
      <c r="C2396" s="33"/>
      <c r="D2396" s="123"/>
      <c r="H2396" s="124"/>
      <c r="I2396" s="124"/>
      <c r="J2396" s="1212"/>
      <c r="P2396" s="761"/>
      <c r="Q2396" s="1089"/>
      <c r="S2396" s="1375"/>
    </row>
    <row r="2397" spans="1:19" x14ac:dyDescent="0.25">
      <c r="A2397" s="725"/>
      <c r="B2397" s="725"/>
      <c r="C2397" s="33"/>
      <c r="D2397" s="123"/>
      <c r="H2397" s="124"/>
      <c r="I2397" s="124"/>
      <c r="J2397" s="1212"/>
      <c r="P2397" s="761"/>
      <c r="Q2397" s="1089"/>
      <c r="S2397" s="1375"/>
    </row>
    <row r="2398" spans="1:19" x14ac:dyDescent="0.25">
      <c r="A2398" s="725"/>
      <c r="B2398" s="725"/>
      <c r="C2398" s="33"/>
      <c r="D2398" s="123"/>
      <c r="H2398" s="124"/>
      <c r="I2398" s="124"/>
      <c r="J2398" s="1212"/>
      <c r="P2398" s="761"/>
      <c r="Q2398" s="1089"/>
      <c r="S2398" s="1375"/>
    </row>
    <row r="2399" spans="1:19" x14ac:dyDescent="0.25">
      <c r="A2399" s="725"/>
      <c r="B2399" s="725"/>
      <c r="C2399" s="33"/>
      <c r="D2399" s="123"/>
      <c r="H2399" s="124"/>
      <c r="I2399" s="124"/>
      <c r="J2399" s="1212"/>
      <c r="P2399" s="761"/>
      <c r="Q2399" s="1089"/>
      <c r="S2399" s="1375"/>
    </row>
    <row r="2400" spans="1:19" x14ac:dyDescent="0.25">
      <c r="A2400" s="725"/>
      <c r="B2400" s="725"/>
      <c r="C2400" s="33"/>
      <c r="D2400" s="123"/>
      <c r="H2400" s="124"/>
      <c r="I2400" s="124"/>
      <c r="J2400" s="1212"/>
      <c r="P2400" s="761"/>
      <c r="Q2400" s="1089"/>
      <c r="S2400" s="1375"/>
    </row>
    <row r="2401" spans="1:19" x14ac:dyDescent="0.25">
      <c r="A2401" s="725"/>
      <c r="B2401" s="725"/>
      <c r="C2401" s="33"/>
      <c r="D2401" s="123"/>
      <c r="H2401" s="124"/>
      <c r="I2401" s="124"/>
      <c r="J2401" s="1212"/>
      <c r="P2401" s="761"/>
      <c r="Q2401" s="1089"/>
      <c r="S2401" s="1375"/>
    </row>
    <row r="2402" spans="1:19" x14ac:dyDescent="0.25">
      <c r="A2402" s="725"/>
      <c r="B2402" s="725"/>
      <c r="C2402" s="33"/>
      <c r="D2402" s="123"/>
      <c r="H2402" s="124"/>
      <c r="I2402" s="124"/>
      <c r="J2402" s="1212"/>
      <c r="P2402" s="761"/>
      <c r="Q2402" s="1089"/>
      <c r="S2402" s="1375"/>
    </row>
    <row r="2403" spans="1:19" x14ac:dyDescent="0.25">
      <c r="A2403" s="725"/>
      <c r="B2403" s="725"/>
      <c r="C2403" s="33"/>
      <c r="D2403" s="123"/>
      <c r="H2403" s="124"/>
      <c r="I2403" s="124"/>
      <c r="J2403" s="1212"/>
      <c r="P2403" s="761"/>
      <c r="Q2403" s="1089"/>
      <c r="S2403" s="1375"/>
    </row>
    <row r="2404" spans="1:19" x14ac:dyDescent="0.25">
      <c r="A2404" s="725"/>
      <c r="B2404" s="725"/>
      <c r="C2404" s="33"/>
      <c r="D2404" s="123"/>
      <c r="H2404" s="124"/>
      <c r="I2404" s="124"/>
      <c r="J2404" s="1212"/>
      <c r="P2404" s="761"/>
      <c r="Q2404" s="1089"/>
      <c r="S2404" s="1375"/>
    </row>
    <row r="2405" spans="1:19" x14ac:dyDescent="0.25">
      <c r="A2405" s="725"/>
      <c r="B2405" s="725"/>
      <c r="C2405" s="33"/>
      <c r="D2405" s="123"/>
      <c r="H2405" s="124"/>
      <c r="I2405" s="124"/>
      <c r="J2405" s="1212"/>
      <c r="P2405" s="761"/>
      <c r="Q2405" s="1089"/>
      <c r="S2405" s="1375"/>
    </row>
    <row r="2406" spans="1:19" x14ac:dyDescent="0.25">
      <c r="A2406" s="725"/>
      <c r="B2406" s="725"/>
      <c r="C2406" s="33"/>
      <c r="D2406" s="123"/>
      <c r="H2406" s="124"/>
      <c r="I2406" s="124"/>
      <c r="J2406" s="1212"/>
      <c r="P2406" s="761"/>
      <c r="Q2406" s="1089"/>
      <c r="S2406" s="1375"/>
    </row>
    <row r="2407" spans="1:19" x14ac:dyDescent="0.25">
      <c r="A2407" s="725"/>
      <c r="B2407" s="725"/>
      <c r="C2407" s="33"/>
      <c r="D2407" s="123"/>
      <c r="H2407" s="124"/>
      <c r="I2407" s="124"/>
      <c r="J2407" s="1212"/>
      <c r="P2407" s="761"/>
      <c r="Q2407" s="1089"/>
      <c r="S2407" s="1375"/>
    </row>
    <row r="2408" spans="1:19" x14ac:dyDescent="0.25">
      <c r="A2408" s="725"/>
      <c r="B2408" s="725"/>
      <c r="C2408" s="33"/>
      <c r="D2408" s="123"/>
      <c r="H2408" s="124"/>
      <c r="I2408" s="124"/>
      <c r="J2408" s="1212"/>
      <c r="P2408" s="761"/>
      <c r="Q2408" s="1089"/>
      <c r="S2408" s="1375"/>
    </row>
    <row r="2409" spans="1:19" x14ac:dyDescent="0.25">
      <c r="A2409" s="725"/>
      <c r="B2409" s="725"/>
      <c r="C2409" s="33"/>
      <c r="D2409" s="123"/>
      <c r="H2409" s="124"/>
      <c r="I2409" s="124"/>
      <c r="J2409" s="1212"/>
      <c r="P2409" s="761"/>
      <c r="Q2409" s="1089"/>
      <c r="S2409" s="1375"/>
    </row>
    <row r="2410" spans="1:19" x14ac:dyDescent="0.25">
      <c r="A2410" s="725"/>
      <c r="B2410" s="725"/>
      <c r="C2410" s="33"/>
      <c r="D2410" s="123"/>
      <c r="H2410" s="124"/>
      <c r="I2410" s="124"/>
      <c r="J2410" s="1212"/>
      <c r="P2410" s="761"/>
      <c r="Q2410" s="1089"/>
      <c r="S2410" s="1375"/>
    </row>
    <row r="2411" spans="1:19" x14ac:dyDescent="0.25">
      <c r="A2411" s="725"/>
      <c r="B2411" s="725"/>
      <c r="C2411" s="33"/>
      <c r="D2411" s="123"/>
      <c r="H2411" s="124"/>
      <c r="I2411" s="124"/>
      <c r="J2411" s="1212"/>
      <c r="P2411" s="761"/>
      <c r="Q2411" s="1089"/>
      <c r="S2411" s="1375"/>
    </row>
    <row r="2412" spans="1:19" x14ac:dyDescent="0.25">
      <c r="A2412" s="725"/>
      <c r="B2412" s="725"/>
      <c r="C2412" s="33"/>
      <c r="D2412" s="123"/>
      <c r="H2412" s="124"/>
      <c r="I2412" s="124"/>
      <c r="J2412" s="1212"/>
      <c r="P2412" s="761"/>
      <c r="Q2412" s="1089"/>
      <c r="S2412" s="1375"/>
    </row>
    <row r="2413" spans="1:19" x14ac:dyDescent="0.25">
      <c r="A2413" s="725"/>
      <c r="B2413" s="725"/>
      <c r="C2413" s="33"/>
      <c r="D2413" s="123"/>
      <c r="H2413" s="124"/>
      <c r="I2413" s="124"/>
      <c r="J2413" s="1212"/>
      <c r="P2413" s="761"/>
      <c r="Q2413" s="1089"/>
      <c r="S2413" s="1375"/>
    </row>
    <row r="2414" spans="1:19" x14ac:dyDescent="0.25">
      <c r="A2414" s="725"/>
      <c r="B2414" s="725"/>
      <c r="C2414" s="33"/>
      <c r="D2414" s="123"/>
      <c r="H2414" s="124"/>
      <c r="I2414" s="124"/>
      <c r="J2414" s="1212"/>
      <c r="P2414" s="761"/>
      <c r="Q2414" s="1089"/>
      <c r="S2414" s="1375"/>
    </row>
    <row r="2415" spans="1:19" x14ac:dyDescent="0.25">
      <c r="A2415" s="725"/>
      <c r="B2415" s="725"/>
      <c r="C2415" s="33"/>
      <c r="D2415" s="123"/>
      <c r="H2415" s="124"/>
      <c r="I2415" s="124"/>
      <c r="J2415" s="1212"/>
      <c r="P2415" s="761"/>
      <c r="Q2415" s="1089"/>
      <c r="S2415" s="1375"/>
    </row>
    <row r="2416" spans="1:19" x14ac:dyDescent="0.25">
      <c r="A2416" s="725"/>
      <c r="B2416" s="725"/>
      <c r="C2416" s="33"/>
      <c r="D2416" s="123"/>
      <c r="H2416" s="124"/>
      <c r="I2416" s="124"/>
      <c r="J2416" s="1212"/>
      <c r="P2416" s="761"/>
      <c r="Q2416" s="1089"/>
      <c r="S2416" s="1375"/>
    </row>
    <row r="2417" spans="1:19" x14ac:dyDescent="0.25">
      <c r="A2417" s="725"/>
      <c r="B2417" s="725"/>
      <c r="C2417" s="33"/>
      <c r="D2417" s="123"/>
      <c r="H2417" s="124"/>
      <c r="I2417" s="124"/>
      <c r="J2417" s="1212"/>
      <c r="P2417" s="761"/>
      <c r="Q2417" s="1089"/>
      <c r="S2417" s="1375"/>
    </row>
    <row r="2418" spans="1:19" x14ac:dyDescent="0.25">
      <c r="A2418" s="725"/>
      <c r="B2418" s="725"/>
      <c r="C2418" s="33"/>
      <c r="D2418" s="123"/>
      <c r="H2418" s="124"/>
      <c r="I2418" s="124"/>
      <c r="J2418" s="1212"/>
      <c r="P2418" s="761"/>
      <c r="Q2418" s="1089"/>
      <c r="S2418" s="1375"/>
    </row>
    <row r="2419" spans="1:19" x14ac:dyDescent="0.25">
      <c r="A2419" s="725"/>
      <c r="B2419" s="725"/>
      <c r="C2419" s="33"/>
      <c r="D2419" s="123"/>
      <c r="H2419" s="124"/>
      <c r="I2419" s="124"/>
      <c r="J2419" s="1212"/>
      <c r="P2419" s="761"/>
      <c r="Q2419" s="1089"/>
      <c r="S2419" s="1375"/>
    </row>
    <row r="2420" spans="1:19" x14ac:dyDescent="0.25">
      <c r="A2420" s="725"/>
      <c r="B2420" s="725"/>
      <c r="C2420" s="33"/>
      <c r="D2420" s="123"/>
      <c r="H2420" s="124"/>
      <c r="I2420" s="124"/>
      <c r="J2420" s="1212"/>
      <c r="P2420" s="761"/>
      <c r="Q2420" s="1089"/>
      <c r="S2420" s="1375"/>
    </row>
    <row r="2421" spans="1:19" x14ac:dyDescent="0.25">
      <c r="A2421" s="725"/>
      <c r="B2421" s="725"/>
      <c r="C2421" s="33"/>
      <c r="D2421" s="123"/>
      <c r="H2421" s="124"/>
      <c r="I2421" s="124"/>
      <c r="J2421" s="1212"/>
      <c r="P2421" s="761"/>
      <c r="Q2421" s="1089"/>
      <c r="S2421" s="1375"/>
    </row>
    <row r="2422" spans="1:19" x14ac:dyDescent="0.25">
      <c r="A2422" s="725"/>
      <c r="B2422" s="725"/>
      <c r="C2422" s="33"/>
      <c r="D2422" s="123"/>
      <c r="H2422" s="124"/>
      <c r="I2422" s="124"/>
      <c r="J2422" s="1212"/>
      <c r="P2422" s="761"/>
      <c r="Q2422" s="1089"/>
      <c r="S2422" s="1375"/>
    </row>
    <row r="2423" spans="1:19" x14ac:dyDescent="0.25">
      <c r="A2423" s="725"/>
      <c r="B2423" s="725"/>
      <c r="C2423" s="33"/>
      <c r="D2423" s="123"/>
      <c r="H2423" s="124"/>
      <c r="I2423" s="124"/>
      <c r="J2423" s="1212"/>
      <c r="P2423" s="761"/>
      <c r="Q2423" s="1089"/>
      <c r="S2423" s="1375"/>
    </row>
    <row r="2424" spans="1:19" x14ac:dyDescent="0.25">
      <c r="A2424" s="725"/>
      <c r="B2424" s="725"/>
      <c r="C2424" s="33"/>
      <c r="D2424" s="123"/>
      <c r="H2424" s="124"/>
      <c r="I2424" s="124"/>
      <c r="J2424" s="1212"/>
      <c r="P2424" s="761"/>
      <c r="Q2424" s="1089"/>
      <c r="S2424" s="1375"/>
    </row>
    <row r="2425" spans="1:19" x14ac:dyDescent="0.25">
      <c r="A2425" s="725"/>
      <c r="B2425" s="725"/>
      <c r="C2425" s="33"/>
      <c r="D2425" s="123"/>
      <c r="H2425" s="124"/>
      <c r="I2425" s="124"/>
      <c r="J2425" s="1212"/>
      <c r="P2425" s="761"/>
      <c r="Q2425" s="1089"/>
      <c r="S2425" s="1375"/>
    </row>
    <row r="2426" spans="1:19" x14ac:dyDescent="0.25">
      <c r="A2426" s="725"/>
      <c r="B2426" s="725"/>
      <c r="C2426" s="33"/>
      <c r="D2426" s="123"/>
      <c r="H2426" s="124"/>
      <c r="I2426" s="124"/>
      <c r="J2426" s="1212"/>
      <c r="P2426" s="761"/>
      <c r="Q2426" s="1089"/>
      <c r="S2426" s="1375"/>
    </row>
    <row r="2427" spans="1:19" x14ac:dyDescent="0.25">
      <c r="A2427" s="725"/>
      <c r="B2427" s="725"/>
      <c r="C2427" s="33"/>
      <c r="D2427" s="123"/>
      <c r="H2427" s="124"/>
      <c r="I2427" s="124"/>
      <c r="J2427" s="1212"/>
      <c r="P2427" s="761"/>
      <c r="Q2427" s="1089"/>
      <c r="S2427" s="1375"/>
    </row>
    <row r="2428" spans="1:19" x14ac:dyDescent="0.25">
      <c r="A2428" s="725"/>
      <c r="B2428" s="725"/>
      <c r="C2428" s="33"/>
      <c r="D2428" s="123"/>
      <c r="H2428" s="124"/>
      <c r="I2428" s="124"/>
      <c r="J2428" s="1212"/>
      <c r="P2428" s="761"/>
      <c r="Q2428" s="1089"/>
      <c r="S2428" s="1375"/>
    </row>
    <row r="2429" spans="1:19" x14ac:dyDescent="0.25">
      <c r="A2429" s="725"/>
      <c r="B2429" s="725"/>
      <c r="C2429" s="33"/>
      <c r="D2429" s="123"/>
      <c r="H2429" s="124"/>
      <c r="I2429" s="124"/>
      <c r="J2429" s="1212"/>
      <c r="P2429" s="761"/>
      <c r="Q2429" s="1089"/>
      <c r="S2429" s="1375"/>
    </row>
    <row r="2430" spans="1:19" x14ac:dyDescent="0.25">
      <c r="A2430" s="725"/>
      <c r="B2430" s="725"/>
      <c r="C2430" s="33"/>
      <c r="D2430" s="123"/>
      <c r="H2430" s="124"/>
      <c r="I2430" s="124"/>
      <c r="J2430" s="1212"/>
      <c r="P2430" s="761"/>
      <c r="Q2430" s="1089"/>
      <c r="S2430" s="1375"/>
    </row>
    <row r="2431" spans="1:19" x14ac:dyDescent="0.25">
      <c r="A2431" s="725"/>
      <c r="B2431" s="725"/>
      <c r="C2431" s="33"/>
      <c r="D2431" s="123"/>
      <c r="H2431" s="124"/>
      <c r="I2431" s="124"/>
      <c r="J2431" s="1212"/>
      <c r="P2431" s="761"/>
      <c r="Q2431" s="1089"/>
      <c r="S2431" s="1375"/>
    </row>
    <row r="2432" spans="1:19" x14ac:dyDescent="0.25">
      <c r="A2432" s="725"/>
      <c r="B2432" s="725"/>
      <c r="C2432" s="33"/>
      <c r="D2432" s="123"/>
      <c r="H2432" s="124"/>
      <c r="I2432" s="124"/>
      <c r="J2432" s="1212"/>
      <c r="P2432" s="761"/>
      <c r="Q2432" s="1089"/>
      <c r="S2432" s="1375"/>
    </row>
    <row r="2433" spans="1:19" x14ac:dyDescent="0.25">
      <c r="A2433" s="725"/>
      <c r="B2433" s="725"/>
      <c r="C2433" s="33"/>
      <c r="D2433" s="123"/>
      <c r="H2433" s="124"/>
      <c r="I2433" s="124"/>
      <c r="J2433" s="1212"/>
      <c r="P2433" s="761"/>
      <c r="Q2433" s="1089"/>
      <c r="S2433" s="1375"/>
    </row>
    <row r="2434" spans="1:19" x14ac:dyDescent="0.25">
      <c r="A2434" s="725"/>
      <c r="B2434" s="725"/>
      <c r="C2434" s="33"/>
      <c r="D2434" s="123"/>
      <c r="H2434" s="124"/>
      <c r="I2434" s="124"/>
      <c r="J2434" s="1212"/>
      <c r="P2434" s="761"/>
      <c r="Q2434" s="1089"/>
      <c r="S2434" s="1375"/>
    </row>
    <row r="2435" spans="1:19" x14ac:dyDescent="0.25">
      <c r="A2435" s="725"/>
      <c r="B2435" s="725"/>
      <c r="C2435" s="33"/>
      <c r="D2435" s="123"/>
      <c r="H2435" s="124"/>
      <c r="I2435" s="124"/>
      <c r="J2435" s="1212"/>
      <c r="P2435" s="761"/>
      <c r="Q2435" s="1089"/>
      <c r="S2435" s="1375"/>
    </row>
    <row r="2436" spans="1:19" x14ac:dyDescent="0.25">
      <c r="A2436" s="725"/>
      <c r="B2436" s="725"/>
      <c r="C2436" s="33"/>
      <c r="D2436" s="123"/>
      <c r="H2436" s="124"/>
      <c r="I2436" s="124"/>
      <c r="J2436" s="1212"/>
      <c r="P2436" s="761"/>
      <c r="Q2436" s="1089"/>
      <c r="S2436" s="1375"/>
    </row>
    <row r="2437" spans="1:19" x14ac:dyDescent="0.25">
      <c r="A2437" s="725"/>
      <c r="B2437" s="725"/>
      <c r="C2437" s="33"/>
      <c r="D2437" s="123"/>
      <c r="H2437" s="124"/>
      <c r="I2437" s="124"/>
      <c r="J2437" s="1212"/>
      <c r="P2437" s="761"/>
      <c r="Q2437" s="1089"/>
      <c r="S2437" s="1375"/>
    </row>
    <row r="2438" spans="1:19" x14ac:dyDescent="0.25">
      <c r="A2438" s="725"/>
      <c r="B2438" s="725"/>
      <c r="C2438" s="33"/>
      <c r="D2438" s="123"/>
      <c r="H2438" s="124"/>
      <c r="I2438" s="124"/>
      <c r="J2438" s="1212"/>
      <c r="P2438" s="761"/>
      <c r="Q2438" s="1089"/>
      <c r="S2438" s="1375"/>
    </row>
    <row r="2439" spans="1:19" x14ac:dyDescent="0.25">
      <c r="A2439" s="725"/>
      <c r="B2439" s="725"/>
      <c r="C2439" s="33"/>
      <c r="D2439" s="123"/>
      <c r="H2439" s="124"/>
      <c r="I2439" s="124"/>
      <c r="J2439" s="1212"/>
      <c r="P2439" s="761"/>
      <c r="Q2439" s="1089"/>
      <c r="S2439" s="1375"/>
    </row>
    <row r="2440" spans="1:19" x14ac:dyDescent="0.25">
      <c r="A2440" s="725"/>
      <c r="B2440" s="725"/>
      <c r="C2440" s="33"/>
      <c r="D2440" s="123"/>
      <c r="H2440" s="124"/>
      <c r="I2440" s="124"/>
      <c r="J2440" s="1212"/>
      <c r="P2440" s="761"/>
      <c r="Q2440" s="1089"/>
      <c r="S2440" s="1375"/>
    </row>
    <row r="2441" spans="1:19" x14ac:dyDescent="0.25">
      <c r="A2441" s="725"/>
      <c r="B2441" s="725"/>
      <c r="C2441" s="33"/>
      <c r="D2441" s="123"/>
      <c r="H2441" s="124"/>
      <c r="I2441" s="124"/>
      <c r="J2441" s="1212"/>
      <c r="P2441" s="761"/>
      <c r="Q2441" s="1089"/>
      <c r="S2441" s="1375"/>
    </row>
    <row r="2442" spans="1:19" x14ac:dyDescent="0.25">
      <c r="A2442" s="725"/>
      <c r="B2442" s="725"/>
      <c r="C2442" s="33"/>
      <c r="D2442" s="123"/>
      <c r="H2442" s="124"/>
      <c r="I2442" s="124"/>
      <c r="J2442" s="1212"/>
      <c r="P2442" s="761"/>
      <c r="Q2442" s="1089"/>
      <c r="S2442" s="1375"/>
    </row>
    <row r="2443" spans="1:19" x14ac:dyDescent="0.25">
      <c r="A2443" s="725"/>
      <c r="B2443" s="725"/>
      <c r="C2443" s="33"/>
      <c r="D2443" s="123"/>
      <c r="H2443" s="124"/>
      <c r="I2443" s="124"/>
      <c r="J2443" s="1212"/>
      <c r="P2443" s="761"/>
      <c r="Q2443" s="1089"/>
      <c r="S2443" s="1375"/>
    </row>
    <row r="2444" spans="1:19" x14ac:dyDescent="0.25">
      <c r="A2444" s="725"/>
      <c r="B2444" s="725"/>
      <c r="C2444" s="33"/>
      <c r="D2444" s="123"/>
      <c r="H2444" s="124"/>
      <c r="I2444" s="124"/>
      <c r="J2444" s="1212"/>
      <c r="P2444" s="761"/>
      <c r="Q2444" s="1089"/>
      <c r="S2444" s="1375"/>
    </row>
    <row r="2445" spans="1:19" x14ac:dyDescent="0.25">
      <c r="A2445" s="725"/>
      <c r="B2445" s="725"/>
      <c r="C2445" s="33"/>
      <c r="D2445" s="123"/>
      <c r="H2445" s="124"/>
      <c r="I2445" s="124"/>
      <c r="J2445" s="1212"/>
      <c r="P2445" s="761"/>
      <c r="Q2445" s="1089"/>
      <c r="S2445" s="1375"/>
    </row>
    <row r="2446" spans="1:19" x14ac:dyDescent="0.25">
      <c r="A2446" s="725"/>
      <c r="B2446" s="725"/>
      <c r="C2446" s="33"/>
      <c r="D2446" s="123"/>
      <c r="H2446" s="124"/>
      <c r="I2446" s="124"/>
      <c r="J2446" s="1212"/>
      <c r="P2446" s="761"/>
      <c r="Q2446" s="1089"/>
      <c r="S2446" s="1375"/>
    </row>
    <row r="2447" spans="1:19" x14ac:dyDescent="0.25">
      <c r="A2447" s="725"/>
      <c r="B2447" s="725"/>
      <c r="C2447" s="33"/>
      <c r="D2447" s="123"/>
      <c r="H2447" s="124"/>
      <c r="I2447" s="124"/>
      <c r="J2447" s="1212"/>
      <c r="P2447" s="761"/>
      <c r="Q2447" s="1089"/>
      <c r="S2447" s="1375"/>
    </row>
    <row r="2448" spans="1:19" x14ac:dyDescent="0.25">
      <c r="A2448" s="725"/>
      <c r="B2448" s="725"/>
      <c r="C2448" s="33"/>
      <c r="D2448" s="123"/>
      <c r="H2448" s="124"/>
      <c r="I2448" s="124"/>
      <c r="J2448" s="1212"/>
      <c r="P2448" s="761"/>
      <c r="Q2448" s="1089"/>
      <c r="S2448" s="1375"/>
    </row>
    <row r="2449" spans="1:19" x14ac:dyDescent="0.25">
      <c r="A2449" s="725"/>
      <c r="B2449" s="725"/>
      <c r="C2449" s="33"/>
      <c r="D2449" s="123"/>
      <c r="H2449" s="124"/>
      <c r="I2449" s="124"/>
      <c r="J2449" s="1212"/>
      <c r="P2449" s="761"/>
      <c r="Q2449" s="1089"/>
      <c r="S2449" s="1375"/>
    </row>
    <row r="2450" spans="1:19" x14ac:dyDescent="0.25">
      <c r="A2450" s="725"/>
      <c r="B2450" s="725"/>
      <c r="C2450" s="33"/>
      <c r="D2450" s="123"/>
      <c r="H2450" s="124"/>
      <c r="I2450" s="124"/>
      <c r="J2450" s="1212"/>
      <c r="P2450" s="761"/>
      <c r="Q2450" s="1089"/>
      <c r="S2450" s="1375"/>
    </row>
    <row r="2451" spans="1:19" x14ac:dyDescent="0.25">
      <c r="A2451" s="725"/>
      <c r="B2451" s="725"/>
      <c r="C2451" s="33"/>
      <c r="D2451" s="123"/>
      <c r="H2451" s="124"/>
      <c r="I2451" s="124"/>
      <c r="J2451" s="1212"/>
      <c r="P2451" s="761"/>
      <c r="Q2451" s="1089"/>
      <c r="S2451" s="1375"/>
    </row>
    <row r="2452" spans="1:19" x14ac:dyDescent="0.25">
      <c r="A2452" s="725"/>
      <c r="B2452" s="725"/>
      <c r="C2452" s="33"/>
      <c r="D2452" s="123"/>
      <c r="H2452" s="124"/>
      <c r="I2452" s="124"/>
      <c r="J2452" s="1212"/>
      <c r="P2452" s="761"/>
      <c r="Q2452" s="1089"/>
      <c r="S2452" s="1375"/>
    </row>
    <row r="2453" spans="1:19" x14ac:dyDescent="0.25">
      <c r="A2453" s="725"/>
      <c r="B2453" s="725"/>
      <c r="C2453" s="33"/>
      <c r="D2453" s="123"/>
      <c r="H2453" s="124"/>
      <c r="I2453" s="124"/>
      <c r="J2453" s="1212"/>
      <c r="P2453" s="761"/>
      <c r="Q2453" s="1089"/>
      <c r="S2453" s="1375"/>
    </row>
    <row r="2454" spans="1:19" x14ac:dyDescent="0.25">
      <c r="A2454" s="725"/>
      <c r="B2454" s="725"/>
      <c r="C2454" s="33"/>
      <c r="D2454" s="123"/>
      <c r="H2454" s="124"/>
      <c r="I2454" s="124"/>
      <c r="J2454" s="1212"/>
      <c r="P2454" s="761"/>
      <c r="Q2454" s="1089"/>
      <c r="S2454" s="1375"/>
    </row>
    <row r="2455" spans="1:19" x14ac:dyDescent="0.25">
      <c r="A2455" s="725"/>
      <c r="B2455" s="725"/>
      <c r="C2455" s="33"/>
      <c r="D2455" s="123"/>
      <c r="H2455" s="124"/>
      <c r="I2455" s="124"/>
      <c r="J2455" s="1212"/>
      <c r="P2455" s="761"/>
      <c r="Q2455" s="1089"/>
      <c r="S2455" s="1375"/>
    </row>
    <row r="2456" spans="1:19" x14ac:dyDescent="0.25">
      <c r="A2456" s="725"/>
      <c r="B2456" s="725"/>
      <c r="C2456" s="33"/>
      <c r="D2456" s="123"/>
      <c r="H2456" s="124"/>
      <c r="I2456" s="124"/>
      <c r="J2456" s="1212"/>
      <c r="P2456" s="761"/>
      <c r="Q2456" s="1089"/>
      <c r="S2456" s="1375"/>
    </row>
    <row r="2457" spans="1:19" x14ac:dyDescent="0.25">
      <c r="A2457" s="725"/>
      <c r="B2457" s="725"/>
      <c r="C2457" s="33"/>
      <c r="D2457" s="123"/>
      <c r="H2457" s="124"/>
      <c r="I2457" s="124"/>
      <c r="J2457" s="1212"/>
      <c r="P2457" s="761"/>
      <c r="Q2457" s="1089"/>
      <c r="S2457" s="1375"/>
    </row>
    <row r="2458" spans="1:19" x14ac:dyDescent="0.25">
      <c r="A2458" s="725"/>
      <c r="B2458" s="725"/>
      <c r="C2458" s="33"/>
      <c r="D2458" s="123"/>
      <c r="H2458" s="124"/>
      <c r="I2458" s="124"/>
      <c r="J2458" s="1212"/>
      <c r="P2458" s="761"/>
      <c r="Q2458" s="1089"/>
      <c r="S2458" s="1375"/>
    </row>
    <row r="2459" spans="1:19" x14ac:dyDescent="0.25">
      <c r="A2459" s="725"/>
      <c r="B2459" s="725"/>
      <c r="C2459" s="33"/>
      <c r="D2459" s="123"/>
      <c r="H2459" s="124"/>
      <c r="I2459" s="124"/>
      <c r="J2459" s="1212"/>
      <c r="P2459" s="761"/>
      <c r="Q2459" s="1089"/>
      <c r="S2459" s="1375"/>
    </row>
    <row r="2460" spans="1:19" x14ac:dyDescent="0.25">
      <c r="A2460" s="725"/>
      <c r="B2460" s="725"/>
      <c r="C2460" s="33"/>
      <c r="D2460" s="123"/>
      <c r="H2460" s="124"/>
      <c r="I2460" s="124"/>
      <c r="J2460" s="1212"/>
      <c r="P2460" s="761"/>
      <c r="Q2460" s="1089"/>
      <c r="S2460" s="1375"/>
    </row>
    <row r="2461" spans="1:19" x14ac:dyDescent="0.25">
      <c r="A2461" s="725"/>
      <c r="B2461" s="725"/>
      <c r="C2461" s="33"/>
      <c r="D2461" s="123"/>
      <c r="H2461" s="124"/>
      <c r="I2461" s="124"/>
      <c r="J2461" s="1212"/>
      <c r="P2461" s="761"/>
      <c r="Q2461" s="1089"/>
      <c r="S2461" s="1375"/>
    </row>
    <row r="2462" spans="1:19" x14ac:dyDescent="0.25">
      <c r="A2462" s="725"/>
      <c r="B2462" s="725"/>
      <c r="C2462" s="33"/>
      <c r="D2462" s="123"/>
      <c r="H2462" s="124"/>
      <c r="I2462" s="124"/>
      <c r="J2462" s="1212"/>
      <c r="P2462" s="761"/>
      <c r="Q2462" s="1089"/>
      <c r="S2462" s="1375"/>
    </row>
    <row r="2463" spans="1:19" x14ac:dyDescent="0.25">
      <c r="A2463" s="725"/>
      <c r="B2463" s="725"/>
      <c r="C2463" s="33"/>
      <c r="D2463" s="123"/>
      <c r="H2463" s="124"/>
      <c r="I2463" s="124"/>
      <c r="J2463" s="1212"/>
      <c r="P2463" s="761"/>
      <c r="Q2463" s="1089"/>
      <c r="S2463" s="1375"/>
    </row>
    <row r="2464" spans="1:19" x14ac:dyDescent="0.25">
      <c r="A2464" s="725"/>
      <c r="B2464" s="725"/>
      <c r="C2464" s="33"/>
      <c r="D2464" s="123"/>
      <c r="H2464" s="124"/>
      <c r="I2464" s="124"/>
      <c r="J2464" s="1212"/>
      <c r="P2464" s="761"/>
      <c r="Q2464" s="1089"/>
      <c r="S2464" s="1375"/>
    </row>
    <row r="2465" spans="1:19" x14ac:dyDescent="0.25">
      <c r="A2465" s="725"/>
      <c r="B2465" s="725"/>
      <c r="C2465" s="33"/>
      <c r="D2465" s="123"/>
      <c r="H2465" s="124"/>
      <c r="I2465" s="124"/>
      <c r="J2465" s="1212"/>
      <c r="P2465" s="761"/>
      <c r="Q2465" s="1089"/>
      <c r="S2465" s="1375"/>
    </row>
    <row r="2466" spans="1:19" x14ac:dyDescent="0.25">
      <c r="A2466" s="725"/>
      <c r="B2466" s="725"/>
      <c r="C2466" s="33"/>
      <c r="D2466" s="123"/>
      <c r="H2466" s="124"/>
      <c r="I2466" s="124"/>
      <c r="J2466" s="1212"/>
      <c r="P2466" s="761"/>
      <c r="Q2466" s="1089"/>
      <c r="S2466" s="1375"/>
    </row>
    <row r="2467" spans="1:19" x14ac:dyDescent="0.25">
      <c r="A2467" s="725"/>
      <c r="B2467" s="725"/>
      <c r="C2467" s="33"/>
      <c r="D2467" s="123"/>
      <c r="H2467" s="124"/>
      <c r="I2467" s="124"/>
      <c r="J2467" s="1212"/>
      <c r="P2467" s="761"/>
      <c r="Q2467" s="1089"/>
      <c r="S2467" s="1375"/>
    </row>
    <row r="2468" spans="1:19" x14ac:dyDescent="0.25">
      <c r="A2468" s="725"/>
      <c r="B2468" s="725"/>
      <c r="C2468" s="33"/>
      <c r="D2468" s="123"/>
      <c r="H2468" s="124"/>
      <c r="I2468" s="124"/>
      <c r="J2468" s="1212"/>
      <c r="P2468" s="761"/>
      <c r="Q2468" s="1089"/>
      <c r="S2468" s="1375"/>
    </row>
    <row r="2469" spans="1:19" x14ac:dyDescent="0.25">
      <c r="A2469" s="725"/>
      <c r="B2469" s="725"/>
      <c r="C2469" s="33"/>
      <c r="D2469" s="123"/>
      <c r="H2469" s="124"/>
      <c r="I2469" s="124"/>
      <c r="J2469" s="1212"/>
      <c r="P2469" s="761"/>
      <c r="Q2469" s="1089"/>
      <c r="S2469" s="1375"/>
    </row>
    <row r="2470" spans="1:19" x14ac:dyDescent="0.25">
      <c r="A2470" s="725"/>
      <c r="B2470" s="725"/>
      <c r="C2470" s="33"/>
      <c r="D2470" s="123"/>
      <c r="H2470" s="124"/>
      <c r="I2470" s="124"/>
      <c r="J2470" s="1212"/>
      <c r="P2470" s="761"/>
      <c r="Q2470" s="1089"/>
      <c r="S2470" s="1375"/>
    </row>
    <row r="2471" spans="1:19" x14ac:dyDescent="0.25">
      <c r="A2471" s="725"/>
      <c r="B2471" s="725"/>
      <c r="C2471" s="33"/>
      <c r="D2471" s="123"/>
      <c r="H2471" s="124"/>
      <c r="I2471" s="124"/>
      <c r="J2471" s="1212"/>
      <c r="P2471" s="761"/>
      <c r="Q2471" s="1089"/>
      <c r="S2471" s="1375"/>
    </row>
    <row r="2472" spans="1:19" x14ac:dyDescent="0.25">
      <c r="A2472" s="725"/>
      <c r="B2472" s="725"/>
      <c r="C2472" s="33"/>
      <c r="D2472" s="123"/>
      <c r="H2472" s="124"/>
      <c r="I2472" s="124"/>
      <c r="J2472" s="1212"/>
      <c r="P2472" s="761"/>
      <c r="Q2472" s="1089"/>
      <c r="S2472" s="1375"/>
    </row>
    <row r="2473" spans="1:19" x14ac:dyDescent="0.25">
      <c r="A2473" s="725"/>
      <c r="B2473" s="725"/>
      <c r="C2473" s="33"/>
      <c r="D2473" s="123"/>
      <c r="H2473" s="124"/>
      <c r="I2473" s="124"/>
      <c r="J2473" s="1212"/>
      <c r="P2473" s="761"/>
      <c r="Q2473" s="1089"/>
      <c r="S2473" s="1375"/>
    </row>
    <row r="2474" spans="1:19" x14ac:dyDescent="0.25">
      <c r="A2474" s="725"/>
      <c r="B2474" s="725"/>
      <c r="C2474" s="33"/>
      <c r="D2474" s="123"/>
      <c r="H2474" s="124"/>
      <c r="I2474" s="124"/>
      <c r="J2474" s="1212"/>
      <c r="P2474" s="761"/>
      <c r="Q2474" s="1089"/>
      <c r="S2474" s="1375"/>
    </row>
    <row r="2475" spans="1:19" x14ac:dyDescent="0.25">
      <c r="A2475" s="725"/>
      <c r="B2475" s="725"/>
      <c r="C2475" s="33"/>
      <c r="D2475" s="123"/>
      <c r="H2475" s="124"/>
      <c r="I2475" s="124"/>
      <c r="J2475" s="1212"/>
      <c r="P2475" s="761"/>
      <c r="Q2475" s="1089"/>
      <c r="S2475" s="1375"/>
    </row>
    <row r="2476" spans="1:19" x14ac:dyDescent="0.25">
      <c r="A2476" s="725"/>
      <c r="B2476" s="725"/>
      <c r="C2476" s="33"/>
      <c r="D2476" s="123"/>
      <c r="H2476" s="124"/>
      <c r="I2476" s="124"/>
      <c r="J2476" s="1212"/>
      <c r="P2476" s="761"/>
      <c r="Q2476" s="1089"/>
      <c r="S2476" s="1375"/>
    </row>
    <row r="2477" spans="1:19" x14ac:dyDescent="0.25">
      <c r="A2477" s="725"/>
      <c r="B2477" s="725"/>
      <c r="C2477" s="33"/>
      <c r="D2477" s="123"/>
      <c r="H2477" s="124"/>
      <c r="I2477" s="124"/>
      <c r="J2477" s="1212"/>
      <c r="P2477" s="761"/>
      <c r="Q2477" s="1089"/>
      <c r="S2477" s="1375"/>
    </row>
    <row r="2478" spans="1:19" x14ac:dyDescent="0.25">
      <c r="A2478" s="725"/>
      <c r="B2478" s="725"/>
      <c r="C2478" s="33"/>
      <c r="D2478" s="123"/>
      <c r="H2478" s="124"/>
      <c r="I2478" s="124"/>
      <c r="J2478" s="1212"/>
      <c r="P2478" s="761"/>
      <c r="Q2478" s="1089"/>
      <c r="S2478" s="1375"/>
    </row>
    <row r="2479" spans="1:19" x14ac:dyDescent="0.25">
      <c r="A2479" s="725"/>
      <c r="B2479" s="725"/>
      <c r="C2479" s="33"/>
      <c r="D2479" s="123"/>
      <c r="H2479" s="124"/>
      <c r="I2479" s="124"/>
      <c r="J2479" s="1212"/>
      <c r="P2479" s="761"/>
      <c r="Q2479" s="1089"/>
      <c r="S2479" s="1375"/>
    </row>
    <row r="2480" spans="1:19" x14ac:dyDescent="0.25">
      <c r="A2480" s="725"/>
      <c r="B2480" s="725"/>
      <c r="C2480" s="33"/>
      <c r="D2480" s="123"/>
      <c r="H2480" s="124"/>
      <c r="I2480" s="124"/>
      <c r="J2480" s="1212"/>
      <c r="P2480" s="761"/>
      <c r="Q2480" s="1089"/>
      <c r="S2480" s="1375"/>
    </row>
    <row r="2481" spans="1:19" x14ac:dyDescent="0.25">
      <c r="A2481" s="725"/>
      <c r="B2481" s="725"/>
      <c r="C2481" s="33"/>
      <c r="D2481" s="123"/>
      <c r="H2481" s="124"/>
      <c r="I2481" s="124"/>
      <c r="J2481" s="1212"/>
      <c r="P2481" s="761"/>
      <c r="Q2481" s="1089"/>
      <c r="S2481" s="1375"/>
    </row>
    <row r="2482" spans="1:19" x14ac:dyDescent="0.25">
      <c r="A2482" s="725"/>
      <c r="B2482" s="725"/>
      <c r="C2482" s="33"/>
      <c r="D2482" s="123"/>
      <c r="H2482" s="124"/>
      <c r="I2482" s="124"/>
      <c r="J2482" s="1212"/>
      <c r="P2482" s="761"/>
      <c r="Q2482" s="1089"/>
      <c r="S2482" s="1375"/>
    </row>
    <row r="2483" spans="1:19" x14ac:dyDescent="0.25">
      <c r="A2483" s="725"/>
      <c r="B2483" s="725"/>
      <c r="C2483" s="33"/>
      <c r="D2483" s="123"/>
      <c r="H2483" s="124"/>
      <c r="I2483" s="124"/>
      <c r="J2483" s="1212"/>
      <c r="P2483" s="761"/>
      <c r="Q2483" s="1089"/>
      <c r="S2483" s="1375"/>
    </row>
    <row r="2484" spans="1:19" x14ac:dyDescent="0.25">
      <c r="A2484" s="725"/>
      <c r="B2484" s="725"/>
      <c r="C2484" s="33"/>
      <c r="D2484" s="123"/>
      <c r="H2484" s="124"/>
      <c r="I2484" s="124"/>
      <c r="J2484" s="1212"/>
      <c r="P2484" s="761"/>
      <c r="Q2484" s="1089"/>
      <c r="S2484" s="1375"/>
    </row>
    <row r="2485" spans="1:19" x14ac:dyDescent="0.25">
      <c r="A2485" s="725"/>
      <c r="B2485" s="725"/>
      <c r="C2485" s="33"/>
      <c r="D2485" s="123"/>
      <c r="H2485" s="124"/>
      <c r="I2485" s="124"/>
      <c r="J2485" s="1212"/>
      <c r="P2485" s="761"/>
      <c r="Q2485" s="1089"/>
      <c r="S2485" s="1375"/>
    </row>
    <row r="2486" spans="1:19" x14ac:dyDescent="0.25">
      <c r="A2486" s="725"/>
      <c r="B2486" s="725"/>
      <c r="C2486" s="33"/>
      <c r="D2486" s="123"/>
      <c r="H2486" s="124"/>
      <c r="I2486" s="124"/>
      <c r="J2486" s="1212"/>
      <c r="P2486" s="761"/>
      <c r="Q2486" s="1089"/>
      <c r="S2486" s="1375"/>
    </row>
    <row r="2487" spans="1:19" x14ac:dyDescent="0.25">
      <c r="A2487" s="725"/>
      <c r="B2487" s="725"/>
      <c r="C2487" s="33"/>
      <c r="D2487" s="123"/>
      <c r="H2487" s="124"/>
      <c r="I2487" s="124"/>
      <c r="J2487" s="1212"/>
      <c r="P2487" s="761"/>
      <c r="Q2487" s="1089"/>
      <c r="S2487" s="1375"/>
    </row>
    <row r="2488" spans="1:19" x14ac:dyDescent="0.25">
      <c r="A2488" s="725"/>
      <c r="B2488" s="725"/>
      <c r="C2488" s="33"/>
      <c r="D2488" s="123"/>
      <c r="H2488" s="124"/>
      <c r="I2488" s="124"/>
      <c r="J2488" s="1212"/>
      <c r="P2488" s="761"/>
      <c r="Q2488" s="1089"/>
      <c r="S2488" s="1375"/>
    </row>
    <row r="2489" spans="1:19" x14ac:dyDescent="0.25">
      <c r="A2489" s="725"/>
      <c r="B2489" s="725"/>
      <c r="C2489" s="33"/>
      <c r="D2489" s="123"/>
      <c r="H2489" s="124"/>
      <c r="I2489" s="124"/>
      <c r="J2489" s="1212"/>
      <c r="P2489" s="761"/>
      <c r="Q2489" s="1089"/>
      <c r="S2489" s="1375"/>
    </row>
    <row r="2490" spans="1:19" x14ac:dyDescent="0.25">
      <c r="A2490" s="725"/>
      <c r="B2490" s="725"/>
      <c r="C2490" s="33"/>
      <c r="D2490" s="123"/>
      <c r="H2490" s="124"/>
      <c r="I2490" s="124"/>
      <c r="J2490" s="1212"/>
      <c r="P2490" s="761"/>
      <c r="Q2490" s="1089"/>
      <c r="S2490" s="1375"/>
    </row>
    <row r="2491" spans="1:19" x14ac:dyDescent="0.25">
      <c r="A2491" s="725"/>
      <c r="B2491" s="725"/>
      <c r="C2491" s="33"/>
      <c r="D2491" s="123"/>
      <c r="H2491" s="124"/>
      <c r="I2491" s="124"/>
      <c r="J2491" s="1212"/>
      <c r="P2491" s="761"/>
      <c r="Q2491" s="1089"/>
      <c r="S2491" s="1375"/>
    </row>
    <row r="2492" spans="1:19" x14ac:dyDescent="0.25">
      <c r="A2492" s="725"/>
      <c r="B2492" s="725"/>
      <c r="C2492" s="33"/>
      <c r="D2492" s="123"/>
      <c r="H2492" s="124"/>
      <c r="I2492" s="124"/>
      <c r="J2492" s="1212"/>
      <c r="P2492" s="761"/>
      <c r="Q2492" s="1089"/>
      <c r="S2492" s="1375"/>
    </row>
    <row r="2493" spans="1:19" x14ac:dyDescent="0.25">
      <c r="A2493" s="725"/>
      <c r="B2493" s="725"/>
      <c r="C2493" s="33"/>
      <c r="D2493" s="123"/>
      <c r="H2493" s="124"/>
      <c r="I2493" s="124"/>
      <c r="J2493" s="1212"/>
      <c r="P2493" s="761"/>
      <c r="Q2493" s="1089"/>
      <c r="S2493" s="1375"/>
    </row>
    <row r="2494" spans="1:19" x14ac:dyDescent="0.25">
      <c r="A2494" s="725"/>
      <c r="B2494" s="725"/>
      <c r="C2494" s="33"/>
      <c r="D2494" s="123"/>
      <c r="H2494" s="124"/>
      <c r="I2494" s="124"/>
      <c r="J2494" s="1212"/>
      <c r="P2494" s="761"/>
      <c r="Q2494" s="1089"/>
      <c r="S2494" s="1375"/>
    </row>
    <row r="2495" spans="1:19" x14ac:dyDescent="0.25">
      <c r="A2495" s="725"/>
      <c r="B2495" s="725"/>
      <c r="C2495" s="33"/>
      <c r="D2495" s="123"/>
      <c r="H2495" s="124"/>
      <c r="I2495" s="124"/>
      <c r="J2495" s="1212"/>
      <c r="P2495" s="761"/>
      <c r="Q2495" s="1089"/>
      <c r="S2495" s="1375"/>
    </row>
    <row r="2496" spans="1:19" x14ac:dyDescent="0.25">
      <c r="A2496" s="725"/>
      <c r="B2496" s="725"/>
      <c r="C2496" s="33"/>
      <c r="D2496" s="123"/>
      <c r="H2496" s="124"/>
      <c r="I2496" s="124"/>
      <c r="J2496" s="1212"/>
      <c r="P2496" s="761"/>
      <c r="Q2496" s="1089"/>
      <c r="S2496" s="1375"/>
    </row>
    <row r="2497" spans="1:19" x14ac:dyDescent="0.25">
      <c r="A2497" s="725"/>
      <c r="B2497" s="725"/>
      <c r="C2497" s="33"/>
      <c r="D2497" s="123"/>
      <c r="H2497" s="124"/>
      <c r="I2497" s="124"/>
      <c r="J2497" s="1212"/>
      <c r="P2497" s="761"/>
      <c r="Q2497" s="1089"/>
      <c r="S2497" s="1375"/>
    </row>
    <row r="2498" spans="1:19" x14ac:dyDescent="0.25">
      <c r="A2498" s="725"/>
      <c r="B2498" s="725"/>
      <c r="C2498" s="33"/>
      <c r="D2498" s="123"/>
      <c r="H2498" s="124"/>
      <c r="I2498" s="124"/>
      <c r="J2498" s="1212"/>
      <c r="P2498" s="761"/>
      <c r="Q2498" s="1089"/>
      <c r="S2498" s="1375"/>
    </row>
    <row r="2499" spans="1:19" x14ac:dyDescent="0.25">
      <c r="A2499" s="725"/>
      <c r="B2499" s="725"/>
      <c r="C2499" s="33"/>
      <c r="D2499" s="123"/>
      <c r="H2499" s="124"/>
      <c r="I2499" s="124"/>
      <c r="J2499" s="1212"/>
      <c r="P2499" s="761"/>
      <c r="Q2499" s="1089"/>
      <c r="S2499" s="1375"/>
    </row>
    <row r="2500" spans="1:19" x14ac:dyDescent="0.25">
      <c r="A2500" s="725"/>
      <c r="B2500" s="725"/>
      <c r="C2500" s="33"/>
      <c r="D2500" s="123"/>
      <c r="H2500" s="124"/>
      <c r="I2500" s="124"/>
      <c r="J2500" s="1212"/>
      <c r="P2500" s="761"/>
      <c r="Q2500" s="1089"/>
      <c r="S2500" s="1375"/>
    </row>
    <row r="2501" spans="1:19" x14ac:dyDescent="0.25">
      <c r="A2501" s="725"/>
      <c r="B2501" s="725"/>
      <c r="C2501" s="33"/>
      <c r="D2501" s="123"/>
      <c r="H2501" s="124"/>
      <c r="I2501" s="124"/>
      <c r="J2501" s="1212"/>
      <c r="P2501" s="761"/>
      <c r="Q2501" s="1089"/>
      <c r="S2501" s="1375"/>
    </row>
    <row r="2502" spans="1:19" x14ac:dyDescent="0.25">
      <c r="A2502" s="725"/>
      <c r="B2502" s="725"/>
      <c r="C2502" s="33"/>
      <c r="D2502" s="123"/>
      <c r="H2502" s="124"/>
      <c r="I2502" s="124"/>
      <c r="J2502" s="1212"/>
      <c r="P2502" s="761"/>
      <c r="Q2502" s="1089"/>
      <c r="S2502" s="1375"/>
    </row>
    <row r="2503" spans="1:19" x14ac:dyDescent="0.25">
      <c r="A2503" s="725"/>
      <c r="B2503" s="725"/>
      <c r="C2503" s="33"/>
      <c r="D2503" s="123"/>
      <c r="H2503" s="124"/>
      <c r="I2503" s="124"/>
      <c r="J2503" s="1212"/>
      <c r="P2503" s="761"/>
      <c r="Q2503" s="1089"/>
      <c r="S2503" s="1375"/>
    </row>
    <row r="2504" spans="1:19" x14ac:dyDescent="0.25">
      <c r="A2504" s="725"/>
      <c r="B2504" s="725"/>
      <c r="C2504" s="33"/>
      <c r="D2504" s="123"/>
      <c r="H2504" s="124"/>
      <c r="I2504" s="124"/>
      <c r="J2504" s="1212"/>
      <c r="P2504" s="761"/>
      <c r="Q2504" s="1089"/>
      <c r="S2504" s="1375"/>
    </row>
    <row r="2505" spans="1:19" x14ac:dyDescent="0.25">
      <c r="A2505" s="725"/>
      <c r="B2505" s="725"/>
      <c r="C2505" s="33"/>
      <c r="D2505" s="123"/>
      <c r="H2505" s="124"/>
      <c r="I2505" s="124"/>
      <c r="J2505" s="1212"/>
      <c r="P2505" s="761"/>
      <c r="Q2505" s="1089"/>
      <c r="S2505" s="1375"/>
    </row>
    <row r="2506" spans="1:19" x14ac:dyDescent="0.25">
      <c r="A2506" s="725"/>
      <c r="B2506" s="725"/>
      <c r="C2506" s="33"/>
      <c r="D2506" s="123"/>
      <c r="H2506" s="124"/>
      <c r="I2506" s="124"/>
      <c r="J2506" s="1212"/>
      <c r="P2506" s="761"/>
      <c r="Q2506" s="1089"/>
      <c r="S2506" s="1375"/>
    </row>
    <row r="2507" spans="1:19" x14ac:dyDescent="0.25">
      <c r="A2507" s="725"/>
      <c r="B2507" s="725"/>
      <c r="C2507" s="33"/>
      <c r="D2507" s="123"/>
      <c r="H2507" s="124"/>
      <c r="I2507" s="124"/>
      <c r="J2507" s="1212"/>
      <c r="P2507" s="761"/>
      <c r="Q2507" s="1089"/>
      <c r="S2507" s="1375"/>
    </row>
    <row r="2508" spans="1:19" x14ac:dyDescent="0.25">
      <c r="A2508" s="725"/>
      <c r="B2508" s="725"/>
      <c r="C2508" s="33"/>
      <c r="D2508" s="123"/>
      <c r="H2508" s="124"/>
      <c r="I2508" s="124"/>
      <c r="J2508" s="1212"/>
      <c r="P2508" s="761"/>
      <c r="Q2508" s="1089"/>
      <c r="S2508" s="1375"/>
    </row>
    <row r="2509" spans="1:19" x14ac:dyDescent="0.25">
      <c r="A2509" s="725"/>
      <c r="B2509" s="725"/>
      <c r="C2509" s="33"/>
      <c r="D2509" s="123"/>
      <c r="H2509" s="124"/>
      <c r="I2509" s="124"/>
      <c r="J2509" s="1212"/>
      <c r="P2509" s="761"/>
      <c r="Q2509" s="1089"/>
      <c r="S2509" s="1375"/>
    </row>
    <row r="2510" spans="1:19" x14ac:dyDescent="0.25">
      <c r="A2510" s="725"/>
      <c r="B2510" s="725"/>
      <c r="C2510" s="33"/>
      <c r="D2510" s="123"/>
      <c r="H2510" s="124"/>
      <c r="I2510" s="124"/>
      <c r="J2510" s="1212"/>
      <c r="P2510" s="761"/>
      <c r="Q2510" s="1089"/>
      <c r="S2510" s="1375"/>
    </row>
    <row r="2511" spans="1:19" x14ac:dyDescent="0.25">
      <c r="A2511" s="725"/>
      <c r="B2511" s="725"/>
      <c r="C2511" s="33"/>
      <c r="D2511" s="123"/>
      <c r="H2511" s="124"/>
      <c r="I2511" s="124"/>
      <c r="J2511" s="1212"/>
      <c r="P2511" s="761"/>
      <c r="Q2511" s="1089"/>
      <c r="S2511" s="1375"/>
    </row>
    <row r="2512" spans="1:19" x14ac:dyDescent="0.25">
      <c r="A2512" s="725"/>
      <c r="B2512" s="725"/>
      <c r="C2512" s="33"/>
      <c r="D2512" s="123"/>
      <c r="H2512" s="124"/>
      <c r="I2512" s="124"/>
      <c r="J2512" s="1212"/>
      <c r="P2512" s="761"/>
      <c r="Q2512" s="1089"/>
      <c r="S2512" s="1375"/>
    </row>
    <row r="2513" spans="1:19" x14ac:dyDescent="0.25">
      <c r="A2513" s="725"/>
      <c r="B2513" s="725"/>
      <c r="C2513" s="33"/>
      <c r="D2513" s="123"/>
      <c r="H2513" s="124"/>
      <c r="I2513" s="124"/>
      <c r="J2513" s="1212"/>
      <c r="P2513" s="761"/>
      <c r="Q2513" s="1089"/>
      <c r="S2513" s="1375"/>
    </row>
    <row r="2514" spans="1:19" x14ac:dyDescent="0.25">
      <c r="A2514" s="725"/>
      <c r="B2514" s="725"/>
      <c r="C2514" s="33"/>
      <c r="D2514" s="123"/>
      <c r="H2514" s="124"/>
      <c r="I2514" s="124"/>
      <c r="J2514" s="1212"/>
      <c r="P2514" s="761"/>
      <c r="Q2514" s="1089"/>
      <c r="S2514" s="1375"/>
    </row>
    <row r="2515" spans="1:19" x14ac:dyDescent="0.25">
      <c r="A2515" s="725"/>
      <c r="B2515" s="725"/>
      <c r="C2515" s="33"/>
      <c r="D2515" s="123"/>
      <c r="H2515" s="124"/>
      <c r="I2515" s="124"/>
      <c r="J2515" s="1212"/>
      <c r="P2515" s="761"/>
      <c r="Q2515" s="1089"/>
      <c r="S2515" s="1375"/>
    </row>
    <row r="2516" spans="1:19" x14ac:dyDescent="0.25">
      <c r="A2516" s="725"/>
      <c r="B2516" s="725"/>
      <c r="C2516" s="33"/>
      <c r="D2516" s="123"/>
      <c r="H2516" s="124"/>
      <c r="I2516" s="124"/>
      <c r="J2516" s="1212"/>
      <c r="P2516" s="761"/>
      <c r="Q2516" s="1089"/>
      <c r="S2516" s="1375"/>
    </row>
    <row r="2517" spans="1:19" x14ac:dyDescent="0.25">
      <c r="A2517" s="725"/>
      <c r="B2517" s="725"/>
      <c r="C2517" s="33"/>
      <c r="D2517" s="123"/>
      <c r="H2517" s="124"/>
      <c r="I2517" s="124"/>
      <c r="J2517" s="1212"/>
      <c r="P2517" s="761"/>
      <c r="Q2517" s="1089"/>
      <c r="S2517" s="1375"/>
    </row>
    <row r="2518" spans="1:19" x14ac:dyDescent="0.25">
      <c r="A2518" s="725"/>
      <c r="B2518" s="725"/>
      <c r="C2518" s="33"/>
      <c r="D2518" s="123"/>
      <c r="H2518" s="124"/>
      <c r="I2518" s="124"/>
      <c r="J2518" s="1212"/>
      <c r="P2518" s="761"/>
      <c r="Q2518" s="1089"/>
      <c r="S2518" s="1375"/>
    </row>
    <row r="2519" spans="1:19" x14ac:dyDescent="0.25">
      <c r="A2519" s="725"/>
      <c r="B2519" s="725"/>
      <c r="C2519" s="33"/>
      <c r="D2519" s="123"/>
      <c r="H2519" s="124"/>
      <c r="I2519" s="124"/>
      <c r="J2519" s="1212"/>
      <c r="P2519" s="761"/>
      <c r="Q2519" s="1089"/>
      <c r="S2519" s="1375"/>
    </row>
    <row r="2520" spans="1:19" x14ac:dyDescent="0.25">
      <c r="A2520" s="725"/>
      <c r="B2520" s="725"/>
      <c r="C2520" s="33"/>
      <c r="D2520" s="123"/>
      <c r="H2520" s="124"/>
      <c r="I2520" s="124"/>
      <c r="J2520" s="1212"/>
      <c r="P2520" s="761"/>
      <c r="Q2520" s="1089"/>
      <c r="S2520" s="1375"/>
    </row>
    <row r="2521" spans="1:19" x14ac:dyDescent="0.25">
      <c r="A2521" s="725"/>
      <c r="B2521" s="725"/>
      <c r="C2521" s="33"/>
      <c r="D2521" s="123"/>
      <c r="H2521" s="124"/>
      <c r="I2521" s="124"/>
      <c r="J2521" s="1212"/>
      <c r="P2521" s="761"/>
      <c r="Q2521" s="1089"/>
      <c r="S2521" s="1375"/>
    </row>
    <row r="2522" spans="1:19" x14ac:dyDescent="0.25">
      <c r="A2522" s="725"/>
      <c r="B2522" s="725"/>
      <c r="C2522" s="33"/>
      <c r="D2522" s="123"/>
      <c r="H2522" s="124"/>
      <c r="I2522" s="124"/>
      <c r="J2522" s="1212"/>
      <c r="P2522" s="761"/>
      <c r="Q2522" s="1089"/>
      <c r="S2522" s="1375"/>
    </row>
    <row r="2523" spans="1:19" x14ac:dyDescent="0.25">
      <c r="A2523" s="725"/>
      <c r="B2523" s="725"/>
      <c r="C2523" s="33"/>
      <c r="D2523" s="123"/>
      <c r="H2523" s="124"/>
      <c r="I2523" s="124"/>
      <c r="J2523" s="1212"/>
      <c r="P2523" s="761"/>
      <c r="Q2523" s="1089"/>
      <c r="S2523" s="1375"/>
    </row>
    <row r="2524" spans="1:19" x14ac:dyDescent="0.25">
      <c r="A2524" s="725"/>
      <c r="B2524" s="725"/>
      <c r="C2524" s="33"/>
      <c r="D2524" s="123"/>
      <c r="H2524" s="124"/>
      <c r="I2524" s="124"/>
      <c r="J2524" s="1212"/>
      <c r="P2524" s="761"/>
      <c r="Q2524" s="1089"/>
      <c r="S2524" s="1375"/>
    </row>
    <row r="2525" spans="1:19" x14ac:dyDescent="0.25">
      <c r="A2525" s="725"/>
      <c r="B2525" s="725"/>
      <c r="C2525" s="33"/>
      <c r="D2525" s="123"/>
      <c r="H2525" s="124"/>
      <c r="I2525" s="124"/>
      <c r="J2525" s="1212"/>
      <c r="P2525" s="761"/>
      <c r="Q2525" s="1089"/>
      <c r="S2525" s="1375"/>
    </row>
    <row r="2526" spans="1:19" x14ac:dyDescent="0.25">
      <c r="A2526" s="725"/>
      <c r="B2526" s="725"/>
      <c r="C2526" s="33"/>
      <c r="D2526" s="123"/>
      <c r="H2526" s="124"/>
      <c r="I2526" s="124"/>
      <c r="J2526" s="1212"/>
      <c r="P2526" s="761"/>
      <c r="Q2526" s="1089"/>
      <c r="S2526" s="1375"/>
    </row>
    <row r="2527" spans="1:19" x14ac:dyDescent="0.25">
      <c r="A2527" s="725"/>
      <c r="B2527" s="725"/>
      <c r="C2527" s="33"/>
      <c r="D2527" s="123"/>
      <c r="H2527" s="124"/>
      <c r="I2527" s="124"/>
      <c r="J2527" s="1212"/>
      <c r="P2527" s="761"/>
      <c r="Q2527" s="1089"/>
      <c r="S2527" s="1375"/>
    </row>
    <row r="2528" spans="1:19" x14ac:dyDescent="0.25">
      <c r="A2528" s="725"/>
      <c r="B2528" s="725"/>
      <c r="C2528" s="33"/>
      <c r="D2528" s="123"/>
      <c r="H2528" s="124"/>
      <c r="I2528" s="124"/>
      <c r="J2528" s="1212"/>
      <c r="P2528" s="761"/>
      <c r="Q2528" s="1089"/>
      <c r="S2528" s="1375"/>
    </row>
    <row r="2529" spans="1:19" x14ac:dyDescent="0.25">
      <c r="A2529" s="725"/>
      <c r="B2529" s="725"/>
      <c r="C2529" s="33"/>
      <c r="D2529" s="123"/>
      <c r="H2529" s="124"/>
      <c r="I2529" s="124"/>
      <c r="J2529" s="1212"/>
      <c r="P2529" s="761"/>
      <c r="Q2529" s="1089"/>
      <c r="S2529" s="1375"/>
    </row>
    <row r="2530" spans="1:19" x14ac:dyDescent="0.25">
      <c r="A2530" s="725"/>
      <c r="B2530" s="725"/>
      <c r="C2530" s="33"/>
      <c r="D2530" s="123"/>
      <c r="H2530" s="124"/>
      <c r="I2530" s="124"/>
      <c r="J2530" s="1212"/>
      <c r="P2530" s="761"/>
      <c r="Q2530" s="1089"/>
      <c r="S2530" s="1375"/>
    </row>
    <row r="2531" spans="1:19" x14ac:dyDescent="0.25">
      <c r="A2531" s="725"/>
      <c r="B2531" s="725"/>
      <c r="C2531" s="33"/>
      <c r="D2531" s="123"/>
      <c r="H2531" s="124"/>
      <c r="I2531" s="124"/>
      <c r="J2531" s="1212"/>
      <c r="P2531" s="761"/>
      <c r="Q2531" s="1089"/>
      <c r="S2531" s="1375"/>
    </row>
    <row r="2532" spans="1:19" x14ac:dyDescent="0.25">
      <c r="A2532" s="725"/>
      <c r="B2532" s="725"/>
      <c r="C2532" s="33"/>
      <c r="D2532" s="123"/>
      <c r="H2532" s="124"/>
      <c r="I2532" s="124"/>
      <c r="J2532" s="1212"/>
      <c r="P2532" s="761"/>
      <c r="Q2532" s="1089"/>
      <c r="S2532" s="1375"/>
    </row>
    <row r="2533" spans="1:19" x14ac:dyDescent="0.25">
      <c r="A2533" s="725"/>
      <c r="B2533" s="725"/>
      <c r="C2533" s="33"/>
      <c r="D2533" s="123"/>
      <c r="H2533" s="124"/>
      <c r="I2533" s="124"/>
      <c r="J2533" s="1212"/>
      <c r="P2533" s="761"/>
      <c r="Q2533" s="1089"/>
      <c r="S2533" s="1375"/>
    </row>
    <row r="2534" spans="1:19" x14ac:dyDescent="0.25">
      <c r="A2534" s="725"/>
      <c r="B2534" s="725"/>
      <c r="C2534" s="33"/>
      <c r="D2534" s="123"/>
      <c r="H2534" s="124"/>
      <c r="I2534" s="124"/>
      <c r="J2534" s="1212"/>
      <c r="P2534" s="761"/>
      <c r="Q2534" s="1089"/>
      <c r="S2534" s="1375"/>
    </row>
    <row r="2535" spans="1:19" x14ac:dyDescent="0.25">
      <c r="A2535" s="725"/>
      <c r="B2535" s="725"/>
      <c r="C2535" s="33"/>
      <c r="D2535" s="123"/>
      <c r="H2535" s="124"/>
      <c r="I2535" s="124"/>
      <c r="J2535" s="1212"/>
      <c r="P2535" s="761"/>
      <c r="Q2535" s="1089"/>
      <c r="S2535" s="1375"/>
    </row>
    <row r="2536" spans="1:19" x14ac:dyDescent="0.25">
      <c r="A2536" s="725"/>
      <c r="B2536" s="725"/>
      <c r="C2536" s="33"/>
      <c r="D2536" s="123"/>
      <c r="H2536" s="124"/>
      <c r="I2536" s="124"/>
      <c r="J2536" s="1212"/>
      <c r="P2536" s="761"/>
      <c r="Q2536" s="1089"/>
      <c r="S2536" s="1375"/>
    </row>
    <row r="2537" spans="1:19" x14ac:dyDescent="0.25">
      <c r="A2537" s="725"/>
      <c r="B2537" s="725"/>
      <c r="C2537" s="33"/>
      <c r="D2537" s="123"/>
      <c r="H2537" s="124"/>
      <c r="I2537" s="124"/>
      <c r="J2537" s="1212"/>
      <c r="P2537" s="761"/>
      <c r="Q2537" s="1089"/>
      <c r="S2537" s="1375"/>
    </row>
    <row r="2538" spans="1:19" x14ac:dyDescent="0.25">
      <c r="A2538" s="725"/>
      <c r="B2538" s="725"/>
      <c r="C2538" s="33"/>
      <c r="D2538" s="123"/>
      <c r="H2538" s="124"/>
      <c r="I2538" s="124"/>
      <c r="J2538" s="1212"/>
      <c r="P2538" s="761"/>
      <c r="Q2538" s="1089"/>
      <c r="S2538" s="1375"/>
    </row>
    <row r="2539" spans="1:19" x14ac:dyDescent="0.25">
      <c r="A2539" s="725"/>
      <c r="B2539" s="725"/>
      <c r="C2539" s="33"/>
      <c r="D2539" s="123"/>
      <c r="H2539" s="124"/>
      <c r="I2539" s="124"/>
      <c r="J2539" s="1212"/>
      <c r="P2539" s="761"/>
      <c r="Q2539" s="1089"/>
      <c r="S2539" s="1375"/>
    </row>
    <row r="2540" spans="1:19" x14ac:dyDescent="0.25">
      <c r="A2540" s="725"/>
      <c r="B2540" s="725"/>
      <c r="C2540" s="33"/>
      <c r="D2540" s="123"/>
      <c r="H2540" s="124"/>
      <c r="I2540" s="124"/>
      <c r="J2540" s="1212"/>
      <c r="P2540" s="761"/>
      <c r="Q2540" s="1089"/>
      <c r="S2540" s="1375"/>
    </row>
    <row r="2541" spans="1:19" x14ac:dyDescent="0.25">
      <c r="A2541" s="725"/>
      <c r="B2541" s="725"/>
      <c r="C2541" s="33"/>
      <c r="D2541" s="123"/>
      <c r="H2541" s="124"/>
      <c r="I2541" s="124"/>
      <c r="J2541" s="1212"/>
      <c r="P2541" s="761"/>
      <c r="Q2541" s="1089"/>
      <c r="S2541" s="1375"/>
    </row>
    <row r="2542" spans="1:19" x14ac:dyDescent="0.25">
      <c r="A2542" s="725"/>
      <c r="B2542" s="725"/>
      <c r="C2542" s="33"/>
      <c r="D2542" s="123"/>
      <c r="H2542" s="124"/>
      <c r="I2542" s="124"/>
      <c r="J2542" s="1212"/>
      <c r="P2542" s="761"/>
      <c r="Q2542" s="1089"/>
      <c r="S2542" s="1375"/>
    </row>
    <row r="2543" spans="1:19" x14ac:dyDescent="0.25">
      <c r="A2543" s="725"/>
      <c r="B2543" s="725"/>
      <c r="C2543" s="33"/>
      <c r="D2543" s="123"/>
      <c r="H2543" s="124"/>
      <c r="I2543" s="124"/>
      <c r="J2543" s="1212"/>
      <c r="P2543" s="761"/>
      <c r="Q2543" s="1089"/>
      <c r="S2543" s="1375"/>
    </row>
    <row r="2544" spans="1:19" x14ac:dyDescent="0.25">
      <c r="A2544" s="725"/>
      <c r="B2544" s="725"/>
      <c r="C2544" s="33"/>
      <c r="D2544" s="123"/>
      <c r="H2544" s="124"/>
      <c r="I2544" s="124"/>
      <c r="J2544" s="1212"/>
      <c r="P2544" s="761"/>
      <c r="Q2544" s="1089"/>
      <c r="S2544" s="1375"/>
    </row>
    <row r="2545" spans="1:19" x14ac:dyDescent="0.25">
      <c r="A2545" s="725"/>
      <c r="B2545" s="725"/>
      <c r="C2545" s="33"/>
      <c r="D2545" s="123"/>
      <c r="H2545" s="124"/>
      <c r="I2545" s="124"/>
      <c r="J2545" s="1212"/>
      <c r="P2545" s="761"/>
      <c r="Q2545" s="1089"/>
      <c r="S2545" s="1375"/>
    </row>
    <row r="2546" spans="1:19" x14ac:dyDescent="0.25">
      <c r="A2546" s="725"/>
      <c r="B2546" s="725"/>
      <c r="C2546" s="33"/>
      <c r="D2546" s="123"/>
      <c r="H2546" s="124"/>
      <c r="I2546" s="124"/>
      <c r="J2546" s="1212"/>
      <c r="P2546" s="761"/>
      <c r="Q2546" s="1089"/>
      <c r="S2546" s="1375"/>
    </row>
    <row r="2547" spans="1:19" x14ac:dyDescent="0.25">
      <c r="A2547" s="725"/>
      <c r="B2547" s="725"/>
      <c r="C2547" s="33"/>
      <c r="D2547" s="123"/>
      <c r="H2547" s="124"/>
      <c r="I2547" s="124"/>
      <c r="J2547" s="1212"/>
      <c r="P2547" s="761"/>
      <c r="Q2547" s="1089"/>
      <c r="S2547" s="1375"/>
    </row>
    <row r="2548" spans="1:19" x14ac:dyDescent="0.25">
      <c r="A2548" s="725"/>
      <c r="B2548" s="725"/>
      <c r="C2548" s="33"/>
      <c r="D2548" s="123"/>
      <c r="H2548" s="124"/>
      <c r="I2548" s="124"/>
      <c r="J2548" s="1212"/>
      <c r="P2548" s="761"/>
      <c r="Q2548" s="1089"/>
      <c r="S2548" s="1375"/>
    </row>
    <row r="2549" spans="1:19" x14ac:dyDescent="0.25">
      <c r="A2549" s="725"/>
      <c r="B2549" s="725"/>
      <c r="C2549" s="33"/>
      <c r="D2549" s="123"/>
      <c r="H2549" s="124"/>
      <c r="I2549" s="124"/>
      <c r="J2549" s="1212"/>
      <c r="P2549" s="761"/>
      <c r="Q2549" s="1089"/>
      <c r="S2549" s="1375"/>
    </row>
    <row r="2550" spans="1:19" x14ac:dyDescent="0.25">
      <c r="A2550" s="725"/>
      <c r="B2550" s="725"/>
      <c r="C2550" s="33"/>
      <c r="D2550" s="123"/>
      <c r="H2550" s="124"/>
      <c r="I2550" s="124"/>
      <c r="J2550" s="1212"/>
      <c r="P2550" s="761"/>
      <c r="Q2550" s="1089"/>
      <c r="S2550" s="1375"/>
    </row>
    <row r="2551" spans="1:19" x14ac:dyDescent="0.25">
      <c r="A2551" s="725"/>
      <c r="B2551" s="725"/>
      <c r="C2551" s="33"/>
      <c r="D2551" s="123"/>
      <c r="H2551" s="124"/>
      <c r="I2551" s="124"/>
      <c r="J2551" s="1212"/>
      <c r="P2551" s="761"/>
      <c r="Q2551" s="1089"/>
      <c r="S2551" s="1375"/>
    </row>
    <row r="2552" spans="1:19" x14ac:dyDescent="0.25">
      <c r="A2552" s="725"/>
      <c r="B2552" s="725"/>
      <c r="C2552" s="33"/>
      <c r="D2552" s="123"/>
      <c r="H2552" s="124"/>
      <c r="I2552" s="124"/>
      <c r="J2552" s="1212"/>
      <c r="P2552" s="761"/>
      <c r="Q2552" s="1089"/>
      <c r="S2552" s="1375"/>
    </row>
    <row r="2553" spans="1:19" x14ac:dyDescent="0.25">
      <c r="A2553" s="725"/>
      <c r="B2553" s="725"/>
      <c r="C2553" s="33"/>
      <c r="D2553" s="123"/>
      <c r="H2553" s="124"/>
      <c r="I2553" s="124"/>
      <c r="J2553" s="1212"/>
      <c r="P2553" s="761"/>
      <c r="Q2553" s="1089"/>
      <c r="S2553" s="1375"/>
    </row>
    <row r="2554" spans="1:19" x14ac:dyDescent="0.25">
      <c r="A2554" s="725"/>
      <c r="B2554" s="725"/>
      <c r="C2554" s="33"/>
      <c r="D2554" s="123"/>
      <c r="H2554" s="124"/>
      <c r="I2554" s="124"/>
      <c r="J2554" s="1212"/>
      <c r="P2554" s="761"/>
      <c r="Q2554" s="1089"/>
      <c r="S2554" s="1375"/>
    </row>
    <row r="2555" spans="1:19" x14ac:dyDescent="0.25">
      <c r="A2555" s="725"/>
      <c r="B2555" s="725"/>
      <c r="C2555" s="33"/>
      <c r="D2555" s="123"/>
      <c r="H2555" s="124"/>
      <c r="I2555" s="124"/>
      <c r="J2555" s="1212"/>
      <c r="P2555" s="761"/>
      <c r="Q2555" s="1089"/>
      <c r="S2555" s="1375"/>
    </row>
    <row r="2556" spans="1:19" x14ac:dyDescent="0.25">
      <c r="A2556" s="725"/>
      <c r="B2556" s="725"/>
      <c r="C2556" s="33"/>
      <c r="D2556" s="123"/>
      <c r="H2556" s="124"/>
      <c r="I2556" s="124"/>
      <c r="J2556" s="1212"/>
      <c r="P2556" s="761"/>
      <c r="Q2556" s="1089"/>
      <c r="S2556" s="1375"/>
    </row>
    <row r="2557" spans="1:19" x14ac:dyDescent="0.25">
      <c r="A2557" s="725"/>
      <c r="B2557" s="725"/>
      <c r="C2557" s="33"/>
      <c r="D2557" s="123"/>
      <c r="H2557" s="124"/>
      <c r="I2557" s="124"/>
      <c r="J2557" s="1212"/>
      <c r="P2557" s="761"/>
      <c r="Q2557" s="1089"/>
      <c r="S2557" s="1375"/>
    </row>
    <row r="2558" spans="1:19" x14ac:dyDescent="0.25">
      <c r="A2558" s="725"/>
      <c r="B2558" s="725"/>
      <c r="C2558" s="33"/>
      <c r="D2558" s="123"/>
      <c r="H2558" s="124"/>
      <c r="I2558" s="124"/>
      <c r="J2558" s="1212"/>
      <c r="P2558" s="761"/>
      <c r="Q2558" s="1089"/>
      <c r="S2558" s="1375"/>
    </row>
    <row r="2559" spans="1:19" x14ac:dyDescent="0.25">
      <c r="A2559" s="725"/>
      <c r="B2559" s="725"/>
      <c r="C2559" s="33"/>
      <c r="D2559" s="123"/>
      <c r="H2559" s="124"/>
      <c r="I2559" s="124"/>
      <c r="J2559" s="1212"/>
      <c r="P2559" s="761"/>
      <c r="Q2559" s="1089"/>
      <c r="S2559" s="1375"/>
    </row>
    <row r="2560" spans="1:19" x14ac:dyDescent="0.25">
      <c r="A2560" s="725"/>
      <c r="B2560" s="725"/>
      <c r="C2560" s="33"/>
      <c r="D2560" s="123"/>
      <c r="H2560" s="124"/>
      <c r="I2560" s="124"/>
      <c r="J2560" s="1212"/>
      <c r="P2560" s="761"/>
      <c r="Q2560" s="1089"/>
      <c r="S2560" s="1375"/>
    </row>
    <row r="2561" spans="1:19" x14ac:dyDescent="0.25">
      <c r="A2561" s="725"/>
      <c r="B2561" s="725"/>
      <c r="C2561" s="33"/>
      <c r="D2561" s="123"/>
      <c r="H2561" s="124"/>
      <c r="I2561" s="124"/>
      <c r="J2561" s="1212"/>
      <c r="P2561" s="761"/>
      <c r="Q2561" s="1089"/>
      <c r="S2561" s="1375"/>
    </row>
    <row r="2562" spans="1:19" x14ac:dyDescent="0.25">
      <c r="A2562" s="725"/>
      <c r="B2562" s="725"/>
      <c r="C2562" s="33"/>
      <c r="D2562" s="123"/>
      <c r="H2562" s="124"/>
      <c r="I2562" s="124"/>
      <c r="J2562" s="1212"/>
      <c r="P2562" s="761"/>
      <c r="Q2562" s="1089"/>
      <c r="S2562" s="1375"/>
    </row>
    <row r="2563" spans="1:19" x14ac:dyDescent="0.25">
      <c r="A2563" s="725"/>
      <c r="B2563" s="725"/>
      <c r="C2563" s="33"/>
      <c r="D2563" s="123"/>
      <c r="H2563" s="124"/>
      <c r="I2563" s="124"/>
      <c r="J2563" s="1212"/>
      <c r="P2563" s="761"/>
      <c r="Q2563" s="1089"/>
      <c r="S2563" s="1375"/>
    </row>
    <row r="2564" spans="1:19" x14ac:dyDescent="0.25">
      <c r="A2564" s="725"/>
      <c r="B2564" s="725"/>
      <c r="C2564" s="33"/>
      <c r="D2564" s="123"/>
      <c r="H2564" s="124"/>
      <c r="I2564" s="124"/>
      <c r="J2564" s="1212"/>
      <c r="P2564" s="761"/>
      <c r="Q2564" s="1089"/>
      <c r="S2564" s="1375"/>
    </row>
    <row r="2565" spans="1:19" x14ac:dyDescent="0.25">
      <c r="A2565" s="725" t="s">
        <v>2803</v>
      </c>
      <c r="B2565" s="725"/>
      <c r="C2565" s="33">
        <v>849113020</v>
      </c>
      <c r="D2565" s="742" t="s">
        <v>1071</v>
      </c>
      <c r="H2565" s="33"/>
      <c r="I2565" s="33"/>
      <c r="J2565" s="1212"/>
      <c r="P2565" s="761"/>
      <c r="Q2565" s="1089"/>
      <c r="S2565" s="1375"/>
    </row>
    <row r="2566" spans="1:19" x14ac:dyDescent="0.25">
      <c r="A2566" s="725"/>
      <c r="B2566" s="725"/>
      <c r="C2566" s="33">
        <v>849113029</v>
      </c>
      <c r="D2566" s="742" t="s">
        <v>1128</v>
      </c>
      <c r="H2566" s="33"/>
      <c r="I2566" s="33"/>
      <c r="J2566" s="2292"/>
      <c r="P2566" s="761"/>
      <c r="Q2566" s="1089"/>
      <c r="S2566" s="1375"/>
    </row>
    <row r="2567" spans="1:19" x14ac:dyDescent="0.25">
      <c r="A2567" s="725"/>
      <c r="B2567" s="725"/>
      <c r="C2567" s="33">
        <v>849113005</v>
      </c>
      <c r="D2567" s="742" t="s">
        <v>2804</v>
      </c>
      <c r="H2567" s="33"/>
      <c r="I2567" s="33"/>
      <c r="J2567" s="1212"/>
      <c r="P2567" s="761"/>
      <c r="Q2567" s="1089"/>
      <c r="S2567" s="1375"/>
    </row>
    <row r="2568" spans="1:19" x14ac:dyDescent="0.25">
      <c r="A2568" s="725"/>
      <c r="B2568" s="725"/>
      <c r="C2568" s="33">
        <v>849113043</v>
      </c>
      <c r="D2568" s="742" t="s">
        <v>2805</v>
      </c>
      <c r="H2568" s="33"/>
      <c r="I2568" s="33"/>
      <c r="J2568" s="1212"/>
      <c r="P2568" s="761"/>
      <c r="Q2568" s="1089"/>
      <c r="S2568" s="1375"/>
    </row>
    <row r="2569" spans="1:19" x14ac:dyDescent="0.25">
      <c r="A2569" s="725"/>
      <c r="B2569" s="725"/>
      <c r="C2569" s="33">
        <v>849113025</v>
      </c>
      <c r="D2569" s="742" t="s">
        <v>2806</v>
      </c>
      <c r="H2569" s="33"/>
      <c r="I2569" s="33"/>
      <c r="J2569" s="1212"/>
      <c r="P2569" s="761"/>
      <c r="Q2569" s="1089"/>
      <c r="S2569" s="1375"/>
    </row>
    <row r="2570" spans="1:19" x14ac:dyDescent="0.25">
      <c r="A2570" s="725"/>
      <c r="B2570" s="725"/>
      <c r="C2570" s="33">
        <v>849113032</v>
      </c>
      <c r="D2570" s="742" t="s">
        <v>2363</v>
      </c>
      <c r="H2570" s="33"/>
      <c r="I2570" s="33"/>
      <c r="J2570" s="1212"/>
      <c r="P2570" s="761"/>
      <c r="Q2570" s="1089"/>
      <c r="S2570" s="1375"/>
    </row>
    <row r="2571" spans="1:19" x14ac:dyDescent="0.25">
      <c r="A2571" s="725"/>
      <c r="B2571" s="725"/>
      <c r="C2571" s="33">
        <v>849113039</v>
      </c>
      <c r="D2571" s="742" t="s">
        <v>1136</v>
      </c>
      <c r="H2571" s="33"/>
      <c r="I2571" s="33"/>
      <c r="J2571" s="1212"/>
      <c r="P2571" s="761"/>
      <c r="Q2571" s="1089"/>
      <c r="S2571" s="1375"/>
    </row>
    <row r="2572" spans="1:19" x14ac:dyDescent="0.25">
      <c r="A2572" s="725"/>
      <c r="B2572" s="725"/>
      <c r="C2572" s="33">
        <v>849113030</v>
      </c>
      <c r="D2572" s="742" t="s">
        <v>2807</v>
      </c>
      <c r="H2572" s="33"/>
      <c r="I2572" s="33"/>
      <c r="J2572" s="1212"/>
      <c r="P2572" s="761"/>
      <c r="Q2572" s="1089"/>
      <c r="S2572" s="1375"/>
    </row>
    <row r="2573" spans="1:19" x14ac:dyDescent="0.25">
      <c r="A2573" s="725"/>
      <c r="B2573" s="725"/>
      <c r="C2573" s="33">
        <v>849199070</v>
      </c>
      <c r="D2573" s="742" t="s">
        <v>2808</v>
      </c>
      <c r="H2573" s="33"/>
      <c r="I2573" s="33"/>
      <c r="J2573" s="1212"/>
      <c r="P2573" s="761"/>
      <c r="Q2573" s="1089"/>
      <c r="S2573" s="1375"/>
    </row>
    <row r="2574" spans="1:19" x14ac:dyDescent="0.25">
      <c r="A2574" s="725"/>
      <c r="B2574" s="725"/>
      <c r="C2574" s="33">
        <v>849113004</v>
      </c>
      <c r="D2574" s="742" t="s">
        <v>1509</v>
      </c>
      <c r="H2574" s="33"/>
      <c r="I2574" s="33"/>
      <c r="J2574" s="1212"/>
      <c r="P2574" s="761"/>
      <c r="Q2574" s="1089"/>
      <c r="S2574" s="1375"/>
    </row>
    <row r="2575" spans="1:19" x14ac:dyDescent="0.25">
      <c r="A2575" s="725"/>
      <c r="B2575" s="725"/>
      <c r="C2575" s="33">
        <v>849199069</v>
      </c>
      <c r="D2575" s="742" t="s">
        <v>2809</v>
      </c>
      <c r="H2575" s="33"/>
      <c r="I2575" s="33"/>
      <c r="J2575" s="1212"/>
      <c r="P2575" s="761"/>
      <c r="Q2575" s="1089"/>
      <c r="S2575" s="1375"/>
    </row>
    <row r="2576" spans="1:19" x14ac:dyDescent="0.25">
      <c r="A2576" s="725"/>
      <c r="B2576" s="725"/>
      <c r="C2576" s="33">
        <v>849113014</v>
      </c>
      <c r="D2576" s="742" t="s">
        <v>2810</v>
      </c>
      <c r="H2576" s="33"/>
      <c r="I2576" s="33"/>
      <c r="J2576" s="1212"/>
      <c r="P2576" s="761"/>
      <c r="Q2576" s="1089"/>
      <c r="S2576" s="1375"/>
    </row>
    <row r="2577" spans="1:19" x14ac:dyDescent="0.25">
      <c r="A2577" s="725"/>
      <c r="B2577" s="725"/>
      <c r="C2577" s="33">
        <v>849113001</v>
      </c>
      <c r="D2577" s="742" t="s">
        <v>1089</v>
      </c>
      <c r="H2577" s="33"/>
      <c r="I2577" s="33"/>
      <c r="J2577" s="1212"/>
      <c r="P2577" s="761"/>
      <c r="Q2577" s="1089"/>
      <c r="S2577" s="1375"/>
    </row>
    <row r="2578" spans="1:19" x14ac:dyDescent="0.25">
      <c r="A2578" s="725"/>
      <c r="B2578" s="725"/>
      <c r="C2578" s="33">
        <v>849113038</v>
      </c>
      <c r="D2578" s="742" t="s">
        <v>1135</v>
      </c>
      <c r="H2578" s="33"/>
      <c r="I2578" s="33"/>
      <c r="J2578" s="1212"/>
      <c r="P2578" s="761"/>
      <c r="Q2578" s="1089"/>
      <c r="S2578" s="1375"/>
    </row>
    <row r="2579" spans="1:19" x14ac:dyDescent="0.25">
      <c r="A2579" s="725"/>
      <c r="B2579" s="725"/>
      <c r="C2579" s="33">
        <v>849113010</v>
      </c>
      <c r="D2579" s="742" t="s">
        <v>1119</v>
      </c>
      <c r="H2579" s="33"/>
      <c r="I2579" s="33"/>
      <c r="J2579" s="1212" t="s">
        <v>2811</v>
      </c>
      <c r="P2579" s="761"/>
      <c r="Q2579" s="1089"/>
      <c r="S2579" s="1375"/>
    </row>
    <row r="2580" spans="1:19" x14ac:dyDescent="0.25">
      <c r="A2580" s="725"/>
      <c r="B2580" s="725"/>
      <c r="C2580" s="33">
        <v>849113006</v>
      </c>
      <c r="D2580" s="742" t="s">
        <v>1082</v>
      </c>
      <c r="H2580" s="33"/>
      <c r="I2580" s="33"/>
      <c r="J2580" s="1212"/>
      <c r="P2580" s="761"/>
      <c r="Q2580" s="1089"/>
      <c r="S2580" s="1375"/>
    </row>
    <row r="2581" spans="1:19" x14ac:dyDescent="0.25">
      <c r="A2581" s="725"/>
      <c r="B2581" s="725"/>
      <c r="C2581" s="33">
        <v>849113042</v>
      </c>
      <c r="D2581" s="742" t="s">
        <v>356</v>
      </c>
      <c r="H2581" s="33"/>
      <c r="I2581" s="33"/>
      <c r="J2581" s="1212"/>
      <c r="P2581" s="761"/>
      <c r="Q2581" s="1089"/>
      <c r="S2581" s="1375"/>
    </row>
    <row r="2582" spans="1:19" x14ac:dyDescent="0.25">
      <c r="A2582" s="725"/>
      <c r="B2582" s="725"/>
      <c r="C2582" s="33">
        <v>849113003</v>
      </c>
      <c r="D2582" s="742" t="s">
        <v>1094</v>
      </c>
      <c r="H2582" s="33"/>
      <c r="I2582" s="33"/>
      <c r="J2582" s="1212"/>
      <c r="P2582" s="761"/>
      <c r="Q2582" s="1089"/>
      <c r="S2582" s="1375"/>
    </row>
    <row r="2583" spans="1:19" x14ac:dyDescent="0.25">
      <c r="A2583" s="725"/>
      <c r="B2583" s="725"/>
      <c r="C2583" s="33">
        <v>849110117</v>
      </c>
      <c r="D2583" s="742" t="s">
        <v>2812</v>
      </c>
      <c r="H2583" s="33"/>
      <c r="I2583" s="33"/>
      <c r="J2583" s="1212"/>
      <c r="P2583" s="761"/>
      <c r="Q2583" s="1089"/>
      <c r="S2583" s="1375"/>
    </row>
    <row r="2584" spans="1:19" x14ac:dyDescent="0.25">
      <c r="A2584" s="725"/>
      <c r="B2584" s="725"/>
      <c r="C2584" s="33">
        <v>849113012</v>
      </c>
      <c r="D2584" s="742" t="s">
        <v>1081</v>
      </c>
      <c r="H2584" s="33"/>
      <c r="I2584" s="33"/>
      <c r="J2584" s="1212"/>
      <c r="P2584" s="761"/>
      <c r="Q2584" s="1089"/>
      <c r="S2584" s="1375"/>
    </row>
    <row r="2585" spans="1:19" x14ac:dyDescent="0.25">
      <c r="A2585" s="725" t="s">
        <v>2813</v>
      </c>
      <c r="B2585" s="725"/>
      <c r="C2585" s="744">
        <v>839134002</v>
      </c>
      <c r="D2585" s="743" t="s">
        <v>2814</v>
      </c>
      <c r="H2585" s="744"/>
      <c r="I2585" s="744"/>
      <c r="J2585" s="1212"/>
      <c r="P2585" s="761"/>
      <c r="Q2585" s="1089"/>
      <c r="S2585" s="1375"/>
    </row>
    <row r="2586" spans="1:19" x14ac:dyDescent="0.25">
      <c r="A2586" s="725"/>
      <c r="B2586" s="725"/>
      <c r="C2586" s="744">
        <v>849113028</v>
      </c>
      <c r="D2586" s="743" t="s">
        <v>2504</v>
      </c>
      <c r="H2586" s="744"/>
      <c r="I2586" s="744"/>
      <c r="J2586" s="1212"/>
      <c r="P2586" s="761"/>
      <c r="Q2586" s="1089"/>
      <c r="S2586" s="1375"/>
    </row>
    <row r="2587" spans="1:19" x14ac:dyDescent="0.25">
      <c r="A2587" s="725"/>
      <c r="B2587" s="725"/>
      <c r="C2587" s="744">
        <v>839134017</v>
      </c>
      <c r="D2587" s="743" t="s">
        <v>2815</v>
      </c>
      <c r="H2587" s="744"/>
      <c r="I2587" s="744"/>
      <c r="J2587" s="1212"/>
      <c r="P2587" s="761"/>
      <c r="Q2587" s="1089"/>
      <c r="S2587" s="1375"/>
    </row>
    <row r="2588" spans="1:19" x14ac:dyDescent="0.25">
      <c r="A2588" s="725"/>
      <c r="B2588" s="725"/>
      <c r="C2588" s="744">
        <v>849120076</v>
      </c>
      <c r="D2588" s="743" t="s">
        <v>1009</v>
      </c>
      <c r="H2588" s="744"/>
      <c r="I2588" s="744"/>
      <c r="J2588" s="1212"/>
      <c r="P2588" s="761"/>
      <c r="Q2588" s="1089"/>
      <c r="S2588" s="1375"/>
    </row>
    <row r="2589" spans="1:19" x14ac:dyDescent="0.25">
      <c r="A2589" s="725"/>
      <c r="B2589" s="725"/>
      <c r="C2589" s="744">
        <v>849113027</v>
      </c>
      <c r="D2589" s="743" t="s">
        <v>2816</v>
      </c>
      <c r="H2589" s="744"/>
      <c r="I2589" s="744"/>
      <c r="J2589" s="1212"/>
      <c r="P2589" s="761"/>
      <c r="Q2589" s="1089"/>
      <c r="S2589" s="1375"/>
    </row>
    <row r="2590" spans="1:19" x14ac:dyDescent="0.25">
      <c r="A2590" s="725"/>
      <c r="B2590" s="725"/>
      <c r="C2590" s="744">
        <v>839134001</v>
      </c>
      <c r="D2590" s="743" t="s">
        <v>2817</v>
      </c>
      <c r="H2590" s="744"/>
      <c r="I2590" s="744"/>
      <c r="J2590" s="1212"/>
      <c r="P2590" s="761"/>
      <c r="Q2590" s="1089"/>
      <c r="S2590" s="1375"/>
    </row>
    <row r="2591" spans="1:19" x14ac:dyDescent="0.25">
      <c r="A2591" s="725"/>
      <c r="B2591" s="725"/>
      <c r="C2591" s="744">
        <v>839134006</v>
      </c>
      <c r="D2591" s="743" t="s">
        <v>2818</v>
      </c>
      <c r="H2591" s="744"/>
      <c r="I2591" s="744"/>
      <c r="J2591" s="1212"/>
      <c r="P2591" s="761"/>
      <c r="Q2591" s="1089"/>
      <c r="S2591" s="1375"/>
    </row>
    <row r="2592" spans="1:19" x14ac:dyDescent="0.25">
      <c r="A2592" s="725"/>
      <c r="B2592" s="725"/>
      <c r="C2592" s="744">
        <v>839131009</v>
      </c>
      <c r="D2592" s="743" t="s">
        <v>2819</v>
      </c>
      <c r="H2592" s="744"/>
      <c r="I2592" s="744"/>
      <c r="J2592" s="1212"/>
      <c r="P2592" s="761"/>
      <c r="Q2592" s="1089"/>
      <c r="S2592" s="1375"/>
    </row>
    <row r="2593" spans="1:19" x14ac:dyDescent="0.25">
      <c r="A2593" s="725"/>
      <c r="B2593" s="725"/>
      <c r="C2593" s="744">
        <v>849113080</v>
      </c>
      <c r="D2593" s="743" t="s">
        <v>2820</v>
      </c>
      <c r="H2593" s="744"/>
      <c r="I2593" s="744"/>
      <c r="J2593" s="1212"/>
      <c r="P2593" s="761"/>
      <c r="Q2593" s="1089"/>
      <c r="S2593" s="1375"/>
    </row>
    <row r="2594" spans="1:19" x14ac:dyDescent="0.25">
      <c r="A2594" s="725"/>
      <c r="B2594" s="725"/>
      <c r="C2594" s="744">
        <v>849113052</v>
      </c>
      <c r="D2594" s="743" t="s">
        <v>2821</v>
      </c>
      <c r="H2594" s="744"/>
      <c r="I2594" s="744"/>
      <c r="J2594" s="1212"/>
      <c r="P2594" s="761"/>
      <c r="Q2594" s="1089"/>
      <c r="S2594" s="1375"/>
    </row>
    <row r="2595" spans="1:19" x14ac:dyDescent="0.25">
      <c r="A2595" s="725"/>
      <c r="B2595" s="725"/>
      <c r="C2595" s="744">
        <v>839130009</v>
      </c>
      <c r="D2595" s="743" t="s">
        <v>2822</v>
      </c>
      <c r="H2595" s="744"/>
      <c r="I2595" s="744"/>
      <c r="J2595" s="1212"/>
      <c r="P2595" s="761"/>
      <c r="Q2595" s="1089"/>
      <c r="S2595" s="1375"/>
    </row>
    <row r="2596" spans="1:19" x14ac:dyDescent="0.25">
      <c r="A2596" s="725"/>
      <c r="B2596" s="725"/>
      <c r="C2596" s="744">
        <v>839131011</v>
      </c>
      <c r="D2596" s="743" t="s">
        <v>2485</v>
      </c>
      <c r="H2596" s="744"/>
      <c r="I2596" s="744"/>
      <c r="J2596" s="1212"/>
      <c r="P2596" s="761"/>
      <c r="Q2596" s="1089"/>
      <c r="S2596" s="1375"/>
    </row>
    <row r="2597" spans="1:19" x14ac:dyDescent="0.25">
      <c r="A2597" s="725"/>
      <c r="B2597" s="725"/>
      <c r="C2597" s="744">
        <v>849113017</v>
      </c>
      <c r="D2597" s="743" t="s">
        <v>2823</v>
      </c>
      <c r="H2597" s="744"/>
      <c r="I2597" s="744"/>
      <c r="J2597" s="1212"/>
      <c r="P2597" s="761"/>
      <c r="Q2597" s="1089"/>
      <c r="S2597" s="1375"/>
    </row>
    <row r="2598" spans="1:19" x14ac:dyDescent="0.25">
      <c r="A2598" s="725"/>
      <c r="B2598" s="725"/>
      <c r="C2598" s="744">
        <v>839134015</v>
      </c>
      <c r="D2598" s="743" t="s">
        <v>2824</v>
      </c>
      <c r="H2598" s="744"/>
      <c r="I2598" s="744"/>
      <c r="J2598" s="1212"/>
      <c r="P2598" s="761"/>
      <c r="Q2598" s="1089"/>
      <c r="S2598" s="1375"/>
    </row>
    <row r="2599" spans="1:19" x14ac:dyDescent="0.25">
      <c r="A2599" s="725"/>
      <c r="B2599" s="725"/>
      <c r="C2599" s="744">
        <v>839134018</v>
      </c>
      <c r="D2599" s="743" t="s">
        <v>2825</v>
      </c>
      <c r="H2599" s="744"/>
      <c r="I2599" s="744"/>
      <c r="J2599" s="1212"/>
      <c r="P2599" s="761"/>
      <c r="Q2599" s="1089"/>
      <c r="S2599" s="1375"/>
    </row>
    <row r="2600" spans="1:19" x14ac:dyDescent="0.25">
      <c r="A2600" s="725"/>
      <c r="B2600" s="725"/>
      <c r="C2600" s="744">
        <v>849199066</v>
      </c>
      <c r="D2600" s="743" t="s">
        <v>2826</v>
      </c>
      <c r="H2600" s="744"/>
      <c r="I2600" s="744"/>
      <c r="J2600" s="1212"/>
      <c r="P2600" s="761"/>
      <c r="Q2600" s="1089"/>
      <c r="S2600" s="1375"/>
    </row>
    <row r="2601" spans="1:19" x14ac:dyDescent="0.25">
      <c r="A2601" s="725"/>
      <c r="B2601" s="725"/>
      <c r="C2601" s="744">
        <v>849120017</v>
      </c>
      <c r="D2601" s="743" t="s">
        <v>2827</v>
      </c>
      <c r="H2601" s="744"/>
      <c r="I2601" s="744"/>
      <c r="J2601" s="1212"/>
      <c r="P2601" s="761"/>
      <c r="Q2601" s="1089"/>
      <c r="S2601" s="1375"/>
    </row>
    <row r="2602" spans="1:19" x14ac:dyDescent="0.25">
      <c r="A2602" s="725"/>
      <c r="B2602" s="725"/>
      <c r="C2602" s="744">
        <v>839114007</v>
      </c>
      <c r="D2602" s="743" t="s">
        <v>2828</v>
      </c>
      <c r="H2602" s="744"/>
      <c r="I2602" s="744"/>
      <c r="J2602" s="1212"/>
      <c r="P2602" s="761"/>
      <c r="Q2602" s="1089"/>
      <c r="S2602" s="1375"/>
    </row>
    <row r="2603" spans="1:19" x14ac:dyDescent="0.25">
      <c r="A2603" s="725"/>
      <c r="B2603" s="725"/>
      <c r="C2603" s="744">
        <v>839134013</v>
      </c>
      <c r="D2603" s="743" t="s">
        <v>2829</v>
      </c>
      <c r="H2603" s="744"/>
      <c r="I2603" s="744"/>
      <c r="J2603" s="1212"/>
      <c r="P2603" s="761"/>
      <c r="Q2603" s="1089"/>
      <c r="S2603" s="1375"/>
    </row>
    <row r="2604" spans="1:19" x14ac:dyDescent="0.25">
      <c r="A2604" s="725"/>
      <c r="B2604" s="725"/>
      <c r="C2604" s="744">
        <v>84099001</v>
      </c>
      <c r="D2604" s="743" t="s">
        <v>2830</v>
      </c>
      <c r="H2604" s="744"/>
      <c r="I2604" s="744"/>
      <c r="J2604" s="1212"/>
      <c r="P2604" s="761"/>
      <c r="Q2604" s="1089"/>
      <c r="S2604" s="1375"/>
    </row>
    <row r="2605" spans="1:19" x14ac:dyDescent="0.25">
      <c r="A2605" s="725"/>
      <c r="B2605" s="725"/>
      <c r="C2605" s="744">
        <v>849110186</v>
      </c>
      <c r="D2605" s="743" t="s">
        <v>2831</v>
      </c>
      <c r="H2605" s="744"/>
      <c r="I2605" s="744"/>
      <c r="J2605" s="1212"/>
      <c r="P2605" s="761"/>
      <c r="Q2605" s="1089"/>
      <c r="S2605" s="1375"/>
    </row>
    <row r="2606" spans="1:19" x14ac:dyDescent="0.25">
      <c r="A2606" s="725"/>
      <c r="B2606" s="725"/>
      <c r="C2606" s="744">
        <v>849113009</v>
      </c>
      <c r="D2606" s="743" t="s">
        <v>1749</v>
      </c>
      <c r="H2606" s="744"/>
      <c r="I2606" s="744"/>
      <c r="J2606" s="1212"/>
      <c r="P2606" s="761"/>
      <c r="Q2606" s="1089"/>
      <c r="S2606" s="1375"/>
    </row>
    <row r="2607" spans="1:19" x14ac:dyDescent="0.25">
      <c r="A2607" s="725"/>
      <c r="B2607" s="725"/>
      <c r="C2607" s="744">
        <v>849110120</v>
      </c>
      <c r="D2607" s="743" t="s">
        <v>2832</v>
      </c>
      <c r="H2607" s="744"/>
      <c r="I2607" s="744"/>
      <c r="J2607" s="1212"/>
      <c r="P2607" s="761"/>
      <c r="Q2607" s="1089"/>
      <c r="S2607" s="1375"/>
    </row>
    <row r="2608" spans="1:19" x14ac:dyDescent="0.25">
      <c r="A2608" s="725"/>
      <c r="B2608" s="725"/>
      <c r="C2608" s="744">
        <v>83911013</v>
      </c>
      <c r="D2608" s="743" t="s">
        <v>2833</v>
      </c>
      <c r="H2608" s="744"/>
      <c r="I2608" s="744"/>
      <c r="J2608" s="1212"/>
      <c r="P2608" s="761"/>
      <c r="Q2608" s="1089"/>
      <c r="S2608" s="1375"/>
    </row>
    <row r="2609" spans="1:19" x14ac:dyDescent="0.25">
      <c r="A2609" s="725" t="s">
        <v>2834</v>
      </c>
      <c r="B2609" s="725"/>
      <c r="C2609" s="744">
        <v>849114010</v>
      </c>
      <c r="D2609" s="743" t="s">
        <v>2835</v>
      </c>
      <c r="H2609" s="744"/>
      <c r="I2609" s="744"/>
      <c r="J2609" s="1212"/>
      <c r="P2609" s="761"/>
      <c r="Q2609" s="1089"/>
      <c r="S2609" s="1375"/>
    </row>
    <row r="2610" spans="1:19" x14ac:dyDescent="0.25">
      <c r="A2610" s="725"/>
      <c r="B2610" s="725"/>
      <c r="C2610" s="744">
        <v>849113024</v>
      </c>
      <c r="D2610" s="743" t="s">
        <v>2836</v>
      </c>
      <c r="H2610" s="744"/>
      <c r="I2610" s="744"/>
      <c r="J2610" s="1212"/>
      <c r="P2610" s="761"/>
      <c r="Q2610" s="1089"/>
      <c r="S2610" s="1375"/>
    </row>
    <row r="2611" spans="1:19" x14ac:dyDescent="0.25">
      <c r="A2611" s="725"/>
      <c r="B2611" s="725"/>
      <c r="C2611" s="744">
        <v>839134007</v>
      </c>
      <c r="D2611" s="743" t="s">
        <v>2837</v>
      </c>
      <c r="H2611" s="744"/>
      <c r="I2611" s="744"/>
      <c r="J2611" s="1212"/>
      <c r="P2611" s="761"/>
      <c r="Q2611" s="1089"/>
      <c r="S2611" s="1375"/>
    </row>
    <row r="2612" spans="1:19" x14ac:dyDescent="0.25">
      <c r="A2612" s="725"/>
      <c r="B2612" s="725"/>
      <c r="C2612" s="744">
        <v>839214014</v>
      </c>
      <c r="D2612" s="743" t="s">
        <v>2838</v>
      </c>
      <c r="H2612" s="744"/>
      <c r="I2612" s="744"/>
      <c r="J2612" s="1212"/>
      <c r="P2612" s="761"/>
      <c r="Q2612" s="1089"/>
      <c r="S2612" s="1375"/>
    </row>
    <row r="2613" spans="1:19" x14ac:dyDescent="0.25">
      <c r="A2613" s="725"/>
      <c r="B2613" s="725"/>
      <c r="C2613" s="744">
        <v>849113055</v>
      </c>
      <c r="D2613" s="743" t="s">
        <v>2839</v>
      </c>
      <c r="H2613" s="744"/>
      <c r="I2613" s="744"/>
      <c r="J2613" s="1212"/>
      <c r="P2613" s="761"/>
      <c r="Q2613" s="1089"/>
      <c r="S2613" s="1375"/>
    </row>
    <row r="2614" spans="1:19" x14ac:dyDescent="0.25">
      <c r="A2614" s="725"/>
      <c r="B2614" s="725"/>
      <c r="C2614" s="744">
        <v>849113056</v>
      </c>
      <c r="D2614" s="743" t="s">
        <v>2840</v>
      </c>
      <c r="H2614" s="744"/>
      <c r="I2614" s="744"/>
      <c r="J2614" s="1212"/>
      <c r="P2614" s="761"/>
      <c r="Q2614" s="1089"/>
      <c r="S2614" s="1375"/>
    </row>
    <row r="2615" spans="1:19" x14ac:dyDescent="0.25">
      <c r="A2615" s="725"/>
      <c r="B2615" s="725"/>
      <c r="C2615" s="744">
        <v>849113083</v>
      </c>
      <c r="D2615" s="743" t="s">
        <v>2841</v>
      </c>
      <c r="H2615" s="744"/>
      <c r="I2615" s="744"/>
      <c r="J2615" s="1212"/>
      <c r="P2615" s="761"/>
      <c r="Q2615" s="1089"/>
      <c r="S2615" s="1375"/>
    </row>
    <row r="2616" spans="1:19" x14ac:dyDescent="0.25">
      <c r="A2616" s="725"/>
      <c r="B2616" s="725"/>
      <c r="C2616" s="744">
        <v>849110250</v>
      </c>
      <c r="D2616" s="743" t="s">
        <v>2842</v>
      </c>
      <c r="H2616" s="744"/>
      <c r="I2616" s="744"/>
      <c r="J2616" s="1212"/>
      <c r="P2616" s="761"/>
      <c r="Q2616" s="1089"/>
      <c r="S2616" s="1375"/>
    </row>
    <row r="2617" spans="1:19" x14ac:dyDescent="0.25">
      <c r="A2617" s="725"/>
      <c r="B2617" s="725"/>
      <c r="C2617" s="744">
        <v>849113067</v>
      </c>
      <c r="D2617" s="743" t="s">
        <v>2843</v>
      </c>
      <c r="H2617" s="744"/>
      <c r="I2617" s="744"/>
      <c r="J2617" s="1212"/>
      <c r="P2617" s="761"/>
      <c r="Q2617" s="1089"/>
      <c r="S2617" s="1375"/>
    </row>
    <row r="2618" spans="1:19" x14ac:dyDescent="0.25">
      <c r="A2618" s="107"/>
      <c r="B2618" s="742"/>
      <c r="C2618" s="744">
        <v>839134019</v>
      </c>
      <c r="D2618" s="743" t="s">
        <v>2844</v>
      </c>
      <c r="H2618" s="744"/>
      <c r="I2618" s="744"/>
      <c r="J2618" s="1212"/>
      <c r="P2618" s="761"/>
      <c r="Q2618" s="1089"/>
      <c r="S2618" s="1375"/>
    </row>
    <row r="2619" spans="1:19" x14ac:dyDescent="0.25">
      <c r="A2619" s="107"/>
      <c r="B2619" s="742"/>
      <c r="C2619" s="744">
        <v>849214002</v>
      </c>
      <c r="D2619" s="743" t="s">
        <v>2845</v>
      </c>
      <c r="H2619" s="744"/>
      <c r="I2619" s="744"/>
      <c r="J2619" s="1212"/>
      <c r="P2619" s="761"/>
      <c r="Q2619" s="1089"/>
      <c r="S2619" s="1375"/>
    </row>
    <row r="2620" spans="1:19" x14ac:dyDescent="0.25">
      <c r="A2620" s="107"/>
      <c r="B2620" s="742"/>
      <c r="C2620" s="744">
        <v>849114011</v>
      </c>
      <c r="D2620" s="743" t="s">
        <v>2009</v>
      </c>
      <c r="H2620" s="744"/>
      <c r="I2620" s="744"/>
      <c r="J2620" s="1212"/>
      <c r="P2620" s="761"/>
      <c r="Q2620" s="1089"/>
      <c r="S2620" s="1375"/>
    </row>
    <row r="2621" spans="1:19" x14ac:dyDescent="0.25">
      <c r="A2621" s="107"/>
      <c r="B2621" s="742"/>
      <c r="C2621" s="744">
        <v>849113082</v>
      </c>
      <c r="D2621" s="743" t="s">
        <v>2846</v>
      </c>
      <c r="H2621" s="744"/>
      <c r="I2621" s="744"/>
      <c r="J2621" s="1212"/>
      <c r="P2621" s="761"/>
      <c r="Q2621" s="1089"/>
      <c r="S2621" s="1375"/>
    </row>
    <row r="2622" spans="1:19" x14ac:dyDescent="0.25">
      <c r="A2622" s="107"/>
      <c r="B2622" s="742"/>
      <c r="C2622" s="744">
        <v>849114001</v>
      </c>
      <c r="D2622" s="743" t="s">
        <v>189</v>
      </c>
      <c r="H2622" s="744"/>
      <c r="I2622" s="744"/>
      <c r="J2622" s="1212"/>
      <c r="P2622" s="761"/>
      <c r="Q2622" s="1089"/>
      <c r="S2622" s="1375"/>
    </row>
    <row r="2623" spans="1:19" x14ac:dyDescent="0.25">
      <c r="A2623" s="107"/>
      <c r="B2623" s="742"/>
      <c r="C2623" s="744">
        <v>849113085</v>
      </c>
      <c r="D2623" s="743" t="s">
        <v>2847</v>
      </c>
      <c r="H2623" s="744"/>
      <c r="I2623" s="744"/>
      <c r="J2623" s="1212"/>
      <c r="P2623" s="761"/>
      <c r="Q2623" s="1089"/>
      <c r="S2623" s="1375"/>
    </row>
    <row r="2624" spans="1:19" x14ac:dyDescent="0.25">
      <c r="A2624" s="107"/>
      <c r="B2624" s="742"/>
      <c r="C2624" s="744">
        <v>849214003</v>
      </c>
      <c r="D2624" s="743" t="s">
        <v>2848</v>
      </c>
      <c r="H2624" s="744"/>
      <c r="I2624" s="744"/>
      <c r="J2624" s="1212"/>
      <c r="P2624" s="761"/>
      <c r="Q2624" s="1089"/>
      <c r="S2624" s="1375"/>
    </row>
    <row r="2625" spans="1:19" x14ac:dyDescent="0.25">
      <c r="A2625" s="107"/>
      <c r="B2625" s="742"/>
      <c r="C2625" s="744">
        <v>849214007</v>
      </c>
      <c r="D2625" s="743" t="s">
        <v>2849</v>
      </c>
      <c r="H2625" s="744"/>
      <c r="I2625" s="744"/>
      <c r="J2625" s="1212"/>
      <c r="P2625" s="761"/>
      <c r="Q2625" s="1089"/>
      <c r="S2625" s="1375"/>
    </row>
    <row r="2626" spans="1:19" x14ac:dyDescent="0.25">
      <c r="A2626" s="107"/>
      <c r="B2626" s="742"/>
      <c r="C2626" s="744">
        <v>849113053</v>
      </c>
      <c r="D2626" s="743" t="s">
        <v>2850</v>
      </c>
      <c r="H2626" s="744"/>
      <c r="I2626" s="744"/>
      <c r="J2626" s="1212"/>
      <c r="P2626" s="761"/>
      <c r="Q2626" s="1089"/>
      <c r="S2626" s="1375"/>
    </row>
    <row r="2627" spans="1:19" x14ac:dyDescent="0.25">
      <c r="A2627" s="107"/>
      <c r="B2627" s="742"/>
      <c r="C2627" s="744">
        <v>849113046</v>
      </c>
      <c r="D2627" s="743" t="s">
        <v>2851</v>
      </c>
      <c r="H2627" s="744"/>
      <c r="I2627" s="744"/>
      <c r="J2627" s="1212"/>
      <c r="P2627" s="761"/>
      <c r="Q2627" s="1089"/>
      <c r="S2627" s="1375"/>
    </row>
    <row r="2628" spans="1:19" x14ac:dyDescent="0.25">
      <c r="A2628" s="107"/>
      <c r="B2628" s="742"/>
      <c r="C2628" s="744">
        <v>849113057</v>
      </c>
      <c r="D2628" s="743" t="s">
        <v>2852</v>
      </c>
      <c r="H2628" s="744"/>
      <c r="I2628" s="744"/>
      <c r="J2628" s="1212"/>
      <c r="P2628" s="761"/>
      <c r="Q2628" s="1089"/>
      <c r="S2628" s="1375"/>
    </row>
    <row r="2629" spans="1:19" x14ac:dyDescent="0.25">
      <c r="A2629" s="107"/>
      <c r="B2629" s="742"/>
      <c r="C2629" s="744">
        <v>849113059</v>
      </c>
      <c r="D2629" s="743" t="s">
        <v>2853</v>
      </c>
      <c r="H2629" s="744"/>
      <c r="I2629" s="744"/>
      <c r="J2629" s="1212"/>
      <c r="P2629" s="761"/>
      <c r="Q2629" s="1089"/>
      <c r="S2629" s="1375"/>
    </row>
    <row r="2630" spans="1:19" x14ac:dyDescent="0.25">
      <c r="A2630" s="107"/>
      <c r="B2630" s="742"/>
      <c r="C2630" s="744">
        <v>839134014</v>
      </c>
      <c r="D2630" s="743" t="s">
        <v>2854</v>
      </c>
      <c r="H2630" s="744"/>
      <c r="I2630" s="744"/>
      <c r="J2630" s="1212"/>
      <c r="P2630" s="761"/>
      <c r="Q2630" s="1089"/>
      <c r="S2630" s="1375"/>
    </row>
    <row r="2631" spans="1:19" x14ac:dyDescent="0.25">
      <c r="A2631" s="107"/>
      <c r="B2631" s="742"/>
      <c r="C2631" s="744">
        <v>839214008</v>
      </c>
      <c r="D2631" s="743" t="s">
        <v>2855</v>
      </c>
      <c r="H2631" s="744"/>
      <c r="I2631" s="744"/>
      <c r="J2631" s="1212"/>
      <c r="P2631" s="761"/>
      <c r="Q2631" s="1089"/>
      <c r="S2631" s="1375"/>
    </row>
    <row r="2632" spans="1:19" x14ac:dyDescent="0.25">
      <c r="A2632" s="107"/>
      <c r="B2632" s="742"/>
      <c r="C2632" s="744">
        <v>839214004</v>
      </c>
      <c r="D2632" s="743" t="s">
        <v>2856</v>
      </c>
      <c r="H2632" s="744"/>
      <c r="I2632" s="744"/>
      <c r="J2632" s="1212"/>
      <c r="P2632" s="761"/>
      <c r="Q2632" s="1089"/>
      <c r="S2632" s="1375"/>
    </row>
    <row r="2633" spans="1:19" x14ac:dyDescent="0.25">
      <c r="A2633" s="107"/>
      <c r="B2633" s="742"/>
      <c r="C2633" s="744">
        <v>839214015</v>
      </c>
      <c r="D2633" s="743" t="s">
        <v>2857</v>
      </c>
      <c r="H2633" s="744"/>
      <c r="I2633" s="744"/>
      <c r="J2633" s="1212"/>
      <c r="P2633" s="761"/>
      <c r="Q2633" s="1089"/>
      <c r="S2633" s="1375"/>
    </row>
    <row r="2634" spans="1:19" x14ac:dyDescent="0.25">
      <c r="A2634" s="107"/>
      <c r="B2634" s="742"/>
      <c r="C2634" s="744">
        <v>83911022</v>
      </c>
      <c r="D2634" s="743" t="s">
        <v>2858</v>
      </c>
      <c r="H2634" s="744"/>
      <c r="I2634" s="744"/>
      <c r="J2634" s="1212"/>
      <c r="P2634" s="761"/>
      <c r="Q2634" s="1089"/>
      <c r="S2634" s="1375"/>
    </row>
    <row r="2635" spans="1:19" x14ac:dyDescent="0.25">
      <c r="A2635" s="107"/>
      <c r="B2635" s="742"/>
      <c r="C2635" s="744">
        <v>849113081</v>
      </c>
      <c r="D2635" s="743" t="s">
        <v>2859</v>
      </c>
      <c r="H2635" s="744"/>
      <c r="I2635" s="744"/>
      <c r="J2635" s="1212"/>
      <c r="P2635" s="761"/>
      <c r="Q2635" s="1089"/>
      <c r="S2635" s="1375"/>
    </row>
    <row r="2636" spans="1:19" x14ac:dyDescent="0.25">
      <c r="A2636" s="107"/>
      <c r="B2636" s="742"/>
      <c r="C2636" s="744">
        <v>839131013</v>
      </c>
      <c r="D2636" s="743" t="s">
        <v>2860</v>
      </c>
      <c r="H2636" s="744"/>
      <c r="I2636" s="744"/>
      <c r="J2636" s="1212"/>
      <c r="P2636" s="761"/>
      <c r="Q2636" s="1089"/>
      <c r="S2636" s="1375"/>
    </row>
    <row r="2637" spans="1:19" x14ac:dyDescent="0.25">
      <c r="A2637" s="107"/>
      <c r="B2637" s="742"/>
      <c r="C2637" s="744">
        <v>849113048</v>
      </c>
      <c r="D2637" s="743" t="s">
        <v>1984</v>
      </c>
      <c r="H2637" s="744"/>
      <c r="I2637" s="744"/>
      <c r="J2637" s="1212"/>
      <c r="P2637" s="761"/>
      <c r="Q2637" s="1089"/>
      <c r="S2637" s="1375"/>
    </row>
    <row r="2638" spans="1:19" x14ac:dyDescent="0.25">
      <c r="A2638" s="107"/>
      <c r="B2638" s="742"/>
      <c r="C2638" s="744">
        <v>849114030</v>
      </c>
      <c r="D2638" s="743" t="s">
        <v>2861</v>
      </c>
      <c r="H2638" s="744"/>
      <c r="I2638" s="744"/>
      <c r="J2638" s="1212"/>
      <c r="P2638" s="761"/>
      <c r="Q2638" s="1089"/>
      <c r="S2638" s="1375"/>
    </row>
    <row r="2639" spans="1:19" x14ac:dyDescent="0.25">
      <c r="A2639" s="107"/>
      <c r="B2639" s="742"/>
      <c r="C2639" s="744">
        <v>849113066</v>
      </c>
      <c r="D2639" s="743" t="s">
        <v>2862</v>
      </c>
      <c r="H2639" s="744"/>
      <c r="I2639" s="744"/>
      <c r="J2639" s="1212"/>
      <c r="P2639" s="761"/>
      <c r="Q2639" s="1089"/>
      <c r="S2639" s="1375"/>
    </row>
    <row r="2640" spans="1:19" x14ac:dyDescent="0.25">
      <c r="A2640" s="107"/>
      <c r="B2640" s="742"/>
      <c r="C2640" s="744">
        <v>849113090</v>
      </c>
      <c r="D2640" s="743" t="s">
        <v>2863</v>
      </c>
      <c r="H2640" s="744"/>
      <c r="I2640" s="744"/>
      <c r="J2640" s="1212"/>
      <c r="P2640" s="761"/>
      <c r="Q2640" s="1089"/>
      <c r="S2640" s="1375"/>
    </row>
    <row r="2641" spans="1:19" x14ac:dyDescent="0.25">
      <c r="A2641" s="107"/>
      <c r="B2641" s="742"/>
      <c r="C2641" s="744">
        <v>849113087</v>
      </c>
      <c r="D2641" s="743" t="s">
        <v>2864</v>
      </c>
      <c r="H2641" s="744"/>
      <c r="I2641" s="744"/>
      <c r="J2641" s="1212"/>
      <c r="P2641" s="761"/>
      <c r="Q2641" s="1089"/>
      <c r="S2641" s="1375"/>
    </row>
    <row r="2642" spans="1:19" x14ac:dyDescent="0.25">
      <c r="A2642" s="745"/>
      <c r="B2642" s="746"/>
      <c r="C2642" s="744">
        <v>849110299</v>
      </c>
      <c r="D2642" s="743" t="s">
        <v>2865</v>
      </c>
      <c r="H2642" s="744"/>
      <c r="I2642" s="744"/>
      <c r="J2642" s="1212"/>
      <c r="P2642" s="761"/>
      <c r="Q2642" s="1089"/>
      <c r="S2642" s="1375"/>
    </row>
    <row r="2643" spans="1:19" x14ac:dyDescent="0.25">
      <c r="A2643" s="745"/>
      <c r="B2643" s="746"/>
      <c r="C2643" s="744">
        <v>849113074</v>
      </c>
      <c r="D2643" s="743" t="s">
        <v>2866</v>
      </c>
      <c r="H2643" s="744"/>
      <c r="I2643" s="744"/>
      <c r="J2643" s="1212"/>
      <c r="P2643" s="761"/>
      <c r="Q2643" s="1089"/>
      <c r="S2643" s="1375"/>
    </row>
    <row r="2644" spans="1:19" x14ac:dyDescent="0.25">
      <c r="A2644" s="745" t="s">
        <v>2867</v>
      </c>
      <c r="B2644" s="746"/>
      <c r="C2644" s="33">
        <v>839214007</v>
      </c>
      <c r="D2644" s="743" t="s">
        <v>2868</v>
      </c>
      <c r="H2644" s="742"/>
      <c r="I2644" s="742"/>
      <c r="J2644" s="1212"/>
      <c r="P2644" s="761"/>
      <c r="Q2644" s="1089"/>
      <c r="S2644" s="1375"/>
    </row>
    <row r="2645" spans="1:19" x14ac:dyDescent="0.25">
      <c r="A2645" s="745"/>
      <c r="B2645" s="746"/>
      <c r="C2645" s="33">
        <v>839214011</v>
      </c>
      <c r="D2645" s="743" t="s">
        <v>2869</v>
      </c>
      <c r="H2645" s="742"/>
      <c r="I2645" s="742"/>
      <c r="J2645" s="1212"/>
      <c r="P2645" s="761"/>
      <c r="Q2645" s="1089"/>
      <c r="S2645" s="1375"/>
    </row>
    <row r="2646" spans="1:19" x14ac:dyDescent="0.25">
      <c r="A2646" s="745"/>
      <c r="B2646" s="746"/>
      <c r="C2646" s="33">
        <v>849113076</v>
      </c>
      <c r="D2646" s="743" t="s">
        <v>2870</v>
      </c>
      <c r="H2646" s="742"/>
      <c r="I2646" s="742"/>
      <c r="J2646" s="1212"/>
      <c r="P2646" s="761"/>
      <c r="Q2646" s="1089"/>
      <c r="S2646" s="1375"/>
    </row>
    <row r="2647" spans="1:19" x14ac:dyDescent="0.25">
      <c r="A2647" s="745"/>
      <c r="B2647" s="746"/>
      <c r="C2647" s="33">
        <v>839214003</v>
      </c>
      <c r="D2647" s="743" t="s">
        <v>2871</v>
      </c>
      <c r="H2647" s="742"/>
      <c r="I2647" s="742"/>
      <c r="J2647" s="1212"/>
      <c r="P2647" s="761"/>
      <c r="Q2647" s="1089"/>
      <c r="S2647" s="1375"/>
    </row>
    <row r="2648" spans="1:19" x14ac:dyDescent="0.25">
      <c r="A2648" s="745"/>
      <c r="B2648" s="746"/>
      <c r="C2648" s="33">
        <v>849113061</v>
      </c>
      <c r="D2648" s="743" t="s">
        <v>2872</v>
      </c>
      <c r="H2648" s="742"/>
      <c r="I2648" s="742"/>
      <c r="J2648" s="1212"/>
      <c r="P2648" s="761"/>
      <c r="Q2648" s="1089"/>
      <c r="S2648" s="1375"/>
    </row>
    <row r="2649" spans="1:19" x14ac:dyDescent="0.25">
      <c r="A2649" s="745"/>
      <c r="B2649" s="746"/>
      <c r="C2649" s="33">
        <v>849114018</v>
      </c>
      <c r="D2649" s="743" t="s">
        <v>2873</v>
      </c>
      <c r="H2649" s="742"/>
      <c r="I2649" s="742"/>
      <c r="J2649" s="1212"/>
      <c r="P2649" s="761"/>
      <c r="Q2649" s="1089"/>
      <c r="S2649" s="1375"/>
    </row>
    <row r="2650" spans="1:19" x14ac:dyDescent="0.25">
      <c r="A2650" s="745"/>
      <c r="B2650" s="746"/>
      <c r="C2650" s="33">
        <v>849120014</v>
      </c>
      <c r="D2650" s="743" t="s">
        <v>2874</v>
      </c>
      <c r="H2650" s="742"/>
      <c r="I2650" s="742"/>
      <c r="J2650" s="1212"/>
      <c r="P2650" s="761"/>
      <c r="Q2650" s="1089"/>
      <c r="S2650" s="1375"/>
    </row>
    <row r="2651" spans="1:19" x14ac:dyDescent="0.25">
      <c r="A2651" s="745"/>
      <c r="B2651" s="746"/>
      <c r="C2651" s="33">
        <v>849114008</v>
      </c>
      <c r="D2651" s="743" t="s">
        <v>2875</v>
      </c>
      <c r="H2651" s="742"/>
      <c r="I2651" s="742"/>
      <c r="J2651" s="1212"/>
      <c r="P2651" s="761"/>
      <c r="Q2651" s="1089"/>
      <c r="S2651" s="1375"/>
    </row>
    <row r="2652" spans="1:19" x14ac:dyDescent="0.25">
      <c r="A2652" s="745"/>
      <c r="B2652" s="746"/>
      <c r="C2652" s="33">
        <v>849114007</v>
      </c>
      <c r="D2652" s="743" t="s">
        <v>2876</v>
      </c>
      <c r="H2652" s="742"/>
      <c r="I2652" s="742"/>
      <c r="J2652" s="1212"/>
      <c r="P2652" s="761"/>
      <c r="Q2652" s="1089"/>
      <c r="S2652" s="1375"/>
    </row>
    <row r="2653" spans="1:19" x14ac:dyDescent="0.25">
      <c r="A2653" s="745"/>
      <c r="B2653" s="746"/>
      <c r="C2653" s="33">
        <v>849114040</v>
      </c>
      <c r="D2653" s="743" t="s">
        <v>2877</v>
      </c>
      <c r="H2653" s="742"/>
      <c r="I2653" s="742"/>
      <c r="J2653" s="1212"/>
      <c r="P2653" s="761"/>
      <c r="Q2653" s="1089"/>
      <c r="S2653" s="1375"/>
    </row>
    <row r="2654" spans="1:19" x14ac:dyDescent="0.25">
      <c r="A2654" s="745"/>
      <c r="B2654" s="746"/>
      <c r="C2654" s="33">
        <v>839114014</v>
      </c>
      <c r="D2654" s="743" t="s">
        <v>2878</v>
      </c>
      <c r="H2654" s="742"/>
      <c r="I2654" s="742"/>
      <c r="J2654" s="1212"/>
      <c r="P2654" s="761"/>
      <c r="Q2654" s="1089"/>
      <c r="S2654" s="1375"/>
    </row>
    <row r="2655" spans="1:19" x14ac:dyDescent="0.25">
      <c r="A2655" s="745"/>
      <c r="B2655" s="746"/>
      <c r="C2655" s="33">
        <v>849113040</v>
      </c>
      <c r="D2655" s="743" t="s">
        <v>2879</v>
      </c>
      <c r="H2655" s="742"/>
      <c r="I2655" s="742"/>
      <c r="J2655" s="1212"/>
      <c r="P2655" s="761"/>
      <c r="Q2655" s="1089"/>
      <c r="S2655" s="1375"/>
    </row>
    <row r="2656" spans="1:19" x14ac:dyDescent="0.25">
      <c r="A2656" s="745"/>
      <c r="B2656" s="746"/>
      <c r="C2656" s="33">
        <v>839114013</v>
      </c>
      <c r="D2656" s="743" t="s">
        <v>2880</v>
      </c>
      <c r="H2656" s="742"/>
      <c r="I2656" s="742"/>
      <c r="J2656" s="1212"/>
      <c r="P2656" s="761"/>
      <c r="Q2656" s="1089"/>
      <c r="S2656" s="1375"/>
    </row>
    <row r="2657" spans="1:19" x14ac:dyDescent="0.25">
      <c r="A2657" s="745"/>
      <c r="B2657" s="746"/>
      <c r="C2657" s="33">
        <v>849214010</v>
      </c>
      <c r="D2657" s="743" t="s">
        <v>2881</v>
      </c>
      <c r="H2657" s="742"/>
      <c r="I2657" s="742"/>
      <c r="J2657" s="1212"/>
      <c r="P2657" s="761"/>
      <c r="Q2657" s="1089"/>
      <c r="S2657" s="1375"/>
    </row>
    <row r="2658" spans="1:19" x14ac:dyDescent="0.25">
      <c r="A2658" s="745"/>
      <c r="B2658" s="746"/>
      <c r="C2658" s="33">
        <v>849113077</v>
      </c>
      <c r="D2658" s="743" t="s">
        <v>1708</v>
      </c>
      <c r="H2658" s="742"/>
      <c r="I2658" s="742"/>
      <c r="J2658" s="1212"/>
      <c r="P2658" s="761"/>
      <c r="Q2658" s="1089"/>
      <c r="S2658" s="1375"/>
    </row>
    <row r="2659" spans="1:19" x14ac:dyDescent="0.25">
      <c r="A2659" s="745"/>
      <c r="B2659" s="746"/>
      <c r="C2659" s="33">
        <v>849214014</v>
      </c>
      <c r="D2659" s="743" t="s">
        <v>2882</v>
      </c>
      <c r="H2659" s="742"/>
      <c r="I2659" s="742"/>
      <c r="J2659" s="1212"/>
      <c r="P2659" s="761"/>
      <c r="Q2659" s="1089"/>
      <c r="S2659" s="1375"/>
    </row>
    <row r="2660" spans="1:19" x14ac:dyDescent="0.25">
      <c r="A2660" s="745"/>
      <c r="B2660" s="746"/>
      <c r="C2660" s="33">
        <v>849214011</v>
      </c>
      <c r="D2660" s="743" t="s">
        <v>2883</v>
      </c>
      <c r="H2660" s="742"/>
      <c r="I2660" s="742"/>
      <c r="J2660" s="1212"/>
      <c r="P2660" s="761"/>
      <c r="Q2660" s="1089"/>
      <c r="S2660" s="1375"/>
    </row>
    <row r="2661" spans="1:19" x14ac:dyDescent="0.25">
      <c r="A2661" s="745"/>
      <c r="B2661" s="746"/>
      <c r="C2661" s="33">
        <v>849114006</v>
      </c>
      <c r="D2661" s="743" t="s">
        <v>2509</v>
      </c>
      <c r="H2661" s="742"/>
      <c r="I2661" s="742"/>
      <c r="J2661" s="1212"/>
      <c r="P2661" s="761"/>
      <c r="Q2661" s="1089"/>
      <c r="S2661" s="1375"/>
    </row>
    <row r="2662" spans="1:19" x14ac:dyDescent="0.25">
      <c r="A2662" s="745"/>
      <c r="B2662" s="746"/>
      <c r="C2662" s="33">
        <v>849114012</v>
      </c>
      <c r="D2662" s="743" t="s">
        <v>2884</v>
      </c>
      <c r="H2662" s="742"/>
      <c r="I2662" s="742"/>
      <c r="J2662" s="1212"/>
      <c r="P2662" s="761"/>
      <c r="Q2662" s="1089"/>
      <c r="S2662" s="1375"/>
    </row>
    <row r="2663" spans="1:19" x14ac:dyDescent="0.25">
      <c r="A2663" s="745"/>
      <c r="B2663" s="746"/>
      <c r="C2663" s="33">
        <v>849114031</v>
      </c>
      <c r="D2663" s="743" t="s">
        <v>2885</v>
      </c>
      <c r="H2663" s="742"/>
      <c r="I2663" s="742"/>
      <c r="J2663" s="1212"/>
      <c r="P2663" s="761"/>
      <c r="Q2663" s="1089"/>
      <c r="S2663" s="1375"/>
    </row>
    <row r="2664" spans="1:19" x14ac:dyDescent="0.25">
      <c r="A2664" s="745"/>
      <c r="B2664" s="746"/>
      <c r="C2664" s="33">
        <v>839131012</v>
      </c>
      <c r="D2664" s="743" t="s">
        <v>2886</v>
      </c>
      <c r="H2664" s="742"/>
      <c r="I2664" s="742"/>
      <c r="J2664" s="1212"/>
      <c r="P2664" s="761"/>
      <c r="Q2664" s="1089"/>
      <c r="S2664" s="1375"/>
    </row>
    <row r="2665" spans="1:19" x14ac:dyDescent="0.25">
      <c r="A2665" s="745"/>
      <c r="B2665" s="746"/>
      <c r="C2665" s="33">
        <v>839215005</v>
      </c>
      <c r="D2665" s="743" t="s">
        <v>2887</v>
      </c>
      <c r="H2665" s="742"/>
      <c r="I2665" s="742"/>
      <c r="J2665" s="1212"/>
      <c r="P2665" s="761"/>
      <c r="Q2665" s="1089"/>
      <c r="S2665" s="1375"/>
    </row>
    <row r="2666" spans="1:19" x14ac:dyDescent="0.25">
      <c r="A2666" s="745"/>
      <c r="B2666" s="746"/>
      <c r="C2666" s="33">
        <v>839134010</v>
      </c>
      <c r="D2666" s="743" t="s">
        <v>2888</v>
      </c>
      <c r="H2666" s="742"/>
      <c r="I2666" s="742"/>
      <c r="J2666" s="1212"/>
      <c r="P2666" s="761"/>
      <c r="Q2666" s="1089"/>
      <c r="S2666" s="1375"/>
    </row>
    <row r="2667" spans="1:19" x14ac:dyDescent="0.25">
      <c r="A2667" s="745"/>
      <c r="B2667" s="746"/>
      <c r="C2667" s="33">
        <v>839111024</v>
      </c>
      <c r="D2667" s="743" t="s">
        <v>2889</v>
      </c>
      <c r="H2667" s="742"/>
      <c r="I2667" s="742"/>
      <c r="J2667" s="1212"/>
      <c r="P2667" s="761"/>
      <c r="Q2667" s="1089"/>
      <c r="S2667" s="1375"/>
    </row>
    <row r="2668" spans="1:19" x14ac:dyDescent="0.25">
      <c r="A2668" s="745"/>
      <c r="B2668" s="746"/>
      <c r="C2668" s="33">
        <v>839120006</v>
      </c>
      <c r="D2668" s="743" t="s">
        <v>2890</v>
      </c>
      <c r="H2668" s="742"/>
      <c r="I2668" s="742"/>
      <c r="J2668" s="1212"/>
      <c r="P2668" s="761"/>
      <c r="Q2668" s="1089"/>
      <c r="S2668" s="1375"/>
    </row>
    <row r="2669" spans="1:19" x14ac:dyDescent="0.25">
      <c r="A2669" s="745"/>
      <c r="B2669" s="746"/>
      <c r="C2669" s="33">
        <v>839215007</v>
      </c>
      <c r="D2669" s="743" t="s">
        <v>2891</v>
      </c>
      <c r="H2669" s="742"/>
      <c r="I2669" s="742"/>
      <c r="J2669" s="1212"/>
      <c r="P2669" s="761"/>
      <c r="Q2669" s="1089"/>
      <c r="S2669" s="1375"/>
    </row>
    <row r="2670" spans="1:19" x14ac:dyDescent="0.25">
      <c r="A2670" s="745"/>
      <c r="B2670" s="746"/>
      <c r="C2670" s="33">
        <v>839115004</v>
      </c>
      <c r="D2670" s="743" t="s">
        <v>2892</v>
      </c>
      <c r="H2670" s="742"/>
      <c r="I2670" s="742"/>
      <c r="J2670" s="1212"/>
      <c r="P2670" s="761"/>
      <c r="Q2670" s="1089"/>
      <c r="S2670" s="1375"/>
    </row>
    <row r="2671" spans="1:19" x14ac:dyDescent="0.25">
      <c r="A2671" s="745"/>
      <c r="B2671" s="746"/>
      <c r="C2671" s="33">
        <v>839215013</v>
      </c>
      <c r="D2671" s="743" t="s">
        <v>2893</v>
      </c>
      <c r="H2671" s="742"/>
      <c r="I2671" s="742"/>
      <c r="J2671" s="1212"/>
      <c r="P2671" s="761"/>
      <c r="Q2671" s="1089"/>
      <c r="S2671" s="1375"/>
    </row>
    <row r="2672" spans="1:19" x14ac:dyDescent="0.25">
      <c r="A2672" s="745"/>
      <c r="B2672" s="746"/>
      <c r="C2672" s="33">
        <v>839214010</v>
      </c>
      <c r="D2672" s="743" t="s">
        <v>2894</v>
      </c>
      <c r="H2672" s="742"/>
      <c r="I2672" s="742"/>
      <c r="J2672" s="1212"/>
      <c r="P2672" s="761"/>
      <c r="Q2672" s="1089"/>
      <c r="S2672" s="1375"/>
    </row>
    <row r="2673" spans="1:19" x14ac:dyDescent="0.25">
      <c r="A2673" s="745"/>
      <c r="B2673" s="746"/>
      <c r="C2673" s="33">
        <v>839214002</v>
      </c>
      <c r="D2673" s="743" t="s">
        <v>2895</v>
      </c>
      <c r="H2673" s="742"/>
      <c r="I2673" s="742"/>
      <c r="J2673" s="1212"/>
      <c r="P2673" s="761"/>
      <c r="Q2673" s="1089"/>
      <c r="S2673" s="1375"/>
    </row>
    <row r="2674" spans="1:19" x14ac:dyDescent="0.25">
      <c r="A2674" s="745"/>
      <c r="B2674" s="746"/>
      <c r="C2674" s="33">
        <v>839214006</v>
      </c>
      <c r="D2674" s="743" t="s">
        <v>2896</v>
      </c>
      <c r="H2674" s="742"/>
      <c r="I2674" s="742"/>
      <c r="J2674" s="1212"/>
      <c r="P2674" s="761"/>
      <c r="Q2674" s="1089"/>
      <c r="S2674" s="1375"/>
    </row>
    <row r="2675" spans="1:19" x14ac:dyDescent="0.25">
      <c r="A2675" s="745"/>
      <c r="B2675" s="746"/>
      <c r="C2675" s="33">
        <v>849112015</v>
      </c>
      <c r="D2675" s="743" t="s">
        <v>2009</v>
      </c>
      <c r="H2675" s="742"/>
      <c r="I2675" s="742"/>
      <c r="J2675" s="1212"/>
      <c r="P2675" s="761"/>
      <c r="Q2675" s="1089"/>
      <c r="S2675" s="1375"/>
    </row>
    <row r="2676" spans="1:19" x14ac:dyDescent="0.25">
      <c r="A2676" s="745"/>
      <c r="B2676" s="746"/>
      <c r="C2676" s="33">
        <v>849110269</v>
      </c>
      <c r="D2676" s="743" t="s">
        <v>2897</v>
      </c>
      <c r="H2676" s="742"/>
      <c r="I2676" s="742"/>
      <c r="J2676" s="1212"/>
      <c r="P2676" s="761"/>
      <c r="Q2676" s="1089"/>
      <c r="S2676" s="1375"/>
    </row>
    <row r="2677" spans="1:19" x14ac:dyDescent="0.25">
      <c r="A2677" s="745"/>
      <c r="B2677" s="746"/>
      <c r="C2677" s="33">
        <v>849114015</v>
      </c>
      <c r="D2677" s="743" t="s">
        <v>2898</v>
      </c>
      <c r="H2677" s="742"/>
      <c r="I2677" s="742"/>
      <c r="J2677" s="1212"/>
      <c r="P2677" s="761"/>
      <c r="Q2677" s="1089"/>
      <c r="S2677" s="1375"/>
    </row>
    <row r="2678" spans="1:19" x14ac:dyDescent="0.25">
      <c r="C2678" s="33">
        <v>849114039</v>
      </c>
      <c r="D2678" s="743" t="s">
        <v>2899</v>
      </c>
      <c r="H2678" s="742"/>
      <c r="I2678" s="742"/>
      <c r="J2678" s="1212"/>
      <c r="P2678" s="761"/>
      <c r="Q2678" s="1089"/>
      <c r="S2678" s="1375"/>
    </row>
    <row r="2679" spans="1:19" x14ac:dyDescent="0.25">
      <c r="C2679" s="33">
        <v>849214012</v>
      </c>
      <c r="D2679" s="743" t="s">
        <v>2900</v>
      </c>
      <c r="H2679" s="742"/>
      <c r="I2679" s="742"/>
      <c r="J2679" s="1212"/>
      <c r="P2679" s="761"/>
      <c r="Q2679" s="1089"/>
      <c r="S2679" s="1375"/>
    </row>
    <row r="2680" spans="1:19" x14ac:dyDescent="0.25">
      <c r="C2680" s="33">
        <v>849214013</v>
      </c>
      <c r="D2680" s="743" t="s">
        <v>2901</v>
      </c>
      <c r="H2680" s="742"/>
      <c r="I2680" s="742"/>
      <c r="J2680" s="1212"/>
      <c r="P2680" s="761"/>
      <c r="Q2680" s="1089"/>
      <c r="S2680" s="1375"/>
    </row>
    <row r="2681" spans="1:19" x14ac:dyDescent="0.25">
      <c r="C2681" s="33">
        <v>849114002</v>
      </c>
      <c r="D2681" s="743" t="s">
        <v>2902</v>
      </c>
      <c r="H2681" s="742"/>
      <c r="I2681" s="742"/>
      <c r="J2681" s="1212"/>
      <c r="P2681" s="761"/>
      <c r="Q2681" s="1089"/>
      <c r="S2681" s="1375"/>
    </row>
    <row r="2682" spans="1:19" x14ac:dyDescent="0.25">
      <c r="C2682" s="33">
        <v>849120077</v>
      </c>
      <c r="D2682" s="743" t="s">
        <v>2903</v>
      </c>
      <c r="H2682" s="742"/>
      <c r="I2682" s="742"/>
      <c r="J2682" s="1212"/>
      <c r="P2682" s="761"/>
      <c r="Q2682" s="1089"/>
      <c r="S2682" s="1375"/>
    </row>
    <row r="2683" spans="1:19" x14ac:dyDescent="0.25">
      <c r="C2683" s="33">
        <v>849113092</v>
      </c>
      <c r="D2683" s="743" t="s">
        <v>2904</v>
      </c>
      <c r="H2683" s="742"/>
      <c r="I2683" s="742"/>
      <c r="J2683" s="1212"/>
      <c r="P2683" s="761"/>
      <c r="Q2683" s="1089"/>
      <c r="S2683" s="1375"/>
    </row>
    <row r="2684" spans="1:19" x14ac:dyDescent="0.25">
      <c r="C2684" s="33">
        <v>849214008</v>
      </c>
      <c r="D2684" s="743" t="s">
        <v>2905</v>
      </c>
      <c r="H2684" s="742"/>
      <c r="I2684" s="742"/>
      <c r="J2684" s="1212"/>
      <c r="P2684" s="761"/>
      <c r="Q2684" s="1089"/>
      <c r="S2684" s="1375"/>
    </row>
    <row r="2685" spans="1:19" x14ac:dyDescent="0.25">
      <c r="C2685" s="33">
        <v>849113019</v>
      </c>
      <c r="D2685" s="743" t="s">
        <v>2906</v>
      </c>
      <c r="H2685" s="742"/>
      <c r="I2685" s="742"/>
      <c r="J2685" s="1212"/>
      <c r="P2685" s="761"/>
      <c r="Q2685" s="1089"/>
      <c r="S2685" s="1375"/>
    </row>
    <row r="2686" spans="1:19" x14ac:dyDescent="0.25">
      <c r="C2686" s="33">
        <v>849120001</v>
      </c>
      <c r="D2686" s="743" t="s">
        <v>2907</v>
      </c>
      <c r="H2686" s="742"/>
      <c r="I2686" s="742"/>
      <c r="J2686" s="1212"/>
      <c r="P2686" s="761"/>
      <c r="Q2686" s="1089"/>
      <c r="S2686" s="1375"/>
    </row>
    <row r="2687" spans="1:19" x14ac:dyDescent="0.25">
      <c r="C2687" s="33">
        <v>839115010</v>
      </c>
      <c r="D2687" s="743" t="s">
        <v>2908</v>
      </c>
      <c r="H2687" s="742"/>
      <c r="I2687" s="742"/>
      <c r="J2687" s="1212"/>
      <c r="P2687" s="761"/>
      <c r="Q2687" s="1089"/>
      <c r="S2687" s="1375"/>
    </row>
    <row r="2688" spans="1:19" x14ac:dyDescent="0.25">
      <c r="C2688" s="33">
        <v>849213009</v>
      </c>
      <c r="D2688" s="743" t="s">
        <v>2909</v>
      </c>
      <c r="H2688" s="742"/>
      <c r="I2688" s="742"/>
      <c r="J2688" s="1212"/>
      <c r="P2688" s="761"/>
      <c r="Q2688" s="1089"/>
      <c r="S2688" s="1375"/>
    </row>
    <row r="2689" spans="3:19" x14ac:dyDescent="0.25">
      <c r="C2689" s="33">
        <v>839215004</v>
      </c>
      <c r="D2689" s="743" t="s">
        <v>2910</v>
      </c>
      <c r="H2689" s="742"/>
      <c r="I2689" s="742"/>
      <c r="J2689" s="1212"/>
      <c r="P2689" s="761"/>
      <c r="Q2689" s="1089"/>
      <c r="S2689" s="1375"/>
    </row>
    <row r="2690" spans="3:19" x14ac:dyDescent="0.25">
      <c r="C2690" s="33">
        <v>839115001</v>
      </c>
      <c r="D2690" s="743" t="s">
        <v>2911</v>
      </c>
      <c r="H2690" s="742"/>
      <c r="I2690" s="742"/>
      <c r="J2690" s="1212"/>
      <c r="P2690" s="761"/>
      <c r="Q2690" s="1089"/>
      <c r="S2690" s="1375"/>
    </row>
    <row r="2691" spans="3:19" x14ac:dyDescent="0.25">
      <c r="C2691" s="33">
        <v>839115012</v>
      </c>
      <c r="D2691" s="743" t="s">
        <v>2912</v>
      </c>
      <c r="H2691" s="742"/>
      <c r="I2691" s="742"/>
      <c r="J2691" s="1212"/>
      <c r="P2691" s="761"/>
      <c r="Q2691" s="1089"/>
      <c r="S2691" s="1375"/>
    </row>
    <row r="2692" spans="3:19" x14ac:dyDescent="0.25">
      <c r="C2692" s="33">
        <v>849315015</v>
      </c>
      <c r="D2692" s="743" t="s">
        <v>2913</v>
      </c>
      <c r="H2692" s="742"/>
      <c r="I2692" s="742"/>
      <c r="J2692" s="1212"/>
      <c r="P2692" s="761"/>
      <c r="Q2692" s="1089"/>
      <c r="S2692" s="1375"/>
    </row>
    <row r="2693" spans="3:19" x14ac:dyDescent="0.25">
      <c r="C2693" s="33">
        <v>849315007</v>
      </c>
      <c r="D2693" s="743" t="s">
        <v>2914</v>
      </c>
      <c r="H2693" s="742"/>
      <c r="I2693" s="742"/>
      <c r="J2693" s="1212"/>
      <c r="P2693" s="761"/>
      <c r="Q2693" s="1089"/>
      <c r="S2693" s="1375"/>
    </row>
    <row r="2694" spans="3:19" x14ac:dyDescent="0.25">
      <c r="C2694" s="33">
        <v>839115005</v>
      </c>
      <c r="D2694" s="743" t="s">
        <v>2915</v>
      </c>
      <c r="H2694" s="742"/>
      <c r="I2694" s="742"/>
      <c r="J2694" s="1212"/>
      <c r="P2694" s="761"/>
      <c r="Q2694" s="1089"/>
      <c r="S2694" s="1375"/>
    </row>
    <row r="2695" spans="3:19" x14ac:dyDescent="0.25">
      <c r="C2695" s="33">
        <v>839134009</v>
      </c>
      <c r="D2695" s="743" t="s">
        <v>2916</v>
      </c>
      <c r="H2695" s="742"/>
      <c r="I2695" s="742"/>
      <c r="J2695" s="1212"/>
      <c r="P2695" s="761"/>
      <c r="Q2695" s="1089"/>
      <c r="S2695" s="1375"/>
    </row>
    <row r="2696" spans="3:19" x14ac:dyDescent="0.25">
      <c r="C2696" s="33">
        <v>839215001</v>
      </c>
      <c r="D2696" s="743" t="s">
        <v>2917</v>
      </c>
      <c r="H2696" s="742"/>
      <c r="I2696" s="742"/>
      <c r="J2696" s="1212"/>
      <c r="P2696" s="761"/>
      <c r="Q2696" s="1089"/>
      <c r="S2696" s="1375"/>
    </row>
    <row r="2697" spans="3:19" x14ac:dyDescent="0.25">
      <c r="C2697" s="33">
        <v>839115008</v>
      </c>
      <c r="D2697" s="743" t="s">
        <v>2918</v>
      </c>
      <c r="H2697" s="742"/>
      <c r="I2697" s="742"/>
      <c r="J2697" s="1212"/>
      <c r="P2697" s="761"/>
      <c r="Q2697" s="1089"/>
      <c r="S2697" s="1375"/>
    </row>
    <row r="2698" spans="3:19" x14ac:dyDescent="0.25">
      <c r="C2698" s="33">
        <v>839134016</v>
      </c>
      <c r="D2698" s="743" t="s">
        <v>2919</v>
      </c>
      <c r="H2698" s="742"/>
      <c r="I2698" s="742"/>
      <c r="J2698" s="1212"/>
      <c r="P2698" s="761"/>
      <c r="Q2698" s="1089"/>
      <c r="S2698" s="1375"/>
    </row>
    <row r="2699" spans="3:19" x14ac:dyDescent="0.25">
      <c r="C2699" s="33">
        <v>849120039</v>
      </c>
      <c r="D2699" s="743" t="s">
        <v>2920</v>
      </c>
      <c r="H2699" s="742"/>
      <c r="I2699" s="742"/>
      <c r="J2699" s="1212"/>
      <c r="P2699" s="761"/>
      <c r="Q2699" s="1089"/>
      <c r="S2699" s="1375"/>
    </row>
    <row r="2700" spans="3:19" x14ac:dyDescent="0.25">
      <c r="C2700" s="33">
        <v>849415004</v>
      </c>
      <c r="D2700" s="743" t="s">
        <v>2921</v>
      </c>
      <c r="H2700" s="742"/>
      <c r="I2700" s="742"/>
      <c r="J2700" s="1212"/>
      <c r="P2700" s="761"/>
      <c r="Q2700" s="1089"/>
      <c r="S2700" s="1375"/>
    </row>
    <row r="2701" spans="3:19" x14ac:dyDescent="0.25">
      <c r="C2701" s="33">
        <v>849115017</v>
      </c>
      <c r="D2701" s="743" t="s">
        <v>2922</v>
      </c>
      <c r="H2701" s="742"/>
      <c r="I2701" s="742"/>
      <c r="J2701" s="1212"/>
      <c r="P2701" s="761"/>
      <c r="Q2701" s="1089"/>
      <c r="S2701" s="1375"/>
    </row>
    <row r="2702" spans="3:19" x14ac:dyDescent="0.25">
      <c r="C2702" s="33">
        <v>849114032</v>
      </c>
      <c r="D2702" s="743" t="s">
        <v>2923</v>
      </c>
      <c r="H2702" s="742"/>
      <c r="I2702" s="742"/>
      <c r="J2702" s="1212"/>
      <c r="P2702" s="761"/>
      <c r="Q2702" s="1089"/>
      <c r="S2702" s="1375"/>
    </row>
    <row r="2703" spans="3:19" x14ac:dyDescent="0.25">
      <c r="C2703" s="33">
        <v>839215006</v>
      </c>
      <c r="D2703" s="743" t="s">
        <v>2924</v>
      </c>
      <c r="H2703" s="742"/>
      <c r="I2703" s="742"/>
      <c r="J2703" s="1212"/>
      <c r="P2703" s="761"/>
      <c r="Q2703" s="1089"/>
      <c r="S2703" s="1375"/>
    </row>
    <row r="2704" spans="3:19" x14ac:dyDescent="0.25">
      <c r="C2704" s="33">
        <v>849315021</v>
      </c>
      <c r="D2704" s="743" t="s">
        <v>1708</v>
      </c>
      <c r="H2704" s="742"/>
      <c r="I2704" s="742"/>
      <c r="J2704" s="1212"/>
      <c r="P2704" s="761"/>
      <c r="Q2704" s="1089"/>
      <c r="S2704" s="1375"/>
    </row>
    <row r="2705" spans="3:19" x14ac:dyDescent="0.25">
      <c r="C2705" s="33">
        <v>849315024</v>
      </c>
      <c r="D2705" s="743" t="s">
        <v>2925</v>
      </c>
      <c r="H2705" s="742"/>
      <c r="I2705" s="742"/>
      <c r="J2705" s="1212"/>
      <c r="P2705" s="761"/>
      <c r="Q2705" s="1089"/>
      <c r="S2705" s="1375"/>
    </row>
    <row r="2706" spans="3:19" x14ac:dyDescent="0.25">
      <c r="C2706" s="33">
        <v>849213007</v>
      </c>
      <c r="D2706" s="743" t="s">
        <v>2926</v>
      </c>
      <c r="H2706" s="742"/>
      <c r="I2706" s="742"/>
      <c r="J2706" s="1212"/>
      <c r="P2706" s="761"/>
      <c r="Q2706" s="1089"/>
      <c r="S2706" s="1375"/>
    </row>
    <row r="2707" spans="3:19" x14ac:dyDescent="0.25">
      <c r="C2707" s="33">
        <v>849214005</v>
      </c>
      <c r="D2707" s="743" t="s">
        <v>2927</v>
      </c>
      <c r="H2707" s="742"/>
      <c r="I2707" s="742"/>
      <c r="J2707" s="1212"/>
      <c r="P2707" s="761"/>
      <c r="Q2707" s="1089"/>
      <c r="S2707" s="1375"/>
    </row>
    <row r="2708" spans="3:19" x14ac:dyDescent="0.25">
      <c r="C2708" s="33">
        <v>849315003</v>
      </c>
      <c r="D2708" s="743" t="s">
        <v>2928</v>
      </c>
      <c r="H2708" s="742"/>
      <c r="I2708" s="742"/>
      <c r="J2708" s="1212"/>
      <c r="P2708" s="761"/>
      <c r="Q2708" s="1089"/>
      <c r="S2708" s="1375"/>
    </row>
    <row r="2709" spans="3:19" x14ac:dyDescent="0.25">
      <c r="C2709" s="33">
        <v>849315020</v>
      </c>
      <c r="D2709" s="743" t="s">
        <v>2929</v>
      </c>
      <c r="H2709" s="742"/>
      <c r="I2709" s="742"/>
      <c r="J2709" s="1212"/>
      <c r="P2709" s="761"/>
      <c r="Q2709" s="1089"/>
      <c r="S2709" s="1375"/>
    </row>
    <row r="2710" spans="3:19" x14ac:dyDescent="0.25">
      <c r="C2710" s="33">
        <v>849115003</v>
      </c>
      <c r="D2710" s="743" t="s">
        <v>2930</v>
      </c>
      <c r="H2710" s="742"/>
      <c r="I2710" s="742"/>
      <c r="J2710" s="1212"/>
      <c r="P2710" s="761"/>
      <c r="Q2710" s="1089"/>
      <c r="S2710" s="1375"/>
    </row>
    <row r="2711" spans="3:19" x14ac:dyDescent="0.25">
      <c r="C2711" s="33"/>
      <c r="D2711" s="747"/>
      <c r="H2711" s="124"/>
      <c r="I2711" s="124"/>
      <c r="J2711" s="1212"/>
      <c r="P2711" s="761"/>
      <c r="Q2711" s="1089"/>
      <c r="S2711" s="1375"/>
    </row>
    <row r="2712" spans="3:19" x14ac:dyDescent="0.25">
      <c r="C2712" s="748">
        <v>839115006</v>
      </c>
      <c r="D2712" s="747"/>
      <c r="H2712" s="124"/>
      <c r="I2712" s="124"/>
      <c r="J2712" s="1212"/>
      <c r="P2712" s="761"/>
      <c r="Q2712" s="1089"/>
      <c r="S2712" s="1375"/>
    </row>
    <row r="2713" spans="3:19" x14ac:dyDescent="0.25">
      <c r="C2713" s="748">
        <v>839116002</v>
      </c>
      <c r="D2713" s="747"/>
      <c r="H2713" s="124"/>
      <c r="I2713" s="124"/>
      <c r="J2713" s="1212"/>
      <c r="P2713" s="761"/>
      <c r="Q2713" s="1089"/>
      <c r="S2713" s="1375"/>
    </row>
    <row r="2714" spans="3:19" x14ac:dyDescent="0.25">
      <c r="C2714" s="748">
        <v>839214001</v>
      </c>
      <c r="D2714" s="747"/>
      <c r="H2714" s="124"/>
      <c r="I2714" s="124"/>
      <c r="J2714" s="1212"/>
      <c r="P2714" s="761"/>
      <c r="Q2714" s="1089"/>
      <c r="S2714" s="1375"/>
    </row>
    <row r="2715" spans="3:19" x14ac:dyDescent="0.25">
      <c r="C2715" s="748">
        <v>839214012</v>
      </c>
      <c r="D2715" s="747"/>
      <c r="H2715" s="124"/>
      <c r="I2715" s="124"/>
      <c r="J2715" s="1212"/>
      <c r="P2715" s="761"/>
      <c r="Q2715" s="1089"/>
      <c r="S2715" s="1375"/>
    </row>
    <row r="2716" spans="3:19" x14ac:dyDescent="0.25">
      <c r="C2716" s="748">
        <v>839215009</v>
      </c>
      <c r="D2716" s="747"/>
      <c r="H2716" s="124"/>
      <c r="I2716" s="124"/>
      <c r="J2716" s="1212"/>
      <c r="P2716" s="761"/>
      <c r="Q2716" s="1089"/>
      <c r="S2716" s="1375"/>
    </row>
    <row r="2717" spans="3:19" x14ac:dyDescent="0.25">
      <c r="C2717" s="748">
        <v>839216013</v>
      </c>
      <c r="D2717" s="747"/>
      <c r="H2717" s="124"/>
      <c r="I2717" s="124"/>
      <c r="J2717" s="1212"/>
      <c r="P2717" s="761"/>
      <c r="Q2717" s="1089"/>
      <c r="S2717" s="1375"/>
    </row>
    <row r="2718" spans="3:19" x14ac:dyDescent="0.25">
      <c r="C2718" s="748">
        <v>839216016</v>
      </c>
      <c r="D2718" s="747"/>
      <c r="H2718" s="124"/>
      <c r="I2718" s="124"/>
      <c r="J2718" s="1212"/>
      <c r="P2718" s="761"/>
      <c r="Q2718" s="1089"/>
      <c r="S2718" s="1375"/>
    </row>
    <row r="2719" spans="3:19" x14ac:dyDescent="0.25">
      <c r="C2719" s="748">
        <v>849116001</v>
      </c>
      <c r="D2719" s="747"/>
      <c r="H2719" s="124"/>
      <c r="I2719" s="124"/>
      <c r="J2719" s="1212"/>
      <c r="P2719" s="761"/>
      <c r="Q2719" s="1089"/>
      <c r="S2719" s="1375"/>
    </row>
    <row r="2720" spans="3:19" x14ac:dyDescent="0.25">
      <c r="C2720" s="748">
        <v>849116021</v>
      </c>
      <c r="D2720" s="747"/>
      <c r="H2720" s="124"/>
      <c r="I2720" s="124"/>
      <c r="J2720" s="1212"/>
      <c r="P2720" s="761"/>
      <c r="Q2720" s="1089"/>
      <c r="S2720" s="1375"/>
    </row>
    <row r="2721" spans="3:19" x14ac:dyDescent="0.25">
      <c r="C2721" s="748">
        <v>849216002</v>
      </c>
      <c r="D2721" s="747"/>
      <c r="H2721" s="124"/>
      <c r="I2721" s="124"/>
      <c r="J2721" s="1212"/>
      <c r="P2721" s="761"/>
      <c r="Q2721" s="1089"/>
      <c r="S2721" s="1375"/>
    </row>
    <row r="2722" spans="3:19" x14ac:dyDescent="0.25">
      <c r="C2722" s="748">
        <v>849216003</v>
      </c>
      <c r="D2722" s="747"/>
      <c r="H2722" s="124"/>
      <c r="I2722" s="124"/>
      <c r="J2722" s="1212"/>
      <c r="P2722" s="761"/>
      <c r="Q2722" s="1089"/>
      <c r="S2722" s="1375"/>
    </row>
    <row r="2723" spans="3:19" x14ac:dyDescent="0.25">
      <c r="C2723" s="748">
        <v>849216006</v>
      </c>
      <c r="D2723" s="747"/>
      <c r="H2723" s="124"/>
      <c r="I2723" s="124"/>
      <c r="J2723" s="1212"/>
      <c r="P2723" s="761"/>
      <c r="Q2723" s="1089"/>
      <c r="S2723" s="1375"/>
    </row>
    <row r="2724" spans="3:19" x14ac:dyDescent="0.25">
      <c r="C2724" s="748">
        <v>849315025</v>
      </c>
      <c r="D2724" s="747"/>
      <c r="H2724" s="124"/>
      <c r="I2724" s="124"/>
      <c r="J2724" s="1212"/>
      <c r="P2724" s="761"/>
      <c r="Q2724" s="1089"/>
      <c r="S2724" s="1375"/>
    </row>
    <row r="2725" spans="3:19" x14ac:dyDescent="0.25">
      <c r="C2725" s="748">
        <v>849316001</v>
      </c>
      <c r="D2725" s="747"/>
      <c r="H2725" s="124"/>
      <c r="I2725" s="124"/>
      <c r="J2725" s="1212"/>
      <c r="P2725" s="761"/>
      <c r="Q2725" s="1089"/>
      <c r="S2725" s="1375"/>
    </row>
    <row r="2726" spans="3:19" x14ac:dyDescent="0.25">
      <c r="C2726" s="748">
        <v>849316014</v>
      </c>
      <c r="D2726" s="747"/>
      <c r="H2726" s="124"/>
      <c r="I2726" s="124"/>
      <c r="J2726" s="1212"/>
      <c r="P2726" s="761"/>
      <c r="Q2726" s="1089"/>
      <c r="S2726" s="1375"/>
    </row>
    <row r="2727" spans="3:19" x14ac:dyDescent="0.25">
      <c r="C2727" s="748">
        <v>849316047</v>
      </c>
      <c r="D2727" s="747"/>
      <c r="H2727" s="124"/>
      <c r="I2727" s="124"/>
      <c r="J2727" s="1212"/>
      <c r="P2727" s="761"/>
      <c r="Q2727" s="1089"/>
      <c r="S2727" s="1375"/>
    </row>
    <row r="2728" spans="3:19" x14ac:dyDescent="0.25">
      <c r="C2728" s="748"/>
      <c r="D2728" s="747"/>
      <c r="H2728" s="124"/>
      <c r="I2728" s="124"/>
      <c r="J2728" s="1212"/>
      <c r="P2728" s="761"/>
      <c r="Q2728" s="1089"/>
      <c r="S2728" s="1375"/>
    </row>
    <row r="2729" spans="3:19" x14ac:dyDescent="0.25">
      <c r="C2729" s="748">
        <v>829116001</v>
      </c>
      <c r="D2729" s="747"/>
      <c r="H2729" s="124"/>
      <c r="I2729" s="124"/>
      <c r="J2729" s="1212"/>
      <c r="P2729" s="761"/>
      <c r="Q2729" s="1089"/>
      <c r="S2729" s="1375"/>
    </row>
    <row r="2730" spans="3:19" x14ac:dyDescent="0.25">
      <c r="C2730" s="748">
        <v>839134012</v>
      </c>
      <c r="D2730" s="747"/>
      <c r="H2730" s="124"/>
      <c r="I2730" s="124"/>
      <c r="J2730" s="1212"/>
      <c r="P2730" s="761"/>
      <c r="Q2730" s="1089"/>
      <c r="S2730" s="1375"/>
    </row>
    <row r="2731" spans="3:19" x14ac:dyDescent="0.25">
      <c r="C2731" s="748">
        <v>839216019</v>
      </c>
      <c r="D2731" s="747"/>
      <c r="H2731" s="124"/>
      <c r="I2731" s="124"/>
      <c r="J2731" s="1212"/>
      <c r="P2731" s="761"/>
      <c r="Q2731" s="1089"/>
      <c r="S2731" s="1375"/>
    </row>
    <row r="2732" spans="3:19" x14ac:dyDescent="0.25">
      <c r="C2732" s="748">
        <v>839217027</v>
      </c>
      <c r="D2732" s="747"/>
      <c r="H2732" s="124"/>
      <c r="I2732" s="124"/>
      <c r="J2732" s="1212"/>
      <c r="P2732" s="761"/>
      <c r="Q2732" s="1089"/>
      <c r="S2732" s="1375"/>
    </row>
    <row r="2733" spans="3:19" x14ac:dyDescent="0.25">
      <c r="C2733" s="748">
        <v>841915009</v>
      </c>
      <c r="D2733" s="747"/>
      <c r="H2733" s="124"/>
      <c r="I2733" s="124"/>
      <c r="J2733" s="1212"/>
      <c r="P2733" s="761"/>
      <c r="Q2733" s="1089"/>
      <c r="S2733" s="1375"/>
    </row>
    <row r="2734" spans="3:19" x14ac:dyDescent="0.25">
      <c r="C2734" s="748">
        <v>841915031</v>
      </c>
      <c r="D2734" s="747"/>
      <c r="H2734" s="124"/>
      <c r="I2734" s="124"/>
      <c r="J2734" s="1212"/>
      <c r="P2734" s="761"/>
      <c r="Q2734" s="1089"/>
      <c r="S2734" s="1375"/>
    </row>
    <row r="2735" spans="3:19" x14ac:dyDescent="0.25">
      <c r="C2735" s="748">
        <v>841915035</v>
      </c>
      <c r="D2735" s="747"/>
      <c r="H2735" s="124"/>
      <c r="I2735" s="124"/>
      <c r="J2735" s="1212"/>
      <c r="P2735" s="761"/>
      <c r="Q2735" s="1089"/>
      <c r="S2735" s="1375"/>
    </row>
    <row r="2736" spans="3:19" x14ac:dyDescent="0.25">
      <c r="C2736" s="748">
        <v>849113008</v>
      </c>
      <c r="D2736" s="747"/>
      <c r="H2736" s="124"/>
      <c r="I2736" s="124"/>
      <c r="J2736" s="1212"/>
      <c r="P2736" s="761"/>
      <c r="Q2736" s="1089"/>
      <c r="S2736" s="1375"/>
    </row>
    <row r="2737" spans="3:19" x14ac:dyDescent="0.25">
      <c r="C2737" s="748">
        <v>849113069</v>
      </c>
      <c r="D2737" s="747"/>
      <c r="H2737" s="124"/>
      <c r="I2737" s="124"/>
      <c r="J2737" s="1212"/>
      <c r="P2737" s="761"/>
      <c r="Q2737" s="1089"/>
      <c r="S2737" s="1375"/>
    </row>
    <row r="2738" spans="3:19" x14ac:dyDescent="0.25">
      <c r="C2738" s="748">
        <v>849114022</v>
      </c>
      <c r="D2738" s="747"/>
      <c r="H2738" s="124"/>
      <c r="I2738" s="124"/>
      <c r="J2738" s="1212"/>
      <c r="P2738" s="761"/>
      <c r="Q2738" s="1089"/>
      <c r="S2738" s="1375"/>
    </row>
    <row r="2739" spans="3:19" x14ac:dyDescent="0.25">
      <c r="C2739" s="748">
        <v>849114025</v>
      </c>
      <c r="D2739" s="747"/>
      <c r="H2739" s="124"/>
      <c r="I2739" s="124"/>
      <c r="J2739" s="1212"/>
      <c r="P2739" s="761"/>
      <c r="Q2739" s="1089"/>
      <c r="S2739" s="1375"/>
    </row>
    <row r="2740" spans="3:19" x14ac:dyDescent="0.25">
      <c r="C2740" s="748">
        <v>849115001</v>
      </c>
      <c r="D2740" s="747"/>
      <c r="H2740" s="124"/>
      <c r="I2740" s="124"/>
      <c r="J2740" s="1212"/>
      <c r="P2740" s="761"/>
      <c r="Q2740" s="1089"/>
      <c r="S2740" s="1375"/>
    </row>
    <row r="2741" spans="3:19" x14ac:dyDescent="0.25">
      <c r="C2741" s="748">
        <v>849115014</v>
      </c>
      <c r="D2741" s="747"/>
      <c r="H2741" s="124"/>
      <c r="I2741" s="124"/>
      <c r="J2741" s="1212"/>
      <c r="P2741" s="761"/>
      <c r="Q2741" s="1089"/>
      <c r="S2741" s="1375"/>
    </row>
    <row r="2742" spans="3:19" x14ac:dyDescent="0.25">
      <c r="C2742" s="748">
        <v>849115015</v>
      </c>
      <c r="D2742" s="747"/>
      <c r="H2742" s="124"/>
      <c r="I2742" s="124"/>
      <c r="J2742" s="1212"/>
      <c r="P2742" s="761"/>
      <c r="Q2742" s="1089"/>
      <c r="S2742" s="1375"/>
    </row>
    <row r="2743" spans="3:19" x14ac:dyDescent="0.25">
      <c r="C2743" s="748">
        <v>849116006</v>
      </c>
      <c r="D2743" s="747"/>
      <c r="H2743" s="124"/>
      <c r="I2743" s="124"/>
      <c r="J2743" s="1212"/>
      <c r="P2743" s="761"/>
      <c r="Q2743" s="1089"/>
      <c r="S2743" s="1375"/>
    </row>
    <row r="2744" spans="3:19" x14ac:dyDescent="0.25">
      <c r="C2744" s="748">
        <v>849116016</v>
      </c>
      <c r="D2744" s="747"/>
      <c r="H2744" s="124"/>
      <c r="I2744" s="124"/>
      <c r="J2744" s="1212"/>
      <c r="P2744" s="761"/>
      <c r="Q2744" s="1089"/>
      <c r="S2744" s="1375"/>
    </row>
    <row r="2745" spans="3:19" x14ac:dyDescent="0.25">
      <c r="C2745" s="748">
        <v>849116019</v>
      </c>
      <c r="D2745" s="747"/>
      <c r="H2745" s="124"/>
      <c r="I2745" s="124"/>
      <c r="J2745" s="1212"/>
      <c r="P2745" s="761"/>
      <c r="Q2745" s="1089"/>
      <c r="S2745" s="1375"/>
    </row>
    <row r="2746" spans="3:19" x14ac:dyDescent="0.25">
      <c r="C2746" s="748">
        <v>849116020</v>
      </c>
      <c r="D2746" s="747"/>
      <c r="H2746" s="124"/>
      <c r="I2746" s="124"/>
      <c r="J2746" s="1212"/>
      <c r="P2746" s="761"/>
      <c r="Q2746" s="1089"/>
      <c r="S2746" s="1375"/>
    </row>
    <row r="2747" spans="3:19" x14ac:dyDescent="0.25">
      <c r="C2747" s="748">
        <v>849116024</v>
      </c>
      <c r="D2747" s="747"/>
      <c r="H2747" s="124"/>
      <c r="I2747" s="124"/>
      <c r="J2747" s="1212"/>
      <c r="P2747" s="761"/>
      <c r="Q2747" s="1089"/>
      <c r="S2747" s="1375"/>
    </row>
    <row r="2748" spans="3:19" x14ac:dyDescent="0.25">
      <c r="C2748" s="748">
        <v>849116033</v>
      </c>
      <c r="D2748" s="747"/>
      <c r="H2748" s="124"/>
      <c r="I2748" s="124"/>
      <c r="J2748" s="1212"/>
      <c r="P2748" s="761"/>
      <c r="Q2748" s="1089"/>
      <c r="S2748" s="1375"/>
    </row>
    <row r="2749" spans="3:19" x14ac:dyDescent="0.25">
      <c r="C2749" s="748">
        <v>849116034</v>
      </c>
      <c r="D2749" s="747"/>
      <c r="H2749" s="124"/>
      <c r="I2749" s="124"/>
      <c r="J2749" s="1212"/>
      <c r="P2749" s="761"/>
      <c r="Q2749" s="1089"/>
      <c r="S2749" s="1375"/>
    </row>
    <row r="2750" spans="3:19" x14ac:dyDescent="0.25">
      <c r="C2750" s="748">
        <v>849216001</v>
      </c>
      <c r="D2750" s="747"/>
      <c r="H2750" s="124"/>
      <c r="I2750" s="124"/>
      <c r="J2750" s="1212"/>
      <c r="P2750" s="761"/>
      <c r="Q2750" s="1089"/>
      <c r="S2750" s="1375"/>
    </row>
    <row r="2751" spans="3:19" x14ac:dyDescent="0.25">
      <c r="C2751" s="748">
        <v>849216010</v>
      </c>
      <c r="D2751" s="747"/>
      <c r="H2751" s="124"/>
      <c r="I2751" s="124"/>
      <c r="J2751" s="1212"/>
      <c r="P2751" s="761"/>
      <c r="Q2751" s="1089"/>
      <c r="S2751" s="1375"/>
    </row>
    <row r="2752" spans="3:19" x14ac:dyDescent="0.25">
      <c r="C2752" s="748">
        <v>849216012</v>
      </c>
      <c r="D2752" s="747"/>
      <c r="H2752" s="124"/>
      <c r="I2752" s="124"/>
      <c r="J2752" s="1212"/>
      <c r="P2752" s="761"/>
      <c r="Q2752" s="1089"/>
      <c r="S2752" s="1375"/>
    </row>
    <row r="2753" spans="3:19" x14ac:dyDescent="0.25">
      <c r="C2753" s="748">
        <v>849315009</v>
      </c>
      <c r="D2753" s="747"/>
      <c r="H2753" s="124"/>
      <c r="I2753" s="124"/>
      <c r="J2753" s="1212"/>
      <c r="P2753" s="761"/>
      <c r="Q2753" s="1089"/>
      <c r="S2753" s="1375"/>
    </row>
    <row r="2754" spans="3:19" x14ac:dyDescent="0.25">
      <c r="C2754" s="748">
        <v>849316008</v>
      </c>
      <c r="D2754" s="747"/>
      <c r="H2754" s="124"/>
      <c r="I2754" s="124"/>
      <c r="J2754" s="1212"/>
      <c r="P2754" s="761"/>
      <c r="Q2754" s="1089"/>
      <c r="S2754" s="1375"/>
    </row>
    <row r="2755" spans="3:19" x14ac:dyDescent="0.25">
      <c r="C2755" s="748">
        <v>849316013</v>
      </c>
      <c r="D2755" s="747"/>
      <c r="H2755" s="124"/>
      <c r="I2755" s="124"/>
      <c r="J2755" s="1212"/>
      <c r="P2755" s="761"/>
      <c r="Q2755" s="1089"/>
      <c r="S2755" s="1375"/>
    </row>
    <row r="2756" spans="3:19" x14ac:dyDescent="0.25">
      <c r="C2756" s="748">
        <v>849316022</v>
      </c>
      <c r="D2756" s="747"/>
      <c r="H2756" s="124"/>
      <c r="I2756" s="124"/>
      <c r="J2756" s="1212"/>
      <c r="P2756" s="761"/>
      <c r="Q2756" s="1089"/>
      <c r="S2756" s="1375"/>
    </row>
    <row r="2757" spans="3:19" x14ac:dyDescent="0.25">
      <c r="C2757" s="748">
        <v>849316032</v>
      </c>
      <c r="D2757" s="747"/>
      <c r="H2757" s="124"/>
      <c r="I2757" s="124"/>
      <c r="J2757" s="1212"/>
      <c r="P2757" s="761"/>
      <c r="Q2757" s="1089"/>
      <c r="S2757" s="1375"/>
    </row>
    <row r="2758" spans="3:19" x14ac:dyDescent="0.25">
      <c r="C2758" s="748">
        <v>849317023</v>
      </c>
      <c r="D2758" s="747"/>
      <c r="H2758" s="124"/>
      <c r="I2758" s="124"/>
      <c r="J2758" s="1212"/>
      <c r="P2758" s="761"/>
      <c r="Q2758" s="1089"/>
      <c r="S2758" s="1375"/>
    </row>
    <row r="2759" spans="3:19" x14ac:dyDescent="0.25">
      <c r="C2759" s="748">
        <v>849317041</v>
      </c>
      <c r="D2759" s="747"/>
      <c r="H2759" s="124"/>
      <c r="I2759" s="124"/>
      <c r="J2759" s="1212"/>
      <c r="P2759" s="761"/>
      <c r="Q2759" s="1089"/>
      <c r="S2759" s="1375"/>
    </row>
    <row r="2760" spans="3:19" x14ac:dyDescent="0.25">
      <c r="C2760" s="748">
        <v>849415002</v>
      </c>
      <c r="D2760" s="747"/>
      <c r="H2760" s="124"/>
      <c r="I2760" s="124"/>
      <c r="J2760" s="1212"/>
      <c r="P2760" s="761"/>
      <c r="Q2760" s="1089"/>
      <c r="S2760" s="1375"/>
    </row>
    <row r="2761" spans="3:19" x14ac:dyDescent="0.25">
      <c r="C2761" s="748">
        <v>849416004</v>
      </c>
      <c r="D2761" s="747"/>
      <c r="H2761" s="124"/>
      <c r="I2761" s="124"/>
      <c r="J2761" s="1212"/>
      <c r="P2761" s="761"/>
      <c r="Q2761" s="1089"/>
      <c r="S2761" s="1375"/>
    </row>
    <row r="2762" spans="3:19" x14ac:dyDescent="0.25">
      <c r="C2762" s="748"/>
      <c r="D2762" s="747"/>
      <c r="H2762" s="124"/>
      <c r="I2762" s="124"/>
      <c r="J2762" s="1212"/>
      <c r="P2762" s="761"/>
      <c r="Q2762" s="1089"/>
      <c r="S2762" s="1375"/>
    </row>
    <row r="2763" spans="3:19" x14ac:dyDescent="0.25">
      <c r="C2763" s="748">
        <v>839130002</v>
      </c>
      <c r="D2763" s="747"/>
      <c r="H2763" s="124"/>
      <c r="I2763" s="124"/>
      <c r="J2763" s="1212"/>
      <c r="P2763" s="761"/>
      <c r="Q2763" s="1089"/>
      <c r="S2763" s="1375"/>
    </row>
    <row r="2764" spans="3:19" x14ac:dyDescent="0.25">
      <c r="C2764" s="748">
        <v>839114006</v>
      </c>
      <c r="D2764" s="747"/>
      <c r="H2764" s="124"/>
      <c r="I2764" s="124"/>
      <c r="J2764" s="1212"/>
      <c r="P2764" s="761"/>
      <c r="Q2764" s="1089"/>
      <c r="S2764" s="1375"/>
    </row>
    <row r="2765" spans="3:19" x14ac:dyDescent="0.25">
      <c r="C2765" s="748">
        <v>839114008</v>
      </c>
      <c r="D2765" s="747"/>
      <c r="H2765" s="124"/>
      <c r="I2765" s="124"/>
      <c r="J2765" s="1212"/>
      <c r="P2765" s="761"/>
      <c r="Q2765" s="1089"/>
      <c r="S2765" s="1375"/>
    </row>
    <row r="2766" spans="3:19" x14ac:dyDescent="0.25">
      <c r="C2766" s="748">
        <v>839116017</v>
      </c>
      <c r="D2766" s="747"/>
      <c r="H2766" s="124"/>
      <c r="I2766" s="124"/>
      <c r="J2766" s="1212"/>
      <c r="P2766" s="761"/>
      <c r="Q2766" s="1089"/>
      <c r="S2766" s="1375"/>
    </row>
    <row r="2767" spans="3:19" x14ac:dyDescent="0.25">
      <c r="C2767" s="748">
        <v>839116018</v>
      </c>
      <c r="D2767" s="747"/>
      <c r="H2767" s="124"/>
      <c r="I2767" s="124"/>
      <c r="J2767" s="1212"/>
      <c r="P2767" s="761"/>
      <c r="Q2767" s="1089"/>
      <c r="S2767" s="1375"/>
    </row>
    <row r="2768" spans="3:19" x14ac:dyDescent="0.25">
      <c r="C2768" s="748">
        <v>839216001</v>
      </c>
      <c r="D2768" s="747"/>
      <c r="H2768" s="124"/>
      <c r="I2768" s="124"/>
      <c r="J2768" s="1212"/>
      <c r="P2768" s="761"/>
      <c r="Q2768" s="1089"/>
      <c r="S2768" s="1375"/>
    </row>
    <row r="2769" spans="3:19" x14ac:dyDescent="0.25">
      <c r="C2769" s="748">
        <v>839216003</v>
      </c>
      <c r="D2769" s="747"/>
      <c r="H2769" s="124"/>
      <c r="I2769" s="124"/>
      <c r="J2769" s="1212"/>
      <c r="P2769" s="761"/>
      <c r="Q2769" s="1089"/>
      <c r="S2769" s="1375"/>
    </row>
    <row r="2770" spans="3:19" x14ac:dyDescent="0.25">
      <c r="C2770" s="748">
        <v>839216015</v>
      </c>
      <c r="D2770" s="747"/>
      <c r="H2770" s="124"/>
      <c r="I2770" s="124"/>
      <c r="J2770" s="1212"/>
      <c r="P2770" s="761"/>
      <c r="Q2770" s="1089"/>
      <c r="S2770" s="1375"/>
    </row>
    <row r="2771" spans="3:19" x14ac:dyDescent="0.25">
      <c r="C2771" s="748">
        <v>839216017</v>
      </c>
      <c r="D2771" s="747"/>
      <c r="H2771" s="124"/>
      <c r="I2771" s="124"/>
      <c r="J2771" s="1212"/>
      <c r="P2771" s="761"/>
      <c r="Q2771" s="1089"/>
      <c r="S2771" s="1375"/>
    </row>
    <row r="2772" spans="3:19" x14ac:dyDescent="0.25">
      <c r="C2772" s="748">
        <v>839216025</v>
      </c>
      <c r="D2772" s="747"/>
      <c r="H2772" s="124"/>
      <c r="I2772" s="124"/>
      <c r="J2772" s="1212"/>
      <c r="P2772" s="761"/>
      <c r="Q2772" s="1089"/>
      <c r="S2772" s="1375"/>
    </row>
    <row r="2773" spans="3:19" x14ac:dyDescent="0.25">
      <c r="C2773" s="748">
        <v>849114003</v>
      </c>
      <c r="D2773" s="747"/>
      <c r="H2773" s="124"/>
      <c r="I2773" s="124"/>
      <c r="J2773" s="1212"/>
      <c r="P2773" s="761"/>
      <c r="Q2773" s="1089"/>
      <c r="S2773" s="1375"/>
    </row>
    <row r="2774" spans="3:19" x14ac:dyDescent="0.25">
      <c r="C2774" s="748">
        <v>849114005</v>
      </c>
      <c r="D2774" s="747"/>
      <c r="H2774" s="124"/>
      <c r="I2774" s="124"/>
      <c r="J2774" s="1212"/>
      <c r="P2774" s="761"/>
      <c r="Q2774" s="1089"/>
      <c r="S2774" s="1375"/>
    </row>
    <row r="2775" spans="3:19" x14ac:dyDescent="0.25">
      <c r="C2775" s="748">
        <v>849114013</v>
      </c>
      <c r="D2775" s="747"/>
      <c r="H2775" s="124"/>
      <c r="I2775" s="124"/>
      <c r="J2775" s="1212"/>
      <c r="P2775" s="761"/>
      <c r="Q2775" s="1089"/>
      <c r="S2775" s="1375"/>
    </row>
    <row r="2776" spans="3:19" x14ac:dyDescent="0.25">
      <c r="C2776" s="748">
        <v>849114035</v>
      </c>
      <c r="D2776" s="747"/>
      <c r="H2776" s="124"/>
      <c r="I2776" s="124"/>
      <c r="J2776" s="1212"/>
      <c r="P2776" s="761"/>
      <c r="Q2776" s="1089"/>
      <c r="S2776" s="1375"/>
    </row>
    <row r="2777" spans="3:19" x14ac:dyDescent="0.25">
      <c r="C2777" s="748">
        <v>849114041</v>
      </c>
      <c r="D2777" s="747"/>
      <c r="H2777" s="124"/>
      <c r="I2777" s="124"/>
      <c r="J2777" s="1212"/>
      <c r="P2777" s="761"/>
      <c r="Q2777" s="1089"/>
      <c r="S2777" s="1375"/>
    </row>
    <row r="2778" spans="3:19" x14ac:dyDescent="0.25">
      <c r="C2778" s="748">
        <v>849115007</v>
      </c>
      <c r="D2778" s="747"/>
      <c r="H2778" s="124"/>
      <c r="I2778" s="124"/>
      <c r="J2778" s="1212"/>
      <c r="P2778" s="761"/>
      <c r="Q2778" s="1089"/>
      <c r="S2778" s="1375"/>
    </row>
    <row r="2779" spans="3:19" x14ac:dyDescent="0.25">
      <c r="C2779" s="748">
        <v>849115008</v>
      </c>
      <c r="D2779" s="747"/>
      <c r="H2779" s="124"/>
      <c r="I2779" s="124"/>
      <c r="J2779" s="1212"/>
      <c r="P2779" s="761"/>
      <c r="Q2779" s="1089"/>
      <c r="S2779" s="1375"/>
    </row>
    <row r="2780" spans="3:19" x14ac:dyDescent="0.25">
      <c r="C2780" s="748">
        <v>849115021</v>
      </c>
      <c r="D2780" s="747"/>
      <c r="H2780" s="124"/>
      <c r="I2780" s="124"/>
      <c r="J2780" s="1212"/>
      <c r="P2780" s="761"/>
      <c r="Q2780" s="1089"/>
      <c r="S2780" s="1375"/>
    </row>
    <row r="2781" spans="3:19" x14ac:dyDescent="0.25">
      <c r="C2781" s="748">
        <v>849115024</v>
      </c>
      <c r="D2781" s="747"/>
      <c r="H2781" s="124"/>
      <c r="I2781" s="124"/>
      <c r="J2781" s="1212"/>
      <c r="P2781" s="761"/>
      <c r="Q2781" s="1089"/>
      <c r="S2781" s="1375"/>
    </row>
    <row r="2782" spans="3:19" x14ac:dyDescent="0.25">
      <c r="C2782" s="748">
        <v>849116002</v>
      </c>
      <c r="D2782" s="747"/>
      <c r="H2782" s="124"/>
      <c r="I2782" s="124"/>
      <c r="J2782" s="1212"/>
      <c r="P2782" s="761"/>
      <c r="Q2782" s="1089"/>
      <c r="S2782" s="1375"/>
    </row>
    <row r="2783" spans="3:19" x14ac:dyDescent="0.25">
      <c r="C2783" s="748">
        <v>849116004</v>
      </c>
      <c r="D2783" s="747"/>
      <c r="H2783" s="124"/>
      <c r="I2783" s="124"/>
      <c r="J2783" s="1212"/>
      <c r="P2783" s="761"/>
      <c r="Q2783" s="1089"/>
      <c r="S2783" s="1375"/>
    </row>
    <row r="2784" spans="3:19" x14ac:dyDescent="0.25">
      <c r="C2784" s="748">
        <v>849116008</v>
      </c>
      <c r="D2784" s="747"/>
      <c r="H2784" s="124"/>
      <c r="I2784" s="124"/>
      <c r="J2784" s="1212"/>
      <c r="P2784" s="761"/>
      <c r="Q2784" s="1089"/>
      <c r="S2784" s="1375"/>
    </row>
    <row r="2785" spans="3:19" x14ac:dyDescent="0.25">
      <c r="C2785" s="748">
        <v>849213002</v>
      </c>
      <c r="D2785" s="747"/>
      <c r="H2785" s="124"/>
      <c r="I2785" s="124"/>
      <c r="J2785" s="1212"/>
      <c r="P2785" s="761"/>
      <c r="Q2785" s="1089"/>
      <c r="S2785" s="1375"/>
    </row>
    <row r="2786" spans="3:19" x14ac:dyDescent="0.25">
      <c r="C2786" s="748">
        <v>849213006</v>
      </c>
      <c r="D2786" s="747"/>
      <c r="H2786" s="124"/>
      <c r="I2786" s="124"/>
      <c r="J2786" s="1212"/>
      <c r="P2786" s="761"/>
      <c r="Q2786" s="1089"/>
      <c r="S2786" s="1375"/>
    </row>
    <row r="2787" spans="3:19" x14ac:dyDescent="0.25">
      <c r="C2787" s="748">
        <v>849214006</v>
      </c>
      <c r="D2787" s="747"/>
      <c r="H2787" s="124"/>
      <c r="I2787" s="124"/>
      <c r="J2787" s="1212"/>
      <c r="P2787" s="761"/>
      <c r="Q2787" s="1089"/>
      <c r="S2787" s="1375"/>
    </row>
    <row r="2788" spans="3:19" x14ac:dyDescent="0.25">
      <c r="C2788" s="748">
        <v>849215003</v>
      </c>
      <c r="D2788" s="747"/>
      <c r="H2788" s="124"/>
      <c r="I2788" s="124"/>
      <c r="J2788" s="1212"/>
      <c r="P2788" s="761"/>
      <c r="Q2788" s="1089"/>
      <c r="S2788" s="1375"/>
    </row>
    <row r="2789" spans="3:19" x14ac:dyDescent="0.25">
      <c r="C2789" s="748">
        <v>849215005</v>
      </c>
      <c r="D2789" s="747"/>
      <c r="H2789" s="124"/>
      <c r="I2789" s="124"/>
      <c r="J2789" s="1212"/>
      <c r="P2789" s="761"/>
      <c r="Q2789" s="1089"/>
      <c r="S2789" s="1375"/>
    </row>
    <row r="2790" spans="3:19" x14ac:dyDescent="0.25">
      <c r="C2790" s="748">
        <v>849216004</v>
      </c>
      <c r="D2790" s="747"/>
      <c r="H2790" s="124"/>
      <c r="I2790" s="124"/>
      <c r="J2790" s="1212"/>
      <c r="P2790" s="761"/>
      <c r="Q2790" s="1089"/>
      <c r="S2790" s="1375"/>
    </row>
    <row r="2791" spans="3:19" x14ac:dyDescent="0.25">
      <c r="C2791" s="748">
        <v>849216008</v>
      </c>
      <c r="D2791" s="747"/>
      <c r="H2791" s="124"/>
      <c r="I2791" s="124"/>
      <c r="J2791" s="1212"/>
      <c r="P2791" s="761"/>
      <c r="Q2791" s="1089"/>
      <c r="S2791" s="1375"/>
    </row>
    <row r="2792" spans="3:19" x14ac:dyDescent="0.25">
      <c r="C2792" s="748">
        <v>849216009</v>
      </c>
      <c r="D2792" s="747"/>
      <c r="H2792" s="124"/>
      <c r="I2792" s="124"/>
      <c r="J2792" s="1212"/>
      <c r="P2792" s="761"/>
      <c r="Q2792" s="1089"/>
      <c r="S2792" s="1375"/>
    </row>
    <row r="2793" spans="3:19" x14ac:dyDescent="0.25">
      <c r="C2793" s="748">
        <v>849216015</v>
      </c>
      <c r="D2793" s="747"/>
      <c r="H2793" s="124"/>
      <c r="I2793" s="124"/>
      <c r="J2793" s="1212"/>
      <c r="P2793" s="761"/>
      <c r="Q2793" s="1089"/>
      <c r="S2793" s="1375"/>
    </row>
    <row r="2794" spans="3:19" x14ac:dyDescent="0.25">
      <c r="C2794" s="748">
        <v>849216020</v>
      </c>
      <c r="D2794" s="747"/>
      <c r="H2794" s="124"/>
      <c r="I2794" s="124"/>
      <c r="J2794" s="1212"/>
      <c r="P2794" s="761"/>
      <c r="Q2794" s="1089"/>
      <c r="S2794" s="1375"/>
    </row>
    <row r="2795" spans="3:19" x14ac:dyDescent="0.25">
      <c r="C2795" s="748">
        <v>849315011</v>
      </c>
      <c r="D2795" s="747"/>
      <c r="H2795" s="124"/>
      <c r="I2795" s="124"/>
      <c r="J2795" s="1212"/>
      <c r="P2795" s="761"/>
      <c r="Q2795" s="1089"/>
      <c r="S2795" s="1375"/>
    </row>
    <row r="2796" spans="3:19" x14ac:dyDescent="0.25">
      <c r="C2796" s="748">
        <v>849315016</v>
      </c>
      <c r="D2796" s="747"/>
      <c r="H2796" s="124"/>
      <c r="I2796" s="124"/>
      <c r="J2796" s="1212"/>
      <c r="P2796" s="761"/>
      <c r="Q2796" s="1089"/>
      <c r="S2796" s="1375"/>
    </row>
    <row r="2797" spans="3:19" x14ac:dyDescent="0.25">
      <c r="C2797" s="748">
        <v>849315027</v>
      </c>
      <c r="D2797" s="747"/>
      <c r="H2797" s="124"/>
      <c r="I2797" s="124"/>
      <c r="J2797" s="1212"/>
      <c r="P2797" s="761"/>
      <c r="Q2797" s="1089"/>
      <c r="S2797" s="1375"/>
    </row>
    <row r="2798" spans="3:19" x14ac:dyDescent="0.25">
      <c r="C2798" s="748">
        <v>849315029</v>
      </c>
      <c r="D2798" s="747"/>
      <c r="H2798" s="124"/>
      <c r="I2798" s="124"/>
      <c r="J2798" s="1212"/>
      <c r="P2798" s="761"/>
      <c r="Q2798" s="1089"/>
      <c r="S2798" s="1375"/>
    </row>
    <row r="2799" spans="3:19" x14ac:dyDescent="0.25">
      <c r="C2799" s="748">
        <v>849315032</v>
      </c>
      <c r="D2799" s="747"/>
      <c r="H2799" s="124"/>
      <c r="I2799" s="124"/>
      <c r="J2799" s="1212"/>
      <c r="P2799" s="761"/>
      <c r="Q2799" s="1089"/>
      <c r="S2799" s="1375"/>
    </row>
    <row r="2800" spans="3:19" x14ac:dyDescent="0.25">
      <c r="C2800" s="748">
        <v>849315036</v>
      </c>
      <c r="D2800" s="747"/>
      <c r="H2800" s="124"/>
      <c r="I2800" s="124"/>
      <c r="J2800" s="1212"/>
      <c r="P2800" s="761"/>
      <c r="Q2800" s="1089"/>
      <c r="S2800" s="1375"/>
    </row>
    <row r="2801" spans="3:19" x14ac:dyDescent="0.25">
      <c r="C2801" s="748">
        <v>849316006</v>
      </c>
      <c r="D2801" s="747"/>
      <c r="H2801" s="124"/>
      <c r="I2801" s="124"/>
      <c r="J2801" s="1212"/>
      <c r="P2801" s="761"/>
      <c r="Q2801" s="1089"/>
      <c r="S2801" s="1375"/>
    </row>
    <row r="2802" spans="3:19" x14ac:dyDescent="0.25">
      <c r="C2802" s="748">
        <v>849316009</v>
      </c>
      <c r="D2802" s="747"/>
      <c r="H2802" s="124"/>
      <c r="I2802" s="124"/>
      <c r="J2802" s="1212"/>
      <c r="P2802" s="761"/>
      <c r="Q2802" s="1089"/>
      <c r="S2802" s="1375"/>
    </row>
    <row r="2803" spans="3:19" x14ac:dyDescent="0.25">
      <c r="C2803" s="748">
        <v>849316019</v>
      </c>
      <c r="D2803" s="747"/>
      <c r="H2803" s="124"/>
      <c r="I2803" s="124"/>
      <c r="J2803" s="1212"/>
      <c r="P2803" s="761"/>
      <c r="Q2803" s="1089"/>
      <c r="S2803" s="1375"/>
    </row>
    <row r="2804" spans="3:19" x14ac:dyDescent="0.25">
      <c r="C2804" s="748">
        <v>849316042</v>
      </c>
      <c r="D2804" s="747"/>
      <c r="H2804" s="124"/>
      <c r="I2804" s="124"/>
      <c r="J2804" s="1212"/>
      <c r="P2804" s="761"/>
      <c r="Q2804" s="1089"/>
      <c r="S2804" s="1375"/>
    </row>
    <row r="2805" spans="3:19" x14ac:dyDescent="0.25">
      <c r="C2805" s="748">
        <v>849415003</v>
      </c>
      <c r="D2805" s="747"/>
      <c r="H2805" s="124"/>
      <c r="I2805" s="124"/>
      <c r="J2805" s="1212"/>
      <c r="P2805" s="761"/>
      <c r="Q2805" s="1089"/>
      <c r="S2805" s="1375"/>
    </row>
    <row r="2806" spans="3:19" x14ac:dyDescent="0.25">
      <c r="C2806" s="748">
        <v>849416001</v>
      </c>
      <c r="D2806" s="747"/>
      <c r="H2806" s="124"/>
      <c r="I2806" s="124"/>
      <c r="J2806" s="1212"/>
      <c r="P2806" s="761"/>
      <c r="Q2806" s="1089"/>
      <c r="S2806" s="1375"/>
    </row>
    <row r="2807" spans="3:19" x14ac:dyDescent="0.25">
      <c r="C2807" s="748">
        <v>849416003</v>
      </c>
      <c r="D2807" s="747"/>
      <c r="H2807" s="124"/>
      <c r="I2807" s="124"/>
      <c r="J2807" s="1212"/>
      <c r="P2807" s="761"/>
      <c r="Q2807" s="1089"/>
      <c r="S2807" s="1375"/>
    </row>
    <row r="2808" spans="3:19" x14ac:dyDescent="0.25">
      <c r="C2808" s="748">
        <v>849416006</v>
      </c>
      <c r="D2808" s="747"/>
      <c r="H2808" s="124"/>
      <c r="I2808" s="124"/>
      <c r="J2808" s="1212"/>
      <c r="P2808" s="761"/>
      <c r="Q2808" s="1089"/>
      <c r="S2808" s="1375"/>
    </row>
    <row r="2809" spans="3:19" x14ac:dyDescent="0.25">
      <c r="C2809" s="748">
        <v>839216011</v>
      </c>
      <c r="D2809" s="747"/>
      <c r="H2809" s="124"/>
      <c r="I2809" s="124"/>
      <c r="J2809" s="1212"/>
      <c r="P2809" s="761"/>
      <c r="Q2809" s="1089"/>
      <c r="S2809" s="1375"/>
    </row>
    <row r="2810" spans="3:19" x14ac:dyDescent="0.25">
      <c r="C2810" s="748"/>
      <c r="D2810" s="747"/>
      <c r="H2810" s="124"/>
      <c r="I2810" s="124"/>
      <c r="J2810" s="1212"/>
      <c r="P2810" s="761"/>
      <c r="Q2810" s="1089"/>
      <c r="S2810" s="1375"/>
    </row>
    <row r="2811" spans="3:19" x14ac:dyDescent="0.25">
      <c r="C2811" s="748">
        <v>829115003</v>
      </c>
      <c r="D2811" s="747"/>
      <c r="H2811" s="124"/>
      <c r="I2811" s="124"/>
      <c r="J2811" s="1212"/>
      <c r="P2811" s="761"/>
      <c r="Q2811" s="1089"/>
      <c r="S2811" s="1375"/>
    </row>
    <row r="2812" spans="3:19" x14ac:dyDescent="0.25">
      <c r="C2812" s="748">
        <v>839115002</v>
      </c>
      <c r="D2812" s="747"/>
      <c r="H2812" s="124"/>
      <c r="I2812" s="124"/>
      <c r="J2812" s="1212"/>
      <c r="P2812" s="761"/>
      <c r="Q2812" s="1089"/>
      <c r="S2812" s="1375"/>
    </row>
    <row r="2813" spans="3:19" x14ac:dyDescent="0.25">
      <c r="C2813" s="748">
        <v>839115009</v>
      </c>
      <c r="D2813" s="747"/>
      <c r="H2813" s="124"/>
      <c r="I2813" s="124"/>
      <c r="J2813" s="1212"/>
      <c r="P2813" s="761"/>
      <c r="Q2813" s="1089"/>
      <c r="S2813" s="1375"/>
    </row>
    <row r="2814" spans="3:19" x14ac:dyDescent="0.25">
      <c r="C2814" s="748">
        <v>839131003</v>
      </c>
      <c r="D2814" s="747"/>
      <c r="H2814" s="124"/>
      <c r="I2814" s="124"/>
      <c r="J2814" s="1212"/>
      <c r="P2814" s="761"/>
      <c r="Q2814" s="1089"/>
      <c r="S2814" s="1375"/>
    </row>
    <row r="2815" spans="3:19" x14ac:dyDescent="0.25">
      <c r="C2815" s="748">
        <v>839215003</v>
      </c>
      <c r="D2815" s="747"/>
      <c r="H2815" s="124"/>
      <c r="I2815" s="124"/>
      <c r="J2815" s="1212"/>
      <c r="P2815" s="761"/>
      <c r="Q2815" s="1089"/>
      <c r="S2815" s="1375"/>
    </row>
    <row r="2816" spans="3:19" x14ac:dyDescent="0.25">
      <c r="C2816" s="748">
        <v>839215011</v>
      </c>
      <c r="D2816" s="747"/>
      <c r="H2816" s="124"/>
      <c r="I2816" s="124"/>
      <c r="J2816" s="1212"/>
      <c r="P2816" s="761"/>
      <c r="Q2816" s="1089"/>
      <c r="S2816" s="1375"/>
    </row>
    <row r="2817" spans="3:19" x14ac:dyDescent="0.25">
      <c r="C2817" s="748">
        <v>839216020</v>
      </c>
      <c r="D2817" s="747"/>
      <c r="H2817" s="124"/>
      <c r="I2817" s="124"/>
      <c r="J2817" s="1212"/>
      <c r="P2817" s="761"/>
      <c r="Q2817" s="1089"/>
      <c r="S2817" s="1375"/>
    </row>
    <row r="2818" spans="3:19" x14ac:dyDescent="0.25">
      <c r="C2818" s="748">
        <v>849113071</v>
      </c>
      <c r="D2818" s="747"/>
      <c r="H2818" s="124"/>
      <c r="I2818" s="124"/>
      <c r="J2818" s="1212"/>
      <c r="P2818" s="761"/>
      <c r="Q2818" s="1089"/>
      <c r="S2818" s="1375"/>
    </row>
    <row r="2819" spans="3:19" x14ac:dyDescent="0.25">
      <c r="C2819" s="748">
        <v>849114036</v>
      </c>
      <c r="D2819" s="747"/>
      <c r="H2819" s="124"/>
      <c r="I2819" s="124"/>
      <c r="J2819" s="1212"/>
      <c r="P2819" s="761"/>
      <c r="Q2819" s="1089"/>
      <c r="S2819" s="1375"/>
    </row>
    <row r="2820" spans="3:19" x14ac:dyDescent="0.25">
      <c r="C2820" s="748">
        <v>849114037</v>
      </c>
      <c r="D2820" s="747"/>
      <c r="H2820" s="124"/>
      <c r="I2820" s="124"/>
      <c r="J2820" s="1212"/>
      <c r="P2820" s="761"/>
      <c r="Q2820" s="1089"/>
      <c r="S2820" s="1375"/>
    </row>
    <row r="2821" spans="3:19" x14ac:dyDescent="0.25">
      <c r="C2821" s="748">
        <v>849114038</v>
      </c>
      <c r="D2821" s="747"/>
      <c r="H2821" s="124"/>
      <c r="I2821" s="124"/>
      <c r="J2821" s="1212"/>
      <c r="P2821" s="761"/>
      <c r="Q2821" s="1089"/>
      <c r="S2821" s="1375"/>
    </row>
    <row r="2822" spans="3:19" x14ac:dyDescent="0.25">
      <c r="C2822" s="748">
        <v>849115002</v>
      </c>
      <c r="D2822" s="747"/>
      <c r="H2822" s="124"/>
      <c r="I2822" s="124"/>
      <c r="J2822" s="1212"/>
      <c r="P2822" s="761"/>
      <c r="Q2822" s="1089"/>
      <c r="S2822" s="1375"/>
    </row>
    <row r="2823" spans="3:19" x14ac:dyDescent="0.25">
      <c r="C2823" s="748">
        <v>849115005</v>
      </c>
      <c r="D2823" s="747"/>
      <c r="H2823" s="124"/>
      <c r="I2823" s="124"/>
      <c r="J2823" s="1212"/>
      <c r="P2823" s="761"/>
      <c r="Q2823" s="1089"/>
      <c r="S2823" s="1375"/>
    </row>
    <row r="2824" spans="3:19" x14ac:dyDescent="0.25">
      <c r="C2824" s="748">
        <v>849115006</v>
      </c>
      <c r="D2824" s="747"/>
      <c r="H2824" s="124"/>
      <c r="I2824" s="124"/>
      <c r="J2824" s="1212"/>
      <c r="P2824" s="761"/>
      <c r="Q2824" s="1089"/>
      <c r="S2824" s="1375"/>
    </row>
    <row r="2825" spans="3:19" x14ac:dyDescent="0.25">
      <c r="C2825" s="748">
        <v>849115009</v>
      </c>
      <c r="D2825" s="747"/>
      <c r="H2825" s="124"/>
      <c r="I2825" s="124"/>
      <c r="J2825" s="1212"/>
      <c r="P2825" s="761"/>
      <c r="Q2825" s="1089"/>
      <c r="S2825" s="1375"/>
    </row>
    <row r="2826" spans="3:19" x14ac:dyDescent="0.25">
      <c r="C2826" s="748">
        <v>849115018</v>
      </c>
      <c r="D2826" s="747"/>
      <c r="H2826" s="124"/>
      <c r="I2826" s="124"/>
      <c r="J2826" s="1212"/>
      <c r="P2826" s="761"/>
      <c r="Q2826" s="1089"/>
      <c r="S2826" s="1375"/>
    </row>
    <row r="2827" spans="3:19" x14ac:dyDescent="0.25">
      <c r="C2827" s="748">
        <v>849315001</v>
      </c>
      <c r="D2827" s="747"/>
      <c r="H2827" s="124"/>
      <c r="I2827" s="124"/>
      <c r="J2827" s="1212"/>
      <c r="P2827" s="761"/>
      <c r="Q2827" s="1089"/>
      <c r="S2827" s="1375"/>
    </row>
    <row r="2828" spans="3:19" x14ac:dyDescent="0.25">
      <c r="C2828" s="748">
        <v>849315004</v>
      </c>
      <c r="D2828" s="747"/>
      <c r="H2828" s="124"/>
      <c r="I2828" s="124"/>
      <c r="J2828" s="1212"/>
      <c r="P2828" s="761"/>
      <c r="Q2828" s="1089"/>
      <c r="S2828" s="1375"/>
    </row>
    <row r="2829" spans="3:19" x14ac:dyDescent="0.25">
      <c r="C2829" s="748">
        <v>849315006</v>
      </c>
      <c r="D2829" s="747"/>
      <c r="H2829" s="124"/>
      <c r="I2829" s="124"/>
      <c r="J2829" s="1212"/>
      <c r="P2829" s="761"/>
      <c r="Q2829" s="1089"/>
      <c r="S2829" s="1375"/>
    </row>
    <row r="2830" spans="3:19" x14ac:dyDescent="0.25">
      <c r="C2830" s="748">
        <v>849315008</v>
      </c>
      <c r="D2830" s="747"/>
      <c r="H2830" s="124"/>
      <c r="I2830" s="124"/>
      <c r="J2830" s="1212"/>
      <c r="P2830" s="761"/>
      <c r="Q2830" s="1089"/>
      <c r="S2830" s="1375"/>
    </row>
    <row r="2831" spans="3:19" x14ac:dyDescent="0.25">
      <c r="C2831" s="748">
        <v>849315010</v>
      </c>
      <c r="D2831" s="747"/>
      <c r="H2831" s="124"/>
      <c r="I2831" s="124"/>
      <c r="J2831" s="1212"/>
      <c r="P2831" s="761"/>
      <c r="Q2831" s="1089"/>
      <c r="S2831" s="1375"/>
    </row>
    <row r="2832" spans="3:19" x14ac:dyDescent="0.25">
      <c r="C2832" s="748">
        <v>849315013</v>
      </c>
      <c r="D2832" s="747"/>
      <c r="H2832" s="124"/>
      <c r="I2832" s="124"/>
      <c r="J2832" s="1212"/>
      <c r="P2832" s="761"/>
      <c r="Q2832" s="1089"/>
      <c r="S2832" s="1375"/>
    </row>
    <row r="2833" spans="3:19" x14ac:dyDescent="0.25">
      <c r="C2833" s="748">
        <v>849315019</v>
      </c>
      <c r="D2833" s="747"/>
      <c r="H2833" s="124"/>
      <c r="I2833" s="124"/>
      <c r="J2833" s="1212"/>
      <c r="P2833" s="761"/>
      <c r="Q2833" s="1089"/>
      <c r="S2833" s="1375"/>
    </row>
    <row r="2834" spans="3:19" x14ac:dyDescent="0.25">
      <c r="C2834" s="748">
        <v>849315028</v>
      </c>
      <c r="D2834" s="747"/>
      <c r="H2834" s="124"/>
      <c r="I2834" s="124"/>
      <c r="J2834" s="1212"/>
      <c r="P2834" s="761"/>
      <c r="Q2834" s="1089"/>
      <c r="S2834" s="1375"/>
    </row>
    <row r="2835" spans="3:19" x14ac:dyDescent="0.25">
      <c r="C2835" s="748">
        <v>849315034</v>
      </c>
      <c r="D2835" s="747"/>
      <c r="H2835" s="124"/>
      <c r="I2835" s="124"/>
      <c r="J2835" s="1212"/>
      <c r="P2835" s="761"/>
      <c r="Q2835" s="1089"/>
      <c r="S2835" s="1375"/>
    </row>
    <row r="2836" spans="3:19" x14ac:dyDescent="0.25">
      <c r="C2836" s="748">
        <v>849415005</v>
      </c>
      <c r="D2836" s="747"/>
      <c r="H2836" s="124"/>
      <c r="I2836" s="124"/>
      <c r="J2836" s="1212"/>
      <c r="P2836" s="761"/>
      <c r="Q2836" s="1089"/>
      <c r="S2836" s="1375"/>
    </row>
    <row r="2837" spans="3:19" x14ac:dyDescent="0.25">
      <c r="C2837" s="748"/>
      <c r="D2837" s="747"/>
      <c r="H2837" s="124"/>
      <c r="I2837" s="124"/>
      <c r="J2837" s="1212"/>
      <c r="P2837" s="761"/>
      <c r="Q2837" s="1089"/>
      <c r="S2837" s="1375"/>
    </row>
    <row r="2838" spans="3:19" x14ac:dyDescent="0.25">
      <c r="C2838" s="748">
        <v>839114013</v>
      </c>
      <c r="D2838" s="747"/>
      <c r="H2838" s="124"/>
      <c r="I2838" s="124"/>
      <c r="J2838" s="1212"/>
      <c r="P2838" s="761"/>
      <c r="Q2838" s="1089"/>
      <c r="S2838" s="1375"/>
    </row>
    <row r="2839" spans="3:19" x14ac:dyDescent="0.25">
      <c r="C2839" s="748">
        <v>839114014</v>
      </c>
      <c r="D2839" s="747"/>
      <c r="H2839" s="124"/>
      <c r="I2839" s="124"/>
      <c r="J2839" s="1212"/>
      <c r="P2839" s="761"/>
      <c r="Q2839" s="1089"/>
      <c r="S2839" s="1375"/>
    </row>
    <row r="2840" spans="3:19" x14ac:dyDescent="0.25">
      <c r="C2840" s="748">
        <v>839115004</v>
      </c>
      <c r="D2840" s="747"/>
      <c r="H2840" s="124"/>
      <c r="I2840" s="124"/>
      <c r="J2840" s="1212"/>
      <c r="P2840" s="761"/>
      <c r="Q2840" s="1089"/>
      <c r="S2840" s="1375"/>
    </row>
    <row r="2841" spans="3:19" x14ac:dyDescent="0.25">
      <c r="C2841" s="748">
        <v>839120006</v>
      </c>
      <c r="D2841" s="747"/>
      <c r="H2841" s="124"/>
      <c r="I2841" s="124"/>
      <c r="J2841" s="1212"/>
      <c r="P2841" s="761"/>
      <c r="Q2841" s="1089"/>
      <c r="S2841" s="1375"/>
    </row>
    <row r="2842" spans="3:19" x14ac:dyDescent="0.25">
      <c r="C2842" s="748">
        <v>839131012</v>
      </c>
      <c r="D2842" s="747"/>
      <c r="H2842" s="124"/>
      <c r="I2842" s="124"/>
      <c r="J2842" s="1212"/>
      <c r="P2842" s="761"/>
      <c r="Q2842" s="1089"/>
      <c r="S2842" s="1375"/>
    </row>
    <row r="2843" spans="3:19" x14ac:dyDescent="0.25">
      <c r="C2843" s="748">
        <v>839134010</v>
      </c>
      <c r="D2843" s="747"/>
      <c r="H2843" s="124"/>
      <c r="I2843" s="124"/>
      <c r="J2843" s="1212"/>
      <c r="P2843" s="761"/>
      <c r="Q2843" s="1089"/>
      <c r="S2843" s="1375"/>
    </row>
    <row r="2844" spans="3:19" x14ac:dyDescent="0.25">
      <c r="C2844" s="748">
        <v>839214002</v>
      </c>
      <c r="D2844" s="747"/>
      <c r="H2844" s="124"/>
      <c r="I2844" s="124"/>
      <c r="J2844" s="1212"/>
      <c r="P2844" s="761"/>
      <c r="Q2844" s="1089"/>
      <c r="S2844" s="1375"/>
    </row>
    <row r="2845" spans="3:19" x14ac:dyDescent="0.25">
      <c r="C2845" s="748">
        <v>839214003</v>
      </c>
      <c r="D2845" s="747"/>
      <c r="H2845" s="124"/>
      <c r="I2845" s="124"/>
      <c r="J2845" s="1212"/>
      <c r="P2845" s="761"/>
      <c r="Q2845" s="1089"/>
      <c r="S2845" s="1375"/>
    </row>
    <row r="2846" spans="3:19" x14ac:dyDescent="0.25">
      <c r="C2846" s="748">
        <v>839214006</v>
      </c>
      <c r="D2846" s="747"/>
      <c r="H2846" s="124"/>
      <c r="I2846" s="124"/>
      <c r="J2846" s="1212"/>
      <c r="P2846" s="761"/>
      <c r="Q2846" s="1089"/>
      <c r="S2846" s="1375"/>
    </row>
    <row r="2847" spans="3:19" x14ac:dyDescent="0.25">
      <c r="C2847" s="748">
        <v>839214007</v>
      </c>
      <c r="D2847" s="747"/>
      <c r="H2847" s="124"/>
      <c r="I2847" s="124"/>
      <c r="J2847" s="1212"/>
      <c r="P2847" s="761"/>
      <c r="Q2847" s="1089"/>
      <c r="S2847" s="1375"/>
    </row>
    <row r="2848" spans="3:19" x14ac:dyDescent="0.25">
      <c r="C2848" s="748">
        <v>839214010</v>
      </c>
      <c r="D2848" s="747"/>
      <c r="H2848" s="124"/>
      <c r="I2848" s="124"/>
      <c r="J2848" s="1212"/>
      <c r="P2848" s="761"/>
      <c r="Q2848" s="1089"/>
      <c r="S2848" s="1375"/>
    </row>
    <row r="2849" spans="3:19" x14ac:dyDescent="0.25">
      <c r="C2849" s="748">
        <v>839214011</v>
      </c>
      <c r="D2849" s="747"/>
      <c r="H2849" s="124"/>
      <c r="I2849" s="124"/>
      <c r="J2849" s="1212"/>
      <c r="P2849" s="761"/>
      <c r="Q2849" s="1089"/>
      <c r="S2849" s="1375"/>
    </row>
    <row r="2850" spans="3:19" x14ac:dyDescent="0.25">
      <c r="C2850" s="748">
        <v>839215005</v>
      </c>
      <c r="D2850" s="747"/>
      <c r="H2850" s="124"/>
      <c r="I2850" s="124"/>
      <c r="J2850" s="1212"/>
      <c r="P2850" s="761"/>
      <c r="Q2850" s="1089"/>
      <c r="S2850" s="1375"/>
    </row>
    <row r="2851" spans="3:19" x14ac:dyDescent="0.25">
      <c r="C2851" s="748">
        <v>839215007</v>
      </c>
      <c r="D2851" s="747"/>
      <c r="H2851" s="124"/>
      <c r="I2851" s="124"/>
      <c r="J2851" s="1212"/>
      <c r="P2851" s="761"/>
      <c r="Q2851" s="1089"/>
      <c r="S2851" s="1375"/>
    </row>
    <row r="2852" spans="3:19" x14ac:dyDescent="0.25">
      <c r="C2852" s="748">
        <v>839215013</v>
      </c>
      <c r="D2852" s="747"/>
      <c r="H2852" s="124"/>
      <c r="I2852" s="124"/>
      <c r="J2852" s="1212"/>
      <c r="P2852" s="761"/>
      <c r="Q2852" s="1089"/>
      <c r="S2852" s="1375"/>
    </row>
    <row r="2853" spans="3:19" x14ac:dyDescent="0.25">
      <c r="C2853" s="748">
        <v>849110269</v>
      </c>
      <c r="D2853" s="747"/>
      <c r="H2853" s="124"/>
      <c r="I2853" s="124"/>
      <c r="J2853" s="1212"/>
      <c r="P2853" s="761"/>
      <c r="Q2853" s="1089"/>
      <c r="S2853" s="1375"/>
    </row>
    <row r="2854" spans="3:19" x14ac:dyDescent="0.25">
      <c r="C2854" s="748">
        <v>849112015</v>
      </c>
      <c r="D2854" s="747"/>
      <c r="H2854" s="124"/>
      <c r="I2854" s="124"/>
      <c r="J2854" s="1212"/>
      <c r="P2854" s="761"/>
      <c r="Q2854" s="1089"/>
      <c r="S2854" s="1375"/>
    </row>
    <row r="2855" spans="3:19" x14ac:dyDescent="0.25">
      <c r="C2855" s="748">
        <v>849113040</v>
      </c>
      <c r="D2855" s="747"/>
      <c r="H2855" s="124"/>
      <c r="I2855" s="124"/>
      <c r="J2855" s="1212"/>
      <c r="P2855" s="761"/>
      <c r="Q2855" s="1089"/>
      <c r="S2855" s="1375"/>
    </row>
    <row r="2856" spans="3:19" x14ac:dyDescent="0.25">
      <c r="C2856" s="748">
        <v>849113061</v>
      </c>
      <c r="D2856" s="747"/>
      <c r="H2856" s="124"/>
      <c r="I2856" s="124"/>
      <c r="J2856" s="1212"/>
      <c r="P2856" s="761"/>
      <c r="Q2856" s="1089"/>
      <c r="S2856" s="1375"/>
    </row>
    <row r="2857" spans="3:19" x14ac:dyDescent="0.25">
      <c r="C2857" s="748">
        <v>849113076</v>
      </c>
      <c r="D2857" s="747"/>
      <c r="H2857" s="124"/>
      <c r="I2857" s="124"/>
      <c r="J2857" s="1212"/>
      <c r="P2857" s="761"/>
      <c r="Q2857" s="1089"/>
      <c r="S2857" s="1375"/>
    </row>
    <row r="2858" spans="3:19" x14ac:dyDescent="0.25">
      <c r="C2858" s="748">
        <v>849113077</v>
      </c>
      <c r="D2858" s="747"/>
      <c r="H2858" s="124"/>
      <c r="I2858" s="124"/>
      <c r="J2858" s="1212"/>
      <c r="P2858" s="761"/>
      <c r="Q2858" s="1089"/>
      <c r="S2858" s="1375"/>
    </row>
    <row r="2859" spans="3:19" x14ac:dyDescent="0.25">
      <c r="C2859" s="748">
        <v>849114006</v>
      </c>
      <c r="D2859" s="747"/>
      <c r="H2859" s="124"/>
      <c r="I2859" s="124"/>
      <c r="J2859" s="1212"/>
      <c r="P2859" s="761"/>
      <c r="Q2859" s="1089"/>
      <c r="S2859" s="1375"/>
    </row>
    <row r="2860" spans="3:19" x14ac:dyDescent="0.25">
      <c r="C2860" s="748">
        <v>849114007</v>
      </c>
      <c r="D2860" s="747"/>
      <c r="H2860" s="124"/>
      <c r="I2860" s="124"/>
      <c r="J2860" s="1212"/>
      <c r="P2860" s="761"/>
      <c r="Q2860" s="1089"/>
      <c r="S2860" s="1375"/>
    </row>
    <row r="2861" spans="3:19" x14ac:dyDescent="0.25">
      <c r="C2861" s="748">
        <v>849114008</v>
      </c>
      <c r="D2861" s="747"/>
      <c r="H2861" s="124"/>
      <c r="I2861" s="124"/>
      <c r="J2861" s="1212"/>
      <c r="P2861" s="761"/>
      <c r="Q2861" s="1089"/>
      <c r="S2861" s="1375"/>
    </row>
    <row r="2862" spans="3:19" x14ac:dyDescent="0.25">
      <c r="C2862" s="748">
        <v>849114012</v>
      </c>
      <c r="D2862" s="747"/>
      <c r="H2862" s="124"/>
      <c r="I2862" s="124"/>
      <c r="J2862" s="1212"/>
      <c r="P2862" s="761"/>
      <c r="Q2862" s="1089"/>
      <c r="S2862" s="1375"/>
    </row>
    <row r="2863" spans="3:19" x14ac:dyDescent="0.25">
      <c r="C2863" s="748">
        <v>849114015</v>
      </c>
      <c r="D2863" s="747"/>
      <c r="H2863" s="124"/>
      <c r="I2863" s="124"/>
      <c r="J2863" s="1212"/>
      <c r="P2863" s="761"/>
      <c r="Q2863" s="1089"/>
      <c r="S2863" s="1375"/>
    </row>
    <row r="2864" spans="3:19" x14ac:dyDescent="0.25">
      <c r="C2864" s="748">
        <v>849114018</v>
      </c>
      <c r="D2864" s="747"/>
      <c r="H2864" s="124"/>
      <c r="I2864" s="124"/>
      <c r="J2864" s="1212"/>
      <c r="P2864" s="761"/>
      <c r="Q2864" s="1089"/>
      <c r="S2864" s="1375"/>
    </row>
    <row r="2865" spans="3:19" x14ac:dyDescent="0.25">
      <c r="C2865" s="748">
        <v>849114031</v>
      </c>
      <c r="D2865" s="747"/>
      <c r="H2865" s="124"/>
      <c r="I2865" s="124"/>
      <c r="J2865" s="1212"/>
      <c r="P2865" s="761"/>
      <c r="Q2865" s="1089"/>
      <c r="S2865" s="1375"/>
    </row>
    <row r="2866" spans="3:19" x14ac:dyDescent="0.25">
      <c r="C2866" s="748">
        <v>849114040</v>
      </c>
      <c r="D2866" s="747"/>
      <c r="H2866" s="124"/>
      <c r="I2866" s="124"/>
      <c r="J2866" s="1212"/>
      <c r="P2866" s="761"/>
      <c r="Q2866" s="1089"/>
      <c r="S2866" s="1375"/>
    </row>
    <row r="2867" spans="3:19" x14ac:dyDescent="0.25">
      <c r="C2867" s="748">
        <v>849120014</v>
      </c>
      <c r="D2867" s="747"/>
      <c r="H2867" s="124"/>
      <c r="I2867" s="124"/>
      <c r="J2867" s="1212"/>
      <c r="P2867" s="761"/>
      <c r="Q2867" s="1089"/>
      <c r="S2867" s="1375"/>
    </row>
    <row r="2868" spans="3:19" x14ac:dyDescent="0.25">
      <c r="C2868" s="748">
        <v>849214010</v>
      </c>
      <c r="D2868" s="747"/>
      <c r="H2868" s="124"/>
      <c r="I2868" s="124"/>
      <c r="J2868" s="1212"/>
      <c r="P2868" s="761"/>
      <c r="Q2868" s="1089"/>
      <c r="S2868" s="1375"/>
    </row>
    <row r="2869" spans="3:19" x14ac:dyDescent="0.25">
      <c r="C2869" s="748">
        <v>849214011</v>
      </c>
      <c r="D2869" s="747"/>
      <c r="H2869" s="124"/>
      <c r="I2869" s="124"/>
      <c r="J2869" s="1212"/>
      <c r="P2869" s="761"/>
      <c r="Q2869" s="1089"/>
      <c r="S2869" s="1375"/>
    </row>
    <row r="2870" spans="3:19" x14ac:dyDescent="0.25">
      <c r="C2870" s="748">
        <v>849214014</v>
      </c>
      <c r="D2870" s="747"/>
      <c r="H2870" s="124"/>
      <c r="I2870" s="124"/>
      <c r="J2870" s="1212"/>
      <c r="P2870" s="761"/>
      <c r="Q2870" s="1089"/>
      <c r="S2870" s="1375"/>
    </row>
    <row r="2871" spans="3:19" x14ac:dyDescent="0.25">
      <c r="C2871" s="748"/>
      <c r="D2871" s="747"/>
      <c r="H2871" s="124"/>
      <c r="I2871" s="124"/>
      <c r="J2871" s="1212"/>
      <c r="P2871" s="761"/>
      <c r="Q2871" s="1089"/>
      <c r="S2871" s="1375"/>
    </row>
    <row r="2872" spans="3:19" x14ac:dyDescent="0.25">
      <c r="C2872" s="748">
        <v>839115001</v>
      </c>
      <c r="D2872" s="747"/>
      <c r="H2872" s="124"/>
      <c r="I2872" s="124"/>
      <c r="J2872" s="1212"/>
      <c r="P2872" s="761"/>
      <c r="Q2872" s="1089"/>
      <c r="S2872" s="1375"/>
    </row>
    <row r="2873" spans="3:19" x14ac:dyDescent="0.25">
      <c r="C2873" s="748">
        <v>839115005</v>
      </c>
      <c r="D2873" s="747"/>
      <c r="H2873" s="124"/>
      <c r="I2873" s="124"/>
      <c r="J2873" s="1212"/>
      <c r="P2873" s="761"/>
      <c r="Q2873" s="1089"/>
      <c r="S2873" s="1375"/>
    </row>
    <row r="2874" spans="3:19" x14ac:dyDescent="0.25">
      <c r="C2874" s="748">
        <v>839115008</v>
      </c>
      <c r="D2874" s="747"/>
      <c r="H2874" s="124"/>
      <c r="I2874" s="124"/>
      <c r="J2874" s="1212"/>
      <c r="P2874" s="761"/>
      <c r="Q2874" s="1089"/>
      <c r="S2874" s="1375"/>
    </row>
    <row r="2875" spans="3:19" x14ac:dyDescent="0.25">
      <c r="C2875" s="748">
        <v>839115010</v>
      </c>
      <c r="D2875" s="747"/>
      <c r="H2875" s="124"/>
      <c r="I2875" s="124"/>
      <c r="J2875" s="1212"/>
      <c r="P2875" s="761"/>
      <c r="Q2875" s="1089"/>
      <c r="S2875" s="1375"/>
    </row>
    <row r="2876" spans="3:19" x14ac:dyDescent="0.25">
      <c r="C2876" s="748">
        <v>839115012</v>
      </c>
      <c r="D2876" s="747"/>
      <c r="H2876" s="124"/>
      <c r="I2876" s="124"/>
      <c r="J2876" s="1212"/>
      <c r="P2876" s="761"/>
      <c r="Q2876" s="1089"/>
      <c r="S2876" s="1375"/>
    </row>
    <row r="2877" spans="3:19" x14ac:dyDescent="0.25">
      <c r="C2877" s="748">
        <v>839134009</v>
      </c>
      <c r="D2877" s="747"/>
      <c r="H2877" s="124"/>
      <c r="I2877" s="124"/>
      <c r="J2877" s="1212"/>
      <c r="P2877" s="761"/>
      <c r="Q2877" s="1089"/>
      <c r="S2877" s="1375"/>
    </row>
    <row r="2878" spans="3:19" x14ac:dyDescent="0.25">
      <c r="C2878" s="748">
        <v>839134016</v>
      </c>
      <c r="D2878" s="747"/>
      <c r="H2878" s="124"/>
      <c r="I2878" s="124"/>
      <c r="J2878" s="1212"/>
      <c r="P2878" s="761"/>
      <c r="Q2878" s="1089"/>
      <c r="S2878" s="1375"/>
    </row>
    <row r="2879" spans="3:19" x14ac:dyDescent="0.25">
      <c r="C2879" s="748">
        <v>839215001</v>
      </c>
      <c r="D2879" s="747"/>
      <c r="H2879" s="124"/>
      <c r="I2879" s="124"/>
      <c r="J2879" s="1212"/>
      <c r="P2879" s="761"/>
      <c r="Q2879" s="1089"/>
      <c r="S2879" s="1375"/>
    </row>
    <row r="2880" spans="3:19" x14ac:dyDescent="0.25">
      <c r="C2880" s="748">
        <v>839215004</v>
      </c>
      <c r="D2880" s="747"/>
      <c r="H2880" s="124"/>
      <c r="I2880" s="124"/>
      <c r="J2880" s="1212"/>
      <c r="P2880" s="761"/>
      <c r="Q2880" s="1089"/>
      <c r="S2880" s="1375"/>
    </row>
    <row r="2881" spans="3:19" x14ac:dyDescent="0.25">
      <c r="C2881" s="748">
        <v>839215006</v>
      </c>
      <c r="D2881" s="747"/>
      <c r="H2881" s="124"/>
      <c r="I2881" s="124"/>
      <c r="J2881" s="1212"/>
      <c r="P2881" s="761"/>
      <c r="Q2881" s="1089"/>
      <c r="S2881" s="1375"/>
    </row>
    <row r="2882" spans="3:19" x14ac:dyDescent="0.25">
      <c r="C2882" s="748">
        <v>849113019</v>
      </c>
      <c r="D2882" s="747"/>
      <c r="H2882" s="124"/>
      <c r="I2882" s="124"/>
      <c r="J2882" s="1212"/>
      <c r="P2882" s="761"/>
      <c r="Q2882" s="1089"/>
      <c r="S2882" s="1375"/>
    </row>
    <row r="2883" spans="3:19" x14ac:dyDescent="0.25">
      <c r="C2883" s="748">
        <v>849113092</v>
      </c>
      <c r="D2883" s="747"/>
      <c r="H2883" s="124"/>
      <c r="I2883" s="124"/>
      <c r="J2883" s="1212"/>
      <c r="P2883" s="761"/>
      <c r="Q2883" s="1089"/>
      <c r="S2883" s="1375"/>
    </row>
    <row r="2884" spans="3:19" x14ac:dyDescent="0.25">
      <c r="C2884" s="748">
        <v>849114002</v>
      </c>
      <c r="D2884" s="747"/>
      <c r="H2884" s="124"/>
      <c r="I2884" s="124"/>
      <c r="J2884" s="1212"/>
      <c r="P2884" s="761"/>
      <c r="Q2884" s="1089"/>
      <c r="S2884" s="1375"/>
    </row>
    <row r="2885" spans="3:19" x14ac:dyDescent="0.25">
      <c r="C2885" s="748">
        <v>849114032</v>
      </c>
      <c r="D2885" s="747"/>
      <c r="H2885" s="124"/>
      <c r="I2885" s="124"/>
      <c r="J2885" s="1212"/>
      <c r="P2885" s="761"/>
      <c r="Q2885" s="1089"/>
      <c r="S2885" s="1375"/>
    </row>
    <row r="2886" spans="3:19" x14ac:dyDescent="0.25">
      <c r="C2886" s="748">
        <v>849114039</v>
      </c>
      <c r="D2886" s="747"/>
      <c r="H2886" s="124"/>
      <c r="I2886" s="124"/>
      <c r="J2886" s="1212"/>
      <c r="P2886" s="761"/>
      <c r="Q2886" s="1089"/>
      <c r="S2886" s="1375"/>
    </row>
    <row r="2887" spans="3:19" x14ac:dyDescent="0.25">
      <c r="C2887" s="748">
        <v>849115003</v>
      </c>
      <c r="D2887" s="747"/>
      <c r="H2887" s="124"/>
      <c r="I2887" s="124"/>
      <c r="J2887" s="1212"/>
      <c r="P2887" s="761"/>
      <c r="Q2887" s="1089"/>
      <c r="S2887" s="1375"/>
    </row>
    <row r="2888" spans="3:19" x14ac:dyDescent="0.25">
      <c r="C2888" s="748">
        <v>849115017</v>
      </c>
      <c r="D2888" s="747"/>
      <c r="H2888" s="124"/>
      <c r="I2888" s="124"/>
      <c r="J2888" s="1212"/>
      <c r="P2888" s="761"/>
      <c r="Q2888" s="1089"/>
      <c r="S2888" s="1375"/>
    </row>
    <row r="2889" spans="3:19" x14ac:dyDescent="0.25">
      <c r="C2889" s="748">
        <v>849120001</v>
      </c>
      <c r="D2889" s="747"/>
      <c r="H2889" s="124"/>
      <c r="I2889" s="124"/>
      <c r="J2889" s="1212"/>
      <c r="P2889" s="761"/>
      <c r="Q2889" s="1089"/>
      <c r="S2889" s="1375"/>
    </row>
    <row r="2890" spans="3:19" x14ac:dyDescent="0.25">
      <c r="C2890" s="748">
        <v>849120039</v>
      </c>
      <c r="D2890" s="747"/>
      <c r="H2890" s="124"/>
      <c r="I2890" s="124"/>
      <c r="J2890" s="1212"/>
      <c r="P2890" s="761"/>
      <c r="Q2890" s="1089"/>
      <c r="S2890" s="1375"/>
    </row>
    <row r="2891" spans="3:19" x14ac:dyDescent="0.25">
      <c r="C2891" s="748">
        <v>849120077</v>
      </c>
      <c r="D2891" s="747"/>
      <c r="H2891" s="124"/>
      <c r="I2891" s="124"/>
      <c r="J2891" s="1212"/>
      <c r="P2891" s="761"/>
      <c r="Q2891" s="1089"/>
      <c r="S2891" s="1375"/>
    </row>
    <row r="2892" spans="3:19" x14ac:dyDescent="0.25">
      <c r="C2892" s="748">
        <v>849213007</v>
      </c>
      <c r="D2892" s="747"/>
      <c r="H2892" s="124"/>
      <c r="I2892" s="124"/>
      <c r="J2892" s="1212"/>
      <c r="P2892" s="761"/>
      <c r="Q2892" s="1089"/>
      <c r="S2892" s="1375"/>
    </row>
    <row r="2893" spans="3:19" x14ac:dyDescent="0.25">
      <c r="C2893" s="748">
        <v>849213009</v>
      </c>
      <c r="D2893" s="747"/>
      <c r="H2893" s="124"/>
      <c r="I2893" s="124"/>
      <c r="J2893" s="1212"/>
      <c r="P2893" s="761"/>
      <c r="Q2893" s="1089"/>
      <c r="S2893" s="1375"/>
    </row>
    <row r="2894" spans="3:19" x14ac:dyDescent="0.25">
      <c r="C2894" s="748">
        <v>849214005</v>
      </c>
      <c r="D2894" s="747"/>
      <c r="H2894" s="124"/>
      <c r="I2894" s="124"/>
      <c r="J2894" s="1212"/>
      <c r="P2894" s="761"/>
      <c r="Q2894" s="1089"/>
      <c r="S2894" s="1375"/>
    </row>
    <row r="2895" spans="3:19" x14ac:dyDescent="0.25">
      <c r="C2895" s="748">
        <v>849214008</v>
      </c>
      <c r="D2895" s="747"/>
      <c r="H2895" s="124"/>
      <c r="I2895" s="124"/>
      <c r="J2895" s="1212"/>
      <c r="P2895" s="761"/>
      <c r="Q2895" s="1089"/>
      <c r="S2895" s="1375"/>
    </row>
    <row r="2896" spans="3:19" x14ac:dyDescent="0.25">
      <c r="C2896" s="748">
        <v>849214012</v>
      </c>
      <c r="D2896" s="747"/>
      <c r="H2896" s="124"/>
      <c r="I2896" s="124"/>
      <c r="J2896" s="1212"/>
      <c r="P2896" s="761"/>
      <c r="Q2896" s="1089"/>
      <c r="S2896" s="1375"/>
    </row>
    <row r="2897" spans="3:19" x14ac:dyDescent="0.25">
      <c r="C2897" s="748">
        <v>849214013</v>
      </c>
      <c r="D2897" s="747"/>
      <c r="H2897" s="124"/>
      <c r="I2897" s="124"/>
      <c r="J2897" s="1212"/>
      <c r="P2897" s="761"/>
      <c r="Q2897" s="1089"/>
      <c r="S2897" s="1375"/>
    </row>
    <row r="2898" spans="3:19" x14ac:dyDescent="0.25">
      <c r="C2898" s="748">
        <v>849315003</v>
      </c>
      <c r="D2898" s="747"/>
      <c r="H2898" s="124"/>
      <c r="I2898" s="124"/>
      <c r="J2898" s="1212"/>
      <c r="P2898" s="761"/>
      <c r="Q2898" s="1089"/>
      <c r="S2898" s="1375"/>
    </row>
    <row r="2899" spans="3:19" x14ac:dyDescent="0.25">
      <c r="C2899" s="748">
        <v>849315007</v>
      </c>
      <c r="D2899" s="747"/>
      <c r="H2899" s="124"/>
      <c r="I2899" s="124"/>
      <c r="J2899" s="1212"/>
      <c r="P2899" s="761"/>
      <c r="Q2899" s="1089"/>
      <c r="S2899" s="1375"/>
    </row>
    <row r="2900" spans="3:19" x14ac:dyDescent="0.25">
      <c r="C2900" s="748">
        <v>849315018</v>
      </c>
      <c r="D2900" s="747"/>
      <c r="H2900" s="124"/>
      <c r="I2900" s="124"/>
      <c r="J2900" s="1212"/>
      <c r="P2900" s="761"/>
      <c r="Q2900" s="1089"/>
      <c r="S2900" s="1375"/>
    </row>
    <row r="2901" spans="3:19" x14ac:dyDescent="0.25">
      <c r="C2901" s="748">
        <v>849315020</v>
      </c>
      <c r="D2901" s="747"/>
      <c r="H2901" s="124"/>
      <c r="I2901" s="124"/>
      <c r="J2901" s="1212"/>
      <c r="P2901" s="761"/>
      <c r="Q2901" s="1089"/>
      <c r="S2901" s="1375"/>
    </row>
    <row r="2902" spans="3:19" x14ac:dyDescent="0.25">
      <c r="C2902" s="748">
        <v>849315021</v>
      </c>
      <c r="D2902" s="747"/>
      <c r="H2902" s="124"/>
      <c r="I2902" s="124"/>
      <c r="J2902" s="1212"/>
      <c r="P2902" s="761"/>
      <c r="Q2902" s="1089"/>
      <c r="S2902" s="1375"/>
    </row>
    <row r="2903" spans="3:19" x14ac:dyDescent="0.25">
      <c r="C2903" s="748">
        <v>849315024</v>
      </c>
      <c r="D2903" s="747"/>
      <c r="H2903" s="124"/>
      <c r="I2903" s="124"/>
      <c r="J2903" s="1212"/>
      <c r="P2903" s="761"/>
      <c r="Q2903" s="1089"/>
      <c r="S2903" s="1375"/>
    </row>
    <row r="2904" spans="3:19" x14ac:dyDescent="0.25">
      <c r="C2904" s="748">
        <v>849415004</v>
      </c>
      <c r="D2904" s="747"/>
      <c r="H2904" s="124"/>
      <c r="I2904" s="124"/>
      <c r="J2904" s="1212"/>
      <c r="P2904" s="761"/>
      <c r="Q2904" s="1089"/>
      <c r="S2904" s="1375"/>
    </row>
    <row r="2905" spans="3:19" x14ac:dyDescent="0.25">
      <c r="C2905" s="748"/>
      <c r="D2905" s="747"/>
      <c r="H2905" s="124"/>
      <c r="I2905" s="124"/>
      <c r="J2905" s="1212"/>
      <c r="P2905" s="761"/>
      <c r="Q2905" s="1089"/>
      <c r="S2905" s="1375"/>
    </row>
    <row r="2906" spans="3:19" x14ac:dyDescent="0.25">
      <c r="C2906" s="748">
        <v>83911022</v>
      </c>
      <c r="D2906" s="747"/>
      <c r="H2906" s="124"/>
      <c r="I2906" s="124"/>
      <c r="J2906" s="1212"/>
      <c r="P2906" s="761"/>
      <c r="Q2906" s="1089"/>
      <c r="S2906" s="1375"/>
    </row>
    <row r="2907" spans="3:19" x14ac:dyDescent="0.25">
      <c r="C2907" s="748">
        <v>839131013</v>
      </c>
      <c r="D2907" s="747"/>
      <c r="H2907" s="124"/>
      <c r="I2907" s="124"/>
      <c r="J2907" s="1212"/>
      <c r="P2907" s="761"/>
      <c r="Q2907" s="1089"/>
      <c r="S2907" s="1375"/>
    </row>
    <row r="2908" spans="3:19" x14ac:dyDescent="0.25">
      <c r="C2908" s="748">
        <v>839134007</v>
      </c>
      <c r="D2908" s="747"/>
      <c r="H2908" s="124"/>
      <c r="I2908" s="124"/>
      <c r="J2908" s="1212"/>
      <c r="P2908" s="761"/>
      <c r="Q2908" s="1089"/>
      <c r="S2908" s="1375"/>
    </row>
    <row r="2909" spans="3:19" x14ac:dyDescent="0.25">
      <c r="C2909" s="748">
        <v>839134014</v>
      </c>
      <c r="D2909" s="747"/>
      <c r="H2909" s="124"/>
      <c r="I2909" s="124"/>
      <c r="J2909" s="1212"/>
      <c r="P2909" s="761"/>
      <c r="Q2909" s="1089"/>
      <c r="S2909" s="1375"/>
    </row>
    <row r="2910" spans="3:19" x14ac:dyDescent="0.25">
      <c r="C2910" s="748">
        <v>839134019</v>
      </c>
      <c r="D2910" s="747"/>
      <c r="H2910" s="124"/>
      <c r="I2910" s="124"/>
      <c r="J2910" s="1212"/>
      <c r="P2910" s="761"/>
      <c r="Q2910" s="1089"/>
      <c r="S2910" s="1375"/>
    </row>
    <row r="2911" spans="3:19" x14ac:dyDescent="0.25">
      <c r="C2911" s="748">
        <v>839214004</v>
      </c>
      <c r="D2911" s="747"/>
      <c r="H2911" s="124"/>
      <c r="I2911" s="124"/>
      <c r="J2911" s="1212"/>
      <c r="P2911" s="761"/>
      <c r="Q2911" s="1089"/>
      <c r="S2911" s="1375"/>
    </row>
    <row r="2912" spans="3:19" x14ac:dyDescent="0.25">
      <c r="C2912" s="748">
        <v>839214008</v>
      </c>
      <c r="D2912" s="747"/>
      <c r="H2912" s="124"/>
      <c r="I2912" s="124"/>
      <c r="J2912" s="1212"/>
      <c r="P2912" s="761"/>
      <c r="Q2912" s="1089"/>
      <c r="S2912" s="1375"/>
    </row>
    <row r="2913" spans="3:19" x14ac:dyDescent="0.25">
      <c r="C2913" s="748">
        <v>839214014</v>
      </c>
      <c r="D2913" s="747"/>
      <c r="H2913" s="124"/>
      <c r="I2913" s="124"/>
      <c r="J2913" s="1212"/>
      <c r="P2913" s="761"/>
      <c r="Q2913" s="1089"/>
      <c r="S2913" s="1375"/>
    </row>
    <row r="2914" spans="3:19" x14ac:dyDescent="0.25">
      <c r="C2914" s="748">
        <v>839214015</v>
      </c>
      <c r="D2914" s="747"/>
      <c r="H2914" s="124"/>
      <c r="I2914" s="124"/>
      <c r="J2914" s="1212"/>
      <c r="P2914" s="761"/>
      <c r="Q2914" s="1089"/>
      <c r="S2914" s="1375"/>
    </row>
    <row r="2915" spans="3:19" x14ac:dyDescent="0.25">
      <c r="C2915" s="748">
        <v>849110250</v>
      </c>
      <c r="D2915" s="747"/>
      <c r="H2915" s="124"/>
      <c r="I2915" s="124"/>
      <c r="J2915" s="1212"/>
      <c r="P2915" s="761"/>
      <c r="Q2915" s="1089"/>
      <c r="S2915" s="1375"/>
    </row>
    <row r="2916" spans="3:19" x14ac:dyDescent="0.25">
      <c r="C2916" s="748">
        <v>849110299</v>
      </c>
      <c r="D2916" s="747"/>
      <c r="H2916" s="124"/>
      <c r="I2916" s="124"/>
      <c r="J2916" s="1212"/>
      <c r="P2916" s="761"/>
      <c r="Q2916" s="1089"/>
      <c r="S2916" s="1375"/>
    </row>
    <row r="2917" spans="3:19" x14ac:dyDescent="0.25">
      <c r="C2917" s="748">
        <v>849113024</v>
      </c>
      <c r="D2917" s="747"/>
      <c r="H2917" s="124"/>
      <c r="I2917" s="124"/>
      <c r="J2917" s="1212"/>
      <c r="P2917" s="761"/>
      <c r="Q2917" s="1089"/>
      <c r="S2917" s="1375"/>
    </row>
    <row r="2918" spans="3:19" x14ac:dyDescent="0.25">
      <c r="C2918" s="748">
        <v>849113046</v>
      </c>
      <c r="D2918" s="747"/>
      <c r="H2918" s="124"/>
      <c r="I2918" s="124"/>
      <c r="J2918" s="1212"/>
      <c r="P2918" s="761"/>
      <c r="Q2918" s="1089"/>
      <c r="S2918" s="1375"/>
    </row>
    <row r="2919" spans="3:19" x14ac:dyDescent="0.25">
      <c r="C2919" s="748">
        <v>849113048</v>
      </c>
      <c r="D2919" s="747"/>
      <c r="H2919" s="124"/>
      <c r="I2919" s="124"/>
      <c r="J2919" s="1212"/>
      <c r="P2919" s="761"/>
      <c r="Q2919" s="1089"/>
      <c r="S2919" s="1375"/>
    </row>
    <row r="2920" spans="3:19" x14ac:dyDescent="0.25">
      <c r="C2920" s="748">
        <v>849113053</v>
      </c>
      <c r="D2920" s="747"/>
      <c r="H2920" s="124"/>
      <c r="I2920" s="124"/>
      <c r="J2920" s="1212"/>
      <c r="P2920" s="761"/>
      <c r="Q2920" s="1089"/>
      <c r="S2920" s="1375"/>
    </row>
    <row r="2921" spans="3:19" x14ac:dyDescent="0.25">
      <c r="C2921" s="748">
        <v>849113055</v>
      </c>
      <c r="D2921" s="747"/>
      <c r="H2921" s="124"/>
      <c r="I2921" s="124"/>
      <c r="J2921" s="1212"/>
      <c r="P2921" s="761"/>
      <c r="Q2921" s="1089"/>
      <c r="S2921" s="1375"/>
    </row>
    <row r="2922" spans="3:19" x14ac:dyDescent="0.25">
      <c r="C2922" s="748">
        <v>849113056</v>
      </c>
      <c r="D2922" s="747"/>
      <c r="H2922" s="124"/>
      <c r="I2922" s="124"/>
      <c r="J2922" s="1212"/>
      <c r="P2922" s="761"/>
      <c r="Q2922" s="1089"/>
      <c r="S2922" s="1375"/>
    </row>
    <row r="2923" spans="3:19" x14ac:dyDescent="0.25">
      <c r="C2923" s="748">
        <v>849113057</v>
      </c>
      <c r="D2923" s="747"/>
      <c r="H2923" s="124"/>
      <c r="I2923" s="124"/>
      <c r="J2923" s="1212"/>
      <c r="P2923" s="761"/>
      <c r="Q2923" s="1089"/>
      <c r="S2923" s="1375"/>
    </row>
    <row r="2924" spans="3:19" x14ac:dyDescent="0.25">
      <c r="C2924" s="748">
        <v>849113059</v>
      </c>
      <c r="D2924" s="747"/>
      <c r="H2924" s="124"/>
      <c r="I2924" s="124"/>
      <c r="J2924" s="1212"/>
      <c r="P2924" s="761"/>
      <c r="Q2924" s="1089"/>
      <c r="S2924" s="1375"/>
    </row>
    <row r="2925" spans="3:19" x14ac:dyDescent="0.25">
      <c r="C2925" s="748">
        <v>849113066</v>
      </c>
      <c r="D2925" s="747"/>
      <c r="H2925" s="124"/>
      <c r="I2925" s="124"/>
      <c r="J2925" s="1212"/>
      <c r="P2925" s="761"/>
      <c r="Q2925" s="1089"/>
      <c r="S2925" s="1375"/>
    </row>
    <row r="2926" spans="3:19" x14ac:dyDescent="0.25">
      <c r="C2926" s="748">
        <v>849113067</v>
      </c>
      <c r="D2926" s="747"/>
      <c r="H2926" s="124"/>
      <c r="I2926" s="124"/>
      <c r="J2926" s="1212"/>
      <c r="P2926" s="761"/>
      <c r="Q2926" s="1089"/>
      <c r="S2926" s="1375"/>
    </row>
    <row r="2927" spans="3:19" x14ac:dyDescent="0.25">
      <c r="C2927" s="748">
        <v>849113074</v>
      </c>
      <c r="D2927" s="747"/>
      <c r="H2927" s="124"/>
      <c r="I2927" s="124"/>
      <c r="J2927" s="1212"/>
      <c r="P2927" s="761"/>
      <c r="Q2927" s="1089"/>
      <c r="S2927" s="1375"/>
    </row>
    <row r="2928" spans="3:19" x14ac:dyDescent="0.25">
      <c r="C2928" s="748">
        <v>849113081</v>
      </c>
      <c r="D2928" s="747"/>
      <c r="H2928" s="124"/>
      <c r="I2928" s="124"/>
      <c r="J2928" s="1212"/>
      <c r="P2928" s="761"/>
      <c r="Q2928" s="1089"/>
      <c r="S2928" s="1375"/>
    </row>
    <row r="2929" spans="3:19" x14ac:dyDescent="0.25">
      <c r="C2929" s="748">
        <v>849113082</v>
      </c>
      <c r="D2929" s="747"/>
      <c r="H2929" s="124"/>
      <c r="I2929" s="124"/>
      <c r="J2929" s="1212"/>
      <c r="P2929" s="761"/>
      <c r="Q2929" s="1089"/>
      <c r="S2929" s="1375"/>
    </row>
    <row r="2930" spans="3:19" x14ac:dyDescent="0.25">
      <c r="C2930" s="748">
        <v>849113083</v>
      </c>
      <c r="D2930" s="747"/>
      <c r="H2930" s="124"/>
      <c r="I2930" s="124"/>
      <c r="J2930" s="1212"/>
      <c r="P2930" s="761"/>
      <c r="Q2930" s="1089"/>
      <c r="S2930" s="1375"/>
    </row>
    <row r="2931" spans="3:19" x14ac:dyDescent="0.25">
      <c r="C2931" s="748">
        <v>849113085</v>
      </c>
      <c r="D2931" s="747"/>
      <c r="H2931" s="124"/>
      <c r="I2931" s="124"/>
      <c r="J2931" s="1212"/>
      <c r="P2931" s="761"/>
      <c r="Q2931" s="1089"/>
      <c r="S2931" s="1375"/>
    </row>
    <row r="2932" spans="3:19" x14ac:dyDescent="0.25">
      <c r="C2932" s="748">
        <v>849113087</v>
      </c>
      <c r="D2932" s="747"/>
      <c r="H2932" s="124"/>
      <c r="I2932" s="124"/>
      <c r="J2932" s="1212"/>
      <c r="P2932" s="761"/>
      <c r="Q2932" s="1089"/>
      <c r="S2932" s="1375"/>
    </row>
    <row r="2933" spans="3:19" x14ac:dyDescent="0.25">
      <c r="C2933" s="748">
        <v>849113090</v>
      </c>
      <c r="D2933" s="747"/>
      <c r="H2933" s="124"/>
      <c r="I2933" s="124"/>
      <c r="J2933" s="1212"/>
      <c r="P2933" s="761"/>
      <c r="Q2933" s="1089"/>
      <c r="S2933" s="1375"/>
    </row>
    <row r="2934" spans="3:19" x14ac:dyDescent="0.25">
      <c r="C2934" s="748">
        <v>849114001</v>
      </c>
      <c r="D2934" s="747"/>
      <c r="H2934" s="124"/>
      <c r="I2934" s="124"/>
      <c r="J2934" s="1212"/>
      <c r="P2934" s="761"/>
      <c r="Q2934" s="1089"/>
      <c r="S2934" s="1375"/>
    </row>
    <row r="2935" spans="3:19" x14ac:dyDescent="0.25">
      <c r="C2935" s="748">
        <v>849114010</v>
      </c>
      <c r="D2935" s="747"/>
      <c r="H2935" s="124"/>
      <c r="I2935" s="124"/>
      <c r="J2935" s="1212"/>
      <c r="P2935" s="761"/>
      <c r="Q2935" s="1089"/>
      <c r="S2935" s="1375"/>
    </row>
    <row r="2936" spans="3:19" x14ac:dyDescent="0.25">
      <c r="C2936" s="748">
        <v>849114011</v>
      </c>
      <c r="D2936" s="747"/>
      <c r="H2936" s="124"/>
      <c r="I2936" s="124"/>
      <c r="J2936" s="1212"/>
      <c r="P2936" s="761"/>
      <c r="Q2936" s="1089"/>
      <c r="S2936" s="1375"/>
    </row>
    <row r="2937" spans="3:19" x14ac:dyDescent="0.25">
      <c r="C2937" s="748">
        <v>849114030</v>
      </c>
      <c r="D2937" s="747"/>
      <c r="H2937" s="124"/>
      <c r="I2937" s="124"/>
      <c r="J2937" s="1212"/>
      <c r="P2937" s="761"/>
      <c r="Q2937" s="1089"/>
      <c r="S2937" s="1375"/>
    </row>
    <row r="2938" spans="3:19" x14ac:dyDescent="0.25">
      <c r="C2938" s="748">
        <v>849214002</v>
      </c>
      <c r="D2938" s="747"/>
      <c r="H2938" s="124"/>
      <c r="I2938" s="124"/>
      <c r="J2938" s="1212"/>
      <c r="P2938" s="761"/>
      <c r="Q2938" s="1089"/>
      <c r="S2938" s="1375"/>
    </row>
    <row r="2939" spans="3:19" x14ac:dyDescent="0.25">
      <c r="C2939" s="748">
        <v>849214003</v>
      </c>
      <c r="D2939" s="747"/>
      <c r="H2939" s="124"/>
      <c r="I2939" s="124"/>
      <c r="J2939" s="1212"/>
      <c r="P2939" s="761"/>
      <c r="Q2939" s="1089"/>
      <c r="S2939" s="1375"/>
    </row>
    <row r="2940" spans="3:19" x14ac:dyDescent="0.25">
      <c r="C2940" s="748">
        <v>849214007</v>
      </c>
      <c r="D2940" s="747"/>
      <c r="H2940" s="124"/>
      <c r="I2940" s="124"/>
      <c r="J2940" s="1212"/>
      <c r="P2940" s="761"/>
      <c r="Q2940" s="1089"/>
      <c r="S2940" s="1375"/>
    </row>
    <row r="2941" spans="3:19" x14ac:dyDescent="0.25">
      <c r="C2941" s="748"/>
      <c r="D2941" s="747"/>
      <c r="H2941" s="124"/>
      <c r="I2941" s="124"/>
      <c r="J2941" s="1212"/>
      <c r="P2941" s="761"/>
      <c r="Q2941" s="1089"/>
      <c r="S2941" s="1375"/>
    </row>
    <row r="2942" spans="3:19" x14ac:dyDescent="0.25">
      <c r="C2942" s="748">
        <v>83911013</v>
      </c>
      <c r="D2942" s="747"/>
      <c r="H2942" s="124"/>
      <c r="I2942" s="124"/>
      <c r="J2942" s="1212"/>
      <c r="P2942" s="761"/>
      <c r="Q2942" s="1089"/>
      <c r="S2942" s="1375"/>
    </row>
    <row r="2943" spans="3:19" x14ac:dyDescent="0.25">
      <c r="C2943" s="748">
        <v>84099001</v>
      </c>
      <c r="D2943" s="747"/>
      <c r="H2943" s="124"/>
      <c r="I2943" s="124"/>
      <c r="J2943" s="1212"/>
      <c r="P2943" s="761"/>
      <c r="Q2943" s="1089"/>
      <c r="S2943" s="1375"/>
    </row>
    <row r="2944" spans="3:19" x14ac:dyDescent="0.25">
      <c r="C2944" s="748">
        <v>839130007</v>
      </c>
      <c r="D2944" s="747"/>
      <c r="H2944" s="124"/>
      <c r="I2944" s="124"/>
      <c r="J2944" s="1212"/>
      <c r="P2944" s="761"/>
      <c r="Q2944" s="1089"/>
      <c r="S2944" s="1375"/>
    </row>
    <row r="2945" spans="3:19" x14ac:dyDescent="0.25">
      <c r="C2945" s="748">
        <v>839114007</v>
      </c>
      <c r="D2945" s="747"/>
      <c r="H2945" s="124"/>
      <c r="I2945" s="124"/>
      <c r="J2945" s="1212"/>
      <c r="P2945" s="761"/>
      <c r="Q2945" s="1089"/>
      <c r="S2945" s="1375"/>
    </row>
    <row r="2946" spans="3:19" x14ac:dyDescent="0.25">
      <c r="C2946" s="748">
        <v>839130009</v>
      </c>
      <c r="D2946" s="747"/>
      <c r="H2946" s="124"/>
      <c r="I2946" s="124"/>
      <c r="J2946" s="1212"/>
      <c r="P2946" s="761"/>
      <c r="Q2946" s="1089"/>
      <c r="S2946" s="1375"/>
    </row>
    <row r="2947" spans="3:19" x14ac:dyDescent="0.25">
      <c r="C2947" s="748">
        <v>839131002</v>
      </c>
      <c r="D2947" s="747"/>
      <c r="H2947" s="124"/>
      <c r="I2947" s="124"/>
      <c r="J2947" s="1212"/>
      <c r="P2947" s="761"/>
      <c r="Q2947" s="1089"/>
      <c r="S2947" s="1375"/>
    </row>
    <row r="2948" spans="3:19" x14ac:dyDescent="0.25">
      <c r="C2948" s="748">
        <v>839131006</v>
      </c>
      <c r="D2948" s="747"/>
      <c r="H2948" s="124"/>
      <c r="I2948" s="124"/>
      <c r="J2948" s="1212"/>
      <c r="P2948" s="761"/>
      <c r="Q2948" s="1089"/>
      <c r="S2948" s="1375"/>
    </row>
    <row r="2949" spans="3:19" x14ac:dyDescent="0.25">
      <c r="C2949" s="748">
        <v>839131009</v>
      </c>
      <c r="D2949" s="747"/>
      <c r="H2949" s="124"/>
      <c r="I2949" s="124"/>
      <c r="J2949" s="1212"/>
      <c r="P2949" s="761"/>
      <c r="Q2949" s="1089"/>
      <c r="S2949" s="1375"/>
    </row>
    <row r="2950" spans="3:19" x14ac:dyDescent="0.25">
      <c r="C2950" s="748">
        <v>839131011</v>
      </c>
      <c r="D2950" s="747"/>
      <c r="H2950" s="124"/>
      <c r="I2950" s="124"/>
      <c r="J2950" s="1212"/>
      <c r="P2950" s="761"/>
      <c r="Q2950" s="1089"/>
      <c r="S2950" s="1375"/>
    </row>
    <row r="2951" spans="3:19" x14ac:dyDescent="0.25">
      <c r="C2951" s="748">
        <v>839134001</v>
      </c>
      <c r="D2951" s="747"/>
      <c r="H2951" s="124"/>
      <c r="I2951" s="124"/>
      <c r="J2951" s="1212"/>
      <c r="P2951" s="761"/>
      <c r="Q2951" s="1089"/>
      <c r="S2951" s="1375"/>
    </row>
    <row r="2952" spans="3:19" x14ac:dyDescent="0.25">
      <c r="C2952" s="748">
        <v>839134002</v>
      </c>
      <c r="D2952" s="747"/>
      <c r="H2952" s="124"/>
      <c r="I2952" s="124"/>
      <c r="J2952" s="1212"/>
      <c r="P2952" s="761"/>
      <c r="Q2952" s="1089"/>
      <c r="S2952" s="1375"/>
    </row>
    <row r="2953" spans="3:19" x14ac:dyDescent="0.25">
      <c r="C2953" s="748">
        <v>839134006</v>
      </c>
      <c r="D2953" s="747"/>
      <c r="H2953" s="124"/>
      <c r="I2953" s="124"/>
      <c r="J2953" s="1212"/>
      <c r="P2953" s="761"/>
      <c r="Q2953" s="1089"/>
      <c r="S2953" s="1375"/>
    </row>
    <row r="2954" spans="3:19" x14ac:dyDescent="0.25">
      <c r="C2954" s="748">
        <v>839134011</v>
      </c>
      <c r="D2954" s="747"/>
      <c r="H2954" s="124"/>
      <c r="I2954" s="124"/>
      <c r="J2954" s="1212"/>
      <c r="P2954" s="761"/>
      <c r="Q2954" s="1089"/>
      <c r="S2954" s="1375"/>
    </row>
    <row r="2955" spans="3:19" x14ac:dyDescent="0.25">
      <c r="C2955" s="748">
        <v>839134013</v>
      </c>
      <c r="D2955" s="747"/>
      <c r="H2955" s="124"/>
      <c r="I2955" s="124"/>
      <c r="J2955" s="1212"/>
      <c r="P2955" s="761"/>
      <c r="Q2955" s="1089"/>
      <c r="S2955" s="1375"/>
    </row>
    <row r="2956" spans="3:19" x14ac:dyDescent="0.25">
      <c r="C2956" s="748">
        <v>839134015</v>
      </c>
      <c r="D2956" s="747"/>
      <c r="H2956" s="124"/>
      <c r="I2956" s="124"/>
      <c r="J2956" s="1212"/>
      <c r="P2956" s="761"/>
      <c r="Q2956" s="1089"/>
      <c r="S2956" s="1375"/>
    </row>
    <row r="2957" spans="3:19" x14ac:dyDescent="0.25">
      <c r="C2957" s="748">
        <v>839134017</v>
      </c>
      <c r="D2957" s="747"/>
      <c r="H2957" s="124"/>
      <c r="I2957" s="124"/>
      <c r="J2957" s="1212"/>
      <c r="P2957" s="761"/>
      <c r="Q2957" s="1089"/>
      <c r="S2957" s="1375"/>
    </row>
    <row r="2958" spans="3:19" x14ac:dyDescent="0.25">
      <c r="C2958" s="748">
        <v>839134018</v>
      </c>
      <c r="D2958" s="747"/>
      <c r="H2958" s="124"/>
      <c r="I2958" s="124"/>
      <c r="J2958" s="1212"/>
      <c r="P2958" s="761"/>
      <c r="Q2958" s="1089"/>
      <c r="S2958" s="1375"/>
    </row>
    <row r="2959" spans="3:19" x14ac:dyDescent="0.25">
      <c r="C2959" s="748">
        <v>849110072</v>
      </c>
      <c r="D2959" s="747"/>
      <c r="H2959" s="124"/>
      <c r="I2959" s="124"/>
      <c r="J2959" s="1212"/>
      <c r="P2959" s="761"/>
      <c r="Q2959" s="1089"/>
      <c r="S2959" s="1375"/>
    </row>
    <row r="2960" spans="3:19" x14ac:dyDescent="0.25">
      <c r="C2960" s="748">
        <v>849110120</v>
      </c>
      <c r="D2960" s="747"/>
      <c r="H2960" s="124"/>
      <c r="I2960" s="124"/>
      <c r="J2960" s="1212"/>
      <c r="P2960" s="761"/>
      <c r="Q2960" s="1089"/>
      <c r="S2960" s="1375"/>
    </row>
    <row r="2961" spans="3:19" x14ac:dyDescent="0.25">
      <c r="C2961" s="748">
        <v>849110186</v>
      </c>
      <c r="D2961" s="747"/>
      <c r="H2961" s="124"/>
      <c r="I2961" s="124"/>
      <c r="J2961" s="1212"/>
      <c r="P2961" s="761"/>
      <c r="Q2961" s="1089"/>
      <c r="S2961" s="1375"/>
    </row>
    <row r="2962" spans="3:19" x14ac:dyDescent="0.25">
      <c r="C2962" s="748">
        <v>849113009</v>
      </c>
      <c r="D2962" s="747"/>
      <c r="H2962" s="124"/>
      <c r="I2962" s="124"/>
      <c r="J2962" s="1212"/>
      <c r="P2962" s="761"/>
      <c r="Q2962" s="1089"/>
      <c r="S2962" s="1375"/>
    </row>
    <row r="2963" spans="3:19" x14ac:dyDescent="0.25">
      <c r="C2963" s="748">
        <v>849113017</v>
      </c>
      <c r="D2963" s="747"/>
      <c r="H2963" s="124"/>
      <c r="I2963" s="124"/>
      <c r="J2963" s="1212"/>
      <c r="P2963" s="761"/>
      <c r="Q2963" s="1089"/>
      <c r="S2963" s="1375"/>
    </row>
    <row r="2964" spans="3:19" x14ac:dyDescent="0.25">
      <c r="C2964" s="748">
        <v>849113021</v>
      </c>
      <c r="D2964" s="747"/>
      <c r="H2964" s="124"/>
      <c r="I2964" s="124"/>
      <c r="J2964" s="1212"/>
      <c r="P2964" s="761"/>
      <c r="Q2964" s="1089"/>
      <c r="S2964" s="1375"/>
    </row>
    <row r="2965" spans="3:19" x14ac:dyDescent="0.25">
      <c r="C2965" s="748">
        <v>849113027</v>
      </c>
      <c r="D2965" s="747"/>
      <c r="H2965" s="124"/>
      <c r="I2965" s="124"/>
      <c r="J2965" s="1212"/>
      <c r="P2965" s="761"/>
      <c r="Q2965" s="1089"/>
      <c r="S2965" s="1375"/>
    </row>
    <row r="2966" spans="3:19" x14ac:dyDescent="0.25">
      <c r="C2966" s="748">
        <v>849113028</v>
      </c>
      <c r="D2966" s="747"/>
      <c r="H2966" s="124"/>
      <c r="I2966" s="124"/>
      <c r="J2966" s="1212"/>
      <c r="P2966" s="761"/>
      <c r="Q2966" s="1089"/>
      <c r="S2966" s="1375"/>
    </row>
    <row r="2967" spans="3:19" x14ac:dyDescent="0.25">
      <c r="C2967" s="748">
        <v>849113052</v>
      </c>
      <c r="D2967" s="747"/>
      <c r="H2967" s="124"/>
      <c r="I2967" s="124"/>
      <c r="J2967" s="1212"/>
      <c r="P2967" s="761"/>
      <c r="Q2967" s="1089"/>
      <c r="S2967" s="1375"/>
    </row>
    <row r="2968" spans="3:19" x14ac:dyDescent="0.25">
      <c r="C2968" s="748">
        <v>849113080</v>
      </c>
      <c r="D2968" s="747"/>
      <c r="H2968" s="124"/>
      <c r="I2968" s="124"/>
      <c r="J2968" s="1212"/>
      <c r="P2968" s="761"/>
      <c r="Q2968" s="1089"/>
      <c r="S2968" s="1375"/>
    </row>
    <row r="2969" spans="3:19" x14ac:dyDescent="0.25">
      <c r="C2969" s="748">
        <v>849120017</v>
      </c>
      <c r="D2969" s="747"/>
      <c r="H2969" s="124"/>
      <c r="I2969" s="124"/>
      <c r="J2969" s="1212"/>
      <c r="P2969" s="761"/>
      <c r="Q2969" s="1089"/>
      <c r="S2969" s="1375"/>
    </row>
    <row r="2970" spans="3:19" x14ac:dyDescent="0.25">
      <c r="C2970" s="748">
        <v>849120076</v>
      </c>
      <c r="D2970" s="747"/>
      <c r="H2970" s="124"/>
      <c r="I2970" s="124"/>
      <c r="J2970" s="1212"/>
      <c r="P2970" s="761"/>
      <c r="Q2970" s="1089"/>
      <c r="S2970" s="1375"/>
    </row>
    <row r="2971" spans="3:19" x14ac:dyDescent="0.25">
      <c r="C2971" s="748">
        <v>849199066</v>
      </c>
      <c r="D2971" s="747"/>
      <c r="H2971" s="124"/>
      <c r="I2971" s="124"/>
      <c r="J2971" s="1212"/>
      <c r="P2971" s="761"/>
      <c r="Q2971" s="1089"/>
      <c r="S2971" s="1375"/>
    </row>
    <row r="2972" spans="3:19" x14ac:dyDescent="0.25">
      <c r="C2972" s="748"/>
      <c r="D2972" s="747"/>
      <c r="H2972" s="124"/>
      <c r="I2972" s="124"/>
      <c r="J2972" s="1212"/>
      <c r="P2972" s="761"/>
      <c r="Q2972" s="1089"/>
      <c r="S2972" s="1375"/>
    </row>
    <row r="2973" spans="3:19" x14ac:dyDescent="0.25">
      <c r="C2973" s="748">
        <v>83911017</v>
      </c>
      <c r="D2973" s="747"/>
      <c r="H2973" s="124"/>
      <c r="I2973" s="124"/>
      <c r="J2973" s="1212"/>
      <c r="P2973" s="761"/>
      <c r="Q2973" s="1089"/>
      <c r="S2973" s="1375"/>
    </row>
    <row r="2974" spans="3:19" x14ac:dyDescent="0.25">
      <c r="C2974" s="748">
        <v>83911030</v>
      </c>
      <c r="D2974" s="747"/>
      <c r="H2974" s="124"/>
      <c r="I2974" s="124"/>
      <c r="J2974" s="1212"/>
      <c r="P2974" s="761"/>
      <c r="Q2974" s="1089"/>
      <c r="S2974" s="1375"/>
    </row>
    <row r="2975" spans="3:19" x14ac:dyDescent="0.25">
      <c r="C2975" s="748">
        <v>849213004</v>
      </c>
      <c r="D2975" s="747"/>
      <c r="H2975" s="124"/>
      <c r="I2975" s="124"/>
      <c r="J2975" s="1212"/>
      <c r="P2975" s="761"/>
      <c r="Q2975" s="1089"/>
      <c r="S2975" s="1375"/>
    </row>
    <row r="2976" spans="3:19" x14ac:dyDescent="0.25">
      <c r="C2976" s="748">
        <v>849110001</v>
      </c>
      <c r="D2976" s="747"/>
      <c r="H2976" s="124"/>
      <c r="I2976" s="124"/>
      <c r="J2976" s="1212"/>
      <c r="P2976" s="761"/>
      <c r="Q2976" s="1089"/>
      <c r="S2976" s="1375"/>
    </row>
    <row r="2977" spans="3:19" x14ac:dyDescent="0.25">
      <c r="C2977" s="748">
        <v>849110048</v>
      </c>
      <c r="D2977" s="747"/>
      <c r="H2977" s="124"/>
      <c r="I2977" s="124"/>
      <c r="J2977" s="1212"/>
      <c r="P2977" s="761"/>
      <c r="Q2977" s="1089"/>
      <c r="S2977" s="1375"/>
    </row>
    <row r="2978" spans="3:19" x14ac:dyDescent="0.25">
      <c r="C2978" s="748">
        <v>849110117</v>
      </c>
      <c r="D2978" s="747"/>
      <c r="H2978" s="124"/>
      <c r="I2978" s="124"/>
      <c r="J2978" s="1212"/>
      <c r="P2978" s="761"/>
      <c r="Q2978" s="1089"/>
      <c r="S2978" s="1375"/>
    </row>
    <row r="2979" spans="3:19" x14ac:dyDescent="0.25">
      <c r="C2979" s="748">
        <v>849110131</v>
      </c>
      <c r="D2979" s="747"/>
      <c r="H2979" s="124"/>
      <c r="I2979" s="124"/>
      <c r="J2979" s="1212"/>
      <c r="P2979" s="761"/>
      <c r="Q2979" s="1089"/>
      <c r="S2979" s="1375"/>
    </row>
    <row r="2980" spans="3:19" x14ac:dyDescent="0.25">
      <c r="C2980" s="748">
        <v>849110142</v>
      </c>
      <c r="D2980" s="747"/>
      <c r="H2980" s="124"/>
      <c r="I2980" s="124"/>
      <c r="J2980" s="1212"/>
      <c r="P2980" s="761"/>
      <c r="Q2980" s="1089"/>
      <c r="S2980" s="1375"/>
    </row>
    <row r="2981" spans="3:19" x14ac:dyDescent="0.25">
      <c r="C2981" s="748">
        <v>849110213</v>
      </c>
      <c r="D2981" s="747"/>
      <c r="H2981" s="124"/>
      <c r="I2981" s="124"/>
      <c r="J2981" s="1212"/>
      <c r="P2981" s="761"/>
      <c r="Q2981" s="1089"/>
      <c r="S2981" s="1375"/>
    </row>
    <row r="2982" spans="3:19" x14ac:dyDescent="0.25">
      <c r="C2982" s="748">
        <v>849110214</v>
      </c>
      <c r="D2982" s="747"/>
      <c r="H2982" s="124"/>
      <c r="I2982" s="124"/>
      <c r="J2982" s="1212"/>
      <c r="P2982" s="761"/>
      <c r="Q2982" s="1089"/>
      <c r="S2982" s="1375"/>
    </row>
    <row r="2983" spans="3:19" x14ac:dyDescent="0.25">
      <c r="C2983" s="748">
        <v>849110289</v>
      </c>
      <c r="D2983" s="747"/>
      <c r="H2983" s="124"/>
      <c r="I2983" s="124"/>
      <c r="J2983" s="1212"/>
      <c r="P2983" s="761"/>
      <c r="Q2983" s="1089"/>
      <c r="S2983" s="1375"/>
    </row>
    <row r="2984" spans="3:19" x14ac:dyDescent="0.25">
      <c r="C2984" s="748">
        <v>849113001</v>
      </c>
      <c r="D2984" s="747"/>
      <c r="H2984" s="124"/>
      <c r="I2984" s="124"/>
      <c r="J2984" s="1212"/>
      <c r="P2984" s="761"/>
      <c r="Q2984" s="1089"/>
      <c r="S2984" s="1375"/>
    </row>
    <row r="2985" spans="3:19" x14ac:dyDescent="0.25">
      <c r="C2985" s="748">
        <v>849113002</v>
      </c>
      <c r="D2985" s="747"/>
      <c r="H2985" s="124"/>
      <c r="I2985" s="124"/>
      <c r="J2985" s="1212"/>
      <c r="P2985" s="761"/>
      <c r="Q2985" s="1089"/>
      <c r="S2985" s="1375"/>
    </row>
    <row r="2986" spans="3:19" x14ac:dyDescent="0.25">
      <c r="C2986" s="748">
        <v>849113003</v>
      </c>
      <c r="D2986" s="747"/>
      <c r="H2986" s="124"/>
      <c r="I2986" s="124"/>
      <c r="J2986" s="1212"/>
      <c r="P2986" s="761"/>
      <c r="Q2986" s="1089"/>
      <c r="S2986" s="1375"/>
    </row>
    <row r="2987" spans="3:19" x14ac:dyDescent="0.25">
      <c r="C2987" s="748">
        <v>849113004</v>
      </c>
      <c r="D2987" s="747"/>
      <c r="H2987" s="124"/>
      <c r="I2987" s="124"/>
      <c r="J2987" s="1212"/>
      <c r="P2987" s="761"/>
      <c r="Q2987" s="1089"/>
      <c r="S2987" s="1375"/>
    </row>
    <row r="2988" spans="3:19" x14ac:dyDescent="0.25">
      <c r="C2988" s="748">
        <v>849113005</v>
      </c>
      <c r="D2988" s="747"/>
      <c r="H2988" s="124"/>
      <c r="I2988" s="124"/>
      <c r="J2988" s="1212"/>
      <c r="P2988" s="761"/>
      <c r="Q2988" s="1089"/>
      <c r="S2988" s="1375"/>
    </row>
    <row r="2989" spans="3:19" x14ac:dyDescent="0.25">
      <c r="C2989" s="748">
        <v>849113006</v>
      </c>
      <c r="D2989" s="747"/>
      <c r="H2989" s="124"/>
      <c r="I2989" s="124"/>
      <c r="J2989" s="1212"/>
      <c r="P2989" s="761"/>
      <c r="Q2989" s="1089"/>
      <c r="S2989" s="1375"/>
    </row>
    <row r="2990" spans="3:19" x14ac:dyDescent="0.25">
      <c r="C2990" s="748">
        <v>849113011</v>
      </c>
      <c r="D2990" s="747"/>
      <c r="H2990" s="124"/>
      <c r="I2990" s="124"/>
      <c r="J2990" s="1212"/>
      <c r="P2990" s="761"/>
      <c r="Q2990" s="1089"/>
      <c r="S2990" s="1375"/>
    </row>
    <row r="2991" spans="3:19" x14ac:dyDescent="0.25">
      <c r="C2991" s="748">
        <v>849113012</v>
      </c>
      <c r="D2991" s="747"/>
      <c r="H2991" s="124"/>
      <c r="I2991" s="124"/>
      <c r="J2991" s="1212"/>
      <c r="P2991" s="761"/>
      <c r="Q2991" s="1089"/>
      <c r="S2991" s="1375"/>
    </row>
    <row r="2992" spans="3:19" x14ac:dyDescent="0.25">
      <c r="C2992" s="748">
        <v>849113013</v>
      </c>
      <c r="D2992" s="747"/>
      <c r="H2992" s="124"/>
      <c r="I2992" s="124"/>
      <c r="J2992" s="1212"/>
      <c r="P2992" s="761"/>
      <c r="Q2992" s="1089"/>
      <c r="S2992" s="1375"/>
    </row>
    <row r="2993" spans="3:19" x14ac:dyDescent="0.25">
      <c r="C2993" s="748">
        <v>849113014</v>
      </c>
      <c r="D2993" s="747"/>
      <c r="H2993" s="124"/>
      <c r="I2993" s="124"/>
      <c r="J2993" s="1212"/>
      <c r="P2993" s="761"/>
      <c r="Q2993" s="1089"/>
      <c r="S2993" s="1375"/>
    </row>
    <row r="2994" spans="3:19" x14ac:dyDescent="0.25">
      <c r="C2994" s="748">
        <v>849113018</v>
      </c>
      <c r="D2994" s="747"/>
      <c r="H2994" s="124"/>
      <c r="I2994" s="124"/>
      <c r="J2994" s="1212"/>
      <c r="P2994" s="761"/>
      <c r="Q2994" s="1089"/>
      <c r="S2994" s="1375"/>
    </row>
    <row r="2995" spans="3:19" x14ac:dyDescent="0.25">
      <c r="C2995" s="748">
        <v>849113020</v>
      </c>
      <c r="D2995" s="747"/>
      <c r="H2995" s="124"/>
      <c r="I2995" s="124"/>
      <c r="J2995" s="1212"/>
      <c r="P2995" s="761"/>
      <c r="Q2995" s="1089"/>
      <c r="S2995" s="1375"/>
    </row>
    <row r="2996" spans="3:19" x14ac:dyDescent="0.25">
      <c r="C2996" s="748">
        <v>849113022</v>
      </c>
      <c r="D2996" s="747"/>
      <c r="H2996" s="124"/>
      <c r="I2996" s="124"/>
      <c r="J2996" s="1212"/>
      <c r="P2996" s="761"/>
      <c r="Q2996" s="1089"/>
      <c r="S2996" s="1375"/>
    </row>
    <row r="2997" spans="3:19" x14ac:dyDescent="0.25">
      <c r="C2997" s="748">
        <v>849113025</v>
      </c>
      <c r="D2997" s="747"/>
      <c r="H2997" s="124"/>
      <c r="I2997" s="124"/>
      <c r="J2997" s="1212"/>
      <c r="P2997" s="761"/>
      <c r="Q2997" s="1089"/>
      <c r="S2997" s="1375"/>
    </row>
    <row r="2998" spans="3:19" x14ac:dyDescent="0.25">
      <c r="C2998" s="748">
        <v>849113029</v>
      </c>
      <c r="D2998" s="747"/>
      <c r="H2998" s="124"/>
      <c r="I2998" s="124"/>
      <c r="J2998" s="1212"/>
      <c r="P2998" s="761"/>
      <c r="Q2998" s="1089"/>
      <c r="S2998" s="1375"/>
    </row>
    <row r="2999" spans="3:19" x14ac:dyDescent="0.25">
      <c r="C2999" s="748">
        <v>849113030</v>
      </c>
      <c r="D2999" s="747"/>
      <c r="H2999" s="124"/>
      <c r="I2999" s="124"/>
      <c r="J2999" s="1212"/>
      <c r="P2999" s="761"/>
      <c r="Q2999" s="1089"/>
      <c r="S2999" s="1375"/>
    </row>
    <row r="3000" spans="3:19" x14ac:dyDescent="0.25">
      <c r="C3000" s="748">
        <v>849113032</v>
      </c>
      <c r="D3000" s="747"/>
      <c r="H3000" s="124"/>
      <c r="I3000" s="124"/>
      <c r="J3000" s="1212"/>
      <c r="P3000" s="761"/>
      <c r="Q3000" s="1089"/>
      <c r="S3000" s="1375"/>
    </row>
    <row r="3001" spans="3:19" x14ac:dyDescent="0.25">
      <c r="C3001" s="748">
        <v>849113035</v>
      </c>
      <c r="D3001" s="747"/>
      <c r="H3001" s="124"/>
      <c r="I3001" s="124"/>
      <c r="J3001" s="1212"/>
      <c r="P3001" s="761"/>
      <c r="Q3001" s="1089"/>
      <c r="S3001" s="1375"/>
    </row>
    <row r="3002" spans="3:19" x14ac:dyDescent="0.25">
      <c r="C3002" s="748">
        <v>849113039</v>
      </c>
      <c r="D3002" s="747"/>
      <c r="H3002" s="124"/>
      <c r="I3002" s="124"/>
      <c r="J3002" s="1212"/>
      <c r="P3002" s="761"/>
      <c r="Q3002" s="1089"/>
      <c r="S3002" s="1375"/>
    </row>
    <row r="3003" spans="3:19" x14ac:dyDescent="0.25">
      <c r="C3003" s="748">
        <v>849113041</v>
      </c>
      <c r="D3003" s="747"/>
      <c r="H3003" s="124"/>
      <c r="I3003" s="124"/>
      <c r="J3003" s="1212"/>
      <c r="P3003" s="761"/>
      <c r="Q3003" s="1089"/>
      <c r="S3003" s="1375"/>
    </row>
    <row r="3004" spans="3:19" x14ac:dyDescent="0.25">
      <c r="C3004" s="748">
        <v>849113042</v>
      </c>
      <c r="D3004" s="747"/>
      <c r="H3004" s="124"/>
      <c r="I3004" s="124"/>
      <c r="J3004" s="1212"/>
      <c r="P3004" s="761"/>
      <c r="Q3004" s="1089"/>
      <c r="S3004" s="1375"/>
    </row>
    <row r="3005" spans="3:19" x14ac:dyDescent="0.25">
      <c r="C3005" s="748">
        <v>849113043</v>
      </c>
      <c r="D3005" s="747"/>
      <c r="H3005" s="124"/>
      <c r="I3005" s="124"/>
      <c r="J3005" s="1212"/>
      <c r="P3005" s="761"/>
      <c r="Q3005" s="1089"/>
      <c r="S3005" s="1375"/>
    </row>
    <row r="3006" spans="3:19" x14ac:dyDescent="0.25">
      <c r="C3006" s="748">
        <v>849199059</v>
      </c>
      <c r="D3006" s="747"/>
      <c r="H3006" s="124"/>
      <c r="I3006" s="124"/>
      <c r="J3006" s="1212"/>
      <c r="P3006" s="761"/>
      <c r="Q3006" s="1089"/>
      <c r="S3006" s="1375"/>
    </row>
    <row r="3007" spans="3:19" x14ac:dyDescent="0.25">
      <c r="C3007" s="748">
        <v>849199067</v>
      </c>
      <c r="D3007" s="747"/>
      <c r="H3007" s="124"/>
      <c r="I3007" s="124"/>
      <c r="J3007" s="1212"/>
      <c r="P3007" s="761"/>
      <c r="Q3007" s="1089"/>
      <c r="S3007" s="1375"/>
    </row>
    <row r="3008" spans="3:19" x14ac:dyDescent="0.25">
      <c r="C3008" s="748">
        <v>849199069</v>
      </c>
      <c r="D3008" s="747"/>
      <c r="H3008" s="124"/>
      <c r="I3008" s="124"/>
      <c r="J3008" s="1212"/>
      <c r="P3008" s="761"/>
      <c r="Q3008" s="1089"/>
      <c r="S3008" s="1375"/>
    </row>
    <row r="3009" spans="3:19" x14ac:dyDescent="0.25">
      <c r="C3009" s="748">
        <v>849199070</v>
      </c>
      <c r="D3009" s="747"/>
      <c r="H3009" s="124"/>
      <c r="I3009" s="124"/>
      <c r="J3009" s="1212"/>
      <c r="P3009" s="761"/>
      <c r="Q3009" s="1089"/>
      <c r="S3009" s="1375"/>
    </row>
    <row r="3010" spans="3:19" x14ac:dyDescent="0.25">
      <c r="C3010" s="748">
        <v>849213001</v>
      </c>
      <c r="D3010" s="747"/>
      <c r="H3010" s="124"/>
      <c r="I3010" s="124"/>
      <c r="J3010" s="1212"/>
      <c r="P3010" s="761"/>
      <c r="Q3010" s="1089"/>
      <c r="S3010" s="1375"/>
    </row>
    <row r="3011" spans="3:19" x14ac:dyDescent="0.25">
      <c r="C3011" s="748">
        <v>849213003</v>
      </c>
      <c r="D3011" s="747"/>
      <c r="H3011" s="124"/>
      <c r="I3011" s="124"/>
      <c r="J3011" s="1212"/>
      <c r="P3011" s="761"/>
      <c r="Q3011" s="1089"/>
      <c r="S3011" s="1375"/>
    </row>
    <row r="3012" spans="3:19" x14ac:dyDescent="0.25">
      <c r="C3012" s="748">
        <v>849213010</v>
      </c>
      <c r="D3012" s="747"/>
      <c r="H3012" s="124"/>
      <c r="I3012" s="124"/>
      <c r="J3012" s="1212"/>
      <c r="P3012" s="761"/>
      <c r="Q3012" s="1089"/>
      <c r="S3012" s="1375"/>
    </row>
    <row r="3013" spans="3:19" x14ac:dyDescent="0.25">
      <c r="C3013" s="748">
        <v>849113038</v>
      </c>
      <c r="D3013" s="747"/>
      <c r="H3013" s="124"/>
      <c r="I3013" s="124"/>
      <c r="J3013" s="1212"/>
      <c r="P3013" s="761"/>
      <c r="Q3013" s="1089"/>
      <c r="S3013" s="1375"/>
    </row>
    <row r="3014" spans="3:19" x14ac:dyDescent="0.25">
      <c r="C3014" s="748"/>
      <c r="D3014" s="747"/>
      <c r="H3014" s="124"/>
      <c r="I3014" s="124"/>
      <c r="J3014" s="1212"/>
      <c r="P3014" s="761"/>
      <c r="Q3014" s="1089"/>
      <c r="S3014" s="1375"/>
    </row>
    <row r="3015" spans="3:19" x14ac:dyDescent="0.25">
      <c r="C3015" s="748">
        <v>839120002</v>
      </c>
      <c r="D3015" s="747"/>
      <c r="H3015" s="124"/>
      <c r="I3015" s="124"/>
      <c r="J3015" s="1212"/>
      <c r="P3015" s="761"/>
      <c r="Q3015" s="1089"/>
      <c r="S3015" s="1375"/>
    </row>
    <row r="3016" spans="3:19" x14ac:dyDescent="0.25">
      <c r="C3016" s="748">
        <v>849110110</v>
      </c>
      <c r="D3016" s="747"/>
      <c r="H3016" s="124"/>
      <c r="I3016" s="124"/>
      <c r="J3016" s="1212"/>
      <c r="P3016" s="761"/>
      <c r="Q3016" s="1089"/>
      <c r="S3016" s="1375"/>
    </row>
    <row r="3017" spans="3:19" x14ac:dyDescent="0.25">
      <c r="C3017" s="748">
        <v>849110129</v>
      </c>
      <c r="D3017" s="747"/>
      <c r="H3017" s="124"/>
      <c r="I3017" s="124"/>
      <c r="J3017" s="1212"/>
      <c r="P3017" s="761"/>
      <c r="Q3017" s="1089"/>
      <c r="S3017" s="1375"/>
    </row>
    <row r="3018" spans="3:19" x14ac:dyDescent="0.25">
      <c r="C3018" s="748">
        <v>849110144</v>
      </c>
      <c r="D3018" s="747"/>
      <c r="H3018" s="124"/>
      <c r="I3018" s="124"/>
      <c r="J3018" s="1212"/>
      <c r="P3018" s="761"/>
      <c r="Q3018" s="1089"/>
      <c r="S3018" s="1375"/>
    </row>
    <row r="3019" spans="3:19" x14ac:dyDescent="0.25">
      <c r="C3019" s="748">
        <v>849110279</v>
      </c>
      <c r="D3019" s="747"/>
      <c r="H3019" s="124"/>
      <c r="I3019" s="124"/>
      <c r="J3019" s="1212"/>
      <c r="P3019" s="761"/>
      <c r="Q3019" s="1089"/>
      <c r="S3019" s="1375"/>
    </row>
    <row r="3020" spans="3:19" x14ac:dyDescent="0.25">
      <c r="C3020" s="748">
        <v>849112030</v>
      </c>
      <c r="D3020" s="747"/>
      <c r="H3020" s="124"/>
      <c r="I3020" s="124"/>
      <c r="J3020" s="1212"/>
      <c r="P3020" s="761"/>
      <c r="Q3020" s="1089"/>
      <c r="S3020" s="1375"/>
    </row>
    <row r="3021" spans="3:19" x14ac:dyDescent="0.25">
      <c r="C3021" s="748">
        <v>849120013</v>
      </c>
      <c r="D3021" s="747"/>
      <c r="H3021" s="124"/>
      <c r="I3021" s="124"/>
      <c r="J3021" s="1212"/>
      <c r="P3021" s="761"/>
      <c r="Q3021" s="1089"/>
      <c r="S3021" s="1375"/>
    </row>
    <row r="3022" spans="3:19" x14ac:dyDescent="0.25">
      <c r="C3022" s="748">
        <v>849120071</v>
      </c>
      <c r="D3022" s="747"/>
      <c r="H3022" s="124"/>
      <c r="I3022" s="124"/>
      <c r="J3022" s="1212"/>
      <c r="P3022" s="761"/>
      <c r="Q3022" s="1089"/>
      <c r="S3022" s="1375"/>
    </row>
    <row r="3023" spans="3:19" x14ac:dyDescent="0.25">
      <c r="C3023" s="748">
        <v>849120078</v>
      </c>
      <c r="D3023" s="747"/>
      <c r="H3023" s="124"/>
      <c r="I3023" s="124"/>
      <c r="J3023" s="1212"/>
      <c r="P3023" s="761"/>
      <c r="Q3023" s="1089"/>
      <c r="S3023" s="1375"/>
    </row>
    <row r="3024" spans="3:19" x14ac:dyDescent="0.25">
      <c r="C3024" s="748">
        <v>849120088</v>
      </c>
      <c r="D3024" s="747"/>
      <c r="H3024" s="124"/>
      <c r="I3024" s="124"/>
      <c r="J3024" s="1212"/>
      <c r="P3024" s="761"/>
      <c r="Q3024" s="1089"/>
      <c r="S3024" s="1375"/>
    </row>
    <row r="3025" spans="3:19" x14ac:dyDescent="0.25">
      <c r="C3025" s="748">
        <v>849120093</v>
      </c>
      <c r="D3025" s="747"/>
      <c r="H3025" s="124"/>
      <c r="I3025" s="124"/>
      <c r="J3025" s="1212"/>
      <c r="P3025" s="761"/>
      <c r="Q3025" s="1089"/>
      <c r="S3025" s="1375"/>
    </row>
    <row r="3026" spans="3:19" x14ac:dyDescent="0.25">
      <c r="C3026" s="748">
        <v>849199061</v>
      </c>
      <c r="D3026" s="747"/>
      <c r="H3026" s="124"/>
      <c r="I3026" s="124"/>
      <c r="J3026" s="1212"/>
      <c r="P3026" s="761"/>
      <c r="Q3026" s="1089"/>
      <c r="S3026" s="1375"/>
    </row>
    <row r="3027" spans="3:19" x14ac:dyDescent="0.25">
      <c r="C3027" s="748"/>
      <c r="D3027" s="747"/>
      <c r="H3027" s="124"/>
      <c r="I3027" s="124"/>
      <c r="J3027" s="1212"/>
      <c r="P3027" s="761"/>
      <c r="Q3027" s="1089"/>
      <c r="S3027" s="1375"/>
    </row>
    <row r="3028" spans="3:19" x14ac:dyDescent="0.25">
      <c r="C3028" s="748">
        <v>849115010</v>
      </c>
      <c r="D3028" s="747"/>
      <c r="H3028" s="124"/>
      <c r="I3028" s="124"/>
      <c r="J3028" s="1212"/>
      <c r="P3028" s="761"/>
      <c r="Q3028" s="1089"/>
      <c r="S3028" s="1375"/>
    </row>
    <row r="3029" spans="3:19" x14ac:dyDescent="0.25">
      <c r="C3029" s="748">
        <v>841915040</v>
      </c>
      <c r="D3029" s="747"/>
      <c r="H3029" s="124"/>
      <c r="I3029" s="124"/>
      <c r="J3029" s="1212"/>
      <c r="P3029" s="761"/>
      <c r="Q3029" s="1089"/>
      <c r="S3029" s="1375"/>
    </row>
    <row r="3030" spans="3:19" x14ac:dyDescent="0.25">
      <c r="C3030" s="748">
        <v>849117033</v>
      </c>
      <c r="D3030" s="747"/>
      <c r="H3030" s="124"/>
      <c r="I3030" s="124"/>
      <c r="J3030" s="1212"/>
      <c r="P3030" s="761"/>
      <c r="Q3030" s="1089"/>
      <c r="S3030" s="1375"/>
    </row>
    <row r="3031" spans="3:19" x14ac:dyDescent="0.25">
      <c r="C3031" s="748">
        <v>849116010</v>
      </c>
      <c r="D3031" s="747"/>
      <c r="H3031" s="124"/>
      <c r="I3031" s="124"/>
      <c r="J3031" s="1212"/>
      <c r="P3031" s="761"/>
      <c r="Q3031" s="1089"/>
      <c r="S3031" s="1375"/>
    </row>
    <row r="3032" spans="3:19" x14ac:dyDescent="0.25">
      <c r="C3032" s="748">
        <v>849117040</v>
      </c>
      <c r="D3032" s="747"/>
      <c r="H3032" s="124"/>
      <c r="I3032" s="124"/>
      <c r="J3032" s="1212"/>
      <c r="P3032" s="761"/>
      <c r="Q3032" s="1089"/>
      <c r="S3032" s="1375"/>
    </row>
    <row r="3033" spans="3:19" x14ac:dyDescent="0.25">
      <c r="C3033" s="748">
        <v>839116009</v>
      </c>
      <c r="D3033" s="747"/>
      <c r="H3033" s="124"/>
      <c r="I3033" s="124"/>
      <c r="J3033" s="1212"/>
      <c r="P3033" s="761"/>
      <c r="Q3033" s="1089"/>
      <c r="S3033" s="1375"/>
    </row>
    <row r="3034" spans="3:19" x14ac:dyDescent="0.25">
      <c r="C3034" s="748">
        <v>839116007</v>
      </c>
      <c r="D3034" s="747"/>
      <c r="H3034" s="124"/>
      <c r="I3034" s="124"/>
      <c r="J3034" s="1212"/>
      <c r="P3034" s="761"/>
      <c r="Q3034" s="1089"/>
      <c r="S3034" s="1375"/>
    </row>
    <row r="3035" spans="3:19" x14ac:dyDescent="0.25">
      <c r="C3035" s="748">
        <v>839116012</v>
      </c>
      <c r="D3035" s="747"/>
      <c r="H3035" s="124"/>
      <c r="I3035" s="124"/>
      <c r="J3035" s="1212"/>
      <c r="P3035" s="761"/>
      <c r="Q3035" s="1089"/>
      <c r="S3035" s="1375"/>
    </row>
    <row r="3036" spans="3:19" x14ac:dyDescent="0.25">
      <c r="C3036" s="748">
        <v>839117011</v>
      </c>
      <c r="D3036" s="747"/>
      <c r="H3036" s="124"/>
      <c r="I3036" s="124"/>
      <c r="J3036" s="1212"/>
      <c r="P3036" s="761"/>
      <c r="Q3036" s="1089"/>
      <c r="S3036" s="1375"/>
    </row>
    <row r="3037" spans="3:19" x14ac:dyDescent="0.25">
      <c r="C3037" s="748">
        <v>839116006</v>
      </c>
      <c r="D3037" s="747"/>
      <c r="H3037" s="124"/>
      <c r="I3037" s="124"/>
      <c r="J3037" s="1212"/>
      <c r="P3037" s="761"/>
      <c r="Q3037" s="1089"/>
      <c r="S3037" s="1375"/>
    </row>
    <row r="3038" spans="3:19" x14ac:dyDescent="0.25">
      <c r="C3038" s="748">
        <v>839116020</v>
      </c>
      <c r="D3038" s="747"/>
      <c r="H3038" s="124"/>
      <c r="I3038" s="124"/>
      <c r="J3038" s="1212"/>
      <c r="P3038" s="761"/>
      <c r="Q3038" s="1089"/>
      <c r="S3038" s="1375"/>
    </row>
    <row r="3039" spans="3:19" x14ac:dyDescent="0.25">
      <c r="C3039" s="748">
        <v>839216021</v>
      </c>
      <c r="D3039" s="747"/>
      <c r="H3039" s="124"/>
      <c r="I3039" s="124"/>
      <c r="J3039" s="1212"/>
      <c r="P3039" s="761"/>
      <c r="Q3039" s="1089"/>
      <c r="S3039" s="1375"/>
    </row>
    <row r="3040" spans="3:19" x14ac:dyDescent="0.25">
      <c r="C3040" s="748">
        <v>839217018</v>
      </c>
      <c r="D3040" s="747"/>
      <c r="H3040" s="124"/>
      <c r="I3040" s="124"/>
      <c r="J3040" s="1212"/>
      <c r="P3040" s="761"/>
      <c r="Q3040" s="1089"/>
      <c r="S3040" s="1375"/>
    </row>
    <row r="3041" spans="3:19" x14ac:dyDescent="0.25">
      <c r="C3041" s="748">
        <v>839217030</v>
      </c>
      <c r="D3041" s="747"/>
      <c r="H3041" s="124"/>
      <c r="I3041" s="124"/>
      <c r="J3041" s="1212"/>
      <c r="P3041" s="761"/>
      <c r="Q3041" s="1089"/>
      <c r="S3041" s="1375"/>
    </row>
    <row r="3042" spans="3:19" x14ac:dyDescent="0.25">
      <c r="C3042" s="748">
        <v>839216002</v>
      </c>
      <c r="D3042" s="750"/>
      <c r="H3042" s="124"/>
      <c r="I3042" s="124"/>
      <c r="J3042" s="1212"/>
      <c r="P3042" s="761"/>
      <c r="Q3042" s="1089"/>
      <c r="S3042" s="1375"/>
    </row>
    <row r="3043" spans="3:19" x14ac:dyDescent="0.25">
      <c r="C3043" s="748">
        <v>849217005</v>
      </c>
      <c r="D3043" s="750"/>
      <c r="H3043" s="124"/>
      <c r="I3043" s="124"/>
      <c r="J3043" s="1212"/>
      <c r="P3043" s="761"/>
      <c r="Q3043" s="1089"/>
      <c r="S3043" s="1375"/>
    </row>
    <row r="3044" spans="3:19" x14ac:dyDescent="0.25">
      <c r="C3044" s="748">
        <v>849216007</v>
      </c>
      <c r="D3044" s="750"/>
      <c r="H3044" s="124"/>
      <c r="I3044" s="124"/>
      <c r="J3044" s="1212"/>
      <c r="P3044" s="761"/>
      <c r="Q3044" s="1089"/>
      <c r="S3044" s="1375"/>
    </row>
    <row r="3045" spans="3:19" x14ac:dyDescent="0.25">
      <c r="C3045" s="748">
        <v>849215001</v>
      </c>
      <c r="D3045" s="750"/>
      <c r="H3045" s="124"/>
      <c r="I3045" s="124"/>
      <c r="J3045" s="1212"/>
      <c r="P3045" s="761"/>
      <c r="Q3045" s="1089"/>
      <c r="S3045" s="1375"/>
    </row>
    <row r="3046" spans="3:19" x14ac:dyDescent="0.25">
      <c r="C3046" s="748">
        <v>849217020</v>
      </c>
      <c r="D3046" s="750"/>
      <c r="H3046" s="124"/>
      <c r="I3046" s="124"/>
      <c r="J3046" s="1212"/>
      <c r="P3046" s="761"/>
      <c r="Q3046" s="1089"/>
      <c r="S3046" s="1375"/>
    </row>
    <row r="3047" spans="3:19" x14ac:dyDescent="0.25">
      <c r="C3047" s="748">
        <v>849416008</v>
      </c>
      <c r="D3047" s="750"/>
      <c r="H3047" s="124"/>
      <c r="I3047" s="124"/>
      <c r="J3047" s="1212"/>
      <c r="P3047" s="761"/>
      <c r="Q3047" s="1089"/>
      <c r="S3047" s="1375"/>
    </row>
    <row r="3048" spans="3:19" x14ac:dyDescent="0.25">
      <c r="C3048" s="748">
        <v>849417006</v>
      </c>
      <c r="D3048" s="750"/>
      <c r="H3048" s="124"/>
      <c r="I3048" s="124"/>
      <c r="J3048" s="1212"/>
      <c r="P3048" s="761"/>
      <c r="Q3048" s="1089"/>
      <c r="S3048" s="1375"/>
    </row>
    <row r="3049" spans="3:19" x14ac:dyDescent="0.25">
      <c r="C3049" s="748">
        <v>849416002</v>
      </c>
      <c r="D3049" s="750"/>
      <c r="H3049" s="124"/>
      <c r="I3049" s="124"/>
      <c r="J3049" s="1212"/>
      <c r="P3049" s="761"/>
      <c r="Q3049" s="1089"/>
      <c r="S3049" s="1375"/>
    </row>
    <row r="3050" spans="3:19" x14ac:dyDescent="0.25">
      <c r="C3050" s="748">
        <v>849417018</v>
      </c>
      <c r="D3050" s="750"/>
      <c r="H3050" s="124"/>
      <c r="I3050" s="124"/>
      <c r="J3050" s="1212"/>
      <c r="P3050" s="761"/>
      <c r="Q3050" s="1089"/>
      <c r="S3050" s="1375"/>
    </row>
    <row r="3051" spans="3:19" x14ac:dyDescent="0.25">
      <c r="C3051" s="748">
        <v>849316005</v>
      </c>
      <c r="D3051" s="750"/>
      <c r="H3051" s="124"/>
      <c r="I3051" s="124"/>
      <c r="J3051" s="1212"/>
      <c r="P3051" s="761"/>
      <c r="Q3051" s="1089"/>
      <c r="S3051" s="1375"/>
    </row>
    <row r="3052" spans="3:19" x14ac:dyDescent="0.25">
      <c r="C3052" s="748">
        <v>849315033</v>
      </c>
      <c r="D3052" s="750"/>
      <c r="H3052" s="124"/>
      <c r="I3052" s="124"/>
      <c r="J3052" s="1212"/>
      <c r="P3052" s="761"/>
      <c r="Q3052" s="1089"/>
      <c r="S3052" s="1375"/>
    </row>
    <row r="3053" spans="3:19" x14ac:dyDescent="0.25">
      <c r="C3053" s="748">
        <v>849316010</v>
      </c>
      <c r="D3053" s="750"/>
      <c r="H3053" s="124"/>
      <c r="I3053" s="124"/>
      <c r="J3053" s="1212"/>
      <c r="P3053" s="761"/>
      <c r="Q3053" s="1089"/>
      <c r="S3053" s="1375"/>
    </row>
    <row r="3054" spans="3:19" x14ac:dyDescent="0.25">
      <c r="C3054" s="748">
        <v>849317036</v>
      </c>
      <c r="D3054" s="750"/>
      <c r="H3054" s="124"/>
      <c r="I3054" s="124"/>
      <c r="J3054" s="1212"/>
      <c r="P3054" s="761"/>
      <c r="Q3054" s="1089"/>
      <c r="S3054" s="1375"/>
    </row>
    <row r="3055" spans="3:19" x14ac:dyDescent="0.25">
      <c r="C3055" s="748">
        <v>849316012</v>
      </c>
      <c r="D3055" s="750"/>
      <c r="H3055" s="124"/>
      <c r="I3055" s="124"/>
      <c r="J3055" s="1212"/>
      <c r="P3055" s="761"/>
      <c r="Q3055" s="1089"/>
      <c r="S3055" s="1375"/>
    </row>
    <row r="3056" spans="3:19" x14ac:dyDescent="0.25">
      <c r="C3056" s="748">
        <v>849317044</v>
      </c>
      <c r="D3056" s="750"/>
      <c r="H3056" s="124"/>
      <c r="I3056" s="124"/>
      <c r="J3056" s="1212"/>
      <c r="P3056" s="761"/>
      <c r="Q3056" s="1089"/>
      <c r="S3056" s="1375"/>
    </row>
    <row r="3057" spans="3:19" x14ac:dyDescent="0.25">
      <c r="C3057" s="748">
        <v>849317047</v>
      </c>
      <c r="D3057" s="7"/>
      <c r="H3057" s="751"/>
      <c r="I3057" s="751"/>
      <c r="J3057" s="1212"/>
      <c r="P3057" s="761"/>
      <c r="Q3057" s="1089"/>
      <c r="S3057" s="1375"/>
    </row>
    <row r="3058" spans="3:19" x14ac:dyDescent="0.25">
      <c r="C3058" s="748">
        <v>849316023</v>
      </c>
      <c r="D3058" s="7"/>
      <c r="H3058" s="751"/>
      <c r="I3058" s="751"/>
      <c r="J3058" s="1212"/>
      <c r="P3058" s="761"/>
      <c r="Q3058" s="1089"/>
      <c r="S3058" s="1375"/>
    </row>
    <row r="3059" spans="3:19" x14ac:dyDescent="0.25">
      <c r="C3059" s="748">
        <v>849316046</v>
      </c>
      <c r="D3059" s="7"/>
      <c r="H3059" s="751"/>
      <c r="I3059" s="751"/>
      <c r="J3059" s="1212"/>
      <c r="P3059" s="761"/>
      <c r="Q3059" s="1089"/>
      <c r="S3059" s="1375"/>
    </row>
    <row r="3060" spans="3:19" x14ac:dyDescent="0.25">
      <c r="C3060" s="748">
        <v>841915005</v>
      </c>
      <c r="D3060" s="7"/>
      <c r="H3060" s="751"/>
      <c r="I3060" s="751"/>
      <c r="J3060" s="1212"/>
      <c r="P3060" s="761"/>
      <c r="Q3060" s="1089"/>
      <c r="S3060" s="1375"/>
    </row>
    <row r="3061" spans="3:19" x14ac:dyDescent="0.25">
      <c r="C3061" s="748"/>
      <c r="D3061" s="7"/>
      <c r="H3061" s="751"/>
      <c r="I3061" s="751"/>
      <c r="J3061" s="1212"/>
      <c r="P3061" s="761"/>
      <c r="Q3061" s="1089"/>
      <c r="S3061" s="1375"/>
    </row>
    <row r="3062" spans="3:19" x14ac:dyDescent="0.25">
      <c r="C3062" s="748">
        <v>84089090</v>
      </c>
      <c r="D3062" s="7"/>
      <c r="H3062" s="751"/>
      <c r="I3062" s="751"/>
      <c r="J3062" s="1212"/>
      <c r="P3062" s="761"/>
      <c r="Q3062" s="1089"/>
      <c r="S3062" s="1375"/>
    </row>
    <row r="3063" spans="3:19" x14ac:dyDescent="0.25">
      <c r="C3063" s="748">
        <v>84089096</v>
      </c>
      <c r="D3063" s="7"/>
      <c r="H3063" s="751"/>
      <c r="I3063" s="751"/>
      <c r="J3063" s="1212"/>
      <c r="P3063" s="761"/>
      <c r="Q3063" s="1089"/>
      <c r="S3063" s="1375"/>
    </row>
    <row r="3064" spans="3:19" x14ac:dyDescent="0.25">
      <c r="C3064" s="748">
        <v>84089091</v>
      </c>
      <c r="D3064" s="7"/>
      <c r="H3064" s="751"/>
      <c r="I3064" s="751"/>
      <c r="J3064" s="1212"/>
      <c r="P3064" s="761"/>
      <c r="Q3064" s="1089"/>
      <c r="S3064" s="1375"/>
    </row>
    <row r="3065" spans="3:19" x14ac:dyDescent="0.25">
      <c r="C3065" s="748">
        <v>84089002</v>
      </c>
      <c r="D3065" s="7"/>
      <c r="H3065" s="751"/>
      <c r="I3065" s="751"/>
      <c r="J3065" s="1212"/>
      <c r="P3065" s="761"/>
      <c r="Q3065" s="1089"/>
      <c r="S3065" s="1375"/>
    </row>
    <row r="3066" spans="3:19" x14ac:dyDescent="0.25">
      <c r="C3066" s="748">
        <v>84089084</v>
      </c>
      <c r="D3066" s="7"/>
      <c r="H3066" s="751"/>
      <c r="I3066" s="751"/>
      <c r="J3066" s="1212"/>
      <c r="P3066" s="761"/>
      <c r="Q3066" s="1089"/>
      <c r="S3066" s="1375"/>
    </row>
    <row r="3067" spans="3:19" x14ac:dyDescent="0.25">
      <c r="C3067" s="748">
        <v>84089022</v>
      </c>
      <c r="D3067" s="7"/>
      <c r="H3067" s="751"/>
      <c r="I3067" s="751"/>
      <c r="J3067" s="1212"/>
      <c r="P3067" s="761"/>
      <c r="Q3067" s="1089"/>
      <c r="S3067" s="1375"/>
    </row>
    <row r="3068" spans="3:19" x14ac:dyDescent="0.25">
      <c r="C3068" s="748">
        <v>84089011</v>
      </c>
      <c r="D3068" s="7"/>
      <c r="H3068" s="751"/>
      <c r="I3068" s="751"/>
      <c r="J3068" s="1212"/>
      <c r="P3068" s="761"/>
      <c r="Q3068" s="1089"/>
      <c r="S3068" s="1375"/>
    </row>
    <row r="3069" spans="3:19" x14ac:dyDescent="0.25">
      <c r="C3069" s="748">
        <v>84089045</v>
      </c>
      <c r="D3069" s="7"/>
      <c r="H3069" s="751"/>
      <c r="I3069" s="751"/>
      <c r="J3069" s="1212"/>
      <c r="P3069" s="761"/>
      <c r="Q3069" s="1089"/>
      <c r="S3069" s="1375"/>
    </row>
    <row r="3070" spans="3:19" x14ac:dyDescent="0.25">
      <c r="C3070" s="748">
        <v>84089071</v>
      </c>
      <c r="D3070" s="7"/>
      <c r="H3070" s="751"/>
      <c r="I3070" s="751"/>
      <c r="J3070" s="1212"/>
      <c r="P3070" s="761"/>
      <c r="Q3070" s="1089"/>
      <c r="S3070" s="1375"/>
    </row>
    <row r="3071" spans="3:19" x14ac:dyDescent="0.25">
      <c r="C3071" s="748">
        <v>84089089</v>
      </c>
      <c r="D3071" s="7"/>
      <c r="H3071" s="751"/>
      <c r="I3071" s="751"/>
      <c r="J3071" s="1212"/>
      <c r="P3071" s="761"/>
      <c r="Q3071" s="1089"/>
      <c r="S3071" s="1375"/>
    </row>
    <row r="3072" spans="3:19" x14ac:dyDescent="0.25">
      <c r="C3072" s="748">
        <v>84089043</v>
      </c>
      <c r="D3072" s="7"/>
      <c r="H3072" s="751"/>
      <c r="I3072" s="751"/>
      <c r="J3072" s="1212"/>
      <c r="P3072" s="761"/>
      <c r="Q3072" s="1089"/>
      <c r="S3072" s="1375"/>
    </row>
    <row r="3073" spans="3:19" x14ac:dyDescent="0.25">
      <c r="C3073" s="748">
        <v>84089097</v>
      </c>
      <c r="D3073" s="7"/>
      <c r="H3073" s="751"/>
      <c r="I3073" s="751"/>
      <c r="J3073" s="1212"/>
      <c r="P3073" s="761"/>
      <c r="Q3073" s="1089"/>
      <c r="S3073" s="1375"/>
    </row>
    <row r="3074" spans="3:19" x14ac:dyDescent="0.25">
      <c r="C3074" s="748">
        <v>84099016</v>
      </c>
      <c r="D3074" s="7"/>
      <c r="H3074" s="751"/>
      <c r="I3074" s="751"/>
      <c r="J3074" s="1212"/>
      <c r="P3074" s="761"/>
      <c r="Q3074" s="1089"/>
      <c r="S3074" s="1375"/>
    </row>
    <row r="3075" spans="3:19" x14ac:dyDescent="0.25">
      <c r="C3075" s="748">
        <v>84089095</v>
      </c>
      <c r="D3075" s="7"/>
      <c r="H3075" s="751"/>
      <c r="I3075" s="751"/>
      <c r="J3075" s="1212"/>
      <c r="P3075" s="761"/>
      <c r="Q3075" s="1089"/>
      <c r="S3075" s="1375"/>
    </row>
    <row r="3076" spans="3:19" x14ac:dyDescent="0.25">
      <c r="C3076" s="748">
        <v>84089088</v>
      </c>
      <c r="D3076" s="7"/>
      <c r="H3076" s="751"/>
      <c r="I3076" s="751"/>
      <c r="J3076" s="1212"/>
      <c r="P3076" s="761"/>
      <c r="Q3076" s="1089"/>
      <c r="S3076" s="1375"/>
    </row>
    <row r="3077" spans="3:19" x14ac:dyDescent="0.25">
      <c r="C3077" s="748">
        <v>84089092</v>
      </c>
      <c r="D3077" s="7"/>
      <c r="H3077" s="751"/>
      <c r="I3077" s="751"/>
      <c r="J3077" s="1212"/>
      <c r="P3077" s="761"/>
      <c r="Q3077" s="1089"/>
      <c r="S3077" s="1375"/>
    </row>
    <row r="3078" spans="3:19" x14ac:dyDescent="0.25">
      <c r="C3078" s="748">
        <v>84089083</v>
      </c>
      <c r="D3078" s="7"/>
      <c r="H3078" s="751"/>
      <c r="I3078" s="751"/>
      <c r="J3078" s="1212"/>
      <c r="P3078" s="761"/>
      <c r="Q3078" s="1089"/>
      <c r="S3078" s="1375"/>
    </row>
    <row r="3079" spans="3:19" x14ac:dyDescent="0.25">
      <c r="C3079" s="748">
        <v>8409903</v>
      </c>
      <c r="D3079" s="7"/>
      <c r="H3079" s="751"/>
      <c r="I3079" s="751"/>
      <c r="J3079" s="1212"/>
      <c r="P3079" s="761"/>
      <c r="Q3079" s="1089"/>
      <c r="S3079" s="1375"/>
    </row>
    <row r="3080" spans="3:19" x14ac:dyDescent="0.25">
      <c r="C3080" s="748">
        <v>84089078</v>
      </c>
      <c r="D3080" s="7"/>
      <c r="H3080" s="751"/>
      <c r="I3080" s="751"/>
      <c r="J3080" s="1212"/>
      <c r="P3080" s="761"/>
      <c r="Q3080" s="1089"/>
      <c r="S3080" s="1375"/>
    </row>
    <row r="3081" spans="3:19" x14ac:dyDescent="0.25">
      <c r="C3081" s="748">
        <v>84099007</v>
      </c>
      <c r="D3081" s="7"/>
      <c r="H3081" s="751"/>
      <c r="I3081" s="751"/>
      <c r="J3081" s="1212"/>
      <c r="P3081" s="761"/>
      <c r="Q3081" s="1089"/>
      <c r="S3081" s="1375"/>
    </row>
    <row r="3082" spans="3:19" x14ac:dyDescent="0.25">
      <c r="C3082" s="748">
        <v>84099011</v>
      </c>
      <c r="D3082" s="7"/>
      <c r="H3082" s="751"/>
      <c r="I3082" s="751"/>
      <c r="J3082" s="1212"/>
      <c r="P3082" s="761"/>
      <c r="Q3082" s="1089"/>
      <c r="S3082" s="1375"/>
    </row>
    <row r="3083" spans="3:19" x14ac:dyDescent="0.25">
      <c r="C3083" s="748">
        <v>84089073</v>
      </c>
      <c r="D3083" s="7"/>
      <c r="H3083" s="751"/>
      <c r="I3083" s="751"/>
      <c r="J3083" s="1212"/>
      <c r="P3083" s="761"/>
      <c r="Q3083" s="1089"/>
      <c r="S3083" s="1375"/>
    </row>
    <row r="3084" spans="3:19" x14ac:dyDescent="0.25">
      <c r="C3084" s="748">
        <v>84089072</v>
      </c>
      <c r="D3084" s="7"/>
      <c r="H3084" s="751"/>
      <c r="I3084" s="751"/>
      <c r="J3084" s="1212"/>
      <c r="P3084" s="761"/>
      <c r="Q3084" s="1089"/>
      <c r="S3084" s="1375"/>
    </row>
    <row r="3085" spans="3:19" x14ac:dyDescent="0.25">
      <c r="C3085" s="748">
        <v>84089004</v>
      </c>
      <c r="D3085" s="7"/>
      <c r="H3085" s="751"/>
      <c r="I3085" s="751"/>
      <c r="J3085" s="1212"/>
      <c r="P3085" s="761"/>
      <c r="Q3085" s="1089"/>
      <c r="S3085" s="1375"/>
    </row>
    <row r="3086" spans="3:19" x14ac:dyDescent="0.25">
      <c r="C3086" s="748">
        <v>84089003</v>
      </c>
      <c r="D3086" s="7"/>
      <c r="H3086" s="751"/>
      <c r="I3086" s="751"/>
      <c r="J3086" s="1212"/>
      <c r="P3086" s="761"/>
      <c r="Q3086" s="1089"/>
      <c r="S3086" s="1375"/>
    </row>
    <row r="3087" spans="3:19" x14ac:dyDescent="0.25">
      <c r="C3087" s="748">
        <v>84089074</v>
      </c>
      <c r="D3087" s="7"/>
      <c r="H3087" s="751"/>
      <c r="I3087" s="751"/>
      <c r="J3087" s="1212"/>
      <c r="P3087" s="761"/>
      <c r="Q3087" s="1089"/>
      <c r="S3087" s="1375"/>
    </row>
    <row r="3088" spans="3:19" x14ac:dyDescent="0.25">
      <c r="C3088" s="748">
        <v>84089038</v>
      </c>
      <c r="D3088" s="7"/>
      <c r="H3088" s="751"/>
      <c r="I3088" s="751"/>
      <c r="J3088" s="1212"/>
      <c r="P3088" s="761"/>
      <c r="Q3088" s="1089"/>
      <c r="S3088" s="1375"/>
    </row>
    <row r="3089" spans="3:19" x14ac:dyDescent="0.25">
      <c r="C3089" s="748">
        <v>84089076</v>
      </c>
      <c r="D3089" s="7"/>
      <c r="H3089" s="751"/>
      <c r="I3089" s="751"/>
      <c r="J3089" s="1212"/>
      <c r="P3089" s="761"/>
      <c r="Q3089" s="1089"/>
      <c r="S3089" s="1375"/>
    </row>
    <row r="3090" spans="3:19" x14ac:dyDescent="0.25">
      <c r="C3090" s="748">
        <v>84099014</v>
      </c>
      <c r="D3090" s="7"/>
      <c r="H3090" s="751"/>
      <c r="I3090" s="751"/>
      <c r="J3090" s="1212"/>
      <c r="P3090" s="761"/>
      <c r="Q3090" s="1089"/>
      <c r="S3090" s="1375"/>
    </row>
    <row r="3091" spans="3:19" x14ac:dyDescent="0.25">
      <c r="C3091" s="748">
        <v>84099825</v>
      </c>
      <c r="D3091" s="7"/>
      <c r="H3091" s="751"/>
      <c r="I3091" s="751"/>
      <c r="J3091" s="1212"/>
      <c r="P3091" s="761"/>
      <c r="Q3091" s="1089"/>
      <c r="S3091" s="1375"/>
    </row>
    <row r="3092" spans="3:19" x14ac:dyDescent="0.25">
      <c r="C3092" s="748">
        <v>84099006</v>
      </c>
      <c r="D3092" s="7"/>
      <c r="H3092" s="751"/>
      <c r="I3092" s="751"/>
      <c r="J3092" s="1212"/>
      <c r="P3092" s="761"/>
      <c r="Q3092" s="1089"/>
      <c r="S3092" s="1375"/>
    </row>
    <row r="3093" spans="3:19" x14ac:dyDescent="0.25">
      <c r="C3093" s="748">
        <v>84089086</v>
      </c>
      <c r="D3093" s="7"/>
      <c r="H3093" s="751"/>
      <c r="I3093" s="751"/>
      <c r="J3093" s="1212"/>
      <c r="P3093" s="761"/>
      <c r="Q3093" s="1089"/>
      <c r="S3093" s="1375"/>
    </row>
    <row r="3094" spans="3:19" x14ac:dyDescent="0.25">
      <c r="C3094" s="748">
        <v>84089093</v>
      </c>
      <c r="D3094" s="7"/>
      <c r="H3094" s="751"/>
      <c r="I3094" s="751"/>
      <c r="J3094" s="1212"/>
      <c r="P3094" s="761"/>
      <c r="Q3094" s="1089"/>
      <c r="S3094" s="1375"/>
    </row>
    <row r="3095" spans="3:19" x14ac:dyDescent="0.25">
      <c r="C3095" s="748">
        <v>84089019</v>
      </c>
      <c r="D3095" s="7"/>
      <c r="H3095" s="751"/>
      <c r="I3095" s="751"/>
      <c r="J3095" s="1212"/>
      <c r="P3095" s="761"/>
      <c r="Q3095" s="1089"/>
      <c r="S3095" s="1375"/>
    </row>
    <row r="3096" spans="3:19" x14ac:dyDescent="0.25">
      <c r="C3096" s="748">
        <v>84099046</v>
      </c>
      <c r="D3096" s="7"/>
      <c r="H3096" s="751"/>
      <c r="I3096" s="751"/>
      <c r="J3096" s="1212"/>
      <c r="P3096" s="761"/>
      <c r="Q3096" s="1089"/>
      <c r="S3096" s="1375"/>
    </row>
    <row r="3097" spans="3:19" x14ac:dyDescent="0.25">
      <c r="C3097" s="748">
        <v>84099005</v>
      </c>
      <c r="D3097" s="7"/>
      <c r="H3097" s="751"/>
      <c r="I3097" s="751"/>
      <c r="J3097" s="1212"/>
      <c r="P3097" s="761"/>
      <c r="Q3097" s="1089"/>
      <c r="S3097" s="1375"/>
    </row>
    <row r="3098" spans="3:19" x14ac:dyDescent="0.25">
      <c r="C3098" s="748">
        <v>84089036</v>
      </c>
      <c r="D3098" s="7"/>
      <c r="H3098" s="751"/>
      <c r="I3098" s="751"/>
      <c r="J3098" s="1212"/>
      <c r="P3098" s="761"/>
      <c r="Q3098" s="1089"/>
      <c r="S3098" s="1375"/>
    </row>
    <row r="3099" spans="3:19" x14ac:dyDescent="0.25">
      <c r="C3099" s="748">
        <v>84089042</v>
      </c>
      <c r="D3099" s="7"/>
      <c r="H3099" s="751"/>
      <c r="I3099" s="751"/>
      <c r="J3099" s="1212"/>
      <c r="P3099" s="761"/>
      <c r="Q3099" s="1089"/>
      <c r="S3099" s="1375"/>
    </row>
    <row r="3100" spans="3:19" x14ac:dyDescent="0.25">
      <c r="C3100" s="748">
        <v>84089031</v>
      </c>
      <c r="D3100" s="7"/>
      <c r="H3100" s="751"/>
      <c r="I3100" s="751"/>
      <c r="J3100" s="1212"/>
      <c r="P3100" s="761"/>
      <c r="Q3100" s="1089"/>
      <c r="S3100" s="1375"/>
    </row>
    <row r="3101" spans="3:19" x14ac:dyDescent="0.25">
      <c r="C3101" s="748">
        <v>84099034</v>
      </c>
      <c r="D3101" s="7"/>
      <c r="H3101" s="751"/>
      <c r="I3101" s="751"/>
      <c r="J3101" s="1212"/>
      <c r="P3101" s="761"/>
      <c r="Q3101" s="1089"/>
      <c r="S3101" s="1375"/>
    </row>
    <row r="3102" spans="3:19" x14ac:dyDescent="0.25">
      <c r="C3102" s="748">
        <v>84089020</v>
      </c>
      <c r="D3102" s="7"/>
      <c r="H3102" s="751"/>
      <c r="I3102" s="751"/>
      <c r="J3102" s="1212"/>
      <c r="P3102" s="761"/>
      <c r="Q3102" s="1089"/>
      <c r="S3102" s="1375"/>
    </row>
    <row r="3103" spans="3:19" x14ac:dyDescent="0.25">
      <c r="C3103" s="748"/>
      <c r="D3103" s="7"/>
      <c r="H3103" s="751"/>
      <c r="I3103" s="751"/>
      <c r="J3103" s="1212"/>
      <c r="P3103" s="761"/>
      <c r="Q3103" s="1089"/>
      <c r="S3103" s="1375"/>
    </row>
    <row r="3104" spans="3:19" x14ac:dyDescent="0.25">
      <c r="C3104" s="748">
        <v>849110084</v>
      </c>
      <c r="D3104" s="7"/>
      <c r="H3104" s="751"/>
      <c r="I3104" s="751"/>
      <c r="J3104" s="1212"/>
      <c r="P3104" s="761"/>
      <c r="Q3104" s="1089"/>
      <c r="S3104" s="1375"/>
    </row>
    <row r="3105" spans="3:19" x14ac:dyDescent="0.25">
      <c r="C3105" s="748">
        <v>84099026</v>
      </c>
      <c r="D3105" s="7"/>
      <c r="H3105" s="751"/>
      <c r="I3105" s="751"/>
      <c r="J3105" s="1212"/>
      <c r="P3105" s="761"/>
      <c r="Q3105" s="1089"/>
      <c r="S3105" s="1375"/>
    </row>
    <row r="3106" spans="3:19" x14ac:dyDescent="0.25">
      <c r="C3106" s="748">
        <v>849110118</v>
      </c>
      <c r="D3106" s="7"/>
      <c r="H3106" s="751"/>
      <c r="I3106" s="751"/>
      <c r="J3106" s="1212"/>
      <c r="P3106" s="761"/>
      <c r="Q3106" s="1089"/>
      <c r="S3106" s="1375"/>
    </row>
    <row r="3107" spans="3:19" x14ac:dyDescent="0.25">
      <c r="C3107" s="748">
        <v>849110042</v>
      </c>
      <c r="D3107" s="7"/>
      <c r="H3107" s="751"/>
      <c r="I3107" s="751"/>
      <c r="J3107" s="1212"/>
      <c r="P3107" s="761"/>
      <c r="Q3107" s="1089"/>
      <c r="S3107" s="1375"/>
    </row>
    <row r="3108" spans="3:19" x14ac:dyDescent="0.25">
      <c r="C3108" s="748">
        <v>849110105</v>
      </c>
      <c r="D3108" s="7"/>
      <c r="H3108" s="751"/>
      <c r="I3108" s="751"/>
      <c r="J3108" s="1212"/>
      <c r="P3108" s="761"/>
      <c r="Q3108" s="1089"/>
      <c r="S3108" s="1375"/>
    </row>
    <row r="3109" spans="3:19" x14ac:dyDescent="0.25">
      <c r="C3109" s="748">
        <v>8491100061</v>
      </c>
      <c r="D3109" s="7"/>
      <c r="H3109" s="751"/>
      <c r="I3109" s="751"/>
      <c r="J3109" s="1212"/>
      <c r="P3109" s="761"/>
      <c r="Q3109" s="1089"/>
      <c r="S3109" s="1375"/>
    </row>
    <row r="3110" spans="3:19" x14ac:dyDescent="0.25">
      <c r="C3110" s="748">
        <v>84089082</v>
      </c>
      <c r="D3110" s="7"/>
      <c r="H3110" s="751"/>
      <c r="I3110" s="751"/>
      <c r="J3110" s="1212"/>
      <c r="P3110" s="761"/>
      <c r="Q3110" s="1089"/>
      <c r="S3110" s="1375"/>
    </row>
    <row r="3111" spans="3:19" x14ac:dyDescent="0.25">
      <c r="C3111" s="748">
        <v>849199058</v>
      </c>
      <c r="D3111" s="7"/>
      <c r="H3111" s="751"/>
      <c r="I3111" s="751"/>
      <c r="J3111" s="1212"/>
      <c r="P3111" s="761"/>
      <c r="Q3111" s="1089"/>
      <c r="S3111" s="1375"/>
    </row>
    <row r="3112" spans="3:19" x14ac:dyDescent="0.25">
      <c r="C3112" s="748">
        <v>849110044</v>
      </c>
      <c r="D3112" s="7"/>
      <c r="H3112" s="751"/>
      <c r="I3112" s="751"/>
      <c r="J3112" s="1212"/>
      <c r="P3112" s="761"/>
      <c r="Q3112" s="1089"/>
      <c r="S3112" s="1375"/>
    </row>
    <row r="3113" spans="3:19" x14ac:dyDescent="0.25">
      <c r="C3113" s="748">
        <v>849110022</v>
      </c>
      <c r="D3113" s="7"/>
      <c r="H3113" s="751"/>
      <c r="I3113" s="751"/>
      <c r="J3113" s="1212"/>
      <c r="P3113" s="761"/>
      <c r="Q3113" s="1089"/>
      <c r="S3113" s="1375"/>
    </row>
    <row r="3114" spans="3:19" x14ac:dyDescent="0.25">
      <c r="C3114" s="748">
        <v>849110088</v>
      </c>
      <c r="D3114" s="7"/>
      <c r="H3114" s="751"/>
      <c r="I3114" s="751"/>
      <c r="J3114" s="1212"/>
      <c r="P3114" s="761"/>
      <c r="Q3114" s="1089"/>
      <c r="S3114" s="1375"/>
    </row>
    <row r="3115" spans="3:19" x14ac:dyDescent="0.25">
      <c r="C3115" s="748">
        <v>849110034</v>
      </c>
      <c r="D3115" s="7"/>
      <c r="H3115" s="751"/>
      <c r="I3115" s="751"/>
      <c r="J3115" s="1212"/>
      <c r="P3115" s="761"/>
      <c r="Q3115" s="1089"/>
      <c r="S3115" s="1375"/>
    </row>
    <row r="3116" spans="3:19" x14ac:dyDescent="0.25">
      <c r="C3116" s="748">
        <v>849110006</v>
      </c>
      <c r="D3116" s="7"/>
      <c r="H3116" s="751"/>
      <c r="I3116" s="751"/>
      <c r="J3116" s="1212"/>
      <c r="P3116" s="761"/>
      <c r="Q3116" s="1089"/>
      <c r="S3116" s="1375"/>
    </row>
    <row r="3117" spans="3:19" x14ac:dyDescent="0.25">
      <c r="C3117" s="748">
        <v>849110108</v>
      </c>
      <c r="D3117" s="7"/>
      <c r="H3117" s="751"/>
      <c r="I3117" s="751"/>
      <c r="J3117" s="1212"/>
      <c r="P3117" s="761"/>
      <c r="Q3117" s="1089"/>
      <c r="S3117" s="1375"/>
    </row>
    <row r="3118" spans="3:19" x14ac:dyDescent="0.25">
      <c r="C3118" s="748">
        <v>849110081</v>
      </c>
      <c r="D3118" s="7"/>
      <c r="H3118" s="751"/>
      <c r="I3118" s="751"/>
      <c r="J3118" s="1212"/>
      <c r="P3118" s="761"/>
      <c r="Q3118" s="1089"/>
      <c r="S3118" s="1375"/>
    </row>
    <row r="3119" spans="3:19" x14ac:dyDescent="0.25">
      <c r="C3119" s="748">
        <v>849110085</v>
      </c>
      <c r="D3119" s="7"/>
      <c r="H3119" s="751"/>
      <c r="I3119" s="751"/>
      <c r="J3119" s="1212"/>
      <c r="P3119" s="761"/>
      <c r="Q3119" s="1089"/>
      <c r="S3119" s="1375"/>
    </row>
    <row r="3120" spans="3:19" x14ac:dyDescent="0.25">
      <c r="C3120" s="748">
        <v>849110090</v>
      </c>
      <c r="D3120" s="7"/>
      <c r="H3120" s="751"/>
      <c r="I3120" s="751"/>
      <c r="J3120" s="1212"/>
      <c r="P3120" s="761"/>
      <c r="Q3120" s="1089"/>
      <c r="S3120" s="1375"/>
    </row>
    <row r="3121" spans="3:19" x14ac:dyDescent="0.25">
      <c r="C3121" s="748">
        <v>849110170</v>
      </c>
      <c r="D3121" s="7"/>
      <c r="H3121" s="751"/>
      <c r="I3121" s="751"/>
      <c r="J3121" s="1212"/>
      <c r="P3121" s="761"/>
      <c r="Q3121" s="1089"/>
      <c r="S3121" s="1375"/>
    </row>
    <row r="3122" spans="3:19" x14ac:dyDescent="0.25">
      <c r="C3122" s="748">
        <v>849110158</v>
      </c>
      <c r="D3122" s="7"/>
      <c r="H3122" s="751"/>
      <c r="I3122" s="751"/>
      <c r="J3122" s="1212"/>
      <c r="P3122" s="761"/>
      <c r="Q3122" s="1089"/>
      <c r="S3122" s="1375"/>
    </row>
    <row r="3123" spans="3:19" x14ac:dyDescent="0.25">
      <c r="C3123" s="748">
        <v>849110154</v>
      </c>
      <c r="D3123" s="7"/>
      <c r="H3123" s="751"/>
      <c r="I3123" s="751"/>
      <c r="J3123" s="1212"/>
      <c r="P3123" s="761"/>
      <c r="Q3123" s="1089"/>
      <c r="S3123" s="1375"/>
    </row>
    <row r="3124" spans="3:19" x14ac:dyDescent="0.25">
      <c r="C3124" s="748">
        <v>849110182</v>
      </c>
      <c r="D3124" s="7"/>
      <c r="H3124" s="751"/>
      <c r="I3124" s="751"/>
      <c r="J3124" s="1212"/>
      <c r="P3124" s="761"/>
      <c r="Q3124" s="1089"/>
      <c r="S3124" s="1375"/>
    </row>
    <row r="3125" spans="3:19" x14ac:dyDescent="0.25">
      <c r="C3125" s="748">
        <v>849110163</v>
      </c>
      <c r="D3125" s="7"/>
      <c r="H3125" s="751"/>
      <c r="I3125" s="751"/>
      <c r="J3125" s="1212"/>
      <c r="P3125" s="761"/>
      <c r="Q3125" s="1089"/>
      <c r="S3125" s="1375"/>
    </row>
    <row r="3126" spans="3:19" x14ac:dyDescent="0.25">
      <c r="C3126" s="748">
        <v>849110153</v>
      </c>
      <c r="D3126" s="7"/>
      <c r="H3126" s="751"/>
      <c r="I3126" s="751"/>
      <c r="J3126" s="1212"/>
      <c r="P3126" s="761"/>
      <c r="Q3126" s="1089"/>
      <c r="S3126" s="1375"/>
    </row>
    <row r="3127" spans="3:19" x14ac:dyDescent="0.25">
      <c r="C3127" s="748">
        <v>849110164</v>
      </c>
      <c r="D3127" s="7"/>
      <c r="H3127" s="751"/>
      <c r="I3127" s="751"/>
      <c r="J3127" s="1212"/>
      <c r="P3127" s="761"/>
      <c r="Q3127" s="1089"/>
      <c r="S3127" s="1375"/>
    </row>
    <row r="3128" spans="3:19" x14ac:dyDescent="0.25">
      <c r="C3128" s="748">
        <v>849110155</v>
      </c>
      <c r="D3128" s="7"/>
      <c r="H3128" s="751"/>
      <c r="I3128" s="751"/>
      <c r="J3128" s="1212"/>
      <c r="P3128" s="761"/>
      <c r="Q3128" s="1089"/>
      <c r="S3128" s="1375"/>
    </row>
    <row r="3129" spans="3:19" x14ac:dyDescent="0.25">
      <c r="C3129" s="748">
        <v>849110173</v>
      </c>
      <c r="D3129" s="7"/>
      <c r="H3129" s="751"/>
      <c r="I3129" s="751"/>
      <c r="J3129" s="1212"/>
      <c r="P3129" s="761"/>
      <c r="Q3129" s="1089"/>
      <c r="S3129" s="1375"/>
    </row>
    <row r="3130" spans="3:19" x14ac:dyDescent="0.25">
      <c r="C3130" s="748">
        <v>849110172</v>
      </c>
      <c r="D3130" s="7"/>
      <c r="H3130" s="751"/>
      <c r="I3130" s="751"/>
      <c r="J3130" s="1212"/>
      <c r="P3130" s="761"/>
      <c r="Q3130" s="1089"/>
      <c r="S3130" s="1375"/>
    </row>
    <row r="3131" spans="3:19" x14ac:dyDescent="0.25">
      <c r="C3131" s="748">
        <v>849110185</v>
      </c>
      <c r="D3131" s="7"/>
      <c r="H3131" s="751"/>
      <c r="I3131" s="751"/>
      <c r="J3131" s="1212"/>
      <c r="P3131" s="761"/>
      <c r="Q3131" s="1089"/>
      <c r="S3131" s="1375"/>
    </row>
    <row r="3132" spans="3:19" x14ac:dyDescent="0.25">
      <c r="C3132" s="748">
        <v>849110169</v>
      </c>
      <c r="D3132" s="7"/>
      <c r="H3132" s="751"/>
      <c r="I3132" s="751"/>
      <c r="J3132" s="1212"/>
      <c r="P3132" s="761"/>
      <c r="Q3132" s="1089"/>
      <c r="S3132" s="1375"/>
    </row>
    <row r="3133" spans="3:19" x14ac:dyDescent="0.25">
      <c r="C3133" s="748">
        <v>849110126</v>
      </c>
      <c r="D3133" s="7"/>
      <c r="H3133" s="751"/>
      <c r="I3133" s="751"/>
      <c r="J3133" s="1212"/>
      <c r="P3133" s="761"/>
      <c r="Q3133" s="1089"/>
      <c r="S3133" s="1375"/>
    </row>
    <row r="3134" spans="3:19" x14ac:dyDescent="0.25">
      <c r="C3134" s="748">
        <v>849110161</v>
      </c>
      <c r="D3134" s="7"/>
      <c r="H3134" s="751"/>
      <c r="I3134" s="751"/>
      <c r="J3134" s="1212"/>
      <c r="P3134" s="761"/>
      <c r="Q3134" s="1089"/>
      <c r="S3134" s="1375"/>
    </row>
    <row r="3135" spans="3:19" x14ac:dyDescent="0.25">
      <c r="C3135" s="748">
        <v>849110096</v>
      </c>
      <c r="D3135" s="7"/>
      <c r="H3135" s="751"/>
      <c r="I3135" s="751"/>
      <c r="J3135" s="1212"/>
      <c r="P3135" s="761"/>
      <c r="Q3135" s="1089"/>
      <c r="S3135" s="1375"/>
    </row>
    <row r="3136" spans="3:19" x14ac:dyDescent="0.25">
      <c r="C3136" s="748">
        <v>849110074</v>
      </c>
      <c r="D3136" s="7"/>
      <c r="H3136" s="751"/>
      <c r="I3136" s="751"/>
      <c r="J3136" s="1212"/>
      <c r="P3136" s="761"/>
      <c r="Q3136" s="1089"/>
      <c r="S3136" s="1375"/>
    </row>
    <row r="3137" spans="3:19" x14ac:dyDescent="0.25">
      <c r="C3137" s="748">
        <v>849110204</v>
      </c>
      <c r="D3137" s="7"/>
      <c r="H3137" s="751"/>
      <c r="I3137" s="751"/>
      <c r="J3137" s="1212"/>
      <c r="P3137" s="761"/>
      <c r="Q3137" s="1089"/>
      <c r="S3137" s="1375"/>
    </row>
    <row r="3138" spans="3:19" x14ac:dyDescent="0.25">
      <c r="C3138" s="748">
        <v>849110113</v>
      </c>
      <c r="D3138" s="7"/>
      <c r="H3138" s="751"/>
      <c r="I3138" s="751"/>
      <c r="J3138" s="1212"/>
      <c r="P3138" s="761"/>
      <c r="Q3138" s="1089"/>
      <c r="S3138" s="1375"/>
    </row>
    <row r="3139" spans="3:19" x14ac:dyDescent="0.25">
      <c r="C3139" s="748">
        <v>849110181</v>
      </c>
      <c r="D3139" s="7"/>
      <c r="H3139" s="751"/>
      <c r="I3139" s="751"/>
      <c r="J3139" s="1212"/>
      <c r="P3139" s="761"/>
      <c r="Q3139" s="1089"/>
      <c r="S3139" s="1375"/>
    </row>
    <row r="3140" spans="3:19" x14ac:dyDescent="0.25">
      <c r="C3140" s="748">
        <v>849110076</v>
      </c>
      <c r="D3140" s="7"/>
      <c r="H3140" s="751"/>
      <c r="I3140" s="751"/>
      <c r="J3140" s="1212"/>
      <c r="P3140" s="761"/>
      <c r="Q3140" s="1089"/>
      <c r="S3140" s="1375"/>
    </row>
    <row r="3141" spans="3:19" x14ac:dyDescent="0.25">
      <c r="C3141" s="748">
        <v>849110197</v>
      </c>
      <c r="D3141" s="7"/>
      <c r="H3141" s="751"/>
      <c r="I3141" s="751"/>
      <c r="J3141" s="1212"/>
      <c r="P3141" s="761"/>
      <c r="Q3141" s="1089"/>
      <c r="S3141" s="1375"/>
    </row>
    <row r="3142" spans="3:19" x14ac:dyDescent="0.25">
      <c r="C3142" s="748">
        <v>849110151</v>
      </c>
      <c r="D3142" s="7"/>
      <c r="H3142" s="751"/>
      <c r="I3142" s="751"/>
      <c r="J3142" s="1212"/>
      <c r="P3142" s="761"/>
      <c r="Q3142" s="1089"/>
      <c r="S3142" s="1375"/>
    </row>
    <row r="3143" spans="3:19" x14ac:dyDescent="0.25">
      <c r="C3143" s="748">
        <v>849110167</v>
      </c>
      <c r="D3143" s="7"/>
      <c r="H3143" s="751"/>
      <c r="I3143" s="751"/>
      <c r="J3143" s="1212"/>
      <c r="P3143" s="761"/>
      <c r="Q3143" s="1089"/>
      <c r="S3143" s="1375"/>
    </row>
    <row r="3144" spans="3:19" x14ac:dyDescent="0.25">
      <c r="C3144" s="748">
        <v>849110303</v>
      </c>
      <c r="D3144" s="7"/>
      <c r="H3144" s="751"/>
      <c r="I3144" s="751"/>
      <c r="J3144" s="1212"/>
      <c r="P3144" s="761"/>
      <c r="Q3144" s="1089"/>
      <c r="S3144" s="1375"/>
    </row>
    <row r="3145" spans="3:19" x14ac:dyDescent="0.25">
      <c r="C3145" s="748">
        <v>849110179</v>
      </c>
      <c r="D3145" s="7"/>
      <c r="H3145" s="751"/>
      <c r="I3145" s="751"/>
      <c r="J3145" s="1212"/>
      <c r="P3145" s="761"/>
      <c r="Q3145" s="1089"/>
      <c r="S3145" s="1375"/>
    </row>
    <row r="3146" spans="3:19" x14ac:dyDescent="0.25">
      <c r="C3146" s="748">
        <v>849110251</v>
      </c>
      <c r="D3146" s="7"/>
      <c r="H3146" s="751"/>
      <c r="I3146" s="751"/>
      <c r="J3146" s="1212"/>
      <c r="P3146" s="761"/>
      <c r="Q3146" s="1089"/>
      <c r="S3146" s="1375"/>
    </row>
    <row r="3147" spans="3:19" x14ac:dyDescent="0.25">
      <c r="C3147" s="748">
        <v>849110222</v>
      </c>
      <c r="D3147" s="7"/>
      <c r="H3147" s="751"/>
      <c r="I3147" s="751"/>
      <c r="J3147" s="1212"/>
      <c r="P3147" s="761"/>
      <c r="Q3147" s="1089"/>
      <c r="S3147" s="1375"/>
    </row>
    <row r="3148" spans="3:19" x14ac:dyDescent="0.25">
      <c r="C3148" s="748">
        <v>84089047</v>
      </c>
      <c r="D3148" s="7"/>
      <c r="H3148" s="751"/>
      <c r="I3148" s="751"/>
      <c r="J3148" s="1212"/>
      <c r="P3148" s="761"/>
      <c r="Q3148" s="1089"/>
      <c r="S3148" s="1375"/>
    </row>
    <row r="3149" spans="3:19" x14ac:dyDescent="0.25">
      <c r="C3149" s="748">
        <v>849110015</v>
      </c>
      <c r="D3149" s="7"/>
      <c r="H3149" s="751"/>
      <c r="I3149" s="751"/>
      <c r="J3149" s="1212"/>
      <c r="P3149" s="761"/>
      <c r="Q3149" s="1089"/>
      <c r="S3149" s="1375"/>
    </row>
    <row r="3150" spans="3:19" x14ac:dyDescent="0.25">
      <c r="C3150" s="748">
        <v>849110111</v>
      </c>
      <c r="D3150" s="7"/>
      <c r="H3150" s="751"/>
      <c r="I3150" s="751"/>
      <c r="J3150" s="1212"/>
      <c r="P3150" s="761"/>
      <c r="Q3150" s="1089"/>
      <c r="S3150" s="1375"/>
    </row>
    <row r="3151" spans="3:19" x14ac:dyDescent="0.25">
      <c r="C3151" s="748">
        <v>84089085</v>
      </c>
      <c r="D3151" s="7"/>
      <c r="H3151" s="751"/>
      <c r="I3151" s="751"/>
      <c r="J3151" s="1212"/>
      <c r="P3151" s="761"/>
      <c r="Q3151" s="1089"/>
      <c r="S3151" s="1375"/>
    </row>
    <row r="3152" spans="3:19" x14ac:dyDescent="0.25">
      <c r="C3152" s="748">
        <v>849110119</v>
      </c>
      <c r="D3152" s="7"/>
      <c r="H3152" s="751"/>
      <c r="I3152" s="751"/>
      <c r="J3152" s="1212"/>
      <c r="P3152" s="761"/>
      <c r="Q3152" s="1089"/>
      <c r="S3152" s="1375"/>
    </row>
    <row r="3153" spans="3:19" x14ac:dyDescent="0.25">
      <c r="C3153" s="748">
        <v>849110078</v>
      </c>
      <c r="D3153" s="7"/>
      <c r="H3153" s="751"/>
      <c r="I3153" s="751"/>
      <c r="J3153" s="1212"/>
      <c r="P3153" s="761"/>
      <c r="Q3153" s="1089"/>
      <c r="S3153" s="1375"/>
    </row>
    <row r="3154" spans="3:19" x14ac:dyDescent="0.25">
      <c r="C3154" s="748">
        <v>849199043</v>
      </c>
      <c r="D3154" s="7"/>
      <c r="H3154" s="751"/>
      <c r="I3154" s="751"/>
      <c r="J3154" s="1212"/>
      <c r="P3154" s="761"/>
      <c r="Q3154" s="1089"/>
      <c r="S3154" s="1375"/>
    </row>
    <row r="3155" spans="3:19" x14ac:dyDescent="0.25">
      <c r="C3155" s="748">
        <v>849110115</v>
      </c>
      <c r="D3155" s="7"/>
      <c r="H3155" s="751"/>
      <c r="I3155" s="751"/>
      <c r="J3155" s="1212"/>
      <c r="P3155" s="761"/>
      <c r="Q3155" s="1089"/>
      <c r="S3155" s="1375"/>
    </row>
    <row r="3156" spans="3:19" x14ac:dyDescent="0.25">
      <c r="C3156" s="748">
        <v>849110068</v>
      </c>
      <c r="D3156" s="7"/>
      <c r="H3156" s="751"/>
      <c r="I3156" s="751"/>
      <c r="J3156" s="1212"/>
      <c r="P3156" s="761"/>
      <c r="Q3156" s="1089"/>
      <c r="S3156" s="1375"/>
    </row>
    <row r="3157" spans="3:19" x14ac:dyDescent="0.25">
      <c r="C3157" s="748">
        <v>849110094</v>
      </c>
      <c r="D3157" s="7"/>
      <c r="H3157" s="751"/>
      <c r="I3157" s="751"/>
      <c r="J3157" s="1212"/>
      <c r="P3157" s="761"/>
      <c r="Q3157" s="1089"/>
      <c r="S3157" s="1375"/>
    </row>
    <row r="3158" spans="3:19" x14ac:dyDescent="0.25">
      <c r="C3158" s="748">
        <v>849110103</v>
      </c>
      <c r="D3158" s="7"/>
      <c r="H3158" s="751"/>
      <c r="I3158" s="751"/>
      <c r="J3158" s="1212"/>
      <c r="P3158" s="761"/>
      <c r="Q3158" s="1089"/>
      <c r="S3158" s="1375"/>
    </row>
    <row r="3159" spans="3:19" x14ac:dyDescent="0.25">
      <c r="C3159" s="748">
        <v>849110067</v>
      </c>
      <c r="D3159" s="7"/>
      <c r="H3159" s="751"/>
      <c r="I3159" s="751"/>
      <c r="J3159" s="1212"/>
      <c r="P3159" s="761"/>
      <c r="Q3159" s="1089"/>
      <c r="S3159" s="1375"/>
    </row>
    <row r="3160" spans="3:19" x14ac:dyDescent="0.25">
      <c r="C3160" s="748">
        <v>849110093</v>
      </c>
      <c r="D3160" s="7"/>
      <c r="H3160" s="751"/>
      <c r="I3160" s="751"/>
      <c r="J3160" s="1212"/>
      <c r="P3160" s="761"/>
      <c r="Q3160" s="1089"/>
      <c r="S3160" s="1375"/>
    </row>
    <row r="3161" spans="3:19" x14ac:dyDescent="0.25">
      <c r="C3161" s="748">
        <v>849110122</v>
      </c>
      <c r="D3161" s="7"/>
      <c r="H3161" s="751"/>
      <c r="I3161" s="751"/>
      <c r="J3161" s="1212"/>
      <c r="P3161" s="761"/>
      <c r="Q3161" s="1089"/>
      <c r="S3161" s="1375"/>
    </row>
    <row r="3162" spans="3:19" x14ac:dyDescent="0.25">
      <c r="C3162" s="748">
        <v>849110092</v>
      </c>
      <c r="D3162" s="7"/>
      <c r="H3162" s="751"/>
      <c r="I3162" s="751"/>
      <c r="J3162" s="1212"/>
      <c r="P3162" s="761"/>
      <c r="Q3162" s="1089"/>
      <c r="S3162" s="1375"/>
    </row>
    <row r="3163" spans="3:19" x14ac:dyDescent="0.25">
      <c r="C3163" s="748">
        <v>849110140</v>
      </c>
      <c r="D3163" s="7"/>
      <c r="H3163" s="751"/>
      <c r="I3163" s="751"/>
      <c r="J3163" s="1212"/>
      <c r="P3163" s="761"/>
      <c r="Q3163" s="1089"/>
      <c r="S3163" s="1375"/>
    </row>
    <row r="3164" spans="3:19" x14ac:dyDescent="0.25">
      <c r="C3164" s="748">
        <v>849110130</v>
      </c>
      <c r="D3164" s="7"/>
      <c r="H3164" s="751"/>
      <c r="I3164" s="751"/>
      <c r="J3164" s="1212"/>
      <c r="P3164" s="761"/>
      <c r="Q3164" s="1089"/>
      <c r="S3164" s="1375"/>
    </row>
    <row r="3165" spans="3:19" x14ac:dyDescent="0.25">
      <c r="C3165" s="748">
        <v>849110157</v>
      </c>
      <c r="D3165" s="7"/>
      <c r="H3165" s="751"/>
      <c r="I3165" s="751"/>
      <c r="J3165" s="1212"/>
      <c r="P3165" s="761"/>
      <c r="Q3165" s="1089"/>
      <c r="S3165" s="1375"/>
    </row>
    <row r="3166" spans="3:19" x14ac:dyDescent="0.25">
      <c r="C3166" s="748">
        <v>849110159</v>
      </c>
      <c r="D3166" s="7"/>
      <c r="H3166" s="751"/>
      <c r="I3166" s="751"/>
      <c r="J3166" s="1212"/>
      <c r="P3166" s="761"/>
      <c r="Q3166" s="1089"/>
      <c r="S3166" s="1375"/>
    </row>
    <row r="3167" spans="3:19" x14ac:dyDescent="0.25">
      <c r="C3167" s="748">
        <v>849110196</v>
      </c>
      <c r="D3167" s="7"/>
      <c r="H3167" s="751"/>
      <c r="I3167" s="751"/>
      <c r="J3167" s="1212"/>
      <c r="P3167" s="761"/>
      <c r="Q3167" s="1089"/>
      <c r="S3167" s="1375"/>
    </row>
    <row r="3168" spans="3:19" x14ac:dyDescent="0.25">
      <c r="C3168" s="748">
        <v>849110171</v>
      </c>
      <c r="D3168" s="7"/>
      <c r="H3168" s="751"/>
      <c r="I3168" s="751"/>
      <c r="J3168" s="1212"/>
      <c r="P3168" s="761"/>
      <c r="Q3168" s="1089"/>
      <c r="S3168" s="1375"/>
    </row>
    <row r="3169" spans="3:19" x14ac:dyDescent="0.25">
      <c r="C3169" s="748">
        <v>849110160</v>
      </c>
      <c r="D3169" s="7"/>
      <c r="H3169" s="751"/>
      <c r="I3169" s="751"/>
      <c r="J3169" s="1212"/>
      <c r="P3169" s="761"/>
      <c r="Q3169" s="1089"/>
      <c r="S3169" s="1375"/>
    </row>
    <row r="3170" spans="3:19" x14ac:dyDescent="0.25">
      <c r="C3170" s="748">
        <v>849110168</v>
      </c>
      <c r="D3170" s="7"/>
      <c r="H3170" s="751"/>
      <c r="I3170" s="751"/>
      <c r="J3170" s="1212"/>
      <c r="P3170" s="761"/>
      <c r="Q3170" s="1089"/>
      <c r="S3170" s="1375"/>
    </row>
    <row r="3171" spans="3:19" x14ac:dyDescent="0.25">
      <c r="C3171" s="748">
        <v>849110194</v>
      </c>
      <c r="D3171" s="7"/>
      <c r="H3171" s="751"/>
      <c r="I3171" s="751"/>
      <c r="J3171" s="1212"/>
      <c r="P3171" s="761"/>
      <c r="Q3171" s="1089"/>
      <c r="S3171" s="1375"/>
    </row>
    <row r="3172" spans="3:19" x14ac:dyDescent="0.25">
      <c r="C3172" s="748">
        <v>849110195</v>
      </c>
      <c r="D3172" s="7"/>
      <c r="H3172" s="751"/>
      <c r="I3172" s="751"/>
      <c r="J3172" s="1212"/>
      <c r="P3172" s="761"/>
      <c r="Q3172" s="1089"/>
      <c r="S3172" s="1375"/>
    </row>
    <row r="3173" spans="3:19" x14ac:dyDescent="0.25">
      <c r="C3173" s="748">
        <v>849110143</v>
      </c>
      <c r="D3173" s="7"/>
      <c r="H3173" s="751"/>
      <c r="I3173" s="751"/>
      <c r="J3173" s="1212"/>
      <c r="P3173" s="761"/>
      <c r="Q3173" s="1089"/>
      <c r="S3173" s="1375"/>
    </row>
    <row r="3174" spans="3:19" x14ac:dyDescent="0.25">
      <c r="C3174" s="748">
        <v>849110101</v>
      </c>
      <c r="D3174" s="7"/>
      <c r="H3174" s="751"/>
      <c r="I3174" s="751"/>
      <c r="J3174" s="1212"/>
      <c r="P3174" s="761"/>
      <c r="Q3174" s="1089"/>
      <c r="S3174" s="1375"/>
    </row>
    <row r="3175" spans="3:19" x14ac:dyDescent="0.25">
      <c r="C3175" s="748">
        <v>849110180</v>
      </c>
      <c r="D3175" s="7"/>
      <c r="H3175" s="751"/>
      <c r="I3175" s="751"/>
      <c r="J3175" s="1212"/>
      <c r="P3175" s="761"/>
      <c r="Q3175" s="1089"/>
      <c r="S3175" s="1375"/>
    </row>
    <row r="3176" spans="3:19" x14ac:dyDescent="0.25">
      <c r="C3176" s="748">
        <v>849099019</v>
      </c>
      <c r="D3176" s="7"/>
      <c r="H3176" s="751"/>
      <c r="I3176" s="751"/>
      <c r="J3176" s="1212"/>
      <c r="P3176" s="761"/>
      <c r="Q3176" s="1089"/>
      <c r="S3176" s="1375"/>
    </row>
    <row r="3177" spans="3:19" x14ac:dyDescent="0.25">
      <c r="C3177" s="748">
        <v>849110193</v>
      </c>
      <c r="D3177" s="7"/>
      <c r="H3177" s="751"/>
      <c r="I3177" s="751"/>
      <c r="J3177" s="1212"/>
      <c r="P3177" s="761"/>
      <c r="Q3177" s="1089"/>
      <c r="S3177" s="1375"/>
    </row>
    <row r="3178" spans="3:19" x14ac:dyDescent="0.25">
      <c r="C3178" s="748">
        <v>849110265</v>
      </c>
      <c r="D3178" s="7"/>
      <c r="H3178" s="751"/>
      <c r="I3178" s="751"/>
      <c r="J3178" s="1212"/>
      <c r="P3178" s="761"/>
      <c r="Q3178" s="1089"/>
      <c r="S3178" s="1375"/>
    </row>
    <row r="3179" spans="3:19" x14ac:dyDescent="0.25">
      <c r="C3179" s="748">
        <v>849110263</v>
      </c>
      <c r="D3179" s="7"/>
      <c r="H3179" s="751"/>
      <c r="I3179" s="751"/>
      <c r="J3179" s="1212"/>
      <c r="P3179" s="761"/>
      <c r="Q3179" s="1089"/>
      <c r="S3179" s="1375"/>
    </row>
    <row r="3180" spans="3:19" x14ac:dyDescent="0.25">
      <c r="C3180" s="748">
        <v>849110246</v>
      </c>
      <c r="D3180" s="7"/>
      <c r="H3180" s="751"/>
      <c r="I3180" s="751"/>
      <c r="J3180" s="1212"/>
      <c r="P3180" s="761"/>
      <c r="Q3180" s="1089"/>
      <c r="S3180" s="1375"/>
    </row>
    <row r="3181" spans="3:19" x14ac:dyDescent="0.25">
      <c r="C3181" s="748">
        <v>849110201</v>
      </c>
      <c r="D3181" s="7"/>
      <c r="H3181" s="751"/>
      <c r="I3181" s="751"/>
      <c r="J3181" s="1212"/>
      <c r="P3181" s="761"/>
      <c r="Q3181" s="1089"/>
      <c r="S3181" s="1375"/>
    </row>
    <row r="3182" spans="3:19" x14ac:dyDescent="0.25">
      <c r="C3182" s="748">
        <v>849110174</v>
      </c>
      <c r="D3182" s="7"/>
      <c r="H3182" s="751"/>
      <c r="I3182" s="751"/>
      <c r="J3182" s="1212"/>
      <c r="P3182" s="761"/>
      <c r="Q3182" s="1089"/>
      <c r="S3182" s="1375"/>
    </row>
    <row r="3183" spans="3:19" x14ac:dyDescent="0.25">
      <c r="C3183" s="748"/>
      <c r="D3183" s="7"/>
      <c r="H3183" s="751"/>
      <c r="I3183" s="751"/>
      <c r="J3183" s="1212"/>
      <c r="P3183" s="761"/>
      <c r="Q3183" s="1089"/>
      <c r="S3183" s="1375"/>
    </row>
    <row r="3184" spans="3:19" x14ac:dyDescent="0.25">
      <c r="C3184" s="748"/>
      <c r="D3184" s="7"/>
      <c r="H3184" s="751"/>
      <c r="I3184" s="751"/>
      <c r="J3184" s="1212"/>
      <c r="P3184" s="761"/>
      <c r="Q3184" s="1089"/>
      <c r="S3184" s="1375"/>
    </row>
    <row r="3185" spans="3:19" x14ac:dyDescent="0.25">
      <c r="C3185" s="748">
        <v>849110274</v>
      </c>
      <c r="D3185" s="7"/>
      <c r="H3185" s="751"/>
      <c r="I3185" s="751"/>
      <c r="J3185" s="1212"/>
      <c r="P3185" s="761"/>
      <c r="Q3185" s="1089"/>
      <c r="S3185" s="1375"/>
    </row>
    <row r="3186" spans="3:19" x14ac:dyDescent="0.25">
      <c r="C3186" s="748">
        <v>849110228</v>
      </c>
      <c r="D3186" s="7"/>
      <c r="H3186" s="751"/>
      <c r="I3186" s="751"/>
      <c r="J3186" s="1212"/>
      <c r="P3186" s="761"/>
      <c r="Q3186" s="1089"/>
      <c r="S3186" s="1375"/>
    </row>
    <row r="3187" spans="3:19" x14ac:dyDescent="0.25">
      <c r="C3187" s="748">
        <v>849110223</v>
      </c>
      <c r="D3187" s="7"/>
      <c r="H3187" s="751"/>
      <c r="I3187" s="751"/>
      <c r="J3187" s="1212"/>
      <c r="P3187" s="761"/>
      <c r="Q3187" s="1089"/>
      <c r="S3187" s="1375"/>
    </row>
    <row r="3188" spans="3:19" x14ac:dyDescent="0.25">
      <c r="C3188" s="748">
        <v>849110190</v>
      </c>
      <c r="D3188" s="7"/>
      <c r="H3188" s="751"/>
      <c r="I3188" s="751"/>
      <c r="J3188" s="1212"/>
      <c r="P3188" s="761"/>
      <c r="Q3188" s="1089"/>
      <c r="S3188" s="1375"/>
    </row>
    <row r="3189" spans="3:19" x14ac:dyDescent="0.25">
      <c r="C3189" s="748">
        <v>849110136</v>
      </c>
      <c r="D3189" s="7"/>
      <c r="H3189" s="751"/>
      <c r="I3189" s="751"/>
      <c r="J3189" s="1212"/>
      <c r="P3189" s="761"/>
      <c r="Q3189" s="1089"/>
      <c r="S3189" s="1375"/>
    </row>
    <row r="3190" spans="3:19" x14ac:dyDescent="0.25">
      <c r="C3190" s="748">
        <v>849110106</v>
      </c>
      <c r="D3190" s="7"/>
      <c r="H3190" s="751"/>
      <c r="I3190" s="751"/>
      <c r="J3190" s="1212"/>
      <c r="P3190" s="761"/>
      <c r="Q3190" s="1089"/>
      <c r="S3190" s="1375"/>
    </row>
    <row r="3191" spans="3:19" x14ac:dyDescent="0.25">
      <c r="C3191" s="748">
        <v>849110124</v>
      </c>
      <c r="D3191" s="7"/>
      <c r="H3191" s="751"/>
      <c r="I3191" s="751"/>
      <c r="J3191" s="1212"/>
      <c r="P3191" s="761"/>
      <c r="Q3191" s="1089"/>
      <c r="S3191" s="1375"/>
    </row>
    <row r="3192" spans="3:19" x14ac:dyDescent="0.25">
      <c r="C3192" s="748">
        <v>849110305</v>
      </c>
      <c r="D3192" s="7"/>
      <c r="H3192" s="751"/>
      <c r="I3192" s="751"/>
      <c r="J3192" s="1212"/>
      <c r="P3192" s="761"/>
      <c r="Q3192" s="1089"/>
      <c r="S3192" s="1375"/>
    </row>
    <row r="3193" spans="3:19" x14ac:dyDescent="0.25">
      <c r="C3193" s="748">
        <v>849110280</v>
      </c>
      <c r="D3193" s="7"/>
      <c r="H3193" s="751"/>
      <c r="I3193" s="751"/>
      <c r="J3193" s="1212"/>
      <c r="P3193" s="761"/>
      <c r="Q3193" s="1089"/>
      <c r="S3193" s="1375"/>
    </row>
    <row r="3194" spans="3:19" x14ac:dyDescent="0.25">
      <c r="C3194" s="748">
        <v>849110304</v>
      </c>
      <c r="D3194" s="7"/>
      <c r="H3194" s="751"/>
      <c r="I3194" s="751"/>
      <c r="J3194" s="1212"/>
      <c r="P3194" s="761"/>
      <c r="Q3194" s="1089"/>
      <c r="S3194" s="1375"/>
    </row>
    <row r="3195" spans="3:19" x14ac:dyDescent="0.25">
      <c r="C3195" s="748">
        <v>849110206</v>
      </c>
      <c r="D3195" s="7"/>
      <c r="H3195" s="751"/>
      <c r="I3195" s="751"/>
      <c r="J3195" s="1212"/>
      <c r="P3195" s="761"/>
      <c r="Q3195" s="1089"/>
      <c r="S3195" s="1375"/>
    </row>
    <row r="3196" spans="3:19" x14ac:dyDescent="0.25">
      <c r="C3196" s="748">
        <v>849110080</v>
      </c>
      <c r="D3196" s="7"/>
      <c r="H3196" s="751"/>
      <c r="I3196" s="751"/>
      <c r="J3196" s="1212"/>
      <c r="P3196" s="761"/>
      <c r="Q3196" s="1089"/>
      <c r="S3196" s="1375"/>
    </row>
    <row r="3197" spans="3:19" x14ac:dyDescent="0.25">
      <c r="C3197" s="748">
        <v>849110268</v>
      </c>
      <c r="D3197" s="7"/>
      <c r="H3197" s="751"/>
      <c r="I3197" s="751"/>
      <c r="J3197" s="1212"/>
      <c r="P3197" s="761"/>
      <c r="Q3197" s="1089"/>
      <c r="S3197" s="1375"/>
    </row>
    <row r="3198" spans="3:19" x14ac:dyDescent="0.25">
      <c r="C3198" s="748">
        <v>849110259</v>
      </c>
      <c r="D3198" s="7"/>
      <c r="H3198" s="751"/>
      <c r="I3198" s="751"/>
      <c r="J3198" s="1212"/>
      <c r="P3198" s="761"/>
      <c r="Q3198" s="1089"/>
      <c r="S3198" s="1375"/>
    </row>
    <row r="3199" spans="3:19" x14ac:dyDescent="0.25">
      <c r="C3199" s="748">
        <v>849110229</v>
      </c>
      <c r="D3199" s="7"/>
      <c r="H3199" s="751"/>
      <c r="I3199" s="751"/>
      <c r="J3199" s="1212"/>
      <c r="P3199" s="761"/>
      <c r="Q3199" s="1089"/>
      <c r="S3199" s="1375"/>
    </row>
    <row r="3200" spans="3:19" x14ac:dyDescent="0.25">
      <c r="C3200" s="748">
        <v>849110224</v>
      </c>
      <c r="D3200" s="7"/>
      <c r="H3200" s="751"/>
      <c r="I3200" s="751"/>
      <c r="J3200" s="1212"/>
      <c r="P3200" s="761"/>
      <c r="Q3200" s="1089"/>
      <c r="S3200" s="1375"/>
    </row>
    <row r="3201" spans="3:19" x14ac:dyDescent="0.25">
      <c r="C3201" s="748">
        <v>849110128</v>
      </c>
      <c r="D3201" s="7"/>
      <c r="H3201" s="751"/>
      <c r="I3201" s="751"/>
      <c r="J3201" s="1212"/>
      <c r="P3201" s="761"/>
      <c r="Q3201" s="1089"/>
      <c r="S3201" s="1375"/>
    </row>
    <row r="3202" spans="3:19" x14ac:dyDescent="0.25">
      <c r="C3202" s="748">
        <v>849110149</v>
      </c>
      <c r="D3202" s="7"/>
      <c r="H3202" s="751"/>
      <c r="I3202" s="751"/>
      <c r="J3202" s="1212"/>
      <c r="P3202" s="761"/>
      <c r="Q3202" s="1089"/>
      <c r="S3202" s="1375"/>
    </row>
    <row r="3203" spans="3:19" x14ac:dyDescent="0.25">
      <c r="C3203" s="748">
        <v>849110283</v>
      </c>
      <c r="D3203" s="7"/>
      <c r="H3203" s="751"/>
      <c r="I3203" s="751"/>
      <c r="J3203" s="1212"/>
      <c r="P3203" s="761"/>
      <c r="Q3203" s="1089"/>
      <c r="S3203" s="1375"/>
    </row>
    <row r="3204" spans="3:19" x14ac:dyDescent="0.25">
      <c r="C3204" s="748">
        <v>849110300</v>
      </c>
      <c r="D3204" s="7"/>
      <c r="H3204" s="751"/>
      <c r="I3204" s="751"/>
      <c r="J3204" s="1212"/>
      <c r="P3204" s="761"/>
      <c r="Q3204" s="1089"/>
      <c r="S3204" s="1375"/>
    </row>
    <row r="3205" spans="3:19" x14ac:dyDescent="0.25">
      <c r="C3205" s="748">
        <v>849110291</v>
      </c>
      <c r="D3205" s="7"/>
      <c r="H3205" s="751"/>
      <c r="I3205" s="751"/>
      <c r="J3205" s="1212"/>
      <c r="P3205" s="761"/>
      <c r="Q3205" s="1089"/>
      <c r="S3205" s="1375"/>
    </row>
    <row r="3206" spans="3:19" x14ac:dyDescent="0.25">
      <c r="C3206" s="748">
        <v>849110285</v>
      </c>
      <c r="D3206" s="7"/>
      <c r="H3206" s="751"/>
      <c r="I3206" s="751"/>
      <c r="J3206" s="1212"/>
      <c r="P3206" s="761"/>
      <c r="Q3206" s="1089"/>
      <c r="S3206" s="1375"/>
    </row>
    <row r="3207" spans="3:19" x14ac:dyDescent="0.25">
      <c r="C3207" s="748">
        <v>849110226</v>
      </c>
      <c r="D3207" s="7"/>
      <c r="H3207" s="751"/>
      <c r="I3207" s="751"/>
      <c r="J3207" s="1212"/>
      <c r="P3207" s="761"/>
      <c r="Q3207" s="1089"/>
      <c r="S3207" s="1375"/>
    </row>
    <row r="3208" spans="3:19" x14ac:dyDescent="0.25">
      <c r="C3208" s="748">
        <v>849110231</v>
      </c>
      <c r="D3208" s="7"/>
      <c r="H3208" s="751"/>
      <c r="I3208" s="751"/>
      <c r="J3208" s="1212"/>
      <c r="P3208" s="761"/>
      <c r="Q3208" s="1089"/>
      <c r="S3208" s="1375"/>
    </row>
    <row r="3209" spans="3:19" x14ac:dyDescent="0.25">
      <c r="C3209" s="748">
        <v>849110026</v>
      </c>
      <c r="D3209" s="7"/>
      <c r="H3209" s="751"/>
      <c r="I3209" s="751"/>
      <c r="J3209" s="1212"/>
      <c r="P3209" s="761"/>
      <c r="Q3209" s="1089"/>
      <c r="S3209" s="1375"/>
    </row>
    <row r="3210" spans="3:19" x14ac:dyDescent="0.25">
      <c r="C3210" s="748">
        <v>849110273</v>
      </c>
      <c r="D3210" s="7"/>
      <c r="H3210" s="751"/>
      <c r="I3210" s="751"/>
      <c r="J3210" s="1212"/>
      <c r="P3210" s="761"/>
      <c r="Q3210" s="1089"/>
      <c r="S3210" s="1375"/>
    </row>
    <row r="3211" spans="3:19" x14ac:dyDescent="0.25">
      <c r="C3211" s="748">
        <v>849110225</v>
      </c>
      <c r="D3211" s="7"/>
      <c r="H3211" s="751"/>
      <c r="I3211" s="751"/>
      <c r="J3211" s="1212"/>
      <c r="P3211" s="761"/>
      <c r="Q3211" s="1089"/>
      <c r="S3211" s="1375"/>
    </row>
    <row r="3212" spans="3:19" x14ac:dyDescent="0.25">
      <c r="C3212" s="748">
        <v>849120038</v>
      </c>
      <c r="D3212" s="7"/>
      <c r="H3212" s="751"/>
      <c r="I3212" s="751"/>
      <c r="J3212" s="1212"/>
      <c r="P3212" s="761"/>
      <c r="Q3212" s="1089"/>
      <c r="S3212" s="1375"/>
    </row>
    <row r="3213" spans="3:19" x14ac:dyDescent="0.25">
      <c r="C3213" s="748">
        <v>849110266</v>
      </c>
      <c r="D3213" s="7"/>
      <c r="H3213" s="751"/>
      <c r="I3213" s="751"/>
      <c r="J3213" s="1212"/>
      <c r="P3213" s="761"/>
      <c r="Q3213" s="1089"/>
      <c r="S3213" s="1375"/>
    </row>
    <row r="3214" spans="3:19" x14ac:dyDescent="0.25">
      <c r="C3214" s="748">
        <v>849110267</v>
      </c>
      <c r="D3214" s="7"/>
      <c r="H3214" s="751"/>
      <c r="I3214" s="751"/>
      <c r="J3214" s="1212"/>
      <c r="P3214" s="761"/>
      <c r="Q3214" s="1089"/>
      <c r="S3214" s="1375"/>
    </row>
    <row r="3215" spans="3:19" x14ac:dyDescent="0.25">
      <c r="C3215" s="748">
        <v>849120040</v>
      </c>
      <c r="D3215" s="7"/>
      <c r="H3215" s="751"/>
      <c r="I3215" s="751"/>
      <c r="J3215" s="1212"/>
      <c r="P3215" s="761"/>
      <c r="Q3215" s="1089"/>
      <c r="S3215" s="1375"/>
    </row>
    <row r="3216" spans="3:19" x14ac:dyDescent="0.25">
      <c r="C3216" s="748">
        <v>849120019</v>
      </c>
      <c r="D3216" s="7"/>
      <c r="H3216" s="751"/>
      <c r="I3216" s="751"/>
      <c r="J3216" s="1212"/>
      <c r="P3216" s="761"/>
      <c r="Q3216" s="1089"/>
      <c r="S3216" s="1375"/>
    </row>
    <row r="3217" spans="3:19" x14ac:dyDescent="0.25">
      <c r="C3217" s="748">
        <v>849120031</v>
      </c>
      <c r="D3217" s="7"/>
      <c r="H3217" s="751"/>
      <c r="I3217" s="751"/>
      <c r="J3217" s="1212"/>
      <c r="P3217" s="761"/>
      <c r="Q3217" s="1089"/>
      <c r="S3217" s="1375"/>
    </row>
    <row r="3218" spans="3:19" x14ac:dyDescent="0.25">
      <c r="C3218" s="748">
        <v>849110241</v>
      </c>
      <c r="D3218" s="7"/>
      <c r="H3218" s="751"/>
      <c r="I3218" s="751"/>
      <c r="J3218" s="1212"/>
      <c r="P3218" s="761"/>
      <c r="Q3218" s="1089"/>
      <c r="S3218" s="1375"/>
    </row>
    <row r="3219" spans="3:19" x14ac:dyDescent="0.25">
      <c r="C3219" s="748">
        <v>849110177</v>
      </c>
      <c r="D3219" s="7"/>
      <c r="H3219" s="751"/>
      <c r="I3219" s="751"/>
      <c r="J3219" s="1212"/>
      <c r="P3219" s="761"/>
      <c r="Q3219" s="1089"/>
      <c r="S3219" s="1375"/>
    </row>
    <row r="3220" spans="3:19" x14ac:dyDescent="0.25">
      <c r="C3220" s="748">
        <v>849110183</v>
      </c>
      <c r="D3220" s="7"/>
      <c r="H3220" s="751"/>
      <c r="I3220" s="751"/>
      <c r="J3220" s="1212"/>
      <c r="P3220" s="761"/>
      <c r="Q3220" s="1089"/>
      <c r="S3220" s="1375"/>
    </row>
    <row r="3221" spans="3:19" x14ac:dyDescent="0.25">
      <c r="C3221" s="748">
        <v>849110245</v>
      </c>
      <c r="D3221" s="7"/>
      <c r="H3221" s="751"/>
      <c r="I3221" s="751"/>
      <c r="J3221" s="1212"/>
      <c r="P3221" s="761"/>
      <c r="Q3221" s="1089"/>
      <c r="S3221" s="1375"/>
    </row>
    <row r="3222" spans="3:19" x14ac:dyDescent="0.25">
      <c r="C3222" s="748">
        <v>849110219</v>
      </c>
      <c r="D3222" s="7"/>
      <c r="H3222" s="751"/>
      <c r="I3222" s="751"/>
      <c r="J3222" s="1212"/>
      <c r="P3222" s="761"/>
      <c r="Q3222" s="1089"/>
      <c r="S3222" s="1375"/>
    </row>
    <row r="3223" spans="3:19" x14ac:dyDescent="0.25">
      <c r="C3223" s="748">
        <v>849110232</v>
      </c>
      <c r="D3223" s="7"/>
      <c r="H3223" s="751"/>
      <c r="I3223" s="751"/>
      <c r="J3223" s="1212"/>
      <c r="P3223" s="761"/>
      <c r="Q3223" s="1089"/>
      <c r="S3223" s="1375"/>
    </row>
    <row r="3224" spans="3:19" x14ac:dyDescent="0.25">
      <c r="C3224" s="748">
        <v>849110287</v>
      </c>
      <c r="D3224" s="7"/>
      <c r="H3224" s="751"/>
      <c r="I3224" s="751"/>
      <c r="J3224" s="1212"/>
      <c r="P3224" s="761"/>
      <c r="Q3224" s="1089"/>
      <c r="S3224" s="1375"/>
    </row>
    <row r="3225" spans="3:19" x14ac:dyDescent="0.25">
      <c r="C3225" s="748">
        <v>849120006</v>
      </c>
      <c r="D3225" s="7"/>
      <c r="H3225" s="751"/>
      <c r="I3225" s="751"/>
      <c r="J3225" s="1212"/>
      <c r="P3225" s="761"/>
      <c r="Q3225" s="1089"/>
      <c r="S3225" s="1375"/>
    </row>
    <row r="3226" spans="3:19" x14ac:dyDescent="0.25">
      <c r="C3226" s="748">
        <v>849110244</v>
      </c>
      <c r="D3226" s="7"/>
      <c r="H3226" s="751"/>
      <c r="I3226" s="751"/>
      <c r="J3226" s="1212"/>
      <c r="P3226" s="761"/>
      <c r="Q3226" s="1089"/>
      <c r="S3226" s="1375"/>
    </row>
    <row r="3227" spans="3:19" x14ac:dyDescent="0.25">
      <c r="C3227" s="748">
        <v>849120037</v>
      </c>
      <c r="D3227" s="7"/>
      <c r="H3227" s="751"/>
      <c r="I3227" s="751"/>
      <c r="J3227" s="1212"/>
      <c r="P3227" s="761"/>
      <c r="Q3227" s="1089"/>
      <c r="S3227" s="1375"/>
    </row>
    <row r="3228" spans="3:19" x14ac:dyDescent="0.25">
      <c r="C3228" s="748">
        <v>849120022</v>
      </c>
      <c r="D3228" s="7"/>
      <c r="H3228" s="751"/>
      <c r="I3228" s="751"/>
      <c r="J3228" s="1212"/>
      <c r="P3228" s="761"/>
      <c r="Q3228" s="1089"/>
      <c r="S3228" s="1375"/>
    </row>
    <row r="3229" spans="3:19" x14ac:dyDescent="0.25">
      <c r="C3229" s="748">
        <v>849110199</v>
      </c>
      <c r="D3229" s="7"/>
      <c r="H3229" s="751"/>
      <c r="I3229" s="751"/>
      <c r="J3229" s="1212"/>
      <c r="P3229" s="761"/>
      <c r="Q3229" s="1089"/>
      <c r="S3229" s="1375"/>
    </row>
    <row r="3230" spans="3:19" x14ac:dyDescent="0.25">
      <c r="C3230" s="748">
        <v>849110233</v>
      </c>
      <c r="D3230" s="7"/>
      <c r="H3230" s="751"/>
      <c r="I3230" s="751"/>
      <c r="J3230" s="1212"/>
      <c r="P3230" s="761"/>
      <c r="Q3230" s="1089"/>
      <c r="S3230" s="1375"/>
    </row>
    <row r="3231" spans="3:19" x14ac:dyDescent="0.25">
      <c r="C3231" s="748">
        <v>849110097</v>
      </c>
      <c r="D3231" s="7"/>
      <c r="H3231" s="751"/>
      <c r="I3231" s="751"/>
      <c r="J3231" s="1212"/>
      <c r="P3231" s="761"/>
      <c r="Q3231" s="1089"/>
      <c r="S3231" s="1375"/>
    </row>
    <row r="3232" spans="3:19" x14ac:dyDescent="0.25">
      <c r="C3232" s="748">
        <v>849110255</v>
      </c>
      <c r="D3232" s="7"/>
      <c r="H3232" s="751"/>
      <c r="I3232" s="751"/>
      <c r="J3232" s="1212"/>
      <c r="P3232" s="761"/>
      <c r="Q3232" s="1089"/>
      <c r="S3232" s="1375"/>
    </row>
    <row r="3233" spans="3:19" x14ac:dyDescent="0.25">
      <c r="C3233" s="748">
        <v>849120024</v>
      </c>
      <c r="D3233" s="7"/>
      <c r="H3233" s="751"/>
      <c r="I3233" s="751"/>
      <c r="J3233" s="1212"/>
      <c r="P3233" s="761"/>
      <c r="Q3233" s="1089"/>
      <c r="S3233" s="1375"/>
    </row>
    <row r="3234" spans="3:19" x14ac:dyDescent="0.25">
      <c r="C3234" s="748">
        <v>849110045</v>
      </c>
      <c r="D3234" s="7"/>
      <c r="H3234" s="751"/>
      <c r="I3234" s="751"/>
      <c r="J3234" s="1212"/>
      <c r="P3234" s="761"/>
      <c r="Q3234" s="1089"/>
      <c r="S3234" s="1375"/>
    </row>
    <row r="3235" spans="3:19" x14ac:dyDescent="0.25">
      <c r="C3235" s="748">
        <v>849120005</v>
      </c>
      <c r="D3235" s="7"/>
      <c r="H3235" s="751"/>
      <c r="I3235" s="751"/>
      <c r="J3235" s="1212"/>
      <c r="P3235" s="761"/>
      <c r="Q3235" s="1089"/>
      <c r="S3235" s="1375"/>
    </row>
    <row r="3236" spans="3:19" x14ac:dyDescent="0.25">
      <c r="C3236" s="748">
        <v>849120020</v>
      </c>
      <c r="D3236" s="7"/>
      <c r="H3236" s="751"/>
      <c r="I3236" s="751"/>
      <c r="J3236" s="1212"/>
      <c r="P3236" s="761"/>
      <c r="Q3236" s="1089"/>
      <c r="S3236" s="1375"/>
    </row>
    <row r="3237" spans="3:19" x14ac:dyDescent="0.25">
      <c r="C3237" s="748">
        <v>849120079</v>
      </c>
      <c r="D3237" s="7"/>
      <c r="H3237" s="751"/>
      <c r="I3237" s="751"/>
      <c r="J3237" s="1212"/>
      <c r="P3237" s="761"/>
      <c r="Q3237" s="1089"/>
      <c r="S3237" s="1375"/>
    </row>
    <row r="3238" spans="3:19" x14ac:dyDescent="0.25">
      <c r="C3238" s="748">
        <v>849110242</v>
      </c>
      <c r="D3238" s="7"/>
      <c r="H3238" s="751"/>
      <c r="I3238" s="751"/>
      <c r="J3238" s="1212"/>
      <c r="P3238" s="761"/>
      <c r="Q3238" s="1089"/>
      <c r="S3238" s="1375"/>
    </row>
    <row r="3239" spans="3:19" x14ac:dyDescent="0.25">
      <c r="C3239" s="748">
        <v>849120082</v>
      </c>
      <c r="D3239" s="7"/>
      <c r="H3239" s="751"/>
      <c r="I3239" s="751"/>
      <c r="J3239" s="1212"/>
      <c r="P3239" s="761"/>
      <c r="Q3239" s="1089"/>
      <c r="S3239" s="1375"/>
    </row>
    <row r="3240" spans="3:19" x14ac:dyDescent="0.25">
      <c r="C3240" s="748">
        <v>849120086</v>
      </c>
      <c r="D3240" s="7"/>
      <c r="H3240" s="751"/>
      <c r="I3240" s="751"/>
      <c r="J3240" s="1212"/>
      <c r="P3240" s="761"/>
      <c r="Q3240" s="1089"/>
      <c r="S3240" s="1375"/>
    </row>
    <row r="3241" spans="3:19" x14ac:dyDescent="0.25">
      <c r="C3241" s="748">
        <v>849110187</v>
      </c>
      <c r="D3241" s="7"/>
      <c r="H3241" s="751"/>
      <c r="I3241" s="751"/>
      <c r="J3241" s="1212"/>
      <c r="P3241" s="761"/>
      <c r="Q3241" s="1089"/>
      <c r="S3241" s="1375"/>
    </row>
    <row r="3242" spans="3:19" x14ac:dyDescent="0.25">
      <c r="C3242" s="748">
        <v>849120028</v>
      </c>
      <c r="D3242" s="7"/>
      <c r="H3242" s="751"/>
      <c r="I3242" s="751"/>
      <c r="J3242" s="1212"/>
      <c r="P3242" s="761"/>
      <c r="Q3242" s="1089"/>
      <c r="S3242" s="1375"/>
    </row>
    <row r="3243" spans="3:19" x14ac:dyDescent="0.25">
      <c r="C3243" s="748">
        <v>849110202</v>
      </c>
      <c r="D3243" s="7"/>
      <c r="H3243" s="751"/>
      <c r="I3243" s="751"/>
      <c r="J3243" s="1212"/>
      <c r="P3243" s="761"/>
      <c r="Q3243" s="1089"/>
      <c r="S3243" s="1375"/>
    </row>
    <row r="3244" spans="3:19" x14ac:dyDescent="0.25">
      <c r="C3244" s="748">
        <v>849120091</v>
      </c>
      <c r="D3244" s="7"/>
      <c r="H3244" s="751"/>
      <c r="I3244" s="751"/>
      <c r="J3244" s="1212"/>
      <c r="P3244" s="761"/>
      <c r="Q3244" s="1089"/>
      <c r="S3244" s="1375"/>
    </row>
    <row r="3245" spans="3:19" x14ac:dyDescent="0.25">
      <c r="C3245" s="748">
        <v>849110248</v>
      </c>
      <c r="D3245" s="7"/>
      <c r="H3245" s="751"/>
      <c r="I3245" s="751"/>
      <c r="J3245" s="1212"/>
      <c r="P3245" s="761"/>
      <c r="Q3245" s="1089"/>
      <c r="S3245" s="1375"/>
    </row>
    <row r="3246" spans="3:19" x14ac:dyDescent="0.25">
      <c r="C3246" s="748">
        <v>849120011</v>
      </c>
      <c r="D3246" s="7"/>
      <c r="H3246" s="751"/>
      <c r="I3246" s="751"/>
      <c r="J3246" s="1212"/>
      <c r="P3246" s="761"/>
      <c r="Q3246" s="1089"/>
      <c r="S3246" s="1375"/>
    </row>
    <row r="3247" spans="3:19" x14ac:dyDescent="0.25">
      <c r="C3247" s="748">
        <v>849120099</v>
      </c>
      <c r="D3247" s="7"/>
      <c r="H3247" s="751"/>
      <c r="I3247" s="751"/>
      <c r="J3247" s="1212"/>
      <c r="P3247" s="761"/>
      <c r="Q3247" s="1089"/>
      <c r="S3247" s="1375"/>
    </row>
    <row r="3248" spans="3:19" x14ac:dyDescent="0.25">
      <c r="C3248" s="748">
        <v>849120065</v>
      </c>
      <c r="D3248" s="7"/>
      <c r="H3248" s="751"/>
      <c r="I3248" s="751"/>
      <c r="J3248" s="1212"/>
      <c r="P3248" s="761"/>
      <c r="Q3248" s="1089"/>
      <c r="S3248" s="1375"/>
    </row>
    <row r="3249" spans="3:19" x14ac:dyDescent="0.25">
      <c r="C3249" s="748">
        <v>849120064</v>
      </c>
      <c r="D3249" s="7"/>
      <c r="H3249" s="751"/>
      <c r="I3249" s="751"/>
      <c r="J3249" s="1212"/>
      <c r="P3249" s="761"/>
      <c r="Q3249" s="1089"/>
      <c r="S3249" s="1375"/>
    </row>
    <row r="3250" spans="3:19" x14ac:dyDescent="0.25">
      <c r="C3250" s="748">
        <v>849120062</v>
      </c>
      <c r="D3250" s="7"/>
      <c r="H3250" s="751"/>
      <c r="I3250" s="751"/>
      <c r="J3250" s="1212"/>
      <c r="P3250" s="761"/>
      <c r="Q3250" s="1089"/>
      <c r="S3250" s="1375"/>
    </row>
    <row r="3251" spans="3:19" x14ac:dyDescent="0.25">
      <c r="C3251" s="748">
        <v>849120049</v>
      </c>
      <c r="D3251" s="7"/>
      <c r="H3251" s="751"/>
      <c r="I3251" s="751"/>
      <c r="J3251" s="1212"/>
      <c r="P3251" s="761"/>
      <c r="Q3251" s="1089"/>
      <c r="S3251" s="1375"/>
    </row>
    <row r="3252" spans="3:19" x14ac:dyDescent="0.25">
      <c r="C3252" s="748">
        <v>849110203</v>
      </c>
      <c r="D3252" s="7"/>
      <c r="H3252" s="751"/>
      <c r="I3252" s="751"/>
      <c r="J3252" s="1212"/>
      <c r="P3252" s="761"/>
      <c r="Q3252" s="1089"/>
      <c r="S3252" s="1375"/>
    </row>
    <row r="3253" spans="3:19" x14ac:dyDescent="0.25">
      <c r="C3253" s="748">
        <v>849120082</v>
      </c>
      <c r="D3253" s="7"/>
      <c r="H3253" s="751"/>
      <c r="I3253" s="751"/>
      <c r="J3253" s="1212"/>
      <c r="P3253" s="761"/>
      <c r="Q3253" s="1089"/>
      <c r="S3253" s="1375"/>
    </row>
    <row r="3254" spans="3:19" x14ac:dyDescent="0.25">
      <c r="C3254" s="748">
        <v>849120083</v>
      </c>
      <c r="D3254" s="7"/>
      <c r="H3254" s="751"/>
      <c r="I3254" s="751"/>
      <c r="J3254" s="1212"/>
      <c r="P3254" s="761"/>
      <c r="Q3254" s="1089"/>
      <c r="S3254" s="1375"/>
    </row>
    <row r="3255" spans="3:19" x14ac:dyDescent="0.25">
      <c r="C3255" s="748">
        <v>849120063</v>
      </c>
      <c r="D3255" s="7"/>
      <c r="H3255" s="751"/>
      <c r="I3255" s="751"/>
      <c r="J3255" s="1212"/>
      <c r="P3255" s="761"/>
      <c r="Q3255" s="1089"/>
      <c r="S3255" s="1375"/>
    </row>
    <row r="3256" spans="3:19" x14ac:dyDescent="0.25">
      <c r="C3256" s="748">
        <v>849120075</v>
      </c>
      <c r="D3256" s="7"/>
      <c r="H3256" s="751"/>
      <c r="I3256" s="751"/>
      <c r="J3256" s="1212"/>
      <c r="P3256" s="761"/>
      <c r="Q3256" s="1089"/>
      <c r="S3256" s="1375"/>
    </row>
    <row r="3257" spans="3:19" x14ac:dyDescent="0.25">
      <c r="C3257" s="748">
        <v>849120061</v>
      </c>
      <c r="D3257" s="7"/>
      <c r="H3257" s="751"/>
      <c r="I3257" s="751"/>
      <c r="J3257" s="1212"/>
      <c r="P3257" s="761"/>
      <c r="Q3257" s="1089"/>
      <c r="S3257" s="1375"/>
    </row>
    <row r="3258" spans="3:19" x14ac:dyDescent="0.25">
      <c r="C3258" s="748">
        <v>849120084</v>
      </c>
      <c r="D3258" s="7"/>
      <c r="H3258" s="751"/>
      <c r="I3258" s="751"/>
      <c r="J3258" s="1212"/>
      <c r="P3258" s="761"/>
      <c r="Q3258" s="1089"/>
      <c r="S3258" s="1375"/>
    </row>
    <row r="3259" spans="3:19" x14ac:dyDescent="0.25">
      <c r="C3259" s="748">
        <v>849110292</v>
      </c>
      <c r="D3259" s="7"/>
      <c r="H3259" s="751"/>
      <c r="I3259" s="751"/>
      <c r="J3259" s="1212"/>
      <c r="P3259" s="761"/>
      <c r="Q3259" s="1089"/>
      <c r="S3259" s="1375"/>
    </row>
    <row r="3260" spans="3:19" x14ac:dyDescent="0.25">
      <c r="C3260" s="748">
        <v>849120073</v>
      </c>
      <c r="D3260" s="7"/>
      <c r="H3260" s="751"/>
      <c r="I3260" s="751"/>
      <c r="J3260" s="1212"/>
      <c r="P3260" s="761"/>
      <c r="Q3260" s="1089"/>
      <c r="S3260" s="1375"/>
    </row>
    <row r="3261" spans="3:19" x14ac:dyDescent="0.25">
      <c r="C3261" s="748">
        <v>849110254</v>
      </c>
      <c r="D3261" s="7"/>
      <c r="H3261" s="751"/>
      <c r="I3261" s="751"/>
      <c r="J3261" s="1212"/>
      <c r="P3261" s="761"/>
      <c r="Q3261" s="1089"/>
      <c r="S3261" s="1375"/>
    </row>
    <row r="3262" spans="3:19" x14ac:dyDescent="0.25">
      <c r="C3262" s="748">
        <v>849120080</v>
      </c>
      <c r="D3262" s="7"/>
      <c r="H3262" s="751"/>
      <c r="I3262" s="751"/>
      <c r="J3262" s="1212"/>
      <c r="P3262" s="761"/>
      <c r="Q3262" s="1089"/>
      <c r="S3262" s="1375"/>
    </row>
    <row r="3263" spans="3:19" x14ac:dyDescent="0.25">
      <c r="C3263" s="748">
        <v>849120047</v>
      </c>
      <c r="D3263" s="7"/>
      <c r="H3263" s="751"/>
      <c r="I3263" s="751"/>
      <c r="J3263" s="1212"/>
      <c r="P3263" s="761"/>
      <c r="Q3263" s="1089"/>
      <c r="S3263" s="1375"/>
    </row>
    <row r="3264" spans="3:19" x14ac:dyDescent="0.25">
      <c r="C3264" s="748">
        <v>849120056</v>
      </c>
      <c r="D3264" s="7"/>
      <c r="H3264" s="751"/>
      <c r="I3264" s="751"/>
      <c r="J3264" s="1212"/>
      <c r="P3264" s="761"/>
      <c r="Q3264" s="1089"/>
      <c r="S3264" s="1375"/>
    </row>
    <row r="3265" spans="3:19" x14ac:dyDescent="0.25">
      <c r="C3265" s="748">
        <v>849110306</v>
      </c>
      <c r="D3265" s="7"/>
      <c r="H3265" s="751"/>
      <c r="I3265" s="751"/>
      <c r="J3265" s="1212"/>
      <c r="P3265" s="761"/>
      <c r="Q3265" s="1089"/>
      <c r="S3265" s="1375"/>
    </row>
    <row r="3266" spans="3:19" x14ac:dyDescent="0.25">
      <c r="C3266" s="748">
        <v>849120044</v>
      </c>
      <c r="D3266" s="7"/>
      <c r="H3266" s="751"/>
      <c r="I3266" s="751"/>
      <c r="J3266" s="1212"/>
      <c r="P3266" s="761"/>
      <c r="Q3266" s="1089"/>
      <c r="S3266" s="1375"/>
    </row>
    <row r="3267" spans="3:19" x14ac:dyDescent="0.25">
      <c r="C3267" s="748">
        <v>849120098</v>
      </c>
      <c r="D3267" s="7"/>
      <c r="H3267" s="751"/>
      <c r="I3267" s="751"/>
      <c r="J3267" s="1212"/>
      <c r="P3267" s="761"/>
      <c r="Q3267" s="1089"/>
      <c r="S3267" s="1375"/>
    </row>
    <row r="3268" spans="3:19" x14ac:dyDescent="0.25">
      <c r="C3268" s="748">
        <v>849110089</v>
      </c>
      <c r="D3268" s="7"/>
      <c r="H3268" s="751"/>
      <c r="I3268" s="751"/>
      <c r="J3268" s="1212"/>
      <c r="P3268" s="761"/>
      <c r="Q3268" s="1089"/>
      <c r="S3268" s="1375"/>
    </row>
    <row r="3269" spans="3:19" x14ac:dyDescent="0.25">
      <c r="C3269" s="748">
        <v>849120048</v>
      </c>
      <c r="D3269" s="7"/>
      <c r="H3269" s="751"/>
      <c r="I3269" s="751"/>
      <c r="J3269" s="1212"/>
      <c r="P3269" s="761"/>
      <c r="Q3269" s="1089"/>
      <c r="S3269" s="1375"/>
    </row>
    <row r="3270" spans="3:19" x14ac:dyDescent="0.25">
      <c r="C3270" s="748">
        <v>849120026</v>
      </c>
      <c r="D3270" s="7"/>
      <c r="H3270" s="751"/>
      <c r="I3270" s="751"/>
      <c r="J3270" s="1212"/>
      <c r="P3270" s="761"/>
      <c r="Q3270" s="1089"/>
      <c r="S3270" s="1375"/>
    </row>
    <row r="3271" spans="3:19" x14ac:dyDescent="0.25">
      <c r="C3271" s="748">
        <v>849120009</v>
      </c>
      <c r="D3271" s="7"/>
      <c r="H3271" s="751"/>
      <c r="I3271" s="751"/>
      <c r="J3271" s="1212"/>
      <c r="P3271" s="761"/>
      <c r="Q3271" s="1089"/>
      <c r="S3271" s="1375"/>
    </row>
    <row r="3272" spans="3:19" x14ac:dyDescent="0.25">
      <c r="C3272" s="748">
        <v>849110298</v>
      </c>
      <c r="D3272" s="7"/>
      <c r="H3272" s="751"/>
      <c r="I3272" s="751"/>
      <c r="J3272" s="1212"/>
      <c r="P3272" s="761"/>
      <c r="Q3272" s="1089"/>
      <c r="S3272" s="1375"/>
    </row>
    <row r="3273" spans="3:19" x14ac:dyDescent="0.25">
      <c r="C3273" s="748">
        <v>849110193</v>
      </c>
      <c r="D3273" s="7"/>
      <c r="H3273" s="751"/>
      <c r="I3273" s="751"/>
      <c r="J3273" s="1212"/>
      <c r="P3273" s="761"/>
      <c r="Q3273" s="1089"/>
      <c r="S3273" s="1375"/>
    </row>
    <row r="3274" spans="3:19" x14ac:dyDescent="0.25">
      <c r="C3274" s="748">
        <v>849110191</v>
      </c>
      <c r="D3274" s="7"/>
      <c r="H3274" s="751"/>
      <c r="I3274" s="751"/>
      <c r="J3274" s="1212"/>
      <c r="P3274" s="761"/>
      <c r="Q3274" s="1089"/>
      <c r="S3274" s="1375"/>
    </row>
    <row r="3275" spans="3:19" x14ac:dyDescent="0.25">
      <c r="C3275" s="748">
        <v>849110252</v>
      </c>
      <c r="D3275" s="7"/>
      <c r="H3275" s="751"/>
      <c r="I3275" s="751"/>
      <c r="J3275" s="1212"/>
      <c r="P3275" s="761"/>
      <c r="Q3275" s="1089"/>
      <c r="S3275" s="1375"/>
    </row>
    <row r="3276" spans="3:19" x14ac:dyDescent="0.25">
      <c r="C3276" s="748">
        <v>849110192</v>
      </c>
      <c r="D3276" s="7"/>
      <c r="H3276" s="751"/>
      <c r="I3276" s="751"/>
      <c r="J3276" s="1212"/>
      <c r="P3276" s="761"/>
      <c r="Q3276" s="1089"/>
      <c r="S3276" s="1375"/>
    </row>
    <row r="3277" spans="3:19" x14ac:dyDescent="0.25">
      <c r="C3277" s="748">
        <v>849110257</v>
      </c>
      <c r="D3277" s="7"/>
      <c r="H3277" s="751"/>
      <c r="I3277" s="751"/>
      <c r="J3277" s="1212"/>
      <c r="P3277" s="761"/>
      <c r="Q3277" s="1089"/>
      <c r="S3277" s="1375"/>
    </row>
    <row r="3278" spans="3:19" x14ac:dyDescent="0.25">
      <c r="C3278" s="748">
        <v>84089079</v>
      </c>
      <c r="D3278" s="7"/>
      <c r="H3278" s="751"/>
      <c r="I3278" s="751"/>
      <c r="J3278" s="1212"/>
      <c r="P3278" s="761"/>
      <c r="Q3278" s="1089"/>
      <c r="S3278" s="1375"/>
    </row>
    <row r="3279" spans="3:19" x14ac:dyDescent="0.25">
      <c r="C3279" s="748">
        <v>849110237</v>
      </c>
      <c r="D3279" s="7"/>
      <c r="H3279" s="751"/>
      <c r="I3279" s="751"/>
      <c r="J3279" s="1212"/>
      <c r="P3279" s="761"/>
      <c r="Q3279" s="1089"/>
      <c r="S3279" s="1375"/>
    </row>
    <row r="3280" spans="3:19" x14ac:dyDescent="0.25">
      <c r="C3280" s="748">
        <v>849110150</v>
      </c>
      <c r="D3280" s="7"/>
      <c r="H3280" s="751"/>
      <c r="I3280" s="751"/>
      <c r="J3280" s="1212"/>
      <c r="P3280" s="761"/>
      <c r="Q3280" s="1089"/>
      <c r="S3280" s="1375"/>
    </row>
    <row r="3281" spans="3:19" x14ac:dyDescent="0.25">
      <c r="C3281" s="748">
        <v>849110296</v>
      </c>
      <c r="D3281" s="7"/>
      <c r="H3281" s="751"/>
      <c r="I3281" s="751"/>
      <c r="J3281" s="1212"/>
      <c r="P3281" s="761"/>
      <c r="Q3281" s="1089"/>
      <c r="S3281" s="1375"/>
    </row>
    <row r="3282" spans="3:19" x14ac:dyDescent="0.25">
      <c r="C3282" s="748">
        <v>849110293</v>
      </c>
      <c r="D3282" s="7"/>
      <c r="H3282" s="751"/>
      <c r="I3282" s="751"/>
      <c r="J3282" s="1212"/>
      <c r="P3282" s="761"/>
      <c r="Q3282" s="1089"/>
      <c r="S3282" s="1375"/>
    </row>
    <row r="3283" spans="3:19" x14ac:dyDescent="0.25">
      <c r="C3283" s="748">
        <v>849110256</v>
      </c>
      <c r="D3283" s="7"/>
      <c r="H3283" s="751"/>
      <c r="I3283" s="751"/>
      <c r="J3283" s="1212"/>
      <c r="P3283" s="761"/>
      <c r="Q3283" s="1089"/>
      <c r="S3283" s="1375"/>
    </row>
    <row r="3284" spans="3:19" x14ac:dyDescent="0.25">
      <c r="C3284" s="748">
        <v>849110198</v>
      </c>
      <c r="D3284" s="7"/>
      <c r="H3284" s="751"/>
      <c r="I3284" s="751"/>
      <c r="J3284" s="1212"/>
      <c r="P3284" s="761"/>
      <c r="Q3284" s="1089"/>
      <c r="S3284" s="1375"/>
    </row>
    <row r="3285" spans="3:19" x14ac:dyDescent="0.25">
      <c r="C3285" s="748">
        <v>849110277</v>
      </c>
      <c r="D3285" s="7"/>
      <c r="H3285" s="751"/>
      <c r="I3285" s="751"/>
      <c r="J3285" s="1212"/>
      <c r="P3285" s="761"/>
      <c r="Q3285" s="1089"/>
      <c r="S3285" s="1375"/>
    </row>
    <row r="3286" spans="3:19" x14ac:dyDescent="0.25">
      <c r="C3286" s="748">
        <v>849120032</v>
      </c>
      <c r="D3286" s="7"/>
      <c r="H3286" s="751"/>
      <c r="I3286" s="751"/>
      <c r="J3286" s="1212"/>
      <c r="P3286" s="761"/>
      <c r="Q3286" s="1089"/>
      <c r="S3286" s="1375"/>
    </row>
    <row r="3287" spans="3:19" x14ac:dyDescent="0.25">
      <c r="C3287" s="748">
        <v>849120057</v>
      </c>
      <c r="D3287" s="7"/>
      <c r="H3287" s="751"/>
      <c r="I3287" s="751"/>
      <c r="J3287" s="1212"/>
      <c r="P3287" s="761"/>
      <c r="Q3287" s="1089"/>
      <c r="S3287" s="1375"/>
    </row>
    <row r="3288" spans="3:19" x14ac:dyDescent="0.25">
      <c r="C3288" s="748">
        <v>849110123</v>
      </c>
      <c r="D3288" s="7"/>
      <c r="H3288" s="751"/>
      <c r="I3288" s="751"/>
      <c r="J3288" s="1212"/>
      <c r="P3288" s="761"/>
      <c r="Q3288" s="1089"/>
      <c r="S3288" s="1375"/>
    </row>
    <row r="3289" spans="3:19" x14ac:dyDescent="0.25">
      <c r="C3289" s="748">
        <v>849120045</v>
      </c>
      <c r="D3289" s="7"/>
      <c r="H3289" s="751"/>
      <c r="I3289" s="751"/>
      <c r="J3289" s="1212"/>
      <c r="P3289" s="761"/>
      <c r="Q3289" s="1089"/>
      <c r="S3289" s="1375"/>
    </row>
    <row r="3290" spans="3:19" x14ac:dyDescent="0.25">
      <c r="C3290" s="748">
        <v>849120033</v>
      </c>
      <c r="D3290" s="7"/>
      <c r="H3290" s="751"/>
      <c r="I3290" s="751"/>
      <c r="J3290" s="1212"/>
      <c r="P3290" s="761"/>
      <c r="Q3290" s="1089"/>
      <c r="S3290" s="1375"/>
    </row>
    <row r="3291" spans="3:19" x14ac:dyDescent="0.25">
      <c r="C3291" s="748">
        <v>849120036</v>
      </c>
      <c r="D3291" s="7"/>
      <c r="H3291" s="751"/>
      <c r="I3291" s="751"/>
      <c r="J3291" s="1212"/>
      <c r="P3291" s="761"/>
      <c r="Q3291" s="1089"/>
      <c r="S3291" s="1375"/>
    </row>
    <row r="3292" spans="3:19" x14ac:dyDescent="0.25">
      <c r="C3292" s="748">
        <v>849110273</v>
      </c>
      <c r="D3292" s="7"/>
      <c r="H3292" s="751"/>
      <c r="I3292" s="751"/>
      <c r="J3292" s="1212"/>
      <c r="P3292" s="761"/>
      <c r="Q3292" s="1089"/>
      <c r="S3292" s="1375"/>
    </row>
    <row r="3293" spans="3:19" x14ac:dyDescent="0.25">
      <c r="C3293" s="748">
        <v>849120066</v>
      </c>
      <c r="D3293" s="7"/>
      <c r="H3293" s="751"/>
      <c r="I3293" s="751"/>
      <c r="J3293" s="1212"/>
      <c r="P3293" s="761"/>
      <c r="Q3293" s="1089"/>
      <c r="S3293" s="1375"/>
    </row>
    <row r="3294" spans="3:19" x14ac:dyDescent="0.25">
      <c r="C3294" s="748">
        <v>849110220</v>
      </c>
      <c r="D3294" s="7"/>
      <c r="H3294" s="751"/>
      <c r="I3294" s="751"/>
      <c r="J3294" s="1212"/>
      <c r="P3294" s="761"/>
      <c r="Q3294" s="1089"/>
      <c r="S3294" s="1375"/>
    </row>
    <row r="3295" spans="3:19" x14ac:dyDescent="0.25">
      <c r="C3295" s="748">
        <v>849110046</v>
      </c>
      <c r="D3295" s="7"/>
      <c r="H3295" s="751"/>
      <c r="I3295" s="751"/>
      <c r="J3295" s="1212"/>
      <c r="P3295" s="761"/>
      <c r="Q3295" s="1089"/>
      <c r="S3295" s="1375"/>
    </row>
    <row r="3296" spans="3:19" x14ac:dyDescent="0.25">
      <c r="C3296" s="748">
        <v>849120092</v>
      </c>
      <c r="D3296" s="7"/>
      <c r="H3296" s="751"/>
      <c r="I3296" s="751"/>
      <c r="J3296" s="1212"/>
      <c r="P3296" s="761"/>
      <c r="Q3296" s="1089"/>
      <c r="S3296" s="1375"/>
    </row>
    <row r="3297" spans="3:19" x14ac:dyDescent="0.25">
      <c r="C3297" s="748">
        <v>849120089</v>
      </c>
      <c r="D3297" s="7"/>
      <c r="H3297" s="751"/>
      <c r="I3297" s="751"/>
      <c r="J3297" s="1212"/>
      <c r="P3297" s="761"/>
      <c r="Q3297" s="1089"/>
      <c r="S3297" s="1375"/>
    </row>
    <row r="3298" spans="3:19" x14ac:dyDescent="0.25">
      <c r="C3298" s="748">
        <v>849120090</v>
      </c>
      <c r="D3298" s="7"/>
      <c r="H3298" s="751"/>
      <c r="I3298" s="751"/>
      <c r="J3298" s="1212"/>
      <c r="P3298" s="761"/>
      <c r="Q3298" s="1089"/>
      <c r="S3298" s="1375"/>
    </row>
    <row r="3299" spans="3:19" x14ac:dyDescent="0.25">
      <c r="C3299" s="748">
        <v>849110302</v>
      </c>
      <c r="D3299" s="7"/>
      <c r="H3299" s="751"/>
      <c r="I3299" s="751"/>
      <c r="J3299" s="1212"/>
      <c r="P3299" s="761"/>
      <c r="Q3299" s="1089"/>
      <c r="S3299" s="1375"/>
    </row>
    <row r="3300" spans="3:19" x14ac:dyDescent="0.25">
      <c r="C3300" s="748">
        <v>849110249</v>
      </c>
      <c r="D3300" s="7"/>
      <c r="H3300" s="751"/>
      <c r="I3300" s="751"/>
      <c r="J3300" s="1212"/>
      <c r="P3300" s="761"/>
      <c r="Q3300" s="1089"/>
      <c r="S3300" s="1375"/>
    </row>
    <row r="3301" spans="3:19" x14ac:dyDescent="0.25">
      <c r="C3301" s="748">
        <v>849120023</v>
      </c>
      <c r="D3301" s="7"/>
      <c r="H3301" s="751"/>
      <c r="I3301" s="751"/>
      <c r="J3301" s="1212"/>
      <c r="P3301" s="761"/>
      <c r="Q3301" s="1089"/>
      <c r="S3301" s="1375"/>
    </row>
    <row r="3302" spans="3:19" x14ac:dyDescent="0.25">
      <c r="C3302" s="748">
        <v>849110230</v>
      </c>
      <c r="D3302" s="7"/>
      <c r="H3302" s="751"/>
      <c r="I3302" s="751"/>
      <c r="J3302" s="1212"/>
      <c r="P3302" s="761"/>
      <c r="Q3302" s="1089"/>
      <c r="S3302" s="1375"/>
    </row>
    <row r="3303" spans="3:19" x14ac:dyDescent="0.25">
      <c r="C3303" s="748">
        <v>849120058</v>
      </c>
      <c r="D3303" s="7"/>
      <c r="H3303" s="751"/>
      <c r="I3303" s="751"/>
      <c r="J3303" s="1212"/>
      <c r="P3303" s="761"/>
      <c r="Q3303" s="1089"/>
      <c r="S3303" s="1375"/>
    </row>
    <row r="3304" spans="3:19" x14ac:dyDescent="0.25">
      <c r="C3304" s="748">
        <v>849120059</v>
      </c>
      <c r="D3304" s="7"/>
      <c r="H3304" s="751"/>
      <c r="I3304" s="751"/>
      <c r="J3304" s="1212"/>
      <c r="P3304" s="761"/>
      <c r="Q3304" s="1089"/>
      <c r="S3304" s="1375"/>
    </row>
    <row r="3305" spans="3:19" x14ac:dyDescent="0.25">
      <c r="C3305" s="748">
        <v>849120069</v>
      </c>
      <c r="D3305" s="7"/>
      <c r="H3305" s="751"/>
      <c r="I3305" s="751"/>
      <c r="J3305" s="1212"/>
      <c r="P3305" s="761"/>
      <c r="Q3305" s="1089"/>
      <c r="S3305" s="1375"/>
    </row>
    <row r="3306" spans="3:19" x14ac:dyDescent="0.25">
      <c r="C3306" s="748">
        <v>849120055</v>
      </c>
      <c r="D3306" s="7"/>
      <c r="H3306" s="751"/>
      <c r="I3306" s="751"/>
      <c r="J3306" s="1212"/>
      <c r="P3306" s="761"/>
      <c r="Q3306" s="1089"/>
      <c r="S3306" s="1375"/>
    </row>
    <row r="3307" spans="3:19" x14ac:dyDescent="0.25">
      <c r="C3307" s="748">
        <v>849120092</v>
      </c>
      <c r="D3307" s="7"/>
      <c r="H3307" s="751"/>
      <c r="I3307" s="751"/>
      <c r="J3307" s="1212"/>
      <c r="P3307" s="761"/>
      <c r="Q3307" s="1089"/>
      <c r="S3307" s="1375"/>
    </row>
    <row r="3308" spans="3:19" x14ac:dyDescent="0.25">
      <c r="C3308" s="748">
        <v>849110010</v>
      </c>
      <c r="D3308" s="7"/>
      <c r="H3308" s="751"/>
      <c r="I3308" s="751"/>
      <c r="J3308" s="1212"/>
      <c r="P3308" s="761"/>
      <c r="Q3308" s="1089"/>
      <c r="S3308" s="1375"/>
    </row>
    <row r="3309" spans="3:19" x14ac:dyDescent="0.25">
      <c r="C3309" s="748">
        <v>849120018</v>
      </c>
      <c r="D3309" s="7"/>
      <c r="H3309" s="751"/>
      <c r="I3309" s="751"/>
      <c r="J3309" s="1212"/>
      <c r="P3309" s="761"/>
      <c r="Q3309" s="1089"/>
      <c r="S3309" s="1375"/>
    </row>
    <row r="3310" spans="3:19" x14ac:dyDescent="0.25">
      <c r="C3310" s="748">
        <v>849120060</v>
      </c>
      <c r="D3310" s="7"/>
      <c r="H3310" s="751"/>
      <c r="I3310" s="751"/>
      <c r="J3310" s="1212"/>
      <c r="P3310" s="761"/>
      <c r="Q3310" s="1089"/>
      <c r="S3310" s="1375"/>
    </row>
    <row r="3311" spans="3:19" x14ac:dyDescent="0.25">
      <c r="C3311" s="748">
        <v>849120052</v>
      </c>
      <c r="D3311" s="7"/>
      <c r="H3311" s="751"/>
      <c r="I3311" s="751"/>
      <c r="J3311" s="1212"/>
      <c r="P3311" s="761"/>
      <c r="Q3311" s="1089"/>
      <c r="S3311" s="1375"/>
    </row>
    <row r="3312" spans="3:19" x14ac:dyDescent="0.25">
      <c r="C3312" s="748">
        <v>849120050</v>
      </c>
      <c r="D3312" s="7"/>
      <c r="H3312" s="751"/>
      <c r="I3312" s="751"/>
      <c r="J3312" s="1212"/>
      <c r="P3312" s="761"/>
      <c r="Q3312" s="1089"/>
      <c r="S3312" s="1375"/>
    </row>
    <row r="3313" spans="3:19" x14ac:dyDescent="0.25">
      <c r="C3313" s="748">
        <v>849120051</v>
      </c>
      <c r="D3313" s="7"/>
      <c r="H3313" s="751"/>
      <c r="I3313" s="751"/>
      <c r="J3313" s="1212"/>
      <c r="P3313" s="761"/>
      <c r="Q3313" s="1089"/>
      <c r="S3313" s="1375"/>
    </row>
    <row r="3314" spans="3:19" x14ac:dyDescent="0.25">
      <c r="C3314" s="748">
        <v>849120053</v>
      </c>
      <c r="D3314" s="7"/>
      <c r="H3314" s="751"/>
      <c r="I3314" s="751"/>
      <c r="J3314" s="1212"/>
      <c r="P3314" s="761"/>
      <c r="Q3314" s="1089"/>
      <c r="S3314" s="1375"/>
    </row>
    <row r="3315" spans="3:19" x14ac:dyDescent="0.25">
      <c r="C3315" s="748">
        <v>849120054</v>
      </c>
      <c r="D3315" s="7"/>
      <c r="H3315" s="751"/>
      <c r="I3315" s="751"/>
      <c r="J3315" s="1212"/>
      <c r="P3315" s="761"/>
      <c r="Q3315" s="1089"/>
      <c r="S3315" s="1375"/>
    </row>
    <row r="3316" spans="3:19" x14ac:dyDescent="0.25">
      <c r="C3316" s="748">
        <v>849120067</v>
      </c>
      <c r="D3316" s="7"/>
      <c r="H3316" s="751"/>
      <c r="I3316" s="751"/>
      <c r="J3316" s="1212"/>
      <c r="P3316" s="761"/>
      <c r="Q3316" s="1089"/>
      <c r="S3316" s="1375"/>
    </row>
    <row r="3317" spans="3:19" x14ac:dyDescent="0.25">
      <c r="C3317" s="748">
        <v>849120094</v>
      </c>
      <c r="D3317" s="7"/>
      <c r="H3317" s="751"/>
      <c r="I3317" s="751"/>
      <c r="J3317" s="1212"/>
      <c r="P3317" s="761"/>
      <c r="Q3317" s="1089"/>
      <c r="S3317" s="1375"/>
    </row>
    <row r="3318" spans="3:19" x14ac:dyDescent="0.25">
      <c r="C3318" s="748">
        <v>849120025</v>
      </c>
      <c r="D3318" s="7"/>
      <c r="H3318" s="751"/>
      <c r="I3318" s="751"/>
      <c r="J3318" s="1212"/>
      <c r="P3318" s="761"/>
      <c r="Q3318" s="1089"/>
      <c r="S3318" s="1375"/>
    </row>
    <row r="3319" spans="3:19" x14ac:dyDescent="0.25">
      <c r="C3319" s="748">
        <v>849120068</v>
      </c>
      <c r="D3319" s="7"/>
      <c r="H3319" s="751"/>
      <c r="I3319" s="751"/>
      <c r="J3319" s="1212"/>
      <c r="P3319" s="761"/>
      <c r="Q3319" s="1089"/>
      <c r="S3319" s="1375"/>
    </row>
    <row r="3320" spans="3:19" x14ac:dyDescent="0.25">
      <c r="C3320" s="748">
        <v>849110247</v>
      </c>
      <c r="D3320" s="7"/>
      <c r="H3320" s="751"/>
      <c r="I3320" s="751"/>
      <c r="J3320" s="1212"/>
      <c r="P3320" s="761"/>
      <c r="Q3320" s="1089"/>
      <c r="S3320" s="1375"/>
    </row>
    <row r="3321" spans="3:19" x14ac:dyDescent="0.25">
      <c r="C3321" s="748">
        <v>83911011</v>
      </c>
      <c r="D3321" s="7"/>
      <c r="H3321" s="751"/>
      <c r="I3321" s="751"/>
      <c r="J3321" s="1212"/>
      <c r="P3321" s="761"/>
      <c r="Q3321" s="1089"/>
      <c r="S3321" s="1375"/>
    </row>
    <row r="3322" spans="3:19" x14ac:dyDescent="0.25">
      <c r="C3322" s="748">
        <v>83911015</v>
      </c>
      <c r="D3322" s="7"/>
      <c r="H3322" s="751"/>
      <c r="I3322" s="751"/>
      <c r="J3322" s="1212"/>
      <c r="P3322" s="761"/>
      <c r="Q3322" s="1089"/>
      <c r="S3322" s="1375"/>
    </row>
    <row r="3323" spans="3:19" x14ac:dyDescent="0.25">
      <c r="C3323" s="748">
        <v>83911014</v>
      </c>
      <c r="D3323" s="7"/>
      <c r="H3323" s="751"/>
      <c r="I3323" s="751"/>
      <c r="J3323" s="1212"/>
      <c r="P3323" s="761"/>
      <c r="Q3323" s="1089"/>
      <c r="S3323" s="1375"/>
    </row>
    <row r="3324" spans="3:19" x14ac:dyDescent="0.25">
      <c r="C3324" s="748">
        <v>83911012</v>
      </c>
      <c r="D3324" s="7"/>
      <c r="H3324" s="751"/>
      <c r="I3324" s="751"/>
      <c r="J3324" s="1212"/>
      <c r="P3324" s="761"/>
      <c r="Q3324" s="1089"/>
      <c r="S3324" s="1375"/>
    </row>
    <row r="3325" spans="3:19" x14ac:dyDescent="0.25">
      <c r="C3325" s="748">
        <v>83911008</v>
      </c>
      <c r="D3325" s="7"/>
      <c r="H3325" s="751"/>
      <c r="I3325" s="751"/>
      <c r="J3325" s="1212"/>
      <c r="P3325" s="761"/>
      <c r="Q3325" s="1089"/>
      <c r="S3325" s="1375"/>
    </row>
    <row r="3326" spans="3:19" x14ac:dyDescent="0.25">
      <c r="C3326" s="748">
        <v>83911016</v>
      </c>
      <c r="D3326" s="7"/>
      <c r="H3326" s="751"/>
      <c r="I3326" s="751"/>
      <c r="J3326" s="1212"/>
      <c r="P3326" s="761"/>
      <c r="Q3326" s="1089"/>
      <c r="S3326" s="1375"/>
    </row>
    <row r="3327" spans="3:19" x14ac:dyDescent="0.25">
      <c r="C3327" s="748">
        <v>83911010</v>
      </c>
      <c r="D3327" s="7"/>
      <c r="H3327" s="751"/>
      <c r="I3327" s="751"/>
      <c r="J3327" s="1212"/>
      <c r="P3327" s="761"/>
      <c r="Q3327" s="1089"/>
      <c r="S3327" s="1375"/>
    </row>
    <row r="3328" spans="3:19" x14ac:dyDescent="0.25">
      <c r="C3328" s="748">
        <v>83911007</v>
      </c>
      <c r="D3328" s="7"/>
      <c r="H3328" s="751"/>
      <c r="I3328" s="751"/>
      <c r="J3328" s="1212"/>
      <c r="P3328" s="761"/>
      <c r="Q3328" s="1089"/>
      <c r="S3328" s="1375"/>
    </row>
    <row r="3329" spans="3:19" x14ac:dyDescent="0.25">
      <c r="C3329" s="748">
        <v>83911029</v>
      </c>
      <c r="D3329" s="7"/>
      <c r="H3329" s="751"/>
      <c r="I3329" s="751"/>
      <c r="J3329" s="1212"/>
      <c r="P3329" s="761"/>
      <c r="Q3329" s="1089"/>
      <c r="S3329" s="1375"/>
    </row>
    <row r="3330" spans="3:19" x14ac:dyDescent="0.25">
      <c r="C3330" s="748">
        <v>83911006</v>
      </c>
      <c r="D3330" s="7"/>
      <c r="H3330" s="751"/>
      <c r="I3330" s="751"/>
      <c r="J3330" s="1212"/>
      <c r="P3330" s="761"/>
      <c r="Q3330" s="1089"/>
      <c r="S3330" s="1375"/>
    </row>
    <row r="3331" spans="3:19" x14ac:dyDescent="0.25">
      <c r="C3331" s="748">
        <v>83911028</v>
      </c>
      <c r="D3331" s="7"/>
      <c r="H3331" s="751"/>
      <c r="I3331" s="751"/>
      <c r="J3331" s="1212"/>
      <c r="P3331" s="761"/>
      <c r="Q3331" s="1089"/>
      <c r="S3331" s="1375"/>
    </row>
    <row r="3332" spans="3:19" x14ac:dyDescent="0.25">
      <c r="C3332" s="748">
        <v>83911020</v>
      </c>
      <c r="D3332" s="7"/>
      <c r="H3332" s="751"/>
      <c r="I3332" s="751"/>
      <c r="J3332" s="1212"/>
      <c r="P3332" s="761"/>
      <c r="Q3332" s="1089"/>
      <c r="S3332" s="1375"/>
    </row>
    <row r="3333" spans="3:19" x14ac:dyDescent="0.25">
      <c r="C3333" s="748">
        <v>83911003</v>
      </c>
      <c r="D3333" s="7"/>
      <c r="H3333" s="751"/>
      <c r="I3333" s="751"/>
      <c r="J3333" s="1212"/>
      <c r="P3333" s="761"/>
      <c r="Q3333" s="1089"/>
      <c r="S3333" s="1375"/>
    </row>
    <row r="3334" spans="3:19" x14ac:dyDescent="0.25">
      <c r="C3334" s="748">
        <v>83911019</v>
      </c>
      <c r="D3334" s="7"/>
      <c r="H3334" s="751"/>
      <c r="I3334" s="751"/>
      <c r="J3334" s="1212"/>
      <c r="P3334" s="761"/>
      <c r="Q3334" s="1089"/>
      <c r="S3334" s="1375"/>
    </row>
    <row r="3335" spans="3:19" x14ac:dyDescent="0.25">
      <c r="C3335" s="748">
        <v>83911005</v>
      </c>
      <c r="D3335" s="7"/>
      <c r="H3335" s="751"/>
      <c r="I3335" s="751"/>
      <c r="J3335" s="1212"/>
      <c r="P3335" s="761"/>
      <c r="Q3335" s="1089"/>
      <c r="S3335" s="1375"/>
    </row>
    <row r="3336" spans="3:19" x14ac:dyDescent="0.25">
      <c r="C3336" s="748">
        <v>83911004</v>
      </c>
      <c r="D3336" s="7"/>
      <c r="H3336" s="751"/>
      <c r="I3336" s="751"/>
      <c r="J3336" s="1212"/>
      <c r="P3336" s="761"/>
      <c r="Q3336" s="1089"/>
      <c r="S3336" s="1375"/>
    </row>
    <row r="3337" spans="3:19" x14ac:dyDescent="0.25">
      <c r="C3337" s="748">
        <v>83911021</v>
      </c>
      <c r="D3337" s="7"/>
      <c r="H3337" s="751"/>
      <c r="I3337" s="751"/>
      <c r="J3337" s="1212"/>
      <c r="P3337" s="761"/>
      <c r="Q3337" s="1089"/>
      <c r="S3337" s="1375"/>
    </row>
    <row r="3338" spans="3:19" x14ac:dyDescent="0.25">
      <c r="C3338" s="748">
        <v>83911023</v>
      </c>
      <c r="D3338" s="7"/>
      <c r="H3338" s="751"/>
      <c r="I3338" s="751"/>
      <c r="J3338" s="1212"/>
      <c r="P3338" s="761"/>
      <c r="Q3338" s="1089"/>
      <c r="S3338" s="1375"/>
    </row>
    <row r="3339" spans="3:19" x14ac:dyDescent="0.25">
      <c r="C3339" s="748">
        <v>83911018</v>
      </c>
      <c r="D3339" s="7"/>
      <c r="H3339" s="751"/>
      <c r="I3339" s="751"/>
      <c r="J3339" s="1212"/>
      <c r="P3339" s="761"/>
      <c r="Q3339" s="1089"/>
      <c r="S3339" s="1375"/>
    </row>
    <row r="3340" spans="3:19" x14ac:dyDescent="0.25">
      <c r="C3340" s="748">
        <v>83911026</v>
      </c>
      <c r="D3340" s="7"/>
      <c r="H3340" s="751"/>
      <c r="I3340" s="751"/>
      <c r="J3340" s="1212"/>
      <c r="P3340" s="761"/>
      <c r="Q3340" s="1089"/>
      <c r="S3340" s="1375"/>
    </row>
    <row r="3341" spans="3:19" x14ac:dyDescent="0.25">
      <c r="C3341" s="748"/>
      <c r="D3341" s="7"/>
      <c r="H3341" s="751"/>
      <c r="I3341" s="751"/>
      <c r="J3341" s="1212"/>
      <c r="P3341" s="761"/>
      <c r="Q3341" s="1089"/>
      <c r="S3341" s="1375"/>
    </row>
    <row r="3342" spans="3:19" x14ac:dyDescent="0.25">
      <c r="C3342" s="748">
        <v>839216008</v>
      </c>
      <c r="D3342" s="7"/>
      <c r="H3342" s="751"/>
      <c r="I3342" s="751"/>
      <c r="J3342" s="1212"/>
      <c r="P3342" s="761"/>
      <c r="Q3342" s="1089"/>
      <c r="S3342" s="1375"/>
    </row>
    <row r="3343" spans="3:19" x14ac:dyDescent="0.25">
      <c r="C3343" s="748">
        <v>829117012</v>
      </c>
      <c r="D3343" s="7"/>
      <c r="H3343" s="751"/>
      <c r="I3343" s="751"/>
      <c r="J3343" s="1212"/>
      <c r="P3343" s="761"/>
      <c r="Q3343" s="1089"/>
      <c r="S3343" s="1375"/>
    </row>
    <row r="3344" spans="3:19" x14ac:dyDescent="0.25">
      <c r="C3344" s="748">
        <v>849117002</v>
      </c>
      <c r="D3344" s="7"/>
      <c r="H3344" s="751"/>
      <c r="I3344" s="751"/>
      <c r="J3344" s="1212"/>
      <c r="P3344" s="761"/>
      <c r="Q3344" s="1089"/>
      <c r="S3344" s="1375"/>
    </row>
    <row r="3345" spans="3:19" x14ac:dyDescent="0.25">
      <c r="C3345" s="748">
        <v>849117046</v>
      </c>
      <c r="D3345" s="7"/>
      <c r="H3345" s="751"/>
      <c r="I3345" s="751"/>
      <c r="J3345" s="1212"/>
      <c r="P3345" s="761"/>
      <c r="Q3345" s="1089"/>
      <c r="S3345" s="1375"/>
    </row>
    <row r="3346" spans="3:19" x14ac:dyDescent="0.25">
      <c r="C3346" s="748">
        <v>849317032</v>
      </c>
      <c r="D3346" s="7"/>
      <c r="H3346" s="751"/>
      <c r="I3346" s="751"/>
      <c r="J3346" s="1212"/>
      <c r="P3346" s="761"/>
      <c r="Q3346" s="1089"/>
      <c r="S3346" s="1375"/>
    </row>
    <row r="3347" spans="3:19" x14ac:dyDescent="0.25">
      <c r="C3347" s="748">
        <v>849215008</v>
      </c>
      <c r="D3347" s="7"/>
      <c r="H3347" s="751"/>
      <c r="I3347" s="751"/>
      <c r="J3347" s="1212"/>
      <c r="P3347" s="761"/>
      <c r="Q3347" s="1089"/>
      <c r="S3347" s="1375"/>
    </row>
    <row r="3348" spans="3:19" x14ac:dyDescent="0.25">
      <c r="C3348" s="748">
        <v>849315037</v>
      </c>
      <c r="D3348" s="7"/>
      <c r="H3348" s="751"/>
      <c r="I3348" s="751"/>
      <c r="J3348" s="1212"/>
      <c r="P3348" s="761"/>
      <c r="Q3348" s="1089"/>
      <c r="S3348" s="1375"/>
    </row>
    <row r="3349" spans="3:19" x14ac:dyDescent="0.25">
      <c r="C3349" s="748">
        <v>849317005</v>
      </c>
      <c r="D3349" s="7"/>
      <c r="H3349" s="751"/>
      <c r="I3349" s="751"/>
      <c r="J3349" s="1212"/>
      <c r="P3349" s="761"/>
      <c r="Q3349" s="1089"/>
      <c r="S3349" s="1375"/>
    </row>
    <row r="3350" spans="3:19" x14ac:dyDescent="0.25">
      <c r="C3350" s="748">
        <v>849416010</v>
      </c>
      <c r="D3350" s="7"/>
      <c r="H3350" s="751"/>
      <c r="I3350" s="751"/>
      <c r="J3350" s="1212"/>
      <c r="P3350" s="761"/>
      <c r="Q3350" s="1089"/>
      <c r="S3350" s="1375"/>
    </row>
    <row r="3351" spans="3:19" x14ac:dyDescent="0.25">
      <c r="C3351" s="748">
        <v>849116032</v>
      </c>
      <c r="D3351" s="7"/>
      <c r="H3351" s="751"/>
      <c r="I3351" s="751"/>
      <c r="J3351" s="1212"/>
      <c r="P3351" s="761"/>
      <c r="Q3351" s="1089"/>
      <c r="S3351" s="1375"/>
    </row>
    <row r="3352" spans="3:19" x14ac:dyDescent="0.25">
      <c r="C3352" s="748">
        <v>829116009</v>
      </c>
      <c r="D3352" s="7"/>
      <c r="H3352" s="751"/>
      <c r="I3352" s="751"/>
      <c r="J3352" s="1212"/>
      <c r="P3352" s="761"/>
      <c r="Q3352" s="1089"/>
      <c r="S3352" s="1375"/>
    </row>
    <row r="3353" spans="3:19" x14ac:dyDescent="0.25">
      <c r="C3353" s="748">
        <v>849117005</v>
      </c>
      <c r="D3353" s="7"/>
      <c r="H3353" s="751"/>
      <c r="I3353" s="751"/>
      <c r="J3353" s="1212"/>
      <c r="P3353" s="761"/>
      <c r="Q3353" s="1089"/>
      <c r="S3353" s="1375"/>
    </row>
    <row r="3354" spans="3:19" x14ac:dyDescent="0.25">
      <c r="C3354" s="748">
        <v>849417008</v>
      </c>
      <c r="D3354" s="7"/>
      <c r="H3354" s="751"/>
      <c r="I3354" s="751"/>
      <c r="J3354" s="1212"/>
      <c r="P3354" s="761"/>
      <c r="Q3354" s="1089"/>
      <c r="S3354" s="1375"/>
    </row>
    <row r="3355" spans="3:19" x14ac:dyDescent="0.25">
      <c r="C3355" s="748">
        <v>849417007</v>
      </c>
      <c r="D3355" s="7"/>
      <c r="H3355" s="751"/>
      <c r="I3355" s="751"/>
      <c r="J3355" s="1212"/>
      <c r="P3355" s="761"/>
      <c r="Q3355" s="1089"/>
      <c r="S3355" s="1375"/>
    </row>
    <row r="3356" spans="3:19" x14ac:dyDescent="0.25">
      <c r="C3356" s="748">
        <v>841915001</v>
      </c>
      <c r="D3356" s="7"/>
      <c r="H3356" s="751"/>
      <c r="I3356" s="751"/>
      <c r="J3356" s="1212"/>
      <c r="P3356" s="761"/>
      <c r="Q3356" s="1089"/>
      <c r="S3356" s="1375"/>
    </row>
    <row r="3357" spans="3:19" x14ac:dyDescent="0.25">
      <c r="C3357" s="748">
        <v>839217015</v>
      </c>
      <c r="D3357" s="7"/>
      <c r="H3357" s="751"/>
      <c r="I3357" s="751"/>
      <c r="J3357" s="1212"/>
      <c r="P3357" s="761"/>
      <c r="Q3357" s="1089"/>
      <c r="S3357" s="1375"/>
    </row>
    <row r="3358" spans="3:19" x14ac:dyDescent="0.25">
      <c r="C3358" s="748">
        <v>849316028</v>
      </c>
      <c r="D3358" s="7"/>
      <c r="H3358" s="751"/>
      <c r="I3358" s="751"/>
      <c r="J3358" s="1212"/>
      <c r="P3358" s="761"/>
      <c r="Q3358" s="1089"/>
      <c r="S3358" s="1375"/>
    </row>
    <row r="3359" spans="3:19" x14ac:dyDescent="0.25">
      <c r="C3359" s="748">
        <v>849316036</v>
      </c>
      <c r="D3359" s="7"/>
      <c r="H3359" s="751"/>
      <c r="I3359" s="751"/>
      <c r="J3359" s="1212"/>
      <c r="P3359" s="761"/>
      <c r="Q3359" s="1089"/>
      <c r="S3359" s="1375"/>
    </row>
    <row r="3360" spans="3:19" x14ac:dyDescent="0.25">
      <c r="C3360" s="748">
        <v>839217029</v>
      </c>
      <c r="D3360" s="7"/>
      <c r="H3360" s="751"/>
      <c r="I3360" s="751"/>
      <c r="J3360" s="1212"/>
      <c r="P3360" s="761"/>
      <c r="Q3360" s="1089"/>
      <c r="S3360" s="1375"/>
    </row>
    <row r="3361" spans="3:19" x14ac:dyDescent="0.25">
      <c r="C3361" s="748">
        <v>849215007</v>
      </c>
      <c r="D3361" s="7"/>
      <c r="H3361" s="751"/>
      <c r="I3361" s="751"/>
      <c r="J3361" s="1212"/>
      <c r="P3361" s="761"/>
      <c r="Q3361" s="1089"/>
      <c r="S3361" s="1375"/>
    </row>
    <row r="3362" spans="3:19" x14ac:dyDescent="0.25">
      <c r="C3362" s="748">
        <v>839117002</v>
      </c>
      <c r="D3362" s="7"/>
      <c r="H3362" s="751"/>
      <c r="I3362" s="751"/>
      <c r="J3362" s="1212"/>
      <c r="P3362" s="761"/>
      <c r="Q3362" s="1089"/>
      <c r="S3362" s="1375"/>
    </row>
    <row r="3363" spans="3:19" x14ac:dyDescent="0.25">
      <c r="C3363" s="748">
        <v>849117016</v>
      </c>
      <c r="D3363" s="7"/>
      <c r="H3363" s="751"/>
      <c r="I3363" s="751"/>
      <c r="J3363" s="1212"/>
      <c r="P3363" s="761"/>
      <c r="Q3363" s="1089"/>
      <c r="S3363" s="1375"/>
    </row>
    <row r="3364" spans="3:19" x14ac:dyDescent="0.25">
      <c r="C3364" s="748">
        <v>849116012</v>
      </c>
      <c r="D3364" s="7"/>
      <c r="H3364" s="751"/>
      <c r="I3364" s="751"/>
      <c r="J3364" s="1212"/>
      <c r="P3364" s="761"/>
      <c r="Q3364" s="1089"/>
      <c r="S3364" s="1375"/>
    </row>
    <row r="3365" spans="3:19" x14ac:dyDescent="0.25">
      <c r="C3365" s="748">
        <v>849117042</v>
      </c>
      <c r="D3365" s="7"/>
      <c r="H3365" s="751"/>
      <c r="I3365" s="751"/>
      <c r="J3365" s="1212"/>
      <c r="P3365" s="761"/>
      <c r="Q3365" s="1089"/>
      <c r="S3365" s="1375"/>
    </row>
    <row r="3366" spans="3:19" x14ac:dyDescent="0.25">
      <c r="C3366" s="748">
        <v>83913002</v>
      </c>
      <c r="D3366" s="7"/>
      <c r="H3366" s="751"/>
      <c r="I3366" s="751"/>
      <c r="J3366" s="1212"/>
      <c r="P3366" s="761"/>
      <c r="Q3366" s="1089"/>
      <c r="S3366" s="1375"/>
    </row>
    <row r="3367" spans="3:19" x14ac:dyDescent="0.25">
      <c r="C3367" s="748">
        <v>849115025</v>
      </c>
      <c r="D3367" s="7"/>
      <c r="H3367" s="751"/>
      <c r="I3367" s="751"/>
      <c r="J3367" s="1212"/>
      <c r="P3367" s="761"/>
      <c r="Q3367" s="1089"/>
      <c r="S3367" s="1375"/>
    </row>
    <row r="3368" spans="3:19" x14ac:dyDescent="0.25">
      <c r="C3368" s="748">
        <v>849116036</v>
      </c>
      <c r="D3368" s="7"/>
      <c r="H3368" s="751"/>
      <c r="I3368" s="751"/>
      <c r="J3368" s="1212"/>
      <c r="P3368" s="761"/>
      <c r="Q3368" s="1089"/>
      <c r="S3368" s="1375"/>
    </row>
    <row r="3369" spans="3:19" x14ac:dyDescent="0.25">
      <c r="C3369" s="33">
        <v>849116012</v>
      </c>
      <c r="D3369" s="7"/>
      <c r="H3369" s="751"/>
      <c r="I3369" s="751"/>
      <c r="J3369" s="1212"/>
      <c r="P3369" s="761"/>
      <c r="Q3369" s="1089"/>
      <c r="S3369" s="1375"/>
    </row>
    <row r="3370" spans="3:19" x14ac:dyDescent="0.25">
      <c r="C3370" s="33">
        <v>849116032</v>
      </c>
      <c r="D3370" s="7"/>
      <c r="H3370" s="751"/>
      <c r="I3370" s="751"/>
      <c r="J3370" s="1212"/>
      <c r="P3370" s="761"/>
      <c r="Q3370" s="1089"/>
      <c r="S3370" s="1375"/>
    </row>
    <row r="3371" spans="3:19" x14ac:dyDescent="0.25">
      <c r="C3371" s="33">
        <v>849116010</v>
      </c>
      <c r="D3371" s="7"/>
      <c r="H3371" s="751"/>
      <c r="I3371" s="751"/>
      <c r="J3371" s="1212"/>
      <c r="P3371" s="761"/>
      <c r="Q3371" s="1089"/>
      <c r="S3371" s="1375"/>
    </row>
    <row r="3372" spans="3:19" x14ac:dyDescent="0.25">
      <c r="C3372" s="33">
        <v>849316005</v>
      </c>
      <c r="D3372" s="7"/>
      <c r="H3372" s="751"/>
      <c r="I3372" s="751"/>
      <c r="J3372" s="1212"/>
      <c r="P3372" s="761"/>
      <c r="Q3372" s="1089"/>
      <c r="S3372" s="1375"/>
    </row>
    <row r="3373" spans="3:19" x14ac:dyDescent="0.25">
      <c r="C3373" s="33">
        <v>839116006</v>
      </c>
      <c r="D3373" s="7"/>
      <c r="H3373" s="751"/>
      <c r="I3373" s="751"/>
      <c r="J3373" s="1212"/>
      <c r="P3373" s="761"/>
      <c r="Q3373" s="1089"/>
      <c r="S3373" s="1375"/>
    </row>
    <row r="3374" spans="3:19" x14ac:dyDescent="0.25">
      <c r="C3374" s="33">
        <v>849117046</v>
      </c>
      <c r="D3374" s="7"/>
      <c r="H3374" s="751"/>
      <c r="I3374" s="751"/>
      <c r="J3374" s="1212"/>
      <c r="P3374" s="761"/>
      <c r="Q3374" s="1089"/>
      <c r="S3374" s="1375"/>
    </row>
    <row r="3375" spans="3:19" x14ac:dyDescent="0.25">
      <c r="C3375" s="33">
        <v>849315037</v>
      </c>
      <c r="D3375" s="7"/>
      <c r="H3375" s="751"/>
      <c r="I3375" s="751"/>
      <c r="J3375" s="1212"/>
      <c r="P3375" s="761"/>
      <c r="Q3375" s="1089"/>
      <c r="S3375" s="1375"/>
    </row>
    <row r="3376" spans="3:19" x14ac:dyDescent="0.25">
      <c r="C3376" s="33">
        <v>849317005</v>
      </c>
      <c r="D3376" s="7"/>
      <c r="H3376" s="751"/>
      <c r="I3376" s="751"/>
      <c r="J3376" s="1212"/>
      <c r="P3376" s="761"/>
      <c r="Q3376" s="1089"/>
      <c r="S3376" s="1375"/>
    </row>
    <row r="3377" spans="3:19" x14ac:dyDescent="0.25">
      <c r="C3377" s="33">
        <v>849317032</v>
      </c>
      <c r="D3377" s="7"/>
      <c r="H3377" s="751"/>
      <c r="I3377" s="751"/>
      <c r="J3377" s="1212"/>
      <c r="P3377" s="761"/>
      <c r="Q3377" s="1089"/>
      <c r="S3377" s="1375"/>
    </row>
    <row r="3378" spans="3:19" x14ac:dyDescent="0.25">
      <c r="C3378" s="33">
        <v>849215007</v>
      </c>
      <c r="D3378" s="7"/>
      <c r="H3378" s="751"/>
      <c r="I3378" s="751"/>
      <c r="J3378" s="1212"/>
      <c r="P3378" s="761"/>
      <c r="Q3378" s="1089"/>
      <c r="S3378" s="1375"/>
    </row>
    <row r="3379" spans="3:19" x14ac:dyDescent="0.25">
      <c r="C3379" s="33">
        <v>849117016</v>
      </c>
      <c r="D3379" s="7"/>
      <c r="H3379" s="751"/>
      <c r="I3379" s="751"/>
      <c r="J3379" s="1212"/>
      <c r="P3379" s="761"/>
      <c r="Q3379" s="1089"/>
      <c r="S3379" s="1375"/>
    </row>
    <row r="3380" spans="3:19" x14ac:dyDescent="0.25">
      <c r="C3380" s="33">
        <v>849417007</v>
      </c>
      <c r="D3380" s="7"/>
      <c r="H3380" s="751"/>
      <c r="I3380" s="751"/>
      <c r="J3380" s="1212"/>
      <c r="P3380" s="761"/>
      <c r="Q3380" s="1089"/>
      <c r="S3380" s="1375"/>
    </row>
    <row r="3381" spans="3:19" x14ac:dyDescent="0.25">
      <c r="C3381" s="33">
        <v>839217015</v>
      </c>
      <c r="D3381" s="7"/>
      <c r="H3381" s="751"/>
      <c r="I3381" s="751"/>
      <c r="J3381" s="1212"/>
      <c r="P3381" s="761"/>
      <c r="Q3381" s="1089"/>
      <c r="S3381" s="1375"/>
    </row>
    <row r="3382" spans="3:19" x14ac:dyDescent="0.25">
      <c r="C3382" s="33">
        <v>849117005</v>
      </c>
      <c r="D3382" s="7"/>
      <c r="H3382" s="751"/>
      <c r="I3382" s="751"/>
      <c r="J3382" s="1212"/>
      <c r="P3382" s="761"/>
      <c r="Q3382" s="1089"/>
      <c r="S3382" s="1375"/>
    </row>
    <row r="3383" spans="3:19" x14ac:dyDescent="0.25">
      <c r="C3383" s="33">
        <v>849215008</v>
      </c>
      <c r="D3383" s="7"/>
      <c r="H3383" s="751"/>
      <c r="I3383" s="751"/>
      <c r="J3383" s="1212"/>
      <c r="P3383" s="761"/>
      <c r="Q3383" s="1089"/>
      <c r="S3383" s="1375"/>
    </row>
    <row r="3384" spans="3:19" x14ac:dyDescent="0.25">
      <c r="C3384" s="33">
        <v>839217030</v>
      </c>
      <c r="D3384" s="7"/>
      <c r="H3384" s="751"/>
      <c r="I3384" s="751"/>
      <c r="J3384" s="1212"/>
      <c r="P3384" s="761"/>
      <c r="Q3384" s="1089"/>
      <c r="S3384" s="1375"/>
    </row>
    <row r="3385" spans="3:19" x14ac:dyDescent="0.25">
      <c r="C3385" s="33">
        <v>839116009</v>
      </c>
      <c r="D3385" s="7"/>
      <c r="H3385" s="751"/>
      <c r="I3385" s="751"/>
      <c r="J3385" s="1212"/>
      <c r="P3385" s="761"/>
      <c r="Q3385" s="1089"/>
      <c r="S3385" s="1375"/>
    </row>
    <row r="3386" spans="3:19" x14ac:dyDescent="0.25">
      <c r="C3386" s="33">
        <v>849416002</v>
      </c>
      <c r="D3386" s="7"/>
      <c r="H3386" s="751"/>
      <c r="I3386" s="751"/>
      <c r="J3386" s="1212"/>
      <c r="P3386" s="761"/>
      <c r="Q3386" s="1089"/>
      <c r="S3386" s="1375"/>
    </row>
    <row r="3387" spans="3:19" x14ac:dyDescent="0.25">
      <c r="C3387" s="33">
        <v>849416010</v>
      </c>
      <c r="D3387" s="7"/>
      <c r="H3387" s="751"/>
      <c r="I3387" s="751"/>
      <c r="J3387" s="1212"/>
      <c r="P3387" s="761"/>
      <c r="Q3387" s="1089"/>
      <c r="S3387" s="1375"/>
    </row>
    <row r="3388" spans="3:19" x14ac:dyDescent="0.25">
      <c r="C3388" s="33">
        <v>839217029</v>
      </c>
      <c r="D3388" s="7"/>
      <c r="H3388" s="751"/>
      <c r="I3388" s="751"/>
      <c r="J3388" s="1212"/>
      <c r="P3388" s="761"/>
      <c r="Q3388" s="1089"/>
      <c r="S3388" s="1375"/>
    </row>
    <row r="3389" spans="3:19" x14ac:dyDescent="0.25">
      <c r="C3389" s="33">
        <v>849417008</v>
      </c>
      <c r="D3389" s="7"/>
      <c r="H3389" s="751"/>
      <c r="I3389" s="751"/>
      <c r="J3389" s="1212"/>
      <c r="P3389" s="761"/>
      <c r="Q3389" s="1089"/>
      <c r="S3389" s="1375"/>
    </row>
    <row r="3390" spans="3:19" x14ac:dyDescent="0.25">
      <c r="C3390" s="33">
        <v>829117012</v>
      </c>
      <c r="D3390" s="7"/>
      <c r="H3390" s="751"/>
      <c r="I3390" s="751"/>
      <c r="J3390" s="1212"/>
      <c r="P3390" s="761"/>
      <c r="Q3390" s="1089"/>
      <c r="S3390" s="1375"/>
    </row>
    <row r="3391" spans="3:19" x14ac:dyDescent="0.25">
      <c r="C3391" s="33">
        <v>849117002</v>
      </c>
      <c r="D3391" s="7"/>
      <c r="H3391" s="751"/>
      <c r="I3391" s="751"/>
      <c r="J3391" s="1212"/>
      <c r="P3391" s="761"/>
      <c r="Q3391" s="1089"/>
      <c r="S3391" s="1375"/>
    </row>
  </sheetData>
  <mergeCells count="23">
    <mergeCell ref="AD2:AE2"/>
    <mergeCell ref="AF2:AG2"/>
    <mergeCell ref="AI2:AK2"/>
    <mergeCell ref="AD3:AE3"/>
    <mergeCell ref="AF3:AG3"/>
    <mergeCell ref="AI3:AI4"/>
    <mergeCell ref="AJ3:AJ4"/>
    <mergeCell ref="AK3:AK4"/>
    <mergeCell ref="A2:A4"/>
    <mergeCell ref="B2:B4"/>
    <mergeCell ref="C2:C4"/>
    <mergeCell ref="D2:D4"/>
    <mergeCell ref="E2:E4"/>
    <mergeCell ref="J2:K3"/>
    <mergeCell ref="L2:M3"/>
    <mergeCell ref="N2:O3"/>
    <mergeCell ref="P2:Q3"/>
    <mergeCell ref="R2:S3"/>
    <mergeCell ref="T2:U3"/>
    <mergeCell ref="V2:W3"/>
    <mergeCell ref="X2:Y3"/>
    <mergeCell ref="Z2:AA3"/>
    <mergeCell ref="AB2:AC3"/>
  </mergeCells>
  <phoneticPr fontId="12" type="noConversion"/>
  <conditionalFormatting sqref="C999">
    <cfRule type="duplicateValues" dxfId="56" priority="1"/>
    <cfRule type="duplicateValues" dxfId="55" priority="2"/>
  </conditionalFormatting>
  <conditionalFormatting sqref="P1354">
    <cfRule type="duplicateValues" dxfId="54" priority="54"/>
  </conditionalFormatting>
  <conditionalFormatting sqref="C2052">
    <cfRule type="duplicateValues" dxfId="53" priority="3"/>
    <cfRule type="duplicateValues" dxfId="52" priority="4"/>
  </conditionalFormatting>
  <conditionalFormatting sqref="C2053">
    <cfRule type="duplicateValues" dxfId="51" priority="5"/>
    <cfRule type="duplicateValues" dxfId="50" priority="6"/>
  </conditionalFormatting>
  <conditionalFormatting sqref="C2054">
    <cfRule type="duplicateValues" dxfId="49" priority="9"/>
    <cfRule type="duplicateValues" dxfId="48" priority="10"/>
  </conditionalFormatting>
  <conditionalFormatting sqref="C2055">
    <cfRule type="duplicateValues" dxfId="47" priority="13"/>
    <cfRule type="duplicateValues" dxfId="46" priority="14"/>
  </conditionalFormatting>
  <conditionalFormatting sqref="C2712:C3365">
    <cfRule type="duplicateValues" dxfId="45" priority="85"/>
  </conditionalFormatting>
  <conditionalFormatting sqref="C2712:C3368">
    <cfRule type="duplicateValues" dxfId="44" priority="87"/>
  </conditionalFormatting>
  <conditionalFormatting sqref="AB1037:AC1038">
    <cfRule type="duplicateValues" dxfId="43" priority="7"/>
  </conditionalFormatting>
  <conditionalFormatting sqref="AM1360:AP1391">
    <cfRule type="duplicateValues" dxfId="42" priority="34"/>
  </conditionalFormatting>
  <conditionalFormatting sqref="AM1399:AP1414">
    <cfRule type="duplicateValues" dxfId="41" priority="30"/>
  </conditionalFormatting>
  <conditionalFormatting sqref="AM1420:AP1436">
    <cfRule type="duplicateValues" dxfId="40" priority="32"/>
  </conditionalFormatting>
  <conditionalFormatting sqref="AM1442:AP1452">
    <cfRule type="duplicateValues" dxfId="39" priority="35"/>
  </conditionalFormatting>
  <conditionalFormatting sqref="AM1458:AP1469">
    <cfRule type="duplicateValues" dxfId="38" priority="36"/>
  </conditionalFormatting>
  <pageMargins left="0.23622047244094499" right="0.27559055118110198" top="0.39370078740157499" bottom="0.39370078740157499" header="0.31496062992126" footer="0.31496062992126"/>
  <pageSetup paperSize="9" scale="70" orientation="landscape" verticalDpi="300"/>
  <ignoredErrors>
    <ignoredError sqref="AI175" formula="1"/>
  </ignoredErrors>
  <drawing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1760"/>
  <sheetViews>
    <sheetView workbookViewId="0">
      <selection sqref="A1:F1300"/>
    </sheetView>
  </sheetViews>
  <sheetFormatPr defaultColWidth="9.140625" defaultRowHeight="12" x14ac:dyDescent="0.2"/>
  <cols>
    <col min="1" max="1" width="11.28515625" style="752" customWidth="1"/>
    <col min="2" max="2" width="31" style="752" customWidth="1"/>
    <col min="3" max="3" width="10.5703125" style="752" customWidth="1"/>
    <col min="4" max="4" width="6.7109375" style="752" customWidth="1"/>
    <col min="5" max="5" width="35.7109375" style="752" customWidth="1"/>
    <col min="6" max="6" width="5.28515625" style="752" customWidth="1"/>
    <col min="7" max="7" width="14.28515625" style="752" customWidth="1"/>
    <col min="8" max="16384" width="9.140625" style="752"/>
  </cols>
  <sheetData>
    <row r="1" spans="1:6" x14ac:dyDescent="0.2">
      <c r="A1" s="753">
        <v>849316026</v>
      </c>
      <c r="B1" s="754" t="s">
        <v>1637</v>
      </c>
      <c r="C1" s="755">
        <v>500000</v>
      </c>
      <c r="D1" s="756">
        <v>44082.516145833302</v>
      </c>
      <c r="E1" s="754" t="s">
        <v>4821</v>
      </c>
      <c r="F1" s="757">
        <v>20201</v>
      </c>
    </row>
    <row r="2" spans="1:6" x14ac:dyDescent="0.2">
      <c r="A2" s="753">
        <v>849219003</v>
      </c>
      <c r="B2" s="754" t="s">
        <v>2437</v>
      </c>
      <c r="C2" s="755">
        <v>3750000</v>
      </c>
      <c r="D2" s="756">
        <v>44081.664942129602</v>
      </c>
      <c r="E2" s="754" t="s">
        <v>4822</v>
      </c>
      <c r="F2" s="757">
        <v>20201</v>
      </c>
    </row>
    <row r="3" spans="1:6" x14ac:dyDescent="0.2">
      <c r="A3" s="753">
        <v>849217010</v>
      </c>
      <c r="B3" s="754" t="s">
        <v>1933</v>
      </c>
      <c r="C3" s="755">
        <v>500000</v>
      </c>
      <c r="D3" s="756">
        <v>44081.634861111103</v>
      </c>
      <c r="E3" s="754" t="s">
        <v>4822</v>
      </c>
      <c r="F3" s="757">
        <v>20201</v>
      </c>
    </row>
    <row r="4" spans="1:6" x14ac:dyDescent="0.2">
      <c r="A4" s="753">
        <v>839116016</v>
      </c>
      <c r="B4" s="754" t="s">
        <v>1592</v>
      </c>
      <c r="C4" s="755">
        <v>3000000</v>
      </c>
      <c r="D4" s="756">
        <v>44081.627604166701</v>
      </c>
      <c r="E4" s="754" t="s">
        <v>4823</v>
      </c>
      <c r="F4" s="757">
        <v>20201</v>
      </c>
    </row>
    <row r="5" spans="1:6" x14ac:dyDescent="0.2">
      <c r="A5" s="753">
        <v>829119003</v>
      </c>
      <c r="B5" s="754" t="s">
        <v>2467</v>
      </c>
      <c r="C5" s="755">
        <v>3750000</v>
      </c>
      <c r="D5" s="756">
        <v>44078.915081018502</v>
      </c>
      <c r="E5" s="754" t="s">
        <v>4824</v>
      </c>
      <c r="F5" s="757">
        <v>20201</v>
      </c>
    </row>
    <row r="6" spans="1:6" x14ac:dyDescent="0.2">
      <c r="A6" s="753">
        <v>829119009</v>
      </c>
      <c r="B6" s="754" t="s">
        <v>2470</v>
      </c>
      <c r="C6" s="755">
        <v>3750000</v>
      </c>
      <c r="D6" s="756">
        <v>44078.744236111103</v>
      </c>
      <c r="E6" s="754" t="s">
        <v>4824</v>
      </c>
      <c r="F6" s="757">
        <v>20201</v>
      </c>
    </row>
    <row r="7" spans="1:6" x14ac:dyDescent="0.2">
      <c r="A7" s="753">
        <v>849118023</v>
      </c>
      <c r="B7" s="754" t="s">
        <v>2047</v>
      </c>
      <c r="C7" s="755">
        <v>3750000</v>
      </c>
      <c r="D7" s="756">
        <v>44078.626736111102</v>
      </c>
      <c r="E7" s="754" t="s">
        <v>4825</v>
      </c>
      <c r="F7" s="757">
        <v>20201</v>
      </c>
    </row>
    <row r="8" spans="1:6" x14ac:dyDescent="0.2">
      <c r="A8" s="753">
        <v>839216009</v>
      </c>
      <c r="B8" s="754" t="s">
        <v>1555</v>
      </c>
      <c r="C8" s="755">
        <v>4000000</v>
      </c>
      <c r="D8" s="756">
        <v>44078.618148148104</v>
      </c>
      <c r="E8" s="754" t="s">
        <v>4826</v>
      </c>
      <c r="F8" s="757">
        <v>20201</v>
      </c>
    </row>
    <row r="9" spans="1:6" x14ac:dyDescent="0.2">
      <c r="A9" s="753">
        <v>829119008</v>
      </c>
      <c r="B9" s="754" t="s">
        <v>2468</v>
      </c>
      <c r="C9" s="755">
        <v>3750000</v>
      </c>
      <c r="D9" s="756">
        <v>44078.596550925897</v>
      </c>
      <c r="E9" s="754" t="s">
        <v>4824</v>
      </c>
      <c r="F9" s="757">
        <v>20201</v>
      </c>
    </row>
    <row r="10" spans="1:6" x14ac:dyDescent="0.2">
      <c r="A10" s="753">
        <v>829117013</v>
      </c>
      <c r="B10" s="754" t="s">
        <v>1975</v>
      </c>
      <c r="C10" s="755">
        <v>500000</v>
      </c>
      <c r="D10" s="756">
        <v>44078.456122685202</v>
      </c>
      <c r="E10" s="754" t="s">
        <v>4824</v>
      </c>
      <c r="F10" s="757">
        <v>20201</v>
      </c>
    </row>
    <row r="11" spans="1:6" x14ac:dyDescent="0.2">
      <c r="A11" s="753">
        <v>849217016</v>
      </c>
      <c r="B11" s="754" t="s">
        <v>4827</v>
      </c>
      <c r="C11" s="755">
        <v>6000000</v>
      </c>
      <c r="D11" s="756">
        <v>44078.449895833299</v>
      </c>
      <c r="E11" s="754" t="s">
        <v>4822</v>
      </c>
      <c r="F11" s="757">
        <v>20201</v>
      </c>
    </row>
    <row r="12" spans="1:6" x14ac:dyDescent="0.2">
      <c r="A12" s="753">
        <v>839218036</v>
      </c>
      <c r="B12" s="754" t="s">
        <v>2178</v>
      </c>
      <c r="C12" s="755">
        <v>3750000</v>
      </c>
      <c r="D12" s="756">
        <v>44078.414710648103</v>
      </c>
      <c r="E12" s="754" t="s">
        <v>4826</v>
      </c>
      <c r="F12" s="757">
        <v>20201</v>
      </c>
    </row>
    <row r="13" spans="1:6" x14ac:dyDescent="0.2">
      <c r="A13" s="753">
        <v>839117006</v>
      </c>
      <c r="B13" s="754" t="s">
        <v>1951</v>
      </c>
      <c r="C13" s="755">
        <v>3000000</v>
      </c>
      <c r="D13" s="756">
        <v>44078.371805555602</v>
      </c>
      <c r="E13" s="754" t="s">
        <v>4823</v>
      </c>
      <c r="F13" s="757">
        <v>20201</v>
      </c>
    </row>
    <row r="14" spans="1:6" x14ac:dyDescent="0.2">
      <c r="A14" s="753">
        <v>842919003</v>
      </c>
      <c r="B14" s="754" t="s">
        <v>2532</v>
      </c>
      <c r="C14" s="755">
        <v>6000000</v>
      </c>
      <c r="D14" s="756">
        <v>44077.404571759304</v>
      </c>
      <c r="E14" s="754" t="s">
        <v>4828</v>
      </c>
      <c r="F14" s="757">
        <v>20201</v>
      </c>
    </row>
    <row r="15" spans="1:6" x14ac:dyDescent="0.2">
      <c r="A15" s="753">
        <v>842919009</v>
      </c>
      <c r="B15" s="754" t="s">
        <v>163</v>
      </c>
      <c r="C15" s="755">
        <v>6000000</v>
      </c>
      <c r="D15" s="756">
        <v>44071.910023148099</v>
      </c>
      <c r="E15" s="754" t="s">
        <v>4828</v>
      </c>
      <c r="F15" s="757">
        <v>20201</v>
      </c>
    </row>
    <row r="16" spans="1:6" x14ac:dyDescent="0.2">
      <c r="A16" s="753">
        <v>849119039</v>
      </c>
      <c r="B16" s="754" t="s">
        <v>2373</v>
      </c>
      <c r="C16" s="755">
        <v>3750000</v>
      </c>
      <c r="D16" s="756">
        <v>44071.826423611099</v>
      </c>
      <c r="E16" s="754" t="s">
        <v>4825</v>
      </c>
      <c r="F16" s="757">
        <v>20201</v>
      </c>
    </row>
    <row r="17" spans="1:6" x14ac:dyDescent="0.2">
      <c r="A17" s="753">
        <v>849117007</v>
      </c>
      <c r="B17" s="754" t="s">
        <v>1817</v>
      </c>
      <c r="C17" s="755">
        <v>3000000</v>
      </c>
      <c r="D17" s="756">
        <v>44071.7805324074</v>
      </c>
      <c r="E17" s="754" t="s">
        <v>4825</v>
      </c>
      <c r="F17" s="757">
        <v>20201</v>
      </c>
    </row>
    <row r="18" spans="1:6" x14ac:dyDescent="0.2">
      <c r="A18" s="753">
        <v>849419020</v>
      </c>
      <c r="B18" s="754" t="s">
        <v>1736</v>
      </c>
      <c r="C18" s="755">
        <v>3750000</v>
      </c>
      <c r="D18" s="756">
        <v>44071.760347222204</v>
      </c>
      <c r="E18" s="754" t="s">
        <v>4829</v>
      </c>
      <c r="F18" s="757">
        <v>20201</v>
      </c>
    </row>
    <row r="19" spans="1:6" x14ac:dyDescent="0.2">
      <c r="A19" s="753">
        <v>839218017</v>
      </c>
      <c r="B19" s="754" t="s">
        <v>2135</v>
      </c>
      <c r="C19" s="755">
        <v>3750000</v>
      </c>
      <c r="D19" s="756">
        <v>44071.643842592603</v>
      </c>
      <c r="E19" s="754" t="s">
        <v>4826</v>
      </c>
      <c r="F19" s="757">
        <v>20201</v>
      </c>
    </row>
    <row r="20" spans="1:6" x14ac:dyDescent="0.2">
      <c r="A20" s="753">
        <v>849118007</v>
      </c>
      <c r="B20" s="754" t="s">
        <v>2033</v>
      </c>
      <c r="C20" s="755">
        <v>3750000</v>
      </c>
      <c r="D20" s="756">
        <v>44071.614386574103</v>
      </c>
      <c r="E20" s="754" t="s">
        <v>4825</v>
      </c>
      <c r="F20" s="757">
        <v>20201</v>
      </c>
    </row>
    <row r="21" spans="1:6" x14ac:dyDescent="0.2">
      <c r="A21" s="753">
        <v>842919013</v>
      </c>
      <c r="B21" s="754" t="s">
        <v>2540</v>
      </c>
      <c r="C21" s="755">
        <v>6000000</v>
      </c>
      <c r="D21" s="756">
        <v>44071.613148148099</v>
      </c>
      <c r="E21" s="754" t="s">
        <v>4828</v>
      </c>
      <c r="F21" s="757">
        <v>20201</v>
      </c>
    </row>
    <row r="22" spans="1:6" x14ac:dyDescent="0.2">
      <c r="A22" s="753">
        <v>849118001</v>
      </c>
      <c r="B22" s="754" t="s">
        <v>2026</v>
      </c>
      <c r="C22" s="755">
        <v>3750000</v>
      </c>
      <c r="D22" s="756">
        <v>44071.6074884259</v>
      </c>
      <c r="E22" s="754" t="s">
        <v>4825</v>
      </c>
      <c r="F22" s="757">
        <v>20201</v>
      </c>
    </row>
    <row r="23" spans="1:6" x14ac:dyDescent="0.2">
      <c r="A23" s="753">
        <v>849318038</v>
      </c>
      <c r="B23" s="754" t="s">
        <v>2125</v>
      </c>
      <c r="C23" s="755">
        <v>3750000</v>
      </c>
      <c r="D23" s="756">
        <v>44071.598449074103</v>
      </c>
      <c r="E23" s="754" t="s">
        <v>4821</v>
      </c>
      <c r="F23" s="757">
        <v>20201</v>
      </c>
    </row>
    <row r="24" spans="1:6" x14ac:dyDescent="0.2">
      <c r="A24" s="753">
        <v>839217012</v>
      </c>
      <c r="B24" s="754" t="s">
        <v>1873</v>
      </c>
      <c r="C24" s="755">
        <v>6000000</v>
      </c>
      <c r="D24" s="756">
        <v>44071.5954166667</v>
      </c>
      <c r="E24" s="754" t="s">
        <v>4826</v>
      </c>
      <c r="F24" s="757">
        <v>20201</v>
      </c>
    </row>
    <row r="25" spans="1:6" x14ac:dyDescent="0.2">
      <c r="A25" s="753">
        <v>841917008</v>
      </c>
      <c r="B25" s="754" t="s">
        <v>1989</v>
      </c>
      <c r="C25" s="755">
        <v>24000000</v>
      </c>
      <c r="D25" s="756">
        <v>44071.5940625</v>
      </c>
      <c r="E25" s="754" t="s">
        <v>4830</v>
      </c>
      <c r="F25" s="757">
        <v>20201</v>
      </c>
    </row>
    <row r="26" spans="1:6" x14ac:dyDescent="0.2">
      <c r="A26" s="753">
        <v>849319027</v>
      </c>
      <c r="B26" s="754" t="s">
        <v>2352</v>
      </c>
      <c r="C26" s="755">
        <v>3750000</v>
      </c>
      <c r="D26" s="756">
        <v>44071.593564814801</v>
      </c>
      <c r="E26" s="754" t="s">
        <v>4821</v>
      </c>
      <c r="F26" s="757">
        <v>20201</v>
      </c>
    </row>
    <row r="27" spans="1:6" x14ac:dyDescent="0.2">
      <c r="A27" s="753">
        <v>839118011</v>
      </c>
      <c r="B27" s="754" t="s">
        <v>2235</v>
      </c>
      <c r="C27" s="755">
        <v>3750000</v>
      </c>
      <c r="D27" s="756">
        <v>44071.587129629603</v>
      </c>
      <c r="E27" s="754" t="s">
        <v>4823</v>
      </c>
      <c r="F27" s="757">
        <v>20201</v>
      </c>
    </row>
    <row r="28" spans="1:6" x14ac:dyDescent="0.2">
      <c r="A28" s="753">
        <v>849318027</v>
      </c>
      <c r="B28" s="754" t="s">
        <v>2115</v>
      </c>
      <c r="C28" s="755">
        <v>3750000</v>
      </c>
      <c r="D28" s="756">
        <v>44071.586736111101</v>
      </c>
      <c r="E28" s="754" t="s">
        <v>4821</v>
      </c>
      <c r="F28" s="757">
        <v>20201</v>
      </c>
    </row>
    <row r="29" spans="1:6" x14ac:dyDescent="0.2">
      <c r="A29" s="753">
        <v>839218013</v>
      </c>
      <c r="B29" s="754" t="s">
        <v>319</v>
      </c>
      <c r="C29" s="755">
        <v>3750000</v>
      </c>
      <c r="D29" s="756">
        <v>44071.586423611101</v>
      </c>
      <c r="E29" s="754" t="s">
        <v>4826</v>
      </c>
      <c r="F29" s="757">
        <v>20201</v>
      </c>
    </row>
    <row r="30" spans="1:6" x14ac:dyDescent="0.2">
      <c r="A30" s="753">
        <v>849318029</v>
      </c>
      <c r="B30" s="754" t="s">
        <v>2117</v>
      </c>
      <c r="C30" s="755">
        <v>3750000</v>
      </c>
      <c r="D30" s="756">
        <v>44071.583136574103</v>
      </c>
      <c r="E30" s="754" t="s">
        <v>4821</v>
      </c>
      <c r="F30" s="757">
        <v>20201</v>
      </c>
    </row>
    <row r="31" spans="1:6" x14ac:dyDescent="0.2">
      <c r="A31" s="753">
        <v>849419009</v>
      </c>
      <c r="B31" s="754" t="s">
        <v>2475</v>
      </c>
      <c r="C31" s="755">
        <v>3750000</v>
      </c>
      <c r="D31" s="756">
        <v>44071.579953703702</v>
      </c>
      <c r="E31" s="754" t="s">
        <v>4829</v>
      </c>
      <c r="F31" s="757">
        <v>20201</v>
      </c>
    </row>
    <row r="32" spans="1:6" x14ac:dyDescent="0.2">
      <c r="A32" s="753">
        <v>839119013</v>
      </c>
      <c r="B32" s="754" t="s">
        <v>2454</v>
      </c>
      <c r="C32" s="755">
        <v>3750000</v>
      </c>
      <c r="D32" s="756">
        <v>44071.579814814802</v>
      </c>
      <c r="E32" s="754" t="s">
        <v>4823</v>
      </c>
      <c r="F32" s="757">
        <v>20201</v>
      </c>
    </row>
    <row r="33" spans="1:6" x14ac:dyDescent="0.2">
      <c r="A33" s="753">
        <v>849118011</v>
      </c>
      <c r="B33" s="754" t="s">
        <v>2036</v>
      </c>
      <c r="C33" s="755">
        <v>3750000</v>
      </c>
      <c r="D33" s="756">
        <v>44071.578645833302</v>
      </c>
      <c r="E33" s="754" t="s">
        <v>4825</v>
      </c>
      <c r="F33" s="757">
        <v>20201</v>
      </c>
    </row>
    <row r="34" spans="1:6" x14ac:dyDescent="0.2">
      <c r="A34" s="753">
        <v>841918008</v>
      </c>
      <c r="B34" s="754" t="s">
        <v>606</v>
      </c>
      <c r="C34" s="755">
        <v>8000000</v>
      </c>
      <c r="D34" s="756">
        <v>44071.572476851798</v>
      </c>
      <c r="E34" s="754" t="s">
        <v>4830</v>
      </c>
      <c r="F34" s="757">
        <v>20201</v>
      </c>
    </row>
    <row r="35" spans="1:6" x14ac:dyDescent="0.2">
      <c r="A35" s="753">
        <v>839118013</v>
      </c>
      <c r="B35" s="754" t="s">
        <v>841</v>
      </c>
      <c r="C35" s="755">
        <v>3750000</v>
      </c>
      <c r="D35" s="756">
        <v>44071.5632638889</v>
      </c>
      <c r="E35" s="754" t="s">
        <v>4823</v>
      </c>
      <c r="F35" s="757">
        <v>20201</v>
      </c>
    </row>
    <row r="36" spans="1:6" x14ac:dyDescent="0.2">
      <c r="A36" s="753">
        <v>849218005</v>
      </c>
      <c r="B36" s="754" t="s">
        <v>2194</v>
      </c>
      <c r="C36" s="755">
        <v>3750000</v>
      </c>
      <c r="D36" s="756">
        <v>44071.5623611111</v>
      </c>
      <c r="E36" s="754" t="s">
        <v>4822</v>
      </c>
      <c r="F36" s="757">
        <v>20201</v>
      </c>
    </row>
    <row r="37" spans="1:6" x14ac:dyDescent="0.2">
      <c r="A37" s="753">
        <v>849218010</v>
      </c>
      <c r="B37" s="754" t="s">
        <v>1210</v>
      </c>
      <c r="C37" s="755">
        <v>3750000</v>
      </c>
      <c r="D37" s="756">
        <v>44071.561354166697</v>
      </c>
      <c r="E37" s="754" t="s">
        <v>4822</v>
      </c>
      <c r="F37" s="757">
        <v>20201</v>
      </c>
    </row>
    <row r="38" spans="1:6" x14ac:dyDescent="0.2">
      <c r="A38" s="753">
        <v>839218051</v>
      </c>
      <c r="B38" s="754" t="s">
        <v>2144</v>
      </c>
      <c r="C38" s="755">
        <v>3750000</v>
      </c>
      <c r="D38" s="756">
        <v>44071.560011574104</v>
      </c>
      <c r="E38" s="754" t="s">
        <v>4826</v>
      </c>
      <c r="F38" s="757">
        <v>20201</v>
      </c>
    </row>
    <row r="39" spans="1:6" x14ac:dyDescent="0.2">
      <c r="A39" s="753">
        <v>849317004</v>
      </c>
      <c r="B39" s="754" t="s">
        <v>1758</v>
      </c>
      <c r="C39" s="755">
        <v>3000000</v>
      </c>
      <c r="D39" s="756">
        <v>44071.558807870402</v>
      </c>
      <c r="E39" s="754" t="s">
        <v>4821</v>
      </c>
      <c r="F39" s="757">
        <v>20201</v>
      </c>
    </row>
    <row r="40" spans="1:6" x14ac:dyDescent="0.2">
      <c r="A40" s="753">
        <v>839219022</v>
      </c>
      <c r="B40" s="754" t="s">
        <v>2405</v>
      </c>
      <c r="C40" s="755">
        <v>3750000</v>
      </c>
      <c r="D40" s="756">
        <v>44071.555891203701</v>
      </c>
      <c r="E40" s="754" t="s">
        <v>4826</v>
      </c>
      <c r="F40" s="757">
        <v>20201</v>
      </c>
    </row>
    <row r="41" spans="1:6" x14ac:dyDescent="0.2">
      <c r="A41" s="753">
        <v>849417004</v>
      </c>
      <c r="B41" s="754" t="s">
        <v>1905</v>
      </c>
      <c r="C41" s="755">
        <v>3000000</v>
      </c>
      <c r="D41" s="756">
        <v>44071.555671296301</v>
      </c>
      <c r="E41" s="754" t="s">
        <v>4829</v>
      </c>
      <c r="F41" s="757">
        <v>20201</v>
      </c>
    </row>
    <row r="42" spans="1:6" x14ac:dyDescent="0.2">
      <c r="A42" s="753">
        <v>849317020</v>
      </c>
      <c r="B42" s="754" t="s">
        <v>1774</v>
      </c>
      <c r="C42" s="755">
        <v>3000000</v>
      </c>
      <c r="D42" s="756">
        <v>44071.555601851898</v>
      </c>
      <c r="E42" s="754" t="s">
        <v>4821</v>
      </c>
      <c r="F42" s="757">
        <v>20201</v>
      </c>
    </row>
    <row r="43" spans="1:6" x14ac:dyDescent="0.2">
      <c r="A43" s="753">
        <v>849318054</v>
      </c>
      <c r="B43" s="754" t="s">
        <v>2128</v>
      </c>
      <c r="C43" s="755">
        <v>3750000</v>
      </c>
      <c r="D43" s="756">
        <v>44071.550590277802</v>
      </c>
      <c r="E43" s="754" t="s">
        <v>4821</v>
      </c>
      <c r="F43" s="757">
        <v>20201</v>
      </c>
    </row>
    <row r="44" spans="1:6" x14ac:dyDescent="0.2">
      <c r="A44" s="753">
        <v>841915006</v>
      </c>
      <c r="B44" s="754" t="s">
        <v>1482</v>
      </c>
      <c r="C44" s="755">
        <v>6000000</v>
      </c>
      <c r="D44" s="756">
        <v>44071.544664351903</v>
      </c>
      <c r="E44" s="754" t="s">
        <v>4830</v>
      </c>
      <c r="F44" s="757">
        <v>20201</v>
      </c>
    </row>
    <row r="45" spans="1:6" x14ac:dyDescent="0.2">
      <c r="A45" s="753">
        <v>849118002</v>
      </c>
      <c r="B45" s="754" t="s">
        <v>2028</v>
      </c>
      <c r="C45" s="755">
        <v>3750000</v>
      </c>
      <c r="D45" s="756">
        <v>44071.542361111096</v>
      </c>
      <c r="E45" s="754" t="s">
        <v>4825</v>
      </c>
      <c r="F45" s="757">
        <v>20201</v>
      </c>
    </row>
    <row r="46" spans="1:6" x14ac:dyDescent="0.2">
      <c r="A46" s="753">
        <v>841917019</v>
      </c>
      <c r="B46" s="754" t="s">
        <v>2003</v>
      </c>
      <c r="C46" s="755">
        <v>6000000</v>
      </c>
      <c r="D46" s="756">
        <v>44071.541250000002</v>
      </c>
      <c r="E46" s="754" t="s">
        <v>4830</v>
      </c>
      <c r="F46" s="757">
        <v>20201</v>
      </c>
    </row>
    <row r="47" spans="1:6" x14ac:dyDescent="0.2">
      <c r="A47" s="753">
        <v>849218002</v>
      </c>
      <c r="B47" s="754" t="s">
        <v>2192</v>
      </c>
      <c r="C47" s="755">
        <v>3750000</v>
      </c>
      <c r="D47" s="756">
        <v>44071.533263888901</v>
      </c>
      <c r="E47" s="754" t="s">
        <v>4822</v>
      </c>
      <c r="F47" s="757">
        <v>20201</v>
      </c>
    </row>
    <row r="48" spans="1:6" x14ac:dyDescent="0.2">
      <c r="A48" s="753">
        <v>849217018</v>
      </c>
      <c r="B48" s="754" t="s">
        <v>1942</v>
      </c>
      <c r="C48" s="755">
        <v>3000000</v>
      </c>
      <c r="D48" s="756">
        <v>44071.532407407401</v>
      </c>
      <c r="E48" s="754" t="s">
        <v>4822</v>
      </c>
      <c r="F48" s="757">
        <v>20201</v>
      </c>
    </row>
    <row r="49" spans="1:6" x14ac:dyDescent="0.2">
      <c r="A49" s="753">
        <v>849319021</v>
      </c>
      <c r="B49" s="754" t="s">
        <v>2322</v>
      </c>
      <c r="C49" s="755">
        <v>3750000</v>
      </c>
      <c r="D49" s="756">
        <v>44071.506435185198</v>
      </c>
      <c r="E49" s="754" t="s">
        <v>4821</v>
      </c>
      <c r="F49" s="757">
        <v>20201</v>
      </c>
    </row>
    <row r="50" spans="1:6" x14ac:dyDescent="0.2">
      <c r="A50" s="753">
        <v>849419011</v>
      </c>
      <c r="B50" s="754" t="s">
        <v>2476</v>
      </c>
      <c r="C50" s="755">
        <v>3750000</v>
      </c>
      <c r="D50" s="756">
        <v>44071.4856828704</v>
      </c>
      <c r="E50" s="754" t="s">
        <v>4829</v>
      </c>
      <c r="F50" s="757">
        <v>20201</v>
      </c>
    </row>
    <row r="51" spans="1:6" x14ac:dyDescent="0.2">
      <c r="A51" s="753">
        <v>849318052</v>
      </c>
      <c r="B51" s="754" t="s">
        <v>2081</v>
      </c>
      <c r="C51" s="755">
        <v>3750000</v>
      </c>
      <c r="D51" s="756">
        <v>44071.475775462997</v>
      </c>
      <c r="E51" s="754" t="s">
        <v>4821</v>
      </c>
      <c r="F51" s="757">
        <v>20201</v>
      </c>
    </row>
    <row r="52" spans="1:6" x14ac:dyDescent="0.2">
      <c r="A52" s="753">
        <v>849418010</v>
      </c>
      <c r="B52" s="754" t="s">
        <v>4831</v>
      </c>
      <c r="C52" s="755">
        <v>3750000</v>
      </c>
      <c r="D52" s="756">
        <v>44071.471053240697</v>
      </c>
      <c r="E52" s="754" t="s">
        <v>4829</v>
      </c>
      <c r="F52" s="757">
        <v>20201</v>
      </c>
    </row>
    <row r="53" spans="1:6" x14ac:dyDescent="0.2">
      <c r="A53" s="753">
        <v>849319045</v>
      </c>
      <c r="B53" s="754" t="s">
        <v>2345</v>
      </c>
      <c r="C53" s="755">
        <v>3750000</v>
      </c>
      <c r="D53" s="756">
        <v>44071.452569444402</v>
      </c>
      <c r="E53" s="754" t="s">
        <v>4821</v>
      </c>
      <c r="F53" s="757">
        <v>20201</v>
      </c>
    </row>
    <row r="54" spans="1:6" x14ac:dyDescent="0.2">
      <c r="A54" s="753">
        <v>849319076</v>
      </c>
      <c r="B54" s="754" t="s">
        <v>2348</v>
      </c>
      <c r="C54" s="755">
        <v>3750000</v>
      </c>
      <c r="D54" s="756">
        <v>44071.451423611099</v>
      </c>
      <c r="E54" s="754" t="s">
        <v>4821</v>
      </c>
      <c r="F54" s="757">
        <v>20201</v>
      </c>
    </row>
    <row r="55" spans="1:6" x14ac:dyDescent="0.2">
      <c r="A55" s="753">
        <v>849418022</v>
      </c>
      <c r="B55" s="754" t="s">
        <v>2225</v>
      </c>
      <c r="C55" s="755">
        <v>3750000</v>
      </c>
      <c r="D55" s="756">
        <v>44071.447210648097</v>
      </c>
      <c r="E55" s="754" t="s">
        <v>4829</v>
      </c>
      <c r="F55" s="757">
        <v>20201</v>
      </c>
    </row>
    <row r="56" spans="1:6" x14ac:dyDescent="0.2">
      <c r="A56" s="753">
        <v>849317024</v>
      </c>
      <c r="B56" s="754" t="s">
        <v>1778</v>
      </c>
      <c r="C56" s="755">
        <v>3000000</v>
      </c>
      <c r="D56" s="756">
        <v>44071.443865740701</v>
      </c>
      <c r="E56" s="754" t="s">
        <v>4821</v>
      </c>
      <c r="F56" s="757">
        <v>20201</v>
      </c>
    </row>
    <row r="57" spans="1:6" x14ac:dyDescent="0.2">
      <c r="A57" s="753">
        <v>849217006</v>
      </c>
      <c r="B57" s="754" t="s">
        <v>1929</v>
      </c>
      <c r="C57" s="755">
        <v>3000000</v>
      </c>
      <c r="D57" s="756">
        <v>44071.443564814799</v>
      </c>
      <c r="E57" s="754" t="s">
        <v>4822</v>
      </c>
      <c r="F57" s="757">
        <v>20201</v>
      </c>
    </row>
    <row r="58" spans="1:6" x14ac:dyDescent="0.2">
      <c r="A58" s="753">
        <v>849319047</v>
      </c>
      <c r="B58" s="754" t="s">
        <v>2326</v>
      </c>
      <c r="C58" s="755">
        <v>3750000</v>
      </c>
      <c r="D58" s="756">
        <v>44071.443391203698</v>
      </c>
      <c r="E58" s="754" t="s">
        <v>4821</v>
      </c>
      <c r="F58" s="757">
        <v>20201</v>
      </c>
    </row>
    <row r="59" spans="1:6" x14ac:dyDescent="0.2">
      <c r="A59" s="753">
        <v>839218031</v>
      </c>
      <c r="B59" s="754" t="s">
        <v>2137</v>
      </c>
      <c r="C59" s="755">
        <v>3750000</v>
      </c>
      <c r="D59" s="756">
        <v>44071.436076388898</v>
      </c>
      <c r="E59" s="754" t="s">
        <v>4826</v>
      </c>
      <c r="F59" s="757">
        <v>20201</v>
      </c>
    </row>
    <row r="60" spans="1:6" x14ac:dyDescent="0.2">
      <c r="A60" s="753">
        <v>841919010</v>
      </c>
      <c r="B60" s="754" t="s">
        <v>2505</v>
      </c>
      <c r="C60" s="755">
        <v>8000000</v>
      </c>
      <c r="D60" s="756">
        <v>44071.431828703702</v>
      </c>
      <c r="E60" s="754" t="s">
        <v>4830</v>
      </c>
      <c r="F60" s="757">
        <v>20201</v>
      </c>
    </row>
    <row r="61" spans="1:6" x14ac:dyDescent="0.2">
      <c r="A61" s="753">
        <v>839218005</v>
      </c>
      <c r="B61" s="754" t="s">
        <v>2132</v>
      </c>
      <c r="C61" s="755">
        <v>3750000</v>
      </c>
      <c r="D61" s="756">
        <v>44071.431527777801</v>
      </c>
      <c r="E61" s="754" t="s">
        <v>4826</v>
      </c>
      <c r="F61" s="757">
        <v>20201</v>
      </c>
    </row>
    <row r="62" spans="1:6" x14ac:dyDescent="0.2">
      <c r="A62" s="753">
        <v>849319038</v>
      </c>
      <c r="B62" s="754" t="s">
        <v>2324</v>
      </c>
      <c r="C62" s="755">
        <v>3750000</v>
      </c>
      <c r="D62" s="756">
        <v>44071.427361111098</v>
      </c>
      <c r="E62" s="754" t="s">
        <v>4821</v>
      </c>
      <c r="F62" s="757">
        <v>20201</v>
      </c>
    </row>
    <row r="63" spans="1:6" x14ac:dyDescent="0.2">
      <c r="A63" s="753">
        <v>849118042</v>
      </c>
      <c r="B63" s="754" t="s">
        <v>2022</v>
      </c>
      <c r="C63" s="755">
        <v>3750000</v>
      </c>
      <c r="D63" s="756">
        <v>44071.427106481497</v>
      </c>
      <c r="E63" s="754" t="s">
        <v>4825</v>
      </c>
      <c r="F63" s="757">
        <v>20201</v>
      </c>
    </row>
    <row r="64" spans="1:6" x14ac:dyDescent="0.2">
      <c r="A64" s="753">
        <v>839219024</v>
      </c>
      <c r="B64" s="754" t="s">
        <v>2413</v>
      </c>
      <c r="C64" s="755">
        <v>3750000</v>
      </c>
      <c r="D64" s="756">
        <v>44071.423726851899</v>
      </c>
      <c r="E64" s="754" t="s">
        <v>4826</v>
      </c>
      <c r="F64" s="757">
        <v>20201</v>
      </c>
    </row>
    <row r="65" spans="1:6" x14ac:dyDescent="0.2">
      <c r="A65" s="753">
        <v>849318016</v>
      </c>
      <c r="B65" s="754" t="s">
        <v>2104</v>
      </c>
      <c r="C65" s="755">
        <v>3750000</v>
      </c>
      <c r="D65" s="756">
        <v>44071.420868055597</v>
      </c>
      <c r="E65" s="754" t="s">
        <v>4821</v>
      </c>
      <c r="F65" s="757">
        <v>20201</v>
      </c>
    </row>
    <row r="66" spans="1:6" x14ac:dyDescent="0.2">
      <c r="A66" s="753">
        <v>839219008</v>
      </c>
      <c r="B66" s="754" t="s">
        <v>2420</v>
      </c>
      <c r="C66" s="755">
        <v>3750000</v>
      </c>
      <c r="D66" s="756">
        <v>44071.4147337963</v>
      </c>
      <c r="E66" s="754" t="s">
        <v>4826</v>
      </c>
      <c r="F66" s="757">
        <v>20201</v>
      </c>
    </row>
    <row r="67" spans="1:6" x14ac:dyDescent="0.2">
      <c r="A67" s="753">
        <v>849419016</v>
      </c>
      <c r="B67" s="754" t="s">
        <v>2487</v>
      </c>
      <c r="C67" s="755">
        <v>3750000</v>
      </c>
      <c r="D67" s="756">
        <v>44071.403368055602</v>
      </c>
      <c r="E67" s="754" t="s">
        <v>4829</v>
      </c>
      <c r="F67" s="757">
        <v>20201</v>
      </c>
    </row>
    <row r="68" spans="1:6" x14ac:dyDescent="0.2">
      <c r="A68" s="753">
        <v>839117008</v>
      </c>
      <c r="B68" s="754" t="s">
        <v>1954</v>
      </c>
      <c r="C68" s="755">
        <v>3000000</v>
      </c>
      <c r="D68" s="756">
        <v>44071.403148148202</v>
      </c>
      <c r="E68" s="754" t="s">
        <v>4823</v>
      </c>
      <c r="F68" s="757">
        <v>20201</v>
      </c>
    </row>
    <row r="69" spans="1:6" x14ac:dyDescent="0.2">
      <c r="A69" s="753">
        <v>839217004</v>
      </c>
      <c r="B69" s="754" t="s">
        <v>1865</v>
      </c>
      <c r="C69" s="755">
        <v>3000000</v>
      </c>
      <c r="D69" s="756">
        <v>44071.402870370403</v>
      </c>
      <c r="E69" s="754" t="s">
        <v>4826</v>
      </c>
      <c r="F69" s="757">
        <v>20201</v>
      </c>
    </row>
    <row r="70" spans="1:6" x14ac:dyDescent="0.2">
      <c r="A70" s="753">
        <v>839118027</v>
      </c>
      <c r="B70" s="754" t="s">
        <v>2255</v>
      </c>
      <c r="C70" s="755">
        <v>3750000</v>
      </c>
      <c r="D70" s="756">
        <v>44071.4005555556</v>
      </c>
      <c r="E70" s="754" t="s">
        <v>4823</v>
      </c>
      <c r="F70" s="757">
        <v>20201</v>
      </c>
    </row>
    <row r="71" spans="1:6" x14ac:dyDescent="0.2">
      <c r="A71" s="753">
        <v>839118008</v>
      </c>
      <c r="B71" s="754" t="s">
        <v>2242</v>
      </c>
      <c r="C71" s="755">
        <v>3750000</v>
      </c>
      <c r="D71" s="756">
        <v>44071.3987037037</v>
      </c>
      <c r="E71" s="754" t="s">
        <v>4823</v>
      </c>
      <c r="F71" s="757">
        <v>20201</v>
      </c>
    </row>
    <row r="72" spans="1:6" x14ac:dyDescent="0.2">
      <c r="A72" s="753">
        <v>849218016</v>
      </c>
      <c r="B72" s="754" t="s">
        <v>4832</v>
      </c>
      <c r="C72" s="755">
        <v>3750000</v>
      </c>
      <c r="D72" s="756">
        <v>44071.398310185199</v>
      </c>
      <c r="E72" s="754" t="s">
        <v>4822</v>
      </c>
      <c r="F72" s="757">
        <v>20201</v>
      </c>
    </row>
    <row r="73" spans="1:6" x14ac:dyDescent="0.2">
      <c r="A73" s="753">
        <v>839218030</v>
      </c>
      <c r="B73" s="754" t="s">
        <v>2174</v>
      </c>
      <c r="C73" s="755">
        <v>3750000</v>
      </c>
      <c r="D73" s="756">
        <v>44071.393287036997</v>
      </c>
      <c r="E73" s="754" t="s">
        <v>4826</v>
      </c>
      <c r="F73" s="757">
        <v>20201</v>
      </c>
    </row>
    <row r="74" spans="1:6" x14ac:dyDescent="0.2">
      <c r="A74" s="753">
        <v>839119010</v>
      </c>
      <c r="B74" s="754" t="s">
        <v>2458</v>
      </c>
      <c r="C74" s="755">
        <v>3750000</v>
      </c>
      <c r="D74" s="756">
        <v>44071.388229166703</v>
      </c>
      <c r="E74" s="754" t="s">
        <v>4823</v>
      </c>
      <c r="F74" s="757">
        <v>20201</v>
      </c>
    </row>
    <row r="75" spans="1:6" x14ac:dyDescent="0.2">
      <c r="A75" s="753">
        <v>849419008</v>
      </c>
      <c r="B75" s="754" t="s">
        <v>2478</v>
      </c>
      <c r="C75" s="755">
        <v>3750000</v>
      </c>
      <c r="D75" s="756">
        <v>44071.3808796296</v>
      </c>
      <c r="E75" s="754" t="s">
        <v>4829</v>
      </c>
      <c r="F75" s="757">
        <v>20201</v>
      </c>
    </row>
    <row r="76" spans="1:6" x14ac:dyDescent="0.2">
      <c r="A76" s="753">
        <v>839218010</v>
      </c>
      <c r="B76" s="754" t="s">
        <v>2155</v>
      </c>
      <c r="C76" s="755">
        <v>3750000</v>
      </c>
      <c r="D76" s="756">
        <v>44071.375613425902</v>
      </c>
      <c r="E76" s="754" t="s">
        <v>4826</v>
      </c>
      <c r="F76" s="757">
        <v>20201</v>
      </c>
    </row>
    <row r="77" spans="1:6" x14ac:dyDescent="0.2">
      <c r="A77" s="753">
        <v>849418019</v>
      </c>
      <c r="B77" s="754" t="s">
        <v>2223</v>
      </c>
      <c r="C77" s="755">
        <v>3750000</v>
      </c>
      <c r="D77" s="756">
        <v>44071.371655092596</v>
      </c>
      <c r="E77" s="754" t="s">
        <v>4829</v>
      </c>
      <c r="F77" s="757">
        <v>20201</v>
      </c>
    </row>
    <row r="78" spans="1:6" x14ac:dyDescent="0.2">
      <c r="A78" s="753">
        <v>841917022</v>
      </c>
      <c r="B78" s="754" t="s">
        <v>2006</v>
      </c>
      <c r="C78" s="755">
        <v>6000000</v>
      </c>
      <c r="D78" s="756">
        <v>44071.369398148097</v>
      </c>
      <c r="E78" s="754" t="s">
        <v>4830</v>
      </c>
      <c r="F78" s="757">
        <v>20201</v>
      </c>
    </row>
    <row r="79" spans="1:6" x14ac:dyDescent="0.2">
      <c r="A79" s="753">
        <v>839218046</v>
      </c>
      <c r="B79" s="754" t="s">
        <v>2183</v>
      </c>
      <c r="C79" s="755">
        <v>3750000</v>
      </c>
      <c r="D79" s="756">
        <v>44071.366851851897</v>
      </c>
      <c r="E79" s="754" t="s">
        <v>4826</v>
      </c>
      <c r="F79" s="757">
        <v>20201</v>
      </c>
    </row>
    <row r="80" spans="1:6" x14ac:dyDescent="0.2">
      <c r="A80" s="753">
        <v>849418007</v>
      </c>
      <c r="B80" s="754" t="s">
        <v>2211</v>
      </c>
      <c r="C80" s="755">
        <v>3750000</v>
      </c>
      <c r="D80" s="756">
        <v>44071.366215277798</v>
      </c>
      <c r="E80" s="754" t="s">
        <v>4829</v>
      </c>
      <c r="F80" s="757">
        <v>20201</v>
      </c>
    </row>
    <row r="81" spans="1:6" x14ac:dyDescent="0.2">
      <c r="A81" s="753">
        <v>839119009</v>
      </c>
      <c r="B81" s="754" t="s">
        <v>2457</v>
      </c>
      <c r="C81" s="755">
        <v>3750000</v>
      </c>
      <c r="D81" s="756">
        <v>44071.364652777796</v>
      </c>
      <c r="E81" s="754" t="s">
        <v>4823</v>
      </c>
      <c r="F81" s="757">
        <v>20201</v>
      </c>
    </row>
    <row r="82" spans="1:6" x14ac:dyDescent="0.2">
      <c r="A82" s="753">
        <v>849119016</v>
      </c>
      <c r="B82" s="754" t="s">
        <v>2393</v>
      </c>
      <c r="C82" s="755">
        <v>3750000</v>
      </c>
      <c r="D82" s="756">
        <v>44071.360428240703</v>
      </c>
      <c r="E82" s="754" t="s">
        <v>4825</v>
      </c>
      <c r="F82" s="757">
        <v>20201</v>
      </c>
    </row>
    <row r="83" spans="1:6" x14ac:dyDescent="0.2">
      <c r="A83" s="753">
        <v>841917029</v>
      </c>
      <c r="B83" s="754" t="s">
        <v>1658</v>
      </c>
      <c r="C83" s="755">
        <v>6000000</v>
      </c>
      <c r="D83" s="756">
        <v>44071.359907407401</v>
      </c>
      <c r="E83" s="754" t="s">
        <v>4830</v>
      </c>
      <c r="F83" s="757">
        <v>20201</v>
      </c>
    </row>
    <row r="84" spans="1:6" x14ac:dyDescent="0.2">
      <c r="A84" s="753">
        <v>849317051</v>
      </c>
      <c r="B84" s="754" t="s">
        <v>1807</v>
      </c>
      <c r="C84" s="755">
        <v>4000000</v>
      </c>
      <c r="D84" s="756">
        <v>44071.355381944399</v>
      </c>
      <c r="E84" s="754" t="s">
        <v>4821</v>
      </c>
      <c r="F84" s="757">
        <v>20201</v>
      </c>
    </row>
    <row r="85" spans="1:6" x14ac:dyDescent="0.2">
      <c r="A85" s="753">
        <v>841919016</v>
      </c>
      <c r="B85" s="754" t="s">
        <v>2510</v>
      </c>
      <c r="C85" s="755">
        <v>8000000</v>
      </c>
      <c r="D85" s="756">
        <v>44071.241574074098</v>
      </c>
      <c r="E85" s="754" t="s">
        <v>4830</v>
      </c>
      <c r="F85" s="757">
        <v>20201</v>
      </c>
    </row>
    <row r="86" spans="1:6" x14ac:dyDescent="0.2">
      <c r="A86" s="753">
        <v>849118013</v>
      </c>
      <c r="B86" s="754" t="s">
        <v>4833</v>
      </c>
      <c r="C86" s="755">
        <v>3750000</v>
      </c>
      <c r="D86" s="756">
        <v>44070.801319444399</v>
      </c>
      <c r="E86" s="754" t="s">
        <v>4825</v>
      </c>
      <c r="F86" s="757">
        <v>20201</v>
      </c>
    </row>
    <row r="87" spans="1:6" x14ac:dyDescent="0.2">
      <c r="A87" s="753">
        <v>841919008</v>
      </c>
      <c r="B87" s="754" t="s">
        <v>2517</v>
      </c>
      <c r="C87" s="755">
        <v>8000000</v>
      </c>
      <c r="D87" s="756">
        <v>44070.655555555597</v>
      </c>
      <c r="E87" s="754" t="s">
        <v>4830</v>
      </c>
      <c r="F87" s="757">
        <v>20201</v>
      </c>
    </row>
    <row r="88" spans="1:6" x14ac:dyDescent="0.2">
      <c r="A88" s="753">
        <v>849318034</v>
      </c>
      <c r="B88" s="754" t="s">
        <v>2121</v>
      </c>
      <c r="C88" s="755">
        <v>3750000</v>
      </c>
      <c r="D88" s="756">
        <v>44070.614479166703</v>
      </c>
      <c r="E88" s="754" t="s">
        <v>4821</v>
      </c>
      <c r="F88" s="757">
        <v>20201</v>
      </c>
    </row>
    <row r="89" spans="1:6" x14ac:dyDescent="0.2">
      <c r="A89" s="753">
        <v>849117039</v>
      </c>
      <c r="B89" s="754" t="s">
        <v>1853</v>
      </c>
      <c r="C89" s="755">
        <v>3000000</v>
      </c>
      <c r="D89" s="756">
        <v>44070.601238425901</v>
      </c>
      <c r="E89" s="754" t="s">
        <v>4825</v>
      </c>
      <c r="F89" s="757">
        <v>20201</v>
      </c>
    </row>
    <row r="90" spans="1:6" x14ac:dyDescent="0.2">
      <c r="A90" s="753">
        <v>849316043</v>
      </c>
      <c r="B90" s="754" t="s">
        <v>1655</v>
      </c>
      <c r="C90" s="755">
        <v>500000</v>
      </c>
      <c r="D90" s="756">
        <v>44070.590706018498</v>
      </c>
      <c r="E90" s="754" t="s">
        <v>4821</v>
      </c>
      <c r="F90" s="757">
        <v>20201</v>
      </c>
    </row>
    <row r="91" spans="1:6" x14ac:dyDescent="0.2">
      <c r="A91" s="753">
        <v>841915023</v>
      </c>
      <c r="B91" s="754" t="s">
        <v>4834</v>
      </c>
      <c r="C91" s="755">
        <v>6000000</v>
      </c>
      <c r="D91" s="756">
        <v>44070.578009259298</v>
      </c>
      <c r="E91" s="754" t="s">
        <v>4830</v>
      </c>
      <c r="F91" s="757">
        <v>20201</v>
      </c>
    </row>
    <row r="92" spans="1:6" x14ac:dyDescent="0.2">
      <c r="A92" s="753">
        <v>849118005</v>
      </c>
      <c r="B92" s="754" t="s">
        <v>2031</v>
      </c>
      <c r="C92" s="755">
        <v>3750000</v>
      </c>
      <c r="D92" s="756">
        <v>44070.574444444399</v>
      </c>
      <c r="E92" s="754" t="s">
        <v>4825</v>
      </c>
      <c r="F92" s="757">
        <v>20201</v>
      </c>
    </row>
    <row r="93" spans="1:6" x14ac:dyDescent="0.2">
      <c r="A93" s="753">
        <v>849118035</v>
      </c>
      <c r="B93" s="754" t="s">
        <v>2057</v>
      </c>
      <c r="C93" s="755">
        <v>3750000</v>
      </c>
      <c r="D93" s="756">
        <v>44070.562384259298</v>
      </c>
      <c r="E93" s="754" t="s">
        <v>4825</v>
      </c>
      <c r="F93" s="757">
        <v>20201</v>
      </c>
    </row>
    <row r="94" spans="1:6" x14ac:dyDescent="0.2">
      <c r="A94" s="753">
        <v>849317012</v>
      </c>
      <c r="B94" s="754" t="s">
        <v>1766</v>
      </c>
      <c r="C94" s="755">
        <v>3000000</v>
      </c>
      <c r="D94" s="756">
        <v>44070.559768518498</v>
      </c>
      <c r="E94" s="754" t="s">
        <v>4821</v>
      </c>
      <c r="F94" s="757">
        <v>20201</v>
      </c>
    </row>
    <row r="95" spans="1:6" x14ac:dyDescent="0.2">
      <c r="A95" s="753">
        <v>849419001</v>
      </c>
      <c r="B95" s="754" t="s">
        <v>2473</v>
      </c>
      <c r="C95" s="755">
        <v>3750000</v>
      </c>
      <c r="D95" s="756">
        <v>44070.557731481502</v>
      </c>
      <c r="E95" s="754" t="s">
        <v>4829</v>
      </c>
      <c r="F95" s="757">
        <v>20201</v>
      </c>
    </row>
    <row r="96" spans="1:6" x14ac:dyDescent="0.2">
      <c r="A96" s="753">
        <v>839118007</v>
      </c>
      <c r="B96" s="754" t="s">
        <v>2234</v>
      </c>
      <c r="C96" s="755">
        <v>3750000</v>
      </c>
      <c r="D96" s="756">
        <v>44070.556840277801</v>
      </c>
      <c r="E96" s="754" t="s">
        <v>4823</v>
      </c>
      <c r="F96" s="757">
        <v>20201</v>
      </c>
    </row>
    <row r="97" spans="1:6" x14ac:dyDescent="0.2">
      <c r="A97" s="753">
        <v>839219028</v>
      </c>
      <c r="B97" s="754" t="s">
        <v>2397</v>
      </c>
      <c r="C97" s="755">
        <v>3750000</v>
      </c>
      <c r="D97" s="756">
        <v>44070.5550925926</v>
      </c>
      <c r="E97" s="754" t="s">
        <v>4826</v>
      </c>
      <c r="F97" s="757">
        <v>20201</v>
      </c>
    </row>
    <row r="98" spans="1:6" x14ac:dyDescent="0.2">
      <c r="A98" s="753">
        <v>839218014</v>
      </c>
      <c r="B98" s="754" t="s">
        <v>2157</v>
      </c>
      <c r="C98" s="755">
        <v>3750000</v>
      </c>
      <c r="D98" s="756">
        <v>44070.554652777799</v>
      </c>
      <c r="E98" s="754" t="s">
        <v>4826</v>
      </c>
      <c r="F98" s="757">
        <v>20201</v>
      </c>
    </row>
    <row r="99" spans="1:6" x14ac:dyDescent="0.2">
      <c r="A99" s="753">
        <v>839118019</v>
      </c>
      <c r="B99" s="754" t="s">
        <v>2248</v>
      </c>
      <c r="C99" s="755">
        <v>500000</v>
      </c>
      <c r="D99" s="756">
        <v>44070.553912037001</v>
      </c>
      <c r="E99" s="754" t="s">
        <v>4823</v>
      </c>
      <c r="F99" s="757">
        <v>20201</v>
      </c>
    </row>
    <row r="100" spans="1:6" x14ac:dyDescent="0.2">
      <c r="A100" s="753">
        <v>849418015</v>
      </c>
      <c r="B100" s="754" t="s">
        <v>2219</v>
      </c>
      <c r="C100" s="755">
        <v>3750000</v>
      </c>
      <c r="D100" s="756">
        <v>44070.551909722199</v>
      </c>
      <c r="E100" s="754" t="s">
        <v>4829</v>
      </c>
      <c r="F100" s="757">
        <v>20201</v>
      </c>
    </row>
    <row r="101" spans="1:6" x14ac:dyDescent="0.2">
      <c r="A101" s="753">
        <v>839118020</v>
      </c>
      <c r="B101" s="754" t="s">
        <v>2249</v>
      </c>
      <c r="C101" s="755">
        <v>3750000</v>
      </c>
      <c r="D101" s="756">
        <v>44070.547222222202</v>
      </c>
      <c r="E101" s="754" t="s">
        <v>4823</v>
      </c>
      <c r="F101" s="757">
        <v>20201</v>
      </c>
    </row>
    <row r="102" spans="1:6" x14ac:dyDescent="0.2">
      <c r="A102" s="753">
        <v>839118018</v>
      </c>
      <c r="B102" s="754" t="s">
        <v>2247</v>
      </c>
      <c r="C102" s="755">
        <v>3750000</v>
      </c>
      <c r="D102" s="756">
        <v>44070.5455671296</v>
      </c>
      <c r="E102" s="754" t="s">
        <v>4823</v>
      </c>
      <c r="F102" s="757">
        <v>20201</v>
      </c>
    </row>
    <row r="103" spans="1:6" x14ac:dyDescent="0.2">
      <c r="A103" s="753">
        <v>839118021</v>
      </c>
      <c r="B103" s="754" t="s">
        <v>2250</v>
      </c>
      <c r="C103" s="755">
        <v>3750000</v>
      </c>
      <c r="D103" s="756">
        <v>44070.541782407403</v>
      </c>
      <c r="E103" s="754" t="s">
        <v>4823</v>
      </c>
      <c r="F103" s="757">
        <v>20201</v>
      </c>
    </row>
    <row r="104" spans="1:6" x14ac:dyDescent="0.2">
      <c r="A104" s="753">
        <v>849118050</v>
      </c>
      <c r="B104" s="754" t="s">
        <v>2059</v>
      </c>
      <c r="C104" s="755">
        <v>3750000</v>
      </c>
      <c r="D104" s="756">
        <v>44070.534409722197</v>
      </c>
      <c r="E104" s="754" t="s">
        <v>4825</v>
      </c>
      <c r="F104" s="757">
        <v>20201</v>
      </c>
    </row>
    <row r="105" spans="1:6" x14ac:dyDescent="0.2">
      <c r="A105" s="753">
        <v>839219007</v>
      </c>
      <c r="B105" s="754" t="s">
        <v>4786</v>
      </c>
      <c r="C105" s="755">
        <v>3750000</v>
      </c>
      <c r="D105" s="756">
        <v>44070.498807870397</v>
      </c>
      <c r="E105" s="754" t="s">
        <v>4826</v>
      </c>
      <c r="F105" s="757">
        <v>20201</v>
      </c>
    </row>
    <row r="106" spans="1:6" x14ac:dyDescent="0.2">
      <c r="A106" s="753">
        <v>849119032</v>
      </c>
      <c r="B106" s="754" t="s">
        <v>2357</v>
      </c>
      <c r="C106" s="755">
        <v>3750000</v>
      </c>
      <c r="D106" s="756">
        <v>44070.493437500001</v>
      </c>
      <c r="E106" s="754" t="s">
        <v>4825</v>
      </c>
      <c r="F106" s="757">
        <v>20201</v>
      </c>
    </row>
    <row r="107" spans="1:6" x14ac:dyDescent="0.2">
      <c r="A107" s="753">
        <v>849319035</v>
      </c>
      <c r="B107" s="754" t="s">
        <v>2328</v>
      </c>
      <c r="C107" s="755">
        <v>3750000</v>
      </c>
      <c r="D107" s="756">
        <v>44070.473402777803</v>
      </c>
      <c r="E107" s="754" t="s">
        <v>4821</v>
      </c>
      <c r="F107" s="757">
        <v>20201</v>
      </c>
    </row>
    <row r="108" spans="1:6" x14ac:dyDescent="0.2">
      <c r="A108" s="753">
        <v>839218022</v>
      </c>
      <c r="B108" s="754" t="s">
        <v>2163</v>
      </c>
      <c r="C108" s="755">
        <v>3750000</v>
      </c>
      <c r="D108" s="756">
        <v>44070.461423611101</v>
      </c>
      <c r="E108" s="754" t="s">
        <v>4826</v>
      </c>
      <c r="F108" s="757">
        <v>20201</v>
      </c>
    </row>
    <row r="109" spans="1:6" x14ac:dyDescent="0.2">
      <c r="A109" s="753">
        <v>839118016</v>
      </c>
      <c r="B109" s="754" t="s">
        <v>2246</v>
      </c>
      <c r="C109" s="755">
        <v>3750000</v>
      </c>
      <c r="D109" s="756">
        <v>44070.460590277798</v>
      </c>
      <c r="E109" s="754" t="s">
        <v>4823</v>
      </c>
      <c r="F109" s="757">
        <v>20201</v>
      </c>
    </row>
    <row r="110" spans="1:6" x14ac:dyDescent="0.2">
      <c r="A110" s="753">
        <v>839219030</v>
      </c>
      <c r="B110" s="754" t="s">
        <v>2425</v>
      </c>
      <c r="C110" s="755">
        <v>3750000</v>
      </c>
      <c r="D110" s="756">
        <v>44070.449270833298</v>
      </c>
      <c r="E110" s="754" t="s">
        <v>4826</v>
      </c>
      <c r="F110" s="757">
        <v>20201</v>
      </c>
    </row>
    <row r="111" spans="1:6" x14ac:dyDescent="0.2">
      <c r="A111" s="753">
        <v>849318044</v>
      </c>
      <c r="B111" s="754" t="s">
        <v>2075</v>
      </c>
      <c r="C111" s="755">
        <v>3750000</v>
      </c>
      <c r="D111" s="756">
        <v>44070.438425925902</v>
      </c>
      <c r="E111" s="754" t="s">
        <v>4821</v>
      </c>
      <c r="F111" s="757">
        <v>20201</v>
      </c>
    </row>
    <row r="112" spans="1:6" x14ac:dyDescent="0.2">
      <c r="A112" s="753">
        <v>849318045</v>
      </c>
      <c r="B112" s="754" t="s">
        <v>4835</v>
      </c>
      <c r="C112" s="755">
        <v>3750000</v>
      </c>
      <c r="D112" s="756">
        <v>44070.4374074074</v>
      </c>
      <c r="E112" s="754" t="s">
        <v>4821</v>
      </c>
      <c r="F112" s="757">
        <v>20201</v>
      </c>
    </row>
    <row r="113" spans="1:6" x14ac:dyDescent="0.2">
      <c r="A113" s="753">
        <v>839219032</v>
      </c>
      <c r="B113" s="754" t="s">
        <v>2427</v>
      </c>
      <c r="C113" s="755">
        <v>3750000</v>
      </c>
      <c r="D113" s="756">
        <v>44070.437280092599</v>
      </c>
      <c r="E113" s="754" t="s">
        <v>4826</v>
      </c>
      <c r="F113" s="757">
        <v>20201</v>
      </c>
    </row>
    <row r="114" spans="1:6" x14ac:dyDescent="0.2">
      <c r="A114" s="753">
        <v>842919007</v>
      </c>
      <c r="B114" s="754" t="s">
        <v>2536</v>
      </c>
      <c r="C114" s="755">
        <v>6000000</v>
      </c>
      <c r="D114" s="756">
        <v>44070.435763888898</v>
      </c>
      <c r="E114" s="754" t="s">
        <v>4828</v>
      </c>
      <c r="F114" s="757">
        <v>20201</v>
      </c>
    </row>
    <row r="115" spans="1:6" x14ac:dyDescent="0.2">
      <c r="A115" s="753">
        <v>839218034</v>
      </c>
      <c r="B115" s="754" t="s">
        <v>2166</v>
      </c>
      <c r="C115" s="755">
        <v>3750000</v>
      </c>
      <c r="D115" s="756">
        <v>44070.4313541667</v>
      </c>
      <c r="E115" s="754" t="s">
        <v>4826</v>
      </c>
      <c r="F115" s="757">
        <v>20201</v>
      </c>
    </row>
    <row r="116" spans="1:6" x14ac:dyDescent="0.2">
      <c r="A116" s="753">
        <v>849417013</v>
      </c>
      <c r="B116" s="754" t="s">
        <v>1914</v>
      </c>
      <c r="C116" s="755">
        <v>3000000</v>
      </c>
      <c r="D116" s="756">
        <v>44070.423437500001</v>
      </c>
      <c r="E116" s="754" t="s">
        <v>4829</v>
      </c>
      <c r="F116" s="757">
        <v>20201</v>
      </c>
    </row>
    <row r="117" spans="1:6" x14ac:dyDescent="0.2">
      <c r="A117" s="753">
        <v>849419017</v>
      </c>
      <c r="B117" s="754" t="s">
        <v>2477</v>
      </c>
      <c r="C117" s="755">
        <v>3750000</v>
      </c>
      <c r="D117" s="756">
        <v>44070.4231365741</v>
      </c>
      <c r="E117" s="754" t="s">
        <v>4829</v>
      </c>
      <c r="F117" s="757">
        <v>20201</v>
      </c>
    </row>
    <row r="118" spans="1:6" x14ac:dyDescent="0.2">
      <c r="A118" s="753">
        <v>849118036</v>
      </c>
      <c r="B118" s="754" t="s">
        <v>2017</v>
      </c>
      <c r="C118" s="755">
        <v>3750000</v>
      </c>
      <c r="D118" s="756">
        <v>44070.414618055598</v>
      </c>
      <c r="E118" s="754" t="s">
        <v>4825</v>
      </c>
      <c r="F118" s="757">
        <v>20201</v>
      </c>
    </row>
    <row r="119" spans="1:6" x14ac:dyDescent="0.2">
      <c r="A119" s="753">
        <v>839219027</v>
      </c>
      <c r="B119" s="754" t="s">
        <v>2404</v>
      </c>
      <c r="C119" s="755">
        <v>3750000</v>
      </c>
      <c r="D119" s="756">
        <v>44070.412824074097</v>
      </c>
      <c r="E119" s="754" t="s">
        <v>4826</v>
      </c>
      <c r="F119" s="757">
        <v>20201</v>
      </c>
    </row>
    <row r="120" spans="1:6" x14ac:dyDescent="0.2">
      <c r="A120" s="753">
        <v>849218008</v>
      </c>
      <c r="B120" s="754" t="s">
        <v>2197</v>
      </c>
      <c r="C120" s="755">
        <v>3750000</v>
      </c>
      <c r="D120" s="756">
        <v>44070.411921296298</v>
      </c>
      <c r="E120" s="754" t="s">
        <v>4822</v>
      </c>
      <c r="F120" s="757">
        <v>20201</v>
      </c>
    </row>
    <row r="121" spans="1:6" x14ac:dyDescent="0.2">
      <c r="A121" s="753">
        <v>839119004</v>
      </c>
      <c r="B121" s="754" t="s">
        <v>2455</v>
      </c>
      <c r="C121" s="755">
        <v>3750000</v>
      </c>
      <c r="D121" s="756">
        <v>44070.410555555602</v>
      </c>
      <c r="E121" s="754" t="s">
        <v>4823</v>
      </c>
      <c r="F121" s="757">
        <v>20201</v>
      </c>
    </row>
    <row r="122" spans="1:6" x14ac:dyDescent="0.2">
      <c r="A122" s="753">
        <v>849318022</v>
      </c>
      <c r="B122" s="754" t="s">
        <v>2110</v>
      </c>
      <c r="C122" s="755">
        <v>3750000</v>
      </c>
      <c r="D122" s="756">
        <v>44070.405324074098</v>
      </c>
      <c r="E122" s="754" t="s">
        <v>4821</v>
      </c>
      <c r="F122" s="757">
        <v>20201</v>
      </c>
    </row>
    <row r="123" spans="1:6" x14ac:dyDescent="0.2">
      <c r="A123" s="753">
        <v>849418005</v>
      </c>
      <c r="B123" s="754" t="s">
        <v>2209</v>
      </c>
      <c r="C123" s="755">
        <v>3750000</v>
      </c>
      <c r="D123" s="756">
        <v>44070.404201388897</v>
      </c>
      <c r="E123" s="754" t="s">
        <v>4829</v>
      </c>
      <c r="F123" s="757">
        <v>20201</v>
      </c>
    </row>
    <row r="124" spans="1:6" x14ac:dyDescent="0.2">
      <c r="A124" s="753">
        <v>839219004</v>
      </c>
      <c r="B124" s="754" t="s">
        <v>2426</v>
      </c>
      <c r="C124" s="755">
        <v>3750000</v>
      </c>
      <c r="D124" s="756">
        <v>44070.402499999997</v>
      </c>
      <c r="E124" s="754" t="s">
        <v>4826</v>
      </c>
      <c r="F124" s="757">
        <v>20201</v>
      </c>
    </row>
    <row r="125" spans="1:6" x14ac:dyDescent="0.2">
      <c r="A125" s="753">
        <v>849118033</v>
      </c>
      <c r="B125" s="754" t="s">
        <v>2055</v>
      </c>
      <c r="C125" s="755">
        <v>3750000</v>
      </c>
      <c r="D125" s="756">
        <v>44070.401724536998</v>
      </c>
      <c r="E125" s="754" t="s">
        <v>4825</v>
      </c>
      <c r="F125" s="757">
        <v>20201</v>
      </c>
    </row>
    <row r="126" spans="1:6" x14ac:dyDescent="0.2">
      <c r="A126" s="753">
        <v>849117004</v>
      </c>
      <c r="B126" s="754" t="s">
        <v>1814</v>
      </c>
      <c r="C126" s="755">
        <v>3000000</v>
      </c>
      <c r="D126" s="756">
        <v>44070.393217592602</v>
      </c>
      <c r="E126" s="754" t="s">
        <v>4825</v>
      </c>
      <c r="F126" s="757">
        <v>20201</v>
      </c>
    </row>
    <row r="127" spans="1:6" x14ac:dyDescent="0.2">
      <c r="A127" s="753">
        <v>839119008</v>
      </c>
      <c r="B127" s="754" t="s">
        <v>2447</v>
      </c>
      <c r="C127" s="755">
        <v>3750000</v>
      </c>
      <c r="D127" s="756">
        <v>44070.390740740702</v>
      </c>
      <c r="E127" s="754" t="s">
        <v>4823</v>
      </c>
      <c r="F127" s="757">
        <v>20201</v>
      </c>
    </row>
    <row r="128" spans="1:6" x14ac:dyDescent="0.2">
      <c r="A128" s="753">
        <v>841917013</v>
      </c>
      <c r="B128" s="754" t="s">
        <v>1996</v>
      </c>
      <c r="C128" s="755">
        <v>1500000</v>
      </c>
      <c r="D128" s="756">
        <v>44070.384814814803</v>
      </c>
      <c r="E128" s="754" t="s">
        <v>4830</v>
      </c>
      <c r="F128" s="757">
        <v>20201</v>
      </c>
    </row>
    <row r="129" spans="1:6" x14ac:dyDescent="0.2">
      <c r="A129" s="753">
        <v>841917013</v>
      </c>
      <c r="B129" s="754" t="s">
        <v>1996</v>
      </c>
      <c r="C129" s="755">
        <v>6000000</v>
      </c>
      <c r="D129" s="756">
        <v>44070.343634259298</v>
      </c>
      <c r="E129" s="754" t="s">
        <v>4830</v>
      </c>
      <c r="F129" s="757">
        <v>20201</v>
      </c>
    </row>
    <row r="130" spans="1:6" x14ac:dyDescent="0.2">
      <c r="A130" s="753">
        <v>849219008</v>
      </c>
      <c r="B130" s="754" t="s">
        <v>2430</v>
      </c>
      <c r="C130" s="755">
        <v>3750000</v>
      </c>
      <c r="D130" s="756">
        <v>44070.384525463</v>
      </c>
      <c r="E130" s="754" t="s">
        <v>4822</v>
      </c>
      <c r="F130" s="757">
        <v>20201</v>
      </c>
    </row>
    <row r="131" spans="1:6" x14ac:dyDescent="0.2">
      <c r="A131" s="753">
        <v>841917015</v>
      </c>
      <c r="B131" s="754" t="s">
        <v>1999</v>
      </c>
      <c r="C131" s="755">
        <v>6000000</v>
      </c>
      <c r="D131" s="756">
        <v>44070.383229166699</v>
      </c>
      <c r="E131" s="754" t="s">
        <v>4830</v>
      </c>
      <c r="F131" s="757">
        <v>20201</v>
      </c>
    </row>
    <row r="132" spans="1:6" x14ac:dyDescent="0.2">
      <c r="A132" s="753">
        <v>839219012</v>
      </c>
      <c r="B132" s="754" t="s">
        <v>2401</v>
      </c>
      <c r="C132" s="755">
        <v>3750000</v>
      </c>
      <c r="D132" s="756">
        <v>44070.382152777798</v>
      </c>
      <c r="E132" s="754" t="s">
        <v>4826</v>
      </c>
      <c r="F132" s="757">
        <v>20201</v>
      </c>
    </row>
    <row r="133" spans="1:6" x14ac:dyDescent="0.2">
      <c r="A133" s="753">
        <v>829220002</v>
      </c>
      <c r="B133" s="754" t="s">
        <v>2494</v>
      </c>
      <c r="C133" s="755">
        <v>3750000</v>
      </c>
      <c r="D133" s="756">
        <v>44070.365162037</v>
      </c>
      <c r="E133" s="754" t="s">
        <v>4836</v>
      </c>
      <c r="F133" s="757">
        <v>20201</v>
      </c>
    </row>
    <row r="134" spans="1:6" x14ac:dyDescent="0.2">
      <c r="A134" s="753">
        <v>849318014</v>
      </c>
      <c r="B134" s="754" t="s">
        <v>2102</v>
      </c>
      <c r="C134" s="755">
        <v>3750000</v>
      </c>
      <c r="D134" s="756">
        <v>44070.3566319444</v>
      </c>
      <c r="E134" s="754" t="s">
        <v>4821</v>
      </c>
      <c r="F134" s="757">
        <v>20201</v>
      </c>
    </row>
    <row r="135" spans="1:6" x14ac:dyDescent="0.2">
      <c r="A135" s="753">
        <v>839119011</v>
      </c>
      <c r="B135" s="754" t="s">
        <v>2446</v>
      </c>
      <c r="C135" s="755">
        <v>3750000</v>
      </c>
      <c r="D135" s="756">
        <v>44070.346307870401</v>
      </c>
      <c r="E135" s="754" t="s">
        <v>4823</v>
      </c>
      <c r="F135" s="757">
        <v>20201</v>
      </c>
    </row>
    <row r="136" spans="1:6" x14ac:dyDescent="0.2">
      <c r="A136" s="753">
        <v>849219005</v>
      </c>
      <c r="B136" s="754" t="s">
        <v>2439</v>
      </c>
      <c r="C136" s="755">
        <v>3750000</v>
      </c>
      <c r="D136" s="756">
        <v>44069.814594907402</v>
      </c>
      <c r="E136" s="754" t="s">
        <v>4822</v>
      </c>
      <c r="F136" s="757">
        <v>20201</v>
      </c>
    </row>
    <row r="137" spans="1:6" x14ac:dyDescent="0.2">
      <c r="A137" s="753">
        <v>839119016</v>
      </c>
      <c r="B137" s="754" t="s">
        <v>2443</v>
      </c>
      <c r="C137" s="755">
        <v>3750000</v>
      </c>
      <c r="D137" s="756">
        <v>44069.598206018498</v>
      </c>
      <c r="E137" s="754" t="s">
        <v>4823</v>
      </c>
      <c r="F137" s="757">
        <v>20201</v>
      </c>
    </row>
    <row r="138" spans="1:6" x14ac:dyDescent="0.2">
      <c r="A138" s="753">
        <v>839218027</v>
      </c>
      <c r="B138" s="754" t="s">
        <v>2171</v>
      </c>
      <c r="C138" s="755">
        <v>3750000</v>
      </c>
      <c r="D138" s="756">
        <v>44069.590497685203</v>
      </c>
      <c r="E138" s="754" t="s">
        <v>4826</v>
      </c>
      <c r="F138" s="757">
        <v>20201</v>
      </c>
    </row>
    <row r="139" spans="1:6" x14ac:dyDescent="0.2">
      <c r="A139" s="753">
        <v>839218006</v>
      </c>
      <c r="B139" s="754" t="s">
        <v>2152</v>
      </c>
      <c r="C139" s="755">
        <v>3750000</v>
      </c>
      <c r="D139" s="756">
        <v>44069.562430555598</v>
      </c>
      <c r="E139" s="754" t="s">
        <v>4826</v>
      </c>
      <c r="F139" s="757">
        <v>20201</v>
      </c>
    </row>
    <row r="140" spans="1:6" x14ac:dyDescent="0.2">
      <c r="A140" s="753">
        <v>849118019</v>
      </c>
      <c r="B140" s="754" t="s">
        <v>2043</v>
      </c>
      <c r="C140" s="755">
        <v>3750000</v>
      </c>
      <c r="D140" s="756">
        <v>44069.561087962997</v>
      </c>
      <c r="E140" s="754" t="s">
        <v>4825</v>
      </c>
      <c r="F140" s="757">
        <v>20201</v>
      </c>
    </row>
    <row r="141" spans="1:6" x14ac:dyDescent="0.2">
      <c r="A141" s="753">
        <v>849419003</v>
      </c>
      <c r="B141" s="754" t="s">
        <v>2488</v>
      </c>
      <c r="C141" s="755">
        <v>3750000</v>
      </c>
      <c r="D141" s="756">
        <v>44069.550231481502</v>
      </c>
      <c r="E141" s="754" t="s">
        <v>4829</v>
      </c>
      <c r="F141" s="757">
        <v>20201</v>
      </c>
    </row>
    <row r="142" spans="1:6" x14ac:dyDescent="0.2">
      <c r="A142" s="753">
        <v>849319025</v>
      </c>
      <c r="B142" s="754" t="s">
        <v>2336</v>
      </c>
      <c r="C142" s="755">
        <v>3750000</v>
      </c>
      <c r="D142" s="756">
        <v>44069.519895833299</v>
      </c>
      <c r="E142" s="754" t="s">
        <v>4821</v>
      </c>
      <c r="F142" s="757">
        <v>20201</v>
      </c>
    </row>
    <row r="143" spans="1:6" x14ac:dyDescent="0.2">
      <c r="A143" s="753">
        <v>849319028</v>
      </c>
      <c r="B143" s="754" t="s">
        <v>2346</v>
      </c>
      <c r="C143" s="755">
        <v>3750000</v>
      </c>
      <c r="D143" s="756">
        <v>44069.518460648098</v>
      </c>
      <c r="E143" s="754" t="s">
        <v>4821</v>
      </c>
      <c r="F143" s="757">
        <v>20201</v>
      </c>
    </row>
    <row r="144" spans="1:6" x14ac:dyDescent="0.2">
      <c r="A144" s="753">
        <v>849219010</v>
      </c>
      <c r="B144" s="754" t="s">
        <v>2432</v>
      </c>
      <c r="C144" s="755">
        <v>3750000</v>
      </c>
      <c r="D144" s="756">
        <v>44069.487187500003</v>
      </c>
      <c r="E144" s="754" t="s">
        <v>4822</v>
      </c>
      <c r="F144" s="757">
        <v>20201</v>
      </c>
    </row>
    <row r="145" spans="1:6" x14ac:dyDescent="0.2">
      <c r="A145" s="753">
        <v>839117014</v>
      </c>
      <c r="B145" s="754" t="s">
        <v>4837</v>
      </c>
      <c r="C145" s="755">
        <v>3000000</v>
      </c>
      <c r="D145" s="756">
        <v>44069.464074074102</v>
      </c>
      <c r="E145" s="754" t="s">
        <v>4823</v>
      </c>
      <c r="F145" s="757">
        <v>20201</v>
      </c>
    </row>
    <row r="146" spans="1:6" x14ac:dyDescent="0.2">
      <c r="A146" s="753">
        <v>839118025</v>
      </c>
      <c r="B146" s="754" t="s">
        <v>2253</v>
      </c>
      <c r="C146" s="755">
        <v>500000</v>
      </c>
      <c r="D146" s="756">
        <v>44069.454618055599</v>
      </c>
      <c r="E146" s="754" t="s">
        <v>4823</v>
      </c>
      <c r="F146" s="757">
        <v>20201</v>
      </c>
    </row>
    <row r="147" spans="1:6" x14ac:dyDescent="0.2">
      <c r="A147" s="753">
        <v>849319033</v>
      </c>
      <c r="B147" s="754" t="s">
        <v>2334</v>
      </c>
      <c r="C147" s="755">
        <v>3750000</v>
      </c>
      <c r="D147" s="756">
        <v>44069.447650463</v>
      </c>
      <c r="E147" s="754" t="s">
        <v>4821</v>
      </c>
      <c r="F147" s="757">
        <v>20201</v>
      </c>
    </row>
    <row r="148" spans="1:6" x14ac:dyDescent="0.2">
      <c r="A148" s="753">
        <v>839218044</v>
      </c>
      <c r="B148" s="754" t="s">
        <v>2181</v>
      </c>
      <c r="C148" s="755">
        <v>3750000</v>
      </c>
      <c r="D148" s="756">
        <v>44069.446192129602</v>
      </c>
      <c r="E148" s="754" t="s">
        <v>4826</v>
      </c>
      <c r="F148" s="757">
        <v>20201</v>
      </c>
    </row>
    <row r="149" spans="1:6" x14ac:dyDescent="0.2">
      <c r="A149" s="753">
        <v>849316041</v>
      </c>
      <c r="B149" s="754" t="s">
        <v>1653</v>
      </c>
      <c r="C149" s="755">
        <v>500000</v>
      </c>
      <c r="D149" s="756">
        <v>44069.444803240702</v>
      </c>
      <c r="E149" s="754" t="s">
        <v>4821</v>
      </c>
      <c r="F149" s="757">
        <v>20201</v>
      </c>
    </row>
    <row r="150" spans="1:6" x14ac:dyDescent="0.2">
      <c r="A150" s="753">
        <v>849316041</v>
      </c>
      <c r="B150" s="754" t="s">
        <v>1653</v>
      </c>
      <c r="C150" s="755">
        <v>1000000</v>
      </c>
      <c r="D150" s="756">
        <v>44028.3426736111</v>
      </c>
      <c r="E150" s="754" t="s">
        <v>4821</v>
      </c>
      <c r="F150" s="757">
        <v>20201</v>
      </c>
    </row>
    <row r="151" spans="1:6" x14ac:dyDescent="0.2">
      <c r="A151" s="753">
        <v>849319049</v>
      </c>
      <c r="B151" s="754" t="s">
        <v>2351</v>
      </c>
      <c r="C151" s="755">
        <v>3750000</v>
      </c>
      <c r="D151" s="756">
        <v>44069.439722222203</v>
      </c>
      <c r="E151" s="754" t="s">
        <v>4821</v>
      </c>
      <c r="F151" s="757">
        <v>20201</v>
      </c>
    </row>
    <row r="152" spans="1:6" x14ac:dyDescent="0.2">
      <c r="A152" s="753">
        <v>839218004</v>
      </c>
      <c r="B152" s="754" t="s">
        <v>2151</v>
      </c>
      <c r="C152" s="755">
        <v>3750000</v>
      </c>
      <c r="D152" s="756">
        <v>44069.4361921296</v>
      </c>
      <c r="E152" s="754" t="s">
        <v>4826</v>
      </c>
      <c r="F152" s="757">
        <v>20201</v>
      </c>
    </row>
    <row r="153" spans="1:6" x14ac:dyDescent="0.2">
      <c r="A153" s="753">
        <v>849318036</v>
      </c>
      <c r="B153" s="754" t="s">
        <v>2123</v>
      </c>
      <c r="C153" s="755">
        <v>3750000</v>
      </c>
      <c r="D153" s="756">
        <v>44069.431747685201</v>
      </c>
      <c r="E153" s="754" t="s">
        <v>4821</v>
      </c>
      <c r="F153" s="757">
        <v>20201</v>
      </c>
    </row>
    <row r="154" spans="1:6" x14ac:dyDescent="0.2">
      <c r="A154" s="753">
        <v>849319048</v>
      </c>
      <c r="B154" s="754" t="s">
        <v>2282</v>
      </c>
      <c r="C154" s="755">
        <v>3750000</v>
      </c>
      <c r="D154" s="756">
        <v>44069.424386574101</v>
      </c>
      <c r="E154" s="754" t="s">
        <v>4821</v>
      </c>
      <c r="F154" s="757">
        <v>20201</v>
      </c>
    </row>
    <row r="155" spans="1:6" x14ac:dyDescent="0.2">
      <c r="A155" s="753">
        <v>849418016</v>
      </c>
      <c r="B155" s="754" t="s">
        <v>2220</v>
      </c>
      <c r="C155" s="755">
        <v>3750000</v>
      </c>
      <c r="D155" s="756">
        <v>44069.423587963</v>
      </c>
      <c r="E155" s="754" t="s">
        <v>4829</v>
      </c>
      <c r="F155" s="757">
        <v>20201</v>
      </c>
    </row>
    <row r="156" spans="1:6" x14ac:dyDescent="0.2">
      <c r="A156" s="753">
        <v>849319023</v>
      </c>
      <c r="B156" s="754" t="s">
        <v>2317</v>
      </c>
      <c r="C156" s="755">
        <v>3750000</v>
      </c>
      <c r="D156" s="756">
        <v>44069.4211111111</v>
      </c>
      <c r="E156" s="754" t="s">
        <v>4821</v>
      </c>
      <c r="F156" s="757">
        <v>20201</v>
      </c>
    </row>
    <row r="157" spans="1:6" x14ac:dyDescent="0.2">
      <c r="A157" s="753">
        <v>849319018</v>
      </c>
      <c r="B157" s="754" t="s">
        <v>2327</v>
      </c>
      <c r="C157" s="755">
        <v>3750000</v>
      </c>
      <c r="D157" s="756">
        <v>44069.406030092599</v>
      </c>
      <c r="E157" s="754" t="s">
        <v>4821</v>
      </c>
      <c r="F157" s="757">
        <v>20201</v>
      </c>
    </row>
    <row r="158" spans="1:6" x14ac:dyDescent="0.2">
      <c r="A158" s="753">
        <v>849118030</v>
      </c>
      <c r="B158" s="754" t="s">
        <v>2052</v>
      </c>
      <c r="C158" s="755">
        <v>3750000</v>
      </c>
      <c r="D158" s="756">
        <v>44069.3811458333</v>
      </c>
      <c r="E158" s="754" t="s">
        <v>4825</v>
      </c>
      <c r="F158" s="757">
        <v>20201</v>
      </c>
    </row>
    <row r="159" spans="1:6" x14ac:dyDescent="0.2">
      <c r="A159" s="753">
        <v>839119012</v>
      </c>
      <c r="B159" s="754" t="s">
        <v>2452</v>
      </c>
      <c r="C159" s="755">
        <v>3750000</v>
      </c>
      <c r="D159" s="756">
        <v>44069.378912036998</v>
      </c>
      <c r="E159" s="754" t="s">
        <v>4823</v>
      </c>
      <c r="F159" s="757">
        <v>20201</v>
      </c>
    </row>
    <row r="160" spans="1:6" x14ac:dyDescent="0.2">
      <c r="A160" s="753">
        <v>849117031</v>
      </c>
      <c r="B160" s="754" t="s">
        <v>1844</v>
      </c>
      <c r="C160" s="755">
        <v>3000000</v>
      </c>
      <c r="D160" s="756">
        <v>44069.374062499999</v>
      </c>
      <c r="E160" s="754" t="s">
        <v>4825</v>
      </c>
      <c r="F160" s="757">
        <v>20201</v>
      </c>
    </row>
    <row r="161" spans="1:6" x14ac:dyDescent="0.2">
      <c r="A161" s="753">
        <v>849318035</v>
      </c>
      <c r="B161" s="754" t="s">
        <v>2122</v>
      </c>
      <c r="C161" s="755">
        <v>3750000</v>
      </c>
      <c r="D161" s="756">
        <v>44069.373506944401</v>
      </c>
      <c r="E161" s="754" t="s">
        <v>4821</v>
      </c>
      <c r="F161" s="757">
        <v>20201</v>
      </c>
    </row>
    <row r="162" spans="1:6" x14ac:dyDescent="0.2">
      <c r="A162" s="753">
        <v>849419015</v>
      </c>
      <c r="B162" s="754" t="s">
        <v>2480</v>
      </c>
      <c r="C162" s="755">
        <v>3750000</v>
      </c>
      <c r="D162" s="756">
        <v>44069.3503472222</v>
      </c>
      <c r="E162" s="754" t="s">
        <v>4829</v>
      </c>
      <c r="F162" s="757">
        <v>20201</v>
      </c>
    </row>
    <row r="163" spans="1:6" x14ac:dyDescent="0.2">
      <c r="A163" s="753">
        <v>839219020</v>
      </c>
      <c r="B163" s="754" t="s">
        <v>2411</v>
      </c>
      <c r="C163" s="755">
        <v>3750000</v>
      </c>
      <c r="D163" s="756">
        <v>44069.348148148201</v>
      </c>
      <c r="E163" s="754" t="s">
        <v>4826</v>
      </c>
      <c r="F163" s="757">
        <v>20201</v>
      </c>
    </row>
    <row r="164" spans="1:6" x14ac:dyDescent="0.2">
      <c r="A164" s="753">
        <v>841916015</v>
      </c>
      <c r="B164" s="754" t="s">
        <v>1737</v>
      </c>
      <c r="C164" s="755">
        <v>500000</v>
      </c>
      <c r="D164" s="756">
        <v>44069.316296296303</v>
      </c>
      <c r="E164" s="754" t="s">
        <v>4830</v>
      </c>
      <c r="F164" s="757">
        <v>20201</v>
      </c>
    </row>
    <row r="165" spans="1:6" x14ac:dyDescent="0.2">
      <c r="A165" s="753">
        <v>841918005</v>
      </c>
      <c r="B165" s="754" t="s">
        <v>332</v>
      </c>
      <c r="C165" s="755">
        <v>8000000</v>
      </c>
      <c r="D165" s="756">
        <v>44068.837766203702</v>
      </c>
      <c r="E165" s="754" t="s">
        <v>4830</v>
      </c>
      <c r="F165" s="757">
        <v>20201</v>
      </c>
    </row>
    <row r="166" spans="1:6" x14ac:dyDescent="0.2">
      <c r="A166" s="753">
        <v>839219011</v>
      </c>
      <c r="B166" s="754" t="s">
        <v>2408</v>
      </c>
      <c r="C166" s="755">
        <v>3750000</v>
      </c>
      <c r="D166" s="756">
        <v>44068.618726851899</v>
      </c>
      <c r="E166" s="754" t="s">
        <v>4826</v>
      </c>
      <c r="F166" s="757">
        <v>20201</v>
      </c>
    </row>
    <row r="167" spans="1:6" x14ac:dyDescent="0.2">
      <c r="A167" s="753">
        <v>829119007</v>
      </c>
      <c r="B167" s="754" t="s">
        <v>2471</v>
      </c>
      <c r="C167" s="755">
        <v>3750000</v>
      </c>
      <c r="D167" s="756">
        <v>44068.611377314803</v>
      </c>
      <c r="E167" s="754" t="s">
        <v>4824</v>
      </c>
      <c r="F167" s="757">
        <v>20201</v>
      </c>
    </row>
    <row r="168" spans="1:6" x14ac:dyDescent="0.2">
      <c r="A168" s="753">
        <v>849318060</v>
      </c>
      <c r="B168" s="754" t="s">
        <v>2085</v>
      </c>
      <c r="C168" s="755">
        <v>3750000</v>
      </c>
      <c r="D168" s="756">
        <v>44068.609340277799</v>
      </c>
      <c r="E168" s="754" t="s">
        <v>4821</v>
      </c>
      <c r="F168" s="757">
        <v>20201</v>
      </c>
    </row>
    <row r="169" spans="1:6" x14ac:dyDescent="0.2">
      <c r="A169" s="753">
        <v>842919017</v>
      </c>
      <c r="B169" s="754" t="s">
        <v>2544</v>
      </c>
      <c r="C169" s="755">
        <v>18000000</v>
      </c>
      <c r="D169" s="756">
        <v>44068.6015625</v>
      </c>
      <c r="E169" s="754" t="s">
        <v>4828</v>
      </c>
      <c r="F169" s="757">
        <v>20201</v>
      </c>
    </row>
    <row r="170" spans="1:6" x14ac:dyDescent="0.2">
      <c r="A170" s="753">
        <v>849316048</v>
      </c>
      <c r="B170" s="754" t="s">
        <v>1660</v>
      </c>
      <c r="C170" s="755">
        <v>500000</v>
      </c>
      <c r="D170" s="756">
        <v>44068.599756944401</v>
      </c>
      <c r="E170" s="754" t="s">
        <v>4821</v>
      </c>
      <c r="F170" s="757">
        <v>20201</v>
      </c>
    </row>
    <row r="171" spans="1:6" x14ac:dyDescent="0.2">
      <c r="A171" s="753">
        <v>849316021</v>
      </c>
      <c r="B171" s="754" t="s">
        <v>1632</v>
      </c>
      <c r="C171" s="755">
        <v>500000</v>
      </c>
      <c r="D171" s="756">
        <v>44068.599421296298</v>
      </c>
      <c r="E171" s="754" t="s">
        <v>4821</v>
      </c>
      <c r="F171" s="757">
        <v>20201</v>
      </c>
    </row>
    <row r="172" spans="1:6" x14ac:dyDescent="0.2">
      <c r="A172" s="753">
        <v>839118006</v>
      </c>
      <c r="B172" s="754" t="s">
        <v>2233</v>
      </c>
      <c r="C172" s="755">
        <v>3750000</v>
      </c>
      <c r="D172" s="756">
        <v>44068.592615740701</v>
      </c>
      <c r="E172" s="754" t="s">
        <v>4823</v>
      </c>
      <c r="F172" s="757">
        <v>20201</v>
      </c>
    </row>
    <row r="173" spans="1:6" x14ac:dyDescent="0.2">
      <c r="A173" s="753">
        <v>849319031</v>
      </c>
      <c r="B173" s="754" t="s">
        <v>2287</v>
      </c>
      <c r="C173" s="755">
        <v>3750000</v>
      </c>
      <c r="D173" s="756">
        <v>44068.590451388904</v>
      </c>
      <c r="E173" s="754" t="s">
        <v>4821</v>
      </c>
      <c r="F173" s="757">
        <v>20201</v>
      </c>
    </row>
    <row r="174" spans="1:6" x14ac:dyDescent="0.2">
      <c r="A174" s="753">
        <v>849319051</v>
      </c>
      <c r="B174" s="754" t="s">
        <v>2283</v>
      </c>
      <c r="C174" s="755">
        <v>3750000</v>
      </c>
      <c r="D174" s="756">
        <v>44068.588356481501</v>
      </c>
      <c r="E174" s="754" t="s">
        <v>4821</v>
      </c>
      <c r="F174" s="757">
        <v>20201</v>
      </c>
    </row>
    <row r="175" spans="1:6" x14ac:dyDescent="0.2">
      <c r="A175" s="753">
        <v>839119006</v>
      </c>
      <c r="B175" s="754" t="s">
        <v>2444</v>
      </c>
      <c r="C175" s="755">
        <v>3750000</v>
      </c>
      <c r="D175" s="756">
        <v>44068.578773148103</v>
      </c>
      <c r="E175" s="754" t="s">
        <v>4823</v>
      </c>
      <c r="F175" s="757">
        <v>20201</v>
      </c>
    </row>
    <row r="176" spans="1:6" x14ac:dyDescent="0.2">
      <c r="A176" s="753">
        <v>849319003</v>
      </c>
      <c r="B176" s="754" t="s">
        <v>2343</v>
      </c>
      <c r="C176" s="755">
        <v>3750000</v>
      </c>
      <c r="D176" s="756">
        <v>44068.576932870397</v>
      </c>
      <c r="E176" s="754" t="s">
        <v>4821</v>
      </c>
      <c r="F176" s="757">
        <v>20201</v>
      </c>
    </row>
    <row r="177" spans="1:6" x14ac:dyDescent="0.2">
      <c r="A177" s="753">
        <v>849219009</v>
      </c>
      <c r="B177" s="754" t="s">
        <v>2433</v>
      </c>
      <c r="C177" s="755">
        <v>3750000</v>
      </c>
      <c r="D177" s="756">
        <v>44068.572627314803</v>
      </c>
      <c r="E177" s="754" t="s">
        <v>4822</v>
      </c>
      <c r="F177" s="757">
        <v>20201</v>
      </c>
    </row>
    <row r="178" spans="1:6" x14ac:dyDescent="0.2">
      <c r="A178" s="753">
        <v>849119034</v>
      </c>
      <c r="B178" s="754" t="s">
        <v>2367</v>
      </c>
      <c r="C178" s="755">
        <v>3750000</v>
      </c>
      <c r="D178" s="756">
        <v>44068.550185185202</v>
      </c>
      <c r="E178" s="754" t="s">
        <v>4825</v>
      </c>
      <c r="F178" s="757">
        <v>20201</v>
      </c>
    </row>
    <row r="179" spans="1:6" x14ac:dyDescent="0.2">
      <c r="A179" s="753">
        <v>849119019</v>
      </c>
      <c r="B179" s="754" t="s">
        <v>2389</v>
      </c>
      <c r="C179" s="755">
        <v>3750000</v>
      </c>
      <c r="D179" s="756">
        <v>44068.544641203698</v>
      </c>
      <c r="E179" s="754" t="s">
        <v>4825</v>
      </c>
      <c r="F179" s="757">
        <v>20201</v>
      </c>
    </row>
    <row r="180" spans="1:6" x14ac:dyDescent="0.2">
      <c r="A180" s="753">
        <v>849418023</v>
      </c>
      <c r="B180" s="754" t="s">
        <v>2226</v>
      </c>
      <c r="C180" s="755">
        <v>500000</v>
      </c>
      <c r="D180" s="756">
        <v>44068.543217592603</v>
      </c>
      <c r="E180" s="754" t="s">
        <v>4829</v>
      </c>
      <c r="F180" s="757">
        <v>20201</v>
      </c>
    </row>
    <row r="181" spans="1:6" x14ac:dyDescent="0.2">
      <c r="A181" s="753">
        <v>849119005</v>
      </c>
      <c r="B181" s="754" t="s">
        <v>2362</v>
      </c>
      <c r="C181" s="755">
        <v>3750000</v>
      </c>
      <c r="D181" s="756">
        <v>44068.535868055602</v>
      </c>
      <c r="E181" s="754" t="s">
        <v>4825</v>
      </c>
      <c r="F181" s="757">
        <v>20201</v>
      </c>
    </row>
    <row r="182" spans="1:6" x14ac:dyDescent="0.2">
      <c r="A182" s="753">
        <v>829220005</v>
      </c>
      <c r="B182" s="754" t="s">
        <v>2497</v>
      </c>
      <c r="C182" s="755">
        <v>3750000</v>
      </c>
      <c r="D182" s="756">
        <v>44068.514675925901</v>
      </c>
      <c r="E182" s="754" t="s">
        <v>4836</v>
      </c>
      <c r="F182" s="757">
        <v>20201</v>
      </c>
    </row>
    <row r="183" spans="1:6" x14ac:dyDescent="0.2">
      <c r="A183" s="753">
        <v>841917023</v>
      </c>
      <c r="B183" s="754" t="s">
        <v>2007</v>
      </c>
      <c r="C183" s="755">
        <v>6000000</v>
      </c>
      <c r="D183" s="756">
        <v>44068.496307870402</v>
      </c>
      <c r="E183" s="754" t="s">
        <v>4830</v>
      </c>
      <c r="F183" s="757">
        <v>20201</v>
      </c>
    </row>
    <row r="184" spans="1:6" x14ac:dyDescent="0.2">
      <c r="A184" s="753">
        <v>839218037</v>
      </c>
      <c r="B184" s="754" t="s">
        <v>2138</v>
      </c>
      <c r="C184" s="755">
        <v>3750000</v>
      </c>
      <c r="D184" s="756">
        <v>44068.496192129598</v>
      </c>
      <c r="E184" s="754" t="s">
        <v>4826</v>
      </c>
      <c r="F184" s="757">
        <v>20201</v>
      </c>
    </row>
    <row r="185" spans="1:6" x14ac:dyDescent="0.2">
      <c r="A185" s="753">
        <v>839218039</v>
      </c>
      <c r="B185" s="754" t="s">
        <v>2140</v>
      </c>
      <c r="C185" s="755">
        <v>3750000</v>
      </c>
      <c r="D185" s="756">
        <v>44068.495162036997</v>
      </c>
      <c r="E185" s="754" t="s">
        <v>4826</v>
      </c>
      <c r="F185" s="757">
        <v>20201</v>
      </c>
    </row>
    <row r="186" spans="1:6" x14ac:dyDescent="0.2">
      <c r="A186" s="753">
        <v>839219014</v>
      </c>
      <c r="B186" s="754" t="s">
        <v>2418</v>
      </c>
      <c r="C186" s="755">
        <v>3750000</v>
      </c>
      <c r="D186" s="756">
        <v>44068.494814814803</v>
      </c>
      <c r="E186" s="754" t="s">
        <v>4826</v>
      </c>
      <c r="F186" s="757">
        <v>20201</v>
      </c>
    </row>
    <row r="187" spans="1:6" x14ac:dyDescent="0.2">
      <c r="A187" s="753">
        <v>849419010</v>
      </c>
      <c r="B187" s="754" t="s">
        <v>2483</v>
      </c>
      <c r="C187" s="755">
        <v>3750000</v>
      </c>
      <c r="D187" s="756">
        <v>44068.488634259302</v>
      </c>
      <c r="E187" s="754" t="s">
        <v>4829</v>
      </c>
      <c r="F187" s="757">
        <v>20201</v>
      </c>
    </row>
    <row r="188" spans="1:6" x14ac:dyDescent="0.2">
      <c r="A188" s="753">
        <v>839216005</v>
      </c>
      <c r="B188" s="754" t="s">
        <v>1551</v>
      </c>
      <c r="C188" s="755">
        <v>1000000</v>
      </c>
      <c r="D188" s="756">
        <v>44068.487152777801</v>
      </c>
      <c r="E188" s="754" t="s">
        <v>4826</v>
      </c>
      <c r="F188" s="757">
        <v>20201</v>
      </c>
    </row>
    <row r="189" spans="1:6" x14ac:dyDescent="0.2">
      <c r="A189" s="753">
        <v>849419006</v>
      </c>
      <c r="B189" s="754" t="s">
        <v>2482</v>
      </c>
      <c r="C189" s="755">
        <v>3750000</v>
      </c>
      <c r="D189" s="756">
        <v>44068.464861111097</v>
      </c>
      <c r="E189" s="754" t="s">
        <v>4829</v>
      </c>
      <c r="F189" s="757">
        <v>20201</v>
      </c>
    </row>
    <row r="190" spans="1:6" x14ac:dyDescent="0.2">
      <c r="A190" s="753">
        <v>849419002</v>
      </c>
      <c r="B190" s="754" t="s">
        <v>2484</v>
      </c>
      <c r="C190" s="755">
        <v>3750000</v>
      </c>
      <c r="D190" s="756">
        <v>44068.442731481497</v>
      </c>
      <c r="E190" s="754" t="s">
        <v>4829</v>
      </c>
      <c r="F190" s="757">
        <v>20201</v>
      </c>
    </row>
    <row r="191" spans="1:6" x14ac:dyDescent="0.2">
      <c r="A191" s="753">
        <v>849119028</v>
      </c>
      <c r="B191" s="754" t="s">
        <v>2360</v>
      </c>
      <c r="C191" s="755">
        <v>3750000</v>
      </c>
      <c r="D191" s="756">
        <v>44068.438888888901</v>
      </c>
      <c r="E191" s="754" t="s">
        <v>4825</v>
      </c>
      <c r="F191" s="757">
        <v>20201</v>
      </c>
    </row>
    <row r="192" spans="1:6" x14ac:dyDescent="0.2">
      <c r="A192" s="753">
        <v>849319052</v>
      </c>
      <c r="B192" s="754" t="s">
        <v>2289</v>
      </c>
      <c r="C192" s="755">
        <v>3750000</v>
      </c>
      <c r="D192" s="756">
        <v>44068.435173611098</v>
      </c>
      <c r="E192" s="754" t="s">
        <v>4821</v>
      </c>
      <c r="F192" s="757">
        <v>20201</v>
      </c>
    </row>
    <row r="193" spans="1:6" x14ac:dyDescent="0.2">
      <c r="A193" s="753">
        <v>839219034</v>
      </c>
      <c r="B193" s="754" t="s">
        <v>1947</v>
      </c>
      <c r="C193" s="755">
        <v>3750000</v>
      </c>
      <c r="D193" s="756">
        <v>44068.426238425898</v>
      </c>
      <c r="E193" s="754" t="s">
        <v>4826</v>
      </c>
      <c r="F193" s="757">
        <v>20201</v>
      </c>
    </row>
    <row r="194" spans="1:6" x14ac:dyDescent="0.2">
      <c r="A194" s="753">
        <v>839219033</v>
      </c>
      <c r="B194" s="754" t="s">
        <v>2424</v>
      </c>
      <c r="C194" s="755">
        <v>3750000</v>
      </c>
      <c r="D194" s="756">
        <v>44068.387141203697</v>
      </c>
      <c r="E194" s="754" t="s">
        <v>4826</v>
      </c>
      <c r="F194" s="757">
        <v>20201</v>
      </c>
    </row>
    <row r="195" spans="1:6" x14ac:dyDescent="0.2">
      <c r="A195" s="753">
        <v>839219015</v>
      </c>
      <c r="B195" s="754" t="s">
        <v>2416</v>
      </c>
      <c r="C195" s="755">
        <v>3750000</v>
      </c>
      <c r="D195" s="756">
        <v>44068.374490740702</v>
      </c>
      <c r="E195" s="754" t="s">
        <v>4826</v>
      </c>
      <c r="F195" s="757">
        <v>20201</v>
      </c>
    </row>
    <row r="196" spans="1:6" x14ac:dyDescent="0.2">
      <c r="A196" s="753">
        <v>839118026</v>
      </c>
      <c r="B196" s="754" t="s">
        <v>2254</v>
      </c>
      <c r="C196" s="755">
        <v>3750000</v>
      </c>
      <c r="D196" s="756">
        <v>44068.373796296299</v>
      </c>
      <c r="E196" s="754" t="s">
        <v>4823</v>
      </c>
      <c r="F196" s="757">
        <v>20201</v>
      </c>
    </row>
    <row r="197" spans="1:6" x14ac:dyDescent="0.2">
      <c r="A197" s="753">
        <v>849319041</v>
      </c>
      <c r="B197" s="754" t="s">
        <v>2291</v>
      </c>
      <c r="C197" s="755">
        <v>3750000</v>
      </c>
      <c r="D197" s="756">
        <v>44068.367928240703</v>
      </c>
      <c r="E197" s="754" t="s">
        <v>4821</v>
      </c>
      <c r="F197" s="757">
        <v>20201</v>
      </c>
    </row>
    <row r="198" spans="1:6" x14ac:dyDescent="0.2">
      <c r="A198" s="753">
        <v>841918009</v>
      </c>
      <c r="B198" s="754" t="s">
        <v>856</v>
      </c>
      <c r="C198" s="755">
        <v>8000000</v>
      </c>
      <c r="D198" s="756">
        <v>44068.364618055602</v>
      </c>
      <c r="E198" s="754" t="s">
        <v>4830</v>
      </c>
      <c r="F198" s="757">
        <v>20201</v>
      </c>
    </row>
    <row r="199" spans="1:6" x14ac:dyDescent="0.2">
      <c r="A199" s="753">
        <v>839218041</v>
      </c>
      <c r="B199" s="754" t="s">
        <v>2179</v>
      </c>
      <c r="C199" s="755">
        <v>500000</v>
      </c>
      <c r="D199" s="756">
        <v>44068.3539930556</v>
      </c>
      <c r="E199" s="754" t="s">
        <v>4826</v>
      </c>
      <c r="F199" s="757">
        <v>20201</v>
      </c>
    </row>
    <row r="200" spans="1:6" x14ac:dyDescent="0.2">
      <c r="A200" s="753">
        <v>849119041</v>
      </c>
      <c r="B200" s="754" t="s">
        <v>2387</v>
      </c>
      <c r="C200" s="755">
        <v>3750000</v>
      </c>
      <c r="D200" s="756">
        <v>44068.346076388902</v>
      </c>
      <c r="E200" s="754" t="s">
        <v>4825</v>
      </c>
      <c r="F200" s="757">
        <v>20201</v>
      </c>
    </row>
    <row r="201" spans="1:6" x14ac:dyDescent="0.2">
      <c r="A201" s="753">
        <v>849119007</v>
      </c>
      <c r="B201" s="754" t="s">
        <v>2385</v>
      </c>
      <c r="C201" s="755">
        <v>3750000</v>
      </c>
      <c r="D201" s="756">
        <v>44068.234363425901</v>
      </c>
      <c r="E201" s="754" t="s">
        <v>4825</v>
      </c>
      <c r="F201" s="757">
        <v>20201</v>
      </c>
    </row>
    <row r="202" spans="1:6" x14ac:dyDescent="0.2">
      <c r="A202" s="753">
        <v>841917016</v>
      </c>
      <c r="B202" s="754" t="s">
        <v>2000</v>
      </c>
      <c r="C202" s="755">
        <v>6000000</v>
      </c>
      <c r="D202" s="756">
        <v>44067.709560185198</v>
      </c>
      <c r="E202" s="754" t="s">
        <v>4830</v>
      </c>
      <c r="F202" s="757">
        <v>20201</v>
      </c>
    </row>
    <row r="203" spans="1:6" x14ac:dyDescent="0.2">
      <c r="A203" s="753">
        <v>849318021</v>
      </c>
      <c r="B203" s="754" t="s">
        <v>2109</v>
      </c>
      <c r="C203" s="755">
        <v>3750000</v>
      </c>
      <c r="D203" s="756">
        <v>44067.616909722201</v>
      </c>
      <c r="E203" s="754" t="s">
        <v>4821</v>
      </c>
      <c r="F203" s="757">
        <v>20201</v>
      </c>
    </row>
    <row r="204" spans="1:6" x14ac:dyDescent="0.2">
      <c r="A204" s="753">
        <v>849319015</v>
      </c>
      <c r="B204" s="754" t="s">
        <v>2347</v>
      </c>
      <c r="C204" s="755">
        <v>3750000</v>
      </c>
      <c r="D204" s="756">
        <v>44067.600127314799</v>
      </c>
      <c r="E204" s="754" t="s">
        <v>4821</v>
      </c>
      <c r="F204" s="757">
        <v>20201</v>
      </c>
    </row>
    <row r="205" spans="1:6" x14ac:dyDescent="0.2">
      <c r="A205" s="753">
        <v>849218011</v>
      </c>
      <c r="B205" s="754" t="s">
        <v>2198</v>
      </c>
      <c r="C205" s="755">
        <v>3750000</v>
      </c>
      <c r="D205" s="756">
        <v>44067.5998958333</v>
      </c>
      <c r="E205" s="754" t="s">
        <v>4822</v>
      </c>
      <c r="F205" s="757">
        <v>20201</v>
      </c>
    </row>
    <row r="206" spans="1:6" x14ac:dyDescent="0.2">
      <c r="A206" s="753">
        <v>849319009</v>
      </c>
      <c r="B206" s="754" t="s">
        <v>2350</v>
      </c>
      <c r="C206" s="755">
        <v>3750000</v>
      </c>
      <c r="D206" s="756">
        <v>44067.592951388899</v>
      </c>
      <c r="E206" s="754" t="s">
        <v>4821</v>
      </c>
      <c r="F206" s="757">
        <v>20201</v>
      </c>
    </row>
    <row r="207" spans="1:6" x14ac:dyDescent="0.2">
      <c r="A207" s="753">
        <v>839218045</v>
      </c>
      <c r="B207" s="754" t="s">
        <v>2182</v>
      </c>
      <c r="C207" s="755">
        <v>3750000</v>
      </c>
      <c r="D207" s="756">
        <v>44067.583124999997</v>
      </c>
      <c r="E207" s="754" t="s">
        <v>4826</v>
      </c>
      <c r="F207" s="757">
        <v>20201</v>
      </c>
    </row>
    <row r="208" spans="1:6" x14ac:dyDescent="0.2">
      <c r="A208" s="753">
        <v>839218019</v>
      </c>
      <c r="B208" s="754" t="s">
        <v>2161</v>
      </c>
      <c r="C208" s="755">
        <v>3750000</v>
      </c>
      <c r="D208" s="756">
        <v>44067.579143518502</v>
      </c>
      <c r="E208" s="754" t="s">
        <v>4826</v>
      </c>
      <c r="F208" s="757">
        <v>20201</v>
      </c>
    </row>
    <row r="209" spans="1:6" x14ac:dyDescent="0.2">
      <c r="A209" s="753">
        <v>849119002</v>
      </c>
      <c r="B209" s="754" t="s">
        <v>2392</v>
      </c>
      <c r="C209" s="755">
        <v>3750000</v>
      </c>
      <c r="D209" s="756">
        <v>44067.561932870398</v>
      </c>
      <c r="E209" s="754" t="s">
        <v>4825</v>
      </c>
      <c r="F209" s="757">
        <v>20201</v>
      </c>
    </row>
    <row r="210" spans="1:6" x14ac:dyDescent="0.2">
      <c r="A210" s="753">
        <v>849319030</v>
      </c>
      <c r="B210" s="754" t="s">
        <v>2323</v>
      </c>
      <c r="C210" s="755">
        <v>3750000</v>
      </c>
      <c r="D210" s="756">
        <v>44067.510972222197</v>
      </c>
      <c r="E210" s="754" t="s">
        <v>4821</v>
      </c>
      <c r="F210" s="757">
        <v>20201</v>
      </c>
    </row>
    <row r="211" spans="1:6" x14ac:dyDescent="0.2">
      <c r="A211" s="753">
        <v>849317017</v>
      </c>
      <c r="B211" s="754" t="s">
        <v>1771</v>
      </c>
      <c r="C211" s="755">
        <v>3000000</v>
      </c>
      <c r="D211" s="756">
        <v>44067.5087152778</v>
      </c>
      <c r="E211" s="754" t="s">
        <v>4821</v>
      </c>
      <c r="F211" s="757">
        <v>20201</v>
      </c>
    </row>
    <row r="212" spans="1:6" x14ac:dyDescent="0.2">
      <c r="A212" s="753">
        <v>849317028</v>
      </c>
      <c r="B212" s="754" t="s">
        <v>1783</v>
      </c>
      <c r="C212" s="755">
        <v>3000000</v>
      </c>
      <c r="D212" s="756">
        <v>44067.507650462998</v>
      </c>
      <c r="E212" s="754" t="s">
        <v>4821</v>
      </c>
      <c r="F212" s="757">
        <v>20201</v>
      </c>
    </row>
    <row r="213" spans="1:6" x14ac:dyDescent="0.2">
      <c r="A213" s="753">
        <v>839118012</v>
      </c>
      <c r="B213" s="754" t="s">
        <v>2236</v>
      </c>
      <c r="C213" s="755">
        <v>3750000</v>
      </c>
      <c r="D213" s="756">
        <v>44067.499409722201</v>
      </c>
      <c r="E213" s="754" t="s">
        <v>4823</v>
      </c>
      <c r="F213" s="757">
        <v>20201</v>
      </c>
    </row>
    <row r="214" spans="1:6" x14ac:dyDescent="0.2">
      <c r="A214" s="753">
        <v>849318040</v>
      </c>
      <c r="B214" s="754" t="s">
        <v>2127</v>
      </c>
      <c r="C214" s="755">
        <v>3750000</v>
      </c>
      <c r="D214" s="756">
        <v>44067.495358796303</v>
      </c>
      <c r="E214" s="754" t="s">
        <v>4821</v>
      </c>
      <c r="F214" s="757">
        <v>20201</v>
      </c>
    </row>
    <row r="215" spans="1:6" x14ac:dyDescent="0.2">
      <c r="A215" s="753">
        <v>839219010</v>
      </c>
      <c r="B215" s="754" t="s">
        <v>2395</v>
      </c>
      <c r="C215" s="755">
        <v>3750000</v>
      </c>
      <c r="D215" s="756">
        <v>44067.4924537037</v>
      </c>
      <c r="E215" s="754" t="s">
        <v>4826</v>
      </c>
      <c r="F215" s="757">
        <v>20201</v>
      </c>
    </row>
    <row r="216" spans="1:6" x14ac:dyDescent="0.2">
      <c r="A216" s="753">
        <v>839219009</v>
      </c>
      <c r="B216" s="754" t="s">
        <v>2409</v>
      </c>
      <c r="C216" s="755">
        <v>3750000</v>
      </c>
      <c r="D216" s="756">
        <v>44067.491990740702</v>
      </c>
      <c r="E216" s="754" t="s">
        <v>4826</v>
      </c>
      <c r="F216" s="757">
        <v>20201</v>
      </c>
    </row>
    <row r="217" spans="1:6" x14ac:dyDescent="0.2">
      <c r="A217" s="753">
        <v>839218053</v>
      </c>
      <c r="B217" s="754" t="s">
        <v>2147</v>
      </c>
      <c r="C217" s="755">
        <v>3750000</v>
      </c>
      <c r="D217" s="756">
        <v>44067.487951388903</v>
      </c>
      <c r="E217" s="754" t="s">
        <v>4826</v>
      </c>
      <c r="F217" s="757">
        <v>20201</v>
      </c>
    </row>
    <row r="218" spans="1:6" x14ac:dyDescent="0.2">
      <c r="A218" s="753">
        <v>842919014</v>
      </c>
      <c r="B218" s="754" t="s">
        <v>2541</v>
      </c>
      <c r="C218" s="755">
        <v>6000000</v>
      </c>
      <c r="D218" s="756">
        <v>44067.4860416667</v>
      </c>
      <c r="E218" s="754" t="s">
        <v>4828</v>
      </c>
      <c r="F218" s="757">
        <v>20201</v>
      </c>
    </row>
    <row r="219" spans="1:6" x14ac:dyDescent="0.2">
      <c r="A219" s="753">
        <v>849319016</v>
      </c>
      <c r="B219" s="754" t="s">
        <v>2329</v>
      </c>
      <c r="C219" s="755">
        <v>3750000</v>
      </c>
      <c r="D219" s="756">
        <v>44067.484525462998</v>
      </c>
      <c r="E219" s="754" t="s">
        <v>4821</v>
      </c>
      <c r="F219" s="757">
        <v>20201</v>
      </c>
    </row>
    <row r="220" spans="1:6" x14ac:dyDescent="0.2">
      <c r="A220" s="753">
        <v>849419004</v>
      </c>
      <c r="B220" s="754" t="s">
        <v>2491</v>
      </c>
      <c r="C220" s="755">
        <v>3750000</v>
      </c>
      <c r="D220" s="756">
        <v>44067.475902777798</v>
      </c>
      <c r="E220" s="754" t="s">
        <v>4829</v>
      </c>
      <c r="F220" s="757">
        <v>20201</v>
      </c>
    </row>
    <row r="221" spans="1:6" x14ac:dyDescent="0.2">
      <c r="A221" s="753">
        <v>841919009</v>
      </c>
      <c r="B221" s="754" t="s">
        <v>1998</v>
      </c>
      <c r="C221" s="755">
        <v>8000000</v>
      </c>
      <c r="D221" s="756">
        <v>44067.4756597222</v>
      </c>
      <c r="E221" s="754" t="s">
        <v>4830</v>
      </c>
      <c r="F221" s="757">
        <v>20201</v>
      </c>
    </row>
    <row r="222" spans="1:6" x14ac:dyDescent="0.2">
      <c r="A222" s="753">
        <v>849318063</v>
      </c>
      <c r="B222" s="754" t="s">
        <v>2087</v>
      </c>
      <c r="C222" s="755">
        <v>3750000</v>
      </c>
      <c r="D222" s="756">
        <v>44067.471273148098</v>
      </c>
      <c r="E222" s="754" t="s">
        <v>4821</v>
      </c>
      <c r="F222" s="757">
        <v>20201</v>
      </c>
    </row>
    <row r="223" spans="1:6" x14ac:dyDescent="0.2">
      <c r="A223" s="753">
        <v>849119014</v>
      </c>
      <c r="B223" s="754" t="s">
        <v>2355</v>
      </c>
      <c r="C223" s="755">
        <v>3750000</v>
      </c>
      <c r="D223" s="756">
        <v>44067.447708333297</v>
      </c>
      <c r="E223" s="754" t="s">
        <v>4825</v>
      </c>
      <c r="F223" s="757">
        <v>20201</v>
      </c>
    </row>
    <row r="224" spans="1:6" x14ac:dyDescent="0.2">
      <c r="A224" s="753">
        <v>849119024</v>
      </c>
      <c r="B224" s="754" t="s">
        <v>2380</v>
      </c>
      <c r="C224" s="755">
        <v>3750000</v>
      </c>
      <c r="D224" s="756">
        <v>44067.428333333301</v>
      </c>
      <c r="E224" s="754" t="s">
        <v>4825</v>
      </c>
      <c r="F224" s="757">
        <v>20201</v>
      </c>
    </row>
    <row r="225" spans="1:6" x14ac:dyDescent="0.2">
      <c r="A225" s="753">
        <v>849319042</v>
      </c>
      <c r="B225" s="754" t="s">
        <v>2344</v>
      </c>
      <c r="C225" s="755">
        <v>3750000</v>
      </c>
      <c r="D225" s="756">
        <v>44067.427673611099</v>
      </c>
      <c r="E225" s="754" t="s">
        <v>4821</v>
      </c>
      <c r="F225" s="757">
        <v>20201</v>
      </c>
    </row>
    <row r="226" spans="1:6" x14ac:dyDescent="0.2">
      <c r="A226" s="753">
        <v>839219025</v>
      </c>
      <c r="B226" s="754" t="s">
        <v>2412</v>
      </c>
      <c r="C226" s="755">
        <v>3750000</v>
      </c>
      <c r="D226" s="756">
        <v>44067.384004629603</v>
      </c>
      <c r="E226" s="754" t="s">
        <v>4826</v>
      </c>
      <c r="F226" s="757">
        <v>20201</v>
      </c>
    </row>
    <row r="227" spans="1:6" x14ac:dyDescent="0.2">
      <c r="A227" s="753">
        <v>849318005</v>
      </c>
      <c r="B227" s="754" t="s">
        <v>4838</v>
      </c>
      <c r="C227" s="755">
        <v>3750000</v>
      </c>
      <c r="D227" s="756">
        <v>44067.373229166697</v>
      </c>
      <c r="E227" s="754" t="s">
        <v>4821</v>
      </c>
      <c r="F227" s="757">
        <v>20201</v>
      </c>
    </row>
    <row r="228" spans="1:6" x14ac:dyDescent="0.2">
      <c r="A228" s="753">
        <v>839219023</v>
      </c>
      <c r="B228" s="754" t="s">
        <v>2422</v>
      </c>
      <c r="C228" s="755">
        <v>3750000</v>
      </c>
      <c r="D228" s="756">
        <v>44067.373032407399</v>
      </c>
      <c r="E228" s="754" t="s">
        <v>4826</v>
      </c>
      <c r="F228" s="757">
        <v>20201</v>
      </c>
    </row>
    <row r="229" spans="1:6" x14ac:dyDescent="0.2">
      <c r="A229" s="753">
        <v>839119002</v>
      </c>
      <c r="B229" s="754" t="s">
        <v>2451</v>
      </c>
      <c r="C229" s="755">
        <v>3750000</v>
      </c>
      <c r="D229" s="756">
        <v>44067.343715277799</v>
      </c>
      <c r="E229" s="754" t="s">
        <v>4823</v>
      </c>
      <c r="F229" s="757">
        <v>20201</v>
      </c>
    </row>
    <row r="230" spans="1:6" x14ac:dyDescent="0.2">
      <c r="A230" s="753">
        <v>839118002</v>
      </c>
      <c r="B230" s="754" t="s">
        <v>2230</v>
      </c>
      <c r="C230" s="755">
        <v>3750000</v>
      </c>
      <c r="D230" s="756">
        <v>44067.339710648099</v>
      </c>
      <c r="E230" s="754" t="s">
        <v>4823</v>
      </c>
      <c r="F230" s="757">
        <v>20201</v>
      </c>
    </row>
    <row r="231" spans="1:6" x14ac:dyDescent="0.2">
      <c r="A231" s="753">
        <v>839218042</v>
      </c>
      <c r="B231" s="754" t="s">
        <v>2142</v>
      </c>
      <c r="C231" s="755">
        <v>3750000</v>
      </c>
      <c r="D231" s="756">
        <v>44064.443599537</v>
      </c>
      <c r="E231" s="754" t="s">
        <v>4826</v>
      </c>
      <c r="F231" s="757">
        <v>20201</v>
      </c>
    </row>
    <row r="232" spans="1:6" x14ac:dyDescent="0.2">
      <c r="A232" s="753">
        <v>849319036</v>
      </c>
      <c r="B232" s="754" t="s">
        <v>2341</v>
      </c>
      <c r="C232" s="755">
        <v>3750000</v>
      </c>
      <c r="D232" s="756">
        <v>44063.6663541667</v>
      </c>
      <c r="E232" s="754" t="s">
        <v>4821</v>
      </c>
      <c r="F232" s="757">
        <v>20201</v>
      </c>
    </row>
    <row r="233" spans="1:6" x14ac:dyDescent="0.2">
      <c r="A233" s="753">
        <v>839219019</v>
      </c>
      <c r="B233" s="754" t="s">
        <v>2423</v>
      </c>
      <c r="C233" s="755">
        <v>3750000</v>
      </c>
      <c r="D233" s="756">
        <v>44062.598599536999</v>
      </c>
      <c r="E233" s="754" t="s">
        <v>4826</v>
      </c>
      <c r="F233" s="757">
        <v>20201</v>
      </c>
    </row>
    <row r="234" spans="1:6" x14ac:dyDescent="0.2">
      <c r="A234" s="753">
        <v>839219018</v>
      </c>
      <c r="B234" s="754" t="s">
        <v>2410</v>
      </c>
      <c r="C234" s="755">
        <v>3750000</v>
      </c>
      <c r="D234" s="756">
        <v>44062.597870370402</v>
      </c>
      <c r="E234" s="754" t="s">
        <v>4826</v>
      </c>
      <c r="F234" s="757">
        <v>20201</v>
      </c>
    </row>
    <row r="235" spans="1:6" x14ac:dyDescent="0.2">
      <c r="A235" s="753">
        <v>849318013</v>
      </c>
      <c r="B235" s="754" t="s">
        <v>2101</v>
      </c>
      <c r="C235" s="755">
        <v>3750000</v>
      </c>
      <c r="D235" s="756">
        <v>44062.579259259299</v>
      </c>
      <c r="E235" s="754" t="s">
        <v>4821</v>
      </c>
      <c r="F235" s="757">
        <v>20201</v>
      </c>
    </row>
    <row r="236" spans="1:6" x14ac:dyDescent="0.2">
      <c r="A236" s="753">
        <v>849318003</v>
      </c>
      <c r="B236" s="754" t="s">
        <v>2091</v>
      </c>
      <c r="C236" s="755">
        <v>3750000</v>
      </c>
      <c r="D236" s="756">
        <v>44062.578761574099</v>
      </c>
      <c r="E236" s="754" t="s">
        <v>4821</v>
      </c>
      <c r="F236" s="757">
        <v>20201</v>
      </c>
    </row>
    <row r="237" spans="1:6" x14ac:dyDescent="0.2">
      <c r="A237" s="753">
        <v>849119018</v>
      </c>
      <c r="B237" s="754" t="s">
        <v>2384</v>
      </c>
      <c r="C237" s="755">
        <v>3750000</v>
      </c>
      <c r="D237" s="756">
        <v>44062.577662037002</v>
      </c>
      <c r="E237" s="754" t="s">
        <v>4825</v>
      </c>
      <c r="F237" s="757">
        <v>20201</v>
      </c>
    </row>
    <row r="238" spans="1:6" x14ac:dyDescent="0.2">
      <c r="A238" s="753">
        <v>839219021</v>
      </c>
      <c r="B238" s="754" t="s">
        <v>2414</v>
      </c>
      <c r="C238" s="755">
        <v>3750000</v>
      </c>
      <c r="D238" s="756">
        <v>44062.523784722202</v>
      </c>
      <c r="E238" s="754" t="s">
        <v>4826</v>
      </c>
      <c r="F238" s="757">
        <v>20201</v>
      </c>
    </row>
    <row r="239" spans="1:6" x14ac:dyDescent="0.2">
      <c r="A239" s="753">
        <v>849318028</v>
      </c>
      <c r="B239" s="754" t="s">
        <v>2116</v>
      </c>
      <c r="C239" s="755">
        <v>3750000</v>
      </c>
      <c r="D239" s="756">
        <v>44062.3976736111</v>
      </c>
      <c r="E239" s="754" t="s">
        <v>4821</v>
      </c>
      <c r="F239" s="757">
        <v>20201</v>
      </c>
    </row>
    <row r="240" spans="1:6" x14ac:dyDescent="0.2">
      <c r="A240" s="753">
        <v>849118044</v>
      </c>
      <c r="B240" s="754" t="s">
        <v>2024</v>
      </c>
      <c r="C240" s="755">
        <v>3750000</v>
      </c>
      <c r="D240" s="756">
        <v>44062.393912036998</v>
      </c>
      <c r="E240" s="754" t="s">
        <v>4825</v>
      </c>
      <c r="F240" s="757">
        <v>20201</v>
      </c>
    </row>
    <row r="241" spans="1:6" x14ac:dyDescent="0.2">
      <c r="A241" s="753">
        <v>849117006</v>
      </c>
      <c r="B241" s="754" t="s">
        <v>1816</v>
      </c>
      <c r="C241" s="755">
        <v>1000000</v>
      </c>
      <c r="D241" s="756">
        <v>44062.3521064815</v>
      </c>
      <c r="E241" s="754" t="s">
        <v>4825</v>
      </c>
      <c r="F241" s="757">
        <v>20201</v>
      </c>
    </row>
    <row r="242" spans="1:6" x14ac:dyDescent="0.2">
      <c r="A242" s="753">
        <v>839218018</v>
      </c>
      <c r="B242" s="754" t="s">
        <v>2160</v>
      </c>
      <c r="C242" s="755">
        <v>500000</v>
      </c>
      <c r="D242" s="756">
        <v>44061.675752314797</v>
      </c>
      <c r="E242" s="754" t="s">
        <v>4826</v>
      </c>
      <c r="F242" s="757">
        <v>20201</v>
      </c>
    </row>
    <row r="243" spans="1:6" x14ac:dyDescent="0.2">
      <c r="A243" s="753">
        <v>829118002</v>
      </c>
      <c r="B243" s="754" t="s">
        <v>2261</v>
      </c>
      <c r="C243" s="755">
        <v>500000</v>
      </c>
      <c r="D243" s="756">
        <v>44061.498229166697</v>
      </c>
      <c r="E243" s="754" t="s">
        <v>4824</v>
      </c>
      <c r="F243" s="757">
        <v>20201</v>
      </c>
    </row>
    <row r="244" spans="1:6" x14ac:dyDescent="0.2">
      <c r="A244" s="753">
        <v>842919008</v>
      </c>
      <c r="B244" s="754" t="s">
        <v>4839</v>
      </c>
      <c r="C244" s="755">
        <v>6000000</v>
      </c>
      <c r="D244" s="756">
        <v>44061.485740740703</v>
      </c>
      <c r="E244" s="754" t="s">
        <v>4828</v>
      </c>
      <c r="F244" s="757">
        <v>20201</v>
      </c>
    </row>
    <row r="245" spans="1:6" x14ac:dyDescent="0.2">
      <c r="A245" s="753">
        <v>839117013</v>
      </c>
      <c r="B245" s="754" t="s">
        <v>1959</v>
      </c>
      <c r="C245" s="755">
        <v>1000000</v>
      </c>
      <c r="D245" s="756">
        <v>44061.394733796304</v>
      </c>
      <c r="E245" s="754" t="s">
        <v>4823</v>
      </c>
      <c r="F245" s="757">
        <v>20201</v>
      </c>
    </row>
    <row r="246" spans="1:6" x14ac:dyDescent="0.2">
      <c r="A246" s="753">
        <v>829119005</v>
      </c>
      <c r="B246" s="754" t="s">
        <v>2462</v>
      </c>
      <c r="C246" s="755">
        <v>3750000</v>
      </c>
      <c r="D246" s="756">
        <v>44061.391967592601</v>
      </c>
      <c r="E246" s="754" t="s">
        <v>4824</v>
      </c>
      <c r="F246" s="757">
        <v>20201</v>
      </c>
    </row>
    <row r="247" spans="1:6" x14ac:dyDescent="0.2">
      <c r="A247" s="753">
        <v>849119026</v>
      </c>
      <c r="B247" s="754" t="s">
        <v>2376</v>
      </c>
      <c r="C247" s="755">
        <v>3750000</v>
      </c>
      <c r="D247" s="756">
        <v>44061.385046296302</v>
      </c>
      <c r="E247" s="754" t="s">
        <v>4825</v>
      </c>
      <c r="F247" s="757">
        <v>20201</v>
      </c>
    </row>
    <row r="248" spans="1:6" x14ac:dyDescent="0.2">
      <c r="A248" s="753">
        <v>829116002</v>
      </c>
      <c r="B248" s="754" t="s">
        <v>4840</v>
      </c>
      <c r="C248" s="755">
        <v>1000000</v>
      </c>
      <c r="D248" s="756">
        <v>44060.385486111103</v>
      </c>
      <c r="E248" s="754" t="s">
        <v>4824</v>
      </c>
      <c r="F248" s="757">
        <v>20201</v>
      </c>
    </row>
    <row r="249" spans="1:6" x14ac:dyDescent="0.2">
      <c r="A249" s="753">
        <v>841917027</v>
      </c>
      <c r="B249" s="754" t="s">
        <v>2011</v>
      </c>
      <c r="C249" s="755">
        <v>6000000</v>
      </c>
      <c r="D249" s="756">
        <v>44057.638460648202</v>
      </c>
      <c r="E249" s="754" t="s">
        <v>4830</v>
      </c>
      <c r="F249" s="757">
        <v>20201</v>
      </c>
    </row>
    <row r="250" spans="1:6" x14ac:dyDescent="0.2">
      <c r="A250" s="753">
        <v>841916018</v>
      </c>
      <c r="B250" s="754" t="s">
        <v>1746</v>
      </c>
      <c r="C250" s="755">
        <v>2000000</v>
      </c>
      <c r="D250" s="756">
        <v>44057.621655092596</v>
      </c>
      <c r="E250" s="754" t="s">
        <v>4830</v>
      </c>
      <c r="F250" s="757">
        <v>20201</v>
      </c>
    </row>
    <row r="251" spans="1:6" x14ac:dyDescent="0.2">
      <c r="A251" s="753">
        <v>829119006</v>
      </c>
      <c r="B251" s="754" t="s">
        <v>2464</v>
      </c>
      <c r="C251" s="755">
        <v>3750000</v>
      </c>
      <c r="D251" s="756">
        <v>44057.611238425903</v>
      </c>
      <c r="E251" s="754" t="s">
        <v>4824</v>
      </c>
      <c r="F251" s="757">
        <v>20201</v>
      </c>
    </row>
    <row r="252" spans="1:6" x14ac:dyDescent="0.2">
      <c r="A252" s="753">
        <v>849118014</v>
      </c>
      <c r="B252" s="754" t="s">
        <v>2039</v>
      </c>
      <c r="C252" s="755">
        <v>3750000</v>
      </c>
      <c r="D252" s="756">
        <v>44057.608182870397</v>
      </c>
      <c r="E252" s="754" t="s">
        <v>4825</v>
      </c>
      <c r="F252" s="757">
        <v>20201</v>
      </c>
    </row>
    <row r="253" spans="1:6" x14ac:dyDescent="0.2">
      <c r="A253" s="753">
        <v>829119011</v>
      </c>
      <c r="B253" s="754" t="s">
        <v>2461</v>
      </c>
      <c r="C253" s="755">
        <v>3750000</v>
      </c>
      <c r="D253" s="756">
        <v>44057.601053240702</v>
      </c>
      <c r="E253" s="754" t="s">
        <v>4824</v>
      </c>
      <c r="F253" s="757">
        <v>20201</v>
      </c>
    </row>
    <row r="254" spans="1:6" x14ac:dyDescent="0.2">
      <c r="A254" s="753">
        <v>839219029</v>
      </c>
      <c r="B254" s="754" t="s">
        <v>2398</v>
      </c>
      <c r="C254" s="755">
        <v>3750000</v>
      </c>
      <c r="D254" s="756">
        <v>44057.578634259298</v>
      </c>
      <c r="E254" s="754" t="s">
        <v>4826</v>
      </c>
      <c r="F254" s="757">
        <v>20201</v>
      </c>
    </row>
    <row r="255" spans="1:6" x14ac:dyDescent="0.2">
      <c r="A255" s="753">
        <v>841919011</v>
      </c>
      <c r="B255" s="754" t="s">
        <v>4841</v>
      </c>
      <c r="C255" s="755">
        <v>8000000</v>
      </c>
      <c r="D255" s="756">
        <v>44057.5612847222</v>
      </c>
      <c r="E255" s="754" t="s">
        <v>4830</v>
      </c>
      <c r="F255" s="757">
        <v>20201</v>
      </c>
    </row>
    <row r="256" spans="1:6" x14ac:dyDescent="0.2">
      <c r="A256" s="753">
        <v>849218015</v>
      </c>
      <c r="B256" s="754" t="s">
        <v>2201</v>
      </c>
      <c r="C256" s="755">
        <v>3750000</v>
      </c>
      <c r="D256" s="756">
        <v>44057.551504629599</v>
      </c>
      <c r="E256" s="754" t="s">
        <v>4822</v>
      </c>
      <c r="F256" s="757">
        <v>20201</v>
      </c>
    </row>
    <row r="257" spans="1:6" x14ac:dyDescent="0.2">
      <c r="A257" s="753">
        <v>839219005</v>
      </c>
      <c r="B257" s="754" t="s">
        <v>2399</v>
      </c>
      <c r="C257" s="755">
        <v>3750000</v>
      </c>
      <c r="D257" s="756">
        <v>44057.548055555599</v>
      </c>
      <c r="E257" s="754" t="s">
        <v>4826</v>
      </c>
      <c r="F257" s="757">
        <v>20201</v>
      </c>
    </row>
    <row r="258" spans="1:6" x14ac:dyDescent="0.2">
      <c r="A258" s="753">
        <v>842919004</v>
      </c>
      <c r="B258" s="754" t="s">
        <v>2533</v>
      </c>
      <c r="C258" s="755">
        <v>6000000</v>
      </c>
      <c r="D258" s="756">
        <v>44057.547708333303</v>
      </c>
      <c r="E258" s="754" t="s">
        <v>4828</v>
      </c>
      <c r="F258" s="757">
        <v>20201</v>
      </c>
    </row>
    <row r="259" spans="1:6" x14ac:dyDescent="0.2">
      <c r="A259" s="753">
        <v>849118008</v>
      </c>
      <c r="B259" s="754" t="s">
        <v>2034</v>
      </c>
      <c r="C259" s="755">
        <v>3750000</v>
      </c>
      <c r="D259" s="756">
        <v>44057.481157407397</v>
      </c>
      <c r="E259" s="754" t="s">
        <v>4825</v>
      </c>
      <c r="F259" s="757">
        <v>20201</v>
      </c>
    </row>
    <row r="260" spans="1:6" x14ac:dyDescent="0.2">
      <c r="A260" s="753">
        <v>849118004</v>
      </c>
      <c r="B260" s="754" t="s">
        <v>2030</v>
      </c>
      <c r="C260" s="755">
        <v>3750000</v>
      </c>
      <c r="D260" s="756">
        <v>44057.479074074101</v>
      </c>
      <c r="E260" s="754" t="s">
        <v>4825</v>
      </c>
      <c r="F260" s="757">
        <v>20201</v>
      </c>
    </row>
    <row r="261" spans="1:6" x14ac:dyDescent="0.2">
      <c r="A261" s="753">
        <v>849317030</v>
      </c>
      <c r="B261" s="754" t="s">
        <v>4577</v>
      </c>
      <c r="C261" s="755">
        <v>1000000</v>
      </c>
      <c r="D261" s="756">
        <v>44057.466909722199</v>
      </c>
      <c r="E261" s="754" t="s">
        <v>4821</v>
      </c>
      <c r="F261" s="757">
        <v>20201</v>
      </c>
    </row>
    <row r="262" spans="1:6" x14ac:dyDescent="0.2">
      <c r="A262" s="753">
        <v>842919001</v>
      </c>
      <c r="B262" s="754" t="s">
        <v>2529</v>
      </c>
      <c r="C262" s="755">
        <v>6000000</v>
      </c>
      <c r="D262" s="756">
        <v>44057.460648148102</v>
      </c>
      <c r="E262" s="754" t="s">
        <v>4828</v>
      </c>
      <c r="F262" s="757">
        <v>20201</v>
      </c>
    </row>
    <row r="263" spans="1:6" x14ac:dyDescent="0.2">
      <c r="A263" s="753">
        <v>841919003</v>
      </c>
      <c r="B263" s="754" t="s">
        <v>2520</v>
      </c>
      <c r="C263" s="755">
        <v>8000000</v>
      </c>
      <c r="D263" s="756">
        <v>44057.444039351903</v>
      </c>
      <c r="E263" s="754" t="s">
        <v>4830</v>
      </c>
      <c r="F263" s="757">
        <v>20201</v>
      </c>
    </row>
    <row r="264" spans="1:6" x14ac:dyDescent="0.2">
      <c r="A264" s="753">
        <v>839119007</v>
      </c>
      <c r="B264" s="754" t="s">
        <v>2453</v>
      </c>
      <c r="C264" s="755">
        <v>3750000</v>
      </c>
      <c r="D264" s="756">
        <v>44057.436874999999</v>
      </c>
      <c r="E264" s="754" t="s">
        <v>4823</v>
      </c>
      <c r="F264" s="757">
        <v>20201</v>
      </c>
    </row>
    <row r="265" spans="1:6" x14ac:dyDescent="0.2">
      <c r="A265" s="753">
        <v>849119030</v>
      </c>
      <c r="B265" s="754" t="s">
        <v>2375</v>
      </c>
      <c r="C265" s="755">
        <v>3750000</v>
      </c>
      <c r="D265" s="756">
        <v>44057.430625000001</v>
      </c>
      <c r="E265" s="754" t="s">
        <v>4825</v>
      </c>
      <c r="F265" s="757">
        <v>20201</v>
      </c>
    </row>
    <row r="266" spans="1:6" x14ac:dyDescent="0.2">
      <c r="A266" s="753">
        <v>849319014</v>
      </c>
      <c r="B266" s="754" t="s">
        <v>2321</v>
      </c>
      <c r="C266" s="755">
        <v>3750000</v>
      </c>
      <c r="D266" s="756">
        <v>44057.391192129602</v>
      </c>
      <c r="E266" s="754" t="s">
        <v>4821</v>
      </c>
      <c r="F266" s="757">
        <v>20201</v>
      </c>
    </row>
    <row r="267" spans="1:6" x14ac:dyDescent="0.2">
      <c r="A267" s="753">
        <v>841919014</v>
      </c>
      <c r="B267" s="754" t="s">
        <v>2503</v>
      </c>
      <c r="C267" s="755">
        <v>8000000</v>
      </c>
      <c r="D267" s="756">
        <v>44057.3911226852</v>
      </c>
      <c r="E267" s="754" t="s">
        <v>4830</v>
      </c>
      <c r="F267" s="757">
        <v>20201</v>
      </c>
    </row>
    <row r="268" spans="1:6" x14ac:dyDescent="0.2">
      <c r="A268" s="753">
        <v>841919012</v>
      </c>
      <c r="B268" s="754" t="s">
        <v>2515</v>
      </c>
      <c r="C268" s="755">
        <v>8000000</v>
      </c>
      <c r="D268" s="756">
        <v>44057.390138888899</v>
      </c>
      <c r="E268" s="754" t="s">
        <v>4830</v>
      </c>
      <c r="F268" s="757">
        <v>20201</v>
      </c>
    </row>
    <row r="269" spans="1:6" x14ac:dyDescent="0.2">
      <c r="A269" s="753">
        <v>849319013</v>
      </c>
      <c r="B269" s="754" t="s">
        <v>2332</v>
      </c>
      <c r="C269" s="755">
        <v>3750000</v>
      </c>
      <c r="D269" s="756">
        <v>44057.389421296299</v>
      </c>
      <c r="E269" s="754" t="s">
        <v>4821</v>
      </c>
      <c r="F269" s="757">
        <v>20201</v>
      </c>
    </row>
    <row r="270" spans="1:6" x14ac:dyDescent="0.2">
      <c r="A270" s="753">
        <v>839219003</v>
      </c>
      <c r="B270" s="754" t="s">
        <v>2396</v>
      </c>
      <c r="C270" s="755">
        <v>3750000</v>
      </c>
      <c r="D270" s="756">
        <v>44057.387893518498</v>
      </c>
      <c r="E270" s="754" t="s">
        <v>4826</v>
      </c>
      <c r="F270" s="757">
        <v>20201</v>
      </c>
    </row>
    <row r="271" spans="1:6" x14ac:dyDescent="0.2">
      <c r="A271" s="753">
        <v>849319007</v>
      </c>
      <c r="B271" s="754" t="s">
        <v>2338</v>
      </c>
      <c r="C271" s="755">
        <v>3750000</v>
      </c>
      <c r="D271" s="756">
        <v>44057.376736111102</v>
      </c>
      <c r="E271" s="754" t="s">
        <v>4821</v>
      </c>
      <c r="F271" s="757">
        <v>20201</v>
      </c>
    </row>
    <row r="272" spans="1:6" x14ac:dyDescent="0.2">
      <c r="A272" s="753">
        <v>841917014</v>
      </c>
      <c r="B272" s="754" t="s">
        <v>1998</v>
      </c>
      <c r="C272" s="755">
        <v>6000000</v>
      </c>
      <c r="D272" s="756">
        <v>44057.375532407401</v>
      </c>
      <c r="E272" s="754" t="s">
        <v>4830</v>
      </c>
      <c r="F272" s="757">
        <v>20201</v>
      </c>
    </row>
    <row r="273" spans="1:6" x14ac:dyDescent="0.2">
      <c r="A273" s="753">
        <v>839219013</v>
      </c>
      <c r="B273" s="754" t="s">
        <v>2400</v>
      </c>
      <c r="C273" s="755">
        <v>3750000</v>
      </c>
      <c r="D273" s="756">
        <v>44057.365277777797</v>
      </c>
      <c r="E273" s="754" t="s">
        <v>4826</v>
      </c>
      <c r="F273" s="757">
        <v>20201</v>
      </c>
    </row>
    <row r="274" spans="1:6" x14ac:dyDescent="0.2">
      <c r="A274" s="753">
        <v>839118017</v>
      </c>
      <c r="B274" s="754" t="s">
        <v>2238</v>
      </c>
      <c r="C274" s="755">
        <v>3750000</v>
      </c>
      <c r="D274" s="756">
        <v>44056.678946759297</v>
      </c>
      <c r="E274" s="754" t="s">
        <v>4823</v>
      </c>
      <c r="F274" s="757">
        <v>20201</v>
      </c>
    </row>
    <row r="275" spans="1:6" x14ac:dyDescent="0.2">
      <c r="A275" s="753">
        <v>842919002</v>
      </c>
      <c r="B275" s="754" t="s">
        <v>2531</v>
      </c>
      <c r="C275" s="755">
        <v>6000000</v>
      </c>
      <c r="D275" s="756">
        <v>44056.672870370399</v>
      </c>
      <c r="E275" s="754" t="s">
        <v>4828</v>
      </c>
      <c r="F275" s="757">
        <v>20201</v>
      </c>
    </row>
    <row r="276" spans="1:6" x14ac:dyDescent="0.2">
      <c r="A276" s="753">
        <v>849319011</v>
      </c>
      <c r="B276" s="754" t="s">
        <v>2325</v>
      </c>
      <c r="C276" s="755">
        <v>3750000</v>
      </c>
      <c r="D276" s="756">
        <v>44056.576284722199</v>
      </c>
      <c r="E276" s="754" t="s">
        <v>4821</v>
      </c>
      <c r="F276" s="757">
        <v>20201</v>
      </c>
    </row>
    <row r="277" spans="1:6" x14ac:dyDescent="0.2">
      <c r="A277" s="753">
        <v>849317034</v>
      </c>
      <c r="B277" s="754" t="s">
        <v>1789</v>
      </c>
      <c r="C277" s="755">
        <v>3000000</v>
      </c>
      <c r="D277" s="756">
        <v>44056.534259259301</v>
      </c>
      <c r="E277" s="754" t="s">
        <v>4821</v>
      </c>
      <c r="F277" s="757">
        <v>20201</v>
      </c>
    </row>
    <row r="278" spans="1:6" x14ac:dyDescent="0.2">
      <c r="A278" s="753">
        <v>829220003</v>
      </c>
      <c r="B278" s="754" t="s">
        <v>2495</v>
      </c>
      <c r="C278" s="755">
        <v>3750000</v>
      </c>
      <c r="D278" s="756">
        <v>44056.4874305556</v>
      </c>
      <c r="E278" s="754" t="s">
        <v>4836</v>
      </c>
      <c r="F278" s="757">
        <v>20201</v>
      </c>
    </row>
    <row r="279" spans="1:6" x14ac:dyDescent="0.2">
      <c r="A279" s="753">
        <v>849317018</v>
      </c>
      <c r="B279" s="754" t="s">
        <v>1772</v>
      </c>
      <c r="C279" s="755">
        <v>3000000</v>
      </c>
      <c r="D279" s="756">
        <v>44056.479317129597</v>
      </c>
      <c r="E279" s="754" t="s">
        <v>4821</v>
      </c>
      <c r="F279" s="757">
        <v>20201</v>
      </c>
    </row>
    <row r="280" spans="1:6" x14ac:dyDescent="0.2">
      <c r="A280" s="753">
        <v>849319044</v>
      </c>
      <c r="B280" s="754" t="s">
        <v>2319</v>
      </c>
      <c r="C280" s="755">
        <v>3750000</v>
      </c>
      <c r="D280" s="756">
        <v>44056.464340277802</v>
      </c>
      <c r="E280" s="754" t="s">
        <v>4821</v>
      </c>
      <c r="F280" s="757">
        <v>20201</v>
      </c>
    </row>
    <row r="281" spans="1:6" x14ac:dyDescent="0.2">
      <c r="A281" s="753">
        <v>829117006</v>
      </c>
      <c r="B281" s="754" t="s">
        <v>1968</v>
      </c>
      <c r="C281" s="755">
        <v>3000000</v>
      </c>
      <c r="D281" s="756">
        <v>44056.457361111097</v>
      </c>
      <c r="E281" s="754" t="s">
        <v>4824</v>
      </c>
      <c r="F281" s="757">
        <v>20201</v>
      </c>
    </row>
    <row r="282" spans="1:6" x14ac:dyDescent="0.2">
      <c r="A282" s="753">
        <v>849319074</v>
      </c>
      <c r="B282" s="754" t="s">
        <v>2290</v>
      </c>
      <c r="C282" s="755">
        <v>3750000</v>
      </c>
      <c r="D282" s="756">
        <v>44056.451932870397</v>
      </c>
      <c r="E282" s="754" t="s">
        <v>4821</v>
      </c>
      <c r="F282" s="757">
        <v>20201</v>
      </c>
    </row>
    <row r="283" spans="1:6" x14ac:dyDescent="0.2">
      <c r="A283" s="753">
        <v>849319026</v>
      </c>
      <c r="B283" s="754" t="s">
        <v>2342</v>
      </c>
      <c r="C283" s="755">
        <v>3750000</v>
      </c>
      <c r="D283" s="756">
        <v>44056.414664351898</v>
      </c>
      <c r="E283" s="754" t="s">
        <v>4821</v>
      </c>
      <c r="F283" s="757">
        <v>20201</v>
      </c>
    </row>
    <row r="284" spans="1:6" x14ac:dyDescent="0.2">
      <c r="A284" s="753">
        <v>839218025</v>
      </c>
      <c r="B284" s="754" t="s">
        <v>2169</v>
      </c>
      <c r="C284" s="755">
        <v>3750000</v>
      </c>
      <c r="D284" s="756">
        <v>44056.404918981498</v>
      </c>
      <c r="E284" s="754" t="s">
        <v>4826</v>
      </c>
      <c r="F284" s="757">
        <v>20201</v>
      </c>
    </row>
    <row r="285" spans="1:6" x14ac:dyDescent="0.2">
      <c r="A285" s="753">
        <v>849419012</v>
      </c>
      <c r="B285" s="754" t="s">
        <v>2479</v>
      </c>
      <c r="C285" s="755">
        <v>3750000</v>
      </c>
      <c r="D285" s="756">
        <v>44056.381967592599</v>
      </c>
      <c r="E285" s="754" t="s">
        <v>4829</v>
      </c>
      <c r="F285" s="757">
        <v>20201</v>
      </c>
    </row>
    <row r="286" spans="1:6" x14ac:dyDescent="0.2">
      <c r="A286" s="753">
        <v>839218033</v>
      </c>
      <c r="B286" s="754" t="s">
        <v>4842</v>
      </c>
      <c r="C286" s="755">
        <v>3750000</v>
      </c>
      <c r="D286" s="756">
        <v>44056.376469907402</v>
      </c>
      <c r="E286" s="754" t="s">
        <v>4826</v>
      </c>
      <c r="F286" s="757">
        <v>20201</v>
      </c>
    </row>
    <row r="287" spans="1:6" x14ac:dyDescent="0.2">
      <c r="A287" s="753">
        <v>841919025</v>
      </c>
      <c r="B287" s="754" t="s">
        <v>2502</v>
      </c>
      <c r="C287" s="755">
        <v>8000000</v>
      </c>
      <c r="D287" s="756">
        <v>44055.815648148098</v>
      </c>
      <c r="E287" s="754" t="s">
        <v>4830</v>
      </c>
      <c r="F287" s="757">
        <v>20201</v>
      </c>
    </row>
    <row r="288" spans="1:6" x14ac:dyDescent="0.2">
      <c r="A288" s="753">
        <v>839219026</v>
      </c>
      <c r="B288" s="754" t="s">
        <v>2421</v>
      </c>
      <c r="C288" s="755">
        <v>3750000</v>
      </c>
      <c r="D288" s="756">
        <v>44055.615370370397</v>
      </c>
      <c r="E288" s="754" t="s">
        <v>4826</v>
      </c>
      <c r="F288" s="757">
        <v>20201</v>
      </c>
    </row>
    <row r="289" spans="1:6" x14ac:dyDescent="0.2">
      <c r="A289" s="753">
        <v>839219016</v>
      </c>
      <c r="B289" s="754" t="s">
        <v>2417</v>
      </c>
      <c r="C289" s="755">
        <v>3750000</v>
      </c>
      <c r="D289" s="756">
        <v>44055.614398148202</v>
      </c>
      <c r="E289" s="754" t="s">
        <v>4826</v>
      </c>
      <c r="F289" s="757">
        <v>20201</v>
      </c>
    </row>
    <row r="290" spans="1:6" x14ac:dyDescent="0.2">
      <c r="A290" s="753">
        <v>849319001</v>
      </c>
      <c r="B290" s="754" t="s">
        <v>2296</v>
      </c>
      <c r="C290" s="755">
        <v>3750000</v>
      </c>
      <c r="D290" s="756">
        <v>44055.612199074101</v>
      </c>
      <c r="E290" s="754" t="s">
        <v>4821</v>
      </c>
      <c r="F290" s="757">
        <v>20201</v>
      </c>
    </row>
    <row r="291" spans="1:6" x14ac:dyDescent="0.2">
      <c r="A291" s="753">
        <v>849319012</v>
      </c>
      <c r="B291" s="754" t="s">
        <v>2330</v>
      </c>
      <c r="C291" s="755">
        <v>3750000</v>
      </c>
      <c r="D291" s="756">
        <v>44055.612141203703</v>
      </c>
      <c r="E291" s="754" t="s">
        <v>4821</v>
      </c>
      <c r="F291" s="757">
        <v>20201</v>
      </c>
    </row>
    <row r="292" spans="1:6" x14ac:dyDescent="0.2">
      <c r="A292" s="753">
        <v>849319005</v>
      </c>
      <c r="B292" s="754" t="s">
        <v>2340</v>
      </c>
      <c r="C292" s="755">
        <v>3750000</v>
      </c>
      <c r="D292" s="756">
        <v>44055.527222222197</v>
      </c>
      <c r="E292" s="754" t="s">
        <v>4821</v>
      </c>
      <c r="F292" s="757">
        <v>20201</v>
      </c>
    </row>
    <row r="293" spans="1:6" x14ac:dyDescent="0.2">
      <c r="A293" s="753">
        <v>841919026</v>
      </c>
      <c r="B293" s="754" t="s">
        <v>2516</v>
      </c>
      <c r="C293" s="755">
        <v>8000000</v>
      </c>
      <c r="D293" s="756">
        <v>44055.4844675926</v>
      </c>
      <c r="E293" s="754" t="s">
        <v>4830</v>
      </c>
      <c r="F293" s="757">
        <v>20201</v>
      </c>
    </row>
    <row r="294" spans="1:6" x14ac:dyDescent="0.2">
      <c r="A294" s="753">
        <v>849119009</v>
      </c>
      <c r="B294" s="754" t="s">
        <v>2358</v>
      </c>
      <c r="C294" s="755">
        <v>3750000</v>
      </c>
      <c r="D294" s="756">
        <v>44055.465983796297</v>
      </c>
      <c r="E294" s="754" t="s">
        <v>4825</v>
      </c>
      <c r="F294" s="757">
        <v>20201</v>
      </c>
    </row>
    <row r="295" spans="1:6" x14ac:dyDescent="0.2">
      <c r="A295" s="753">
        <v>842919012</v>
      </c>
      <c r="B295" s="754" t="s">
        <v>2539</v>
      </c>
      <c r="C295" s="755">
        <v>6000000</v>
      </c>
      <c r="D295" s="756">
        <v>44055.423530092601</v>
      </c>
      <c r="E295" s="754" t="s">
        <v>4828</v>
      </c>
      <c r="F295" s="757">
        <v>20201</v>
      </c>
    </row>
    <row r="296" spans="1:6" x14ac:dyDescent="0.2">
      <c r="A296" s="753">
        <v>849418009</v>
      </c>
      <c r="B296" s="754" t="s">
        <v>2213</v>
      </c>
      <c r="C296" s="755">
        <v>3750000</v>
      </c>
      <c r="D296" s="756">
        <v>44055.359444444402</v>
      </c>
      <c r="E296" s="754" t="s">
        <v>4829</v>
      </c>
      <c r="F296" s="757">
        <v>20201</v>
      </c>
    </row>
    <row r="297" spans="1:6" x14ac:dyDescent="0.2">
      <c r="A297" s="753">
        <v>841919007</v>
      </c>
      <c r="B297" s="754" t="s">
        <v>2507</v>
      </c>
      <c r="C297" s="755">
        <v>8000000</v>
      </c>
      <c r="D297" s="756">
        <v>44055.329930555599</v>
      </c>
      <c r="E297" s="754" t="s">
        <v>4830</v>
      </c>
      <c r="F297" s="757">
        <v>20201</v>
      </c>
    </row>
    <row r="298" spans="1:6" x14ac:dyDescent="0.2">
      <c r="A298" s="753">
        <v>839119005</v>
      </c>
      <c r="B298" s="754" t="s">
        <v>2445</v>
      </c>
      <c r="C298" s="755">
        <v>3750000</v>
      </c>
      <c r="D298" s="756">
        <v>44054.612037036997</v>
      </c>
      <c r="E298" s="754" t="s">
        <v>4823</v>
      </c>
      <c r="F298" s="757">
        <v>20201</v>
      </c>
    </row>
    <row r="299" spans="1:6" x14ac:dyDescent="0.2">
      <c r="A299" s="753">
        <v>849219007</v>
      </c>
      <c r="B299" s="754" t="s">
        <v>2434</v>
      </c>
      <c r="C299" s="755">
        <v>3750000</v>
      </c>
      <c r="D299" s="756">
        <v>44054.6093287037</v>
      </c>
      <c r="E299" s="754" t="s">
        <v>4822</v>
      </c>
      <c r="F299" s="757">
        <v>20201</v>
      </c>
    </row>
    <row r="300" spans="1:6" x14ac:dyDescent="0.2">
      <c r="A300" s="753">
        <v>841918007</v>
      </c>
      <c r="B300" s="754" t="s">
        <v>364</v>
      </c>
      <c r="C300" s="755">
        <v>12000000</v>
      </c>
      <c r="D300" s="756">
        <v>44054.577395833301</v>
      </c>
      <c r="E300" s="754" t="s">
        <v>4830</v>
      </c>
      <c r="F300" s="757">
        <v>20201</v>
      </c>
    </row>
    <row r="301" spans="1:6" x14ac:dyDescent="0.2">
      <c r="A301" s="753">
        <v>841919004</v>
      </c>
      <c r="B301" s="754" t="s">
        <v>2504</v>
      </c>
      <c r="C301" s="755">
        <v>8000000</v>
      </c>
      <c r="D301" s="756">
        <v>44054.570370370398</v>
      </c>
      <c r="E301" s="754" t="s">
        <v>4830</v>
      </c>
      <c r="F301" s="757">
        <v>20201</v>
      </c>
    </row>
    <row r="302" spans="1:6" x14ac:dyDescent="0.2">
      <c r="A302" s="753">
        <v>841917020</v>
      </c>
      <c r="B302" s="754" t="s">
        <v>2004</v>
      </c>
      <c r="C302" s="755">
        <v>6000000</v>
      </c>
      <c r="D302" s="756">
        <v>44054.561030092598</v>
      </c>
      <c r="E302" s="754" t="s">
        <v>4830</v>
      </c>
      <c r="F302" s="757">
        <v>20201</v>
      </c>
    </row>
    <row r="303" spans="1:6" x14ac:dyDescent="0.2">
      <c r="A303" s="753">
        <v>841919013</v>
      </c>
      <c r="B303" s="754" t="s">
        <v>2511</v>
      </c>
      <c r="C303" s="755">
        <v>8000000</v>
      </c>
      <c r="D303" s="756">
        <v>44054.5524421296</v>
      </c>
      <c r="E303" s="754" t="s">
        <v>4830</v>
      </c>
      <c r="F303" s="757">
        <v>20201</v>
      </c>
    </row>
    <row r="304" spans="1:6" x14ac:dyDescent="0.2">
      <c r="A304" s="753">
        <v>849219012</v>
      </c>
      <c r="B304" s="754" t="s">
        <v>2431</v>
      </c>
      <c r="C304" s="755">
        <v>3750000</v>
      </c>
      <c r="D304" s="756">
        <v>44054.551134259302</v>
      </c>
      <c r="E304" s="754" t="s">
        <v>4822</v>
      </c>
      <c r="F304" s="757">
        <v>20201</v>
      </c>
    </row>
    <row r="305" spans="1:6" x14ac:dyDescent="0.2">
      <c r="A305" s="753">
        <v>849319046</v>
      </c>
      <c r="B305" s="754" t="s">
        <v>2288</v>
      </c>
      <c r="C305" s="755">
        <v>3750000</v>
      </c>
      <c r="D305" s="756">
        <v>44054.550069444398</v>
      </c>
      <c r="E305" s="754" t="s">
        <v>4821</v>
      </c>
      <c r="F305" s="757">
        <v>20201</v>
      </c>
    </row>
    <row r="306" spans="1:6" x14ac:dyDescent="0.2">
      <c r="A306" s="753">
        <v>841917028</v>
      </c>
      <c r="B306" s="754" t="s">
        <v>2012</v>
      </c>
      <c r="C306" s="755">
        <v>6000000</v>
      </c>
      <c r="D306" s="756">
        <v>44054.455763888902</v>
      </c>
      <c r="E306" s="754" t="s">
        <v>4830</v>
      </c>
      <c r="F306" s="757">
        <v>20201</v>
      </c>
    </row>
    <row r="307" spans="1:6" x14ac:dyDescent="0.2">
      <c r="A307" s="753">
        <v>849318012</v>
      </c>
      <c r="B307" s="754" t="s">
        <v>2100</v>
      </c>
      <c r="C307" s="755">
        <v>500000</v>
      </c>
      <c r="D307" s="756">
        <v>44054.435185185197</v>
      </c>
      <c r="E307" s="754" t="s">
        <v>4821</v>
      </c>
      <c r="F307" s="757">
        <v>20201</v>
      </c>
    </row>
    <row r="308" spans="1:6" x14ac:dyDescent="0.2">
      <c r="A308" s="753">
        <v>839119015</v>
      </c>
      <c r="B308" s="754" t="s">
        <v>2441</v>
      </c>
      <c r="C308" s="755">
        <v>3750000</v>
      </c>
      <c r="D308" s="756">
        <v>44054.428124999999</v>
      </c>
      <c r="E308" s="754" t="s">
        <v>4823</v>
      </c>
      <c r="F308" s="757">
        <v>20201</v>
      </c>
    </row>
    <row r="309" spans="1:6" x14ac:dyDescent="0.2">
      <c r="A309" s="753">
        <v>849418003</v>
      </c>
      <c r="B309" s="754" t="s">
        <v>2207</v>
      </c>
      <c r="C309" s="755">
        <v>3750000</v>
      </c>
      <c r="D309" s="756">
        <v>44054.412662037001</v>
      </c>
      <c r="E309" s="754" t="s">
        <v>4829</v>
      </c>
      <c r="F309" s="757">
        <v>20201</v>
      </c>
    </row>
    <row r="310" spans="1:6" x14ac:dyDescent="0.2">
      <c r="A310" s="753">
        <v>839119003</v>
      </c>
      <c r="B310" s="754" t="s">
        <v>2449</v>
      </c>
      <c r="C310" s="755">
        <v>3750000</v>
      </c>
      <c r="D310" s="756">
        <v>44054.357314814799</v>
      </c>
      <c r="E310" s="754" t="s">
        <v>4823</v>
      </c>
      <c r="F310" s="757">
        <v>20201</v>
      </c>
    </row>
    <row r="311" spans="1:6" x14ac:dyDescent="0.2">
      <c r="A311" s="753">
        <v>842919011</v>
      </c>
      <c r="B311" s="754" t="s">
        <v>111</v>
      </c>
      <c r="C311" s="755">
        <v>6000000</v>
      </c>
      <c r="D311" s="756">
        <v>44054.3429861111</v>
      </c>
      <c r="E311" s="754" t="s">
        <v>4828</v>
      </c>
      <c r="F311" s="757">
        <v>20201</v>
      </c>
    </row>
    <row r="312" spans="1:6" x14ac:dyDescent="0.2">
      <c r="A312" s="753">
        <v>841917018</v>
      </c>
      <c r="B312" s="754" t="s">
        <v>2002</v>
      </c>
      <c r="C312" s="755">
        <v>6000000</v>
      </c>
      <c r="D312" s="756">
        <v>44053.693287037</v>
      </c>
      <c r="E312" s="754" t="s">
        <v>4830</v>
      </c>
      <c r="F312" s="757">
        <v>20201</v>
      </c>
    </row>
    <row r="313" spans="1:6" x14ac:dyDescent="0.2">
      <c r="A313" s="753">
        <v>841917024</v>
      </c>
      <c r="B313" s="754" t="s">
        <v>2008</v>
      </c>
      <c r="C313" s="755">
        <v>6000000</v>
      </c>
      <c r="D313" s="756">
        <v>44053.618993055599</v>
      </c>
      <c r="E313" s="754" t="s">
        <v>4830</v>
      </c>
      <c r="F313" s="757">
        <v>20201</v>
      </c>
    </row>
    <row r="314" spans="1:6" x14ac:dyDescent="0.2">
      <c r="A314" s="753">
        <v>841917026</v>
      </c>
      <c r="B314" s="754" t="s">
        <v>2010</v>
      </c>
      <c r="C314" s="755">
        <v>6000000</v>
      </c>
      <c r="D314" s="756">
        <v>44053.6180439815</v>
      </c>
      <c r="E314" s="754" t="s">
        <v>4830</v>
      </c>
      <c r="F314" s="757">
        <v>20201</v>
      </c>
    </row>
    <row r="315" spans="1:6" x14ac:dyDescent="0.2">
      <c r="A315" s="753">
        <v>841917025</v>
      </c>
      <c r="B315" s="754" t="s">
        <v>2009</v>
      </c>
      <c r="C315" s="755">
        <v>6000000</v>
      </c>
      <c r="D315" s="756">
        <v>44053.609201388899</v>
      </c>
      <c r="E315" s="754" t="s">
        <v>4830</v>
      </c>
      <c r="F315" s="757">
        <v>20201</v>
      </c>
    </row>
    <row r="316" spans="1:6" x14ac:dyDescent="0.2">
      <c r="A316" s="753">
        <v>849318061</v>
      </c>
      <c r="B316" s="754" t="s">
        <v>2086</v>
      </c>
      <c r="C316" s="755">
        <v>3750000</v>
      </c>
      <c r="D316" s="756">
        <v>44053.574155092603</v>
      </c>
      <c r="E316" s="754" t="s">
        <v>4821</v>
      </c>
      <c r="F316" s="757">
        <v>20201</v>
      </c>
    </row>
    <row r="317" spans="1:6" x14ac:dyDescent="0.2">
      <c r="A317" s="753">
        <v>849116029</v>
      </c>
      <c r="B317" s="754" t="s">
        <v>1710</v>
      </c>
      <c r="C317" s="755">
        <v>1000000</v>
      </c>
      <c r="D317" s="756">
        <v>44053.5464699074</v>
      </c>
      <c r="E317" s="754" t="s">
        <v>4825</v>
      </c>
      <c r="F317" s="757">
        <v>20201</v>
      </c>
    </row>
    <row r="318" spans="1:6" x14ac:dyDescent="0.2">
      <c r="A318" s="753">
        <v>829119001</v>
      </c>
      <c r="B318" s="754" t="s">
        <v>2463</v>
      </c>
      <c r="C318" s="755">
        <v>3750000</v>
      </c>
      <c r="D318" s="756">
        <v>44053.541273148097</v>
      </c>
      <c r="E318" s="754" t="s">
        <v>4824</v>
      </c>
      <c r="F318" s="757">
        <v>20201</v>
      </c>
    </row>
    <row r="319" spans="1:6" x14ac:dyDescent="0.2">
      <c r="A319" s="753">
        <v>839218026</v>
      </c>
      <c r="B319" s="754" t="s">
        <v>2170</v>
      </c>
      <c r="C319" s="755">
        <v>3750000</v>
      </c>
      <c r="D319" s="756">
        <v>44053.524351851898</v>
      </c>
      <c r="E319" s="754" t="s">
        <v>4826</v>
      </c>
      <c r="F319" s="757">
        <v>20201</v>
      </c>
    </row>
    <row r="320" spans="1:6" x14ac:dyDescent="0.2">
      <c r="A320" s="753">
        <v>841919017</v>
      </c>
      <c r="B320" s="754" t="s">
        <v>2508</v>
      </c>
      <c r="C320" s="755">
        <v>8000000</v>
      </c>
      <c r="D320" s="756">
        <v>44053.5210532407</v>
      </c>
      <c r="E320" s="754" t="s">
        <v>4830</v>
      </c>
      <c r="F320" s="757">
        <v>20201</v>
      </c>
    </row>
    <row r="321" spans="1:6" x14ac:dyDescent="0.2">
      <c r="A321" s="753">
        <v>849319029</v>
      </c>
      <c r="B321" s="754" t="s">
        <v>2292</v>
      </c>
      <c r="C321" s="755">
        <v>3750000</v>
      </c>
      <c r="D321" s="756">
        <v>44053.462939814803</v>
      </c>
      <c r="E321" s="754" t="s">
        <v>4821</v>
      </c>
      <c r="F321" s="757">
        <v>20201</v>
      </c>
    </row>
    <row r="322" spans="1:6" x14ac:dyDescent="0.2">
      <c r="A322" s="753">
        <v>849317001</v>
      </c>
      <c r="B322" s="754" t="s">
        <v>1755</v>
      </c>
      <c r="C322" s="755">
        <v>3000000</v>
      </c>
      <c r="D322" s="756">
        <v>44053.440451388902</v>
      </c>
      <c r="E322" s="754" t="s">
        <v>4821</v>
      </c>
      <c r="F322" s="757">
        <v>20201</v>
      </c>
    </row>
    <row r="323" spans="1:6" x14ac:dyDescent="0.2">
      <c r="A323" s="753">
        <v>841917009</v>
      </c>
      <c r="B323" s="754" t="s">
        <v>1991</v>
      </c>
      <c r="C323" s="755">
        <v>10000000</v>
      </c>
      <c r="D323" s="756">
        <v>44053.362094907403</v>
      </c>
      <c r="E323" s="754" t="s">
        <v>4830</v>
      </c>
      <c r="F323" s="757">
        <v>20201</v>
      </c>
    </row>
    <row r="324" spans="1:6" x14ac:dyDescent="0.2">
      <c r="A324" s="753">
        <v>849117023</v>
      </c>
      <c r="B324" s="754" t="s">
        <v>1835</v>
      </c>
      <c r="C324" s="755">
        <v>500000</v>
      </c>
      <c r="D324" s="756">
        <v>44050.585416666698</v>
      </c>
      <c r="E324" s="754" t="s">
        <v>4825</v>
      </c>
      <c r="F324" s="757">
        <v>20201</v>
      </c>
    </row>
    <row r="325" spans="1:6" x14ac:dyDescent="0.2">
      <c r="A325" s="753">
        <v>842919005</v>
      </c>
      <c r="B325" s="754" t="s">
        <v>2534</v>
      </c>
      <c r="C325" s="755">
        <v>6000000</v>
      </c>
      <c r="D325" s="756">
        <v>44050.573541666701</v>
      </c>
      <c r="E325" s="754" t="s">
        <v>4828</v>
      </c>
      <c r="F325" s="757">
        <v>20201</v>
      </c>
    </row>
    <row r="326" spans="1:6" x14ac:dyDescent="0.2">
      <c r="A326" s="753">
        <v>829220001</v>
      </c>
      <c r="B326" s="754" t="s">
        <v>2493</v>
      </c>
      <c r="C326" s="755">
        <v>3750000</v>
      </c>
      <c r="D326" s="756">
        <v>44050.447835648098</v>
      </c>
      <c r="E326" s="754" t="s">
        <v>4836</v>
      </c>
      <c r="F326" s="757">
        <v>20201</v>
      </c>
    </row>
    <row r="327" spans="1:6" x14ac:dyDescent="0.2">
      <c r="A327" s="753">
        <v>849316035</v>
      </c>
      <c r="B327" s="754" t="s">
        <v>1647</v>
      </c>
      <c r="C327" s="755">
        <v>500000</v>
      </c>
      <c r="D327" s="756">
        <v>44050.439629629604</v>
      </c>
      <c r="E327" s="754" t="s">
        <v>4821</v>
      </c>
      <c r="F327" s="757">
        <v>20201</v>
      </c>
    </row>
    <row r="328" spans="1:6" x14ac:dyDescent="0.2">
      <c r="A328" s="753">
        <v>841915020</v>
      </c>
      <c r="B328" s="754" t="s">
        <v>1495</v>
      </c>
      <c r="C328" s="755">
        <v>8000000</v>
      </c>
      <c r="D328" s="756">
        <v>44050.428645833301</v>
      </c>
      <c r="E328" s="754" t="s">
        <v>4830</v>
      </c>
      <c r="F328" s="757">
        <v>20201</v>
      </c>
    </row>
    <row r="329" spans="1:6" x14ac:dyDescent="0.2">
      <c r="A329" s="753">
        <v>849219002</v>
      </c>
      <c r="B329" s="754" t="s">
        <v>1649</v>
      </c>
      <c r="C329" s="755">
        <v>3750000</v>
      </c>
      <c r="D329" s="756">
        <v>44050.413379629601</v>
      </c>
      <c r="E329" s="754" t="s">
        <v>4822</v>
      </c>
      <c r="F329" s="757">
        <v>20201</v>
      </c>
    </row>
    <row r="330" spans="1:6" x14ac:dyDescent="0.2">
      <c r="A330" s="753">
        <v>841919018</v>
      </c>
      <c r="B330" s="754" t="s">
        <v>2509</v>
      </c>
      <c r="C330" s="755">
        <v>8000000</v>
      </c>
      <c r="D330" s="756">
        <v>44050.388136574104</v>
      </c>
      <c r="E330" s="754" t="s">
        <v>4830</v>
      </c>
      <c r="F330" s="757">
        <v>20201</v>
      </c>
    </row>
    <row r="331" spans="1:6" x14ac:dyDescent="0.2">
      <c r="A331" s="753">
        <v>849117011</v>
      </c>
      <c r="B331" s="754" t="s">
        <v>1822</v>
      </c>
      <c r="C331" s="755">
        <v>500000</v>
      </c>
      <c r="D331" s="756">
        <v>44049.466793981497</v>
      </c>
      <c r="E331" s="754" t="s">
        <v>4825</v>
      </c>
      <c r="F331" s="757">
        <v>20201</v>
      </c>
    </row>
    <row r="332" spans="1:6" x14ac:dyDescent="0.2">
      <c r="A332" s="753">
        <v>841917001</v>
      </c>
      <c r="B332" s="754" t="s">
        <v>1982</v>
      </c>
      <c r="C332" s="755">
        <v>7500000</v>
      </c>
      <c r="D332" s="756">
        <v>44049.420787037001</v>
      </c>
      <c r="E332" s="754" t="s">
        <v>4830</v>
      </c>
      <c r="F332" s="757">
        <v>20201</v>
      </c>
    </row>
    <row r="333" spans="1:6" x14ac:dyDescent="0.2">
      <c r="A333" s="753">
        <v>849319075</v>
      </c>
      <c r="B333" s="754" t="s">
        <v>2353</v>
      </c>
      <c r="C333" s="755">
        <v>3750000</v>
      </c>
      <c r="D333" s="756">
        <v>44049.396284722199</v>
      </c>
      <c r="E333" s="754" t="s">
        <v>4821</v>
      </c>
      <c r="F333" s="757">
        <v>20201</v>
      </c>
    </row>
    <row r="334" spans="1:6" x14ac:dyDescent="0.2">
      <c r="A334" s="753">
        <v>839218028</v>
      </c>
      <c r="B334" s="754" t="s">
        <v>2172</v>
      </c>
      <c r="C334" s="755">
        <v>3750000</v>
      </c>
      <c r="D334" s="756">
        <v>44049.386562500003</v>
      </c>
      <c r="E334" s="754" t="s">
        <v>4826</v>
      </c>
      <c r="F334" s="757">
        <v>20201</v>
      </c>
    </row>
    <row r="335" spans="1:6" x14ac:dyDescent="0.2">
      <c r="A335" s="753">
        <v>829220004</v>
      </c>
      <c r="B335" s="754" t="s">
        <v>2357</v>
      </c>
      <c r="C335" s="755">
        <v>3750000</v>
      </c>
      <c r="D335" s="756">
        <v>44049.375474537002</v>
      </c>
      <c r="E335" s="754" t="s">
        <v>4836</v>
      </c>
      <c r="F335" s="757">
        <v>20201</v>
      </c>
    </row>
    <row r="336" spans="1:6" x14ac:dyDescent="0.2">
      <c r="A336" s="753">
        <v>849316017</v>
      </c>
      <c r="B336" s="754" t="s">
        <v>1627</v>
      </c>
      <c r="C336" s="755">
        <v>3000000</v>
      </c>
      <c r="D336" s="756">
        <v>44048.723159722198</v>
      </c>
      <c r="E336" s="754" t="s">
        <v>4821</v>
      </c>
      <c r="F336" s="757">
        <v>20201</v>
      </c>
    </row>
    <row r="337" spans="1:6" x14ac:dyDescent="0.2">
      <c r="A337" s="753">
        <v>839218016</v>
      </c>
      <c r="B337" s="754" t="s">
        <v>2159</v>
      </c>
      <c r="C337" s="755">
        <v>500000</v>
      </c>
      <c r="D337" s="756">
        <v>44048.521689814799</v>
      </c>
      <c r="E337" s="754" t="s">
        <v>4826</v>
      </c>
      <c r="F337" s="757">
        <v>20201</v>
      </c>
    </row>
    <row r="338" spans="1:6" x14ac:dyDescent="0.2">
      <c r="A338" s="753">
        <v>849119008</v>
      </c>
      <c r="B338" s="754" t="s">
        <v>2365</v>
      </c>
      <c r="C338" s="755">
        <v>3750000</v>
      </c>
      <c r="D338" s="756">
        <v>44048.445844907401</v>
      </c>
      <c r="E338" s="754" t="s">
        <v>4825</v>
      </c>
      <c r="F338" s="757">
        <v>20201</v>
      </c>
    </row>
    <row r="339" spans="1:6" x14ac:dyDescent="0.2">
      <c r="A339" s="753">
        <v>842919006</v>
      </c>
      <c r="B339" s="754" t="s">
        <v>4843</v>
      </c>
      <c r="C339" s="755">
        <v>6000000</v>
      </c>
      <c r="D339" s="756">
        <v>44048.429849537002</v>
      </c>
      <c r="E339" s="754" t="s">
        <v>4828</v>
      </c>
      <c r="F339" s="757">
        <v>20201</v>
      </c>
    </row>
    <row r="340" spans="1:6" x14ac:dyDescent="0.2">
      <c r="A340" s="753">
        <v>849319032</v>
      </c>
      <c r="B340" s="754" t="s">
        <v>2335</v>
      </c>
      <c r="C340" s="755">
        <v>3750000</v>
      </c>
      <c r="D340" s="756">
        <v>44048.368726851899</v>
      </c>
      <c r="E340" s="754" t="s">
        <v>4821</v>
      </c>
      <c r="F340" s="757">
        <v>20201</v>
      </c>
    </row>
    <row r="341" spans="1:6" x14ac:dyDescent="0.2">
      <c r="A341" s="753">
        <v>849319037</v>
      </c>
      <c r="B341" s="754" t="s">
        <v>2284</v>
      </c>
      <c r="C341" s="755">
        <v>3750000</v>
      </c>
      <c r="D341" s="756">
        <v>44047.555069444403</v>
      </c>
      <c r="E341" s="754" t="s">
        <v>4821</v>
      </c>
      <c r="F341" s="757">
        <v>20201</v>
      </c>
    </row>
    <row r="342" spans="1:6" x14ac:dyDescent="0.2">
      <c r="A342" s="753">
        <v>849317046</v>
      </c>
      <c r="B342" s="754" t="s">
        <v>1801</v>
      </c>
      <c r="C342" s="755">
        <v>500000</v>
      </c>
      <c r="D342" s="756">
        <v>44047.535104166702</v>
      </c>
      <c r="E342" s="754" t="s">
        <v>4821</v>
      </c>
      <c r="F342" s="757">
        <v>20201</v>
      </c>
    </row>
    <row r="343" spans="1:6" x14ac:dyDescent="0.2">
      <c r="A343" s="753">
        <v>841919005</v>
      </c>
      <c r="B343" s="754" t="s">
        <v>2518</v>
      </c>
      <c r="C343" s="755">
        <v>8000000</v>
      </c>
      <c r="D343" s="756">
        <v>44047.502453703702</v>
      </c>
      <c r="E343" s="754" t="s">
        <v>4830</v>
      </c>
      <c r="F343" s="757">
        <v>20201</v>
      </c>
    </row>
    <row r="344" spans="1:6" x14ac:dyDescent="0.2">
      <c r="A344" s="753">
        <v>839119001</v>
      </c>
      <c r="B344" s="754" t="s">
        <v>2456</v>
      </c>
      <c r="C344" s="755">
        <v>3750000</v>
      </c>
      <c r="D344" s="756">
        <v>44047.445752314801</v>
      </c>
      <c r="E344" s="754" t="s">
        <v>4823</v>
      </c>
      <c r="F344" s="757">
        <v>20201</v>
      </c>
    </row>
    <row r="345" spans="1:6" x14ac:dyDescent="0.2">
      <c r="A345" s="753">
        <v>839118003</v>
      </c>
      <c r="B345" s="754" t="s">
        <v>332</v>
      </c>
      <c r="C345" s="755">
        <v>3750000</v>
      </c>
      <c r="D345" s="756">
        <v>44047.445324074099</v>
      </c>
      <c r="E345" s="754" t="s">
        <v>4823</v>
      </c>
      <c r="F345" s="757">
        <v>20201</v>
      </c>
    </row>
    <row r="346" spans="1:6" x14ac:dyDescent="0.2">
      <c r="A346" s="753">
        <v>841919002</v>
      </c>
      <c r="B346" s="754" t="s">
        <v>2514</v>
      </c>
      <c r="C346" s="755">
        <v>8000000</v>
      </c>
      <c r="D346" s="756">
        <v>44047.419525463003</v>
      </c>
      <c r="E346" s="754" t="s">
        <v>4830</v>
      </c>
      <c r="F346" s="757">
        <v>20201</v>
      </c>
    </row>
    <row r="347" spans="1:6" x14ac:dyDescent="0.2">
      <c r="A347" s="753">
        <v>849117010</v>
      </c>
      <c r="B347" s="754" t="s">
        <v>1821</v>
      </c>
      <c r="C347" s="755">
        <v>4000000</v>
      </c>
      <c r="D347" s="756">
        <v>44047.356076388904</v>
      </c>
      <c r="E347" s="754" t="s">
        <v>4825</v>
      </c>
      <c r="F347" s="757">
        <v>20201</v>
      </c>
    </row>
    <row r="348" spans="1:6" x14ac:dyDescent="0.2">
      <c r="A348" s="753">
        <v>849218013</v>
      </c>
      <c r="B348" s="754" t="s">
        <v>2200</v>
      </c>
      <c r="C348" s="755">
        <v>3750000</v>
      </c>
      <c r="D348" s="756">
        <v>44047.301863425899</v>
      </c>
      <c r="E348" s="754" t="s">
        <v>4822</v>
      </c>
      <c r="F348" s="757">
        <v>20201</v>
      </c>
    </row>
    <row r="349" spans="1:6" x14ac:dyDescent="0.2">
      <c r="A349" s="753">
        <v>849118006</v>
      </c>
      <c r="B349" s="754" t="s">
        <v>2032</v>
      </c>
      <c r="C349" s="755">
        <v>3750000</v>
      </c>
      <c r="D349" s="756">
        <v>44046.604074074101</v>
      </c>
      <c r="E349" s="754" t="s">
        <v>4825</v>
      </c>
      <c r="F349" s="757">
        <v>20201</v>
      </c>
    </row>
    <row r="350" spans="1:6" x14ac:dyDescent="0.2">
      <c r="A350" s="753">
        <v>841919006</v>
      </c>
      <c r="B350" s="754" t="s">
        <v>2513</v>
      </c>
      <c r="C350" s="755">
        <v>8000000</v>
      </c>
      <c r="D350" s="756">
        <v>44046.599722222199</v>
      </c>
      <c r="E350" s="754" t="s">
        <v>4830</v>
      </c>
      <c r="F350" s="757">
        <v>20201</v>
      </c>
    </row>
    <row r="351" spans="1:6" x14ac:dyDescent="0.2">
      <c r="A351" s="753">
        <v>849119001</v>
      </c>
      <c r="B351" s="754" t="s">
        <v>2383</v>
      </c>
      <c r="C351" s="755">
        <v>3750000</v>
      </c>
      <c r="D351" s="756">
        <v>44046.577025462997</v>
      </c>
      <c r="E351" s="754" t="s">
        <v>4825</v>
      </c>
      <c r="F351" s="757">
        <v>20201</v>
      </c>
    </row>
    <row r="352" spans="1:6" x14ac:dyDescent="0.2">
      <c r="A352" s="753">
        <v>849119022</v>
      </c>
      <c r="B352" s="754" t="s">
        <v>2391</v>
      </c>
      <c r="C352" s="755">
        <v>3750000</v>
      </c>
      <c r="D352" s="756">
        <v>44046.568564814799</v>
      </c>
      <c r="E352" s="754" t="s">
        <v>4825</v>
      </c>
      <c r="F352" s="757">
        <v>20201</v>
      </c>
    </row>
    <row r="353" spans="1:6" x14ac:dyDescent="0.2">
      <c r="A353" s="753">
        <v>849419013</v>
      </c>
      <c r="B353" s="754" t="s">
        <v>2490</v>
      </c>
      <c r="C353" s="755">
        <v>3750000</v>
      </c>
      <c r="D353" s="756">
        <v>44046.564861111103</v>
      </c>
      <c r="E353" s="754" t="s">
        <v>4829</v>
      </c>
      <c r="F353" s="757">
        <v>20201</v>
      </c>
    </row>
    <row r="354" spans="1:6" x14ac:dyDescent="0.2">
      <c r="A354" s="753">
        <v>849117038</v>
      </c>
      <c r="B354" s="754" t="s">
        <v>1852</v>
      </c>
      <c r="C354" s="755">
        <v>1000000</v>
      </c>
      <c r="D354" s="756">
        <v>44046.4298263889</v>
      </c>
      <c r="E354" s="754" t="s">
        <v>4825</v>
      </c>
      <c r="F354" s="757">
        <v>20201</v>
      </c>
    </row>
    <row r="355" spans="1:6" x14ac:dyDescent="0.2">
      <c r="A355" s="753">
        <v>849117026</v>
      </c>
      <c r="B355" s="754" t="s">
        <v>1838</v>
      </c>
      <c r="C355" s="755">
        <v>1000000</v>
      </c>
      <c r="D355" s="756">
        <v>44046.422222222202</v>
      </c>
      <c r="E355" s="754" t="s">
        <v>4825</v>
      </c>
      <c r="F355" s="757">
        <v>20201</v>
      </c>
    </row>
    <row r="356" spans="1:6" x14ac:dyDescent="0.2">
      <c r="A356" s="753">
        <v>849319008</v>
      </c>
      <c r="B356" s="754" t="s">
        <v>2333</v>
      </c>
      <c r="C356" s="755">
        <v>3750000</v>
      </c>
      <c r="D356" s="756">
        <v>44046.321238425902</v>
      </c>
      <c r="E356" s="754" t="s">
        <v>4821</v>
      </c>
      <c r="F356" s="757">
        <v>20201</v>
      </c>
    </row>
    <row r="357" spans="1:6" x14ac:dyDescent="0.2">
      <c r="A357" s="753">
        <v>829116006</v>
      </c>
      <c r="B357" s="754" t="s">
        <v>1605</v>
      </c>
      <c r="C357" s="755">
        <v>500000</v>
      </c>
      <c r="D357" s="756">
        <v>44042.558090277802</v>
      </c>
      <c r="E357" s="754" t="s">
        <v>4824</v>
      </c>
      <c r="F357" s="757">
        <v>20201</v>
      </c>
    </row>
    <row r="358" spans="1:6" x14ac:dyDescent="0.2">
      <c r="A358" s="753">
        <v>829117007</v>
      </c>
      <c r="B358" s="754" t="s">
        <v>4844</v>
      </c>
      <c r="C358" s="755">
        <v>1000000</v>
      </c>
      <c r="D358" s="756">
        <v>44042.470590277801</v>
      </c>
      <c r="E358" s="754" t="s">
        <v>4824</v>
      </c>
      <c r="F358" s="757">
        <v>20201</v>
      </c>
    </row>
    <row r="359" spans="1:6" x14ac:dyDescent="0.2">
      <c r="A359" s="753">
        <v>849419007</v>
      </c>
      <c r="B359" s="754" t="s">
        <v>2489</v>
      </c>
      <c r="C359" s="755">
        <v>3750000</v>
      </c>
      <c r="D359" s="756">
        <v>44042.397048611099</v>
      </c>
      <c r="E359" s="754" t="s">
        <v>4829</v>
      </c>
      <c r="F359" s="757">
        <v>20201</v>
      </c>
    </row>
    <row r="360" spans="1:6" x14ac:dyDescent="0.2">
      <c r="A360" s="753">
        <v>839219006</v>
      </c>
      <c r="B360" s="754" t="s">
        <v>2403</v>
      </c>
      <c r="C360" s="755">
        <v>3750000</v>
      </c>
      <c r="D360" s="756">
        <v>44042.39</v>
      </c>
      <c r="E360" s="754" t="s">
        <v>4826</v>
      </c>
      <c r="F360" s="757">
        <v>20201</v>
      </c>
    </row>
    <row r="361" spans="1:6" x14ac:dyDescent="0.2">
      <c r="A361" s="753">
        <v>829119004</v>
      </c>
      <c r="B361" s="754" t="s">
        <v>2465</v>
      </c>
      <c r="C361" s="755">
        <v>3750000</v>
      </c>
      <c r="D361" s="756">
        <v>44041.891944444404</v>
      </c>
      <c r="E361" s="754" t="s">
        <v>4824</v>
      </c>
      <c r="F361" s="757">
        <v>20201</v>
      </c>
    </row>
    <row r="362" spans="1:6" x14ac:dyDescent="0.2">
      <c r="A362" s="753">
        <v>849319006</v>
      </c>
      <c r="B362" s="754" t="s">
        <v>2286</v>
      </c>
      <c r="C362" s="755">
        <v>3750000</v>
      </c>
      <c r="D362" s="756">
        <v>44041.5844097222</v>
      </c>
      <c r="E362" s="754" t="s">
        <v>4821</v>
      </c>
      <c r="F362" s="757">
        <v>20201</v>
      </c>
    </row>
    <row r="363" spans="1:6" x14ac:dyDescent="0.2">
      <c r="A363" s="753">
        <v>849319010</v>
      </c>
      <c r="B363" s="754" t="s">
        <v>2339</v>
      </c>
      <c r="C363" s="755">
        <v>3750000</v>
      </c>
      <c r="D363" s="756">
        <v>44041.583726851903</v>
      </c>
      <c r="E363" s="754" t="s">
        <v>4821</v>
      </c>
      <c r="F363" s="757">
        <v>20201</v>
      </c>
    </row>
    <row r="364" spans="1:6" x14ac:dyDescent="0.2">
      <c r="A364" s="753">
        <v>849318057</v>
      </c>
      <c r="B364" s="754" t="s">
        <v>2130</v>
      </c>
      <c r="C364" s="755">
        <v>500000</v>
      </c>
      <c r="D364" s="756">
        <v>44041.518159722204</v>
      </c>
      <c r="E364" s="754" t="s">
        <v>4821</v>
      </c>
      <c r="F364" s="757">
        <v>20201</v>
      </c>
    </row>
    <row r="365" spans="1:6" x14ac:dyDescent="0.2">
      <c r="A365" s="753">
        <v>849316002</v>
      </c>
      <c r="B365" s="754" t="s">
        <v>1612</v>
      </c>
      <c r="C365" s="755">
        <v>7000000</v>
      </c>
      <c r="D365" s="756">
        <v>44041.429722222201</v>
      </c>
      <c r="E365" s="754" t="s">
        <v>4821</v>
      </c>
      <c r="F365" s="757">
        <v>20201</v>
      </c>
    </row>
    <row r="366" spans="1:6" x14ac:dyDescent="0.2">
      <c r="A366" s="753">
        <v>841915037</v>
      </c>
      <c r="B366" s="754" t="s">
        <v>1516</v>
      </c>
      <c r="C366" s="755">
        <v>500000</v>
      </c>
      <c r="D366" s="756">
        <v>44040.573171296302</v>
      </c>
      <c r="E366" s="754" t="s">
        <v>4830</v>
      </c>
      <c r="F366" s="757">
        <v>20201</v>
      </c>
    </row>
    <row r="367" spans="1:6" x14ac:dyDescent="0.2">
      <c r="A367" s="753">
        <v>839219002</v>
      </c>
      <c r="B367" s="754" t="s">
        <v>2415</v>
      </c>
      <c r="C367" s="755">
        <v>3750000</v>
      </c>
      <c r="D367" s="756">
        <v>44040.446377314802</v>
      </c>
      <c r="E367" s="754" t="s">
        <v>4826</v>
      </c>
      <c r="F367" s="757">
        <v>20201</v>
      </c>
    </row>
    <row r="368" spans="1:6" x14ac:dyDescent="0.2">
      <c r="A368" s="753">
        <v>849119012</v>
      </c>
      <c r="B368" s="754" t="s">
        <v>2364</v>
      </c>
      <c r="C368" s="755">
        <v>3750000</v>
      </c>
      <c r="D368" s="756">
        <v>44040.429664351897</v>
      </c>
      <c r="E368" s="754" t="s">
        <v>4825</v>
      </c>
      <c r="F368" s="757">
        <v>20201</v>
      </c>
    </row>
    <row r="369" spans="1:6" x14ac:dyDescent="0.2">
      <c r="A369" s="753">
        <v>849319020</v>
      </c>
      <c r="B369" s="754" t="s">
        <v>2331</v>
      </c>
      <c r="C369" s="755">
        <v>3750000</v>
      </c>
      <c r="D369" s="756">
        <v>44039.613981481503</v>
      </c>
      <c r="E369" s="754" t="s">
        <v>4821</v>
      </c>
      <c r="F369" s="757">
        <v>20201</v>
      </c>
    </row>
    <row r="370" spans="1:6" x14ac:dyDescent="0.2">
      <c r="A370" s="753">
        <v>849117022</v>
      </c>
      <c r="B370" s="754" t="s">
        <v>1834</v>
      </c>
      <c r="C370" s="755">
        <v>3000000</v>
      </c>
      <c r="D370" s="756">
        <v>44039.507430555597</v>
      </c>
      <c r="E370" s="754" t="s">
        <v>4825</v>
      </c>
      <c r="F370" s="757">
        <v>20201</v>
      </c>
    </row>
    <row r="371" spans="1:6" x14ac:dyDescent="0.2">
      <c r="A371" s="753">
        <v>849116028</v>
      </c>
      <c r="B371" s="754" t="s">
        <v>1709</v>
      </c>
      <c r="C371" s="755">
        <v>1000000</v>
      </c>
      <c r="D371" s="756">
        <v>44039.466296296298</v>
      </c>
      <c r="E371" s="754" t="s">
        <v>4825</v>
      </c>
      <c r="F371" s="757">
        <v>20201</v>
      </c>
    </row>
    <row r="372" spans="1:6" x14ac:dyDescent="0.2">
      <c r="A372" s="753">
        <v>839219017</v>
      </c>
      <c r="B372" s="754" t="s">
        <v>2402</v>
      </c>
      <c r="C372" s="755">
        <v>3750000</v>
      </c>
      <c r="D372" s="756">
        <v>44039.451446759304</v>
      </c>
      <c r="E372" s="754" t="s">
        <v>4826</v>
      </c>
      <c r="F372" s="757">
        <v>20201</v>
      </c>
    </row>
    <row r="373" spans="1:6" x14ac:dyDescent="0.2">
      <c r="A373" s="753">
        <v>839118029</v>
      </c>
      <c r="B373" s="754" t="s">
        <v>1972</v>
      </c>
      <c r="C373" s="755">
        <v>500000</v>
      </c>
      <c r="D373" s="756">
        <v>44039.4206134259</v>
      </c>
      <c r="E373" s="754" t="s">
        <v>4823</v>
      </c>
      <c r="F373" s="757">
        <v>20201</v>
      </c>
    </row>
    <row r="374" spans="1:6" x14ac:dyDescent="0.2">
      <c r="A374" s="753">
        <v>849419019</v>
      </c>
      <c r="B374" s="754" t="s">
        <v>2481</v>
      </c>
      <c r="C374" s="755">
        <v>3750000</v>
      </c>
      <c r="D374" s="756">
        <v>44039.321238425902</v>
      </c>
      <c r="E374" s="754" t="s">
        <v>4829</v>
      </c>
      <c r="F374" s="757">
        <v>20201</v>
      </c>
    </row>
    <row r="375" spans="1:6" x14ac:dyDescent="0.2">
      <c r="A375" s="753">
        <v>849117035</v>
      </c>
      <c r="B375" s="754" t="s">
        <v>1849</v>
      </c>
      <c r="C375" s="755">
        <v>3000000</v>
      </c>
      <c r="D375" s="756">
        <v>44038.810844907399</v>
      </c>
      <c r="E375" s="754" t="s">
        <v>4825</v>
      </c>
      <c r="F375" s="757">
        <v>20201</v>
      </c>
    </row>
    <row r="376" spans="1:6" x14ac:dyDescent="0.2">
      <c r="A376" s="753">
        <v>849117035</v>
      </c>
      <c r="B376" s="754" t="s">
        <v>1849</v>
      </c>
      <c r="C376" s="755">
        <v>3000000</v>
      </c>
      <c r="D376" s="756">
        <v>44038.757754629602</v>
      </c>
      <c r="E376" s="754" t="s">
        <v>4825</v>
      </c>
      <c r="F376" s="757">
        <v>20201</v>
      </c>
    </row>
    <row r="377" spans="1:6" x14ac:dyDescent="0.2">
      <c r="A377" s="753">
        <v>839219001</v>
      </c>
      <c r="B377" s="754" t="s">
        <v>2407</v>
      </c>
      <c r="C377" s="755">
        <v>3750000</v>
      </c>
      <c r="D377" s="756">
        <v>44036.565763888902</v>
      </c>
      <c r="E377" s="754" t="s">
        <v>4826</v>
      </c>
      <c r="F377" s="757">
        <v>20201</v>
      </c>
    </row>
    <row r="378" spans="1:6" x14ac:dyDescent="0.2">
      <c r="A378" s="753">
        <v>849318026</v>
      </c>
      <c r="B378" s="754" t="s">
        <v>2114</v>
      </c>
      <c r="C378" s="755">
        <v>500000</v>
      </c>
      <c r="D378" s="756">
        <v>44036.558414351799</v>
      </c>
      <c r="E378" s="754" t="s">
        <v>4821</v>
      </c>
      <c r="F378" s="757">
        <v>20201</v>
      </c>
    </row>
    <row r="379" spans="1:6" x14ac:dyDescent="0.2">
      <c r="A379" s="753">
        <v>829118003</v>
      </c>
      <c r="B379" s="754" t="s">
        <v>2262</v>
      </c>
      <c r="C379" s="755">
        <v>3750000</v>
      </c>
      <c r="D379" s="756">
        <v>44035.868553240703</v>
      </c>
      <c r="E379" s="754" t="s">
        <v>4824</v>
      </c>
      <c r="F379" s="757">
        <v>20201</v>
      </c>
    </row>
    <row r="380" spans="1:6" x14ac:dyDescent="0.2">
      <c r="A380" s="753">
        <v>829117004</v>
      </c>
      <c r="B380" s="754" t="s">
        <v>1966</v>
      </c>
      <c r="C380" s="755">
        <v>4000000</v>
      </c>
      <c r="D380" s="756">
        <v>44035.475185185198</v>
      </c>
      <c r="E380" s="754" t="s">
        <v>4824</v>
      </c>
      <c r="F380" s="757">
        <v>20201</v>
      </c>
    </row>
    <row r="381" spans="1:6" x14ac:dyDescent="0.2">
      <c r="A381" s="753">
        <v>839217021</v>
      </c>
      <c r="B381" s="754" t="s">
        <v>1882</v>
      </c>
      <c r="C381" s="755">
        <v>1000000</v>
      </c>
      <c r="D381" s="756">
        <v>44033.634131944404</v>
      </c>
      <c r="E381" s="754" t="s">
        <v>4826</v>
      </c>
      <c r="F381" s="757">
        <v>20201</v>
      </c>
    </row>
    <row r="382" spans="1:6" x14ac:dyDescent="0.2">
      <c r="A382" s="753">
        <v>841917002</v>
      </c>
      <c r="B382" s="754" t="s">
        <v>1983</v>
      </c>
      <c r="C382" s="755">
        <v>1500000</v>
      </c>
      <c r="D382" s="756">
        <v>44033.589571759301</v>
      </c>
      <c r="E382" s="754" t="s">
        <v>4830</v>
      </c>
      <c r="F382" s="757">
        <v>20201</v>
      </c>
    </row>
    <row r="383" spans="1:6" x14ac:dyDescent="0.2">
      <c r="A383" s="753">
        <v>841917005</v>
      </c>
      <c r="B383" s="754" t="s">
        <v>1986</v>
      </c>
      <c r="C383" s="755">
        <v>1500000</v>
      </c>
      <c r="D383" s="756">
        <v>44033.558935185203</v>
      </c>
      <c r="E383" s="754" t="s">
        <v>4830</v>
      </c>
      <c r="F383" s="757">
        <v>20201</v>
      </c>
    </row>
    <row r="384" spans="1:6" x14ac:dyDescent="0.2">
      <c r="A384" s="753">
        <v>829118005</v>
      </c>
      <c r="B384" s="754" t="s">
        <v>4561</v>
      </c>
      <c r="C384" s="755">
        <v>500000</v>
      </c>
      <c r="D384" s="756">
        <v>44033.406863425902</v>
      </c>
      <c r="E384" s="754" t="s">
        <v>4824</v>
      </c>
      <c r="F384" s="757">
        <v>20201</v>
      </c>
    </row>
    <row r="385" spans="1:6" x14ac:dyDescent="0.2">
      <c r="A385" s="753">
        <v>839216004</v>
      </c>
      <c r="B385" s="754" t="s">
        <v>1550</v>
      </c>
      <c r="C385" s="755">
        <v>500000</v>
      </c>
      <c r="D385" s="756">
        <v>44032.577835648102</v>
      </c>
      <c r="E385" s="754" t="s">
        <v>4826</v>
      </c>
      <c r="F385" s="757">
        <v>20201</v>
      </c>
    </row>
    <row r="386" spans="1:6" x14ac:dyDescent="0.2">
      <c r="A386" s="753">
        <v>839218040</v>
      </c>
      <c r="B386" s="754" t="s">
        <v>2141</v>
      </c>
      <c r="C386" s="755">
        <v>500000</v>
      </c>
      <c r="D386" s="756">
        <v>44028.568252314799</v>
      </c>
      <c r="E386" s="754" t="s">
        <v>4826</v>
      </c>
      <c r="F386" s="757">
        <v>20201</v>
      </c>
    </row>
    <row r="387" spans="1:6" x14ac:dyDescent="0.2">
      <c r="A387" s="753">
        <v>829117005</v>
      </c>
      <c r="B387" s="754" t="s">
        <v>1967</v>
      </c>
      <c r="C387" s="755">
        <v>1000000</v>
      </c>
      <c r="D387" s="756">
        <v>44028.478715277801</v>
      </c>
      <c r="E387" s="754" t="s">
        <v>4824</v>
      </c>
      <c r="F387" s="757">
        <v>20201</v>
      </c>
    </row>
    <row r="388" spans="1:6" x14ac:dyDescent="0.2">
      <c r="A388" s="753">
        <v>839218024</v>
      </c>
      <c r="B388" s="754" t="s">
        <v>2165</v>
      </c>
      <c r="C388" s="755">
        <v>500000</v>
      </c>
      <c r="D388" s="756">
        <v>44026.585462962998</v>
      </c>
      <c r="E388" s="754" t="s">
        <v>4826</v>
      </c>
      <c r="F388" s="757">
        <v>20201</v>
      </c>
    </row>
    <row r="389" spans="1:6" x14ac:dyDescent="0.2">
      <c r="A389" s="753">
        <v>849316026</v>
      </c>
      <c r="B389" s="754" t="s">
        <v>1637</v>
      </c>
      <c r="C389" s="755">
        <v>1000000</v>
      </c>
      <c r="D389" s="756">
        <v>44026.556099537003</v>
      </c>
      <c r="E389" s="754" t="s">
        <v>4821</v>
      </c>
      <c r="F389" s="757">
        <v>20201</v>
      </c>
    </row>
    <row r="390" spans="1:6" x14ac:dyDescent="0.2">
      <c r="A390" s="753">
        <v>839218043</v>
      </c>
      <c r="B390" s="754" t="s">
        <v>3115</v>
      </c>
      <c r="C390" s="755">
        <v>500000</v>
      </c>
      <c r="D390" s="756">
        <v>44026.473009259302</v>
      </c>
      <c r="E390" s="754" t="s">
        <v>4826</v>
      </c>
      <c r="F390" s="757">
        <v>20201</v>
      </c>
    </row>
    <row r="391" spans="1:6" x14ac:dyDescent="0.2">
      <c r="A391" s="753">
        <v>839217006</v>
      </c>
      <c r="B391" s="754" t="s">
        <v>1867</v>
      </c>
      <c r="C391" s="755">
        <v>500000</v>
      </c>
      <c r="D391" s="756">
        <v>44055.801145833299</v>
      </c>
      <c r="E391" s="754" t="s">
        <v>4826</v>
      </c>
      <c r="F391" s="757">
        <v>20201</v>
      </c>
    </row>
    <row r="392" spans="1:6" x14ac:dyDescent="0.2">
      <c r="A392" s="753">
        <v>839217006</v>
      </c>
      <c r="B392" s="754" t="s">
        <v>1867</v>
      </c>
      <c r="C392" s="755">
        <v>1000000</v>
      </c>
      <c r="D392" s="756">
        <v>44026.3838888889</v>
      </c>
      <c r="E392" s="754" t="s">
        <v>4826</v>
      </c>
      <c r="F392" s="757">
        <v>20201</v>
      </c>
    </row>
    <row r="393" spans="1:6" x14ac:dyDescent="0.2">
      <c r="A393" s="753">
        <v>839116013</v>
      </c>
      <c r="B393" s="754" t="s">
        <v>1589</v>
      </c>
      <c r="C393" s="755">
        <v>1000000</v>
      </c>
      <c r="D393" s="756">
        <v>44026.459791666697</v>
      </c>
      <c r="E393" s="754" t="s">
        <v>4823</v>
      </c>
      <c r="F393" s="757">
        <v>20201</v>
      </c>
    </row>
    <row r="394" spans="1:6" x14ac:dyDescent="0.2">
      <c r="A394" s="753">
        <v>839218003</v>
      </c>
      <c r="B394" s="754" t="s">
        <v>2150</v>
      </c>
      <c r="C394" s="755">
        <v>500000</v>
      </c>
      <c r="D394" s="756">
        <v>44025.454861111102</v>
      </c>
      <c r="E394" s="754" t="s">
        <v>4826</v>
      </c>
      <c r="F394" s="757">
        <v>20201</v>
      </c>
    </row>
    <row r="395" spans="1:6" x14ac:dyDescent="0.2">
      <c r="A395" s="753">
        <v>203307010001</v>
      </c>
      <c r="B395" s="754" t="s">
        <v>1009</v>
      </c>
      <c r="C395" s="755">
        <v>12250000</v>
      </c>
      <c r="D395" s="756">
        <v>44079.623761574097</v>
      </c>
      <c r="E395" s="754" t="s">
        <v>4830</v>
      </c>
      <c r="F395" s="757">
        <v>20201</v>
      </c>
    </row>
    <row r="396" spans="1:6" x14ac:dyDescent="0.2">
      <c r="A396" s="753">
        <v>204307010001</v>
      </c>
      <c r="B396" s="754" t="s">
        <v>4845</v>
      </c>
      <c r="C396" s="755">
        <v>12250000</v>
      </c>
      <c r="D396" s="756">
        <v>44078.394722222198</v>
      </c>
      <c r="E396" s="754" t="s">
        <v>4830</v>
      </c>
      <c r="F396" s="757">
        <v>20201</v>
      </c>
    </row>
    <row r="397" spans="1:6" x14ac:dyDescent="0.2">
      <c r="A397" s="753">
        <v>204307010002</v>
      </c>
      <c r="B397" s="754" t="s">
        <v>2783</v>
      </c>
      <c r="C397" s="755">
        <v>12250000</v>
      </c>
      <c r="D397" s="756">
        <v>44077.426574074103</v>
      </c>
      <c r="E397" s="754" t="s">
        <v>4830</v>
      </c>
      <c r="F397" s="757">
        <v>20201</v>
      </c>
    </row>
    <row r="398" spans="1:6" x14ac:dyDescent="0.2">
      <c r="A398" s="753">
        <v>204307010003</v>
      </c>
      <c r="B398" s="754" t="s">
        <v>4846</v>
      </c>
      <c r="C398" s="755">
        <v>12250000</v>
      </c>
      <c r="D398" s="756">
        <v>44079.581817129598</v>
      </c>
      <c r="E398" s="754" t="s">
        <v>4830</v>
      </c>
      <c r="F398" s="757">
        <v>20201</v>
      </c>
    </row>
    <row r="399" spans="1:6" x14ac:dyDescent="0.2">
      <c r="A399" s="753">
        <v>204307010004</v>
      </c>
      <c r="B399" s="754" t="s">
        <v>1681</v>
      </c>
      <c r="C399" s="755">
        <v>12250000</v>
      </c>
      <c r="D399" s="756">
        <v>44079.5615972222</v>
      </c>
      <c r="E399" s="754" t="s">
        <v>4830</v>
      </c>
      <c r="F399" s="757">
        <v>20201</v>
      </c>
    </row>
    <row r="400" spans="1:6" x14ac:dyDescent="0.2">
      <c r="A400" s="753">
        <v>203307010001</v>
      </c>
      <c r="B400" s="754" t="s">
        <v>1009</v>
      </c>
      <c r="C400" s="755">
        <v>12250000</v>
      </c>
      <c r="D400" s="756">
        <v>44079.623761574097</v>
      </c>
      <c r="E400" s="754" t="s">
        <v>4830</v>
      </c>
      <c r="F400" s="757">
        <v>20201</v>
      </c>
    </row>
    <row r="401" spans="1:6" x14ac:dyDescent="0.2">
      <c r="A401" s="753">
        <v>204307010001</v>
      </c>
      <c r="B401" s="754" t="s">
        <v>4845</v>
      </c>
      <c r="C401" s="755">
        <v>12250000</v>
      </c>
      <c r="D401" s="756">
        <v>44078.394722222198</v>
      </c>
      <c r="E401" s="754" t="s">
        <v>4830</v>
      </c>
      <c r="F401" s="757">
        <v>20201</v>
      </c>
    </row>
    <row r="402" spans="1:6" x14ac:dyDescent="0.2">
      <c r="A402" s="753">
        <v>204307010002</v>
      </c>
      <c r="B402" s="754" t="s">
        <v>2783</v>
      </c>
      <c r="C402" s="755">
        <v>12250000</v>
      </c>
      <c r="D402" s="756">
        <v>44077.426574074103</v>
      </c>
      <c r="E402" s="754" t="s">
        <v>4830</v>
      </c>
      <c r="F402" s="757">
        <v>20201</v>
      </c>
    </row>
    <row r="403" spans="1:6" x14ac:dyDescent="0.2">
      <c r="A403" s="753">
        <v>204307010003</v>
      </c>
      <c r="B403" s="754" t="s">
        <v>4846</v>
      </c>
      <c r="C403" s="755">
        <v>12250000</v>
      </c>
      <c r="D403" s="756">
        <v>44079.581817129598</v>
      </c>
      <c r="E403" s="754" t="s">
        <v>4830</v>
      </c>
      <c r="F403" s="757">
        <v>20201</v>
      </c>
    </row>
    <row r="404" spans="1:6" x14ac:dyDescent="0.2">
      <c r="A404" s="753">
        <v>204307010004</v>
      </c>
      <c r="B404" s="754" t="s">
        <v>1681</v>
      </c>
      <c r="C404" s="755">
        <v>12250000</v>
      </c>
      <c r="D404" s="756">
        <v>44079.5615972222</v>
      </c>
      <c r="E404" s="754" t="s">
        <v>4830</v>
      </c>
      <c r="F404" s="757">
        <v>20201</v>
      </c>
    </row>
    <row r="405" spans="1:6" x14ac:dyDescent="0.2">
      <c r="A405" s="753">
        <v>203307020001</v>
      </c>
      <c r="B405" s="754" t="s">
        <v>1492</v>
      </c>
      <c r="C405" s="755">
        <v>10250000</v>
      </c>
      <c r="D405" s="756">
        <v>44078.216331018499</v>
      </c>
      <c r="E405" s="754" t="s">
        <v>4828</v>
      </c>
      <c r="F405" s="757">
        <v>20201</v>
      </c>
    </row>
    <row r="406" spans="1:6" x14ac:dyDescent="0.2">
      <c r="A406" s="753">
        <v>203307020002</v>
      </c>
      <c r="B406" s="754" t="s">
        <v>1768</v>
      </c>
      <c r="C406" s="755">
        <v>10250000</v>
      </c>
      <c r="D406" s="756">
        <v>44074.3328819444</v>
      </c>
      <c r="E406" s="754" t="s">
        <v>4828</v>
      </c>
      <c r="F406" s="757">
        <v>20201</v>
      </c>
    </row>
    <row r="407" spans="1:6" x14ac:dyDescent="0.2">
      <c r="A407" s="753">
        <v>203307020003</v>
      </c>
      <c r="B407" s="754" t="s">
        <v>2791</v>
      </c>
      <c r="C407" s="755">
        <v>10250000</v>
      </c>
      <c r="D407" s="756">
        <v>44078.416724536997</v>
      </c>
      <c r="E407" s="754" t="s">
        <v>4828</v>
      </c>
      <c r="F407" s="757">
        <v>20201</v>
      </c>
    </row>
    <row r="408" spans="1:6" x14ac:dyDescent="0.2">
      <c r="A408" s="753">
        <v>203307020004</v>
      </c>
      <c r="B408" s="754" t="s">
        <v>1787</v>
      </c>
      <c r="C408" s="755">
        <v>10250000</v>
      </c>
      <c r="D408" s="756">
        <v>44073.391331018502</v>
      </c>
      <c r="E408" s="754" t="s">
        <v>4828</v>
      </c>
      <c r="F408" s="757">
        <v>20201</v>
      </c>
    </row>
    <row r="409" spans="1:6" x14ac:dyDescent="0.2">
      <c r="A409" s="753">
        <v>203307020005</v>
      </c>
      <c r="B409" s="754" t="s">
        <v>2792</v>
      </c>
      <c r="C409" s="755">
        <v>10250000</v>
      </c>
      <c r="D409" s="756">
        <v>44073.9354282407</v>
      </c>
      <c r="E409" s="754" t="s">
        <v>4828</v>
      </c>
      <c r="F409" s="757">
        <v>20201</v>
      </c>
    </row>
    <row r="410" spans="1:6" x14ac:dyDescent="0.2">
      <c r="A410" s="753">
        <v>203307020007</v>
      </c>
      <c r="B410" s="754" t="s">
        <v>201</v>
      </c>
      <c r="C410" s="755">
        <v>10250000</v>
      </c>
      <c r="D410" s="756">
        <v>44075.360798611102</v>
      </c>
      <c r="E410" s="754" t="s">
        <v>4828</v>
      </c>
      <c r="F410" s="757">
        <v>20201</v>
      </c>
    </row>
    <row r="411" spans="1:6" x14ac:dyDescent="0.2">
      <c r="A411" s="753">
        <v>203307020008</v>
      </c>
      <c r="B411" s="754" t="s">
        <v>2064</v>
      </c>
      <c r="C411" s="755">
        <v>10250000</v>
      </c>
      <c r="D411" s="756">
        <v>44078.5858449074</v>
      </c>
      <c r="E411" s="754" t="s">
        <v>4828</v>
      </c>
      <c r="F411" s="757">
        <v>20201</v>
      </c>
    </row>
    <row r="412" spans="1:6" x14ac:dyDescent="0.2">
      <c r="A412" s="753">
        <v>203307020009</v>
      </c>
      <c r="B412" s="754" t="s">
        <v>2801</v>
      </c>
      <c r="C412" s="755">
        <v>10250000</v>
      </c>
      <c r="D412" s="756">
        <v>44078.706400463001</v>
      </c>
      <c r="E412" s="754" t="s">
        <v>4828</v>
      </c>
      <c r="F412" s="757">
        <v>20201</v>
      </c>
    </row>
    <row r="413" spans="1:6" x14ac:dyDescent="0.2">
      <c r="A413" s="753">
        <v>204307020001</v>
      </c>
      <c r="B413" s="754" t="s">
        <v>2836</v>
      </c>
      <c r="C413" s="755">
        <v>10250000</v>
      </c>
      <c r="D413" s="756">
        <v>44078.581944444399</v>
      </c>
      <c r="E413" s="754" t="s">
        <v>4828</v>
      </c>
      <c r="F413" s="757">
        <v>20201</v>
      </c>
    </row>
    <row r="414" spans="1:6" x14ac:dyDescent="0.2">
      <c r="A414" s="753">
        <v>204307020002</v>
      </c>
      <c r="B414" s="754" t="s">
        <v>4847</v>
      </c>
      <c r="C414" s="755">
        <v>10250000</v>
      </c>
      <c r="D414" s="756">
        <v>44079.899953703702</v>
      </c>
      <c r="E414" s="754" t="s">
        <v>4828</v>
      </c>
      <c r="F414" s="757">
        <v>20201</v>
      </c>
    </row>
    <row r="415" spans="1:6" x14ac:dyDescent="0.2">
      <c r="A415" s="753">
        <v>204307020003</v>
      </c>
      <c r="B415" s="754" t="s">
        <v>4848</v>
      </c>
      <c r="C415" s="755">
        <v>10250000</v>
      </c>
      <c r="D415" s="756">
        <v>44078.581099536997</v>
      </c>
      <c r="E415" s="754" t="s">
        <v>4828</v>
      </c>
      <c r="F415" s="757">
        <v>20201</v>
      </c>
    </row>
    <row r="416" spans="1:6" x14ac:dyDescent="0.2">
      <c r="A416" s="753">
        <v>204307020004</v>
      </c>
      <c r="B416" s="754" t="s">
        <v>4849</v>
      </c>
      <c r="C416" s="755">
        <v>10250000</v>
      </c>
      <c r="D416" s="756">
        <v>44078.830162036997</v>
      </c>
      <c r="E416" s="754" t="s">
        <v>4828</v>
      </c>
      <c r="F416" s="757">
        <v>20201</v>
      </c>
    </row>
    <row r="417" spans="1:6" x14ac:dyDescent="0.2">
      <c r="A417" s="753">
        <v>204307020005</v>
      </c>
      <c r="B417" s="754" t="s">
        <v>4850</v>
      </c>
      <c r="C417" s="755">
        <v>10250000</v>
      </c>
      <c r="D417" s="756">
        <v>44078.6409375</v>
      </c>
      <c r="E417" s="754" t="s">
        <v>4828</v>
      </c>
      <c r="F417" s="757">
        <v>20201</v>
      </c>
    </row>
    <row r="418" spans="1:6" x14ac:dyDescent="0.2">
      <c r="A418" s="753">
        <v>204307020006</v>
      </c>
      <c r="B418" s="754" t="s">
        <v>4851</v>
      </c>
      <c r="C418" s="755">
        <v>10250000</v>
      </c>
      <c r="D418" s="756">
        <v>44078.914050925901</v>
      </c>
      <c r="E418" s="754" t="s">
        <v>4828</v>
      </c>
      <c r="F418" s="757">
        <v>20201</v>
      </c>
    </row>
    <row r="419" spans="1:6" x14ac:dyDescent="0.2">
      <c r="A419" s="753">
        <v>204307020007</v>
      </c>
      <c r="B419" s="754" t="s">
        <v>4852</v>
      </c>
      <c r="C419" s="755">
        <v>10250000</v>
      </c>
      <c r="D419" s="756">
        <v>44078.5804166667</v>
      </c>
      <c r="E419" s="754" t="s">
        <v>4828</v>
      </c>
      <c r="F419" s="757">
        <v>20201</v>
      </c>
    </row>
    <row r="420" spans="1:6" x14ac:dyDescent="0.2">
      <c r="A420" s="753">
        <v>204307020008</v>
      </c>
      <c r="B420" s="754" t="s">
        <v>4853</v>
      </c>
      <c r="C420" s="755">
        <v>10250000</v>
      </c>
      <c r="D420" s="756">
        <v>44078.581736111097</v>
      </c>
      <c r="E420" s="754" t="s">
        <v>4828</v>
      </c>
      <c r="F420" s="757">
        <v>20201</v>
      </c>
    </row>
    <row r="421" spans="1:6" x14ac:dyDescent="0.2">
      <c r="A421" s="753">
        <v>203307020001</v>
      </c>
      <c r="B421" s="754" t="s">
        <v>1492</v>
      </c>
      <c r="C421" s="755">
        <v>10250000</v>
      </c>
      <c r="D421" s="756">
        <v>44078.216331018499</v>
      </c>
      <c r="E421" s="754" t="s">
        <v>4828</v>
      </c>
      <c r="F421" s="757">
        <v>20201</v>
      </c>
    </row>
    <row r="422" spans="1:6" x14ac:dyDescent="0.2">
      <c r="A422" s="753">
        <v>203307020002</v>
      </c>
      <c r="B422" s="754" t="s">
        <v>1768</v>
      </c>
      <c r="C422" s="755">
        <v>10250000</v>
      </c>
      <c r="D422" s="756">
        <v>44074.3328819444</v>
      </c>
      <c r="E422" s="754" t="s">
        <v>4828</v>
      </c>
      <c r="F422" s="757">
        <v>20201</v>
      </c>
    </row>
    <row r="423" spans="1:6" x14ac:dyDescent="0.2">
      <c r="A423" s="753">
        <v>203307020003</v>
      </c>
      <c r="B423" s="754" t="s">
        <v>2791</v>
      </c>
      <c r="C423" s="755">
        <v>10250000</v>
      </c>
      <c r="D423" s="756">
        <v>44078.416724536997</v>
      </c>
      <c r="E423" s="754" t="s">
        <v>4828</v>
      </c>
      <c r="F423" s="757">
        <v>20201</v>
      </c>
    </row>
    <row r="424" spans="1:6" x14ac:dyDescent="0.2">
      <c r="A424" s="753">
        <v>203307020004</v>
      </c>
      <c r="B424" s="754" t="s">
        <v>1787</v>
      </c>
      <c r="C424" s="755">
        <v>10250000</v>
      </c>
      <c r="D424" s="756">
        <v>44073.391331018502</v>
      </c>
      <c r="E424" s="754" t="s">
        <v>4828</v>
      </c>
      <c r="F424" s="757">
        <v>20201</v>
      </c>
    </row>
    <row r="425" spans="1:6" x14ac:dyDescent="0.2">
      <c r="A425" s="753">
        <v>203307020005</v>
      </c>
      <c r="B425" s="754" t="s">
        <v>2792</v>
      </c>
      <c r="C425" s="755">
        <v>10250000</v>
      </c>
      <c r="D425" s="756">
        <v>44073.9354282407</v>
      </c>
      <c r="E425" s="754" t="s">
        <v>4828</v>
      </c>
      <c r="F425" s="757">
        <v>20201</v>
      </c>
    </row>
    <row r="426" spans="1:6" x14ac:dyDescent="0.2">
      <c r="A426" s="753">
        <v>203307020007</v>
      </c>
      <c r="B426" s="754" t="s">
        <v>201</v>
      </c>
      <c r="C426" s="755">
        <v>10250000</v>
      </c>
      <c r="D426" s="756">
        <v>44075.360798611102</v>
      </c>
      <c r="E426" s="754" t="s">
        <v>4828</v>
      </c>
      <c r="F426" s="757">
        <v>20201</v>
      </c>
    </row>
    <row r="427" spans="1:6" x14ac:dyDescent="0.2">
      <c r="A427" s="753">
        <v>203307020008</v>
      </c>
      <c r="B427" s="754" t="s">
        <v>2064</v>
      </c>
      <c r="C427" s="755">
        <v>10250000</v>
      </c>
      <c r="D427" s="756">
        <v>44078.5858449074</v>
      </c>
      <c r="E427" s="754" t="s">
        <v>4828</v>
      </c>
      <c r="F427" s="757">
        <v>20201</v>
      </c>
    </row>
    <row r="428" spans="1:6" x14ac:dyDescent="0.2">
      <c r="A428" s="753">
        <v>203307020009</v>
      </c>
      <c r="B428" s="754" t="s">
        <v>2801</v>
      </c>
      <c r="C428" s="755">
        <v>10250000</v>
      </c>
      <c r="D428" s="756">
        <v>44078.706400463001</v>
      </c>
      <c r="E428" s="754" t="s">
        <v>4828</v>
      </c>
      <c r="F428" s="757">
        <v>20201</v>
      </c>
    </row>
    <row r="429" spans="1:6" x14ac:dyDescent="0.2">
      <c r="A429" s="753">
        <v>204307020001</v>
      </c>
      <c r="B429" s="754" t="s">
        <v>2836</v>
      </c>
      <c r="C429" s="755">
        <v>10250000</v>
      </c>
      <c r="D429" s="756">
        <v>44078.581944444399</v>
      </c>
      <c r="E429" s="754" t="s">
        <v>4828</v>
      </c>
      <c r="F429" s="757">
        <v>20201</v>
      </c>
    </row>
    <row r="430" spans="1:6" x14ac:dyDescent="0.2">
      <c r="A430" s="753">
        <v>204307020002</v>
      </c>
      <c r="B430" s="754" t="s">
        <v>4847</v>
      </c>
      <c r="C430" s="755">
        <v>10250000</v>
      </c>
      <c r="D430" s="756">
        <v>44079.899953703702</v>
      </c>
      <c r="E430" s="754" t="s">
        <v>4828</v>
      </c>
      <c r="F430" s="757">
        <v>20201</v>
      </c>
    </row>
    <row r="431" spans="1:6" x14ac:dyDescent="0.2">
      <c r="A431" s="753">
        <v>204307020003</v>
      </c>
      <c r="B431" s="754" t="s">
        <v>4848</v>
      </c>
      <c r="C431" s="755">
        <v>10250000</v>
      </c>
      <c r="D431" s="756">
        <v>44078.581099536997</v>
      </c>
      <c r="E431" s="754" t="s">
        <v>4828</v>
      </c>
      <c r="F431" s="757">
        <v>20201</v>
      </c>
    </row>
    <row r="432" spans="1:6" x14ac:dyDescent="0.2">
      <c r="A432" s="753">
        <v>204307020004</v>
      </c>
      <c r="B432" s="754" t="s">
        <v>4849</v>
      </c>
      <c r="C432" s="755">
        <v>10250000</v>
      </c>
      <c r="D432" s="756">
        <v>44078.830162036997</v>
      </c>
      <c r="E432" s="754" t="s">
        <v>4828</v>
      </c>
      <c r="F432" s="757">
        <v>20201</v>
      </c>
    </row>
    <row r="433" spans="1:6" x14ac:dyDescent="0.2">
      <c r="A433" s="753">
        <v>204307020005</v>
      </c>
      <c r="B433" s="754" t="s">
        <v>4850</v>
      </c>
      <c r="C433" s="755">
        <v>10250000</v>
      </c>
      <c r="D433" s="756">
        <v>44078.6409375</v>
      </c>
      <c r="E433" s="754" t="s">
        <v>4828</v>
      </c>
      <c r="F433" s="757">
        <v>20201</v>
      </c>
    </row>
    <row r="434" spans="1:6" x14ac:dyDescent="0.2">
      <c r="A434" s="753">
        <v>204307020006</v>
      </c>
      <c r="B434" s="754" t="s">
        <v>4851</v>
      </c>
      <c r="C434" s="755">
        <v>10250000</v>
      </c>
      <c r="D434" s="756">
        <v>44078.914050925901</v>
      </c>
      <c r="E434" s="754" t="s">
        <v>4828</v>
      </c>
      <c r="F434" s="757">
        <v>20201</v>
      </c>
    </row>
    <row r="435" spans="1:6" x14ac:dyDescent="0.2">
      <c r="A435" s="753">
        <v>204307020007</v>
      </c>
      <c r="B435" s="754" t="s">
        <v>4852</v>
      </c>
      <c r="C435" s="755">
        <v>10250000</v>
      </c>
      <c r="D435" s="756">
        <v>44078.5804166667</v>
      </c>
      <c r="E435" s="754" t="s">
        <v>4828</v>
      </c>
      <c r="F435" s="757">
        <v>20201</v>
      </c>
    </row>
    <row r="436" spans="1:6" x14ac:dyDescent="0.2">
      <c r="A436" s="753">
        <v>204307020008</v>
      </c>
      <c r="B436" s="754" t="s">
        <v>4853</v>
      </c>
      <c r="C436" s="755">
        <v>10250000</v>
      </c>
      <c r="D436" s="756">
        <v>44078.581736111097</v>
      </c>
      <c r="E436" s="754" t="s">
        <v>4828</v>
      </c>
      <c r="F436" s="757">
        <v>20201</v>
      </c>
    </row>
    <row r="437" spans="1:6" x14ac:dyDescent="0.2">
      <c r="A437" s="753">
        <v>203206010001</v>
      </c>
      <c r="B437" s="754" t="s">
        <v>2549</v>
      </c>
      <c r="C437" s="755">
        <v>6450000</v>
      </c>
      <c r="D437" s="756">
        <v>44070.614884259303</v>
      </c>
      <c r="E437" s="754" t="s">
        <v>4825</v>
      </c>
      <c r="F437" s="757">
        <v>20201</v>
      </c>
    </row>
    <row r="438" spans="1:6" x14ac:dyDescent="0.2">
      <c r="A438" s="753">
        <v>203206010002</v>
      </c>
      <c r="B438" s="754" t="s">
        <v>2553</v>
      </c>
      <c r="C438" s="755">
        <v>6450000</v>
      </c>
      <c r="D438" s="756">
        <v>44070.635347222204</v>
      </c>
      <c r="E438" s="754" t="s">
        <v>4825</v>
      </c>
      <c r="F438" s="757">
        <v>20201</v>
      </c>
    </row>
    <row r="439" spans="1:6" x14ac:dyDescent="0.2">
      <c r="A439" s="753">
        <v>203206010003</v>
      </c>
      <c r="B439" s="754" t="s">
        <v>2554</v>
      </c>
      <c r="C439" s="755">
        <v>6450000</v>
      </c>
      <c r="D439" s="756">
        <v>44067.8383217593</v>
      </c>
      <c r="E439" s="754" t="s">
        <v>4825</v>
      </c>
      <c r="F439" s="757">
        <v>20201</v>
      </c>
    </row>
    <row r="440" spans="1:6" x14ac:dyDescent="0.2">
      <c r="A440" s="753">
        <v>203206010004</v>
      </c>
      <c r="B440" s="754" t="s">
        <v>2555</v>
      </c>
      <c r="C440" s="755">
        <v>6450000</v>
      </c>
      <c r="D440" s="756">
        <v>44070.501145833303</v>
      </c>
      <c r="E440" s="754" t="s">
        <v>4825</v>
      </c>
      <c r="F440" s="757">
        <v>20201</v>
      </c>
    </row>
    <row r="441" spans="1:6" x14ac:dyDescent="0.2">
      <c r="A441" s="753">
        <v>203206010005</v>
      </c>
      <c r="B441" s="754" t="s">
        <v>2556</v>
      </c>
      <c r="C441" s="755">
        <v>6450000</v>
      </c>
      <c r="D441" s="756">
        <v>44069.6096875</v>
      </c>
      <c r="E441" s="754" t="s">
        <v>4825</v>
      </c>
      <c r="F441" s="757">
        <v>20201</v>
      </c>
    </row>
    <row r="442" spans="1:6" x14ac:dyDescent="0.2">
      <c r="A442" s="753">
        <v>203206010006</v>
      </c>
      <c r="B442" s="754" t="s">
        <v>2557</v>
      </c>
      <c r="C442" s="755">
        <v>6450000</v>
      </c>
      <c r="D442" s="756">
        <v>44071.424386574101</v>
      </c>
      <c r="E442" s="754" t="s">
        <v>4825</v>
      </c>
      <c r="F442" s="757">
        <v>20201</v>
      </c>
    </row>
    <row r="443" spans="1:6" x14ac:dyDescent="0.2">
      <c r="A443" s="753">
        <v>203206010007</v>
      </c>
      <c r="B443" s="754" t="s">
        <v>2558</v>
      </c>
      <c r="C443" s="755">
        <v>6450000</v>
      </c>
      <c r="D443" s="756">
        <v>44070.454351851899</v>
      </c>
      <c r="E443" s="754" t="s">
        <v>4825</v>
      </c>
      <c r="F443" s="757">
        <v>20201</v>
      </c>
    </row>
    <row r="444" spans="1:6" x14ac:dyDescent="0.2">
      <c r="A444" s="753">
        <v>203206010009</v>
      </c>
      <c r="B444" s="754" t="s">
        <v>2561</v>
      </c>
      <c r="C444" s="755">
        <v>6450000</v>
      </c>
      <c r="D444" s="756">
        <v>44068.571782407402</v>
      </c>
      <c r="E444" s="754" t="s">
        <v>4825</v>
      </c>
      <c r="F444" s="757">
        <v>20201</v>
      </c>
    </row>
    <row r="445" spans="1:6" x14ac:dyDescent="0.2">
      <c r="A445" s="753">
        <v>203206010010</v>
      </c>
      <c r="B445" s="754" t="s">
        <v>2562</v>
      </c>
      <c r="C445" s="755">
        <v>6450000</v>
      </c>
      <c r="D445" s="756">
        <v>44071.4358333333</v>
      </c>
      <c r="E445" s="754" t="s">
        <v>4825</v>
      </c>
      <c r="F445" s="757">
        <v>20201</v>
      </c>
    </row>
    <row r="446" spans="1:6" x14ac:dyDescent="0.2">
      <c r="A446" s="753">
        <v>203206010011</v>
      </c>
      <c r="B446" s="754" t="s">
        <v>2563</v>
      </c>
      <c r="C446" s="755">
        <v>6450000</v>
      </c>
      <c r="D446" s="756">
        <v>44071.341932870397</v>
      </c>
      <c r="E446" s="754" t="s">
        <v>4825</v>
      </c>
      <c r="F446" s="757">
        <v>20201</v>
      </c>
    </row>
    <row r="447" spans="1:6" x14ac:dyDescent="0.2">
      <c r="A447" s="753">
        <v>203206010012</v>
      </c>
      <c r="B447" s="754" t="s">
        <v>2564</v>
      </c>
      <c r="C447" s="755">
        <v>6450000</v>
      </c>
      <c r="D447" s="756">
        <v>44070.511203703703</v>
      </c>
      <c r="E447" s="754" t="s">
        <v>4825</v>
      </c>
      <c r="F447" s="757">
        <v>20201</v>
      </c>
    </row>
    <row r="448" spans="1:6" x14ac:dyDescent="0.2">
      <c r="A448" s="753">
        <v>203206010013</v>
      </c>
      <c r="B448" s="754" t="s">
        <v>2565</v>
      </c>
      <c r="C448" s="755">
        <v>6450000</v>
      </c>
      <c r="D448" s="756">
        <v>44071.542789351799</v>
      </c>
      <c r="E448" s="754" t="s">
        <v>4825</v>
      </c>
      <c r="F448" s="757">
        <v>20201</v>
      </c>
    </row>
    <row r="449" spans="1:6" x14ac:dyDescent="0.2">
      <c r="A449" s="753">
        <v>203206010014</v>
      </c>
      <c r="B449" s="754" t="s">
        <v>2566</v>
      </c>
      <c r="C449" s="755">
        <v>6450000</v>
      </c>
      <c r="D449" s="756">
        <v>44067.619837963</v>
      </c>
      <c r="E449" s="754" t="s">
        <v>4825</v>
      </c>
      <c r="F449" s="757">
        <v>20201</v>
      </c>
    </row>
    <row r="450" spans="1:6" x14ac:dyDescent="0.2">
      <c r="A450" s="753">
        <v>203206010015</v>
      </c>
      <c r="B450" s="754" t="s">
        <v>2567</v>
      </c>
      <c r="C450" s="755">
        <v>6450000</v>
      </c>
      <c r="D450" s="756">
        <v>44070.832951388897</v>
      </c>
      <c r="E450" s="754" t="s">
        <v>4825</v>
      </c>
      <c r="F450" s="757">
        <v>20201</v>
      </c>
    </row>
    <row r="451" spans="1:6" x14ac:dyDescent="0.2">
      <c r="A451" s="753">
        <v>203206010016</v>
      </c>
      <c r="B451" s="754" t="s">
        <v>2568</v>
      </c>
      <c r="C451" s="755">
        <v>6450000</v>
      </c>
      <c r="D451" s="756">
        <v>44070.601747685199</v>
      </c>
      <c r="E451" s="754" t="s">
        <v>4825</v>
      </c>
      <c r="F451" s="757">
        <v>20201</v>
      </c>
    </row>
    <row r="452" spans="1:6" x14ac:dyDescent="0.2">
      <c r="A452" s="753">
        <v>203206010017</v>
      </c>
      <c r="B452" s="754" t="s">
        <v>2569</v>
      </c>
      <c r="C452" s="755">
        <v>6450000</v>
      </c>
      <c r="D452" s="756">
        <v>44071.428402777798</v>
      </c>
      <c r="E452" s="754" t="s">
        <v>4825</v>
      </c>
      <c r="F452" s="757">
        <v>20201</v>
      </c>
    </row>
    <row r="453" spans="1:6" x14ac:dyDescent="0.2">
      <c r="A453" s="753">
        <v>203206010018</v>
      </c>
      <c r="B453" s="754" t="s">
        <v>2570</v>
      </c>
      <c r="C453" s="755">
        <v>6450000</v>
      </c>
      <c r="D453" s="756">
        <v>44069.577071759297</v>
      </c>
      <c r="E453" s="754" t="s">
        <v>4825</v>
      </c>
      <c r="F453" s="757">
        <v>20201</v>
      </c>
    </row>
    <row r="454" spans="1:6" x14ac:dyDescent="0.2">
      <c r="A454" s="753">
        <v>203206010019</v>
      </c>
      <c r="B454" s="754" t="s">
        <v>2571</v>
      </c>
      <c r="C454" s="755">
        <v>6450000</v>
      </c>
      <c r="D454" s="756">
        <v>44071.378761574102</v>
      </c>
      <c r="E454" s="754" t="s">
        <v>4825</v>
      </c>
      <c r="F454" s="757">
        <v>20201</v>
      </c>
    </row>
    <row r="455" spans="1:6" x14ac:dyDescent="0.2">
      <c r="A455" s="753">
        <v>203206010021</v>
      </c>
      <c r="B455" s="754" t="s">
        <v>2574</v>
      </c>
      <c r="C455" s="755">
        <v>6450000</v>
      </c>
      <c r="D455" s="756">
        <v>44071.581782407397</v>
      </c>
      <c r="E455" s="754" t="s">
        <v>4825</v>
      </c>
      <c r="F455" s="757">
        <v>20201</v>
      </c>
    </row>
    <row r="456" spans="1:6" x14ac:dyDescent="0.2">
      <c r="A456" s="753">
        <v>203206010022</v>
      </c>
      <c r="B456" s="754" t="s">
        <v>2575</v>
      </c>
      <c r="C456" s="755">
        <v>6450000</v>
      </c>
      <c r="D456" s="756">
        <v>44071.5299421296</v>
      </c>
      <c r="E456" s="754" t="s">
        <v>4825</v>
      </c>
      <c r="F456" s="757">
        <v>20201</v>
      </c>
    </row>
    <row r="457" spans="1:6" x14ac:dyDescent="0.2">
      <c r="A457" s="753">
        <v>203206010023</v>
      </c>
      <c r="B457" s="754" t="s">
        <v>2576</v>
      </c>
      <c r="C457" s="755">
        <v>6450000</v>
      </c>
      <c r="D457" s="756">
        <v>44071.444432870398</v>
      </c>
      <c r="E457" s="754" t="s">
        <v>4825</v>
      </c>
      <c r="F457" s="757">
        <v>20201</v>
      </c>
    </row>
    <row r="458" spans="1:6" x14ac:dyDescent="0.2">
      <c r="A458" s="753">
        <v>203206010024</v>
      </c>
      <c r="B458" s="754" t="s">
        <v>2577</v>
      </c>
      <c r="C458" s="755">
        <v>6450000</v>
      </c>
      <c r="D458" s="756">
        <v>44071.593726851897</v>
      </c>
      <c r="E458" s="754" t="s">
        <v>4825</v>
      </c>
      <c r="F458" s="757">
        <v>20201</v>
      </c>
    </row>
    <row r="459" spans="1:6" x14ac:dyDescent="0.2">
      <c r="A459" s="753">
        <v>203206010025</v>
      </c>
      <c r="B459" s="754" t="s">
        <v>2578</v>
      </c>
      <c r="C459" s="755">
        <v>6450000</v>
      </c>
      <c r="D459" s="756">
        <v>44071.790474537003</v>
      </c>
      <c r="E459" s="754" t="s">
        <v>4825</v>
      </c>
      <c r="F459" s="757">
        <v>20201</v>
      </c>
    </row>
    <row r="460" spans="1:6" x14ac:dyDescent="0.2">
      <c r="A460" s="753">
        <v>203206010026</v>
      </c>
      <c r="B460" s="754" t="s">
        <v>2579</v>
      </c>
      <c r="C460" s="755">
        <v>6450000</v>
      </c>
      <c r="D460" s="756">
        <v>44068.423634259299</v>
      </c>
      <c r="E460" s="754" t="s">
        <v>4825</v>
      </c>
      <c r="F460" s="757">
        <v>20201</v>
      </c>
    </row>
    <row r="461" spans="1:6" x14ac:dyDescent="0.2">
      <c r="A461" s="753">
        <v>203206010027</v>
      </c>
      <c r="B461" s="754" t="s">
        <v>2580</v>
      </c>
      <c r="C461" s="755">
        <v>6450000</v>
      </c>
      <c r="D461" s="756">
        <v>44071.586712962999</v>
      </c>
      <c r="E461" s="754" t="s">
        <v>4825</v>
      </c>
      <c r="F461" s="757">
        <v>20201</v>
      </c>
    </row>
    <row r="462" spans="1:6" x14ac:dyDescent="0.2">
      <c r="A462" s="753">
        <v>203206010028</v>
      </c>
      <c r="B462" s="754" t="s">
        <v>2581</v>
      </c>
      <c r="C462" s="755">
        <v>6450000</v>
      </c>
      <c r="D462" s="756">
        <v>44071.606909722199</v>
      </c>
      <c r="E462" s="754" t="s">
        <v>4825</v>
      </c>
      <c r="F462" s="757">
        <v>20201</v>
      </c>
    </row>
    <row r="463" spans="1:6" x14ac:dyDescent="0.2">
      <c r="A463" s="753">
        <v>203206010029</v>
      </c>
      <c r="B463" s="754" t="s">
        <v>2582</v>
      </c>
      <c r="C463" s="755">
        <v>6450000</v>
      </c>
      <c r="D463" s="756">
        <v>44071.596030092602</v>
      </c>
      <c r="E463" s="754" t="s">
        <v>4825</v>
      </c>
      <c r="F463" s="757">
        <v>20201</v>
      </c>
    </row>
    <row r="464" spans="1:6" x14ac:dyDescent="0.2">
      <c r="A464" s="753">
        <v>203206010030</v>
      </c>
      <c r="B464" s="754" t="s">
        <v>2583</v>
      </c>
      <c r="C464" s="755">
        <v>6450000</v>
      </c>
      <c r="D464" s="756">
        <v>44067.530023148101</v>
      </c>
      <c r="E464" s="754" t="s">
        <v>4825</v>
      </c>
      <c r="F464" s="757">
        <v>20201</v>
      </c>
    </row>
    <row r="465" spans="1:6" x14ac:dyDescent="0.2">
      <c r="A465" s="753">
        <v>203206010031</v>
      </c>
      <c r="B465" s="754" t="s">
        <v>2584</v>
      </c>
      <c r="C465" s="755">
        <v>6450000</v>
      </c>
      <c r="D465" s="756">
        <v>44070.817812499998</v>
      </c>
      <c r="E465" s="754" t="s">
        <v>4825</v>
      </c>
      <c r="F465" s="757">
        <v>20201</v>
      </c>
    </row>
    <row r="466" spans="1:6" x14ac:dyDescent="0.2">
      <c r="A466" s="753">
        <v>203206010032</v>
      </c>
      <c r="B466" s="754" t="s">
        <v>2585</v>
      </c>
      <c r="C466" s="755">
        <v>6450000</v>
      </c>
      <c r="D466" s="756">
        <v>44070.809120370403</v>
      </c>
      <c r="E466" s="754" t="s">
        <v>4825</v>
      </c>
      <c r="F466" s="757">
        <v>20201</v>
      </c>
    </row>
    <row r="467" spans="1:6" x14ac:dyDescent="0.2">
      <c r="A467" s="753">
        <v>203206010033</v>
      </c>
      <c r="B467" s="754" t="s">
        <v>2586</v>
      </c>
      <c r="C467" s="755">
        <v>6450000</v>
      </c>
      <c r="D467" s="756">
        <v>44071.4241203704</v>
      </c>
      <c r="E467" s="754" t="s">
        <v>4825</v>
      </c>
      <c r="F467" s="757">
        <v>20201</v>
      </c>
    </row>
    <row r="468" spans="1:6" x14ac:dyDescent="0.2">
      <c r="A468" s="753">
        <v>203206010034</v>
      </c>
      <c r="B468" s="754" t="s">
        <v>2587</v>
      </c>
      <c r="C468" s="755">
        <v>6450000</v>
      </c>
      <c r="D468" s="756">
        <v>44071.591238425899</v>
      </c>
      <c r="E468" s="754" t="s">
        <v>4825</v>
      </c>
      <c r="F468" s="757">
        <v>20201</v>
      </c>
    </row>
    <row r="469" spans="1:6" x14ac:dyDescent="0.2">
      <c r="A469" s="753">
        <v>203206010035</v>
      </c>
      <c r="B469" s="754" t="s">
        <v>2588</v>
      </c>
      <c r="C469" s="755">
        <v>6450000</v>
      </c>
      <c r="D469" s="756">
        <v>44071.8026157407</v>
      </c>
      <c r="E469" s="754" t="s">
        <v>4825</v>
      </c>
      <c r="F469" s="757">
        <v>20201</v>
      </c>
    </row>
    <row r="470" spans="1:6" x14ac:dyDescent="0.2">
      <c r="A470" s="753">
        <v>203206010036</v>
      </c>
      <c r="B470" s="754" t="s">
        <v>2560</v>
      </c>
      <c r="C470" s="755">
        <v>6450000</v>
      </c>
      <c r="D470" s="756">
        <v>44076.5796527778</v>
      </c>
      <c r="E470" s="754" t="s">
        <v>4825</v>
      </c>
      <c r="F470" s="757">
        <v>20201</v>
      </c>
    </row>
    <row r="471" spans="1:6" x14ac:dyDescent="0.2">
      <c r="A471" s="753">
        <v>203206010037</v>
      </c>
      <c r="B471" s="754" t="s">
        <v>4854</v>
      </c>
      <c r="C471" s="755">
        <v>6450000</v>
      </c>
      <c r="D471" s="756">
        <v>44077.419432870403</v>
      </c>
      <c r="E471" s="754" t="s">
        <v>4825</v>
      </c>
      <c r="F471" s="757">
        <v>20201</v>
      </c>
    </row>
    <row r="472" spans="1:6" x14ac:dyDescent="0.2">
      <c r="A472" s="753">
        <v>203206020002</v>
      </c>
      <c r="B472" s="754" t="s">
        <v>2626</v>
      </c>
      <c r="C472" s="755">
        <v>6450000</v>
      </c>
      <c r="D472" s="756">
        <v>44068.374710648102</v>
      </c>
      <c r="E472" s="754" t="s">
        <v>4822</v>
      </c>
      <c r="F472" s="757">
        <v>20201</v>
      </c>
    </row>
    <row r="473" spans="1:6" x14ac:dyDescent="0.2">
      <c r="A473" s="753">
        <v>203206020003</v>
      </c>
      <c r="B473" s="754" t="s">
        <v>2627</v>
      </c>
      <c r="C473" s="755">
        <v>6450000</v>
      </c>
      <c r="D473" s="756">
        <v>44070.444699074098</v>
      </c>
      <c r="E473" s="754" t="s">
        <v>4822</v>
      </c>
      <c r="F473" s="757">
        <v>20201</v>
      </c>
    </row>
    <row r="474" spans="1:6" x14ac:dyDescent="0.2">
      <c r="A474" s="753">
        <v>203206020005</v>
      </c>
      <c r="B474" s="754" t="s">
        <v>2629</v>
      </c>
      <c r="C474" s="755">
        <v>6450000</v>
      </c>
      <c r="D474" s="756">
        <v>44071.475787037001</v>
      </c>
      <c r="E474" s="754" t="s">
        <v>4822</v>
      </c>
      <c r="F474" s="757">
        <v>20201</v>
      </c>
    </row>
    <row r="475" spans="1:6" x14ac:dyDescent="0.2">
      <c r="A475" s="753">
        <v>203206020006</v>
      </c>
      <c r="B475" s="754" t="s">
        <v>2630</v>
      </c>
      <c r="C475" s="755">
        <v>6450000</v>
      </c>
      <c r="D475" s="756">
        <v>44071.440162036997</v>
      </c>
      <c r="E475" s="754" t="s">
        <v>4822</v>
      </c>
      <c r="F475" s="757">
        <v>20201</v>
      </c>
    </row>
    <row r="476" spans="1:6" x14ac:dyDescent="0.2">
      <c r="A476" s="753">
        <v>203206020007</v>
      </c>
      <c r="B476" s="754" t="s">
        <v>2631</v>
      </c>
      <c r="C476" s="755">
        <v>6450000</v>
      </c>
      <c r="D476" s="756">
        <v>44070.854594907403</v>
      </c>
      <c r="E476" s="754" t="s">
        <v>4822</v>
      </c>
      <c r="F476" s="757">
        <v>20201</v>
      </c>
    </row>
    <row r="477" spans="1:6" x14ac:dyDescent="0.2">
      <c r="A477" s="753">
        <v>203206020008</v>
      </c>
      <c r="B477" s="754" t="s">
        <v>2632</v>
      </c>
      <c r="C477" s="755">
        <v>6450000</v>
      </c>
      <c r="D477" s="756">
        <v>44070.6118055556</v>
      </c>
      <c r="E477" s="754" t="s">
        <v>4822</v>
      </c>
      <c r="F477" s="757">
        <v>20201</v>
      </c>
    </row>
    <row r="478" spans="1:6" x14ac:dyDescent="0.2">
      <c r="A478" s="753">
        <v>203206020009</v>
      </c>
      <c r="B478" s="754" t="s">
        <v>2633</v>
      </c>
      <c r="C478" s="755">
        <v>6450000</v>
      </c>
      <c r="D478" s="756">
        <v>44070.713437500002</v>
      </c>
      <c r="E478" s="754" t="s">
        <v>4822</v>
      </c>
      <c r="F478" s="757">
        <v>20201</v>
      </c>
    </row>
    <row r="479" spans="1:6" x14ac:dyDescent="0.2">
      <c r="A479" s="753">
        <v>203206020010</v>
      </c>
      <c r="B479" s="754" t="s">
        <v>2634</v>
      </c>
      <c r="C479" s="755">
        <v>6450000</v>
      </c>
      <c r="D479" s="756">
        <v>44071.388136574104</v>
      </c>
      <c r="E479" s="754" t="s">
        <v>4822</v>
      </c>
      <c r="F479" s="757">
        <v>20201</v>
      </c>
    </row>
    <row r="480" spans="1:6" x14ac:dyDescent="0.2">
      <c r="A480" s="753">
        <v>203206020011</v>
      </c>
      <c r="B480" s="754" t="s">
        <v>2635</v>
      </c>
      <c r="C480" s="755">
        <v>6450000</v>
      </c>
      <c r="D480" s="756">
        <v>44068.472905092603</v>
      </c>
      <c r="E480" s="754" t="s">
        <v>4822</v>
      </c>
      <c r="F480" s="757">
        <v>20201</v>
      </c>
    </row>
    <row r="481" spans="1:6" x14ac:dyDescent="0.2">
      <c r="A481" s="753">
        <v>203206020012</v>
      </c>
      <c r="B481" s="754" t="s">
        <v>2636</v>
      </c>
      <c r="C481" s="755">
        <v>6450000</v>
      </c>
      <c r="D481" s="756">
        <v>44068.868923611102</v>
      </c>
      <c r="E481" s="754" t="s">
        <v>4822</v>
      </c>
      <c r="F481" s="757">
        <v>20201</v>
      </c>
    </row>
    <row r="482" spans="1:6" x14ac:dyDescent="0.2">
      <c r="A482" s="753">
        <v>203206020013</v>
      </c>
      <c r="B482" s="754" t="s">
        <v>2637</v>
      </c>
      <c r="C482" s="755">
        <v>6450000</v>
      </c>
      <c r="D482" s="756">
        <v>44070.363402777803</v>
      </c>
      <c r="E482" s="754" t="s">
        <v>4822</v>
      </c>
      <c r="F482" s="757">
        <v>20201</v>
      </c>
    </row>
    <row r="483" spans="1:6" x14ac:dyDescent="0.2">
      <c r="A483" s="753">
        <v>203206020014</v>
      </c>
      <c r="B483" s="754" t="s">
        <v>2638</v>
      </c>
      <c r="C483" s="755">
        <v>6450000</v>
      </c>
      <c r="D483" s="756">
        <v>44070.805532407401</v>
      </c>
      <c r="E483" s="754" t="s">
        <v>4822</v>
      </c>
      <c r="F483" s="757">
        <v>20201</v>
      </c>
    </row>
    <row r="484" spans="1:6" x14ac:dyDescent="0.2">
      <c r="A484" s="753">
        <v>203206020016</v>
      </c>
      <c r="B484" s="754" t="s">
        <v>2640</v>
      </c>
      <c r="C484" s="755">
        <v>6450000</v>
      </c>
      <c r="D484" s="756">
        <v>44070.828761574099</v>
      </c>
      <c r="E484" s="754" t="s">
        <v>4822</v>
      </c>
      <c r="F484" s="757">
        <v>20201</v>
      </c>
    </row>
    <row r="485" spans="1:6" x14ac:dyDescent="0.2">
      <c r="A485" s="753">
        <v>203206020017</v>
      </c>
      <c r="B485" s="754" t="s">
        <v>2641</v>
      </c>
      <c r="C485" s="755">
        <v>6450000</v>
      </c>
      <c r="D485" s="756">
        <v>44071.345393518503</v>
      </c>
      <c r="E485" s="754" t="s">
        <v>4822</v>
      </c>
      <c r="F485" s="757">
        <v>20201</v>
      </c>
    </row>
    <row r="486" spans="1:6" x14ac:dyDescent="0.2">
      <c r="A486" s="753">
        <v>203206020018</v>
      </c>
      <c r="B486" s="754" t="s">
        <v>2642</v>
      </c>
      <c r="C486" s="755">
        <v>6450000</v>
      </c>
      <c r="D486" s="756">
        <v>44070.869039351899</v>
      </c>
      <c r="E486" s="754" t="s">
        <v>4822</v>
      </c>
      <c r="F486" s="757">
        <v>20201</v>
      </c>
    </row>
    <row r="487" spans="1:6" x14ac:dyDescent="0.2">
      <c r="A487" s="753">
        <v>203206020019</v>
      </c>
      <c r="B487" s="754" t="s">
        <v>2643</v>
      </c>
      <c r="C487" s="755">
        <v>6450000</v>
      </c>
      <c r="D487" s="756">
        <v>44077.583275463003</v>
      </c>
      <c r="E487" s="754" t="s">
        <v>4822</v>
      </c>
      <c r="F487" s="757">
        <v>20201</v>
      </c>
    </row>
    <row r="488" spans="1:6" x14ac:dyDescent="0.2">
      <c r="A488" s="753">
        <v>203206020020</v>
      </c>
      <c r="B488" s="754" t="s">
        <v>2644</v>
      </c>
      <c r="C488" s="755">
        <v>6450000</v>
      </c>
      <c r="D488" s="756">
        <v>44079.877476851798</v>
      </c>
      <c r="E488" s="754" t="s">
        <v>4822</v>
      </c>
      <c r="F488" s="757">
        <v>20201</v>
      </c>
    </row>
    <row r="489" spans="1:6" x14ac:dyDescent="0.2">
      <c r="A489" s="753">
        <v>203206030001</v>
      </c>
      <c r="B489" s="754" t="s">
        <v>2680</v>
      </c>
      <c r="C489" s="755">
        <v>6450000</v>
      </c>
      <c r="D489" s="756">
        <v>44068.558136574102</v>
      </c>
      <c r="E489" s="754" t="s">
        <v>4821</v>
      </c>
      <c r="F489" s="757">
        <v>20201</v>
      </c>
    </row>
    <row r="490" spans="1:6" x14ac:dyDescent="0.2">
      <c r="A490" s="753">
        <v>203206030002</v>
      </c>
      <c r="B490" s="754" t="s">
        <v>2683</v>
      </c>
      <c r="C490" s="755">
        <v>6450000</v>
      </c>
      <c r="D490" s="756">
        <v>44071.553252314799</v>
      </c>
      <c r="E490" s="754" t="s">
        <v>4821</v>
      </c>
      <c r="F490" s="757">
        <v>20201</v>
      </c>
    </row>
    <row r="491" spans="1:6" x14ac:dyDescent="0.2">
      <c r="A491" s="753">
        <v>203206030003</v>
      </c>
      <c r="B491" s="754" t="s">
        <v>2684</v>
      </c>
      <c r="C491" s="755">
        <v>6450000</v>
      </c>
      <c r="D491" s="756">
        <v>44071.594178240703</v>
      </c>
      <c r="E491" s="754" t="s">
        <v>4821</v>
      </c>
      <c r="F491" s="757">
        <v>20201</v>
      </c>
    </row>
    <row r="492" spans="1:6" x14ac:dyDescent="0.2">
      <c r="A492" s="753">
        <v>203206030004</v>
      </c>
      <c r="B492" s="754" t="s">
        <v>2685</v>
      </c>
      <c r="C492" s="755">
        <v>6450000</v>
      </c>
      <c r="D492" s="756">
        <v>44068.457060185203</v>
      </c>
      <c r="E492" s="754" t="s">
        <v>4821</v>
      </c>
      <c r="F492" s="757">
        <v>20201</v>
      </c>
    </row>
    <row r="493" spans="1:6" x14ac:dyDescent="0.2">
      <c r="A493" s="753">
        <v>203206030005</v>
      </c>
      <c r="B493" s="754" t="s">
        <v>2686</v>
      </c>
      <c r="C493" s="755">
        <v>6450000</v>
      </c>
      <c r="D493" s="756">
        <v>44070.639756944402</v>
      </c>
      <c r="E493" s="754" t="s">
        <v>4821</v>
      </c>
      <c r="F493" s="757">
        <v>20201</v>
      </c>
    </row>
    <row r="494" spans="1:6" x14ac:dyDescent="0.2">
      <c r="A494" s="753">
        <v>203206030006</v>
      </c>
      <c r="B494" s="754" t="s">
        <v>2687</v>
      </c>
      <c r="C494" s="755">
        <v>6450000</v>
      </c>
      <c r="D494" s="756">
        <v>44071.764016203699</v>
      </c>
      <c r="E494" s="754" t="s">
        <v>4821</v>
      </c>
      <c r="F494" s="757">
        <v>20201</v>
      </c>
    </row>
    <row r="495" spans="1:6" x14ac:dyDescent="0.2">
      <c r="A495" s="753">
        <v>203206030007</v>
      </c>
      <c r="B495" s="754" t="s">
        <v>2688</v>
      </c>
      <c r="C495" s="755">
        <v>6450000</v>
      </c>
      <c r="D495" s="756">
        <v>44067.611643518503</v>
      </c>
      <c r="E495" s="754" t="s">
        <v>4821</v>
      </c>
      <c r="F495" s="757">
        <v>20201</v>
      </c>
    </row>
    <row r="496" spans="1:6" x14ac:dyDescent="0.2">
      <c r="A496" s="753">
        <v>203206030008</v>
      </c>
      <c r="B496" s="754" t="s">
        <v>2689</v>
      </c>
      <c r="C496" s="755">
        <v>6450000</v>
      </c>
      <c r="D496" s="756">
        <v>44071.5961342593</v>
      </c>
      <c r="E496" s="754" t="s">
        <v>4821</v>
      </c>
      <c r="F496" s="757">
        <v>20201</v>
      </c>
    </row>
    <row r="497" spans="1:6" x14ac:dyDescent="0.2">
      <c r="A497" s="753">
        <v>203206030009</v>
      </c>
      <c r="B497" s="754" t="s">
        <v>2690</v>
      </c>
      <c r="C497" s="755">
        <v>6450000</v>
      </c>
      <c r="D497" s="756">
        <v>44071.350381944401</v>
      </c>
      <c r="E497" s="754" t="s">
        <v>4821</v>
      </c>
      <c r="F497" s="757">
        <v>20201</v>
      </c>
    </row>
    <row r="498" spans="1:6" x14ac:dyDescent="0.2">
      <c r="A498" s="753">
        <v>203206030010</v>
      </c>
      <c r="B498" s="754" t="s">
        <v>2691</v>
      </c>
      <c r="C498" s="755">
        <v>6450000</v>
      </c>
      <c r="D498" s="756">
        <v>44071.561550925901</v>
      </c>
      <c r="E498" s="754" t="s">
        <v>4821</v>
      </c>
      <c r="F498" s="757">
        <v>20201</v>
      </c>
    </row>
    <row r="499" spans="1:6" x14ac:dyDescent="0.2">
      <c r="A499" s="753">
        <v>203206030011</v>
      </c>
      <c r="B499" s="754" t="s">
        <v>2692</v>
      </c>
      <c r="C499" s="755">
        <v>6450000</v>
      </c>
      <c r="D499" s="756">
        <v>44070.499398148102</v>
      </c>
      <c r="E499" s="754" t="s">
        <v>4821</v>
      </c>
      <c r="F499" s="757">
        <v>20201</v>
      </c>
    </row>
    <row r="500" spans="1:6" x14ac:dyDescent="0.2">
      <c r="A500" s="753">
        <v>203206030012</v>
      </c>
      <c r="B500" s="754" t="s">
        <v>2693</v>
      </c>
      <c r="C500" s="755">
        <v>6450000</v>
      </c>
      <c r="D500" s="756">
        <v>44071.418935185196</v>
      </c>
      <c r="E500" s="754" t="s">
        <v>4821</v>
      </c>
      <c r="F500" s="757">
        <v>20201</v>
      </c>
    </row>
    <row r="501" spans="1:6" x14ac:dyDescent="0.2">
      <c r="A501" s="753">
        <v>203206030013</v>
      </c>
      <c r="B501" s="754" t="s">
        <v>2695</v>
      </c>
      <c r="C501" s="755">
        <v>6450000</v>
      </c>
      <c r="D501" s="756">
        <v>44069.576354166697</v>
      </c>
      <c r="E501" s="754" t="s">
        <v>4821</v>
      </c>
      <c r="F501" s="757">
        <v>20201</v>
      </c>
    </row>
    <row r="502" spans="1:6" x14ac:dyDescent="0.2">
      <c r="A502" s="753">
        <v>203206030014</v>
      </c>
      <c r="B502" s="754" t="s">
        <v>2696</v>
      </c>
      <c r="C502" s="755">
        <v>6450000</v>
      </c>
      <c r="D502" s="756">
        <v>44070.556030092601</v>
      </c>
      <c r="E502" s="754" t="s">
        <v>4821</v>
      </c>
      <c r="F502" s="757">
        <v>20201</v>
      </c>
    </row>
    <row r="503" spans="1:6" x14ac:dyDescent="0.2">
      <c r="A503" s="753">
        <v>203206030015</v>
      </c>
      <c r="B503" s="754" t="s">
        <v>2697</v>
      </c>
      <c r="C503" s="755">
        <v>6450000</v>
      </c>
      <c r="D503" s="756">
        <v>44070.349305555603</v>
      </c>
      <c r="E503" s="754" t="s">
        <v>4821</v>
      </c>
      <c r="F503" s="757">
        <v>20201</v>
      </c>
    </row>
    <row r="504" spans="1:6" x14ac:dyDescent="0.2">
      <c r="A504" s="753">
        <v>203206030016</v>
      </c>
      <c r="B504" s="754" t="s">
        <v>2698</v>
      </c>
      <c r="C504" s="755">
        <v>6450000</v>
      </c>
      <c r="D504" s="756">
        <v>44070.606435185196</v>
      </c>
      <c r="E504" s="754" t="s">
        <v>4821</v>
      </c>
      <c r="F504" s="757">
        <v>20201</v>
      </c>
    </row>
    <row r="505" spans="1:6" x14ac:dyDescent="0.2">
      <c r="A505" s="753">
        <v>203206030017</v>
      </c>
      <c r="B505" s="754" t="s">
        <v>2699</v>
      </c>
      <c r="C505" s="755">
        <v>6450000</v>
      </c>
      <c r="D505" s="756">
        <v>44071.614305555602</v>
      </c>
      <c r="E505" s="754" t="s">
        <v>4821</v>
      </c>
      <c r="F505" s="757">
        <v>20201</v>
      </c>
    </row>
    <row r="506" spans="1:6" x14ac:dyDescent="0.2">
      <c r="A506" s="753">
        <v>203206030018</v>
      </c>
      <c r="B506" s="754" t="s">
        <v>2700</v>
      </c>
      <c r="C506" s="755">
        <v>6450000</v>
      </c>
      <c r="D506" s="756">
        <v>44071.524490740703</v>
      </c>
      <c r="E506" s="754" t="s">
        <v>4821</v>
      </c>
      <c r="F506" s="757">
        <v>20201</v>
      </c>
    </row>
    <row r="507" spans="1:6" x14ac:dyDescent="0.2">
      <c r="A507" s="753">
        <v>203206030019</v>
      </c>
      <c r="B507" s="754" t="s">
        <v>2701</v>
      </c>
      <c r="C507" s="755">
        <v>6450000</v>
      </c>
      <c r="D507" s="756">
        <v>44071.394710648201</v>
      </c>
      <c r="E507" s="754" t="s">
        <v>4821</v>
      </c>
      <c r="F507" s="757">
        <v>20201</v>
      </c>
    </row>
    <row r="508" spans="1:6" x14ac:dyDescent="0.2">
      <c r="A508" s="753">
        <v>203206030020</v>
      </c>
      <c r="B508" s="754" t="s">
        <v>2702</v>
      </c>
      <c r="C508" s="755">
        <v>6450000</v>
      </c>
      <c r="D508" s="756">
        <v>44068.414270833302</v>
      </c>
      <c r="E508" s="754" t="s">
        <v>4821</v>
      </c>
      <c r="F508" s="757">
        <v>20201</v>
      </c>
    </row>
    <row r="509" spans="1:6" x14ac:dyDescent="0.2">
      <c r="A509" s="753">
        <v>203206030021</v>
      </c>
      <c r="B509" s="754" t="s">
        <v>2703</v>
      </c>
      <c r="C509" s="755">
        <v>6450000</v>
      </c>
      <c r="D509" s="756">
        <v>44070.390023148102</v>
      </c>
      <c r="E509" s="754" t="s">
        <v>4821</v>
      </c>
      <c r="F509" s="757">
        <v>20201</v>
      </c>
    </row>
    <row r="510" spans="1:6" x14ac:dyDescent="0.2">
      <c r="A510" s="753">
        <v>203206030022</v>
      </c>
      <c r="B510" s="754" t="s">
        <v>2704</v>
      </c>
      <c r="C510" s="755">
        <v>6450000</v>
      </c>
      <c r="D510" s="756">
        <v>44071.394375000003</v>
      </c>
      <c r="E510" s="754" t="s">
        <v>4821</v>
      </c>
      <c r="F510" s="757">
        <v>20201</v>
      </c>
    </row>
    <row r="511" spans="1:6" x14ac:dyDescent="0.2">
      <c r="A511" s="753">
        <v>203206030023</v>
      </c>
      <c r="B511" s="754" t="s">
        <v>2705</v>
      </c>
      <c r="C511" s="755">
        <v>6450000</v>
      </c>
      <c r="D511" s="756">
        <v>44070.373657407399</v>
      </c>
      <c r="E511" s="754" t="s">
        <v>4821</v>
      </c>
      <c r="F511" s="757">
        <v>20201</v>
      </c>
    </row>
    <row r="512" spans="1:6" x14ac:dyDescent="0.2">
      <c r="A512" s="753">
        <v>203206030024</v>
      </c>
      <c r="B512" s="754" t="s">
        <v>2706</v>
      </c>
      <c r="C512" s="755">
        <v>6450000</v>
      </c>
      <c r="D512" s="756">
        <v>44071.355891203697</v>
      </c>
      <c r="E512" s="754" t="s">
        <v>4821</v>
      </c>
      <c r="F512" s="757">
        <v>20201</v>
      </c>
    </row>
    <row r="513" spans="1:6" x14ac:dyDescent="0.2">
      <c r="A513" s="753">
        <v>203206030025</v>
      </c>
      <c r="B513" s="754" t="s">
        <v>2707</v>
      </c>
      <c r="C513" s="755">
        <v>6450000</v>
      </c>
      <c r="D513" s="756">
        <v>44069.4594560185</v>
      </c>
      <c r="E513" s="754" t="s">
        <v>4821</v>
      </c>
      <c r="F513" s="757">
        <v>20201</v>
      </c>
    </row>
    <row r="514" spans="1:6" x14ac:dyDescent="0.2">
      <c r="A514" s="753">
        <v>203206030026</v>
      </c>
      <c r="B514" s="754" t="s">
        <v>2708</v>
      </c>
      <c r="C514" s="755">
        <v>6450000</v>
      </c>
      <c r="D514" s="756">
        <v>44069.467453703699</v>
      </c>
      <c r="E514" s="754" t="s">
        <v>4821</v>
      </c>
      <c r="F514" s="757">
        <v>20201</v>
      </c>
    </row>
    <row r="515" spans="1:6" x14ac:dyDescent="0.2">
      <c r="A515" s="753">
        <v>203206030027</v>
      </c>
      <c r="B515" s="754" t="s">
        <v>2709</v>
      </c>
      <c r="C515" s="755">
        <v>6450000</v>
      </c>
      <c r="D515" s="756">
        <v>44070.5916782407</v>
      </c>
      <c r="E515" s="754" t="s">
        <v>4821</v>
      </c>
      <c r="F515" s="757">
        <v>20201</v>
      </c>
    </row>
    <row r="516" spans="1:6" x14ac:dyDescent="0.2">
      <c r="A516" s="753">
        <v>203206030028</v>
      </c>
      <c r="B516" s="754" t="s">
        <v>2710</v>
      </c>
      <c r="C516" s="755">
        <v>6450000</v>
      </c>
      <c r="D516" s="756">
        <v>44070.616759259297</v>
      </c>
      <c r="E516" s="754" t="s">
        <v>4821</v>
      </c>
      <c r="F516" s="757">
        <v>20201</v>
      </c>
    </row>
    <row r="517" spans="1:6" x14ac:dyDescent="0.2">
      <c r="A517" s="753">
        <v>203206030029</v>
      </c>
      <c r="B517" s="754" t="s">
        <v>2711</v>
      </c>
      <c r="C517" s="755">
        <v>6450000</v>
      </c>
      <c r="D517" s="756">
        <v>44070.525613425903</v>
      </c>
      <c r="E517" s="754" t="s">
        <v>4821</v>
      </c>
      <c r="F517" s="757">
        <v>20201</v>
      </c>
    </row>
    <row r="518" spans="1:6" x14ac:dyDescent="0.2">
      <c r="A518" s="753">
        <v>203206030030</v>
      </c>
      <c r="B518" s="754" t="s">
        <v>2712</v>
      </c>
      <c r="C518" s="755">
        <v>6450000</v>
      </c>
      <c r="D518" s="756">
        <v>44070.6092824074</v>
      </c>
      <c r="E518" s="754" t="s">
        <v>4821</v>
      </c>
      <c r="F518" s="757">
        <v>20201</v>
      </c>
    </row>
    <row r="519" spans="1:6" x14ac:dyDescent="0.2">
      <c r="A519" s="753">
        <v>203206030031</v>
      </c>
      <c r="B519" s="754" t="s">
        <v>2713</v>
      </c>
      <c r="C519" s="755">
        <v>6450000</v>
      </c>
      <c r="D519" s="756">
        <v>44071.615729166697</v>
      </c>
      <c r="E519" s="754" t="s">
        <v>4821</v>
      </c>
      <c r="F519" s="757">
        <v>20201</v>
      </c>
    </row>
    <row r="520" spans="1:6" x14ac:dyDescent="0.2">
      <c r="A520" s="753">
        <v>203206030032</v>
      </c>
      <c r="B520" s="754" t="s">
        <v>2714</v>
      </c>
      <c r="C520" s="755">
        <v>6450000</v>
      </c>
      <c r="D520" s="756">
        <v>44068.444108796299</v>
      </c>
      <c r="E520" s="754" t="s">
        <v>4821</v>
      </c>
      <c r="F520" s="757">
        <v>20201</v>
      </c>
    </row>
    <row r="521" spans="1:6" x14ac:dyDescent="0.2">
      <c r="A521" s="753">
        <v>203206030033</v>
      </c>
      <c r="B521" s="754" t="s">
        <v>2715</v>
      </c>
      <c r="C521" s="755">
        <v>6450000</v>
      </c>
      <c r="D521" s="756">
        <v>44069.600381944401</v>
      </c>
      <c r="E521" s="754" t="s">
        <v>4821</v>
      </c>
      <c r="F521" s="757">
        <v>20201</v>
      </c>
    </row>
    <row r="522" spans="1:6" ht="24" x14ac:dyDescent="0.2">
      <c r="A522" s="753">
        <v>203206030034</v>
      </c>
      <c r="B522" s="754" t="s">
        <v>2716</v>
      </c>
      <c r="C522" s="755">
        <v>6450000</v>
      </c>
      <c r="D522" s="756">
        <v>44070.496770833299</v>
      </c>
      <c r="E522" s="754" t="s">
        <v>4821</v>
      </c>
      <c r="F522" s="757">
        <v>20201</v>
      </c>
    </row>
    <row r="523" spans="1:6" x14ac:dyDescent="0.2">
      <c r="A523" s="753">
        <v>203206030035</v>
      </c>
      <c r="B523" s="754" t="s">
        <v>2718</v>
      </c>
      <c r="C523" s="755">
        <v>6450000</v>
      </c>
      <c r="D523" s="756">
        <v>44071.584085648101</v>
      </c>
      <c r="E523" s="754" t="s">
        <v>4821</v>
      </c>
      <c r="F523" s="757">
        <v>20201</v>
      </c>
    </row>
    <row r="524" spans="1:6" x14ac:dyDescent="0.2">
      <c r="A524" s="753">
        <v>203206030036</v>
      </c>
      <c r="B524" s="754" t="s">
        <v>2719</v>
      </c>
      <c r="C524" s="755">
        <v>6450000</v>
      </c>
      <c r="D524" s="756">
        <v>44071.394027777802</v>
      </c>
      <c r="E524" s="754" t="s">
        <v>4821</v>
      </c>
      <c r="F524" s="757">
        <v>20201</v>
      </c>
    </row>
    <row r="525" spans="1:6" x14ac:dyDescent="0.2">
      <c r="A525" s="753">
        <v>203206030037</v>
      </c>
      <c r="B525" s="754" t="s">
        <v>2720</v>
      </c>
      <c r="C525" s="755">
        <v>6450000</v>
      </c>
      <c r="D525" s="756">
        <v>44071.445497685199</v>
      </c>
      <c r="E525" s="754" t="s">
        <v>4821</v>
      </c>
      <c r="F525" s="757">
        <v>20201</v>
      </c>
    </row>
    <row r="526" spans="1:6" x14ac:dyDescent="0.2">
      <c r="A526" s="753">
        <v>203206030038</v>
      </c>
      <c r="B526" s="754" t="s">
        <v>2721</v>
      </c>
      <c r="C526" s="755">
        <v>6450000</v>
      </c>
      <c r="D526" s="756">
        <v>44069.575613425899</v>
      </c>
      <c r="E526" s="754" t="s">
        <v>4821</v>
      </c>
      <c r="F526" s="757">
        <v>20201</v>
      </c>
    </row>
    <row r="527" spans="1:6" x14ac:dyDescent="0.2">
      <c r="A527" s="753">
        <v>203206030039</v>
      </c>
      <c r="B527" s="754" t="s">
        <v>2722</v>
      </c>
      <c r="C527" s="755">
        <v>6450000</v>
      </c>
      <c r="D527" s="756">
        <v>44067.603078703702</v>
      </c>
      <c r="E527" s="754" t="s">
        <v>4821</v>
      </c>
      <c r="F527" s="757">
        <v>20201</v>
      </c>
    </row>
    <row r="528" spans="1:6" x14ac:dyDescent="0.2">
      <c r="A528" s="753">
        <v>203206030040</v>
      </c>
      <c r="B528" s="754" t="s">
        <v>2723</v>
      </c>
      <c r="C528" s="755">
        <v>6450000</v>
      </c>
      <c r="D528" s="756">
        <v>44071.442592592597</v>
      </c>
      <c r="E528" s="754" t="s">
        <v>4821</v>
      </c>
      <c r="F528" s="757">
        <v>20201</v>
      </c>
    </row>
    <row r="529" spans="1:6" x14ac:dyDescent="0.2">
      <c r="A529" s="753">
        <v>203206030041</v>
      </c>
      <c r="B529" s="754" t="s">
        <v>2724</v>
      </c>
      <c r="C529" s="755">
        <v>6450000</v>
      </c>
      <c r="D529" s="756">
        <v>44069.430706018502</v>
      </c>
      <c r="E529" s="754" t="s">
        <v>4821</v>
      </c>
      <c r="F529" s="757">
        <v>20201</v>
      </c>
    </row>
    <row r="530" spans="1:6" x14ac:dyDescent="0.2">
      <c r="A530" s="753">
        <v>203206030042</v>
      </c>
      <c r="B530" s="754" t="s">
        <v>2725</v>
      </c>
      <c r="C530" s="755">
        <v>6450000</v>
      </c>
      <c r="D530" s="756">
        <v>44070.600243055596</v>
      </c>
      <c r="E530" s="754" t="s">
        <v>4821</v>
      </c>
      <c r="F530" s="757">
        <v>20201</v>
      </c>
    </row>
    <row r="531" spans="1:6" x14ac:dyDescent="0.2">
      <c r="A531" s="753">
        <v>203206030043</v>
      </c>
      <c r="B531" s="754" t="s">
        <v>2726</v>
      </c>
      <c r="C531" s="755">
        <v>6450000</v>
      </c>
      <c r="D531" s="756">
        <v>44071.865671296298</v>
      </c>
      <c r="E531" s="754" t="s">
        <v>4821</v>
      </c>
      <c r="F531" s="757">
        <v>20201</v>
      </c>
    </row>
    <row r="532" spans="1:6" x14ac:dyDescent="0.2">
      <c r="A532" s="753">
        <v>203206030044</v>
      </c>
      <c r="B532" s="754" t="s">
        <v>2727</v>
      </c>
      <c r="C532" s="755">
        <v>6450000</v>
      </c>
      <c r="D532" s="756">
        <v>44071.355416666702</v>
      </c>
      <c r="E532" s="754" t="s">
        <v>4821</v>
      </c>
      <c r="F532" s="757">
        <v>20201</v>
      </c>
    </row>
    <row r="533" spans="1:6" x14ac:dyDescent="0.2">
      <c r="A533" s="753">
        <v>203206030045</v>
      </c>
      <c r="B533" s="754" t="s">
        <v>2728</v>
      </c>
      <c r="C533" s="755">
        <v>6450000</v>
      </c>
      <c r="D533" s="756">
        <v>44070.344525462999</v>
      </c>
      <c r="E533" s="754" t="s">
        <v>4821</v>
      </c>
      <c r="F533" s="757">
        <v>20201</v>
      </c>
    </row>
    <row r="534" spans="1:6" x14ac:dyDescent="0.2">
      <c r="A534" s="753">
        <v>203206030046</v>
      </c>
      <c r="B534" s="754" t="s">
        <v>2729</v>
      </c>
      <c r="C534" s="755">
        <v>6450000</v>
      </c>
      <c r="D534" s="756">
        <v>44070.6018287037</v>
      </c>
      <c r="E534" s="754" t="s">
        <v>4821</v>
      </c>
      <c r="F534" s="757">
        <v>20201</v>
      </c>
    </row>
    <row r="535" spans="1:6" x14ac:dyDescent="0.2">
      <c r="A535" s="753">
        <v>203206030047</v>
      </c>
      <c r="B535" s="754" t="s">
        <v>2730</v>
      </c>
      <c r="C535" s="755">
        <v>6450000</v>
      </c>
      <c r="D535" s="756">
        <v>44071.386134259301</v>
      </c>
      <c r="E535" s="754" t="s">
        <v>4821</v>
      </c>
      <c r="F535" s="757">
        <v>20201</v>
      </c>
    </row>
    <row r="536" spans="1:6" x14ac:dyDescent="0.2">
      <c r="A536" s="753">
        <v>203206030048</v>
      </c>
      <c r="B536" s="754" t="s">
        <v>2731</v>
      </c>
      <c r="C536" s="755">
        <v>6450000</v>
      </c>
      <c r="D536" s="756">
        <v>44070.397928240702</v>
      </c>
      <c r="E536" s="754" t="s">
        <v>4821</v>
      </c>
      <c r="F536" s="757">
        <v>20201</v>
      </c>
    </row>
    <row r="537" spans="1:6" x14ac:dyDescent="0.2">
      <c r="A537" s="753">
        <v>203206030049</v>
      </c>
      <c r="B537" s="754" t="s">
        <v>2732</v>
      </c>
      <c r="C537" s="755">
        <v>6450000</v>
      </c>
      <c r="D537" s="756">
        <v>44069.378611111097</v>
      </c>
      <c r="E537" s="754" t="s">
        <v>4821</v>
      </c>
      <c r="F537" s="757">
        <v>20201</v>
      </c>
    </row>
    <row r="538" spans="1:6" x14ac:dyDescent="0.2">
      <c r="A538" s="753">
        <v>203206030050</v>
      </c>
      <c r="B538" s="754" t="s">
        <v>2488</v>
      </c>
      <c r="C538" s="755">
        <v>6450000</v>
      </c>
      <c r="D538" s="756">
        <v>44070.494768518503</v>
      </c>
      <c r="E538" s="754" t="s">
        <v>4821</v>
      </c>
      <c r="F538" s="757">
        <v>20201</v>
      </c>
    </row>
    <row r="539" spans="1:6" x14ac:dyDescent="0.2">
      <c r="A539" s="753">
        <v>203206030051</v>
      </c>
      <c r="B539" s="754" t="s">
        <v>2733</v>
      </c>
      <c r="C539" s="755">
        <v>6450000</v>
      </c>
      <c r="D539" s="756">
        <v>44069.439699074101</v>
      </c>
      <c r="E539" s="754" t="s">
        <v>4821</v>
      </c>
      <c r="F539" s="757">
        <v>20201</v>
      </c>
    </row>
    <row r="540" spans="1:6" x14ac:dyDescent="0.2">
      <c r="A540" s="753">
        <v>203206030052</v>
      </c>
      <c r="B540" s="754" t="s">
        <v>2734</v>
      </c>
      <c r="C540" s="755">
        <v>6450000</v>
      </c>
      <c r="D540" s="756">
        <v>44071.609606481499</v>
      </c>
      <c r="E540" s="754" t="s">
        <v>4821</v>
      </c>
      <c r="F540" s="757">
        <v>20201</v>
      </c>
    </row>
    <row r="541" spans="1:6" x14ac:dyDescent="0.2">
      <c r="A541" s="753">
        <v>203206030053</v>
      </c>
      <c r="B541" s="754" t="s">
        <v>2735</v>
      </c>
      <c r="C541" s="755">
        <v>6450000</v>
      </c>
      <c r="D541" s="756">
        <v>44077.674039351798</v>
      </c>
      <c r="E541" s="754" t="s">
        <v>4821</v>
      </c>
      <c r="F541" s="757">
        <v>20201</v>
      </c>
    </row>
    <row r="542" spans="1:6" x14ac:dyDescent="0.2">
      <c r="A542" s="753">
        <v>203206030054</v>
      </c>
      <c r="B542" s="754" t="s">
        <v>2736</v>
      </c>
      <c r="C542" s="755">
        <v>6450000</v>
      </c>
      <c r="D542" s="756">
        <v>44079.848796296297</v>
      </c>
      <c r="E542" s="754" t="s">
        <v>4821</v>
      </c>
      <c r="F542" s="757">
        <v>20201</v>
      </c>
    </row>
    <row r="543" spans="1:6" x14ac:dyDescent="0.2">
      <c r="A543" s="753">
        <v>203206040001</v>
      </c>
      <c r="B543" s="754" t="s">
        <v>2749</v>
      </c>
      <c r="C543" s="755">
        <v>6450000</v>
      </c>
      <c r="D543" s="756">
        <v>44071.598564814798</v>
      </c>
      <c r="E543" s="754" t="s">
        <v>4829</v>
      </c>
      <c r="F543" s="757">
        <v>20201</v>
      </c>
    </row>
    <row r="544" spans="1:6" x14ac:dyDescent="0.2">
      <c r="A544" s="753">
        <v>203206040002</v>
      </c>
      <c r="B544" s="754" t="s">
        <v>2751</v>
      </c>
      <c r="C544" s="755">
        <v>6450000</v>
      </c>
      <c r="D544" s="756">
        <v>44068.496562499997</v>
      </c>
      <c r="E544" s="754" t="s">
        <v>4829</v>
      </c>
      <c r="F544" s="757">
        <v>20201</v>
      </c>
    </row>
    <row r="545" spans="1:6" x14ac:dyDescent="0.2">
      <c r="A545" s="753">
        <v>203206040003</v>
      </c>
      <c r="B545" s="754" t="s">
        <v>2752</v>
      </c>
      <c r="C545" s="755">
        <v>6450000</v>
      </c>
      <c r="D545" s="756">
        <v>44071.428692129601</v>
      </c>
      <c r="E545" s="754" t="s">
        <v>4829</v>
      </c>
      <c r="F545" s="757">
        <v>20201</v>
      </c>
    </row>
    <row r="546" spans="1:6" x14ac:dyDescent="0.2">
      <c r="A546" s="753">
        <v>203206040004</v>
      </c>
      <c r="B546" s="754" t="s">
        <v>2753</v>
      </c>
      <c r="C546" s="755">
        <v>6450000</v>
      </c>
      <c r="D546" s="756">
        <v>44069.514027777797</v>
      </c>
      <c r="E546" s="754" t="s">
        <v>4829</v>
      </c>
      <c r="F546" s="757">
        <v>20201</v>
      </c>
    </row>
    <row r="547" spans="1:6" x14ac:dyDescent="0.2">
      <c r="A547" s="753">
        <v>203206040005</v>
      </c>
      <c r="B547" s="754" t="s">
        <v>2754</v>
      </c>
      <c r="C547" s="755">
        <v>6450000</v>
      </c>
      <c r="D547" s="756">
        <v>44067.519780092603</v>
      </c>
      <c r="E547" s="754" t="s">
        <v>4829</v>
      </c>
      <c r="F547" s="757">
        <v>20201</v>
      </c>
    </row>
    <row r="548" spans="1:6" x14ac:dyDescent="0.2">
      <c r="A548" s="753">
        <v>203206040006</v>
      </c>
      <c r="B548" s="754" t="s">
        <v>2755</v>
      </c>
      <c r="C548" s="755">
        <v>6450000</v>
      </c>
      <c r="D548" s="756">
        <v>44068.612280092602</v>
      </c>
      <c r="E548" s="754" t="s">
        <v>4829</v>
      </c>
      <c r="F548" s="757">
        <v>20201</v>
      </c>
    </row>
    <row r="549" spans="1:6" x14ac:dyDescent="0.2">
      <c r="A549" s="753">
        <v>203206040007</v>
      </c>
      <c r="B549" s="754" t="s">
        <v>2756</v>
      </c>
      <c r="C549" s="755">
        <v>6450000</v>
      </c>
      <c r="D549" s="756">
        <v>44069.613460648201</v>
      </c>
      <c r="E549" s="754" t="s">
        <v>4829</v>
      </c>
      <c r="F549" s="757">
        <v>20201</v>
      </c>
    </row>
    <row r="550" spans="1:6" x14ac:dyDescent="0.2">
      <c r="A550" s="753">
        <v>203206040008</v>
      </c>
      <c r="B550" s="754" t="s">
        <v>2757</v>
      </c>
      <c r="C550" s="755">
        <v>6450000</v>
      </c>
      <c r="D550" s="756">
        <v>44068.7583101852</v>
      </c>
      <c r="E550" s="754" t="s">
        <v>4829</v>
      </c>
      <c r="F550" s="757">
        <v>20201</v>
      </c>
    </row>
    <row r="551" spans="1:6" x14ac:dyDescent="0.2">
      <c r="A551" s="753">
        <v>203206040009</v>
      </c>
      <c r="B551" s="754" t="s">
        <v>2758</v>
      </c>
      <c r="C551" s="755">
        <v>6450000</v>
      </c>
      <c r="D551" s="756">
        <v>44067.591550925899</v>
      </c>
      <c r="E551" s="754" t="s">
        <v>4829</v>
      </c>
      <c r="F551" s="757">
        <v>20201</v>
      </c>
    </row>
    <row r="552" spans="1:6" x14ac:dyDescent="0.2">
      <c r="A552" s="753">
        <v>203206040010</v>
      </c>
      <c r="B552" s="754" t="s">
        <v>2759</v>
      </c>
      <c r="C552" s="755">
        <v>6450000</v>
      </c>
      <c r="D552" s="756">
        <v>44069.5168865741</v>
      </c>
      <c r="E552" s="754" t="s">
        <v>4829</v>
      </c>
      <c r="F552" s="757">
        <v>20201</v>
      </c>
    </row>
    <row r="553" spans="1:6" x14ac:dyDescent="0.2">
      <c r="A553" s="753">
        <v>203206040011</v>
      </c>
      <c r="B553" s="754" t="s">
        <v>2760</v>
      </c>
      <c r="C553" s="755">
        <v>6450000</v>
      </c>
      <c r="D553" s="756">
        <v>44071.542581018497</v>
      </c>
      <c r="E553" s="754" t="s">
        <v>4829</v>
      </c>
      <c r="F553" s="757">
        <v>20201</v>
      </c>
    </row>
    <row r="554" spans="1:6" x14ac:dyDescent="0.2">
      <c r="A554" s="753">
        <v>203206050001</v>
      </c>
      <c r="B554" s="754" t="s">
        <v>4855</v>
      </c>
      <c r="C554" s="755">
        <v>6450000</v>
      </c>
      <c r="D554" s="756">
        <v>44071.383946759299</v>
      </c>
      <c r="E554" s="754" t="s">
        <v>4823</v>
      </c>
      <c r="F554" s="757">
        <v>20201</v>
      </c>
    </row>
    <row r="555" spans="1:6" x14ac:dyDescent="0.2">
      <c r="A555" s="753">
        <v>203206050002</v>
      </c>
      <c r="B555" s="754" t="s">
        <v>2593</v>
      </c>
      <c r="C555" s="755">
        <v>6450000</v>
      </c>
      <c r="D555" s="756">
        <v>44068.4226851852</v>
      </c>
      <c r="E555" s="754" t="s">
        <v>4823</v>
      </c>
      <c r="F555" s="757">
        <v>20201</v>
      </c>
    </row>
    <row r="556" spans="1:6" x14ac:dyDescent="0.2">
      <c r="A556" s="753">
        <v>203206050003</v>
      </c>
      <c r="B556" s="754" t="s">
        <v>2594</v>
      </c>
      <c r="C556" s="755">
        <v>6450000</v>
      </c>
      <c r="D556" s="756">
        <v>44070.575659722199</v>
      </c>
      <c r="E556" s="754" t="s">
        <v>4823</v>
      </c>
      <c r="F556" s="757">
        <v>20201</v>
      </c>
    </row>
    <row r="557" spans="1:6" x14ac:dyDescent="0.2">
      <c r="A557" s="753">
        <v>203206050004</v>
      </c>
      <c r="B557" s="754" t="s">
        <v>2595</v>
      </c>
      <c r="C557" s="755">
        <v>6450000</v>
      </c>
      <c r="D557" s="756">
        <v>44067.748414351903</v>
      </c>
      <c r="E557" s="754" t="s">
        <v>4823</v>
      </c>
      <c r="F557" s="757">
        <v>20201</v>
      </c>
    </row>
    <row r="558" spans="1:6" x14ac:dyDescent="0.2">
      <c r="A558" s="753">
        <v>203206050005</v>
      </c>
      <c r="B558" s="754" t="s">
        <v>2596</v>
      </c>
      <c r="C558" s="755">
        <v>6450000</v>
      </c>
      <c r="D558" s="756">
        <v>44071.381203703699</v>
      </c>
      <c r="E558" s="754" t="s">
        <v>4823</v>
      </c>
      <c r="F558" s="757">
        <v>20201</v>
      </c>
    </row>
    <row r="559" spans="1:6" x14ac:dyDescent="0.2">
      <c r="A559" s="753">
        <v>203206050006</v>
      </c>
      <c r="B559" s="754" t="s">
        <v>2597</v>
      </c>
      <c r="C559" s="755">
        <v>6450000</v>
      </c>
      <c r="D559" s="756">
        <v>44070.504085648201</v>
      </c>
      <c r="E559" s="754" t="s">
        <v>4823</v>
      </c>
      <c r="F559" s="757">
        <v>20201</v>
      </c>
    </row>
    <row r="560" spans="1:6" x14ac:dyDescent="0.2">
      <c r="A560" s="753">
        <v>203206050007</v>
      </c>
      <c r="B560" s="754" t="s">
        <v>2598</v>
      </c>
      <c r="C560" s="755">
        <v>6450000</v>
      </c>
      <c r="D560" s="756">
        <v>44069.596678240698</v>
      </c>
      <c r="E560" s="754" t="s">
        <v>4823</v>
      </c>
      <c r="F560" s="757">
        <v>20201</v>
      </c>
    </row>
    <row r="561" spans="1:6" x14ac:dyDescent="0.2">
      <c r="A561" s="753">
        <v>203206050008</v>
      </c>
      <c r="B561" s="754" t="s">
        <v>2599</v>
      </c>
      <c r="C561" s="755">
        <v>6450000</v>
      </c>
      <c r="D561" s="756">
        <v>44071.631006944401</v>
      </c>
      <c r="E561" s="754" t="s">
        <v>4823</v>
      </c>
      <c r="F561" s="757">
        <v>20201</v>
      </c>
    </row>
    <row r="562" spans="1:6" x14ac:dyDescent="0.2">
      <c r="A562" s="753">
        <v>203206050009</v>
      </c>
      <c r="B562" s="754" t="s">
        <v>2600</v>
      </c>
      <c r="C562" s="755">
        <v>6450000</v>
      </c>
      <c r="D562" s="756">
        <v>44071.449652777803</v>
      </c>
      <c r="E562" s="754" t="s">
        <v>4823</v>
      </c>
      <c r="F562" s="757">
        <v>20201</v>
      </c>
    </row>
    <row r="563" spans="1:6" x14ac:dyDescent="0.2">
      <c r="A563" s="753">
        <v>203206050010</v>
      </c>
      <c r="B563" s="754" t="s">
        <v>2601</v>
      </c>
      <c r="C563" s="755">
        <v>6450000</v>
      </c>
      <c r="D563" s="756">
        <v>44071.395486111098</v>
      </c>
      <c r="E563" s="754" t="s">
        <v>4823</v>
      </c>
      <c r="F563" s="757">
        <v>20201</v>
      </c>
    </row>
    <row r="564" spans="1:6" x14ac:dyDescent="0.2">
      <c r="A564" s="753">
        <v>203206050011</v>
      </c>
      <c r="B564" s="754" t="s">
        <v>2602</v>
      </c>
      <c r="C564" s="755">
        <v>6450000</v>
      </c>
      <c r="D564" s="756">
        <v>44070.524016203701</v>
      </c>
      <c r="E564" s="754" t="s">
        <v>4823</v>
      </c>
      <c r="F564" s="757">
        <v>20201</v>
      </c>
    </row>
    <row r="565" spans="1:6" x14ac:dyDescent="0.2">
      <c r="A565" s="753">
        <v>203206050012</v>
      </c>
      <c r="B565" s="754" t="s">
        <v>2603</v>
      </c>
      <c r="C565" s="755">
        <v>6450000</v>
      </c>
      <c r="D565" s="756">
        <v>44071.840034722198</v>
      </c>
      <c r="E565" s="754" t="s">
        <v>4823</v>
      </c>
      <c r="F565" s="757">
        <v>20201</v>
      </c>
    </row>
    <row r="566" spans="1:6" x14ac:dyDescent="0.2">
      <c r="A566" s="753">
        <v>203206050013</v>
      </c>
      <c r="B566" s="754" t="s">
        <v>2604</v>
      </c>
      <c r="C566" s="755">
        <v>6450000</v>
      </c>
      <c r="D566" s="756">
        <v>44070.464108796303</v>
      </c>
      <c r="E566" s="754" t="s">
        <v>4823</v>
      </c>
      <c r="F566" s="757">
        <v>20201</v>
      </c>
    </row>
    <row r="567" spans="1:6" x14ac:dyDescent="0.2">
      <c r="A567" s="753">
        <v>203206050014</v>
      </c>
      <c r="B567" s="754" t="s">
        <v>2605</v>
      </c>
      <c r="C567" s="755">
        <v>6450000</v>
      </c>
      <c r="D567" s="756">
        <v>44072.165092592601</v>
      </c>
      <c r="E567" s="754" t="s">
        <v>4823</v>
      </c>
      <c r="F567" s="757">
        <v>20201</v>
      </c>
    </row>
    <row r="568" spans="1:6" x14ac:dyDescent="0.2">
      <c r="A568" s="753">
        <v>203206050015</v>
      </c>
      <c r="B568" s="754" t="s">
        <v>2606</v>
      </c>
      <c r="C568" s="755">
        <v>6450000</v>
      </c>
      <c r="D568" s="756">
        <v>44068.417523148099</v>
      </c>
      <c r="E568" s="754" t="s">
        <v>4823</v>
      </c>
      <c r="F568" s="757">
        <v>20201</v>
      </c>
    </row>
    <row r="569" spans="1:6" x14ac:dyDescent="0.2">
      <c r="A569" s="753">
        <v>203206050016</v>
      </c>
      <c r="B569" s="754" t="s">
        <v>2607</v>
      </c>
      <c r="C569" s="755">
        <v>6450000</v>
      </c>
      <c r="D569" s="756">
        <v>44070.521377314799</v>
      </c>
      <c r="E569" s="754" t="s">
        <v>4823</v>
      </c>
      <c r="F569" s="757">
        <v>20201</v>
      </c>
    </row>
    <row r="570" spans="1:6" x14ac:dyDescent="0.2">
      <c r="A570" s="753">
        <v>203206050017</v>
      </c>
      <c r="B570" s="754" t="s">
        <v>2609</v>
      </c>
      <c r="C570" s="755">
        <v>6450000</v>
      </c>
      <c r="D570" s="756">
        <v>44070.359097222201</v>
      </c>
      <c r="E570" s="754" t="s">
        <v>4823</v>
      </c>
      <c r="F570" s="757">
        <v>20201</v>
      </c>
    </row>
    <row r="571" spans="1:6" x14ac:dyDescent="0.2">
      <c r="A571" s="753">
        <v>203206050018</v>
      </c>
      <c r="B571" s="754" t="s">
        <v>2610</v>
      </c>
      <c r="C571" s="755">
        <v>6450000</v>
      </c>
      <c r="D571" s="756">
        <v>44071.358449074098</v>
      </c>
      <c r="E571" s="754" t="s">
        <v>4823</v>
      </c>
      <c r="F571" s="757">
        <v>20201</v>
      </c>
    </row>
    <row r="572" spans="1:6" x14ac:dyDescent="0.2">
      <c r="A572" s="753">
        <v>203206050019</v>
      </c>
      <c r="B572" s="754" t="s">
        <v>2611</v>
      </c>
      <c r="C572" s="755">
        <v>6450000</v>
      </c>
      <c r="D572" s="756">
        <v>44068.4469328704</v>
      </c>
      <c r="E572" s="754" t="s">
        <v>4823</v>
      </c>
      <c r="F572" s="757">
        <v>20201</v>
      </c>
    </row>
    <row r="573" spans="1:6" x14ac:dyDescent="0.2">
      <c r="A573" s="753">
        <v>203206050020</v>
      </c>
      <c r="B573" s="754" t="s">
        <v>2612</v>
      </c>
      <c r="C573" s="755">
        <v>6450000</v>
      </c>
      <c r="D573" s="756">
        <v>44070.4207986111</v>
      </c>
      <c r="E573" s="754" t="s">
        <v>4823</v>
      </c>
      <c r="F573" s="757">
        <v>20201</v>
      </c>
    </row>
    <row r="574" spans="1:6" x14ac:dyDescent="0.2">
      <c r="A574" s="753">
        <v>203206050021</v>
      </c>
      <c r="B574" s="754" t="s">
        <v>2613</v>
      </c>
      <c r="C574" s="755">
        <v>6450000</v>
      </c>
      <c r="D574" s="756">
        <v>44069.576249999998</v>
      </c>
      <c r="E574" s="754" t="s">
        <v>4823</v>
      </c>
      <c r="F574" s="757">
        <v>20201</v>
      </c>
    </row>
    <row r="575" spans="1:6" x14ac:dyDescent="0.2">
      <c r="A575" s="753">
        <v>203206050022</v>
      </c>
      <c r="B575" s="754" t="s">
        <v>2614</v>
      </c>
      <c r="C575" s="755">
        <v>6450000</v>
      </c>
      <c r="D575" s="756">
        <v>44071.573877314797</v>
      </c>
      <c r="E575" s="754" t="s">
        <v>4823</v>
      </c>
      <c r="F575" s="757">
        <v>20201</v>
      </c>
    </row>
    <row r="576" spans="1:6" x14ac:dyDescent="0.2">
      <c r="A576" s="753">
        <v>203206050023</v>
      </c>
      <c r="B576" s="754" t="s">
        <v>2615</v>
      </c>
      <c r="C576" s="755">
        <v>6450000</v>
      </c>
      <c r="D576" s="756">
        <v>44071.924155092602</v>
      </c>
      <c r="E576" s="754" t="s">
        <v>4823</v>
      </c>
      <c r="F576" s="757">
        <v>20201</v>
      </c>
    </row>
    <row r="577" spans="1:6" x14ac:dyDescent="0.2">
      <c r="A577" s="753">
        <v>203206050024</v>
      </c>
      <c r="B577" s="754" t="s">
        <v>2616</v>
      </c>
      <c r="C577" s="755">
        <v>6450000</v>
      </c>
      <c r="D577" s="756">
        <v>44069.376030092601</v>
      </c>
      <c r="E577" s="754" t="s">
        <v>4823</v>
      </c>
      <c r="F577" s="757">
        <v>20201</v>
      </c>
    </row>
    <row r="578" spans="1:6" x14ac:dyDescent="0.2">
      <c r="A578" s="753">
        <v>203206050025</v>
      </c>
      <c r="B578" s="754" t="s">
        <v>2617</v>
      </c>
      <c r="C578" s="755">
        <v>6450000</v>
      </c>
      <c r="D578" s="756">
        <v>44070.362905092603</v>
      </c>
      <c r="E578" s="754" t="s">
        <v>4823</v>
      </c>
      <c r="F578" s="757">
        <v>20201</v>
      </c>
    </row>
    <row r="579" spans="1:6" x14ac:dyDescent="0.2">
      <c r="A579" s="753">
        <v>203206050026</v>
      </c>
      <c r="B579" s="754" t="s">
        <v>2618</v>
      </c>
      <c r="C579" s="755">
        <v>6450000</v>
      </c>
      <c r="D579" s="756">
        <v>44070.566736111097</v>
      </c>
      <c r="E579" s="754" t="s">
        <v>4823</v>
      </c>
      <c r="F579" s="757">
        <v>20201</v>
      </c>
    </row>
    <row r="580" spans="1:6" ht="24" x14ac:dyDescent="0.2">
      <c r="A580" s="753">
        <v>203206050027</v>
      </c>
      <c r="B580" s="754" t="s">
        <v>2619</v>
      </c>
      <c r="C580" s="755">
        <v>6450000</v>
      </c>
      <c r="D580" s="756">
        <v>44069.499930555598</v>
      </c>
      <c r="E580" s="754" t="s">
        <v>4823</v>
      </c>
      <c r="F580" s="757">
        <v>20201</v>
      </c>
    </row>
    <row r="581" spans="1:6" x14ac:dyDescent="0.2">
      <c r="A581" s="753">
        <v>203206050028</v>
      </c>
      <c r="B581" s="754" t="s">
        <v>2620</v>
      </c>
      <c r="C581" s="755">
        <v>6450000</v>
      </c>
      <c r="D581" s="756">
        <v>44070.519016203703</v>
      </c>
      <c r="E581" s="754" t="s">
        <v>4823</v>
      </c>
      <c r="F581" s="757">
        <v>20201</v>
      </c>
    </row>
    <row r="582" spans="1:6" x14ac:dyDescent="0.2">
      <c r="A582" s="753">
        <v>203206050029</v>
      </c>
      <c r="B582" s="754" t="s">
        <v>2621</v>
      </c>
      <c r="C582" s="755">
        <v>6450000</v>
      </c>
      <c r="D582" s="756">
        <v>44069.2244907407</v>
      </c>
      <c r="E582" s="754" t="s">
        <v>4823</v>
      </c>
      <c r="F582" s="757">
        <v>20201</v>
      </c>
    </row>
    <row r="583" spans="1:6" x14ac:dyDescent="0.2">
      <c r="A583" s="753">
        <v>203206050030</v>
      </c>
      <c r="B583" s="754" t="s">
        <v>2622</v>
      </c>
      <c r="C583" s="755">
        <v>6450000</v>
      </c>
      <c r="D583" s="756">
        <v>44071.538541666698</v>
      </c>
      <c r="E583" s="754" t="s">
        <v>4823</v>
      </c>
      <c r="F583" s="757">
        <v>20201</v>
      </c>
    </row>
    <row r="584" spans="1:6" x14ac:dyDescent="0.2">
      <c r="A584" s="753">
        <v>203206060001</v>
      </c>
      <c r="B584" s="754" t="s">
        <v>2646</v>
      </c>
      <c r="C584" s="755">
        <v>6450000</v>
      </c>
      <c r="D584" s="756">
        <v>44071.418726851902</v>
      </c>
      <c r="E584" s="754" t="s">
        <v>4826</v>
      </c>
      <c r="F584" s="757">
        <v>20201</v>
      </c>
    </row>
    <row r="585" spans="1:6" x14ac:dyDescent="0.2">
      <c r="A585" s="753">
        <v>203206060002</v>
      </c>
      <c r="B585" s="754" t="s">
        <v>2648</v>
      </c>
      <c r="C585" s="755">
        <v>6450000</v>
      </c>
      <c r="D585" s="756">
        <v>44070.426342592596</v>
      </c>
      <c r="E585" s="754" t="s">
        <v>4826</v>
      </c>
      <c r="F585" s="757">
        <v>20201</v>
      </c>
    </row>
    <row r="586" spans="1:6" x14ac:dyDescent="0.2">
      <c r="A586" s="753">
        <v>203206060003</v>
      </c>
      <c r="B586" s="754" t="s">
        <v>2649</v>
      </c>
      <c r="C586" s="755">
        <v>6450000</v>
      </c>
      <c r="D586" s="756">
        <v>44069.435289351903</v>
      </c>
      <c r="E586" s="754" t="s">
        <v>4826</v>
      </c>
      <c r="F586" s="757">
        <v>20201</v>
      </c>
    </row>
    <row r="587" spans="1:6" x14ac:dyDescent="0.2">
      <c r="A587" s="753">
        <v>203206060004</v>
      </c>
      <c r="B587" s="754" t="s">
        <v>2650</v>
      </c>
      <c r="C587" s="755">
        <v>6450000</v>
      </c>
      <c r="D587" s="756">
        <v>44070.556238425903</v>
      </c>
      <c r="E587" s="754" t="s">
        <v>4826</v>
      </c>
      <c r="F587" s="757">
        <v>20201</v>
      </c>
    </row>
    <row r="588" spans="1:6" x14ac:dyDescent="0.2">
      <c r="A588" s="753">
        <v>203206060005</v>
      </c>
      <c r="B588" s="754" t="s">
        <v>2651</v>
      </c>
      <c r="C588" s="755">
        <v>6450000</v>
      </c>
      <c r="D588" s="756">
        <v>44070.425543981502</v>
      </c>
      <c r="E588" s="754" t="s">
        <v>4826</v>
      </c>
      <c r="F588" s="757">
        <v>20201</v>
      </c>
    </row>
    <row r="589" spans="1:6" x14ac:dyDescent="0.2">
      <c r="A589" s="753">
        <v>203206060006</v>
      </c>
      <c r="B589" s="754" t="s">
        <v>2652</v>
      </c>
      <c r="C589" s="755">
        <v>6450000</v>
      </c>
      <c r="D589" s="756">
        <v>44068.5862962963</v>
      </c>
      <c r="E589" s="754" t="s">
        <v>4826</v>
      </c>
      <c r="F589" s="757">
        <v>20201</v>
      </c>
    </row>
    <row r="590" spans="1:6" x14ac:dyDescent="0.2">
      <c r="A590" s="753">
        <v>203206060007</v>
      </c>
      <c r="B590" s="754" t="s">
        <v>2653</v>
      </c>
      <c r="C590" s="755">
        <v>6450000</v>
      </c>
      <c r="D590" s="756">
        <v>44070.791273148097</v>
      </c>
      <c r="E590" s="754" t="s">
        <v>4826</v>
      </c>
      <c r="F590" s="757">
        <v>20201</v>
      </c>
    </row>
    <row r="591" spans="1:6" x14ac:dyDescent="0.2">
      <c r="A591" s="753">
        <v>203206060008</v>
      </c>
      <c r="B591" s="754" t="s">
        <v>2654</v>
      </c>
      <c r="C591" s="755">
        <v>6450000</v>
      </c>
      <c r="D591" s="756">
        <v>44071.882800925901</v>
      </c>
      <c r="E591" s="754" t="s">
        <v>4826</v>
      </c>
      <c r="F591" s="757">
        <v>20201</v>
      </c>
    </row>
    <row r="592" spans="1:6" x14ac:dyDescent="0.2">
      <c r="A592" s="753">
        <v>203206060009</v>
      </c>
      <c r="B592" s="754" t="s">
        <v>2655</v>
      </c>
      <c r="C592" s="755">
        <v>6450000</v>
      </c>
      <c r="D592" s="756">
        <v>44071.611921296302</v>
      </c>
      <c r="E592" s="754" t="s">
        <v>4826</v>
      </c>
      <c r="F592" s="757">
        <v>20201</v>
      </c>
    </row>
    <row r="593" spans="1:6" x14ac:dyDescent="0.2">
      <c r="A593" s="753">
        <v>203206060010</v>
      </c>
      <c r="B593" s="754" t="s">
        <v>2656</v>
      </c>
      <c r="C593" s="755">
        <v>6450000</v>
      </c>
      <c r="D593" s="756">
        <v>44071.410127314797</v>
      </c>
      <c r="E593" s="754" t="s">
        <v>4826</v>
      </c>
      <c r="F593" s="757">
        <v>20201</v>
      </c>
    </row>
    <row r="594" spans="1:6" x14ac:dyDescent="0.2">
      <c r="A594" s="753">
        <v>203206060011</v>
      </c>
      <c r="B594" s="754" t="s">
        <v>2657</v>
      </c>
      <c r="C594" s="755">
        <v>6450000</v>
      </c>
      <c r="D594" s="756">
        <v>44071.404351851903</v>
      </c>
      <c r="E594" s="754" t="s">
        <v>4826</v>
      </c>
      <c r="F594" s="757">
        <v>20201</v>
      </c>
    </row>
    <row r="595" spans="1:6" x14ac:dyDescent="0.2">
      <c r="A595" s="753">
        <v>203206060012</v>
      </c>
      <c r="B595" s="754" t="s">
        <v>2658</v>
      </c>
      <c r="C595" s="755">
        <v>6450000</v>
      </c>
      <c r="D595" s="756">
        <v>44071.3773842593</v>
      </c>
      <c r="E595" s="754" t="s">
        <v>4826</v>
      </c>
      <c r="F595" s="757">
        <v>20201</v>
      </c>
    </row>
    <row r="596" spans="1:6" x14ac:dyDescent="0.2">
      <c r="A596" s="753">
        <v>203206060013</v>
      </c>
      <c r="B596" s="754" t="s">
        <v>2659</v>
      </c>
      <c r="C596" s="755">
        <v>6450000</v>
      </c>
      <c r="D596" s="756">
        <v>44071.4077777778</v>
      </c>
      <c r="E596" s="754" t="s">
        <v>4826</v>
      </c>
      <c r="F596" s="757">
        <v>20201</v>
      </c>
    </row>
    <row r="597" spans="1:6" x14ac:dyDescent="0.2">
      <c r="A597" s="753">
        <v>203206060014</v>
      </c>
      <c r="B597" s="754" t="s">
        <v>2660</v>
      </c>
      <c r="C597" s="755">
        <v>6450000</v>
      </c>
      <c r="D597" s="756">
        <v>44071.589247685202</v>
      </c>
      <c r="E597" s="754" t="s">
        <v>4826</v>
      </c>
      <c r="F597" s="757">
        <v>20201</v>
      </c>
    </row>
    <row r="598" spans="1:6" x14ac:dyDescent="0.2">
      <c r="A598" s="753">
        <v>203206060015</v>
      </c>
      <c r="B598" s="754" t="s">
        <v>2661</v>
      </c>
      <c r="C598" s="755">
        <v>6450000</v>
      </c>
      <c r="D598" s="756">
        <v>44069.745821759301</v>
      </c>
      <c r="E598" s="754" t="s">
        <v>4826</v>
      </c>
      <c r="F598" s="757">
        <v>20201</v>
      </c>
    </row>
    <row r="599" spans="1:6" x14ac:dyDescent="0.2">
      <c r="A599" s="753">
        <v>203206060016</v>
      </c>
      <c r="B599" s="754" t="s">
        <v>2662</v>
      </c>
      <c r="C599" s="755">
        <v>6450000</v>
      </c>
      <c r="D599" s="756">
        <v>44069.398773148103</v>
      </c>
      <c r="E599" s="754" t="s">
        <v>4826</v>
      </c>
      <c r="F599" s="757">
        <v>20201</v>
      </c>
    </row>
    <row r="600" spans="1:6" x14ac:dyDescent="0.2">
      <c r="A600" s="753">
        <v>203206060017</v>
      </c>
      <c r="B600" s="754" t="s">
        <v>2664</v>
      </c>
      <c r="C600" s="755">
        <v>6450000</v>
      </c>
      <c r="D600" s="756">
        <v>44071.521226851903</v>
      </c>
      <c r="E600" s="754" t="s">
        <v>4826</v>
      </c>
      <c r="F600" s="757">
        <v>20201</v>
      </c>
    </row>
    <row r="601" spans="1:6" x14ac:dyDescent="0.2">
      <c r="A601" s="753">
        <v>203206060018</v>
      </c>
      <c r="B601" s="754" t="s">
        <v>2665</v>
      </c>
      <c r="C601" s="755">
        <v>6450000</v>
      </c>
      <c r="D601" s="756">
        <v>44070.485127314802</v>
      </c>
      <c r="E601" s="754" t="s">
        <v>4826</v>
      </c>
      <c r="F601" s="757">
        <v>20201</v>
      </c>
    </row>
    <row r="602" spans="1:6" x14ac:dyDescent="0.2">
      <c r="A602" s="753">
        <v>203206060019</v>
      </c>
      <c r="B602" s="754" t="s">
        <v>2666</v>
      </c>
      <c r="C602" s="755">
        <v>6450000</v>
      </c>
      <c r="D602" s="756">
        <v>44068.394756944399</v>
      </c>
      <c r="E602" s="754" t="s">
        <v>4826</v>
      </c>
      <c r="F602" s="757">
        <v>20201</v>
      </c>
    </row>
    <row r="603" spans="1:6" x14ac:dyDescent="0.2">
      <c r="A603" s="753">
        <v>203206060020</v>
      </c>
      <c r="B603" s="754" t="s">
        <v>2668</v>
      </c>
      <c r="C603" s="755">
        <v>6450000</v>
      </c>
      <c r="D603" s="756">
        <v>44071.512673611098</v>
      </c>
      <c r="E603" s="754" t="s">
        <v>4826</v>
      </c>
      <c r="F603" s="757">
        <v>20201</v>
      </c>
    </row>
    <row r="604" spans="1:6" x14ac:dyDescent="0.2">
      <c r="A604" s="753">
        <v>203206060021</v>
      </c>
      <c r="B604" s="754" t="s">
        <v>2669</v>
      </c>
      <c r="C604" s="755">
        <v>6450000</v>
      </c>
      <c r="D604" s="756">
        <v>44072.156863425902</v>
      </c>
      <c r="E604" s="754" t="s">
        <v>4826</v>
      </c>
      <c r="F604" s="757">
        <v>20201</v>
      </c>
    </row>
    <row r="605" spans="1:6" x14ac:dyDescent="0.2">
      <c r="A605" s="753">
        <v>203206060022</v>
      </c>
      <c r="B605" s="754" t="s">
        <v>2670</v>
      </c>
      <c r="C605" s="755">
        <v>6450000</v>
      </c>
      <c r="D605" s="756">
        <v>44070.379733796297</v>
      </c>
      <c r="E605" s="754" t="s">
        <v>4826</v>
      </c>
      <c r="F605" s="757">
        <v>20201</v>
      </c>
    </row>
    <row r="606" spans="1:6" x14ac:dyDescent="0.2">
      <c r="A606" s="753">
        <v>203206060023</v>
      </c>
      <c r="B606" s="754" t="s">
        <v>2671</v>
      </c>
      <c r="C606" s="755">
        <v>6450000</v>
      </c>
      <c r="D606" s="756">
        <v>44071.465057870402</v>
      </c>
      <c r="E606" s="754" t="s">
        <v>4826</v>
      </c>
      <c r="F606" s="757">
        <v>20201</v>
      </c>
    </row>
    <row r="607" spans="1:6" x14ac:dyDescent="0.2">
      <c r="A607" s="753">
        <v>203206060024</v>
      </c>
      <c r="B607" s="754" t="s">
        <v>2672</v>
      </c>
      <c r="C607" s="755">
        <v>6450000</v>
      </c>
      <c r="D607" s="756">
        <v>44071.440034722204</v>
      </c>
      <c r="E607" s="754" t="s">
        <v>4826</v>
      </c>
      <c r="F607" s="757">
        <v>20201</v>
      </c>
    </row>
    <row r="608" spans="1:6" x14ac:dyDescent="0.2">
      <c r="A608" s="753">
        <v>203206060025</v>
      </c>
      <c r="B608" s="754" t="s">
        <v>2673</v>
      </c>
      <c r="C608" s="755">
        <v>6450000</v>
      </c>
      <c r="D608" s="756">
        <v>44070.426388888904</v>
      </c>
      <c r="E608" s="754" t="s">
        <v>4826</v>
      </c>
      <c r="F608" s="757">
        <v>20201</v>
      </c>
    </row>
    <row r="609" spans="1:6" x14ac:dyDescent="0.2">
      <c r="A609" s="753">
        <v>203206060026</v>
      </c>
      <c r="B609" s="754" t="s">
        <v>2674</v>
      </c>
      <c r="C609" s="755">
        <v>6450000</v>
      </c>
      <c r="D609" s="756">
        <v>44070.714259259301</v>
      </c>
      <c r="E609" s="754" t="s">
        <v>4826</v>
      </c>
      <c r="F609" s="757">
        <v>20201</v>
      </c>
    </row>
    <row r="610" spans="1:6" x14ac:dyDescent="0.2">
      <c r="A610" s="753">
        <v>203206060027</v>
      </c>
      <c r="B610" s="754" t="s">
        <v>2675</v>
      </c>
      <c r="C610" s="755">
        <v>6450000</v>
      </c>
      <c r="D610" s="756">
        <v>44070.855428240699</v>
      </c>
      <c r="E610" s="754" t="s">
        <v>4826</v>
      </c>
      <c r="F610" s="757">
        <v>20201</v>
      </c>
    </row>
    <row r="611" spans="1:6" x14ac:dyDescent="0.2">
      <c r="A611" s="753">
        <v>203206060028</v>
      </c>
      <c r="B611" s="754" t="s">
        <v>2676</v>
      </c>
      <c r="C611" s="755">
        <v>6450000</v>
      </c>
      <c r="D611" s="756">
        <v>44071.449872685203</v>
      </c>
      <c r="E611" s="754" t="s">
        <v>4826</v>
      </c>
      <c r="F611" s="757">
        <v>20201</v>
      </c>
    </row>
    <row r="612" spans="1:6" x14ac:dyDescent="0.2">
      <c r="A612" s="753">
        <v>203206060029</v>
      </c>
      <c r="B612" s="754" t="s">
        <v>2677</v>
      </c>
      <c r="C612" s="755">
        <v>6450000</v>
      </c>
      <c r="D612" s="756">
        <v>44070.390104166698</v>
      </c>
      <c r="E612" s="754" t="s">
        <v>4826</v>
      </c>
      <c r="F612" s="757">
        <v>20201</v>
      </c>
    </row>
    <row r="613" spans="1:6" x14ac:dyDescent="0.2">
      <c r="A613" s="753">
        <v>203206060031</v>
      </c>
      <c r="B613" s="754" t="s">
        <v>2667</v>
      </c>
      <c r="C613" s="755">
        <v>6450000</v>
      </c>
      <c r="D613" s="756">
        <v>44077.599074074104</v>
      </c>
      <c r="E613" s="754" t="s">
        <v>4826</v>
      </c>
      <c r="F613" s="757">
        <v>20201</v>
      </c>
    </row>
    <row r="614" spans="1:6" x14ac:dyDescent="0.2">
      <c r="A614" s="753">
        <v>203206070001</v>
      </c>
      <c r="B614" s="754" t="s">
        <v>2738</v>
      </c>
      <c r="C614" s="755">
        <v>6450000</v>
      </c>
      <c r="D614" s="756">
        <v>44071.379270833299</v>
      </c>
      <c r="E614" s="754" t="s">
        <v>4824</v>
      </c>
      <c r="F614" s="757">
        <v>20201</v>
      </c>
    </row>
    <row r="615" spans="1:6" x14ac:dyDescent="0.2">
      <c r="A615" s="753">
        <v>203206070002</v>
      </c>
      <c r="B615" s="754" t="s">
        <v>2740</v>
      </c>
      <c r="C615" s="755">
        <v>6450000</v>
      </c>
      <c r="D615" s="756">
        <v>44071.5721990741</v>
      </c>
      <c r="E615" s="754" t="s">
        <v>4824</v>
      </c>
      <c r="F615" s="757">
        <v>20201</v>
      </c>
    </row>
    <row r="616" spans="1:6" x14ac:dyDescent="0.2">
      <c r="A616" s="753">
        <v>203206070003</v>
      </c>
      <c r="B616" s="754" t="s">
        <v>2741</v>
      </c>
      <c r="C616" s="755">
        <v>6450000</v>
      </c>
      <c r="D616" s="756">
        <v>44071.7801273148</v>
      </c>
      <c r="E616" s="754" t="s">
        <v>4824</v>
      </c>
      <c r="F616" s="757">
        <v>20201</v>
      </c>
    </row>
    <row r="617" spans="1:6" x14ac:dyDescent="0.2">
      <c r="A617" s="753">
        <v>203206070004</v>
      </c>
      <c r="B617" s="754" t="s">
        <v>2742</v>
      </c>
      <c r="C617" s="755">
        <v>6450000</v>
      </c>
      <c r="D617" s="756">
        <v>44071.350717592599</v>
      </c>
      <c r="E617" s="754" t="s">
        <v>4824</v>
      </c>
      <c r="F617" s="757">
        <v>20201</v>
      </c>
    </row>
    <row r="618" spans="1:6" x14ac:dyDescent="0.2">
      <c r="A618" s="753">
        <v>203206070005</v>
      </c>
      <c r="B618" s="754" t="s">
        <v>2743</v>
      </c>
      <c r="C618" s="755">
        <v>6450000</v>
      </c>
      <c r="D618" s="756">
        <v>44070.840335648201</v>
      </c>
      <c r="E618" s="754" t="s">
        <v>4824</v>
      </c>
      <c r="F618" s="757">
        <v>20201</v>
      </c>
    </row>
    <row r="619" spans="1:6" x14ac:dyDescent="0.2">
      <c r="A619" s="753">
        <v>203206070006</v>
      </c>
      <c r="B619" s="754" t="s">
        <v>2744</v>
      </c>
      <c r="C619" s="755">
        <v>6450000</v>
      </c>
      <c r="D619" s="756">
        <v>44069.887037036999</v>
      </c>
      <c r="E619" s="754" t="s">
        <v>4824</v>
      </c>
      <c r="F619" s="757">
        <v>20201</v>
      </c>
    </row>
    <row r="620" spans="1:6" x14ac:dyDescent="0.2">
      <c r="A620" s="753">
        <v>203206070007</v>
      </c>
      <c r="B620" s="754" t="s">
        <v>2745</v>
      </c>
      <c r="C620" s="755">
        <v>6450000</v>
      </c>
      <c r="D620" s="756">
        <v>44071.652824074103</v>
      </c>
      <c r="E620" s="754" t="s">
        <v>4824</v>
      </c>
      <c r="F620" s="757">
        <v>20201</v>
      </c>
    </row>
    <row r="621" spans="1:6" x14ac:dyDescent="0.2">
      <c r="A621" s="753">
        <v>203206070008</v>
      </c>
      <c r="B621" s="754" t="s">
        <v>2746</v>
      </c>
      <c r="C621" s="755">
        <v>6450000</v>
      </c>
      <c r="D621" s="756">
        <v>44071.5076736111</v>
      </c>
      <c r="E621" s="754" t="s">
        <v>4824</v>
      </c>
      <c r="F621" s="757">
        <v>20201</v>
      </c>
    </row>
    <row r="622" spans="1:6" x14ac:dyDescent="0.2">
      <c r="A622" s="753">
        <v>203206080001</v>
      </c>
      <c r="B622" s="754" t="s">
        <v>4856</v>
      </c>
      <c r="C622" s="755">
        <v>6450000</v>
      </c>
      <c r="D622" s="756">
        <v>44071.387280092596</v>
      </c>
      <c r="E622" s="754" t="s">
        <v>4836</v>
      </c>
      <c r="F622" s="757">
        <v>20201</v>
      </c>
    </row>
    <row r="623" spans="1:6" x14ac:dyDescent="0.2">
      <c r="A623" s="753">
        <v>203206080002</v>
      </c>
      <c r="B623" s="754" t="s">
        <v>2765</v>
      </c>
      <c r="C623" s="755">
        <v>6450000</v>
      </c>
      <c r="D623" s="756">
        <v>44071.333287037</v>
      </c>
      <c r="E623" s="754" t="s">
        <v>4836</v>
      </c>
      <c r="F623" s="757">
        <v>20201</v>
      </c>
    </row>
    <row r="624" spans="1:6" x14ac:dyDescent="0.2">
      <c r="A624" s="753">
        <v>203206080003</v>
      </c>
      <c r="B624" s="754" t="s">
        <v>2766</v>
      </c>
      <c r="C624" s="755">
        <v>6450000</v>
      </c>
      <c r="D624" s="756">
        <v>44071.927916666697</v>
      </c>
      <c r="E624" s="754" t="s">
        <v>4836</v>
      </c>
      <c r="F624" s="757">
        <v>20201</v>
      </c>
    </row>
    <row r="625" spans="1:6" x14ac:dyDescent="0.2">
      <c r="A625" s="753">
        <v>203206080004</v>
      </c>
      <c r="B625" s="754" t="s">
        <v>2768</v>
      </c>
      <c r="C625" s="755">
        <v>6450000</v>
      </c>
      <c r="D625" s="756">
        <v>44070.415416666699</v>
      </c>
      <c r="E625" s="754" t="s">
        <v>4836</v>
      </c>
      <c r="F625" s="757">
        <v>20201</v>
      </c>
    </row>
    <row r="626" spans="1:6" x14ac:dyDescent="0.2">
      <c r="A626" s="753">
        <v>203206080005</v>
      </c>
      <c r="B626" s="754" t="s">
        <v>2769</v>
      </c>
      <c r="C626" s="755">
        <v>6450000</v>
      </c>
      <c r="D626" s="756">
        <v>44071.466574074097</v>
      </c>
      <c r="E626" s="754" t="s">
        <v>4836</v>
      </c>
      <c r="F626" s="757">
        <v>20201</v>
      </c>
    </row>
    <row r="627" spans="1:6" x14ac:dyDescent="0.2">
      <c r="A627" s="753">
        <v>203206080006</v>
      </c>
      <c r="B627" s="754" t="s">
        <v>2770</v>
      </c>
      <c r="C627" s="755">
        <v>6450000</v>
      </c>
      <c r="D627" s="756">
        <v>44069.436203703699</v>
      </c>
      <c r="E627" s="754" t="s">
        <v>4836</v>
      </c>
      <c r="F627" s="757">
        <v>20201</v>
      </c>
    </row>
    <row r="628" spans="1:6" x14ac:dyDescent="0.2">
      <c r="A628" s="753">
        <v>203206080007</v>
      </c>
      <c r="B628" s="754" t="s">
        <v>2771</v>
      </c>
      <c r="C628" s="755">
        <v>6450000</v>
      </c>
      <c r="D628" s="756">
        <v>44071.3725694444</v>
      </c>
      <c r="E628" s="754" t="s">
        <v>4836</v>
      </c>
      <c r="F628" s="757">
        <v>20201</v>
      </c>
    </row>
    <row r="629" spans="1:6" x14ac:dyDescent="0.2">
      <c r="A629" s="753">
        <v>203206080008</v>
      </c>
      <c r="B629" s="754" t="s">
        <v>2772</v>
      </c>
      <c r="C629" s="755">
        <v>6450000</v>
      </c>
      <c r="D629" s="756">
        <v>44071.561585648102</v>
      </c>
      <c r="E629" s="754" t="s">
        <v>4836</v>
      </c>
      <c r="F629" s="757">
        <v>20201</v>
      </c>
    </row>
    <row r="630" spans="1:6" x14ac:dyDescent="0.2">
      <c r="A630" s="753">
        <v>203206080009</v>
      </c>
      <c r="B630" s="754" t="s">
        <v>2773</v>
      </c>
      <c r="C630" s="755">
        <v>6450000</v>
      </c>
      <c r="D630" s="756">
        <v>44070.377233796302</v>
      </c>
      <c r="E630" s="754" t="s">
        <v>4836</v>
      </c>
      <c r="F630" s="757">
        <v>20201</v>
      </c>
    </row>
    <row r="631" spans="1:6" x14ac:dyDescent="0.2">
      <c r="A631" s="753">
        <v>203206080010</v>
      </c>
      <c r="B631" s="754" t="s">
        <v>2774</v>
      </c>
      <c r="C631" s="755">
        <v>6450000</v>
      </c>
      <c r="D631" s="756">
        <v>44071.423391203702</v>
      </c>
      <c r="E631" s="754" t="s">
        <v>4836</v>
      </c>
      <c r="F631" s="757">
        <v>20201</v>
      </c>
    </row>
    <row r="632" spans="1:6" x14ac:dyDescent="0.2">
      <c r="A632" s="753">
        <v>203206080011</v>
      </c>
      <c r="B632" s="754" t="s">
        <v>2775</v>
      </c>
      <c r="C632" s="755">
        <v>6450000</v>
      </c>
      <c r="D632" s="756">
        <v>44070.344259259298</v>
      </c>
      <c r="E632" s="754" t="s">
        <v>4836</v>
      </c>
      <c r="F632" s="757">
        <v>20201</v>
      </c>
    </row>
    <row r="633" spans="1:6" x14ac:dyDescent="0.2">
      <c r="A633" s="753">
        <v>203206080012</v>
      </c>
      <c r="B633" s="754" t="s">
        <v>2767</v>
      </c>
      <c r="C633" s="755">
        <v>6450000</v>
      </c>
      <c r="D633" s="756">
        <v>44077.336620370399</v>
      </c>
      <c r="E633" s="754" t="s">
        <v>4836</v>
      </c>
      <c r="F633" s="757">
        <v>20201</v>
      </c>
    </row>
    <row r="634" spans="1:6" x14ac:dyDescent="0.2">
      <c r="A634" s="753">
        <v>203206080013</v>
      </c>
      <c r="B634" s="754" t="s">
        <v>2776</v>
      </c>
      <c r="C634" s="755">
        <v>6450000</v>
      </c>
      <c r="D634" s="756">
        <v>44077.623553240701</v>
      </c>
      <c r="E634" s="754" t="s">
        <v>4836</v>
      </c>
      <c r="F634" s="757">
        <v>20201</v>
      </c>
    </row>
    <row r="635" spans="1:6" x14ac:dyDescent="0.2">
      <c r="A635" s="753">
        <v>204206040001</v>
      </c>
      <c r="B635" s="754" t="s">
        <v>4857</v>
      </c>
      <c r="C635" s="755">
        <v>6450000</v>
      </c>
      <c r="D635" s="756">
        <v>44077.582662036999</v>
      </c>
      <c r="E635" s="754" t="s">
        <v>4829</v>
      </c>
      <c r="F635" s="757">
        <v>20201</v>
      </c>
    </row>
    <row r="636" spans="1:6" x14ac:dyDescent="0.2">
      <c r="A636" s="753">
        <v>204206070001</v>
      </c>
      <c r="B636" s="754" t="s">
        <v>4858</v>
      </c>
      <c r="C636" s="755">
        <v>6450000</v>
      </c>
      <c r="D636" s="756">
        <v>44080.196956018503</v>
      </c>
      <c r="E636" s="754" t="s">
        <v>4824</v>
      </c>
      <c r="F636" s="757">
        <v>20201</v>
      </c>
    </row>
    <row r="637" spans="1:6" x14ac:dyDescent="0.2">
      <c r="A637" s="753">
        <v>204206080001</v>
      </c>
      <c r="B637" s="754" t="s">
        <v>4859</v>
      </c>
      <c r="C637" s="755">
        <v>6450000</v>
      </c>
      <c r="D637" s="756">
        <v>44077.480046296303</v>
      </c>
      <c r="E637" s="754" t="s">
        <v>4836</v>
      </c>
      <c r="F637" s="757">
        <v>20201</v>
      </c>
    </row>
    <row r="638" spans="1:6" x14ac:dyDescent="0.2">
      <c r="A638" s="753">
        <v>204206080002</v>
      </c>
      <c r="B638" s="754" t="s">
        <v>2778</v>
      </c>
      <c r="C638" s="755">
        <v>6450000</v>
      </c>
      <c r="D638" s="756">
        <v>44079.852615740703</v>
      </c>
      <c r="E638" s="754" t="s">
        <v>4836</v>
      </c>
      <c r="F638" s="757">
        <v>20201</v>
      </c>
    </row>
    <row r="639" spans="1:6" x14ac:dyDescent="0.2">
      <c r="A639" s="753">
        <v>204206080003</v>
      </c>
      <c r="B639" s="754" t="s">
        <v>4860</v>
      </c>
      <c r="C639" s="755">
        <v>6450000</v>
      </c>
      <c r="D639" s="756">
        <v>44079.702835648102</v>
      </c>
      <c r="E639" s="754" t="s">
        <v>4836</v>
      </c>
      <c r="F639" s="757">
        <v>20201</v>
      </c>
    </row>
    <row r="640" spans="1:6" x14ac:dyDescent="0.2">
      <c r="A640" s="753">
        <v>204206080004</v>
      </c>
      <c r="B640" s="754" t="s">
        <v>2780</v>
      </c>
      <c r="C640" s="755">
        <v>6450000</v>
      </c>
      <c r="D640" s="756">
        <v>44079.846655092602</v>
      </c>
      <c r="E640" s="754" t="s">
        <v>4836</v>
      </c>
      <c r="F640" s="757">
        <v>20201</v>
      </c>
    </row>
    <row r="641" spans="1:6" x14ac:dyDescent="0.2">
      <c r="A641" s="753">
        <v>203206020014</v>
      </c>
      <c r="B641" s="754" t="s">
        <v>2638</v>
      </c>
      <c r="C641" s="755">
        <v>6450000</v>
      </c>
      <c r="D641" s="756">
        <v>44070.805532407401</v>
      </c>
      <c r="E641" s="754" t="s">
        <v>4822</v>
      </c>
      <c r="F641" s="757">
        <v>20201</v>
      </c>
    </row>
    <row r="642" spans="1:6" x14ac:dyDescent="0.2">
      <c r="A642" s="753">
        <v>203206020016</v>
      </c>
      <c r="B642" s="754" t="s">
        <v>2640</v>
      </c>
      <c r="C642" s="755">
        <v>6450000</v>
      </c>
      <c r="D642" s="756">
        <v>44070.828761574099</v>
      </c>
      <c r="E642" s="754" t="s">
        <v>4822</v>
      </c>
      <c r="F642" s="757">
        <v>20201</v>
      </c>
    </row>
    <row r="643" spans="1:6" x14ac:dyDescent="0.2">
      <c r="A643" s="753">
        <v>203206020017</v>
      </c>
      <c r="B643" s="754" t="s">
        <v>2641</v>
      </c>
      <c r="C643" s="755">
        <v>6450000</v>
      </c>
      <c r="D643" s="756">
        <v>44071.345393518503</v>
      </c>
      <c r="E643" s="754" t="s">
        <v>4822</v>
      </c>
      <c r="F643" s="757">
        <v>20201</v>
      </c>
    </row>
    <row r="644" spans="1:6" x14ac:dyDescent="0.2">
      <c r="A644" s="753">
        <v>203206020018</v>
      </c>
      <c r="B644" s="754" t="s">
        <v>2642</v>
      </c>
      <c r="C644" s="755">
        <v>6450000</v>
      </c>
      <c r="D644" s="756">
        <v>44070.869039351899</v>
      </c>
      <c r="E644" s="754" t="s">
        <v>4822</v>
      </c>
      <c r="F644" s="757">
        <v>20201</v>
      </c>
    </row>
    <row r="645" spans="1:6" x14ac:dyDescent="0.2">
      <c r="A645" s="753">
        <v>203206020019</v>
      </c>
      <c r="B645" s="754" t="s">
        <v>2643</v>
      </c>
      <c r="C645" s="755">
        <v>6450000</v>
      </c>
      <c r="D645" s="756">
        <v>44077.583275463003</v>
      </c>
      <c r="E645" s="754" t="s">
        <v>4822</v>
      </c>
      <c r="F645" s="757">
        <v>20201</v>
      </c>
    </row>
    <row r="646" spans="1:6" x14ac:dyDescent="0.2">
      <c r="A646" s="753">
        <v>203206020020</v>
      </c>
      <c r="B646" s="754" t="s">
        <v>2644</v>
      </c>
      <c r="C646" s="755">
        <v>6450000</v>
      </c>
      <c r="D646" s="756">
        <v>44079.877476851798</v>
      </c>
      <c r="E646" s="754" t="s">
        <v>4822</v>
      </c>
      <c r="F646" s="757">
        <v>20201</v>
      </c>
    </row>
    <row r="647" spans="1:6" x14ac:dyDescent="0.2">
      <c r="A647" s="753">
        <v>203206030001</v>
      </c>
      <c r="B647" s="754" t="s">
        <v>2680</v>
      </c>
      <c r="C647" s="755">
        <v>6450000</v>
      </c>
      <c r="D647" s="756">
        <v>44068.558136574102</v>
      </c>
      <c r="E647" s="754" t="s">
        <v>4821</v>
      </c>
      <c r="F647" s="757">
        <v>20201</v>
      </c>
    </row>
    <row r="648" spans="1:6" x14ac:dyDescent="0.2">
      <c r="A648" s="753">
        <v>203206030002</v>
      </c>
      <c r="B648" s="754" t="s">
        <v>2683</v>
      </c>
      <c r="C648" s="755">
        <v>6450000</v>
      </c>
      <c r="D648" s="756">
        <v>44071.553252314799</v>
      </c>
      <c r="E648" s="754" t="s">
        <v>4821</v>
      </c>
      <c r="F648" s="757">
        <v>20201</v>
      </c>
    </row>
    <row r="649" spans="1:6" x14ac:dyDescent="0.2">
      <c r="A649" s="753">
        <v>203206030003</v>
      </c>
      <c r="B649" s="754" t="s">
        <v>2684</v>
      </c>
      <c r="C649" s="755">
        <v>6450000</v>
      </c>
      <c r="D649" s="756">
        <v>44071.594178240703</v>
      </c>
      <c r="E649" s="754" t="s">
        <v>4821</v>
      </c>
      <c r="F649" s="757">
        <v>20201</v>
      </c>
    </row>
    <row r="650" spans="1:6" x14ac:dyDescent="0.2">
      <c r="A650" s="753">
        <v>203206030004</v>
      </c>
      <c r="B650" s="754" t="s">
        <v>2685</v>
      </c>
      <c r="C650" s="755">
        <v>6450000</v>
      </c>
      <c r="D650" s="756">
        <v>44068.457060185203</v>
      </c>
      <c r="E650" s="754" t="s">
        <v>4821</v>
      </c>
      <c r="F650" s="757">
        <v>20201</v>
      </c>
    </row>
    <row r="651" spans="1:6" x14ac:dyDescent="0.2">
      <c r="A651" s="753">
        <v>203206030005</v>
      </c>
      <c r="B651" s="754" t="s">
        <v>2686</v>
      </c>
      <c r="C651" s="755">
        <v>6450000</v>
      </c>
      <c r="D651" s="756">
        <v>44070.639756944402</v>
      </c>
      <c r="E651" s="754" t="s">
        <v>4821</v>
      </c>
      <c r="F651" s="757">
        <v>20201</v>
      </c>
    </row>
    <row r="652" spans="1:6" x14ac:dyDescent="0.2">
      <c r="A652" s="753">
        <v>203206030006</v>
      </c>
      <c r="B652" s="754" t="s">
        <v>2687</v>
      </c>
      <c r="C652" s="755">
        <v>6450000</v>
      </c>
      <c r="D652" s="756">
        <v>44071.764016203699</v>
      </c>
      <c r="E652" s="754" t="s">
        <v>4821</v>
      </c>
      <c r="F652" s="757">
        <v>20201</v>
      </c>
    </row>
    <row r="653" spans="1:6" x14ac:dyDescent="0.2">
      <c r="A653" s="753">
        <v>203206030007</v>
      </c>
      <c r="B653" s="754" t="s">
        <v>2688</v>
      </c>
      <c r="C653" s="755">
        <v>6450000</v>
      </c>
      <c r="D653" s="756">
        <v>44067.611643518503</v>
      </c>
      <c r="E653" s="754" t="s">
        <v>4821</v>
      </c>
      <c r="F653" s="757">
        <v>20201</v>
      </c>
    </row>
    <row r="654" spans="1:6" x14ac:dyDescent="0.2">
      <c r="A654" s="753">
        <v>203206030008</v>
      </c>
      <c r="B654" s="754" t="s">
        <v>2689</v>
      </c>
      <c r="C654" s="755">
        <v>6450000</v>
      </c>
      <c r="D654" s="756">
        <v>44071.5961342593</v>
      </c>
      <c r="E654" s="754" t="s">
        <v>4821</v>
      </c>
      <c r="F654" s="757">
        <v>20201</v>
      </c>
    </row>
    <row r="655" spans="1:6" x14ac:dyDescent="0.2">
      <c r="A655" s="753">
        <v>203206030009</v>
      </c>
      <c r="B655" s="754" t="s">
        <v>2690</v>
      </c>
      <c r="C655" s="755">
        <v>6450000</v>
      </c>
      <c r="D655" s="756">
        <v>44071.350381944401</v>
      </c>
      <c r="E655" s="754" t="s">
        <v>4821</v>
      </c>
      <c r="F655" s="757">
        <v>20201</v>
      </c>
    </row>
    <row r="656" spans="1:6" x14ac:dyDescent="0.2">
      <c r="A656" s="753">
        <v>203206030010</v>
      </c>
      <c r="B656" s="754" t="s">
        <v>2691</v>
      </c>
      <c r="C656" s="755">
        <v>6450000</v>
      </c>
      <c r="D656" s="756">
        <v>44071.561550925901</v>
      </c>
      <c r="E656" s="754" t="s">
        <v>4821</v>
      </c>
      <c r="F656" s="757">
        <v>20201</v>
      </c>
    </row>
    <row r="657" spans="1:6" x14ac:dyDescent="0.2">
      <c r="A657" s="753">
        <v>203206030011</v>
      </c>
      <c r="B657" s="754" t="s">
        <v>2692</v>
      </c>
      <c r="C657" s="755">
        <v>6450000</v>
      </c>
      <c r="D657" s="756">
        <v>44070.499398148102</v>
      </c>
      <c r="E657" s="754" t="s">
        <v>4821</v>
      </c>
      <c r="F657" s="757">
        <v>20201</v>
      </c>
    </row>
    <row r="658" spans="1:6" x14ac:dyDescent="0.2">
      <c r="A658" s="753">
        <v>203206030012</v>
      </c>
      <c r="B658" s="754" t="s">
        <v>2693</v>
      </c>
      <c r="C658" s="755">
        <v>6450000</v>
      </c>
      <c r="D658" s="756">
        <v>44071.418935185196</v>
      </c>
      <c r="E658" s="754" t="s">
        <v>4821</v>
      </c>
      <c r="F658" s="757">
        <v>20201</v>
      </c>
    </row>
    <row r="659" spans="1:6" x14ac:dyDescent="0.2">
      <c r="A659" s="753">
        <v>203206030013</v>
      </c>
      <c r="B659" s="754" t="s">
        <v>2695</v>
      </c>
      <c r="C659" s="755">
        <v>6450000</v>
      </c>
      <c r="D659" s="756">
        <v>44069.576354166697</v>
      </c>
      <c r="E659" s="754" t="s">
        <v>4821</v>
      </c>
      <c r="F659" s="757">
        <v>20201</v>
      </c>
    </row>
    <row r="660" spans="1:6" x14ac:dyDescent="0.2">
      <c r="A660" s="753">
        <v>203206030014</v>
      </c>
      <c r="B660" s="754" t="s">
        <v>2696</v>
      </c>
      <c r="C660" s="755">
        <v>6450000</v>
      </c>
      <c r="D660" s="756">
        <v>44070.556030092601</v>
      </c>
      <c r="E660" s="754" t="s">
        <v>4821</v>
      </c>
      <c r="F660" s="757">
        <v>20201</v>
      </c>
    </row>
    <row r="661" spans="1:6" x14ac:dyDescent="0.2">
      <c r="A661" s="753">
        <v>203206030015</v>
      </c>
      <c r="B661" s="754" t="s">
        <v>2697</v>
      </c>
      <c r="C661" s="755">
        <v>6450000</v>
      </c>
      <c r="D661" s="756">
        <v>44070.349305555603</v>
      </c>
      <c r="E661" s="754" t="s">
        <v>4821</v>
      </c>
      <c r="F661" s="757">
        <v>20201</v>
      </c>
    </row>
    <row r="662" spans="1:6" x14ac:dyDescent="0.2">
      <c r="A662" s="753">
        <v>203206030016</v>
      </c>
      <c r="B662" s="754" t="s">
        <v>2698</v>
      </c>
      <c r="C662" s="755">
        <v>6450000</v>
      </c>
      <c r="D662" s="756">
        <v>44070.606435185196</v>
      </c>
      <c r="E662" s="754" t="s">
        <v>4821</v>
      </c>
      <c r="F662" s="757">
        <v>20201</v>
      </c>
    </row>
    <row r="663" spans="1:6" x14ac:dyDescent="0.2">
      <c r="A663" s="753">
        <v>203206030017</v>
      </c>
      <c r="B663" s="754" t="s">
        <v>2699</v>
      </c>
      <c r="C663" s="755">
        <v>6450000</v>
      </c>
      <c r="D663" s="756">
        <v>44071.614305555602</v>
      </c>
      <c r="E663" s="754" t="s">
        <v>4821</v>
      </c>
      <c r="F663" s="757">
        <v>20201</v>
      </c>
    </row>
    <row r="664" spans="1:6" x14ac:dyDescent="0.2">
      <c r="A664" s="753">
        <v>203206030018</v>
      </c>
      <c r="B664" s="754" t="s">
        <v>2700</v>
      </c>
      <c r="C664" s="755">
        <v>6450000</v>
      </c>
      <c r="D664" s="756">
        <v>44071.524490740703</v>
      </c>
      <c r="E664" s="754" t="s">
        <v>4821</v>
      </c>
      <c r="F664" s="757">
        <v>20201</v>
      </c>
    </row>
    <row r="665" spans="1:6" x14ac:dyDescent="0.2">
      <c r="A665" s="753">
        <v>203206030019</v>
      </c>
      <c r="B665" s="754" t="s">
        <v>2701</v>
      </c>
      <c r="C665" s="755">
        <v>6450000</v>
      </c>
      <c r="D665" s="756">
        <v>44071.394710648201</v>
      </c>
      <c r="E665" s="754" t="s">
        <v>4821</v>
      </c>
      <c r="F665" s="757">
        <v>20201</v>
      </c>
    </row>
    <row r="666" spans="1:6" x14ac:dyDescent="0.2">
      <c r="A666" s="753">
        <v>203206030020</v>
      </c>
      <c r="B666" s="754" t="s">
        <v>2702</v>
      </c>
      <c r="C666" s="755">
        <v>6450000</v>
      </c>
      <c r="D666" s="756">
        <v>44068.414270833302</v>
      </c>
      <c r="E666" s="754" t="s">
        <v>4821</v>
      </c>
      <c r="F666" s="757">
        <v>20201</v>
      </c>
    </row>
    <row r="667" spans="1:6" x14ac:dyDescent="0.2">
      <c r="A667" s="753">
        <v>203206030021</v>
      </c>
      <c r="B667" s="754" t="s">
        <v>2703</v>
      </c>
      <c r="C667" s="755">
        <v>6450000</v>
      </c>
      <c r="D667" s="756">
        <v>44070.390023148102</v>
      </c>
      <c r="E667" s="754" t="s">
        <v>4821</v>
      </c>
      <c r="F667" s="757">
        <v>20201</v>
      </c>
    </row>
    <row r="668" spans="1:6" x14ac:dyDescent="0.2">
      <c r="A668" s="753">
        <v>203206030022</v>
      </c>
      <c r="B668" s="754" t="s">
        <v>2704</v>
      </c>
      <c r="C668" s="755">
        <v>6450000</v>
      </c>
      <c r="D668" s="756">
        <v>44071.394375000003</v>
      </c>
      <c r="E668" s="754" t="s">
        <v>4821</v>
      </c>
      <c r="F668" s="757">
        <v>20201</v>
      </c>
    </row>
    <row r="669" spans="1:6" x14ac:dyDescent="0.2">
      <c r="A669" s="753">
        <v>203206030023</v>
      </c>
      <c r="B669" s="754" t="s">
        <v>2705</v>
      </c>
      <c r="C669" s="755">
        <v>6450000</v>
      </c>
      <c r="D669" s="756">
        <v>44070.373657407399</v>
      </c>
      <c r="E669" s="754" t="s">
        <v>4821</v>
      </c>
      <c r="F669" s="757">
        <v>20201</v>
      </c>
    </row>
    <row r="670" spans="1:6" x14ac:dyDescent="0.2">
      <c r="A670" s="753">
        <v>203206030024</v>
      </c>
      <c r="B670" s="754" t="s">
        <v>2706</v>
      </c>
      <c r="C670" s="755">
        <v>6450000</v>
      </c>
      <c r="D670" s="756">
        <v>44071.355891203697</v>
      </c>
      <c r="E670" s="754" t="s">
        <v>4821</v>
      </c>
      <c r="F670" s="757">
        <v>20201</v>
      </c>
    </row>
    <row r="671" spans="1:6" x14ac:dyDescent="0.2">
      <c r="A671" s="753">
        <v>203206030025</v>
      </c>
      <c r="B671" s="754" t="s">
        <v>2707</v>
      </c>
      <c r="C671" s="755">
        <v>6450000</v>
      </c>
      <c r="D671" s="756">
        <v>44069.4594560185</v>
      </c>
      <c r="E671" s="754" t="s">
        <v>4821</v>
      </c>
      <c r="F671" s="757">
        <v>20201</v>
      </c>
    </row>
    <row r="672" spans="1:6" x14ac:dyDescent="0.2">
      <c r="A672" s="753">
        <v>203206030026</v>
      </c>
      <c r="B672" s="754" t="s">
        <v>2708</v>
      </c>
      <c r="C672" s="755">
        <v>6450000</v>
      </c>
      <c r="D672" s="756">
        <v>44069.467453703699</v>
      </c>
      <c r="E672" s="754" t="s">
        <v>4821</v>
      </c>
      <c r="F672" s="757">
        <v>20201</v>
      </c>
    </row>
    <row r="673" spans="1:6" x14ac:dyDescent="0.2">
      <c r="A673" s="753">
        <v>203206030027</v>
      </c>
      <c r="B673" s="754" t="s">
        <v>2709</v>
      </c>
      <c r="C673" s="755">
        <v>6450000</v>
      </c>
      <c r="D673" s="756">
        <v>44070.5916782407</v>
      </c>
      <c r="E673" s="754" t="s">
        <v>4821</v>
      </c>
      <c r="F673" s="757">
        <v>20201</v>
      </c>
    </row>
    <row r="674" spans="1:6" x14ac:dyDescent="0.2">
      <c r="A674" s="753">
        <v>203206030028</v>
      </c>
      <c r="B674" s="754" t="s">
        <v>2710</v>
      </c>
      <c r="C674" s="755">
        <v>6450000</v>
      </c>
      <c r="D674" s="756">
        <v>44070.616759259297</v>
      </c>
      <c r="E674" s="754" t="s">
        <v>4821</v>
      </c>
      <c r="F674" s="757">
        <v>20201</v>
      </c>
    </row>
    <row r="675" spans="1:6" x14ac:dyDescent="0.2">
      <c r="A675" s="753">
        <v>203206030029</v>
      </c>
      <c r="B675" s="754" t="s">
        <v>2711</v>
      </c>
      <c r="C675" s="755">
        <v>6450000</v>
      </c>
      <c r="D675" s="756">
        <v>44070.525613425903</v>
      </c>
      <c r="E675" s="754" t="s">
        <v>4821</v>
      </c>
      <c r="F675" s="757">
        <v>20201</v>
      </c>
    </row>
    <row r="676" spans="1:6" x14ac:dyDescent="0.2">
      <c r="A676" s="753">
        <v>203206030030</v>
      </c>
      <c r="B676" s="754" t="s">
        <v>2712</v>
      </c>
      <c r="C676" s="755">
        <v>6450000</v>
      </c>
      <c r="D676" s="756">
        <v>44070.6092824074</v>
      </c>
      <c r="E676" s="754" t="s">
        <v>4821</v>
      </c>
      <c r="F676" s="757">
        <v>20201</v>
      </c>
    </row>
    <row r="677" spans="1:6" x14ac:dyDescent="0.2">
      <c r="A677" s="753">
        <v>203206030031</v>
      </c>
      <c r="B677" s="754" t="s">
        <v>2713</v>
      </c>
      <c r="C677" s="755">
        <v>6450000</v>
      </c>
      <c r="D677" s="756">
        <v>44071.615729166697</v>
      </c>
      <c r="E677" s="754" t="s">
        <v>4821</v>
      </c>
      <c r="F677" s="757">
        <v>20201</v>
      </c>
    </row>
    <row r="678" spans="1:6" x14ac:dyDescent="0.2">
      <c r="A678" s="753">
        <v>203206030032</v>
      </c>
      <c r="B678" s="754" t="s">
        <v>2714</v>
      </c>
      <c r="C678" s="755">
        <v>6450000</v>
      </c>
      <c r="D678" s="756">
        <v>44068.444108796299</v>
      </c>
      <c r="E678" s="754" t="s">
        <v>4821</v>
      </c>
      <c r="F678" s="757">
        <v>20201</v>
      </c>
    </row>
    <row r="679" spans="1:6" x14ac:dyDescent="0.2">
      <c r="A679" s="753">
        <v>203206030033</v>
      </c>
      <c r="B679" s="754" t="s">
        <v>2715</v>
      </c>
      <c r="C679" s="755">
        <v>6450000</v>
      </c>
      <c r="D679" s="756">
        <v>44069.600381944401</v>
      </c>
      <c r="E679" s="754" t="s">
        <v>4821</v>
      </c>
      <c r="F679" s="757">
        <v>20201</v>
      </c>
    </row>
    <row r="680" spans="1:6" ht="24" x14ac:dyDescent="0.2">
      <c r="A680" s="753">
        <v>203206030034</v>
      </c>
      <c r="B680" s="754" t="s">
        <v>2716</v>
      </c>
      <c r="C680" s="755">
        <v>6450000</v>
      </c>
      <c r="D680" s="756">
        <v>44070.496770833299</v>
      </c>
      <c r="E680" s="754" t="s">
        <v>4821</v>
      </c>
      <c r="F680" s="757">
        <v>20201</v>
      </c>
    </row>
    <row r="681" spans="1:6" x14ac:dyDescent="0.2">
      <c r="A681" s="753">
        <v>203206030035</v>
      </c>
      <c r="B681" s="754" t="s">
        <v>2718</v>
      </c>
      <c r="C681" s="755">
        <v>6450000</v>
      </c>
      <c r="D681" s="756">
        <v>44071.584085648101</v>
      </c>
      <c r="E681" s="754" t="s">
        <v>4821</v>
      </c>
      <c r="F681" s="757">
        <v>20201</v>
      </c>
    </row>
    <row r="682" spans="1:6" x14ac:dyDescent="0.2">
      <c r="A682" s="753">
        <v>203206030036</v>
      </c>
      <c r="B682" s="754" t="s">
        <v>2719</v>
      </c>
      <c r="C682" s="755">
        <v>6450000</v>
      </c>
      <c r="D682" s="756">
        <v>44071.394027777802</v>
      </c>
      <c r="E682" s="754" t="s">
        <v>4821</v>
      </c>
      <c r="F682" s="757">
        <v>20201</v>
      </c>
    </row>
    <row r="683" spans="1:6" x14ac:dyDescent="0.2">
      <c r="A683" s="753">
        <v>203206030037</v>
      </c>
      <c r="B683" s="754" t="s">
        <v>2720</v>
      </c>
      <c r="C683" s="755">
        <v>6450000</v>
      </c>
      <c r="D683" s="756">
        <v>44071.445497685199</v>
      </c>
      <c r="E683" s="754" t="s">
        <v>4821</v>
      </c>
      <c r="F683" s="757">
        <v>20201</v>
      </c>
    </row>
    <row r="684" spans="1:6" x14ac:dyDescent="0.2">
      <c r="A684" s="753">
        <v>203206030038</v>
      </c>
      <c r="B684" s="754" t="s">
        <v>2721</v>
      </c>
      <c r="C684" s="755">
        <v>6450000</v>
      </c>
      <c r="D684" s="756">
        <v>44069.575613425899</v>
      </c>
      <c r="E684" s="754" t="s">
        <v>4821</v>
      </c>
      <c r="F684" s="757">
        <v>20201</v>
      </c>
    </row>
    <row r="685" spans="1:6" x14ac:dyDescent="0.2">
      <c r="A685" s="753">
        <v>203206030039</v>
      </c>
      <c r="B685" s="754" t="s">
        <v>2722</v>
      </c>
      <c r="C685" s="755">
        <v>6450000</v>
      </c>
      <c r="D685" s="756">
        <v>44067.603078703702</v>
      </c>
      <c r="E685" s="754" t="s">
        <v>4821</v>
      </c>
      <c r="F685" s="757">
        <v>20201</v>
      </c>
    </row>
    <row r="686" spans="1:6" x14ac:dyDescent="0.2">
      <c r="A686" s="753">
        <v>203206030040</v>
      </c>
      <c r="B686" s="754" t="s">
        <v>2723</v>
      </c>
      <c r="C686" s="755">
        <v>6450000</v>
      </c>
      <c r="D686" s="756">
        <v>44071.442592592597</v>
      </c>
      <c r="E686" s="754" t="s">
        <v>4821</v>
      </c>
      <c r="F686" s="757">
        <v>20201</v>
      </c>
    </row>
    <row r="687" spans="1:6" x14ac:dyDescent="0.2">
      <c r="A687" s="753">
        <v>203206030041</v>
      </c>
      <c r="B687" s="754" t="s">
        <v>2724</v>
      </c>
      <c r="C687" s="755">
        <v>6450000</v>
      </c>
      <c r="D687" s="756">
        <v>44069.430706018502</v>
      </c>
      <c r="E687" s="754" t="s">
        <v>4821</v>
      </c>
      <c r="F687" s="757">
        <v>20201</v>
      </c>
    </row>
    <row r="688" spans="1:6" x14ac:dyDescent="0.2">
      <c r="A688" s="753">
        <v>203206030042</v>
      </c>
      <c r="B688" s="754" t="s">
        <v>2725</v>
      </c>
      <c r="C688" s="755">
        <v>6450000</v>
      </c>
      <c r="D688" s="756">
        <v>44070.600243055596</v>
      </c>
      <c r="E688" s="754" t="s">
        <v>4821</v>
      </c>
      <c r="F688" s="757">
        <v>20201</v>
      </c>
    </row>
    <row r="689" spans="1:6" x14ac:dyDescent="0.2">
      <c r="A689" s="753">
        <v>203206030043</v>
      </c>
      <c r="B689" s="754" t="s">
        <v>2726</v>
      </c>
      <c r="C689" s="755">
        <v>6450000</v>
      </c>
      <c r="D689" s="756">
        <v>44071.865671296298</v>
      </c>
      <c r="E689" s="754" t="s">
        <v>4821</v>
      </c>
      <c r="F689" s="757">
        <v>20201</v>
      </c>
    </row>
    <row r="690" spans="1:6" x14ac:dyDescent="0.2">
      <c r="A690" s="753">
        <v>203206030044</v>
      </c>
      <c r="B690" s="754" t="s">
        <v>2727</v>
      </c>
      <c r="C690" s="755">
        <v>6450000</v>
      </c>
      <c r="D690" s="756">
        <v>44071.355416666702</v>
      </c>
      <c r="E690" s="754" t="s">
        <v>4821</v>
      </c>
      <c r="F690" s="757">
        <v>20201</v>
      </c>
    </row>
    <row r="691" spans="1:6" x14ac:dyDescent="0.2">
      <c r="A691" s="753">
        <v>203206030045</v>
      </c>
      <c r="B691" s="754" t="s">
        <v>2728</v>
      </c>
      <c r="C691" s="755">
        <v>6450000</v>
      </c>
      <c r="D691" s="756">
        <v>44070.344525462999</v>
      </c>
      <c r="E691" s="754" t="s">
        <v>4821</v>
      </c>
      <c r="F691" s="757">
        <v>20201</v>
      </c>
    </row>
    <row r="692" spans="1:6" x14ac:dyDescent="0.2">
      <c r="A692" s="753">
        <v>203206030046</v>
      </c>
      <c r="B692" s="754" t="s">
        <v>2729</v>
      </c>
      <c r="C692" s="755">
        <v>6450000</v>
      </c>
      <c r="D692" s="756">
        <v>44070.6018287037</v>
      </c>
      <c r="E692" s="754" t="s">
        <v>4821</v>
      </c>
      <c r="F692" s="757">
        <v>20201</v>
      </c>
    </row>
    <row r="693" spans="1:6" x14ac:dyDescent="0.2">
      <c r="A693" s="753">
        <v>203206030047</v>
      </c>
      <c r="B693" s="754" t="s">
        <v>2730</v>
      </c>
      <c r="C693" s="755">
        <v>6450000</v>
      </c>
      <c r="D693" s="756">
        <v>44071.386134259301</v>
      </c>
      <c r="E693" s="754" t="s">
        <v>4821</v>
      </c>
      <c r="F693" s="757">
        <v>20201</v>
      </c>
    </row>
    <row r="694" spans="1:6" x14ac:dyDescent="0.2">
      <c r="A694" s="753">
        <v>203206030048</v>
      </c>
      <c r="B694" s="754" t="s">
        <v>2731</v>
      </c>
      <c r="C694" s="755">
        <v>6450000</v>
      </c>
      <c r="D694" s="756">
        <v>44070.397928240702</v>
      </c>
      <c r="E694" s="754" t="s">
        <v>4821</v>
      </c>
      <c r="F694" s="757">
        <v>20201</v>
      </c>
    </row>
    <row r="695" spans="1:6" x14ac:dyDescent="0.2">
      <c r="A695" s="753">
        <v>203206030049</v>
      </c>
      <c r="B695" s="754" t="s">
        <v>2732</v>
      </c>
      <c r="C695" s="755">
        <v>6450000</v>
      </c>
      <c r="D695" s="756">
        <v>44069.378611111097</v>
      </c>
      <c r="E695" s="754" t="s">
        <v>4821</v>
      </c>
      <c r="F695" s="757">
        <v>20201</v>
      </c>
    </row>
    <row r="696" spans="1:6" x14ac:dyDescent="0.2">
      <c r="A696" s="753">
        <v>203206030050</v>
      </c>
      <c r="B696" s="754" t="s">
        <v>2488</v>
      </c>
      <c r="C696" s="755">
        <v>6450000</v>
      </c>
      <c r="D696" s="756">
        <v>44070.494768518503</v>
      </c>
      <c r="E696" s="754" t="s">
        <v>4821</v>
      </c>
      <c r="F696" s="757">
        <v>20201</v>
      </c>
    </row>
    <row r="697" spans="1:6" x14ac:dyDescent="0.2">
      <c r="A697" s="753">
        <v>203206030051</v>
      </c>
      <c r="B697" s="754" t="s">
        <v>2733</v>
      </c>
      <c r="C697" s="755">
        <v>6450000</v>
      </c>
      <c r="D697" s="756">
        <v>44069.439699074101</v>
      </c>
      <c r="E697" s="754" t="s">
        <v>4821</v>
      </c>
      <c r="F697" s="757">
        <v>20201</v>
      </c>
    </row>
    <row r="698" spans="1:6" x14ac:dyDescent="0.2">
      <c r="A698" s="753">
        <v>203206030052</v>
      </c>
      <c r="B698" s="754" t="s">
        <v>2734</v>
      </c>
      <c r="C698" s="755">
        <v>6450000</v>
      </c>
      <c r="D698" s="756">
        <v>44071.609606481499</v>
      </c>
      <c r="E698" s="754" t="s">
        <v>4821</v>
      </c>
      <c r="F698" s="757">
        <v>20201</v>
      </c>
    </row>
    <row r="699" spans="1:6" x14ac:dyDescent="0.2">
      <c r="A699" s="753">
        <v>203206030053</v>
      </c>
      <c r="B699" s="754" t="s">
        <v>2735</v>
      </c>
      <c r="C699" s="755">
        <v>6450000</v>
      </c>
      <c r="D699" s="756">
        <v>44077.674039351798</v>
      </c>
      <c r="E699" s="754" t="s">
        <v>4821</v>
      </c>
      <c r="F699" s="757">
        <v>20201</v>
      </c>
    </row>
    <row r="700" spans="1:6" x14ac:dyDescent="0.2">
      <c r="A700" s="753">
        <v>203206030054</v>
      </c>
      <c r="B700" s="754" t="s">
        <v>2736</v>
      </c>
      <c r="C700" s="755">
        <v>6450000</v>
      </c>
      <c r="D700" s="756">
        <v>44079.848796296297</v>
      </c>
      <c r="E700" s="754" t="s">
        <v>4821</v>
      </c>
      <c r="F700" s="757">
        <v>20201</v>
      </c>
    </row>
    <row r="701" spans="1:6" x14ac:dyDescent="0.2">
      <c r="A701" s="753">
        <v>203206040001</v>
      </c>
      <c r="B701" s="754" t="s">
        <v>2749</v>
      </c>
      <c r="C701" s="755">
        <v>6450000</v>
      </c>
      <c r="D701" s="756">
        <v>44071.598564814798</v>
      </c>
      <c r="E701" s="754" t="s">
        <v>4829</v>
      </c>
      <c r="F701" s="757">
        <v>20201</v>
      </c>
    </row>
    <row r="702" spans="1:6" x14ac:dyDescent="0.2">
      <c r="A702" s="753">
        <v>203206040002</v>
      </c>
      <c r="B702" s="754" t="s">
        <v>2751</v>
      </c>
      <c r="C702" s="755">
        <v>6450000</v>
      </c>
      <c r="D702" s="756">
        <v>44068.496562499997</v>
      </c>
      <c r="E702" s="754" t="s">
        <v>4829</v>
      </c>
      <c r="F702" s="757">
        <v>20201</v>
      </c>
    </row>
    <row r="703" spans="1:6" x14ac:dyDescent="0.2">
      <c r="A703" s="753">
        <v>203206040003</v>
      </c>
      <c r="B703" s="754" t="s">
        <v>2752</v>
      </c>
      <c r="C703" s="755">
        <v>6450000</v>
      </c>
      <c r="D703" s="756">
        <v>44071.428692129601</v>
      </c>
      <c r="E703" s="754" t="s">
        <v>4829</v>
      </c>
      <c r="F703" s="757">
        <v>20201</v>
      </c>
    </row>
    <row r="704" spans="1:6" x14ac:dyDescent="0.2">
      <c r="A704" s="753">
        <v>203206040004</v>
      </c>
      <c r="B704" s="754" t="s">
        <v>2753</v>
      </c>
      <c r="C704" s="755">
        <v>6450000</v>
      </c>
      <c r="D704" s="756">
        <v>44069.514027777797</v>
      </c>
      <c r="E704" s="754" t="s">
        <v>4829</v>
      </c>
      <c r="F704" s="757">
        <v>20201</v>
      </c>
    </row>
    <row r="705" spans="1:6" x14ac:dyDescent="0.2">
      <c r="A705" s="753">
        <v>203206040005</v>
      </c>
      <c r="B705" s="754" t="s">
        <v>2754</v>
      </c>
      <c r="C705" s="755">
        <v>6450000</v>
      </c>
      <c r="D705" s="756">
        <v>44067.519780092603</v>
      </c>
      <c r="E705" s="754" t="s">
        <v>4829</v>
      </c>
      <c r="F705" s="757">
        <v>20201</v>
      </c>
    </row>
    <row r="706" spans="1:6" x14ac:dyDescent="0.2">
      <c r="A706" s="753">
        <v>203206040006</v>
      </c>
      <c r="B706" s="754" t="s">
        <v>2755</v>
      </c>
      <c r="C706" s="755">
        <v>6450000</v>
      </c>
      <c r="D706" s="756">
        <v>44068.612280092602</v>
      </c>
      <c r="E706" s="754" t="s">
        <v>4829</v>
      </c>
      <c r="F706" s="757">
        <v>20201</v>
      </c>
    </row>
    <row r="707" spans="1:6" x14ac:dyDescent="0.2">
      <c r="A707" s="753">
        <v>203206040007</v>
      </c>
      <c r="B707" s="754" t="s">
        <v>2756</v>
      </c>
      <c r="C707" s="755">
        <v>6450000</v>
      </c>
      <c r="D707" s="756">
        <v>44069.613460648201</v>
      </c>
      <c r="E707" s="754" t="s">
        <v>4829</v>
      </c>
      <c r="F707" s="757">
        <v>20201</v>
      </c>
    </row>
    <row r="708" spans="1:6" x14ac:dyDescent="0.2">
      <c r="A708" s="753">
        <v>203206040008</v>
      </c>
      <c r="B708" s="754" t="s">
        <v>2757</v>
      </c>
      <c r="C708" s="755">
        <v>6450000</v>
      </c>
      <c r="D708" s="756">
        <v>44068.7583101852</v>
      </c>
      <c r="E708" s="754" t="s">
        <v>4829</v>
      </c>
      <c r="F708" s="757">
        <v>20201</v>
      </c>
    </row>
    <row r="709" spans="1:6" x14ac:dyDescent="0.2">
      <c r="A709" s="753">
        <v>203206040009</v>
      </c>
      <c r="B709" s="754" t="s">
        <v>2758</v>
      </c>
      <c r="C709" s="755">
        <v>6450000</v>
      </c>
      <c r="D709" s="756">
        <v>44067.591550925899</v>
      </c>
      <c r="E709" s="754" t="s">
        <v>4829</v>
      </c>
      <c r="F709" s="757">
        <v>20201</v>
      </c>
    </row>
    <row r="710" spans="1:6" x14ac:dyDescent="0.2">
      <c r="A710" s="753">
        <v>203206040010</v>
      </c>
      <c r="B710" s="754" t="s">
        <v>2759</v>
      </c>
      <c r="C710" s="755">
        <v>6450000</v>
      </c>
      <c r="D710" s="756">
        <v>44069.5168865741</v>
      </c>
      <c r="E710" s="754" t="s">
        <v>4829</v>
      </c>
      <c r="F710" s="757">
        <v>20201</v>
      </c>
    </row>
    <row r="711" spans="1:6" x14ac:dyDescent="0.2">
      <c r="A711" s="753">
        <v>203206040011</v>
      </c>
      <c r="B711" s="754" t="s">
        <v>2760</v>
      </c>
      <c r="C711" s="755">
        <v>6450000</v>
      </c>
      <c r="D711" s="756">
        <v>44071.542581018497</v>
      </c>
      <c r="E711" s="754" t="s">
        <v>4829</v>
      </c>
      <c r="F711" s="757">
        <v>20201</v>
      </c>
    </row>
    <row r="712" spans="1:6" x14ac:dyDescent="0.2">
      <c r="A712" s="753">
        <v>203206050001</v>
      </c>
      <c r="B712" s="754" t="s">
        <v>4855</v>
      </c>
      <c r="C712" s="755">
        <v>6450000</v>
      </c>
      <c r="D712" s="756">
        <v>44071.383946759299</v>
      </c>
      <c r="E712" s="754" t="s">
        <v>4823</v>
      </c>
      <c r="F712" s="757">
        <v>20201</v>
      </c>
    </row>
    <row r="713" spans="1:6" x14ac:dyDescent="0.2">
      <c r="A713" s="753">
        <v>203206050002</v>
      </c>
      <c r="B713" s="754" t="s">
        <v>2593</v>
      </c>
      <c r="C713" s="755">
        <v>6450000</v>
      </c>
      <c r="D713" s="756">
        <v>44068.4226851852</v>
      </c>
      <c r="E713" s="754" t="s">
        <v>4823</v>
      </c>
      <c r="F713" s="757">
        <v>20201</v>
      </c>
    </row>
    <row r="714" spans="1:6" x14ac:dyDescent="0.2">
      <c r="A714" s="753">
        <v>203206050003</v>
      </c>
      <c r="B714" s="754" t="s">
        <v>2594</v>
      </c>
      <c r="C714" s="755">
        <v>6450000</v>
      </c>
      <c r="D714" s="756">
        <v>44070.575659722199</v>
      </c>
      <c r="E714" s="754" t="s">
        <v>4823</v>
      </c>
      <c r="F714" s="757">
        <v>20201</v>
      </c>
    </row>
    <row r="715" spans="1:6" x14ac:dyDescent="0.2">
      <c r="A715" s="753">
        <v>203206050004</v>
      </c>
      <c r="B715" s="754" t="s">
        <v>2595</v>
      </c>
      <c r="C715" s="755">
        <v>6450000</v>
      </c>
      <c r="D715" s="756">
        <v>44067.748414351903</v>
      </c>
      <c r="E715" s="754" t="s">
        <v>4823</v>
      </c>
      <c r="F715" s="757">
        <v>20201</v>
      </c>
    </row>
    <row r="716" spans="1:6" x14ac:dyDescent="0.2">
      <c r="A716" s="753">
        <v>203206050005</v>
      </c>
      <c r="B716" s="754" t="s">
        <v>2596</v>
      </c>
      <c r="C716" s="755">
        <v>6450000</v>
      </c>
      <c r="D716" s="756">
        <v>44071.381203703699</v>
      </c>
      <c r="E716" s="754" t="s">
        <v>4823</v>
      </c>
      <c r="F716" s="757">
        <v>20201</v>
      </c>
    </row>
    <row r="717" spans="1:6" x14ac:dyDescent="0.2">
      <c r="A717" s="753">
        <v>203206050006</v>
      </c>
      <c r="B717" s="754" t="s">
        <v>2597</v>
      </c>
      <c r="C717" s="755">
        <v>6450000</v>
      </c>
      <c r="D717" s="756">
        <v>44070.504085648201</v>
      </c>
      <c r="E717" s="754" t="s">
        <v>4823</v>
      </c>
      <c r="F717" s="757">
        <v>20201</v>
      </c>
    </row>
    <row r="718" spans="1:6" x14ac:dyDescent="0.2">
      <c r="A718" s="753">
        <v>203206050007</v>
      </c>
      <c r="B718" s="754" t="s">
        <v>2598</v>
      </c>
      <c r="C718" s="755">
        <v>6450000</v>
      </c>
      <c r="D718" s="756">
        <v>44069.596678240698</v>
      </c>
      <c r="E718" s="754" t="s">
        <v>4823</v>
      </c>
      <c r="F718" s="757">
        <v>20201</v>
      </c>
    </row>
    <row r="719" spans="1:6" x14ac:dyDescent="0.2">
      <c r="A719" s="753">
        <v>203206050008</v>
      </c>
      <c r="B719" s="754" t="s">
        <v>2599</v>
      </c>
      <c r="C719" s="755">
        <v>6450000</v>
      </c>
      <c r="D719" s="756">
        <v>44071.631006944401</v>
      </c>
      <c r="E719" s="754" t="s">
        <v>4823</v>
      </c>
      <c r="F719" s="757">
        <v>20201</v>
      </c>
    </row>
    <row r="720" spans="1:6" x14ac:dyDescent="0.2">
      <c r="A720" s="753">
        <v>203206050009</v>
      </c>
      <c r="B720" s="754" t="s">
        <v>2600</v>
      </c>
      <c r="C720" s="755">
        <v>6450000</v>
      </c>
      <c r="D720" s="756">
        <v>44071.449652777803</v>
      </c>
      <c r="E720" s="754" t="s">
        <v>4823</v>
      </c>
      <c r="F720" s="757">
        <v>20201</v>
      </c>
    </row>
    <row r="721" spans="1:6" x14ac:dyDescent="0.2">
      <c r="A721" s="753">
        <v>203206050010</v>
      </c>
      <c r="B721" s="754" t="s">
        <v>2601</v>
      </c>
      <c r="C721" s="755">
        <v>6450000</v>
      </c>
      <c r="D721" s="756">
        <v>44071.395486111098</v>
      </c>
      <c r="E721" s="754" t="s">
        <v>4823</v>
      </c>
      <c r="F721" s="757">
        <v>20201</v>
      </c>
    </row>
    <row r="722" spans="1:6" x14ac:dyDescent="0.2">
      <c r="A722" s="753">
        <v>203206050011</v>
      </c>
      <c r="B722" s="754" t="s">
        <v>2602</v>
      </c>
      <c r="C722" s="755">
        <v>6450000</v>
      </c>
      <c r="D722" s="756">
        <v>44070.524016203701</v>
      </c>
      <c r="E722" s="754" t="s">
        <v>4823</v>
      </c>
      <c r="F722" s="757">
        <v>20201</v>
      </c>
    </row>
    <row r="723" spans="1:6" x14ac:dyDescent="0.2">
      <c r="A723" s="753">
        <v>203206050012</v>
      </c>
      <c r="B723" s="754" t="s">
        <v>2603</v>
      </c>
      <c r="C723" s="755">
        <v>6450000</v>
      </c>
      <c r="D723" s="756">
        <v>44071.840034722198</v>
      </c>
      <c r="E723" s="754" t="s">
        <v>4823</v>
      </c>
      <c r="F723" s="757">
        <v>20201</v>
      </c>
    </row>
    <row r="724" spans="1:6" x14ac:dyDescent="0.2">
      <c r="A724" s="753">
        <v>203206050013</v>
      </c>
      <c r="B724" s="754" t="s">
        <v>2604</v>
      </c>
      <c r="C724" s="755">
        <v>6450000</v>
      </c>
      <c r="D724" s="756">
        <v>44070.464108796303</v>
      </c>
      <c r="E724" s="754" t="s">
        <v>4823</v>
      </c>
      <c r="F724" s="757">
        <v>20201</v>
      </c>
    </row>
    <row r="725" spans="1:6" x14ac:dyDescent="0.2">
      <c r="A725" s="753">
        <v>203206050014</v>
      </c>
      <c r="B725" s="754" t="s">
        <v>2605</v>
      </c>
      <c r="C725" s="755">
        <v>6450000</v>
      </c>
      <c r="D725" s="756">
        <v>44072.165092592601</v>
      </c>
      <c r="E725" s="754" t="s">
        <v>4823</v>
      </c>
      <c r="F725" s="757">
        <v>20201</v>
      </c>
    </row>
    <row r="726" spans="1:6" x14ac:dyDescent="0.2">
      <c r="A726" s="753">
        <v>203206050015</v>
      </c>
      <c r="B726" s="754" t="s">
        <v>2606</v>
      </c>
      <c r="C726" s="755">
        <v>6450000</v>
      </c>
      <c r="D726" s="756">
        <v>44068.417523148099</v>
      </c>
      <c r="E726" s="754" t="s">
        <v>4823</v>
      </c>
      <c r="F726" s="757">
        <v>20201</v>
      </c>
    </row>
    <row r="727" spans="1:6" x14ac:dyDescent="0.2">
      <c r="A727" s="753">
        <v>203206050016</v>
      </c>
      <c r="B727" s="754" t="s">
        <v>2607</v>
      </c>
      <c r="C727" s="755">
        <v>6450000</v>
      </c>
      <c r="D727" s="756">
        <v>44070.521377314799</v>
      </c>
      <c r="E727" s="754" t="s">
        <v>4823</v>
      </c>
      <c r="F727" s="757">
        <v>20201</v>
      </c>
    </row>
    <row r="728" spans="1:6" x14ac:dyDescent="0.2">
      <c r="A728" s="753">
        <v>203206050017</v>
      </c>
      <c r="B728" s="754" t="s">
        <v>2609</v>
      </c>
      <c r="C728" s="755">
        <v>6450000</v>
      </c>
      <c r="D728" s="756">
        <v>44070.359097222201</v>
      </c>
      <c r="E728" s="754" t="s">
        <v>4823</v>
      </c>
      <c r="F728" s="757">
        <v>20201</v>
      </c>
    </row>
    <row r="729" spans="1:6" x14ac:dyDescent="0.2">
      <c r="A729" s="753">
        <v>203206050018</v>
      </c>
      <c r="B729" s="754" t="s">
        <v>2610</v>
      </c>
      <c r="C729" s="755">
        <v>6450000</v>
      </c>
      <c r="D729" s="756">
        <v>44071.358449074098</v>
      </c>
      <c r="E729" s="754" t="s">
        <v>4823</v>
      </c>
      <c r="F729" s="757">
        <v>20201</v>
      </c>
    </row>
    <row r="730" spans="1:6" x14ac:dyDescent="0.2">
      <c r="A730" s="753">
        <v>203206050019</v>
      </c>
      <c r="B730" s="754" t="s">
        <v>2611</v>
      </c>
      <c r="C730" s="755">
        <v>6450000</v>
      </c>
      <c r="D730" s="756">
        <v>44068.4469328704</v>
      </c>
      <c r="E730" s="754" t="s">
        <v>4823</v>
      </c>
      <c r="F730" s="757">
        <v>20201</v>
      </c>
    </row>
    <row r="731" spans="1:6" x14ac:dyDescent="0.2">
      <c r="A731" s="753">
        <v>203206050020</v>
      </c>
      <c r="B731" s="754" t="s">
        <v>2612</v>
      </c>
      <c r="C731" s="755">
        <v>6450000</v>
      </c>
      <c r="D731" s="756">
        <v>44070.4207986111</v>
      </c>
      <c r="E731" s="754" t="s">
        <v>4823</v>
      </c>
      <c r="F731" s="757">
        <v>20201</v>
      </c>
    </row>
    <row r="732" spans="1:6" x14ac:dyDescent="0.2">
      <c r="A732" s="753">
        <v>203206050021</v>
      </c>
      <c r="B732" s="754" t="s">
        <v>2613</v>
      </c>
      <c r="C732" s="755">
        <v>6450000</v>
      </c>
      <c r="D732" s="756">
        <v>44069.576249999998</v>
      </c>
      <c r="E732" s="754" t="s">
        <v>4823</v>
      </c>
      <c r="F732" s="757">
        <v>20201</v>
      </c>
    </row>
    <row r="733" spans="1:6" x14ac:dyDescent="0.2">
      <c r="A733" s="753">
        <v>203206050022</v>
      </c>
      <c r="B733" s="754" t="s">
        <v>2614</v>
      </c>
      <c r="C733" s="755">
        <v>6450000</v>
      </c>
      <c r="D733" s="756">
        <v>44071.573877314797</v>
      </c>
      <c r="E733" s="754" t="s">
        <v>4823</v>
      </c>
      <c r="F733" s="757">
        <v>20201</v>
      </c>
    </row>
    <row r="734" spans="1:6" x14ac:dyDescent="0.2">
      <c r="A734" s="753">
        <v>203206050023</v>
      </c>
      <c r="B734" s="754" t="s">
        <v>2615</v>
      </c>
      <c r="C734" s="755">
        <v>6450000</v>
      </c>
      <c r="D734" s="756">
        <v>44071.924155092602</v>
      </c>
      <c r="E734" s="754" t="s">
        <v>4823</v>
      </c>
      <c r="F734" s="757">
        <v>20201</v>
      </c>
    </row>
    <row r="735" spans="1:6" x14ac:dyDescent="0.2">
      <c r="A735" s="753">
        <v>203206050024</v>
      </c>
      <c r="B735" s="754" t="s">
        <v>2616</v>
      </c>
      <c r="C735" s="755">
        <v>6450000</v>
      </c>
      <c r="D735" s="756">
        <v>44069.376030092601</v>
      </c>
      <c r="E735" s="754" t="s">
        <v>4823</v>
      </c>
      <c r="F735" s="757">
        <v>20201</v>
      </c>
    </row>
    <row r="736" spans="1:6" x14ac:dyDescent="0.2">
      <c r="A736" s="753">
        <v>203206050025</v>
      </c>
      <c r="B736" s="754" t="s">
        <v>2617</v>
      </c>
      <c r="C736" s="755">
        <v>6450000</v>
      </c>
      <c r="D736" s="756">
        <v>44070.362905092603</v>
      </c>
      <c r="E736" s="754" t="s">
        <v>4823</v>
      </c>
      <c r="F736" s="757">
        <v>20201</v>
      </c>
    </row>
    <row r="737" spans="1:6" x14ac:dyDescent="0.2">
      <c r="A737" s="753">
        <v>203206050026</v>
      </c>
      <c r="B737" s="754" t="s">
        <v>2618</v>
      </c>
      <c r="C737" s="755">
        <v>6450000</v>
      </c>
      <c r="D737" s="756">
        <v>44070.566736111097</v>
      </c>
      <c r="E737" s="754" t="s">
        <v>4823</v>
      </c>
      <c r="F737" s="757">
        <v>20201</v>
      </c>
    </row>
    <row r="738" spans="1:6" ht="24" x14ac:dyDescent="0.2">
      <c r="A738" s="753">
        <v>203206050027</v>
      </c>
      <c r="B738" s="754" t="s">
        <v>2619</v>
      </c>
      <c r="C738" s="755">
        <v>6450000</v>
      </c>
      <c r="D738" s="756">
        <v>44069.499930555598</v>
      </c>
      <c r="E738" s="754" t="s">
        <v>4823</v>
      </c>
      <c r="F738" s="757">
        <v>20201</v>
      </c>
    </row>
    <row r="739" spans="1:6" x14ac:dyDescent="0.2">
      <c r="A739" s="753">
        <v>203206050028</v>
      </c>
      <c r="B739" s="754" t="s">
        <v>2620</v>
      </c>
      <c r="C739" s="755">
        <v>6450000</v>
      </c>
      <c r="D739" s="756">
        <v>44070.519016203703</v>
      </c>
      <c r="E739" s="754" t="s">
        <v>4823</v>
      </c>
      <c r="F739" s="757">
        <v>20201</v>
      </c>
    </row>
    <row r="740" spans="1:6" x14ac:dyDescent="0.2">
      <c r="A740" s="753">
        <v>203206050029</v>
      </c>
      <c r="B740" s="754" t="s">
        <v>2621</v>
      </c>
      <c r="C740" s="755">
        <v>6450000</v>
      </c>
      <c r="D740" s="756">
        <v>44069.2244907407</v>
      </c>
      <c r="E740" s="754" t="s">
        <v>4823</v>
      </c>
      <c r="F740" s="757">
        <v>20201</v>
      </c>
    </row>
    <row r="741" spans="1:6" x14ac:dyDescent="0.2">
      <c r="A741" s="753">
        <v>203206050030</v>
      </c>
      <c r="B741" s="754" t="s">
        <v>2622</v>
      </c>
      <c r="C741" s="755">
        <v>6450000</v>
      </c>
      <c r="D741" s="756">
        <v>44071.538541666698</v>
      </c>
      <c r="E741" s="754" t="s">
        <v>4823</v>
      </c>
      <c r="F741" s="757">
        <v>20201</v>
      </c>
    </row>
    <row r="742" spans="1:6" x14ac:dyDescent="0.2">
      <c r="A742" s="753">
        <v>203206060001</v>
      </c>
      <c r="B742" s="754" t="s">
        <v>2646</v>
      </c>
      <c r="C742" s="755">
        <v>6450000</v>
      </c>
      <c r="D742" s="756">
        <v>44071.418726851902</v>
      </c>
      <c r="E742" s="754" t="s">
        <v>4826</v>
      </c>
      <c r="F742" s="757">
        <v>20201</v>
      </c>
    </row>
    <row r="743" spans="1:6" x14ac:dyDescent="0.2">
      <c r="A743" s="753">
        <v>203206060002</v>
      </c>
      <c r="B743" s="754" t="s">
        <v>2648</v>
      </c>
      <c r="C743" s="755">
        <v>6450000</v>
      </c>
      <c r="D743" s="756">
        <v>44070.426342592596</v>
      </c>
      <c r="E743" s="754" t="s">
        <v>4826</v>
      </c>
      <c r="F743" s="757">
        <v>20201</v>
      </c>
    </row>
    <row r="744" spans="1:6" x14ac:dyDescent="0.2">
      <c r="A744" s="753">
        <v>203206060003</v>
      </c>
      <c r="B744" s="754" t="s">
        <v>2649</v>
      </c>
      <c r="C744" s="755">
        <v>6450000</v>
      </c>
      <c r="D744" s="756">
        <v>44069.435289351903</v>
      </c>
      <c r="E744" s="754" t="s">
        <v>4826</v>
      </c>
      <c r="F744" s="757">
        <v>20201</v>
      </c>
    </row>
    <row r="745" spans="1:6" x14ac:dyDescent="0.2">
      <c r="A745" s="753">
        <v>203206060004</v>
      </c>
      <c r="B745" s="754" t="s">
        <v>2650</v>
      </c>
      <c r="C745" s="755">
        <v>6450000</v>
      </c>
      <c r="D745" s="756">
        <v>44070.556238425903</v>
      </c>
      <c r="E745" s="754" t="s">
        <v>4826</v>
      </c>
      <c r="F745" s="757">
        <v>20201</v>
      </c>
    </row>
    <row r="746" spans="1:6" x14ac:dyDescent="0.2">
      <c r="A746" s="753">
        <v>203206060005</v>
      </c>
      <c r="B746" s="754" t="s">
        <v>2651</v>
      </c>
      <c r="C746" s="755">
        <v>6450000</v>
      </c>
      <c r="D746" s="756">
        <v>44070.425543981502</v>
      </c>
      <c r="E746" s="754" t="s">
        <v>4826</v>
      </c>
      <c r="F746" s="757">
        <v>20201</v>
      </c>
    </row>
    <row r="747" spans="1:6" x14ac:dyDescent="0.2">
      <c r="A747" s="753">
        <v>203206060006</v>
      </c>
      <c r="B747" s="754" t="s">
        <v>2652</v>
      </c>
      <c r="C747" s="755">
        <v>6450000</v>
      </c>
      <c r="D747" s="756">
        <v>44068.5862962963</v>
      </c>
      <c r="E747" s="754" t="s">
        <v>4826</v>
      </c>
      <c r="F747" s="757">
        <v>20201</v>
      </c>
    </row>
    <row r="748" spans="1:6" x14ac:dyDescent="0.2">
      <c r="A748" s="753">
        <v>203206060007</v>
      </c>
      <c r="B748" s="754" t="s">
        <v>2653</v>
      </c>
      <c r="C748" s="755">
        <v>6450000</v>
      </c>
      <c r="D748" s="756">
        <v>44070.791273148097</v>
      </c>
      <c r="E748" s="754" t="s">
        <v>4826</v>
      </c>
      <c r="F748" s="757">
        <v>20201</v>
      </c>
    </row>
    <row r="749" spans="1:6" x14ac:dyDescent="0.2">
      <c r="A749" s="753">
        <v>203206060008</v>
      </c>
      <c r="B749" s="754" t="s">
        <v>2654</v>
      </c>
      <c r="C749" s="755">
        <v>6450000</v>
      </c>
      <c r="D749" s="756">
        <v>44071.882800925901</v>
      </c>
      <c r="E749" s="754" t="s">
        <v>4826</v>
      </c>
      <c r="F749" s="757">
        <v>20201</v>
      </c>
    </row>
    <row r="750" spans="1:6" x14ac:dyDescent="0.2">
      <c r="A750" s="753">
        <v>203206060009</v>
      </c>
      <c r="B750" s="754" t="s">
        <v>2655</v>
      </c>
      <c r="C750" s="755">
        <v>6450000</v>
      </c>
      <c r="D750" s="756">
        <v>44071.611921296302</v>
      </c>
      <c r="E750" s="754" t="s">
        <v>4826</v>
      </c>
      <c r="F750" s="757">
        <v>20201</v>
      </c>
    </row>
    <row r="751" spans="1:6" x14ac:dyDescent="0.2">
      <c r="A751" s="753">
        <v>203206060010</v>
      </c>
      <c r="B751" s="754" t="s">
        <v>2656</v>
      </c>
      <c r="C751" s="755">
        <v>6450000</v>
      </c>
      <c r="D751" s="756">
        <v>44071.410127314797</v>
      </c>
      <c r="E751" s="754" t="s">
        <v>4826</v>
      </c>
      <c r="F751" s="757">
        <v>20201</v>
      </c>
    </row>
    <row r="752" spans="1:6" x14ac:dyDescent="0.2">
      <c r="A752" s="753">
        <v>203206060011</v>
      </c>
      <c r="B752" s="754" t="s">
        <v>2657</v>
      </c>
      <c r="C752" s="755">
        <v>6450000</v>
      </c>
      <c r="D752" s="756">
        <v>44071.404351851903</v>
      </c>
      <c r="E752" s="754" t="s">
        <v>4826</v>
      </c>
      <c r="F752" s="757">
        <v>20201</v>
      </c>
    </row>
    <row r="753" spans="1:6" x14ac:dyDescent="0.2">
      <c r="A753" s="753">
        <v>203206060012</v>
      </c>
      <c r="B753" s="754" t="s">
        <v>2658</v>
      </c>
      <c r="C753" s="755">
        <v>6450000</v>
      </c>
      <c r="D753" s="756">
        <v>44071.3773842593</v>
      </c>
      <c r="E753" s="754" t="s">
        <v>4826</v>
      </c>
      <c r="F753" s="757">
        <v>20201</v>
      </c>
    </row>
    <row r="754" spans="1:6" x14ac:dyDescent="0.2">
      <c r="A754" s="753">
        <v>203206060013</v>
      </c>
      <c r="B754" s="754" t="s">
        <v>2659</v>
      </c>
      <c r="C754" s="755">
        <v>6450000</v>
      </c>
      <c r="D754" s="756">
        <v>44071.4077777778</v>
      </c>
      <c r="E754" s="754" t="s">
        <v>4826</v>
      </c>
      <c r="F754" s="757">
        <v>20201</v>
      </c>
    </row>
    <row r="755" spans="1:6" x14ac:dyDescent="0.2">
      <c r="A755" s="753">
        <v>203206060014</v>
      </c>
      <c r="B755" s="754" t="s">
        <v>2660</v>
      </c>
      <c r="C755" s="755">
        <v>6450000</v>
      </c>
      <c r="D755" s="756">
        <v>44071.589247685202</v>
      </c>
      <c r="E755" s="754" t="s">
        <v>4826</v>
      </c>
      <c r="F755" s="757">
        <v>20201</v>
      </c>
    </row>
    <row r="756" spans="1:6" x14ac:dyDescent="0.2">
      <c r="A756" s="753">
        <v>203206060015</v>
      </c>
      <c r="B756" s="754" t="s">
        <v>2661</v>
      </c>
      <c r="C756" s="755">
        <v>6450000</v>
      </c>
      <c r="D756" s="756">
        <v>44069.745821759301</v>
      </c>
      <c r="E756" s="754" t="s">
        <v>4826</v>
      </c>
      <c r="F756" s="757">
        <v>20201</v>
      </c>
    </row>
    <row r="757" spans="1:6" x14ac:dyDescent="0.2">
      <c r="A757" s="753">
        <v>203206060016</v>
      </c>
      <c r="B757" s="754" t="s">
        <v>2662</v>
      </c>
      <c r="C757" s="755">
        <v>6450000</v>
      </c>
      <c r="D757" s="756">
        <v>44069.398773148103</v>
      </c>
      <c r="E757" s="754" t="s">
        <v>4826</v>
      </c>
      <c r="F757" s="757">
        <v>20201</v>
      </c>
    </row>
    <row r="758" spans="1:6" x14ac:dyDescent="0.2">
      <c r="A758" s="753">
        <v>203206060017</v>
      </c>
      <c r="B758" s="754" t="s">
        <v>2664</v>
      </c>
      <c r="C758" s="755">
        <v>6450000</v>
      </c>
      <c r="D758" s="756">
        <v>44071.521226851903</v>
      </c>
      <c r="E758" s="754" t="s">
        <v>4826</v>
      </c>
      <c r="F758" s="757">
        <v>20201</v>
      </c>
    </row>
    <row r="759" spans="1:6" x14ac:dyDescent="0.2">
      <c r="A759" s="753">
        <v>203206060018</v>
      </c>
      <c r="B759" s="754" t="s">
        <v>2665</v>
      </c>
      <c r="C759" s="755">
        <v>6450000</v>
      </c>
      <c r="D759" s="756">
        <v>44070.485127314802</v>
      </c>
      <c r="E759" s="754" t="s">
        <v>4826</v>
      </c>
      <c r="F759" s="757">
        <v>20201</v>
      </c>
    </row>
    <row r="760" spans="1:6" x14ac:dyDescent="0.2">
      <c r="A760" s="753">
        <v>203206060019</v>
      </c>
      <c r="B760" s="754" t="s">
        <v>2666</v>
      </c>
      <c r="C760" s="755">
        <v>6450000</v>
      </c>
      <c r="D760" s="756">
        <v>44068.394756944399</v>
      </c>
      <c r="E760" s="754" t="s">
        <v>4826</v>
      </c>
      <c r="F760" s="757">
        <v>20201</v>
      </c>
    </row>
    <row r="761" spans="1:6" x14ac:dyDescent="0.2">
      <c r="A761" s="753">
        <v>203206060020</v>
      </c>
      <c r="B761" s="754" t="s">
        <v>2668</v>
      </c>
      <c r="C761" s="755">
        <v>6450000</v>
      </c>
      <c r="D761" s="756">
        <v>44071.512673611098</v>
      </c>
      <c r="E761" s="754" t="s">
        <v>4826</v>
      </c>
      <c r="F761" s="757">
        <v>20201</v>
      </c>
    </row>
    <row r="762" spans="1:6" x14ac:dyDescent="0.2">
      <c r="A762" s="753">
        <v>203206060021</v>
      </c>
      <c r="B762" s="754" t="s">
        <v>2669</v>
      </c>
      <c r="C762" s="755">
        <v>6450000</v>
      </c>
      <c r="D762" s="756">
        <v>44072.156863425902</v>
      </c>
      <c r="E762" s="754" t="s">
        <v>4826</v>
      </c>
      <c r="F762" s="757">
        <v>20201</v>
      </c>
    </row>
    <row r="763" spans="1:6" x14ac:dyDescent="0.2">
      <c r="A763" s="753">
        <v>203206060022</v>
      </c>
      <c r="B763" s="754" t="s">
        <v>2670</v>
      </c>
      <c r="C763" s="755">
        <v>6450000</v>
      </c>
      <c r="D763" s="756">
        <v>44070.379733796297</v>
      </c>
      <c r="E763" s="754" t="s">
        <v>4826</v>
      </c>
      <c r="F763" s="757">
        <v>20201</v>
      </c>
    </row>
    <row r="764" spans="1:6" x14ac:dyDescent="0.2">
      <c r="A764" s="753">
        <v>203206060023</v>
      </c>
      <c r="B764" s="754" t="s">
        <v>2671</v>
      </c>
      <c r="C764" s="755">
        <v>6450000</v>
      </c>
      <c r="D764" s="756">
        <v>44071.465057870402</v>
      </c>
      <c r="E764" s="754" t="s">
        <v>4826</v>
      </c>
      <c r="F764" s="757">
        <v>20201</v>
      </c>
    </row>
    <row r="765" spans="1:6" x14ac:dyDescent="0.2">
      <c r="A765" s="753">
        <v>203206060024</v>
      </c>
      <c r="B765" s="754" t="s">
        <v>2672</v>
      </c>
      <c r="C765" s="755">
        <v>6450000</v>
      </c>
      <c r="D765" s="756">
        <v>44071.440034722204</v>
      </c>
      <c r="E765" s="754" t="s">
        <v>4826</v>
      </c>
      <c r="F765" s="757">
        <v>20201</v>
      </c>
    </row>
    <row r="766" spans="1:6" x14ac:dyDescent="0.2">
      <c r="A766" s="753">
        <v>203206060025</v>
      </c>
      <c r="B766" s="754" t="s">
        <v>2673</v>
      </c>
      <c r="C766" s="755">
        <v>6450000</v>
      </c>
      <c r="D766" s="756">
        <v>44070.426388888904</v>
      </c>
      <c r="E766" s="754" t="s">
        <v>4826</v>
      </c>
      <c r="F766" s="757">
        <v>20201</v>
      </c>
    </row>
    <row r="767" spans="1:6" x14ac:dyDescent="0.2">
      <c r="A767" s="753">
        <v>203206060026</v>
      </c>
      <c r="B767" s="754" t="s">
        <v>2674</v>
      </c>
      <c r="C767" s="755">
        <v>6450000</v>
      </c>
      <c r="D767" s="756">
        <v>44070.714259259301</v>
      </c>
      <c r="E767" s="754" t="s">
        <v>4826</v>
      </c>
      <c r="F767" s="757">
        <v>20201</v>
      </c>
    </row>
    <row r="768" spans="1:6" x14ac:dyDescent="0.2">
      <c r="A768" s="753">
        <v>203206060027</v>
      </c>
      <c r="B768" s="754" t="s">
        <v>2675</v>
      </c>
      <c r="C768" s="755">
        <v>6450000</v>
      </c>
      <c r="D768" s="756">
        <v>44070.855428240699</v>
      </c>
      <c r="E768" s="754" t="s">
        <v>4826</v>
      </c>
      <c r="F768" s="757">
        <v>20201</v>
      </c>
    </row>
    <row r="769" spans="1:6" x14ac:dyDescent="0.2">
      <c r="A769" s="753">
        <v>203206060028</v>
      </c>
      <c r="B769" s="754" t="s">
        <v>2676</v>
      </c>
      <c r="C769" s="755">
        <v>6450000</v>
      </c>
      <c r="D769" s="756">
        <v>44071.449872685203</v>
      </c>
      <c r="E769" s="754" t="s">
        <v>4826</v>
      </c>
      <c r="F769" s="757">
        <v>20201</v>
      </c>
    </row>
    <row r="770" spans="1:6" x14ac:dyDescent="0.2">
      <c r="A770" s="753">
        <v>203206060029</v>
      </c>
      <c r="B770" s="754" t="s">
        <v>2677</v>
      </c>
      <c r="C770" s="755">
        <v>6450000</v>
      </c>
      <c r="D770" s="756">
        <v>44070.390104166698</v>
      </c>
      <c r="E770" s="754" t="s">
        <v>4826</v>
      </c>
      <c r="F770" s="757">
        <v>20201</v>
      </c>
    </row>
    <row r="771" spans="1:6" x14ac:dyDescent="0.2">
      <c r="A771" s="753">
        <v>203206060031</v>
      </c>
      <c r="B771" s="754" t="s">
        <v>2667</v>
      </c>
      <c r="C771" s="755">
        <v>6450000</v>
      </c>
      <c r="D771" s="756">
        <v>44077.599074074104</v>
      </c>
      <c r="E771" s="754" t="s">
        <v>4826</v>
      </c>
      <c r="F771" s="757">
        <v>20201</v>
      </c>
    </row>
    <row r="772" spans="1:6" x14ac:dyDescent="0.2">
      <c r="A772" s="753">
        <v>203206070001</v>
      </c>
      <c r="B772" s="754" t="s">
        <v>2738</v>
      </c>
      <c r="C772" s="755">
        <v>6450000</v>
      </c>
      <c r="D772" s="756">
        <v>44071.379270833299</v>
      </c>
      <c r="E772" s="754" t="s">
        <v>4824</v>
      </c>
      <c r="F772" s="757">
        <v>20201</v>
      </c>
    </row>
    <row r="773" spans="1:6" x14ac:dyDescent="0.2">
      <c r="A773" s="753">
        <v>203206070002</v>
      </c>
      <c r="B773" s="754" t="s">
        <v>2740</v>
      </c>
      <c r="C773" s="755">
        <v>6450000</v>
      </c>
      <c r="D773" s="756">
        <v>44071.5721990741</v>
      </c>
      <c r="E773" s="754" t="s">
        <v>4824</v>
      </c>
      <c r="F773" s="757">
        <v>20201</v>
      </c>
    </row>
    <row r="774" spans="1:6" x14ac:dyDescent="0.2">
      <c r="A774" s="753">
        <v>203206070003</v>
      </c>
      <c r="B774" s="754" t="s">
        <v>2741</v>
      </c>
      <c r="C774" s="755">
        <v>6450000</v>
      </c>
      <c r="D774" s="756">
        <v>44071.7801273148</v>
      </c>
      <c r="E774" s="754" t="s">
        <v>4824</v>
      </c>
      <c r="F774" s="757">
        <v>20201</v>
      </c>
    </row>
    <row r="775" spans="1:6" x14ac:dyDescent="0.2">
      <c r="A775" s="753">
        <v>203206070004</v>
      </c>
      <c r="B775" s="754" t="s">
        <v>2742</v>
      </c>
      <c r="C775" s="755">
        <v>6450000</v>
      </c>
      <c r="D775" s="756">
        <v>44071.350717592599</v>
      </c>
      <c r="E775" s="754" t="s">
        <v>4824</v>
      </c>
      <c r="F775" s="757">
        <v>20201</v>
      </c>
    </row>
    <row r="776" spans="1:6" x14ac:dyDescent="0.2">
      <c r="A776" s="753">
        <v>203206070005</v>
      </c>
      <c r="B776" s="754" t="s">
        <v>2743</v>
      </c>
      <c r="C776" s="755">
        <v>6450000</v>
      </c>
      <c r="D776" s="756">
        <v>44070.840335648201</v>
      </c>
      <c r="E776" s="754" t="s">
        <v>4824</v>
      </c>
      <c r="F776" s="757">
        <v>20201</v>
      </c>
    </row>
    <row r="777" spans="1:6" x14ac:dyDescent="0.2">
      <c r="A777" s="753">
        <v>203206070006</v>
      </c>
      <c r="B777" s="754" t="s">
        <v>2744</v>
      </c>
      <c r="C777" s="755">
        <v>6450000</v>
      </c>
      <c r="D777" s="756">
        <v>44069.887037036999</v>
      </c>
      <c r="E777" s="754" t="s">
        <v>4824</v>
      </c>
      <c r="F777" s="757">
        <v>20201</v>
      </c>
    </row>
    <row r="778" spans="1:6" x14ac:dyDescent="0.2">
      <c r="A778" s="753">
        <v>203206070007</v>
      </c>
      <c r="B778" s="754" t="s">
        <v>2745</v>
      </c>
      <c r="C778" s="755">
        <v>6450000</v>
      </c>
      <c r="D778" s="756">
        <v>44071.652824074103</v>
      </c>
      <c r="E778" s="754" t="s">
        <v>4824</v>
      </c>
      <c r="F778" s="757">
        <v>20201</v>
      </c>
    </row>
    <row r="779" spans="1:6" x14ac:dyDescent="0.2">
      <c r="A779" s="753">
        <v>203206070008</v>
      </c>
      <c r="B779" s="754" t="s">
        <v>2746</v>
      </c>
      <c r="C779" s="755">
        <v>6450000</v>
      </c>
      <c r="D779" s="756">
        <v>44071.5076736111</v>
      </c>
      <c r="E779" s="754" t="s">
        <v>4824</v>
      </c>
      <c r="F779" s="757">
        <v>20201</v>
      </c>
    </row>
    <row r="780" spans="1:6" x14ac:dyDescent="0.2">
      <c r="A780" s="753">
        <v>203206080001</v>
      </c>
      <c r="B780" s="754" t="s">
        <v>4856</v>
      </c>
      <c r="C780" s="755">
        <v>6450000</v>
      </c>
      <c r="D780" s="756">
        <v>44071.387280092596</v>
      </c>
      <c r="E780" s="754" t="s">
        <v>4836</v>
      </c>
      <c r="F780" s="757">
        <v>20201</v>
      </c>
    </row>
    <row r="781" spans="1:6" x14ac:dyDescent="0.2">
      <c r="A781" s="753">
        <v>203206080002</v>
      </c>
      <c r="B781" s="754" t="s">
        <v>2765</v>
      </c>
      <c r="C781" s="755">
        <v>6450000</v>
      </c>
      <c r="D781" s="756">
        <v>44071.333287037</v>
      </c>
      <c r="E781" s="754" t="s">
        <v>4836</v>
      </c>
      <c r="F781" s="757">
        <v>20201</v>
      </c>
    </row>
    <row r="782" spans="1:6" x14ac:dyDescent="0.2">
      <c r="A782" s="753">
        <v>203206080003</v>
      </c>
      <c r="B782" s="754" t="s">
        <v>2766</v>
      </c>
      <c r="C782" s="755">
        <v>6450000</v>
      </c>
      <c r="D782" s="756">
        <v>44071.927916666697</v>
      </c>
      <c r="E782" s="754" t="s">
        <v>4836</v>
      </c>
      <c r="F782" s="757">
        <v>20201</v>
      </c>
    </row>
    <row r="783" spans="1:6" x14ac:dyDescent="0.2">
      <c r="A783" s="753">
        <v>203206080004</v>
      </c>
      <c r="B783" s="754" t="s">
        <v>2768</v>
      </c>
      <c r="C783" s="755">
        <v>6450000</v>
      </c>
      <c r="D783" s="756">
        <v>44070.415416666699</v>
      </c>
      <c r="E783" s="754" t="s">
        <v>4836</v>
      </c>
      <c r="F783" s="757">
        <v>20201</v>
      </c>
    </row>
    <row r="784" spans="1:6" x14ac:dyDescent="0.2">
      <c r="A784" s="753">
        <v>203206080005</v>
      </c>
      <c r="B784" s="754" t="s">
        <v>2769</v>
      </c>
      <c r="C784" s="755">
        <v>6450000</v>
      </c>
      <c r="D784" s="756">
        <v>44071.466574074097</v>
      </c>
      <c r="E784" s="754" t="s">
        <v>4836</v>
      </c>
      <c r="F784" s="757">
        <v>20201</v>
      </c>
    </row>
    <row r="785" spans="1:6" x14ac:dyDescent="0.2">
      <c r="A785" s="753">
        <v>203206080006</v>
      </c>
      <c r="B785" s="754" t="s">
        <v>2770</v>
      </c>
      <c r="C785" s="755">
        <v>6450000</v>
      </c>
      <c r="D785" s="756">
        <v>44069.436203703699</v>
      </c>
      <c r="E785" s="754" t="s">
        <v>4836</v>
      </c>
      <c r="F785" s="757">
        <v>20201</v>
      </c>
    </row>
    <row r="786" spans="1:6" x14ac:dyDescent="0.2">
      <c r="A786" s="753">
        <v>203206080007</v>
      </c>
      <c r="B786" s="754" t="s">
        <v>2771</v>
      </c>
      <c r="C786" s="755">
        <v>6450000</v>
      </c>
      <c r="D786" s="756">
        <v>44071.3725694444</v>
      </c>
      <c r="E786" s="754" t="s">
        <v>4836</v>
      </c>
      <c r="F786" s="757">
        <v>20201</v>
      </c>
    </row>
    <row r="787" spans="1:6" x14ac:dyDescent="0.2">
      <c r="A787" s="753">
        <v>203206080008</v>
      </c>
      <c r="B787" s="754" t="s">
        <v>2772</v>
      </c>
      <c r="C787" s="755">
        <v>6450000</v>
      </c>
      <c r="D787" s="756">
        <v>44071.561585648102</v>
      </c>
      <c r="E787" s="754" t="s">
        <v>4836</v>
      </c>
      <c r="F787" s="757">
        <v>20201</v>
      </c>
    </row>
    <row r="788" spans="1:6" x14ac:dyDescent="0.2">
      <c r="A788" s="753">
        <v>203206080009</v>
      </c>
      <c r="B788" s="754" t="s">
        <v>2773</v>
      </c>
      <c r="C788" s="755">
        <v>6450000</v>
      </c>
      <c r="D788" s="756">
        <v>44070.377233796302</v>
      </c>
      <c r="E788" s="754" t="s">
        <v>4836</v>
      </c>
      <c r="F788" s="757">
        <v>20201</v>
      </c>
    </row>
    <row r="789" spans="1:6" x14ac:dyDescent="0.2">
      <c r="A789" s="753">
        <v>203206080010</v>
      </c>
      <c r="B789" s="754" t="s">
        <v>2774</v>
      </c>
      <c r="C789" s="755">
        <v>6450000</v>
      </c>
      <c r="D789" s="756">
        <v>44071.423391203702</v>
      </c>
      <c r="E789" s="754" t="s">
        <v>4836</v>
      </c>
      <c r="F789" s="757">
        <v>20201</v>
      </c>
    </row>
    <row r="790" spans="1:6" x14ac:dyDescent="0.2">
      <c r="A790" s="753">
        <v>203206080011</v>
      </c>
      <c r="B790" s="754" t="s">
        <v>2775</v>
      </c>
      <c r="C790" s="755">
        <v>6450000</v>
      </c>
      <c r="D790" s="756">
        <v>44070.344259259298</v>
      </c>
      <c r="E790" s="754" t="s">
        <v>4836</v>
      </c>
      <c r="F790" s="757">
        <v>20201</v>
      </c>
    </row>
    <row r="791" spans="1:6" x14ac:dyDescent="0.2">
      <c r="A791" s="753">
        <v>203206080012</v>
      </c>
      <c r="B791" s="754" t="s">
        <v>2767</v>
      </c>
      <c r="C791" s="755">
        <v>6450000</v>
      </c>
      <c r="D791" s="756">
        <v>44077.336620370399</v>
      </c>
      <c r="E791" s="754" t="s">
        <v>4836</v>
      </c>
      <c r="F791" s="757">
        <v>20201</v>
      </c>
    </row>
    <row r="792" spans="1:6" x14ac:dyDescent="0.2">
      <c r="A792" s="753">
        <v>203206080013</v>
      </c>
      <c r="B792" s="754" t="s">
        <v>2776</v>
      </c>
      <c r="C792" s="755">
        <v>6450000</v>
      </c>
      <c r="D792" s="756">
        <v>44077.623553240701</v>
      </c>
      <c r="E792" s="754" t="s">
        <v>4836</v>
      </c>
      <c r="F792" s="757">
        <v>20201</v>
      </c>
    </row>
    <row r="793" spans="1:6" x14ac:dyDescent="0.2">
      <c r="A793" s="753">
        <v>204206040001</v>
      </c>
      <c r="B793" s="754" t="s">
        <v>4857</v>
      </c>
      <c r="C793" s="755">
        <v>6450000</v>
      </c>
      <c r="D793" s="756">
        <v>44077.582662036999</v>
      </c>
      <c r="E793" s="754" t="s">
        <v>4829</v>
      </c>
      <c r="F793" s="757">
        <v>20201</v>
      </c>
    </row>
    <row r="794" spans="1:6" x14ac:dyDescent="0.2">
      <c r="A794" s="753">
        <v>204206070001</v>
      </c>
      <c r="B794" s="754" t="s">
        <v>4858</v>
      </c>
      <c r="C794" s="755">
        <v>6450000</v>
      </c>
      <c r="D794" s="756">
        <v>44080.196956018503</v>
      </c>
      <c r="E794" s="754" t="s">
        <v>4824</v>
      </c>
      <c r="F794" s="757">
        <v>20201</v>
      </c>
    </row>
    <row r="795" spans="1:6" x14ac:dyDescent="0.2">
      <c r="A795" s="753">
        <v>204206080001</v>
      </c>
      <c r="B795" s="754" t="s">
        <v>4859</v>
      </c>
      <c r="C795" s="755">
        <v>6450000</v>
      </c>
      <c r="D795" s="756">
        <v>44077.480046296303</v>
      </c>
      <c r="E795" s="754" t="s">
        <v>4836</v>
      </c>
      <c r="F795" s="757">
        <v>20201</v>
      </c>
    </row>
    <row r="796" spans="1:6" x14ac:dyDescent="0.2">
      <c r="A796" s="753">
        <v>204206080002</v>
      </c>
      <c r="B796" s="754" t="s">
        <v>2778</v>
      </c>
      <c r="C796" s="755">
        <v>6450000</v>
      </c>
      <c r="D796" s="756">
        <v>44079.852615740703</v>
      </c>
      <c r="E796" s="754" t="s">
        <v>4836</v>
      </c>
      <c r="F796" s="757">
        <v>20201</v>
      </c>
    </row>
    <row r="797" spans="1:6" x14ac:dyDescent="0.2">
      <c r="A797" s="753">
        <v>204206080003</v>
      </c>
      <c r="B797" s="754" t="s">
        <v>4860</v>
      </c>
      <c r="C797" s="755">
        <v>6450000</v>
      </c>
      <c r="D797" s="756">
        <v>44079.702835648102</v>
      </c>
      <c r="E797" s="754" t="s">
        <v>4836</v>
      </c>
      <c r="F797" s="757">
        <v>20201</v>
      </c>
    </row>
    <row r="798" spans="1:6" x14ac:dyDescent="0.2">
      <c r="A798" s="753">
        <v>204206080004</v>
      </c>
      <c r="B798" s="754" t="s">
        <v>2780</v>
      </c>
      <c r="C798" s="755">
        <v>6450000</v>
      </c>
      <c r="D798" s="756">
        <v>44079.846655092602</v>
      </c>
      <c r="E798" s="754" t="s">
        <v>4836</v>
      </c>
      <c r="F798" s="757">
        <v>20201</v>
      </c>
    </row>
    <row r="799" spans="1:6" x14ac:dyDescent="0.2">
      <c r="A799" s="753">
        <v>203206010008</v>
      </c>
      <c r="B799" s="754" t="s">
        <v>2559</v>
      </c>
      <c r="C799" s="755">
        <v>6450000</v>
      </c>
      <c r="D799" s="756">
        <v>44071</v>
      </c>
      <c r="E799" s="754"/>
      <c r="F799" s="757">
        <v>20201</v>
      </c>
    </row>
    <row r="800" spans="1:6" x14ac:dyDescent="0.2">
      <c r="A800" s="753">
        <v>203307020006</v>
      </c>
      <c r="B800" s="754" t="s">
        <v>2793</v>
      </c>
      <c r="C800" s="755">
        <v>6000000</v>
      </c>
      <c r="D800" s="756">
        <v>44078.449907407397</v>
      </c>
      <c r="E800" s="754" t="s">
        <v>4828</v>
      </c>
      <c r="F800" s="757">
        <v>20201</v>
      </c>
    </row>
    <row r="801" spans="1:6" x14ac:dyDescent="0.2">
      <c r="A801" s="753">
        <v>204307020009</v>
      </c>
      <c r="B801" s="754" t="s">
        <v>4861</v>
      </c>
      <c r="C801" s="755">
        <v>6000000</v>
      </c>
      <c r="D801" s="756">
        <v>44078.815358796302</v>
      </c>
      <c r="E801" s="754" t="s">
        <v>4828</v>
      </c>
      <c r="F801" s="757">
        <v>20201</v>
      </c>
    </row>
    <row r="802" spans="1:6" x14ac:dyDescent="0.2">
      <c r="A802" s="753">
        <v>203307020006</v>
      </c>
      <c r="B802" s="754" t="s">
        <v>2793</v>
      </c>
      <c r="C802" s="755">
        <v>6000000</v>
      </c>
      <c r="D802" s="756">
        <v>44078.449907407397</v>
      </c>
      <c r="E802" s="754" t="s">
        <v>4828</v>
      </c>
      <c r="F802" s="757">
        <v>20201</v>
      </c>
    </row>
    <row r="803" spans="1:6" x14ac:dyDescent="0.2">
      <c r="A803" s="753">
        <v>204307020009</v>
      </c>
      <c r="B803" s="754" t="s">
        <v>4861</v>
      </c>
      <c r="C803" s="755">
        <v>6000000</v>
      </c>
      <c r="D803" s="756">
        <v>44078.815358796302</v>
      </c>
      <c r="E803" s="754" t="s">
        <v>4828</v>
      </c>
      <c r="F803" s="757">
        <v>20201</v>
      </c>
    </row>
    <row r="804" spans="1:6" x14ac:dyDescent="0.2">
      <c r="A804" s="753">
        <v>203307020006</v>
      </c>
      <c r="B804" s="754" t="s">
        <v>2793</v>
      </c>
      <c r="C804" s="755">
        <v>4250000</v>
      </c>
      <c r="D804" s="756">
        <v>44078.616354166697</v>
      </c>
      <c r="E804" s="754" t="s">
        <v>4828</v>
      </c>
      <c r="F804" s="757">
        <v>20201</v>
      </c>
    </row>
    <row r="805" spans="1:6" x14ac:dyDescent="0.2">
      <c r="A805" s="753">
        <v>204307020009</v>
      </c>
      <c r="B805" s="754" t="s">
        <v>4861</v>
      </c>
      <c r="C805" s="755">
        <v>4250000</v>
      </c>
      <c r="D805" s="756">
        <v>44078.824722222198</v>
      </c>
      <c r="E805" s="754" t="s">
        <v>4828</v>
      </c>
      <c r="F805" s="757">
        <v>20201</v>
      </c>
    </row>
    <row r="806" spans="1:6" x14ac:dyDescent="0.2">
      <c r="A806" s="753">
        <v>203307020006</v>
      </c>
      <c r="B806" s="754" t="s">
        <v>2793</v>
      </c>
      <c r="C806" s="755">
        <v>4250000</v>
      </c>
      <c r="D806" s="756">
        <v>44078.616354166697</v>
      </c>
      <c r="E806" s="754" t="s">
        <v>4828</v>
      </c>
      <c r="F806" s="757">
        <v>20201</v>
      </c>
    </row>
    <row r="807" spans="1:6" x14ac:dyDescent="0.2">
      <c r="A807" s="753">
        <v>204307020009</v>
      </c>
      <c r="B807" s="754" t="s">
        <v>4861</v>
      </c>
      <c r="C807" s="755">
        <v>4250000</v>
      </c>
      <c r="D807" s="756">
        <v>44078.824722222198</v>
      </c>
      <c r="E807" s="754" t="s">
        <v>4828</v>
      </c>
      <c r="F807" s="757">
        <v>20201</v>
      </c>
    </row>
    <row r="808" spans="1:6" x14ac:dyDescent="0.2">
      <c r="A808" s="753">
        <v>203307010001</v>
      </c>
      <c r="B808" s="754" t="s">
        <v>1009</v>
      </c>
      <c r="C808" s="755">
        <v>750000</v>
      </c>
      <c r="D808" s="756">
        <v>44008.395162036999</v>
      </c>
      <c r="E808" s="754" t="s">
        <v>4830</v>
      </c>
      <c r="F808" s="757">
        <v>20201</v>
      </c>
    </row>
    <row r="809" spans="1:6" x14ac:dyDescent="0.2">
      <c r="A809" s="753">
        <v>203307020001</v>
      </c>
      <c r="B809" s="754" t="s">
        <v>1492</v>
      </c>
      <c r="C809" s="755">
        <v>750000</v>
      </c>
      <c r="D809" s="756">
        <v>44041.214189814797</v>
      </c>
      <c r="E809" s="754" t="s">
        <v>4828</v>
      </c>
      <c r="F809" s="757">
        <v>20201</v>
      </c>
    </row>
    <row r="810" spans="1:6" x14ac:dyDescent="0.2">
      <c r="A810" s="753">
        <v>203307020002</v>
      </c>
      <c r="B810" s="754" t="s">
        <v>1768</v>
      </c>
      <c r="C810" s="755">
        <v>750000</v>
      </c>
      <c r="D810" s="756">
        <v>44015.607534722199</v>
      </c>
      <c r="E810" s="754" t="s">
        <v>4828</v>
      </c>
      <c r="F810" s="757">
        <v>20201</v>
      </c>
    </row>
    <row r="811" spans="1:6" x14ac:dyDescent="0.2">
      <c r="A811" s="753">
        <v>203307020003</v>
      </c>
      <c r="B811" s="754" t="s">
        <v>2791</v>
      </c>
      <c r="C811" s="755">
        <v>750000</v>
      </c>
      <c r="D811" s="756">
        <v>43999.5681944444</v>
      </c>
      <c r="E811" s="754" t="s">
        <v>4828</v>
      </c>
      <c r="F811" s="757">
        <v>20201</v>
      </c>
    </row>
    <row r="812" spans="1:6" x14ac:dyDescent="0.2">
      <c r="A812" s="753">
        <v>203307020004</v>
      </c>
      <c r="B812" s="754" t="s">
        <v>1787</v>
      </c>
      <c r="C812" s="755">
        <v>750000</v>
      </c>
      <c r="D812" s="756">
        <v>44007.434050925898</v>
      </c>
      <c r="E812" s="754" t="s">
        <v>4828</v>
      </c>
      <c r="F812" s="757">
        <v>20201</v>
      </c>
    </row>
    <row r="813" spans="1:6" x14ac:dyDescent="0.2">
      <c r="A813" s="753">
        <v>203307020005</v>
      </c>
      <c r="B813" s="754" t="s">
        <v>2792</v>
      </c>
      <c r="C813" s="755">
        <v>750000</v>
      </c>
      <c r="D813" s="756">
        <v>43999.412037037</v>
      </c>
      <c r="E813" s="754" t="s">
        <v>4828</v>
      </c>
      <c r="F813" s="757">
        <v>20201</v>
      </c>
    </row>
    <row r="814" spans="1:6" x14ac:dyDescent="0.2">
      <c r="A814" s="753">
        <v>203307020006</v>
      </c>
      <c r="B814" s="754" t="s">
        <v>2793</v>
      </c>
      <c r="C814" s="755">
        <v>750000</v>
      </c>
      <c r="D814" s="756">
        <v>44005.646423611099</v>
      </c>
      <c r="E814" s="754" t="s">
        <v>4828</v>
      </c>
      <c r="F814" s="757">
        <v>20201</v>
      </c>
    </row>
    <row r="815" spans="1:6" x14ac:dyDescent="0.2">
      <c r="A815" s="753">
        <v>203307020007</v>
      </c>
      <c r="B815" s="754" t="s">
        <v>201</v>
      </c>
      <c r="C815" s="755">
        <v>750000</v>
      </c>
      <c r="D815" s="756">
        <v>44022.386851851901</v>
      </c>
      <c r="E815" s="754" t="s">
        <v>4828</v>
      </c>
      <c r="F815" s="757">
        <v>20201</v>
      </c>
    </row>
    <row r="816" spans="1:6" x14ac:dyDescent="0.2">
      <c r="A816" s="753">
        <v>203307020008</v>
      </c>
      <c r="B816" s="754" t="s">
        <v>2064</v>
      </c>
      <c r="C816" s="755">
        <v>750000</v>
      </c>
      <c r="D816" s="756">
        <v>44050.396354166704</v>
      </c>
      <c r="E816" s="754" t="s">
        <v>4828</v>
      </c>
      <c r="F816" s="757">
        <v>20201</v>
      </c>
    </row>
    <row r="817" spans="1:6" x14ac:dyDescent="0.2">
      <c r="A817" s="753">
        <v>203307020009</v>
      </c>
      <c r="B817" s="754" t="s">
        <v>2801</v>
      </c>
      <c r="C817" s="755">
        <v>750000</v>
      </c>
      <c r="D817" s="756">
        <v>44050.4515509259</v>
      </c>
      <c r="E817" s="754" t="s">
        <v>4828</v>
      </c>
      <c r="F817" s="757">
        <v>20201</v>
      </c>
    </row>
    <row r="818" spans="1:6" x14ac:dyDescent="0.2">
      <c r="A818" s="753">
        <v>204307010001</v>
      </c>
      <c r="B818" s="754" t="s">
        <v>4845</v>
      </c>
      <c r="C818" s="755">
        <v>750000</v>
      </c>
      <c r="D818" s="756">
        <v>44069.356863425899</v>
      </c>
      <c r="E818" s="754" t="s">
        <v>4830</v>
      </c>
      <c r="F818" s="757">
        <v>20201</v>
      </c>
    </row>
    <row r="819" spans="1:6" x14ac:dyDescent="0.2">
      <c r="A819" s="753">
        <v>204307010002</v>
      </c>
      <c r="B819" s="754" t="s">
        <v>2783</v>
      </c>
      <c r="C819" s="755">
        <v>750000</v>
      </c>
      <c r="D819" s="756">
        <v>44034.462777777801</v>
      </c>
      <c r="E819" s="754" t="s">
        <v>4830</v>
      </c>
      <c r="F819" s="757">
        <v>20201</v>
      </c>
    </row>
    <row r="820" spans="1:6" x14ac:dyDescent="0.2">
      <c r="A820" s="753">
        <v>204307010003</v>
      </c>
      <c r="B820" s="754" t="s">
        <v>4846</v>
      </c>
      <c r="C820" s="755">
        <v>750000</v>
      </c>
      <c r="D820" s="756">
        <v>44071.276886574102</v>
      </c>
      <c r="E820" s="754" t="s">
        <v>4830</v>
      </c>
      <c r="F820" s="757">
        <v>20201</v>
      </c>
    </row>
    <row r="821" spans="1:6" x14ac:dyDescent="0.2">
      <c r="A821" s="753">
        <v>204307010004</v>
      </c>
      <c r="B821" s="754" t="s">
        <v>1681</v>
      </c>
      <c r="C821" s="755">
        <v>750000</v>
      </c>
      <c r="D821" s="756">
        <v>44070.478252314802</v>
      </c>
      <c r="E821" s="754" t="s">
        <v>4830</v>
      </c>
      <c r="F821" s="757">
        <v>20201</v>
      </c>
    </row>
    <row r="822" spans="1:6" x14ac:dyDescent="0.2">
      <c r="A822" s="753">
        <v>204307020001</v>
      </c>
      <c r="B822" s="754" t="s">
        <v>2836</v>
      </c>
      <c r="C822" s="755">
        <v>750000</v>
      </c>
      <c r="D822" s="756">
        <v>44070.347534722197</v>
      </c>
      <c r="E822" s="754" t="s">
        <v>4828</v>
      </c>
      <c r="F822" s="757">
        <v>20201</v>
      </c>
    </row>
    <row r="823" spans="1:6" x14ac:dyDescent="0.2">
      <c r="A823" s="753">
        <v>204307020002</v>
      </c>
      <c r="B823" s="754" t="s">
        <v>4847</v>
      </c>
      <c r="C823" s="755">
        <v>750000</v>
      </c>
      <c r="D823" s="756">
        <v>44070.345960648097</v>
      </c>
      <c r="E823" s="754" t="s">
        <v>4828</v>
      </c>
      <c r="F823" s="757">
        <v>20201</v>
      </c>
    </row>
    <row r="824" spans="1:6" x14ac:dyDescent="0.2">
      <c r="A824" s="753">
        <v>204307020003</v>
      </c>
      <c r="B824" s="754" t="s">
        <v>4848</v>
      </c>
      <c r="C824" s="755">
        <v>750000</v>
      </c>
      <c r="D824" s="756">
        <v>44071.406030092599</v>
      </c>
      <c r="E824" s="754" t="s">
        <v>4828</v>
      </c>
      <c r="F824" s="757">
        <v>20201</v>
      </c>
    </row>
    <row r="825" spans="1:6" x14ac:dyDescent="0.2">
      <c r="A825" s="753">
        <v>204307020004</v>
      </c>
      <c r="B825" s="754" t="s">
        <v>4849</v>
      </c>
      <c r="C825" s="755">
        <v>750000</v>
      </c>
      <c r="D825" s="756">
        <v>44071.5321064815</v>
      </c>
      <c r="E825" s="754" t="s">
        <v>4828</v>
      </c>
      <c r="F825" s="757">
        <v>20201</v>
      </c>
    </row>
    <row r="826" spans="1:6" x14ac:dyDescent="0.2">
      <c r="A826" s="753">
        <v>204307020005</v>
      </c>
      <c r="B826" s="754" t="s">
        <v>4850</v>
      </c>
      <c r="C826" s="755">
        <v>750000</v>
      </c>
      <c r="D826" s="756">
        <v>44071.505821759303</v>
      </c>
      <c r="E826" s="754" t="s">
        <v>4828</v>
      </c>
      <c r="F826" s="757">
        <v>20201</v>
      </c>
    </row>
    <row r="827" spans="1:6" x14ac:dyDescent="0.2">
      <c r="A827" s="753">
        <v>204307020006</v>
      </c>
      <c r="B827" s="754" t="s">
        <v>4851</v>
      </c>
      <c r="C827" s="755">
        <v>750000</v>
      </c>
      <c r="D827" s="756">
        <v>44069.930740740703</v>
      </c>
      <c r="E827" s="754" t="s">
        <v>4828</v>
      </c>
      <c r="F827" s="757">
        <v>20201</v>
      </c>
    </row>
    <row r="828" spans="1:6" x14ac:dyDescent="0.2">
      <c r="A828" s="753">
        <v>204307020007</v>
      </c>
      <c r="B828" s="754" t="s">
        <v>4852</v>
      </c>
      <c r="C828" s="755">
        <v>750000</v>
      </c>
      <c r="D828" s="756">
        <v>44071.584745370397</v>
      </c>
      <c r="E828" s="754" t="s">
        <v>4828</v>
      </c>
      <c r="F828" s="757">
        <v>20201</v>
      </c>
    </row>
    <row r="829" spans="1:6" x14ac:dyDescent="0.2">
      <c r="A829" s="753">
        <v>204307020008</v>
      </c>
      <c r="B829" s="754" t="s">
        <v>4853</v>
      </c>
      <c r="C829" s="755">
        <v>750000</v>
      </c>
      <c r="D829" s="756">
        <v>44071.590902777803</v>
      </c>
      <c r="E829" s="754" t="s">
        <v>4828</v>
      </c>
      <c r="F829" s="757">
        <v>20201</v>
      </c>
    </row>
    <row r="830" spans="1:6" x14ac:dyDescent="0.2">
      <c r="A830" s="753">
        <v>204307020009</v>
      </c>
      <c r="B830" s="754" t="s">
        <v>4861</v>
      </c>
      <c r="C830" s="755">
        <v>750000</v>
      </c>
      <c r="D830" s="756">
        <v>44071.338252314803</v>
      </c>
      <c r="E830" s="754" t="s">
        <v>4828</v>
      </c>
      <c r="F830" s="757">
        <v>20201</v>
      </c>
    </row>
    <row r="831" spans="1:6" x14ac:dyDescent="0.2">
      <c r="A831" s="753">
        <v>203307010001</v>
      </c>
      <c r="B831" s="754" t="s">
        <v>1009</v>
      </c>
      <c r="C831" s="755">
        <v>750000</v>
      </c>
      <c r="D831" s="756">
        <v>44008.395162036999</v>
      </c>
      <c r="E831" s="754" t="s">
        <v>4830</v>
      </c>
      <c r="F831" s="757">
        <v>20201</v>
      </c>
    </row>
    <row r="832" spans="1:6" x14ac:dyDescent="0.2">
      <c r="A832" s="753">
        <v>203307020001</v>
      </c>
      <c r="B832" s="754" t="s">
        <v>1492</v>
      </c>
      <c r="C832" s="755">
        <v>750000</v>
      </c>
      <c r="D832" s="756">
        <v>44041.214189814797</v>
      </c>
      <c r="E832" s="754" t="s">
        <v>4828</v>
      </c>
      <c r="F832" s="757">
        <v>20201</v>
      </c>
    </row>
    <row r="833" spans="1:6" x14ac:dyDescent="0.2">
      <c r="A833" s="753">
        <v>203307020002</v>
      </c>
      <c r="B833" s="754" t="s">
        <v>1768</v>
      </c>
      <c r="C833" s="755">
        <v>750000</v>
      </c>
      <c r="D833" s="756">
        <v>44015.607534722199</v>
      </c>
      <c r="E833" s="754" t="s">
        <v>4828</v>
      </c>
      <c r="F833" s="757">
        <v>20201</v>
      </c>
    </row>
    <row r="834" spans="1:6" x14ac:dyDescent="0.2">
      <c r="A834" s="753">
        <v>203307020003</v>
      </c>
      <c r="B834" s="754" t="s">
        <v>2791</v>
      </c>
      <c r="C834" s="755">
        <v>750000</v>
      </c>
      <c r="D834" s="756">
        <v>43999.5681944444</v>
      </c>
      <c r="E834" s="754" t="s">
        <v>4828</v>
      </c>
      <c r="F834" s="757">
        <v>20201</v>
      </c>
    </row>
    <row r="835" spans="1:6" x14ac:dyDescent="0.2">
      <c r="A835" s="753">
        <v>203307020004</v>
      </c>
      <c r="B835" s="754" t="s">
        <v>1787</v>
      </c>
      <c r="C835" s="755">
        <v>750000</v>
      </c>
      <c r="D835" s="756">
        <v>44007.434050925898</v>
      </c>
      <c r="E835" s="754" t="s">
        <v>4828</v>
      </c>
      <c r="F835" s="757">
        <v>20201</v>
      </c>
    </row>
    <row r="836" spans="1:6" x14ac:dyDescent="0.2">
      <c r="A836" s="753">
        <v>203307020005</v>
      </c>
      <c r="B836" s="754" t="s">
        <v>2792</v>
      </c>
      <c r="C836" s="755">
        <v>750000</v>
      </c>
      <c r="D836" s="756">
        <v>43999.412037037</v>
      </c>
      <c r="E836" s="754" t="s">
        <v>4828</v>
      </c>
      <c r="F836" s="757">
        <v>20201</v>
      </c>
    </row>
    <row r="837" spans="1:6" x14ac:dyDescent="0.2">
      <c r="A837" s="753">
        <v>203307020006</v>
      </c>
      <c r="B837" s="754" t="s">
        <v>2793</v>
      </c>
      <c r="C837" s="755">
        <v>750000</v>
      </c>
      <c r="D837" s="756">
        <v>44005.646423611099</v>
      </c>
      <c r="E837" s="754" t="s">
        <v>4828</v>
      </c>
      <c r="F837" s="757">
        <v>20201</v>
      </c>
    </row>
    <row r="838" spans="1:6" x14ac:dyDescent="0.2">
      <c r="A838" s="753">
        <v>203307020007</v>
      </c>
      <c r="B838" s="754" t="s">
        <v>201</v>
      </c>
      <c r="C838" s="755">
        <v>750000</v>
      </c>
      <c r="D838" s="756">
        <v>44022.386851851901</v>
      </c>
      <c r="E838" s="754" t="s">
        <v>4828</v>
      </c>
      <c r="F838" s="757">
        <v>20201</v>
      </c>
    </row>
    <row r="839" spans="1:6" x14ac:dyDescent="0.2">
      <c r="A839" s="753">
        <v>203307020008</v>
      </c>
      <c r="B839" s="754" t="s">
        <v>2064</v>
      </c>
      <c r="C839" s="755">
        <v>750000</v>
      </c>
      <c r="D839" s="756">
        <v>44050.396354166704</v>
      </c>
      <c r="E839" s="754" t="s">
        <v>4828</v>
      </c>
      <c r="F839" s="757">
        <v>20201</v>
      </c>
    </row>
    <row r="840" spans="1:6" x14ac:dyDescent="0.2">
      <c r="A840" s="753">
        <v>203307020009</v>
      </c>
      <c r="B840" s="754" t="s">
        <v>2801</v>
      </c>
      <c r="C840" s="755">
        <v>750000</v>
      </c>
      <c r="D840" s="756">
        <v>44050.4515509259</v>
      </c>
      <c r="E840" s="754" t="s">
        <v>4828</v>
      </c>
      <c r="F840" s="757">
        <v>20201</v>
      </c>
    </row>
    <row r="841" spans="1:6" x14ac:dyDescent="0.2">
      <c r="A841" s="753">
        <v>204307010001</v>
      </c>
      <c r="B841" s="754" t="s">
        <v>4845</v>
      </c>
      <c r="C841" s="755">
        <v>750000</v>
      </c>
      <c r="D841" s="756">
        <v>44069.356863425899</v>
      </c>
      <c r="E841" s="754" t="s">
        <v>4830</v>
      </c>
      <c r="F841" s="757">
        <v>20201</v>
      </c>
    </row>
    <row r="842" spans="1:6" x14ac:dyDescent="0.2">
      <c r="A842" s="753">
        <v>204307010002</v>
      </c>
      <c r="B842" s="754" t="s">
        <v>2783</v>
      </c>
      <c r="C842" s="755">
        <v>750000</v>
      </c>
      <c r="D842" s="756">
        <v>44034.462777777801</v>
      </c>
      <c r="E842" s="754" t="s">
        <v>4830</v>
      </c>
      <c r="F842" s="757">
        <v>20201</v>
      </c>
    </row>
    <row r="843" spans="1:6" x14ac:dyDescent="0.2">
      <c r="A843" s="753">
        <v>204307010003</v>
      </c>
      <c r="B843" s="754" t="s">
        <v>4846</v>
      </c>
      <c r="C843" s="755">
        <v>750000</v>
      </c>
      <c r="D843" s="756">
        <v>44071.276886574102</v>
      </c>
      <c r="E843" s="754" t="s">
        <v>4830</v>
      </c>
      <c r="F843" s="757">
        <v>20201</v>
      </c>
    </row>
    <row r="844" spans="1:6" x14ac:dyDescent="0.2">
      <c r="A844" s="753">
        <v>204307010004</v>
      </c>
      <c r="B844" s="754" t="s">
        <v>1681</v>
      </c>
      <c r="C844" s="755">
        <v>750000</v>
      </c>
      <c r="D844" s="756">
        <v>44070.478252314802</v>
      </c>
      <c r="E844" s="754" t="s">
        <v>4830</v>
      </c>
      <c r="F844" s="757">
        <v>20201</v>
      </c>
    </row>
    <row r="845" spans="1:6" x14ac:dyDescent="0.2">
      <c r="A845" s="753">
        <v>204307020001</v>
      </c>
      <c r="B845" s="754" t="s">
        <v>2836</v>
      </c>
      <c r="C845" s="755">
        <v>750000</v>
      </c>
      <c r="D845" s="756">
        <v>44070.347534722197</v>
      </c>
      <c r="E845" s="754" t="s">
        <v>4828</v>
      </c>
      <c r="F845" s="757">
        <v>20201</v>
      </c>
    </row>
    <row r="846" spans="1:6" x14ac:dyDescent="0.2">
      <c r="A846" s="753">
        <v>204307020002</v>
      </c>
      <c r="B846" s="754" t="s">
        <v>4847</v>
      </c>
      <c r="C846" s="755">
        <v>750000</v>
      </c>
      <c r="D846" s="756">
        <v>44070.345960648097</v>
      </c>
      <c r="E846" s="754" t="s">
        <v>4828</v>
      </c>
      <c r="F846" s="757">
        <v>20201</v>
      </c>
    </row>
    <row r="847" spans="1:6" x14ac:dyDescent="0.2">
      <c r="A847" s="753">
        <v>204307020003</v>
      </c>
      <c r="B847" s="754" t="s">
        <v>4848</v>
      </c>
      <c r="C847" s="755">
        <v>750000</v>
      </c>
      <c r="D847" s="756">
        <v>44071.406030092599</v>
      </c>
      <c r="E847" s="754" t="s">
        <v>4828</v>
      </c>
      <c r="F847" s="757">
        <v>20201</v>
      </c>
    </row>
    <row r="848" spans="1:6" x14ac:dyDescent="0.2">
      <c r="A848" s="753">
        <v>204307020004</v>
      </c>
      <c r="B848" s="754" t="s">
        <v>4849</v>
      </c>
      <c r="C848" s="755">
        <v>750000</v>
      </c>
      <c r="D848" s="756">
        <v>44071.5321064815</v>
      </c>
      <c r="E848" s="754" t="s">
        <v>4828</v>
      </c>
      <c r="F848" s="757">
        <v>20201</v>
      </c>
    </row>
    <row r="849" spans="1:6" x14ac:dyDescent="0.2">
      <c r="A849" s="753">
        <v>204307020005</v>
      </c>
      <c r="B849" s="754" t="s">
        <v>4850</v>
      </c>
      <c r="C849" s="755">
        <v>750000</v>
      </c>
      <c r="D849" s="756">
        <v>44071.505821759303</v>
      </c>
      <c r="E849" s="754" t="s">
        <v>4828</v>
      </c>
      <c r="F849" s="757">
        <v>20201</v>
      </c>
    </row>
    <row r="850" spans="1:6" x14ac:dyDescent="0.2">
      <c r="A850" s="753">
        <v>204307020006</v>
      </c>
      <c r="B850" s="754" t="s">
        <v>4851</v>
      </c>
      <c r="C850" s="755">
        <v>750000</v>
      </c>
      <c r="D850" s="756">
        <v>44069.930740740703</v>
      </c>
      <c r="E850" s="754" t="s">
        <v>4828</v>
      </c>
      <c r="F850" s="757">
        <v>20201</v>
      </c>
    </row>
    <row r="851" spans="1:6" x14ac:dyDescent="0.2">
      <c r="A851" s="753">
        <v>204307020007</v>
      </c>
      <c r="B851" s="754" t="s">
        <v>4852</v>
      </c>
      <c r="C851" s="755">
        <v>750000</v>
      </c>
      <c r="D851" s="756">
        <v>44071.584745370397</v>
      </c>
      <c r="E851" s="754" t="s">
        <v>4828</v>
      </c>
      <c r="F851" s="757">
        <v>20201</v>
      </c>
    </row>
    <row r="852" spans="1:6" x14ac:dyDescent="0.2">
      <c r="A852" s="753">
        <v>204307020008</v>
      </c>
      <c r="B852" s="754" t="s">
        <v>4853</v>
      </c>
      <c r="C852" s="755">
        <v>750000</v>
      </c>
      <c r="D852" s="756">
        <v>44071.590902777803</v>
      </c>
      <c r="E852" s="754" t="s">
        <v>4828</v>
      </c>
      <c r="F852" s="757">
        <v>20201</v>
      </c>
    </row>
    <row r="853" spans="1:6" x14ac:dyDescent="0.2">
      <c r="A853" s="753">
        <v>204307020009</v>
      </c>
      <c r="B853" s="754" t="s">
        <v>4861</v>
      </c>
      <c r="C853" s="755">
        <v>750000</v>
      </c>
      <c r="D853" s="756">
        <v>44071.338252314803</v>
      </c>
      <c r="E853" s="754" t="s">
        <v>4828</v>
      </c>
      <c r="F853" s="757">
        <v>20201</v>
      </c>
    </row>
    <row r="854" spans="1:6" x14ac:dyDescent="0.2">
      <c r="A854" s="753">
        <v>203206010001</v>
      </c>
      <c r="B854" s="754" t="s">
        <v>2549</v>
      </c>
      <c r="C854" s="755">
        <v>500000</v>
      </c>
      <c r="D854" s="756">
        <v>44020.533148148097</v>
      </c>
      <c r="E854" s="754" t="s">
        <v>4825</v>
      </c>
      <c r="F854" s="757">
        <v>20201</v>
      </c>
    </row>
    <row r="855" spans="1:6" x14ac:dyDescent="0.2">
      <c r="A855" s="753">
        <v>203206010002</v>
      </c>
      <c r="B855" s="754" t="s">
        <v>2553</v>
      </c>
      <c r="C855" s="755">
        <v>500000</v>
      </c>
      <c r="D855" s="756">
        <v>44039.578506944403</v>
      </c>
      <c r="E855" s="754" t="s">
        <v>4825</v>
      </c>
      <c r="F855" s="757">
        <v>20201</v>
      </c>
    </row>
    <row r="856" spans="1:6" x14ac:dyDescent="0.2">
      <c r="A856" s="753">
        <v>203206010003</v>
      </c>
      <c r="B856" s="754" t="s">
        <v>2554</v>
      </c>
      <c r="C856" s="755">
        <v>500000</v>
      </c>
      <c r="D856" s="756">
        <v>43992.477581018502</v>
      </c>
      <c r="E856" s="754" t="s">
        <v>4825</v>
      </c>
      <c r="F856" s="757">
        <v>20201</v>
      </c>
    </row>
    <row r="857" spans="1:6" x14ac:dyDescent="0.2">
      <c r="A857" s="753">
        <v>203206010004</v>
      </c>
      <c r="B857" s="754" t="s">
        <v>2555</v>
      </c>
      <c r="C857" s="755">
        <v>500000</v>
      </c>
      <c r="D857" s="756">
        <v>44027.7483796296</v>
      </c>
      <c r="E857" s="754" t="s">
        <v>4825</v>
      </c>
      <c r="F857" s="757">
        <v>20201</v>
      </c>
    </row>
    <row r="858" spans="1:6" x14ac:dyDescent="0.2">
      <c r="A858" s="753">
        <v>203206010005</v>
      </c>
      <c r="B858" s="754" t="s">
        <v>2556</v>
      </c>
      <c r="C858" s="755">
        <v>500000</v>
      </c>
      <c r="D858" s="756">
        <v>44025.746192129598</v>
      </c>
      <c r="E858" s="754" t="s">
        <v>4825</v>
      </c>
      <c r="F858" s="757">
        <v>20201</v>
      </c>
    </row>
    <row r="859" spans="1:6" x14ac:dyDescent="0.2">
      <c r="A859" s="753">
        <v>203206010006</v>
      </c>
      <c r="B859" s="754" t="s">
        <v>2557</v>
      </c>
      <c r="C859" s="755">
        <v>500000</v>
      </c>
      <c r="D859" s="756">
        <v>44022.436388888898</v>
      </c>
      <c r="E859" s="754" t="s">
        <v>4825</v>
      </c>
      <c r="F859" s="757">
        <v>20201</v>
      </c>
    </row>
    <row r="860" spans="1:6" x14ac:dyDescent="0.2">
      <c r="A860" s="753">
        <v>203206010007</v>
      </c>
      <c r="B860" s="754" t="s">
        <v>2558</v>
      </c>
      <c r="C860" s="755">
        <v>500000</v>
      </c>
      <c r="D860" s="756">
        <v>44007.467685185198</v>
      </c>
      <c r="E860" s="754" t="s">
        <v>4825</v>
      </c>
      <c r="F860" s="757">
        <v>20201</v>
      </c>
    </row>
    <row r="861" spans="1:6" x14ac:dyDescent="0.2">
      <c r="A861" s="753">
        <v>203206010009</v>
      </c>
      <c r="B861" s="754" t="s">
        <v>2561</v>
      </c>
      <c r="C861" s="755">
        <v>500000</v>
      </c>
      <c r="D861" s="756">
        <v>43994.596516203703</v>
      </c>
      <c r="E861" s="754" t="s">
        <v>4825</v>
      </c>
      <c r="F861" s="757">
        <v>20201</v>
      </c>
    </row>
    <row r="862" spans="1:6" x14ac:dyDescent="0.2">
      <c r="A862" s="753">
        <v>203206010010</v>
      </c>
      <c r="B862" s="754" t="s">
        <v>2562</v>
      </c>
      <c r="C862" s="755">
        <v>500000</v>
      </c>
      <c r="D862" s="756">
        <v>44016.3836226852</v>
      </c>
      <c r="E862" s="754" t="s">
        <v>4825</v>
      </c>
      <c r="F862" s="757">
        <v>20201</v>
      </c>
    </row>
    <row r="863" spans="1:6" x14ac:dyDescent="0.2">
      <c r="A863" s="753">
        <v>203206010011</v>
      </c>
      <c r="B863" s="754" t="s">
        <v>2563</v>
      </c>
      <c r="C863" s="755">
        <v>500000</v>
      </c>
      <c r="D863" s="756">
        <v>44025.413958333302</v>
      </c>
      <c r="E863" s="754" t="s">
        <v>4825</v>
      </c>
      <c r="F863" s="757">
        <v>20201</v>
      </c>
    </row>
    <row r="864" spans="1:6" x14ac:dyDescent="0.2">
      <c r="A864" s="753">
        <v>203206010012</v>
      </c>
      <c r="B864" s="754" t="s">
        <v>2564</v>
      </c>
      <c r="C864" s="755">
        <v>500000</v>
      </c>
      <c r="D864" s="756">
        <v>44026.392905092602</v>
      </c>
      <c r="E864" s="754" t="s">
        <v>4825</v>
      </c>
      <c r="F864" s="757">
        <v>20201</v>
      </c>
    </row>
    <row r="865" spans="1:6" x14ac:dyDescent="0.2">
      <c r="A865" s="753">
        <v>203206010013</v>
      </c>
      <c r="B865" s="754" t="s">
        <v>2565</v>
      </c>
      <c r="C865" s="755">
        <v>500000</v>
      </c>
      <c r="D865" s="756">
        <v>44019.390011574098</v>
      </c>
      <c r="E865" s="754" t="s">
        <v>4825</v>
      </c>
      <c r="F865" s="757">
        <v>20201</v>
      </c>
    </row>
    <row r="866" spans="1:6" x14ac:dyDescent="0.2">
      <c r="A866" s="753">
        <v>203206010014</v>
      </c>
      <c r="B866" s="754" t="s">
        <v>2566</v>
      </c>
      <c r="C866" s="755">
        <v>500000</v>
      </c>
      <c r="D866" s="756">
        <v>44007.426655092597</v>
      </c>
      <c r="E866" s="754" t="s">
        <v>4825</v>
      </c>
      <c r="F866" s="757">
        <v>20201</v>
      </c>
    </row>
    <row r="867" spans="1:6" x14ac:dyDescent="0.2">
      <c r="A867" s="753">
        <v>203206010015</v>
      </c>
      <c r="B867" s="754" t="s">
        <v>2567</v>
      </c>
      <c r="C867" s="755">
        <v>500000</v>
      </c>
      <c r="D867" s="756">
        <v>44018.629571759302</v>
      </c>
      <c r="E867" s="754" t="s">
        <v>4825</v>
      </c>
      <c r="F867" s="757">
        <v>20201</v>
      </c>
    </row>
    <row r="868" spans="1:6" x14ac:dyDescent="0.2">
      <c r="A868" s="753">
        <v>203206010016</v>
      </c>
      <c r="B868" s="754" t="s">
        <v>2568</v>
      </c>
      <c r="C868" s="755">
        <v>500000</v>
      </c>
      <c r="D868" s="756">
        <v>44026.515567129602</v>
      </c>
      <c r="E868" s="754" t="s">
        <v>4825</v>
      </c>
      <c r="F868" s="757">
        <v>20201</v>
      </c>
    </row>
    <row r="869" spans="1:6" x14ac:dyDescent="0.2">
      <c r="A869" s="753">
        <v>203206010017</v>
      </c>
      <c r="B869" s="754" t="s">
        <v>2569</v>
      </c>
      <c r="C869" s="755">
        <v>500000</v>
      </c>
      <c r="D869" s="756">
        <v>44021.424340277801</v>
      </c>
      <c r="E869" s="754" t="s">
        <v>4825</v>
      </c>
      <c r="F869" s="757">
        <v>20201</v>
      </c>
    </row>
    <row r="870" spans="1:6" x14ac:dyDescent="0.2">
      <c r="A870" s="753">
        <v>203206010018</v>
      </c>
      <c r="B870" s="754" t="s">
        <v>2570</v>
      </c>
      <c r="C870" s="755">
        <v>500000</v>
      </c>
      <c r="D870" s="756">
        <v>43992.387812499997</v>
      </c>
      <c r="E870" s="754" t="s">
        <v>4825</v>
      </c>
      <c r="F870" s="757">
        <v>20201</v>
      </c>
    </row>
    <row r="871" spans="1:6" x14ac:dyDescent="0.2">
      <c r="A871" s="753">
        <v>203206010019</v>
      </c>
      <c r="B871" s="754" t="s">
        <v>2571</v>
      </c>
      <c r="C871" s="755">
        <v>500000</v>
      </c>
      <c r="D871" s="756">
        <v>43997.609606481499</v>
      </c>
      <c r="E871" s="754" t="s">
        <v>4825</v>
      </c>
      <c r="F871" s="757">
        <v>20201</v>
      </c>
    </row>
    <row r="872" spans="1:6" x14ac:dyDescent="0.2">
      <c r="A872" s="753">
        <v>203206010021</v>
      </c>
      <c r="B872" s="754" t="s">
        <v>2574</v>
      </c>
      <c r="C872" s="755">
        <v>500000</v>
      </c>
      <c r="D872" s="756">
        <v>44025.4530324074</v>
      </c>
      <c r="E872" s="754" t="s">
        <v>4825</v>
      </c>
      <c r="F872" s="757">
        <v>20201</v>
      </c>
    </row>
    <row r="873" spans="1:6" x14ac:dyDescent="0.2">
      <c r="A873" s="753">
        <v>203206010022</v>
      </c>
      <c r="B873" s="754" t="s">
        <v>2575</v>
      </c>
      <c r="C873" s="755">
        <v>500000</v>
      </c>
      <c r="D873" s="756">
        <v>44019.596238425896</v>
      </c>
      <c r="E873" s="754" t="s">
        <v>4825</v>
      </c>
      <c r="F873" s="757">
        <v>20201</v>
      </c>
    </row>
    <row r="874" spans="1:6" x14ac:dyDescent="0.2">
      <c r="A874" s="753">
        <v>203206010023</v>
      </c>
      <c r="B874" s="754" t="s">
        <v>2576</v>
      </c>
      <c r="C874" s="755">
        <v>500000</v>
      </c>
      <c r="D874" s="756">
        <v>44013.461539351898</v>
      </c>
      <c r="E874" s="754" t="s">
        <v>4825</v>
      </c>
      <c r="F874" s="757">
        <v>20201</v>
      </c>
    </row>
    <row r="875" spans="1:6" x14ac:dyDescent="0.2">
      <c r="A875" s="753">
        <v>203206010024</v>
      </c>
      <c r="B875" s="754" t="s">
        <v>2577</v>
      </c>
      <c r="C875" s="755">
        <v>500000</v>
      </c>
      <c r="D875" s="756">
        <v>44026.497534722199</v>
      </c>
      <c r="E875" s="754" t="s">
        <v>4825</v>
      </c>
      <c r="F875" s="757">
        <v>20201</v>
      </c>
    </row>
    <row r="876" spans="1:6" x14ac:dyDescent="0.2">
      <c r="A876" s="753">
        <v>203206010025</v>
      </c>
      <c r="B876" s="754" t="s">
        <v>2578</v>
      </c>
      <c r="C876" s="755">
        <v>500000</v>
      </c>
      <c r="D876" s="756">
        <v>44050.351944444403</v>
      </c>
      <c r="E876" s="754" t="s">
        <v>4825</v>
      </c>
      <c r="F876" s="757">
        <v>20201</v>
      </c>
    </row>
    <row r="877" spans="1:6" x14ac:dyDescent="0.2">
      <c r="A877" s="753">
        <v>203206010026</v>
      </c>
      <c r="B877" s="754" t="s">
        <v>2579</v>
      </c>
      <c r="C877" s="755">
        <v>500000</v>
      </c>
      <c r="D877" s="756">
        <v>43999.405254629601</v>
      </c>
      <c r="E877" s="754" t="s">
        <v>4825</v>
      </c>
      <c r="F877" s="757">
        <v>20201</v>
      </c>
    </row>
    <row r="878" spans="1:6" x14ac:dyDescent="0.2">
      <c r="A878" s="753">
        <v>203206010027</v>
      </c>
      <c r="B878" s="754" t="s">
        <v>2580</v>
      </c>
      <c r="C878" s="755">
        <v>500000</v>
      </c>
      <c r="D878" s="756">
        <v>44015.764386574097</v>
      </c>
      <c r="E878" s="754" t="s">
        <v>4825</v>
      </c>
      <c r="F878" s="757">
        <v>20201</v>
      </c>
    </row>
    <row r="879" spans="1:6" x14ac:dyDescent="0.2">
      <c r="A879" s="753">
        <v>203206010028</v>
      </c>
      <c r="B879" s="754" t="s">
        <v>2581</v>
      </c>
      <c r="C879" s="755">
        <v>500000</v>
      </c>
      <c r="D879" s="756">
        <v>44027.769606481503</v>
      </c>
      <c r="E879" s="754" t="s">
        <v>4825</v>
      </c>
      <c r="F879" s="757">
        <v>20201</v>
      </c>
    </row>
    <row r="880" spans="1:6" x14ac:dyDescent="0.2">
      <c r="A880" s="753">
        <v>203206010029</v>
      </c>
      <c r="B880" s="754" t="s">
        <v>2582</v>
      </c>
      <c r="C880" s="755">
        <v>500000</v>
      </c>
      <c r="D880" s="756">
        <v>44008.483749999999</v>
      </c>
      <c r="E880" s="754" t="s">
        <v>4825</v>
      </c>
      <c r="F880" s="757">
        <v>20201</v>
      </c>
    </row>
    <row r="881" spans="1:6" x14ac:dyDescent="0.2">
      <c r="A881" s="753">
        <v>203206010030</v>
      </c>
      <c r="B881" s="754" t="s">
        <v>2583</v>
      </c>
      <c r="C881" s="755">
        <v>500000</v>
      </c>
      <c r="D881" s="756">
        <v>44005.756712962997</v>
      </c>
      <c r="E881" s="754" t="s">
        <v>4825</v>
      </c>
      <c r="F881" s="757">
        <v>20201</v>
      </c>
    </row>
    <row r="882" spans="1:6" x14ac:dyDescent="0.2">
      <c r="A882" s="753">
        <v>203206010031</v>
      </c>
      <c r="B882" s="754" t="s">
        <v>2584</v>
      </c>
      <c r="C882" s="755">
        <v>500000</v>
      </c>
      <c r="D882" s="756">
        <v>44019.766203703701</v>
      </c>
      <c r="E882" s="754" t="s">
        <v>4825</v>
      </c>
      <c r="F882" s="757">
        <v>20201</v>
      </c>
    </row>
    <row r="883" spans="1:6" x14ac:dyDescent="0.2">
      <c r="A883" s="753">
        <v>203206010032</v>
      </c>
      <c r="B883" s="754" t="s">
        <v>2585</v>
      </c>
      <c r="C883" s="755">
        <v>500000</v>
      </c>
      <c r="D883" s="756">
        <v>44050.341979166697</v>
      </c>
      <c r="E883" s="754" t="s">
        <v>4825</v>
      </c>
      <c r="F883" s="757">
        <v>20201</v>
      </c>
    </row>
    <row r="884" spans="1:6" x14ac:dyDescent="0.2">
      <c r="A884" s="753">
        <v>203206010033</v>
      </c>
      <c r="B884" s="754" t="s">
        <v>2586</v>
      </c>
      <c r="C884" s="755">
        <v>500000</v>
      </c>
      <c r="D884" s="756">
        <v>43995.4210648148</v>
      </c>
      <c r="E884" s="754" t="s">
        <v>4825</v>
      </c>
      <c r="F884" s="757">
        <v>20201</v>
      </c>
    </row>
    <row r="885" spans="1:6" x14ac:dyDescent="0.2">
      <c r="A885" s="753">
        <v>203206010034</v>
      </c>
      <c r="B885" s="754" t="s">
        <v>2587</v>
      </c>
      <c r="C885" s="755">
        <v>500000</v>
      </c>
      <c r="D885" s="756">
        <v>44032.5878703704</v>
      </c>
      <c r="E885" s="754" t="s">
        <v>4825</v>
      </c>
      <c r="F885" s="757">
        <v>20201</v>
      </c>
    </row>
    <row r="886" spans="1:6" x14ac:dyDescent="0.2">
      <c r="A886" s="753">
        <v>203206010035</v>
      </c>
      <c r="B886" s="754" t="s">
        <v>2588</v>
      </c>
      <c r="C886" s="755">
        <v>500000</v>
      </c>
      <c r="D886" s="756">
        <v>44027.5401388889</v>
      </c>
      <c r="E886" s="754" t="s">
        <v>4825</v>
      </c>
      <c r="F886" s="757">
        <v>20201</v>
      </c>
    </row>
    <row r="887" spans="1:6" x14ac:dyDescent="0.2">
      <c r="A887" s="753">
        <v>203206010036</v>
      </c>
      <c r="B887" s="754" t="s">
        <v>2560</v>
      </c>
      <c r="C887" s="755">
        <v>500000</v>
      </c>
      <c r="D887" s="756">
        <v>44026.598680555602</v>
      </c>
      <c r="E887" s="754" t="s">
        <v>4825</v>
      </c>
      <c r="F887" s="757">
        <v>20201</v>
      </c>
    </row>
    <row r="888" spans="1:6" x14ac:dyDescent="0.2">
      <c r="A888" s="753">
        <v>203206010037</v>
      </c>
      <c r="B888" s="754" t="s">
        <v>4854</v>
      </c>
      <c r="C888" s="755">
        <v>500000</v>
      </c>
      <c r="D888" s="756">
        <v>44070.700925925899</v>
      </c>
      <c r="E888" s="754" t="s">
        <v>4825</v>
      </c>
      <c r="F888" s="757">
        <v>20201</v>
      </c>
    </row>
    <row r="889" spans="1:6" x14ac:dyDescent="0.2">
      <c r="A889" s="753">
        <v>203206020002</v>
      </c>
      <c r="B889" s="754" t="s">
        <v>2626</v>
      </c>
      <c r="C889" s="755">
        <v>500000</v>
      </c>
      <c r="D889" s="756">
        <v>43993.621041666702</v>
      </c>
      <c r="E889" s="754" t="s">
        <v>4822</v>
      </c>
      <c r="F889" s="757">
        <v>20201</v>
      </c>
    </row>
    <row r="890" spans="1:6" x14ac:dyDescent="0.2">
      <c r="A890" s="753">
        <v>203206020003</v>
      </c>
      <c r="B890" s="754" t="s">
        <v>2627</v>
      </c>
      <c r="C890" s="755">
        <v>500000</v>
      </c>
      <c r="D890" s="756">
        <v>43994.338611111103</v>
      </c>
      <c r="E890" s="754" t="s">
        <v>4822</v>
      </c>
      <c r="F890" s="757">
        <v>20201</v>
      </c>
    </row>
    <row r="891" spans="1:6" x14ac:dyDescent="0.2">
      <c r="A891" s="753">
        <v>203206020005</v>
      </c>
      <c r="B891" s="754" t="s">
        <v>2629</v>
      </c>
      <c r="C891" s="755">
        <v>500000</v>
      </c>
      <c r="D891" s="756">
        <v>44014.446041666699</v>
      </c>
      <c r="E891" s="754" t="s">
        <v>4822</v>
      </c>
      <c r="F891" s="757">
        <v>20201</v>
      </c>
    </row>
    <row r="892" spans="1:6" x14ac:dyDescent="0.2">
      <c r="A892" s="753">
        <v>203206020006</v>
      </c>
      <c r="B892" s="754" t="s">
        <v>2630</v>
      </c>
      <c r="C892" s="755">
        <v>500000</v>
      </c>
      <c r="D892" s="756">
        <v>44020.4367824074</v>
      </c>
      <c r="E892" s="754" t="s">
        <v>4822</v>
      </c>
      <c r="F892" s="757">
        <v>20201</v>
      </c>
    </row>
    <row r="893" spans="1:6" x14ac:dyDescent="0.2">
      <c r="A893" s="753">
        <v>203206020007</v>
      </c>
      <c r="B893" s="754" t="s">
        <v>2631</v>
      </c>
      <c r="C893" s="755">
        <v>500000</v>
      </c>
      <c r="D893" s="756">
        <v>44026.645196759302</v>
      </c>
      <c r="E893" s="754" t="s">
        <v>4822</v>
      </c>
      <c r="F893" s="757">
        <v>20201</v>
      </c>
    </row>
    <row r="894" spans="1:6" x14ac:dyDescent="0.2">
      <c r="A894" s="753">
        <v>203206020008</v>
      </c>
      <c r="B894" s="754" t="s">
        <v>2632</v>
      </c>
      <c r="C894" s="755">
        <v>500000</v>
      </c>
      <c r="D894" s="756">
        <v>44015.427824074097</v>
      </c>
      <c r="E894" s="754" t="s">
        <v>4822</v>
      </c>
      <c r="F894" s="757">
        <v>20201</v>
      </c>
    </row>
    <row r="895" spans="1:6" x14ac:dyDescent="0.2">
      <c r="A895" s="753">
        <v>203206020009</v>
      </c>
      <c r="B895" s="754" t="s">
        <v>2633</v>
      </c>
      <c r="C895" s="755">
        <v>500000</v>
      </c>
      <c r="D895" s="756">
        <v>44023.423275462999</v>
      </c>
      <c r="E895" s="754" t="s">
        <v>4822</v>
      </c>
      <c r="F895" s="757">
        <v>20201</v>
      </c>
    </row>
    <row r="896" spans="1:6" x14ac:dyDescent="0.2">
      <c r="A896" s="753">
        <v>203206020010</v>
      </c>
      <c r="B896" s="754" t="s">
        <v>2634</v>
      </c>
      <c r="C896" s="755">
        <v>500000</v>
      </c>
      <c r="D896" s="756">
        <v>44022.412071759303</v>
      </c>
      <c r="E896" s="754" t="s">
        <v>4822</v>
      </c>
      <c r="F896" s="757">
        <v>20201</v>
      </c>
    </row>
    <row r="897" spans="1:6" x14ac:dyDescent="0.2">
      <c r="A897" s="753">
        <v>203206020011</v>
      </c>
      <c r="B897" s="754" t="s">
        <v>2635</v>
      </c>
      <c r="C897" s="755">
        <v>500000</v>
      </c>
      <c r="D897" s="756">
        <v>44033.521747685198</v>
      </c>
      <c r="E897" s="754" t="s">
        <v>4822</v>
      </c>
      <c r="F897" s="757">
        <v>20201</v>
      </c>
    </row>
    <row r="898" spans="1:6" x14ac:dyDescent="0.2">
      <c r="A898" s="753">
        <v>203206020012</v>
      </c>
      <c r="B898" s="754" t="s">
        <v>2636</v>
      </c>
      <c r="C898" s="755">
        <v>500000</v>
      </c>
      <c r="D898" s="756">
        <v>44021.612997685203</v>
      </c>
      <c r="E898" s="754" t="s">
        <v>4822</v>
      </c>
      <c r="F898" s="757">
        <v>20201</v>
      </c>
    </row>
    <row r="899" spans="1:6" x14ac:dyDescent="0.2">
      <c r="A899" s="753">
        <v>203206020013</v>
      </c>
      <c r="B899" s="754" t="s">
        <v>2637</v>
      </c>
      <c r="C899" s="755">
        <v>500000</v>
      </c>
      <c r="D899" s="756">
        <v>44025.363877314798</v>
      </c>
      <c r="E899" s="754" t="s">
        <v>4822</v>
      </c>
      <c r="F899" s="757">
        <v>20201</v>
      </c>
    </row>
    <row r="900" spans="1:6" x14ac:dyDescent="0.2">
      <c r="A900" s="753">
        <v>203206020014</v>
      </c>
      <c r="B900" s="754" t="s">
        <v>2638</v>
      </c>
      <c r="C900" s="755">
        <v>500000</v>
      </c>
      <c r="D900" s="756">
        <v>44002.401736111096</v>
      </c>
      <c r="E900" s="754" t="s">
        <v>4822</v>
      </c>
      <c r="F900" s="757">
        <v>20201</v>
      </c>
    </row>
    <row r="901" spans="1:6" x14ac:dyDescent="0.2">
      <c r="A901" s="753">
        <v>203206020015</v>
      </c>
      <c r="B901" s="754" t="s">
        <v>2639</v>
      </c>
      <c r="C901" s="755">
        <v>500000</v>
      </c>
      <c r="D901" s="756">
        <v>44041.5944675926</v>
      </c>
      <c r="E901" s="754" t="s">
        <v>4822</v>
      </c>
      <c r="F901" s="757">
        <v>20201</v>
      </c>
    </row>
    <row r="902" spans="1:6" x14ac:dyDescent="0.2">
      <c r="A902" s="753">
        <v>203206020016</v>
      </c>
      <c r="B902" s="754" t="s">
        <v>2640</v>
      </c>
      <c r="C902" s="755">
        <v>500000</v>
      </c>
      <c r="D902" s="756">
        <v>44019.764710648102</v>
      </c>
      <c r="E902" s="754" t="s">
        <v>4822</v>
      </c>
      <c r="F902" s="757">
        <v>20201</v>
      </c>
    </row>
    <row r="903" spans="1:6" x14ac:dyDescent="0.2">
      <c r="A903" s="753">
        <v>203206020017</v>
      </c>
      <c r="B903" s="754" t="s">
        <v>2641</v>
      </c>
      <c r="C903" s="755">
        <v>500000</v>
      </c>
      <c r="D903" s="756">
        <v>44048.363043981502</v>
      </c>
      <c r="E903" s="754" t="s">
        <v>4822</v>
      </c>
      <c r="F903" s="757">
        <v>20201</v>
      </c>
    </row>
    <row r="904" spans="1:6" x14ac:dyDescent="0.2">
      <c r="A904" s="753">
        <v>203206020018</v>
      </c>
      <c r="B904" s="754" t="s">
        <v>2642</v>
      </c>
      <c r="C904" s="755">
        <v>500000</v>
      </c>
      <c r="D904" s="756">
        <v>44023.751018518502</v>
      </c>
      <c r="E904" s="754" t="s">
        <v>4822</v>
      </c>
      <c r="F904" s="757">
        <v>20201</v>
      </c>
    </row>
    <row r="905" spans="1:6" x14ac:dyDescent="0.2">
      <c r="A905" s="753">
        <v>203206020019</v>
      </c>
      <c r="B905" s="754" t="s">
        <v>2643</v>
      </c>
      <c r="C905" s="755">
        <v>500000</v>
      </c>
      <c r="D905" s="756">
        <v>44004.624571759297</v>
      </c>
      <c r="E905" s="754" t="s">
        <v>4822</v>
      </c>
      <c r="F905" s="757">
        <v>20201</v>
      </c>
    </row>
    <row r="906" spans="1:6" x14ac:dyDescent="0.2">
      <c r="A906" s="753">
        <v>203206020020</v>
      </c>
      <c r="B906" s="754" t="s">
        <v>2644</v>
      </c>
      <c r="C906" s="755">
        <v>500000</v>
      </c>
      <c r="D906" s="756">
        <v>44027.596828703703</v>
      </c>
      <c r="E906" s="754" t="s">
        <v>4822</v>
      </c>
      <c r="F906" s="757">
        <v>20201</v>
      </c>
    </row>
    <row r="907" spans="1:6" x14ac:dyDescent="0.2">
      <c r="A907" s="753">
        <v>203206030001</v>
      </c>
      <c r="B907" s="754" t="s">
        <v>2680</v>
      </c>
      <c r="C907" s="755">
        <v>500000</v>
      </c>
      <c r="D907" s="756">
        <v>44009.808923611097</v>
      </c>
      <c r="E907" s="754" t="s">
        <v>4821</v>
      </c>
      <c r="F907" s="757">
        <v>20201</v>
      </c>
    </row>
    <row r="908" spans="1:6" x14ac:dyDescent="0.2">
      <c r="A908" s="753">
        <v>203206030002</v>
      </c>
      <c r="B908" s="754" t="s">
        <v>2683</v>
      </c>
      <c r="C908" s="755">
        <v>500000</v>
      </c>
      <c r="D908" s="756">
        <v>44013.613310185203</v>
      </c>
      <c r="E908" s="754" t="s">
        <v>4821</v>
      </c>
      <c r="F908" s="757">
        <v>20201</v>
      </c>
    </row>
    <row r="909" spans="1:6" x14ac:dyDescent="0.2">
      <c r="A909" s="753">
        <v>203206030003</v>
      </c>
      <c r="B909" s="754" t="s">
        <v>2684</v>
      </c>
      <c r="C909" s="755">
        <v>500000</v>
      </c>
      <c r="D909" s="756">
        <v>44008.392569444397</v>
      </c>
      <c r="E909" s="754" t="s">
        <v>4821</v>
      </c>
      <c r="F909" s="757">
        <v>20201</v>
      </c>
    </row>
    <row r="910" spans="1:6" x14ac:dyDescent="0.2">
      <c r="A910" s="753">
        <v>203206030004</v>
      </c>
      <c r="B910" s="754" t="s">
        <v>2685</v>
      </c>
      <c r="C910" s="755">
        <v>500000</v>
      </c>
      <c r="D910" s="756">
        <v>44018.491747685199</v>
      </c>
      <c r="E910" s="754" t="s">
        <v>4821</v>
      </c>
      <c r="F910" s="757">
        <v>20201</v>
      </c>
    </row>
    <row r="911" spans="1:6" x14ac:dyDescent="0.2">
      <c r="A911" s="753">
        <v>203206030005</v>
      </c>
      <c r="B911" s="754" t="s">
        <v>2686</v>
      </c>
      <c r="C911" s="755">
        <v>500000</v>
      </c>
      <c r="D911" s="756">
        <v>44027.856307870403</v>
      </c>
      <c r="E911" s="754" t="s">
        <v>4821</v>
      </c>
      <c r="F911" s="757">
        <v>20201</v>
      </c>
    </row>
    <row r="912" spans="1:6" x14ac:dyDescent="0.2">
      <c r="A912" s="753">
        <v>203206030006</v>
      </c>
      <c r="B912" s="754" t="s">
        <v>2687</v>
      </c>
      <c r="C912" s="755">
        <v>500000</v>
      </c>
      <c r="D912" s="756">
        <v>44048.581990740699</v>
      </c>
      <c r="E912" s="754" t="s">
        <v>4821</v>
      </c>
      <c r="F912" s="757">
        <v>20201</v>
      </c>
    </row>
    <row r="913" spans="1:6" x14ac:dyDescent="0.2">
      <c r="A913" s="753">
        <v>203206030007</v>
      </c>
      <c r="B913" s="754" t="s">
        <v>2688</v>
      </c>
      <c r="C913" s="755">
        <v>500000</v>
      </c>
      <c r="D913" s="756">
        <v>44049.551296296297</v>
      </c>
      <c r="E913" s="754" t="s">
        <v>4821</v>
      </c>
      <c r="F913" s="757">
        <v>20201</v>
      </c>
    </row>
    <row r="914" spans="1:6" x14ac:dyDescent="0.2">
      <c r="A914" s="753">
        <v>203206030008</v>
      </c>
      <c r="B914" s="754" t="s">
        <v>2689</v>
      </c>
      <c r="C914" s="755">
        <v>500000</v>
      </c>
      <c r="D914" s="756">
        <v>44008.3907175926</v>
      </c>
      <c r="E914" s="754" t="s">
        <v>4821</v>
      </c>
      <c r="F914" s="757">
        <v>20201</v>
      </c>
    </row>
    <row r="915" spans="1:6" x14ac:dyDescent="0.2">
      <c r="A915" s="753">
        <v>203206030009</v>
      </c>
      <c r="B915" s="754" t="s">
        <v>2690</v>
      </c>
      <c r="C915" s="755">
        <v>500000</v>
      </c>
      <c r="D915" s="756">
        <v>44013.612106481502</v>
      </c>
      <c r="E915" s="754" t="s">
        <v>4821</v>
      </c>
      <c r="F915" s="757">
        <v>20201</v>
      </c>
    </row>
    <row r="916" spans="1:6" x14ac:dyDescent="0.2">
      <c r="A916" s="753">
        <v>203206030010</v>
      </c>
      <c r="B916" s="754" t="s">
        <v>2691</v>
      </c>
      <c r="C916" s="755">
        <v>500000</v>
      </c>
      <c r="D916" s="756">
        <v>44019.586724537003</v>
      </c>
      <c r="E916" s="754" t="s">
        <v>4821</v>
      </c>
      <c r="F916" s="757">
        <v>20201</v>
      </c>
    </row>
    <row r="917" spans="1:6" x14ac:dyDescent="0.2">
      <c r="A917" s="753">
        <v>203206030011</v>
      </c>
      <c r="B917" s="754" t="s">
        <v>2692</v>
      </c>
      <c r="C917" s="755">
        <v>500000</v>
      </c>
      <c r="D917" s="756">
        <v>44027.755162037</v>
      </c>
      <c r="E917" s="754" t="s">
        <v>4821</v>
      </c>
      <c r="F917" s="757">
        <v>20201</v>
      </c>
    </row>
    <row r="918" spans="1:6" x14ac:dyDescent="0.2">
      <c r="A918" s="753">
        <v>203206030012</v>
      </c>
      <c r="B918" s="754" t="s">
        <v>2693</v>
      </c>
      <c r="C918" s="755">
        <v>500000</v>
      </c>
      <c r="D918" s="756">
        <v>44027.721782407403</v>
      </c>
      <c r="E918" s="754" t="s">
        <v>4821</v>
      </c>
      <c r="F918" s="757">
        <v>20201</v>
      </c>
    </row>
    <row r="919" spans="1:6" x14ac:dyDescent="0.2">
      <c r="A919" s="753">
        <v>203206030013</v>
      </c>
      <c r="B919" s="754" t="s">
        <v>2695</v>
      </c>
      <c r="C919" s="755">
        <v>500000</v>
      </c>
      <c r="D919" s="756">
        <v>43999.363402777803</v>
      </c>
      <c r="E919" s="754" t="s">
        <v>4821</v>
      </c>
      <c r="F919" s="757">
        <v>20201</v>
      </c>
    </row>
    <row r="920" spans="1:6" x14ac:dyDescent="0.2">
      <c r="A920" s="753">
        <v>203206030014</v>
      </c>
      <c r="B920" s="754" t="s">
        <v>2696</v>
      </c>
      <c r="C920" s="755">
        <v>500000</v>
      </c>
      <c r="D920" s="756">
        <v>44048.402094907397</v>
      </c>
      <c r="E920" s="754" t="s">
        <v>4821</v>
      </c>
      <c r="F920" s="757">
        <v>20201</v>
      </c>
    </row>
    <row r="921" spans="1:6" x14ac:dyDescent="0.2">
      <c r="A921" s="753">
        <v>203206030015</v>
      </c>
      <c r="B921" s="754" t="s">
        <v>2697</v>
      </c>
      <c r="C921" s="755">
        <v>500000</v>
      </c>
      <c r="D921" s="756">
        <v>44042.410694444399</v>
      </c>
      <c r="E921" s="754" t="s">
        <v>4821</v>
      </c>
      <c r="F921" s="757">
        <v>20201</v>
      </c>
    </row>
    <row r="922" spans="1:6" x14ac:dyDescent="0.2">
      <c r="A922" s="753">
        <v>203206030016</v>
      </c>
      <c r="B922" s="754" t="s">
        <v>2698</v>
      </c>
      <c r="C922" s="755">
        <v>500000</v>
      </c>
      <c r="D922" s="756">
        <v>44001.407546296301</v>
      </c>
      <c r="E922" s="754" t="s">
        <v>4821</v>
      </c>
      <c r="F922" s="757">
        <v>20201</v>
      </c>
    </row>
    <row r="923" spans="1:6" x14ac:dyDescent="0.2">
      <c r="A923" s="753">
        <v>203206030017</v>
      </c>
      <c r="B923" s="754" t="s">
        <v>2699</v>
      </c>
      <c r="C923" s="755">
        <v>500000</v>
      </c>
      <c r="D923" s="756">
        <v>44025.615312499998</v>
      </c>
      <c r="E923" s="754" t="s">
        <v>4821</v>
      </c>
      <c r="F923" s="757">
        <v>20201</v>
      </c>
    </row>
    <row r="924" spans="1:6" x14ac:dyDescent="0.2">
      <c r="A924" s="753">
        <v>203206030018</v>
      </c>
      <c r="B924" s="754" t="s">
        <v>2700</v>
      </c>
      <c r="C924" s="755">
        <v>500000</v>
      </c>
      <c r="D924" s="756">
        <v>44042.383321759298</v>
      </c>
      <c r="E924" s="754" t="s">
        <v>4821</v>
      </c>
      <c r="F924" s="757">
        <v>20201</v>
      </c>
    </row>
    <row r="925" spans="1:6" x14ac:dyDescent="0.2">
      <c r="A925" s="753">
        <v>203206030019</v>
      </c>
      <c r="B925" s="754" t="s">
        <v>2701</v>
      </c>
      <c r="C925" s="755">
        <v>500000</v>
      </c>
      <c r="D925" s="756">
        <v>44013.383391203701</v>
      </c>
      <c r="E925" s="754" t="s">
        <v>4821</v>
      </c>
      <c r="F925" s="757">
        <v>20201</v>
      </c>
    </row>
    <row r="926" spans="1:6" x14ac:dyDescent="0.2">
      <c r="A926" s="753">
        <v>203206030020</v>
      </c>
      <c r="B926" s="754" t="s">
        <v>2702</v>
      </c>
      <c r="C926" s="755">
        <v>500000</v>
      </c>
      <c r="D926" s="756">
        <v>44022.544097222199</v>
      </c>
      <c r="E926" s="754" t="s">
        <v>4821</v>
      </c>
      <c r="F926" s="757">
        <v>20201</v>
      </c>
    </row>
    <row r="927" spans="1:6" x14ac:dyDescent="0.2">
      <c r="A927" s="753">
        <v>203206030021</v>
      </c>
      <c r="B927" s="754" t="s">
        <v>2703</v>
      </c>
      <c r="C927" s="755">
        <v>500000</v>
      </c>
      <c r="D927" s="756">
        <v>44018.434108796297</v>
      </c>
      <c r="E927" s="754" t="s">
        <v>4821</v>
      </c>
      <c r="F927" s="757">
        <v>20201</v>
      </c>
    </row>
    <row r="928" spans="1:6" x14ac:dyDescent="0.2">
      <c r="A928" s="753">
        <v>203206030022</v>
      </c>
      <c r="B928" s="754" t="s">
        <v>2704</v>
      </c>
      <c r="C928" s="755">
        <v>500000</v>
      </c>
      <c r="D928" s="756">
        <v>44012.540405092601</v>
      </c>
      <c r="E928" s="754" t="s">
        <v>4821</v>
      </c>
      <c r="F928" s="757">
        <v>20201</v>
      </c>
    </row>
    <row r="929" spans="1:6" x14ac:dyDescent="0.2">
      <c r="A929" s="753">
        <v>203206030023</v>
      </c>
      <c r="B929" s="754" t="s">
        <v>2705</v>
      </c>
      <c r="C929" s="755">
        <v>500000</v>
      </c>
      <c r="D929" s="756">
        <v>44019.463981481502</v>
      </c>
      <c r="E929" s="754" t="s">
        <v>4821</v>
      </c>
      <c r="F929" s="757">
        <v>20201</v>
      </c>
    </row>
    <row r="930" spans="1:6" x14ac:dyDescent="0.2">
      <c r="A930" s="753">
        <v>203206030024</v>
      </c>
      <c r="B930" s="754" t="s">
        <v>2706</v>
      </c>
      <c r="C930" s="755">
        <v>500000</v>
      </c>
      <c r="D930" s="756">
        <v>44050.407268518502</v>
      </c>
      <c r="E930" s="754" t="s">
        <v>4821</v>
      </c>
      <c r="F930" s="757">
        <v>20201</v>
      </c>
    </row>
    <row r="931" spans="1:6" x14ac:dyDescent="0.2">
      <c r="A931" s="753">
        <v>203206030025</v>
      </c>
      <c r="B931" s="754" t="s">
        <v>2707</v>
      </c>
      <c r="C931" s="755">
        <v>500000</v>
      </c>
      <c r="D931" s="756">
        <v>44027.434907407398</v>
      </c>
      <c r="E931" s="754" t="s">
        <v>4821</v>
      </c>
      <c r="F931" s="757">
        <v>20201</v>
      </c>
    </row>
    <row r="932" spans="1:6" x14ac:dyDescent="0.2">
      <c r="A932" s="753">
        <v>203206030026</v>
      </c>
      <c r="B932" s="754" t="s">
        <v>2708</v>
      </c>
      <c r="C932" s="755">
        <v>500000</v>
      </c>
      <c r="D932" s="756">
        <v>44033.564189814802</v>
      </c>
      <c r="E932" s="754" t="s">
        <v>4821</v>
      </c>
      <c r="F932" s="757">
        <v>20201</v>
      </c>
    </row>
    <row r="933" spans="1:6" x14ac:dyDescent="0.2">
      <c r="A933" s="753">
        <v>203206030027</v>
      </c>
      <c r="B933" s="754" t="s">
        <v>2709</v>
      </c>
      <c r="C933" s="755">
        <v>500000</v>
      </c>
      <c r="D933" s="756">
        <v>44014.573564814797</v>
      </c>
      <c r="E933" s="754" t="s">
        <v>4821</v>
      </c>
      <c r="F933" s="757">
        <v>20201</v>
      </c>
    </row>
    <row r="934" spans="1:6" x14ac:dyDescent="0.2">
      <c r="A934" s="753">
        <v>203206030028</v>
      </c>
      <c r="B934" s="754" t="s">
        <v>2710</v>
      </c>
      <c r="C934" s="755">
        <v>500000</v>
      </c>
      <c r="D934" s="756">
        <v>44025.372835648202</v>
      </c>
      <c r="E934" s="754" t="s">
        <v>4821</v>
      </c>
      <c r="F934" s="757">
        <v>20201</v>
      </c>
    </row>
    <row r="935" spans="1:6" x14ac:dyDescent="0.2">
      <c r="A935" s="753">
        <v>203206030029</v>
      </c>
      <c r="B935" s="754" t="s">
        <v>2711</v>
      </c>
      <c r="C935" s="755">
        <v>500000</v>
      </c>
      <c r="D935" s="756">
        <v>44020.607835648101</v>
      </c>
      <c r="E935" s="754" t="s">
        <v>4821</v>
      </c>
      <c r="F935" s="757">
        <v>20201</v>
      </c>
    </row>
    <row r="936" spans="1:6" x14ac:dyDescent="0.2">
      <c r="A936" s="753">
        <v>203206030030</v>
      </c>
      <c r="B936" s="754" t="s">
        <v>2712</v>
      </c>
      <c r="C936" s="755">
        <v>500000</v>
      </c>
      <c r="D936" s="756">
        <v>44022.601076388899</v>
      </c>
      <c r="E936" s="754" t="s">
        <v>4821</v>
      </c>
      <c r="F936" s="757">
        <v>20201</v>
      </c>
    </row>
    <row r="937" spans="1:6" x14ac:dyDescent="0.2">
      <c r="A937" s="753">
        <v>203206030031</v>
      </c>
      <c r="B937" s="754" t="s">
        <v>2713</v>
      </c>
      <c r="C937" s="755">
        <v>500000</v>
      </c>
      <c r="D937" s="756">
        <v>44018.572928240697</v>
      </c>
      <c r="E937" s="754" t="s">
        <v>4821</v>
      </c>
      <c r="F937" s="757">
        <v>20201</v>
      </c>
    </row>
    <row r="938" spans="1:6" x14ac:dyDescent="0.2">
      <c r="A938" s="753">
        <v>203206030032</v>
      </c>
      <c r="B938" s="754" t="s">
        <v>2714</v>
      </c>
      <c r="C938" s="755">
        <v>500000</v>
      </c>
      <c r="D938" s="756">
        <v>44014.420729166697</v>
      </c>
      <c r="E938" s="754" t="s">
        <v>4821</v>
      </c>
      <c r="F938" s="757">
        <v>20201</v>
      </c>
    </row>
    <row r="939" spans="1:6" x14ac:dyDescent="0.2">
      <c r="A939" s="753">
        <v>203206030033</v>
      </c>
      <c r="B939" s="754" t="s">
        <v>2715</v>
      </c>
      <c r="C939" s="755">
        <v>500000</v>
      </c>
      <c r="D939" s="756">
        <v>44018.587314814802</v>
      </c>
      <c r="E939" s="754" t="s">
        <v>4821</v>
      </c>
      <c r="F939" s="757">
        <v>20201</v>
      </c>
    </row>
    <row r="940" spans="1:6" ht="24" x14ac:dyDescent="0.2">
      <c r="A940" s="753">
        <v>203206030034</v>
      </c>
      <c r="B940" s="754" t="s">
        <v>2716</v>
      </c>
      <c r="C940" s="755">
        <v>500000</v>
      </c>
      <c r="D940" s="756">
        <v>44026.612141203703</v>
      </c>
      <c r="E940" s="754" t="s">
        <v>4821</v>
      </c>
      <c r="F940" s="757">
        <v>20201</v>
      </c>
    </row>
    <row r="941" spans="1:6" x14ac:dyDescent="0.2">
      <c r="A941" s="753">
        <v>203206030035</v>
      </c>
      <c r="B941" s="754" t="s">
        <v>2718</v>
      </c>
      <c r="C941" s="755">
        <v>500000</v>
      </c>
      <c r="D941" s="756">
        <v>44019.472881944399</v>
      </c>
      <c r="E941" s="754" t="s">
        <v>4821</v>
      </c>
      <c r="F941" s="757">
        <v>20201</v>
      </c>
    </row>
    <row r="942" spans="1:6" x14ac:dyDescent="0.2">
      <c r="A942" s="753">
        <v>203206030036</v>
      </c>
      <c r="B942" s="754" t="s">
        <v>2719</v>
      </c>
      <c r="C942" s="755">
        <v>500000</v>
      </c>
      <c r="D942" s="756">
        <v>43998.451435185198</v>
      </c>
      <c r="E942" s="754" t="s">
        <v>4821</v>
      </c>
      <c r="F942" s="757">
        <v>20201</v>
      </c>
    </row>
    <row r="943" spans="1:6" x14ac:dyDescent="0.2">
      <c r="A943" s="753">
        <v>203206030037</v>
      </c>
      <c r="B943" s="754" t="s">
        <v>2720</v>
      </c>
      <c r="C943" s="755">
        <v>500000</v>
      </c>
      <c r="D943" s="756">
        <v>44027.436319444401</v>
      </c>
      <c r="E943" s="754" t="s">
        <v>4821</v>
      </c>
      <c r="F943" s="757">
        <v>20201</v>
      </c>
    </row>
    <row r="944" spans="1:6" x14ac:dyDescent="0.2">
      <c r="A944" s="753">
        <v>203206030038</v>
      </c>
      <c r="B944" s="754" t="s">
        <v>2721</v>
      </c>
      <c r="C944" s="755">
        <v>500000</v>
      </c>
      <c r="D944" s="756">
        <v>43999.370405092603</v>
      </c>
      <c r="E944" s="754" t="s">
        <v>4821</v>
      </c>
      <c r="F944" s="757">
        <v>20201</v>
      </c>
    </row>
    <row r="945" spans="1:6" x14ac:dyDescent="0.2">
      <c r="A945" s="753">
        <v>203206030039</v>
      </c>
      <c r="B945" s="754" t="s">
        <v>2722</v>
      </c>
      <c r="C945" s="755">
        <v>500000</v>
      </c>
      <c r="D945" s="756">
        <v>44015.350416666697</v>
      </c>
      <c r="E945" s="754" t="s">
        <v>4821</v>
      </c>
      <c r="F945" s="757">
        <v>20201</v>
      </c>
    </row>
    <row r="946" spans="1:6" x14ac:dyDescent="0.2">
      <c r="A946" s="753">
        <v>203206030040</v>
      </c>
      <c r="B946" s="754" t="s">
        <v>2723</v>
      </c>
      <c r="C946" s="755">
        <v>500000</v>
      </c>
      <c r="D946" s="756">
        <v>44014.398553240702</v>
      </c>
      <c r="E946" s="754" t="s">
        <v>4821</v>
      </c>
      <c r="F946" s="757">
        <v>20201</v>
      </c>
    </row>
    <row r="947" spans="1:6" x14ac:dyDescent="0.2">
      <c r="A947" s="753">
        <v>203206030041</v>
      </c>
      <c r="B947" s="754" t="s">
        <v>2724</v>
      </c>
      <c r="C947" s="755">
        <v>500000</v>
      </c>
      <c r="D947" s="756">
        <v>44018.511215277802</v>
      </c>
      <c r="E947" s="754" t="s">
        <v>4821</v>
      </c>
      <c r="F947" s="757">
        <v>20201</v>
      </c>
    </row>
    <row r="948" spans="1:6" x14ac:dyDescent="0.2">
      <c r="A948" s="753">
        <v>203206030042</v>
      </c>
      <c r="B948" s="754" t="s">
        <v>2725</v>
      </c>
      <c r="C948" s="755">
        <v>500000</v>
      </c>
      <c r="D948" s="756">
        <v>44025.434340277803</v>
      </c>
      <c r="E948" s="754" t="s">
        <v>4821</v>
      </c>
      <c r="F948" s="757">
        <v>20201</v>
      </c>
    </row>
    <row r="949" spans="1:6" x14ac:dyDescent="0.2">
      <c r="A949" s="753">
        <v>203206030043</v>
      </c>
      <c r="B949" s="754" t="s">
        <v>2726</v>
      </c>
      <c r="C949" s="755">
        <v>500000</v>
      </c>
      <c r="D949" s="756">
        <v>44027.605104166701</v>
      </c>
      <c r="E949" s="754" t="s">
        <v>4821</v>
      </c>
      <c r="F949" s="757">
        <v>20201</v>
      </c>
    </row>
    <row r="950" spans="1:6" x14ac:dyDescent="0.2">
      <c r="A950" s="753">
        <v>203206030044</v>
      </c>
      <c r="B950" s="754" t="s">
        <v>2727</v>
      </c>
      <c r="C950" s="755">
        <v>500000</v>
      </c>
      <c r="D950" s="756">
        <v>43997.381307870397</v>
      </c>
      <c r="E950" s="754" t="s">
        <v>4821</v>
      </c>
      <c r="F950" s="757">
        <v>20201</v>
      </c>
    </row>
    <row r="951" spans="1:6" x14ac:dyDescent="0.2">
      <c r="A951" s="753">
        <v>203206030045</v>
      </c>
      <c r="B951" s="754" t="s">
        <v>2728</v>
      </c>
      <c r="C951" s="755">
        <v>500000</v>
      </c>
      <c r="D951" s="756">
        <v>44019.3830787037</v>
      </c>
      <c r="E951" s="754" t="s">
        <v>4821</v>
      </c>
      <c r="F951" s="757">
        <v>20201</v>
      </c>
    </row>
    <row r="952" spans="1:6" x14ac:dyDescent="0.2">
      <c r="A952" s="753">
        <v>203206030046</v>
      </c>
      <c r="B952" s="754" t="s">
        <v>2729</v>
      </c>
      <c r="C952" s="755">
        <v>500000</v>
      </c>
      <c r="D952" s="756">
        <v>44025.505868055603</v>
      </c>
      <c r="E952" s="754" t="s">
        <v>4821</v>
      </c>
      <c r="F952" s="757">
        <v>20201</v>
      </c>
    </row>
    <row r="953" spans="1:6" x14ac:dyDescent="0.2">
      <c r="A953" s="753">
        <v>203206030047</v>
      </c>
      <c r="B953" s="754" t="s">
        <v>2730</v>
      </c>
      <c r="C953" s="755">
        <v>500000</v>
      </c>
      <c r="D953" s="756">
        <v>44022.396898148101</v>
      </c>
      <c r="E953" s="754" t="s">
        <v>4821</v>
      </c>
      <c r="F953" s="757">
        <v>20201</v>
      </c>
    </row>
    <row r="954" spans="1:6" x14ac:dyDescent="0.2">
      <c r="A954" s="753">
        <v>203206030048</v>
      </c>
      <c r="B954" s="754" t="s">
        <v>2731</v>
      </c>
      <c r="C954" s="755">
        <v>500000</v>
      </c>
      <c r="D954" s="756">
        <v>43993.543159722198</v>
      </c>
      <c r="E954" s="754" t="s">
        <v>4821</v>
      </c>
      <c r="F954" s="757">
        <v>20201</v>
      </c>
    </row>
    <row r="955" spans="1:6" x14ac:dyDescent="0.2">
      <c r="A955" s="753">
        <v>203206030049</v>
      </c>
      <c r="B955" s="754" t="s">
        <v>2732</v>
      </c>
      <c r="C955" s="755">
        <v>500000</v>
      </c>
      <c r="D955" s="756">
        <v>43997.491400462997</v>
      </c>
      <c r="E955" s="754" t="s">
        <v>4821</v>
      </c>
      <c r="F955" s="757">
        <v>20201</v>
      </c>
    </row>
    <row r="956" spans="1:6" x14ac:dyDescent="0.2">
      <c r="A956" s="753">
        <v>203206030050</v>
      </c>
      <c r="B956" s="754" t="s">
        <v>2488</v>
      </c>
      <c r="C956" s="755">
        <v>500000</v>
      </c>
      <c r="D956" s="756">
        <v>44026.560439814799</v>
      </c>
      <c r="E956" s="754" t="s">
        <v>4821</v>
      </c>
      <c r="F956" s="757">
        <v>20201</v>
      </c>
    </row>
    <row r="957" spans="1:6" x14ac:dyDescent="0.2">
      <c r="A957" s="753">
        <v>203206030051</v>
      </c>
      <c r="B957" s="754" t="s">
        <v>2733</v>
      </c>
      <c r="C957" s="755">
        <v>500000</v>
      </c>
      <c r="D957" s="756">
        <v>44025.707337963002</v>
      </c>
      <c r="E957" s="754" t="s">
        <v>4821</v>
      </c>
      <c r="F957" s="757">
        <v>20201</v>
      </c>
    </row>
    <row r="958" spans="1:6" x14ac:dyDescent="0.2">
      <c r="A958" s="753">
        <v>203206030052</v>
      </c>
      <c r="B958" s="754" t="s">
        <v>2734</v>
      </c>
      <c r="C958" s="755">
        <v>500000</v>
      </c>
      <c r="D958" s="756">
        <v>44020.438240740703</v>
      </c>
      <c r="E958" s="754" t="s">
        <v>4821</v>
      </c>
      <c r="F958" s="757">
        <v>20201</v>
      </c>
    </row>
    <row r="959" spans="1:6" x14ac:dyDescent="0.2">
      <c r="A959" s="753">
        <v>203206030053</v>
      </c>
      <c r="B959" s="754" t="s">
        <v>2735</v>
      </c>
      <c r="C959" s="755">
        <v>500000</v>
      </c>
      <c r="D959" s="756">
        <v>44042.418888888897</v>
      </c>
      <c r="E959" s="754" t="s">
        <v>4821</v>
      </c>
      <c r="F959" s="757">
        <v>20201</v>
      </c>
    </row>
    <row r="960" spans="1:6" x14ac:dyDescent="0.2">
      <c r="A960" s="753">
        <v>203206030054</v>
      </c>
      <c r="B960" s="754" t="s">
        <v>2736</v>
      </c>
      <c r="C960" s="755">
        <v>500000</v>
      </c>
      <c r="D960" s="756">
        <v>44025.306435185201</v>
      </c>
      <c r="E960" s="754" t="s">
        <v>4821</v>
      </c>
      <c r="F960" s="757">
        <v>20201</v>
      </c>
    </row>
    <row r="961" spans="1:6" x14ac:dyDescent="0.2">
      <c r="A961" s="753">
        <v>203206040001</v>
      </c>
      <c r="B961" s="754" t="s">
        <v>2749</v>
      </c>
      <c r="C961" s="755">
        <v>500000</v>
      </c>
      <c r="D961" s="756">
        <v>44005.563530092601</v>
      </c>
      <c r="E961" s="754" t="s">
        <v>4829</v>
      </c>
      <c r="F961" s="757">
        <v>20201</v>
      </c>
    </row>
    <row r="962" spans="1:6" x14ac:dyDescent="0.2">
      <c r="A962" s="753">
        <v>203206040002</v>
      </c>
      <c r="B962" s="754" t="s">
        <v>2751</v>
      </c>
      <c r="C962" s="755">
        <v>500000</v>
      </c>
      <c r="D962" s="756">
        <v>44025.588414351798</v>
      </c>
      <c r="E962" s="754" t="s">
        <v>4829</v>
      </c>
      <c r="F962" s="757">
        <v>20201</v>
      </c>
    </row>
    <row r="963" spans="1:6" x14ac:dyDescent="0.2">
      <c r="A963" s="753">
        <v>203206040003</v>
      </c>
      <c r="B963" s="754" t="s">
        <v>2752</v>
      </c>
      <c r="C963" s="755">
        <v>500000</v>
      </c>
      <c r="D963" s="756">
        <v>44026.518414351798</v>
      </c>
      <c r="E963" s="754" t="s">
        <v>4829</v>
      </c>
      <c r="F963" s="757">
        <v>20201</v>
      </c>
    </row>
    <row r="964" spans="1:6" x14ac:dyDescent="0.2">
      <c r="A964" s="753">
        <v>203206040004</v>
      </c>
      <c r="B964" s="754" t="s">
        <v>2753</v>
      </c>
      <c r="C964" s="755">
        <v>500000</v>
      </c>
      <c r="D964" s="756">
        <v>44030.668240740699</v>
      </c>
      <c r="E964" s="754" t="s">
        <v>4829</v>
      </c>
      <c r="F964" s="757">
        <v>20201</v>
      </c>
    </row>
    <row r="965" spans="1:6" x14ac:dyDescent="0.2">
      <c r="A965" s="753">
        <v>203206040005</v>
      </c>
      <c r="B965" s="754" t="s">
        <v>2754</v>
      </c>
      <c r="C965" s="755">
        <v>500000</v>
      </c>
      <c r="D965" s="756">
        <v>43991.9148726852</v>
      </c>
      <c r="E965" s="754" t="s">
        <v>4829</v>
      </c>
      <c r="F965" s="757">
        <v>20201</v>
      </c>
    </row>
    <row r="966" spans="1:6" x14ac:dyDescent="0.2">
      <c r="A966" s="753">
        <v>203206040006</v>
      </c>
      <c r="B966" s="754" t="s">
        <v>2755</v>
      </c>
      <c r="C966" s="755">
        <v>500000</v>
      </c>
      <c r="D966" s="756">
        <v>43994.413587962998</v>
      </c>
      <c r="E966" s="754" t="s">
        <v>4829</v>
      </c>
      <c r="F966" s="757">
        <v>20201</v>
      </c>
    </row>
    <row r="967" spans="1:6" x14ac:dyDescent="0.2">
      <c r="A967" s="753">
        <v>203206040007</v>
      </c>
      <c r="B967" s="754" t="s">
        <v>2756</v>
      </c>
      <c r="C967" s="755">
        <v>500000</v>
      </c>
      <c r="D967" s="756">
        <v>43998.2112962963</v>
      </c>
      <c r="E967" s="754" t="s">
        <v>4829</v>
      </c>
      <c r="F967" s="757">
        <v>20201</v>
      </c>
    </row>
    <row r="968" spans="1:6" x14ac:dyDescent="0.2">
      <c r="A968" s="753">
        <v>203206040008</v>
      </c>
      <c r="B968" s="754" t="s">
        <v>2757</v>
      </c>
      <c r="C968" s="755">
        <v>500000</v>
      </c>
      <c r="D968" s="756">
        <v>44021.770810185197</v>
      </c>
      <c r="E968" s="754" t="s">
        <v>4829</v>
      </c>
      <c r="F968" s="757">
        <v>20201</v>
      </c>
    </row>
    <row r="969" spans="1:6" x14ac:dyDescent="0.2">
      <c r="A969" s="753">
        <v>203206040009</v>
      </c>
      <c r="B969" s="754" t="s">
        <v>2758</v>
      </c>
      <c r="C969" s="755">
        <v>500000</v>
      </c>
      <c r="D969" s="756">
        <v>44007.418321759302</v>
      </c>
      <c r="E969" s="754" t="s">
        <v>4829</v>
      </c>
      <c r="F969" s="757">
        <v>20201</v>
      </c>
    </row>
    <row r="970" spans="1:6" x14ac:dyDescent="0.2">
      <c r="A970" s="753">
        <v>203206040010</v>
      </c>
      <c r="B970" s="754" t="s">
        <v>2759</v>
      </c>
      <c r="C970" s="755">
        <v>500000</v>
      </c>
      <c r="D970" s="756">
        <v>44034.620671296303</v>
      </c>
      <c r="E970" s="754" t="s">
        <v>4829</v>
      </c>
      <c r="F970" s="757">
        <v>20201</v>
      </c>
    </row>
    <row r="971" spans="1:6" x14ac:dyDescent="0.2">
      <c r="A971" s="753">
        <v>203206040011</v>
      </c>
      <c r="B971" s="754" t="s">
        <v>2760</v>
      </c>
      <c r="C971" s="755">
        <v>500000</v>
      </c>
      <c r="D971" s="756">
        <v>44027.588159722203</v>
      </c>
      <c r="E971" s="754" t="s">
        <v>4829</v>
      </c>
      <c r="F971" s="757">
        <v>20201</v>
      </c>
    </row>
    <row r="972" spans="1:6" x14ac:dyDescent="0.2">
      <c r="A972" s="753">
        <v>203206050001</v>
      </c>
      <c r="B972" s="754" t="s">
        <v>4855</v>
      </c>
      <c r="C972" s="755">
        <v>500000</v>
      </c>
      <c r="D972" s="756">
        <v>44012.548935185201</v>
      </c>
      <c r="E972" s="754" t="s">
        <v>4823</v>
      </c>
      <c r="F972" s="757">
        <v>20201</v>
      </c>
    </row>
    <row r="973" spans="1:6" x14ac:dyDescent="0.2">
      <c r="A973" s="753">
        <v>203206050002</v>
      </c>
      <c r="B973" s="754" t="s">
        <v>2593</v>
      </c>
      <c r="C973" s="755">
        <v>500000</v>
      </c>
      <c r="D973" s="756">
        <v>44004.551689814798</v>
      </c>
      <c r="E973" s="754" t="s">
        <v>4823</v>
      </c>
      <c r="F973" s="757">
        <v>20201</v>
      </c>
    </row>
    <row r="974" spans="1:6" x14ac:dyDescent="0.2">
      <c r="A974" s="753">
        <v>203206050003</v>
      </c>
      <c r="B974" s="754" t="s">
        <v>2594</v>
      </c>
      <c r="C974" s="755">
        <v>500000</v>
      </c>
      <c r="D974" s="756">
        <v>44022.3903125</v>
      </c>
      <c r="E974" s="754" t="s">
        <v>4823</v>
      </c>
      <c r="F974" s="757">
        <v>20201</v>
      </c>
    </row>
    <row r="975" spans="1:6" x14ac:dyDescent="0.2">
      <c r="A975" s="753">
        <v>203206050004</v>
      </c>
      <c r="B975" s="754" t="s">
        <v>2595</v>
      </c>
      <c r="C975" s="755">
        <v>500000</v>
      </c>
      <c r="D975" s="756">
        <v>44027.336967592601</v>
      </c>
      <c r="E975" s="754" t="s">
        <v>4823</v>
      </c>
      <c r="F975" s="757">
        <v>20201</v>
      </c>
    </row>
    <row r="976" spans="1:6" x14ac:dyDescent="0.2">
      <c r="A976" s="753">
        <v>203206050005</v>
      </c>
      <c r="B976" s="754" t="s">
        <v>2596</v>
      </c>
      <c r="C976" s="755">
        <v>500000</v>
      </c>
      <c r="D976" s="756">
        <v>44025.495543981502</v>
      </c>
      <c r="E976" s="754" t="s">
        <v>4823</v>
      </c>
      <c r="F976" s="757">
        <v>20201</v>
      </c>
    </row>
    <row r="977" spans="1:6" x14ac:dyDescent="0.2">
      <c r="A977" s="753">
        <v>203206050006</v>
      </c>
      <c r="B977" s="754" t="s">
        <v>2597</v>
      </c>
      <c r="C977" s="755">
        <v>500000</v>
      </c>
      <c r="D977" s="756">
        <v>44048.427719907399</v>
      </c>
      <c r="E977" s="754" t="s">
        <v>4823</v>
      </c>
      <c r="F977" s="757">
        <v>20201</v>
      </c>
    </row>
    <row r="978" spans="1:6" x14ac:dyDescent="0.2">
      <c r="A978" s="753">
        <v>203206050007</v>
      </c>
      <c r="B978" s="754" t="s">
        <v>2598</v>
      </c>
      <c r="C978" s="755">
        <v>500000</v>
      </c>
      <c r="D978" s="756">
        <v>44022.564525463</v>
      </c>
      <c r="E978" s="754" t="s">
        <v>4823</v>
      </c>
      <c r="F978" s="757">
        <v>20201</v>
      </c>
    </row>
    <row r="979" spans="1:6" x14ac:dyDescent="0.2">
      <c r="A979" s="753">
        <v>203206050008</v>
      </c>
      <c r="B979" s="754" t="s">
        <v>2599</v>
      </c>
      <c r="C979" s="755">
        <v>500000</v>
      </c>
      <c r="D979" s="756">
        <v>44014.534074074101</v>
      </c>
      <c r="E979" s="754" t="s">
        <v>4823</v>
      </c>
      <c r="F979" s="757">
        <v>20201</v>
      </c>
    </row>
    <row r="980" spans="1:6" x14ac:dyDescent="0.2">
      <c r="A980" s="753">
        <v>203206050009</v>
      </c>
      <c r="B980" s="754" t="s">
        <v>2600</v>
      </c>
      <c r="C980" s="755">
        <v>500000</v>
      </c>
      <c r="D980" s="756">
        <v>44046.505902777797</v>
      </c>
      <c r="E980" s="754" t="s">
        <v>4823</v>
      </c>
      <c r="F980" s="757">
        <v>20201</v>
      </c>
    </row>
    <row r="981" spans="1:6" x14ac:dyDescent="0.2">
      <c r="A981" s="753">
        <v>203206050010</v>
      </c>
      <c r="B981" s="754" t="s">
        <v>2601</v>
      </c>
      <c r="C981" s="755">
        <v>500000</v>
      </c>
      <c r="D981" s="756">
        <v>44025.678530092599</v>
      </c>
      <c r="E981" s="754" t="s">
        <v>4823</v>
      </c>
      <c r="F981" s="757">
        <v>20201</v>
      </c>
    </row>
    <row r="982" spans="1:6" x14ac:dyDescent="0.2">
      <c r="A982" s="753">
        <v>203206050011</v>
      </c>
      <c r="B982" s="754" t="s">
        <v>2602</v>
      </c>
      <c r="C982" s="755">
        <v>500000</v>
      </c>
      <c r="D982" s="756">
        <v>44020.432210648098</v>
      </c>
      <c r="E982" s="754" t="s">
        <v>4823</v>
      </c>
      <c r="F982" s="757">
        <v>20201</v>
      </c>
    </row>
    <row r="983" spans="1:6" x14ac:dyDescent="0.2">
      <c r="A983" s="753">
        <v>203206050012</v>
      </c>
      <c r="B983" s="754" t="s">
        <v>2603</v>
      </c>
      <c r="C983" s="755">
        <v>500000</v>
      </c>
      <c r="D983" s="756">
        <v>44027.560810185198</v>
      </c>
      <c r="E983" s="754" t="s">
        <v>4823</v>
      </c>
      <c r="F983" s="757">
        <v>20201</v>
      </c>
    </row>
    <row r="984" spans="1:6" x14ac:dyDescent="0.2">
      <c r="A984" s="753">
        <v>203206050013</v>
      </c>
      <c r="B984" s="754" t="s">
        <v>2604</v>
      </c>
      <c r="C984" s="755">
        <v>500000</v>
      </c>
      <c r="D984" s="756">
        <v>44011.499062499999</v>
      </c>
      <c r="E984" s="754" t="s">
        <v>4823</v>
      </c>
      <c r="F984" s="757">
        <v>20201</v>
      </c>
    </row>
    <row r="985" spans="1:6" x14ac:dyDescent="0.2">
      <c r="A985" s="753">
        <v>203206050014</v>
      </c>
      <c r="B985" s="754" t="s">
        <v>2605</v>
      </c>
      <c r="C985" s="755">
        <v>500000</v>
      </c>
      <c r="D985" s="756">
        <v>44050.859930555598</v>
      </c>
      <c r="E985" s="754" t="s">
        <v>4823</v>
      </c>
      <c r="F985" s="757">
        <v>20201</v>
      </c>
    </row>
    <row r="986" spans="1:6" x14ac:dyDescent="0.2">
      <c r="A986" s="753">
        <v>203206050015</v>
      </c>
      <c r="B986" s="754" t="s">
        <v>2606</v>
      </c>
      <c r="C986" s="755">
        <v>500000</v>
      </c>
      <c r="D986" s="756">
        <v>44025.439548611103</v>
      </c>
      <c r="E986" s="754" t="s">
        <v>4823</v>
      </c>
      <c r="F986" s="757">
        <v>20201</v>
      </c>
    </row>
    <row r="987" spans="1:6" x14ac:dyDescent="0.2">
      <c r="A987" s="753">
        <v>203206050016</v>
      </c>
      <c r="B987" s="754" t="s">
        <v>2607</v>
      </c>
      <c r="C987" s="755">
        <v>500000</v>
      </c>
      <c r="D987" s="756">
        <v>44026.519722222198</v>
      </c>
      <c r="E987" s="754" t="s">
        <v>4823</v>
      </c>
      <c r="F987" s="757">
        <v>20201</v>
      </c>
    </row>
    <row r="988" spans="1:6" x14ac:dyDescent="0.2">
      <c r="A988" s="753">
        <v>203206050017</v>
      </c>
      <c r="B988" s="754" t="s">
        <v>2609</v>
      </c>
      <c r="C988" s="755">
        <v>500000</v>
      </c>
      <c r="D988" s="756">
        <v>44021.273148148102</v>
      </c>
      <c r="E988" s="754" t="s">
        <v>4823</v>
      </c>
      <c r="F988" s="757">
        <v>20201</v>
      </c>
    </row>
    <row r="989" spans="1:6" x14ac:dyDescent="0.2">
      <c r="A989" s="753">
        <v>203206050018</v>
      </c>
      <c r="B989" s="754" t="s">
        <v>2610</v>
      </c>
      <c r="C989" s="755">
        <v>500000</v>
      </c>
      <c r="D989" s="756">
        <v>43998.724062499998</v>
      </c>
      <c r="E989" s="754" t="s">
        <v>4823</v>
      </c>
      <c r="F989" s="757">
        <v>20201</v>
      </c>
    </row>
    <row r="990" spans="1:6" x14ac:dyDescent="0.2">
      <c r="A990" s="753">
        <v>203206050019</v>
      </c>
      <c r="B990" s="754" t="s">
        <v>2611</v>
      </c>
      <c r="C990" s="755">
        <v>500000</v>
      </c>
      <c r="D990" s="756">
        <v>44005.378009259301</v>
      </c>
      <c r="E990" s="754" t="s">
        <v>4823</v>
      </c>
      <c r="F990" s="757">
        <v>20201</v>
      </c>
    </row>
    <row r="991" spans="1:6" x14ac:dyDescent="0.2">
      <c r="A991" s="753">
        <v>203206050020</v>
      </c>
      <c r="B991" s="754" t="s">
        <v>2612</v>
      </c>
      <c r="C991" s="755">
        <v>500000</v>
      </c>
      <c r="D991" s="756">
        <v>44013.409398148098</v>
      </c>
      <c r="E991" s="754" t="s">
        <v>4823</v>
      </c>
      <c r="F991" s="757">
        <v>20201</v>
      </c>
    </row>
    <row r="992" spans="1:6" x14ac:dyDescent="0.2">
      <c r="A992" s="753">
        <v>203206050021</v>
      </c>
      <c r="B992" s="754" t="s">
        <v>2613</v>
      </c>
      <c r="C992" s="755">
        <v>500000</v>
      </c>
      <c r="D992" s="756">
        <v>43994.3424421296</v>
      </c>
      <c r="E992" s="754" t="s">
        <v>4823</v>
      </c>
      <c r="F992" s="757">
        <v>20201</v>
      </c>
    </row>
    <row r="993" spans="1:6" x14ac:dyDescent="0.2">
      <c r="A993" s="753">
        <v>203206050022</v>
      </c>
      <c r="B993" s="754" t="s">
        <v>2614</v>
      </c>
      <c r="C993" s="755">
        <v>500000</v>
      </c>
      <c r="D993" s="756">
        <v>44048.579895833303</v>
      </c>
      <c r="E993" s="754" t="s">
        <v>4823</v>
      </c>
      <c r="F993" s="757">
        <v>20201</v>
      </c>
    </row>
    <row r="994" spans="1:6" x14ac:dyDescent="0.2">
      <c r="A994" s="753">
        <v>203206050023</v>
      </c>
      <c r="B994" s="754" t="s">
        <v>2615</v>
      </c>
      <c r="C994" s="755">
        <v>500000</v>
      </c>
      <c r="D994" s="756">
        <v>44027.5239814815</v>
      </c>
      <c r="E994" s="754" t="s">
        <v>4823</v>
      </c>
      <c r="F994" s="757">
        <v>20201</v>
      </c>
    </row>
    <row r="995" spans="1:6" x14ac:dyDescent="0.2">
      <c r="A995" s="753">
        <v>203206050024</v>
      </c>
      <c r="B995" s="754" t="s">
        <v>2616</v>
      </c>
      <c r="C995" s="755">
        <v>500000</v>
      </c>
      <c r="D995" s="756">
        <v>44015.427118055602</v>
      </c>
      <c r="E995" s="754" t="s">
        <v>4823</v>
      </c>
      <c r="F995" s="757">
        <v>20201</v>
      </c>
    </row>
    <row r="996" spans="1:6" x14ac:dyDescent="0.2">
      <c r="A996" s="753">
        <v>203206050025</v>
      </c>
      <c r="B996" s="754" t="s">
        <v>2617</v>
      </c>
      <c r="C996" s="755">
        <v>500000</v>
      </c>
      <c r="D996" s="756">
        <v>44027.622442129599</v>
      </c>
      <c r="E996" s="754" t="s">
        <v>4823</v>
      </c>
      <c r="F996" s="757">
        <v>20201</v>
      </c>
    </row>
    <row r="997" spans="1:6" x14ac:dyDescent="0.2">
      <c r="A997" s="753">
        <v>203206050026</v>
      </c>
      <c r="B997" s="754" t="s">
        <v>2618</v>
      </c>
      <c r="C997" s="755">
        <v>500000</v>
      </c>
      <c r="D997" s="756">
        <v>44027.597870370402</v>
      </c>
      <c r="E997" s="754" t="s">
        <v>4823</v>
      </c>
      <c r="F997" s="757">
        <v>20201</v>
      </c>
    </row>
    <row r="998" spans="1:6" ht="24" x14ac:dyDescent="0.2">
      <c r="A998" s="753">
        <v>203206050027</v>
      </c>
      <c r="B998" s="754" t="s">
        <v>2619</v>
      </c>
      <c r="C998" s="755">
        <v>500000</v>
      </c>
      <c r="D998" s="756">
        <v>44022.580891203703</v>
      </c>
      <c r="E998" s="754" t="s">
        <v>4823</v>
      </c>
      <c r="F998" s="757">
        <v>20201</v>
      </c>
    </row>
    <row r="999" spans="1:6" x14ac:dyDescent="0.2">
      <c r="A999" s="753">
        <v>203206050028</v>
      </c>
      <c r="B999" s="754" t="s">
        <v>2620</v>
      </c>
      <c r="C999" s="755">
        <v>500000</v>
      </c>
      <c r="D999" s="756">
        <v>44025.440092592602</v>
      </c>
      <c r="E999" s="754" t="s">
        <v>4823</v>
      </c>
      <c r="F999" s="757">
        <v>20201</v>
      </c>
    </row>
    <row r="1000" spans="1:6" x14ac:dyDescent="0.2">
      <c r="A1000" s="753">
        <v>203206050029</v>
      </c>
      <c r="B1000" s="754" t="s">
        <v>2621</v>
      </c>
      <c r="C1000" s="755">
        <v>500000</v>
      </c>
      <c r="D1000" s="756">
        <v>44014.336828703701</v>
      </c>
      <c r="E1000" s="754" t="s">
        <v>4823</v>
      </c>
      <c r="F1000" s="757">
        <v>20201</v>
      </c>
    </row>
    <row r="1001" spans="1:6" x14ac:dyDescent="0.2">
      <c r="A1001" s="753">
        <v>203206050030</v>
      </c>
      <c r="B1001" s="754" t="s">
        <v>2622</v>
      </c>
      <c r="C1001" s="755">
        <v>500000</v>
      </c>
      <c r="D1001" s="756">
        <v>44026.484953703701</v>
      </c>
      <c r="E1001" s="754" t="s">
        <v>4823</v>
      </c>
      <c r="F1001" s="757">
        <v>20201</v>
      </c>
    </row>
    <row r="1002" spans="1:6" x14ac:dyDescent="0.2">
      <c r="A1002" s="753">
        <v>203206060001</v>
      </c>
      <c r="B1002" s="754" t="s">
        <v>2646</v>
      </c>
      <c r="C1002" s="755">
        <v>500000</v>
      </c>
      <c r="D1002" s="756">
        <v>44027.8655671296</v>
      </c>
      <c r="E1002" s="754" t="s">
        <v>4826</v>
      </c>
      <c r="F1002" s="757">
        <v>20201</v>
      </c>
    </row>
    <row r="1003" spans="1:6" x14ac:dyDescent="0.2">
      <c r="A1003" s="753">
        <v>203206060002</v>
      </c>
      <c r="B1003" s="754" t="s">
        <v>2648</v>
      </c>
      <c r="C1003" s="755">
        <v>500000</v>
      </c>
      <c r="D1003" s="756">
        <v>44025.352314814802</v>
      </c>
      <c r="E1003" s="754" t="s">
        <v>4826</v>
      </c>
      <c r="F1003" s="757">
        <v>20201</v>
      </c>
    </row>
    <row r="1004" spans="1:6" x14ac:dyDescent="0.2">
      <c r="A1004" s="753">
        <v>203206060003</v>
      </c>
      <c r="B1004" s="754" t="s">
        <v>2649</v>
      </c>
      <c r="C1004" s="755">
        <v>500000</v>
      </c>
      <c r="D1004" s="756">
        <v>44026.5465162037</v>
      </c>
      <c r="E1004" s="754" t="s">
        <v>4826</v>
      </c>
      <c r="F1004" s="757">
        <v>20201</v>
      </c>
    </row>
    <row r="1005" spans="1:6" x14ac:dyDescent="0.2">
      <c r="A1005" s="753">
        <v>203206060004</v>
      </c>
      <c r="B1005" s="754" t="s">
        <v>2650</v>
      </c>
      <c r="C1005" s="755">
        <v>500000</v>
      </c>
      <c r="D1005" s="756">
        <v>44018.564641203702</v>
      </c>
      <c r="E1005" s="754" t="s">
        <v>4826</v>
      </c>
      <c r="F1005" s="757">
        <v>20201</v>
      </c>
    </row>
    <row r="1006" spans="1:6" x14ac:dyDescent="0.2">
      <c r="A1006" s="753">
        <v>203206060005</v>
      </c>
      <c r="B1006" s="754" t="s">
        <v>2651</v>
      </c>
      <c r="C1006" s="755">
        <v>500000</v>
      </c>
      <c r="D1006" s="756">
        <v>44020.570543981499</v>
      </c>
      <c r="E1006" s="754" t="s">
        <v>4826</v>
      </c>
      <c r="F1006" s="757">
        <v>20201</v>
      </c>
    </row>
    <row r="1007" spans="1:6" x14ac:dyDescent="0.2">
      <c r="A1007" s="753">
        <v>203206060006</v>
      </c>
      <c r="B1007" s="754" t="s">
        <v>2652</v>
      </c>
      <c r="C1007" s="755">
        <v>500000</v>
      </c>
      <c r="D1007" s="756">
        <v>44000.435231481497</v>
      </c>
      <c r="E1007" s="754" t="s">
        <v>4826</v>
      </c>
      <c r="F1007" s="757">
        <v>20201</v>
      </c>
    </row>
    <row r="1008" spans="1:6" x14ac:dyDescent="0.2">
      <c r="A1008" s="753">
        <v>203206060007</v>
      </c>
      <c r="B1008" s="754" t="s">
        <v>2653</v>
      </c>
      <c r="C1008" s="755">
        <v>500000</v>
      </c>
      <c r="D1008" s="756">
        <v>44007.426157407397</v>
      </c>
      <c r="E1008" s="754" t="s">
        <v>4826</v>
      </c>
      <c r="F1008" s="757">
        <v>20201</v>
      </c>
    </row>
    <row r="1009" spans="1:6" x14ac:dyDescent="0.2">
      <c r="A1009" s="753">
        <v>203206060008</v>
      </c>
      <c r="B1009" s="754" t="s">
        <v>2654</v>
      </c>
      <c r="C1009" s="755">
        <v>500000</v>
      </c>
      <c r="D1009" s="756">
        <v>44026.432731481502</v>
      </c>
      <c r="E1009" s="754" t="s">
        <v>4826</v>
      </c>
      <c r="F1009" s="757">
        <v>20201</v>
      </c>
    </row>
    <row r="1010" spans="1:6" x14ac:dyDescent="0.2">
      <c r="A1010" s="753">
        <v>203206060009</v>
      </c>
      <c r="B1010" s="754" t="s">
        <v>2655</v>
      </c>
      <c r="C1010" s="755">
        <v>500000</v>
      </c>
      <c r="D1010" s="756">
        <v>44025.494467592602</v>
      </c>
      <c r="E1010" s="754" t="s">
        <v>4826</v>
      </c>
      <c r="F1010" s="757">
        <v>20201</v>
      </c>
    </row>
    <row r="1011" spans="1:6" x14ac:dyDescent="0.2">
      <c r="A1011" s="753">
        <v>203206060010</v>
      </c>
      <c r="B1011" s="754" t="s">
        <v>2656</v>
      </c>
      <c r="C1011" s="755">
        <v>500000</v>
      </c>
      <c r="D1011" s="756">
        <v>44000.4383564815</v>
      </c>
      <c r="E1011" s="754" t="s">
        <v>4826</v>
      </c>
      <c r="F1011" s="757">
        <v>20201</v>
      </c>
    </row>
    <row r="1012" spans="1:6" x14ac:dyDescent="0.2">
      <c r="A1012" s="753">
        <v>203206060011</v>
      </c>
      <c r="B1012" s="754" t="s">
        <v>2657</v>
      </c>
      <c r="C1012" s="755">
        <v>500000</v>
      </c>
      <c r="D1012" s="756">
        <v>44041.4378125</v>
      </c>
      <c r="E1012" s="754" t="s">
        <v>4826</v>
      </c>
      <c r="F1012" s="757">
        <v>20201</v>
      </c>
    </row>
    <row r="1013" spans="1:6" x14ac:dyDescent="0.2">
      <c r="A1013" s="753">
        <v>203206060012</v>
      </c>
      <c r="B1013" s="754" t="s">
        <v>2658</v>
      </c>
      <c r="C1013" s="755">
        <v>500000</v>
      </c>
      <c r="D1013" s="756">
        <v>44026.574884259302</v>
      </c>
      <c r="E1013" s="754" t="s">
        <v>4826</v>
      </c>
      <c r="F1013" s="757">
        <v>20201</v>
      </c>
    </row>
    <row r="1014" spans="1:6" x14ac:dyDescent="0.2">
      <c r="A1014" s="753">
        <v>203206060013</v>
      </c>
      <c r="B1014" s="754" t="s">
        <v>2659</v>
      </c>
      <c r="C1014" s="755">
        <v>500000</v>
      </c>
      <c r="D1014" s="756">
        <v>44027.4994560185</v>
      </c>
      <c r="E1014" s="754" t="s">
        <v>4826</v>
      </c>
      <c r="F1014" s="757">
        <v>20201</v>
      </c>
    </row>
    <row r="1015" spans="1:6" x14ac:dyDescent="0.2">
      <c r="A1015" s="753">
        <v>203206060014</v>
      </c>
      <c r="B1015" s="754" t="s">
        <v>2660</v>
      </c>
      <c r="C1015" s="755">
        <v>500000</v>
      </c>
      <c r="D1015" s="756">
        <v>44025.496550925898</v>
      </c>
      <c r="E1015" s="754" t="s">
        <v>4826</v>
      </c>
      <c r="F1015" s="757">
        <v>20201</v>
      </c>
    </row>
    <row r="1016" spans="1:6" x14ac:dyDescent="0.2">
      <c r="A1016" s="753">
        <v>203206060015</v>
      </c>
      <c r="B1016" s="754" t="s">
        <v>2661</v>
      </c>
      <c r="C1016" s="755">
        <v>500000</v>
      </c>
      <c r="D1016" s="756">
        <v>44004.273206018501</v>
      </c>
      <c r="E1016" s="754" t="s">
        <v>4826</v>
      </c>
      <c r="F1016" s="757">
        <v>20201</v>
      </c>
    </row>
    <row r="1017" spans="1:6" x14ac:dyDescent="0.2">
      <c r="A1017" s="753">
        <v>203206060016</v>
      </c>
      <c r="B1017" s="754" t="s">
        <v>2662</v>
      </c>
      <c r="C1017" s="755">
        <v>500000</v>
      </c>
      <c r="D1017" s="756">
        <v>44011.463900463001</v>
      </c>
      <c r="E1017" s="754" t="s">
        <v>4826</v>
      </c>
      <c r="F1017" s="757">
        <v>20201</v>
      </c>
    </row>
    <row r="1018" spans="1:6" x14ac:dyDescent="0.2">
      <c r="A1018" s="753">
        <v>203206060017</v>
      </c>
      <c r="B1018" s="754" t="s">
        <v>2664</v>
      </c>
      <c r="C1018" s="755">
        <v>500000</v>
      </c>
      <c r="D1018" s="756">
        <v>44025.615752314799</v>
      </c>
      <c r="E1018" s="754" t="s">
        <v>4826</v>
      </c>
      <c r="F1018" s="757">
        <v>20201</v>
      </c>
    </row>
    <row r="1019" spans="1:6" x14ac:dyDescent="0.2">
      <c r="A1019" s="753">
        <v>203206060018</v>
      </c>
      <c r="B1019" s="754" t="s">
        <v>2665</v>
      </c>
      <c r="C1019" s="755">
        <v>500000</v>
      </c>
      <c r="D1019" s="756">
        <v>44026.446759259299</v>
      </c>
      <c r="E1019" s="754" t="s">
        <v>4826</v>
      </c>
      <c r="F1019" s="757">
        <v>20201</v>
      </c>
    </row>
    <row r="1020" spans="1:6" x14ac:dyDescent="0.2">
      <c r="A1020" s="753">
        <v>203206060019</v>
      </c>
      <c r="B1020" s="754" t="s">
        <v>2666</v>
      </c>
      <c r="C1020" s="755">
        <v>500000</v>
      </c>
      <c r="D1020" s="756">
        <v>43993.390011574098</v>
      </c>
      <c r="E1020" s="754" t="s">
        <v>4826</v>
      </c>
      <c r="F1020" s="757">
        <v>20201</v>
      </c>
    </row>
    <row r="1021" spans="1:6" x14ac:dyDescent="0.2">
      <c r="A1021" s="753">
        <v>203206060020</v>
      </c>
      <c r="B1021" s="754" t="s">
        <v>2668</v>
      </c>
      <c r="C1021" s="755">
        <v>500000</v>
      </c>
      <c r="D1021" s="756">
        <v>43992.836863425902</v>
      </c>
      <c r="E1021" s="754" t="s">
        <v>4826</v>
      </c>
      <c r="F1021" s="757">
        <v>20201</v>
      </c>
    </row>
    <row r="1022" spans="1:6" x14ac:dyDescent="0.2">
      <c r="A1022" s="753">
        <v>203206060021</v>
      </c>
      <c r="B1022" s="754" t="s">
        <v>2669</v>
      </c>
      <c r="C1022" s="755">
        <v>500000</v>
      </c>
      <c r="D1022" s="756">
        <v>44026.8098032407</v>
      </c>
      <c r="E1022" s="754" t="s">
        <v>4826</v>
      </c>
      <c r="F1022" s="757">
        <v>20201</v>
      </c>
    </row>
    <row r="1023" spans="1:6" x14ac:dyDescent="0.2">
      <c r="A1023" s="753">
        <v>203206060022</v>
      </c>
      <c r="B1023" s="754" t="s">
        <v>2670</v>
      </c>
      <c r="C1023" s="755">
        <v>500000</v>
      </c>
      <c r="D1023" s="756">
        <v>44026.445520833302</v>
      </c>
      <c r="E1023" s="754" t="s">
        <v>4826</v>
      </c>
      <c r="F1023" s="757">
        <v>20201</v>
      </c>
    </row>
    <row r="1024" spans="1:6" x14ac:dyDescent="0.2">
      <c r="A1024" s="753">
        <v>203206060023</v>
      </c>
      <c r="B1024" s="754" t="s">
        <v>2671</v>
      </c>
      <c r="C1024" s="755">
        <v>500000</v>
      </c>
      <c r="D1024" s="756">
        <v>44048.421099537001</v>
      </c>
      <c r="E1024" s="754" t="s">
        <v>4826</v>
      </c>
      <c r="F1024" s="757">
        <v>20201</v>
      </c>
    </row>
    <row r="1025" spans="1:6" x14ac:dyDescent="0.2">
      <c r="A1025" s="753">
        <v>203206060024</v>
      </c>
      <c r="B1025" s="754" t="s">
        <v>2672</v>
      </c>
      <c r="C1025" s="755">
        <v>500000</v>
      </c>
      <c r="D1025" s="756">
        <v>44027.423067129603</v>
      </c>
      <c r="E1025" s="754" t="s">
        <v>4826</v>
      </c>
      <c r="F1025" s="757">
        <v>20201</v>
      </c>
    </row>
    <row r="1026" spans="1:6" x14ac:dyDescent="0.2">
      <c r="A1026" s="753">
        <v>203206060025</v>
      </c>
      <c r="B1026" s="754" t="s">
        <v>2673</v>
      </c>
      <c r="C1026" s="755">
        <v>500000</v>
      </c>
      <c r="D1026" s="756">
        <v>44026.428437499999</v>
      </c>
      <c r="E1026" s="754" t="s">
        <v>4826</v>
      </c>
      <c r="F1026" s="757">
        <v>20201</v>
      </c>
    </row>
    <row r="1027" spans="1:6" x14ac:dyDescent="0.2">
      <c r="A1027" s="753">
        <v>203206060026</v>
      </c>
      <c r="B1027" s="754" t="s">
        <v>2674</v>
      </c>
      <c r="C1027" s="755">
        <v>500000</v>
      </c>
      <c r="D1027" s="756">
        <v>43993.374201388899</v>
      </c>
      <c r="E1027" s="754" t="s">
        <v>4826</v>
      </c>
      <c r="F1027" s="757">
        <v>20201</v>
      </c>
    </row>
    <row r="1028" spans="1:6" x14ac:dyDescent="0.2">
      <c r="A1028" s="753">
        <v>203206060027</v>
      </c>
      <c r="B1028" s="754" t="s">
        <v>2675</v>
      </c>
      <c r="C1028" s="755">
        <v>500000</v>
      </c>
      <c r="D1028" s="756">
        <v>44026.644837963002</v>
      </c>
      <c r="E1028" s="754" t="s">
        <v>4826</v>
      </c>
      <c r="F1028" s="757">
        <v>20201</v>
      </c>
    </row>
    <row r="1029" spans="1:6" x14ac:dyDescent="0.2">
      <c r="A1029" s="753">
        <v>203206060028</v>
      </c>
      <c r="B1029" s="754" t="s">
        <v>2676</v>
      </c>
      <c r="C1029" s="755">
        <v>500000</v>
      </c>
      <c r="D1029" s="756">
        <v>44053.7628819444</v>
      </c>
      <c r="E1029" s="754" t="s">
        <v>4826</v>
      </c>
      <c r="F1029" s="757">
        <v>20201</v>
      </c>
    </row>
    <row r="1030" spans="1:6" x14ac:dyDescent="0.2">
      <c r="A1030" s="753">
        <v>203206060029</v>
      </c>
      <c r="B1030" s="754" t="s">
        <v>2677</v>
      </c>
      <c r="C1030" s="755">
        <v>500000</v>
      </c>
      <c r="D1030" s="756">
        <v>44013.559560185196</v>
      </c>
      <c r="E1030" s="754" t="s">
        <v>4826</v>
      </c>
      <c r="F1030" s="757">
        <v>20201</v>
      </c>
    </row>
    <row r="1031" spans="1:6" x14ac:dyDescent="0.2">
      <c r="A1031" s="753">
        <v>203206060031</v>
      </c>
      <c r="B1031" s="754" t="s">
        <v>2667</v>
      </c>
      <c r="C1031" s="755">
        <v>500000</v>
      </c>
      <c r="D1031" s="756">
        <v>44026.6039930556</v>
      </c>
      <c r="E1031" s="754" t="s">
        <v>4826</v>
      </c>
      <c r="F1031" s="757">
        <v>20201</v>
      </c>
    </row>
    <row r="1032" spans="1:6" x14ac:dyDescent="0.2">
      <c r="A1032" s="753">
        <v>203206070001</v>
      </c>
      <c r="B1032" s="754" t="s">
        <v>2738</v>
      </c>
      <c r="C1032" s="755">
        <v>500000</v>
      </c>
      <c r="D1032" s="756">
        <v>44026.574571759302</v>
      </c>
      <c r="E1032" s="754" t="s">
        <v>4824</v>
      </c>
      <c r="F1032" s="757">
        <v>20201</v>
      </c>
    </row>
    <row r="1033" spans="1:6" x14ac:dyDescent="0.2">
      <c r="A1033" s="753">
        <v>203206070002</v>
      </c>
      <c r="B1033" s="754" t="s">
        <v>2740</v>
      </c>
      <c r="C1033" s="755">
        <v>500000</v>
      </c>
      <c r="D1033" s="756">
        <v>44047.715567129599</v>
      </c>
      <c r="E1033" s="754" t="s">
        <v>4824</v>
      </c>
      <c r="F1033" s="757">
        <v>20201</v>
      </c>
    </row>
    <row r="1034" spans="1:6" x14ac:dyDescent="0.2">
      <c r="A1034" s="753">
        <v>203206070003</v>
      </c>
      <c r="B1034" s="754" t="s">
        <v>2741</v>
      </c>
      <c r="C1034" s="755">
        <v>500000</v>
      </c>
      <c r="D1034" s="756">
        <v>44003.652280092603</v>
      </c>
      <c r="E1034" s="754" t="s">
        <v>4824</v>
      </c>
      <c r="F1034" s="757">
        <v>20201</v>
      </c>
    </row>
    <row r="1035" spans="1:6" x14ac:dyDescent="0.2">
      <c r="A1035" s="753">
        <v>203206070004</v>
      </c>
      <c r="B1035" s="754" t="s">
        <v>2742</v>
      </c>
      <c r="C1035" s="755">
        <v>500000</v>
      </c>
      <c r="D1035" s="756">
        <v>43993.571493055599</v>
      </c>
      <c r="E1035" s="754" t="s">
        <v>4824</v>
      </c>
      <c r="F1035" s="757">
        <v>20201</v>
      </c>
    </row>
    <row r="1036" spans="1:6" x14ac:dyDescent="0.2">
      <c r="A1036" s="753">
        <v>203206070005</v>
      </c>
      <c r="B1036" s="754" t="s">
        <v>2743</v>
      </c>
      <c r="C1036" s="755">
        <v>500000</v>
      </c>
      <c r="D1036" s="756">
        <v>43992.809085648201</v>
      </c>
      <c r="E1036" s="754" t="s">
        <v>4824</v>
      </c>
      <c r="F1036" s="757">
        <v>20201</v>
      </c>
    </row>
    <row r="1037" spans="1:6" x14ac:dyDescent="0.2">
      <c r="A1037" s="753">
        <v>203206070006</v>
      </c>
      <c r="B1037" s="754" t="s">
        <v>2744</v>
      </c>
      <c r="C1037" s="755">
        <v>500000</v>
      </c>
      <c r="D1037" s="756">
        <v>44021.686655092599</v>
      </c>
      <c r="E1037" s="754" t="s">
        <v>4824</v>
      </c>
      <c r="F1037" s="757">
        <v>20201</v>
      </c>
    </row>
    <row r="1038" spans="1:6" x14ac:dyDescent="0.2">
      <c r="A1038" s="753">
        <v>203206070007</v>
      </c>
      <c r="B1038" s="754" t="s">
        <v>2745</v>
      </c>
      <c r="C1038" s="755">
        <v>500000</v>
      </c>
      <c r="D1038" s="756">
        <v>44024.661122685196</v>
      </c>
      <c r="E1038" s="754" t="s">
        <v>4824</v>
      </c>
      <c r="F1038" s="757">
        <v>20201</v>
      </c>
    </row>
    <row r="1039" spans="1:6" x14ac:dyDescent="0.2">
      <c r="A1039" s="753">
        <v>203206070008</v>
      </c>
      <c r="B1039" s="754" t="s">
        <v>2746</v>
      </c>
      <c r="C1039" s="755">
        <v>500000</v>
      </c>
      <c r="D1039" s="756">
        <v>44001.707141203697</v>
      </c>
      <c r="E1039" s="754" t="s">
        <v>4824</v>
      </c>
      <c r="F1039" s="757">
        <v>20201</v>
      </c>
    </row>
    <row r="1040" spans="1:6" x14ac:dyDescent="0.2">
      <c r="A1040" s="753">
        <v>203206080001</v>
      </c>
      <c r="B1040" s="754" t="s">
        <v>4856</v>
      </c>
      <c r="C1040" s="755">
        <v>500000</v>
      </c>
      <c r="D1040" s="756">
        <v>44008.367604166699</v>
      </c>
      <c r="E1040" s="754" t="s">
        <v>4836</v>
      </c>
      <c r="F1040" s="757">
        <v>20201</v>
      </c>
    </row>
    <row r="1041" spans="1:6" x14ac:dyDescent="0.2">
      <c r="A1041" s="753">
        <v>203206080002</v>
      </c>
      <c r="B1041" s="754" t="s">
        <v>2765</v>
      </c>
      <c r="C1041" s="755">
        <v>500000</v>
      </c>
      <c r="D1041" s="756">
        <v>44015.374699074098</v>
      </c>
      <c r="E1041" s="754" t="s">
        <v>4836</v>
      </c>
      <c r="F1041" s="757">
        <v>20201</v>
      </c>
    </row>
    <row r="1042" spans="1:6" x14ac:dyDescent="0.2">
      <c r="A1042" s="753">
        <v>203206080003</v>
      </c>
      <c r="B1042" s="754" t="s">
        <v>2766</v>
      </c>
      <c r="C1042" s="755">
        <v>500000</v>
      </c>
      <c r="D1042" s="756">
        <v>44027.826018518499</v>
      </c>
      <c r="E1042" s="754" t="s">
        <v>4836</v>
      </c>
      <c r="F1042" s="757">
        <v>20201</v>
      </c>
    </row>
    <row r="1043" spans="1:6" x14ac:dyDescent="0.2">
      <c r="A1043" s="753">
        <v>203206080004</v>
      </c>
      <c r="B1043" s="754" t="s">
        <v>2768</v>
      </c>
      <c r="C1043" s="755">
        <v>500000</v>
      </c>
      <c r="D1043" s="756">
        <v>44004.666701388902</v>
      </c>
      <c r="E1043" s="754" t="s">
        <v>4836</v>
      </c>
      <c r="F1043" s="757">
        <v>20201</v>
      </c>
    </row>
    <row r="1044" spans="1:6" x14ac:dyDescent="0.2">
      <c r="A1044" s="753">
        <v>203206080005</v>
      </c>
      <c r="B1044" s="754" t="s">
        <v>2769</v>
      </c>
      <c r="C1044" s="755">
        <v>500000</v>
      </c>
      <c r="D1044" s="756">
        <v>44001.5535185185</v>
      </c>
      <c r="E1044" s="754" t="s">
        <v>4836</v>
      </c>
      <c r="F1044" s="757">
        <v>20201</v>
      </c>
    </row>
    <row r="1045" spans="1:6" x14ac:dyDescent="0.2">
      <c r="A1045" s="753">
        <v>203206080006</v>
      </c>
      <c r="B1045" s="754" t="s">
        <v>2770</v>
      </c>
      <c r="C1045" s="755">
        <v>500000</v>
      </c>
      <c r="D1045" s="756">
        <v>44012.410787036999</v>
      </c>
      <c r="E1045" s="754" t="s">
        <v>4836</v>
      </c>
      <c r="F1045" s="757">
        <v>20201</v>
      </c>
    </row>
    <row r="1046" spans="1:6" x14ac:dyDescent="0.2">
      <c r="A1046" s="753">
        <v>203206080007</v>
      </c>
      <c r="B1046" s="754" t="s">
        <v>2771</v>
      </c>
      <c r="C1046" s="755">
        <v>500000</v>
      </c>
      <c r="D1046" s="756">
        <v>44018.460358796299</v>
      </c>
      <c r="E1046" s="754" t="s">
        <v>4836</v>
      </c>
      <c r="F1046" s="757">
        <v>20201</v>
      </c>
    </row>
    <row r="1047" spans="1:6" x14ac:dyDescent="0.2">
      <c r="A1047" s="753">
        <v>203206080008</v>
      </c>
      <c r="B1047" s="754" t="s">
        <v>2772</v>
      </c>
      <c r="C1047" s="755">
        <v>500000</v>
      </c>
      <c r="D1047" s="756">
        <v>44011.372604166703</v>
      </c>
      <c r="E1047" s="754" t="s">
        <v>4836</v>
      </c>
      <c r="F1047" s="757">
        <v>20201</v>
      </c>
    </row>
    <row r="1048" spans="1:6" x14ac:dyDescent="0.2">
      <c r="A1048" s="753">
        <v>203206080009</v>
      </c>
      <c r="B1048" s="754" t="s">
        <v>2773</v>
      </c>
      <c r="C1048" s="755">
        <v>500000</v>
      </c>
      <c r="D1048" s="756">
        <v>44001.552210648202</v>
      </c>
      <c r="E1048" s="754" t="s">
        <v>4836</v>
      </c>
      <c r="F1048" s="757">
        <v>20201</v>
      </c>
    </row>
    <row r="1049" spans="1:6" x14ac:dyDescent="0.2">
      <c r="A1049" s="753">
        <v>203206080010</v>
      </c>
      <c r="B1049" s="754" t="s">
        <v>2774</v>
      </c>
      <c r="C1049" s="755">
        <v>500000</v>
      </c>
      <c r="D1049" s="756">
        <v>44001.403993055603</v>
      </c>
      <c r="E1049" s="754" t="s">
        <v>4836</v>
      </c>
      <c r="F1049" s="757">
        <v>20201</v>
      </c>
    </row>
    <row r="1050" spans="1:6" x14ac:dyDescent="0.2">
      <c r="A1050" s="753">
        <v>203206080011</v>
      </c>
      <c r="B1050" s="754" t="s">
        <v>2775</v>
      </c>
      <c r="C1050" s="755">
        <v>500000</v>
      </c>
      <c r="D1050" s="756">
        <v>44026.613842592596</v>
      </c>
      <c r="E1050" s="754" t="s">
        <v>4836</v>
      </c>
      <c r="F1050" s="757">
        <v>20201</v>
      </c>
    </row>
    <row r="1051" spans="1:6" x14ac:dyDescent="0.2">
      <c r="A1051" s="753">
        <v>203206080012</v>
      </c>
      <c r="B1051" s="754" t="s">
        <v>2767</v>
      </c>
      <c r="C1051" s="755">
        <v>500000</v>
      </c>
      <c r="D1051" s="756">
        <v>44022.549826388902</v>
      </c>
      <c r="E1051" s="754" t="s">
        <v>4836</v>
      </c>
      <c r="F1051" s="757">
        <v>20201</v>
      </c>
    </row>
    <row r="1052" spans="1:6" x14ac:dyDescent="0.2">
      <c r="A1052" s="753">
        <v>203206080013</v>
      </c>
      <c r="B1052" s="754" t="s">
        <v>2776</v>
      </c>
      <c r="C1052" s="755">
        <v>500000</v>
      </c>
      <c r="D1052" s="756">
        <v>44040.587094907401</v>
      </c>
      <c r="E1052" s="754" t="s">
        <v>4836</v>
      </c>
      <c r="F1052" s="757">
        <v>20201</v>
      </c>
    </row>
    <row r="1053" spans="1:6" x14ac:dyDescent="0.2">
      <c r="A1053" s="753">
        <v>204206040001</v>
      </c>
      <c r="B1053" s="754" t="s">
        <v>4857</v>
      </c>
      <c r="C1053" s="755">
        <v>500000</v>
      </c>
      <c r="D1053" s="756">
        <v>44071.5468287037</v>
      </c>
      <c r="E1053" s="754" t="s">
        <v>4829</v>
      </c>
      <c r="F1053" s="757">
        <v>20201</v>
      </c>
    </row>
    <row r="1054" spans="1:6" x14ac:dyDescent="0.2">
      <c r="A1054" s="753">
        <v>204206070001</v>
      </c>
      <c r="B1054" s="754" t="s">
        <v>4858</v>
      </c>
      <c r="C1054" s="755">
        <v>500000</v>
      </c>
      <c r="D1054" s="756">
        <v>44067.572280092601</v>
      </c>
      <c r="E1054" s="754" t="s">
        <v>4824</v>
      </c>
      <c r="F1054" s="757">
        <v>20201</v>
      </c>
    </row>
    <row r="1055" spans="1:6" x14ac:dyDescent="0.2">
      <c r="A1055" s="753">
        <v>204206080001</v>
      </c>
      <c r="B1055" s="754" t="s">
        <v>4859</v>
      </c>
      <c r="C1055" s="755">
        <v>500000</v>
      </c>
      <c r="D1055" s="756">
        <v>44069.387708333299</v>
      </c>
      <c r="E1055" s="754" t="s">
        <v>4836</v>
      </c>
      <c r="F1055" s="757">
        <v>20201</v>
      </c>
    </row>
    <row r="1056" spans="1:6" x14ac:dyDescent="0.2">
      <c r="A1056" s="753">
        <v>204206080002</v>
      </c>
      <c r="B1056" s="754" t="s">
        <v>2778</v>
      </c>
      <c r="C1056" s="755">
        <v>500000</v>
      </c>
      <c r="D1056" s="756">
        <v>44073.355023148099</v>
      </c>
      <c r="E1056" s="754" t="s">
        <v>4836</v>
      </c>
      <c r="F1056" s="757">
        <v>20201</v>
      </c>
    </row>
    <row r="1057" spans="1:6" x14ac:dyDescent="0.2">
      <c r="A1057" s="753">
        <v>204206080003</v>
      </c>
      <c r="B1057" s="754" t="s">
        <v>4860</v>
      </c>
      <c r="C1057" s="755">
        <v>500000</v>
      </c>
      <c r="D1057" s="756">
        <v>44070.407083333303</v>
      </c>
      <c r="E1057" s="754" t="s">
        <v>4836</v>
      </c>
      <c r="F1057" s="757">
        <v>20201</v>
      </c>
    </row>
    <row r="1058" spans="1:6" x14ac:dyDescent="0.2">
      <c r="A1058" s="753">
        <v>204206080004</v>
      </c>
      <c r="B1058" s="754" t="s">
        <v>2780</v>
      </c>
      <c r="C1058" s="755">
        <v>500000</v>
      </c>
      <c r="D1058" s="756">
        <v>44073.355763888903</v>
      </c>
      <c r="E1058" s="754" t="s">
        <v>4836</v>
      </c>
      <c r="F1058" s="757">
        <v>20201</v>
      </c>
    </row>
    <row r="1059" spans="1:6" x14ac:dyDescent="0.2">
      <c r="A1059" s="753">
        <v>203206020015</v>
      </c>
      <c r="B1059" s="754" t="s">
        <v>2639</v>
      </c>
      <c r="C1059" s="755">
        <v>500000</v>
      </c>
      <c r="D1059" s="756">
        <v>44041.5944675926</v>
      </c>
      <c r="E1059" s="754" t="s">
        <v>4822</v>
      </c>
      <c r="F1059" s="757">
        <v>20201</v>
      </c>
    </row>
    <row r="1060" spans="1:6" x14ac:dyDescent="0.2">
      <c r="A1060" s="753">
        <v>203206020016</v>
      </c>
      <c r="B1060" s="754" t="s">
        <v>2640</v>
      </c>
      <c r="C1060" s="755">
        <v>500000</v>
      </c>
      <c r="D1060" s="756">
        <v>44019.764710648102</v>
      </c>
      <c r="E1060" s="754" t="s">
        <v>4822</v>
      </c>
      <c r="F1060" s="757">
        <v>20201</v>
      </c>
    </row>
    <row r="1061" spans="1:6" x14ac:dyDescent="0.2">
      <c r="A1061" s="753">
        <v>203206020017</v>
      </c>
      <c r="B1061" s="754" t="s">
        <v>2641</v>
      </c>
      <c r="C1061" s="755">
        <v>500000</v>
      </c>
      <c r="D1061" s="756">
        <v>44048.363043981502</v>
      </c>
      <c r="E1061" s="754" t="s">
        <v>4822</v>
      </c>
      <c r="F1061" s="757">
        <v>20201</v>
      </c>
    </row>
    <row r="1062" spans="1:6" x14ac:dyDescent="0.2">
      <c r="A1062" s="753">
        <v>203206020018</v>
      </c>
      <c r="B1062" s="754" t="s">
        <v>2642</v>
      </c>
      <c r="C1062" s="755">
        <v>500000</v>
      </c>
      <c r="D1062" s="756">
        <v>44023.751018518502</v>
      </c>
      <c r="E1062" s="754" t="s">
        <v>4822</v>
      </c>
      <c r="F1062" s="757">
        <v>20201</v>
      </c>
    </row>
    <row r="1063" spans="1:6" x14ac:dyDescent="0.2">
      <c r="A1063" s="753">
        <v>203206020019</v>
      </c>
      <c r="B1063" s="754" t="s">
        <v>2643</v>
      </c>
      <c r="C1063" s="755">
        <v>500000</v>
      </c>
      <c r="D1063" s="756">
        <v>44004.624571759297</v>
      </c>
      <c r="E1063" s="754" t="s">
        <v>4822</v>
      </c>
      <c r="F1063" s="757">
        <v>20201</v>
      </c>
    </row>
    <row r="1064" spans="1:6" x14ac:dyDescent="0.2">
      <c r="A1064" s="753">
        <v>203206020020</v>
      </c>
      <c r="B1064" s="754" t="s">
        <v>2644</v>
      </c>
      <c r="C1064" s="755">
        <v>500000</v>
      </c>
      <c r="D1064" s="756">
        <v>44027.596828703703</v>
      </c>
      <c r="E1064" s="754" t="s">
        <v>4822</v>
      </c>
      <c r="F1064" s="757">
        <v>20201</v>
      </c>
    </row>
    <row r="1065" spans="1:6" x14ac:dyDescent="0.2">
      <c r="A1065" s="753">
        <v>203206030001</v>
      </c>
      <c r="B1065" s="754" t="s">
        <v>2680</v>
      </c>
      <c r="C1065" s="755">
        <v>500000</v>
      </c>
      <c r="D1065" s="756">
        <v>44009.808923611097</v>
      </c>
      <c r="E1065" s="754" t="s">
        <v>4821</v>
      </c>
      <c r="F1065" s="757">
        <v>20201</v>
      </c>
    </row>
    <row r="1066" spans="1:6" x14ac:dyDescent="0.2">
      <c r="A1066" s="753">
        <v>203206030002</v>
      </c>
      <c r="B1066" s="754" t="s">
        <v>2683</v>
      </c>
      <c r="C1066" s="755">
        <v>500000</v>
      </c>
      <c r="D1066" s="756">
        <v>44013.613310185203</v>
      </c>
      <c r="E1066" s="754" t="s">
        <v>4821</v>
      </c>
      <c r="F1066" s="757">
        <v>20201</v>
      </c>
    </row>
    <row r="1067" spans="1:6" x14ac:dyDescent="0.2">
      <c r="A1067" s="753">
        <v>203206030003</v>
      </c>
      <c r="B1067" s="754" t="s">
        <v>2684</v>
      </c>
      <c r="C1067" s="755">
        <v>500000</v>
      </c>
      <c r="D1067" s="756">
        <v>44008.392569444397</v>
      </c>
      <c r="E1067" s="754" t="s">
        <v>4821</v>
      </c>
      <c r="F1067" s="757">
        <v>20201</v>
      </c>
    </row>
    <row r="1068" spans="1:6" x14ac:dyDescent="0.2">
      <c r="A1068" s="753">
        <v>203206030004</v>
      </c>
      <c r="B1068" s="754" t="s">
        <v>2685</v>
      </c>
      <c r="C1068" s="755">
        <v>500000</v>
      </c>
      <c r="D1068" s="756">
        <v>44018.491747685199</v>
      </c>
      <c r="E1068" s="754" t="s">
        <v>4821</v>
      </c>
      <c r="F1068" s="757">
        <v>20201</v>
      </c>
    </row>
    <row r="1069" spans="1:6" x14ac:dyDescent="0.2">
      <c r="A1069" s="753">
        <v>203206030005</v>
      </c>
      <c r="B1069" s="754" t="s">
        <v>2686</v>
      </c>
      <c r="C1069" s="755">
        <v>500000</v>
      </c>
      <c r="D1069" s="756">
        <v>44027.856307870403</v>
      </c>
      <c r="E1069" s="754" t="s">
        <v>4821</v>
      </c>
      <c r="F1069" s="757">
        <v>20201</v>
      </c>
    </row>
    <row r="1070" spans="1:6" x14ac:dyDescent="0.2">
      <c r="A1070" s="753">
        <v>203206030006</v>
      </c>
      <c r="B1070" s="754" t="s">
        <v>2687</v>
      </c>
      <c r="C1070" s="755">
        <v>500000</v>
      </c>
      <c r="D1070" s="756">
        <v>44048.581990740699</v>
      </c>
      <c r="E1070" s="754" t="s">
        <v>4821</v>
      </c>
      <c r="F1070" s="757">
        <v>20201</v>
      </c>
    </row>
    <row r="1071" spans="1:6" x14ac:dyDescent="0.2">
      <c r="A1071" s="753">
        <v>203206030007</v>
      </c>
      <c r="B1071" s="754" t="s">
        <v>2688</v>
      </c>
      <c r="C1071" s="755">
        <v>500000</v>
      </c>
      <c r="D1071" s="756">
        <v>44049.551296296297</v>
      </c>
      <c r="E1071" s="754" t="s">
        <v>4821</v>
      </c>
      <c r="F1071" s="757">
        <v>20201</v>
      </c>
    </row>
    <row r="1072" spans="1:6" x14ac:dyDescent="0.2">
      <c r="A1072" s="753">
        <v>203206030008</v>
      </c>
      <c r="B1072" s="754" t="s">
        <v>2689</v>
      </c>
      <c r="C1072" s="755">
        <v>500000</v>
      </c>
      <c r="D1072" s="756">
        <v>44008.3907175926</v>
      </c>
      <c r="E1072" s="754" t="s">
        <v>4821</v>
      </c>
      <c r="F1072" s="757">
        <v>20201</v>
      </c>
    </row>
    <row r="1073" spans="1:6" x14ac:dyDescent="0.2">
      <c r="A1073" s="753">
        <v>203206030009</v>
      </c>
      <c r="B1073" s="754" t="s">
        <v>2690</v>
      </c>
      <c r="C1073" s="755">
        <v>500000</v>
      </c>
      <c r="D1073" s="756">
        <v>44013.612106481502</v>
      </c>
      <c r="E1073" s="754" t="s">
        <v>4821</v>
      </c>
      <c r="F1073" s="757">
        <v>20201</v>
      </c>
    </row>
    <row r="1074" spans="1:6" x14ac:dyDescent="0.2">
      <c r="A1074" s="753">
        <v>203206030010</v>
      </c>
      <c r="B1074" s="754" t="s">
        <v>2691</v>
      </c>
      <c r="C1074" s="755">
        <v>500000</v>
      </c>
      <c r="D1074" s="756">
        <v>44019.586724537003</v>
      </c>
      <c r="E1074" s="754" t="s">
        <v>4821</v>
      </c>
      <c r="F1074" s="757">
        <v>20201</v>
      </c>
    </row>
    <row r="1075" spans="1:6" x14ac:dyDescent="0.2">
      <c r="A1075" s="753">
        <v>203206030011</v>
      </c>
      <c r="B1075" s="754" t="s">
        <v>2692</v>
      </c>
      <c r="C1075" s="755">
        <v>500000</v>
      </c>
      <c r="D1075" s="756">
        <v>44027.755162037</v>
      </c>
      <c r="E1075" s="754" t="s">
        <v>4821</v>
      </c>
      <c r="F1075" s="757">
        <v>20201</v>
      </c>
    </row>
    <row r="1076" spans="1:6" x14ac:dyDescent="0.2">
      <c r="A1076" s="753">
        <v>203206030012</v>
      </c>
      <c r="B1076" s="754" t="s">
        <v>2693</v>
      </c>
      <c r="C1076" s="755">
        <v>500000</v>
      </c>
      <c r="D1076" s="756">
        <v>44027.721782407403</v>
      </c>
      <c r="E1076" s="754" t="s">
        <v>4821</v>
      </c>
      <c r="F1076" s="757">
        <v>20201</v>
      </c>
    </row>
    <row r="1077" spans="1:6" x14ac:dyDescent="0.2">
      <c r="A1077" s="753">
        <v>203206030013</v>
      </c>
      <c r="B1077" s="754" t="s">
        <v>2695</v>
      </c>
      <c r="C1077" s="755">
        <v>500000</v>
      </c>
      <c r="D1077" s="756">
        <v>43999.363402777803</v>
      </c>
      <c r="E1077" s="754" t="s">
        <v>4821</v>
      </c>
      <c r="F1077" s="757">
        <v>20201</v>
      </c>
    </row>
    <row r="1078" spans="1:6" x14ac:dyDescent="0.2">
      <c r="A1078" s="753">
        <v>203206030014</v>
      </c>
      <c r="B1078" s="754" t="s">
        <v>2696</v>
      </c>
      <c r="C1078" s="755">
        <v>500000</v>
      </c>
      <c r="D1078" s="756">
        <v>44048.402094907397</v>
      </c>
      <c r="E1078" s="754" t="s">
        <v>4821</v>
      </c>
      <c r="F1078" s="757">
        <v>20201</v>
      </c>
    </row>
    <row r="1079" spans="1:6" x14ac:dyDescent="0.2">
      <c r="A1079" s="753">
        <v>203206030015</v>
      </c>
      <c r="B1079" s="754" t="s">
        <v>2697</v>
      </c>
      <c r="C1079" s="755">
        <v>500000</v>
      </c>
      <c r="D1079" s="756">
        <v>44042.410694444399</v>
      </c>
      <c r="E1079" s="754" t="s">
        <v>4821</v>
      </c>
      <c r="F1079" s="757">
        <v>20201</v>
      </c>
    </row>
    <row r="1080" spans="1:6" x14ac:dyDescent="0.2">
      <c r="A1080" s="753">
        <v>203206030016</v>
      </c>
      <c r="B1080" s="754" t="s">
        <v>2698</v>
      </c>
      <c r="C1080" s="755">
        <v>500000</v>
      </c>
      <c r="D1080" s="756">
        <v>44001.407546296301</v>
      </c>
      <c r="E1080" s="754" t="s">
        <v>4821</v>
      </c>
      <c r="F1080" s="757">
        <v>20201</v>
      </c>
    </row>
    <row r="1081" spans="1:6" x14ac:dyDescent="0.2">
      <c r="A1081" s="753">
        <v>203206030017</v>
      </c>
      <c r="B1081" s="754" t="s">
        <v>2699</v>
      </c>
      <c r="C1081" s="755">
        <v>500000</v>
      </c>
      <c r="D1081" s="756">
        <v>44025.615312499998</v>
      </c>
      <c r="E1081" s="754" t="s">
        <v>4821</v>
      </c>
      <c r="F1081" s="757">
        <v>20201</v>
      </c>
    </row>
    <row r="1082" spans="1:6" x14ac:dyDescent="0.2">
      <c r="A1082" s="753">
        <v>203206030018</v>
      </c>
      <c r="B1082" s="754" t="s">
        <v>2700</v>
      </c>
      <c r="C1082" s="755">
        <v>500000</v>
      </c>
      <c r="D1082" s="756">
        <v>44042.383321759298</v>
      </c>
      <c r="E1082" s="754" t="s">
        <v>4821</v>
      </c>
      <c r="F1082" s="757">
        <v>20201</v>
      </c>
    </row>
    <row r="1083" spans="1:6" x14ac:dyDescent="0.2">
      <c r="A1083" s="753">
        <v>203206030019</v>
      </c>
      <c r="B1083" s="754" t="s">
        <v>2701</v>
      </c>
      <c r="C1083" s="755">
        <v>500000</v>
      </c>
      <c r="D1083" s="756">
        <v>44013.383391203701</v>
      </c>
      <c r="E1083" s="754" t="s">
        <v>4821</v>
      </c>
      <c r="F1083" s="757">
        <v>20201</v>
      </c>
    </row>
    <row r="1084" spans="1:6" x14ac:dyDescent="0.2">
      <c r="A1084" s="753">
        <v>203206030020</v>
      </c>
      <c r="B1084" s="754" t="s">
        <v>2702</v>
      </c>
      <c r="C1084" s="755">
        <v>500000</v>
      </c>
      <c r="D1084" s="756">
        <v>44022.544097222199</v>
      </c>
      <c r="E1084" s="754" t="s">
        <v>4821</v>
      </c>
      <c r="F1084" s="757">
        <v>20201</v>
      </c>
    </row>
    <row r="1085" spans="1:6" x14ac:dyDescent="0.2">
      <c r="A1085" s="753">
        <v>203206030021</v>
      </c>
      <c r="B1085" s="754" t="s">
        <v>2703</v>
      </c>
      <c r="C1085" s="755">
        <v>500000</v>
      </c>
      <c r="D1085" s="756">
        <v>44018.434108796297</v>
      </c>
      <c r="E1085" s="754" t="s">
        <v>4821</v>
      </c>
      <c r="F1085" s="757">
        <v>20201</v>
      </c>
    </row>
    <row r="1086" spans="1:6" x14ac:dyDescent="0.2">
      <c r="A1086" s="753">
        <v>203206030022</v>
      </c>
      <c r="B1086" s="754" t="s">
        <v>2704</v>
      </c>
      <c r="C1086" s="755">
        <v>500000</v>
      </c>
      <c r="D1086" s="756">
        <v>44012.540405092601</v>
      </c>
      <c r="E1086" s="754" t="s">
        <v>4821</v>
      </c>
      <c r="F1086" s="757">
        <v>20201</v>
      </c>
    </row>
    <row r="1087" spans="1:6" x14ac:dyDescent="0.2">
      <c r="A1087" s="753">
        <v>203206030023</v>
      </c>
      <c r="B1087" s="754" t="s">
        <v>2705</v>
      </c>
      <c r="C1087" s="755">
        <v>500000</v>
      </c>
      <c r="D1087" s="756">
        <v>44019.463981481502</v>
      </c>
      <c r="E1087" s="754" t="s">
        <v>4821</v>
      </c>
      <c r="F1087" s="757">
        <v>20201</v>
      </c>
    </row>
    <row r="1088" spans="1:6" x14ac:dyDescent="0.2">
      <c r="A1088" s="753">
        <v>203206030024</v>
      </c>
      <c r="B1088" s="754" t="s">
        <v>2706</v>
      </c>
      <c r="C1088" s="755">
        <v>500000</v>
      </c>
      <c r="D1088" s="756">
        <v>44050.407268518502</v>
      </c>
      <c r="E1088" s="754" t="s">
        <v>4821</v>
      </c>
      <c r="F1088" s="757">
        <v>20201</v>
      </c>
    </row>
    <row r="1089" spans="1:6" x14ac:dyDescent="0.2">
      <c r="A1089" s="753">
        <v>203206030025</v>
      </c>
      <c r="B1089" s="754" t="s">
        <v>2707</v>
      </c>
      <c r="C1089" s="755">
        <v>500000</v>
      </c>
      <c r="D1089" s="756">
        <v>44027.434907407398</v>
      </c>
      <c r="E1089" s="754" t="s">
        <v>4821</v>
      </c>
      <c r="F1089" s="757">
        <v>20201</v>
      </c>
    </row>
    <row r="1090" spans="1:6" x14ac:dyDescent="0.2">
      <c r="A1090" s="753">
        <v>203206030026</v>
      </c>
      <c r="B1090" s="754" t="s">
        <v>2708</v>
      </c>
      <c r="C1090" s="755">
        <v>500000</v>
      </c>
      <c r="D1090" s="756">
        <v>44033.564189814802</v>
      </c>
      <c r="E1090" s="754" t="s">
        <v>4821</v>
      </c>
      <c r="F1090" s="757">
        <v>20201</v>
      </c>
    </row>
    <row r="1091" spans="1:6" x14ac:dyDescent="0.2">
      <c r="A1091" s="753">
        <v>203206030027</v>
      </c>
      <c r="B1091" s="754" t="s">
        <v>2709</v>
      </c>
      <c r="C1091" s="755">
        <v>500000</v>
      </c>
      <c r="D1091" s="756">
        <v>44014.573564814797</v>
      </c>
      <c r="E1091" s="754" t="s">
        <v>4821</v>
      </c>
      <c r="F1091" s="757">
        <v>20201</v>
      </c>
    </row>
    <row r="1092" spans="1:6" x14ac:dyDescent="0.2">
      <c r="A1092" s="753">
        <v>203206030028</v>
      </c>
      <c r="B1092" s="754" t="s">
        <v>2710</v>
      </c>
      <c r="C1092" s="755">
        <v>500000</v>
      </c>
      <c r="D1092" s="756">
        <v>44025.372835648202</v>
      </c>
      <c r="E1092" s="754" t="s">
        <v>4821</v>
      </c>
      <c r="F1092" s="757">
        <v>20201</v>
      </c>
    </row>
    <row r="1093" spans="1:6" x14ac:dyDescent="0.2">
      <c r="A1093" s="753">
        <v>203206030029</v>
      </c>
      <c r="B1093" s="754" t="s">
        <v>2711</v>
      </c>
      <c r="C1093" s="755">
        <v>500000</v>
      </c>
      <c r="D1093" s="756">
        <v>44020.607835648101</v>
      </c>
      <c r="E1093" s="754" t="s">
        <v>4821</v>
      </c>
      <c r="F1093" s="757">
        <v>20201</v>
      </c>
    </row>
    <row r="1094" spans="1:6" x14ac:dyDescent="0.2">
      <c r="A1094" s="753">
        <v>203206030030</v>
      </c>
      <c r="B1094" s="754" t="s">
        <v>2712</v>
      </c>
      <c r="C1094" s="755">
        <v>500000</v>
      </c>
      <c r="D1094" s="756">
        <v>44022.601076388899</v>
      </c>
      <c r="E1094" s="754" t="s">
        <v>4821</v>
      </c>
      <c r="F1094" s="757">
        <v>20201</v>
      </c>
    </row>
    <row r="1095" spans="1:6" x14ac:dyDescent="0.2">
      <c r="A1095" s="753">
        <v>203206030031</v>
      </c>
      <c r="B1095" s="754" t="s">
        <v>2713</v>
      </c>
      <c r="C1095" s="755">
        <v>500000</v>
      </c>
      <c r="D1095" s="756">
        <v>44018.572928240697</v>
      </c>
      <c r="E1095" s="754" t="s">
        <v>4821</v>
      </c>
      <c r="F1095" s="757">
        <v>20201</v>
      </c>
    </row>
    <row r="1096" spans="1:6" x14ac:dyDescent="0.2">
      <c r="A1096" s="753">
        <v>203206030032</v>
      </c>
      <c r="B1096" s="754" t="s">
        <v>2714</v>
      </c>
      <c r="C1096" s="755">
        <v>500000</v>
      </c>
      <c r="D1096" s="756">
        <v>44014.420729166697</v>
      </c>
      <c r="E1096" s="754" t="s">
        <v>4821</v>
      </c>
      <c r="F1096" s="757">
        <v>20201</v>
      </c>
    </row>
    <row r="1097" spans="1:6" x14ac:dyDescent="0.2">
      <c r="A1097" s="753">
        <v>203206030033</v>
      </c>
      <c r="B1097" s="754" t="s">
        <v>2715</v>
      </c>
      <c r="C1097" s="755">
        <v>500000</v>
      </c>
      <c r="D1097" s="756">
        <v>44018.587314814802</v>
      </c>
      <c r="E1097" s="754" t="s">
        <v>4821</v>
      </c>
      <c r="F1097" s="757">
        <v>20201</v>
      </c>
    </row>
    <row r="1098" spans="1:6" ht="24" x14ac:dyDescent="0.2">
      <c r="A1098" s="753">
        <v>203206030034</v>
      </c>
      <c r="B1098" s="754" t="s">
        <v>2716</v>
      </c>
      <c r="C1098" s="755">
        <v>500000</v>
      </c>
      <c r="D1098" s="756">
        <v>44026.612141203703</v>
      </c>
      <c r="E1098" s="754" t="s">
        <v>4821</v>
      </c>
      <c r="F1098" s="757">
        <v>20201</v>
      </c>
    </row>
    <row r="1099" spans="1:6" x14ac:dyDescent="0.2">
      <c r="A1099" s="753">
        <v>203206030035</v>
      </c>
      <c r="B1099" s="754" t="s">
        <v>2718</v>
      </c>
      <c r="C1099" s="755">
        <v>500000</v>
      </c>
      <c r="D1099" s="756">
        <v>44019.472881944399</v>
      </c>
      <c r="E1099" s="754" t="s">
        <v>4821</v>
      </c>
      <c r="F1099" s="757">
        <v>20201</v>
      </c>
    </row>
    <row r="1100" spans="1:6" x14ac:dyDescent="0.2">
      <c r="A1100" s="753">
        <v>203206030036</v>
      </c>
      <c r="B1100" s="754" t="s">
        <v>2719</v>
      </c>
      <c r="C1100" s="755">
        <v>500000</v>
      </c>
      <c r="D1100" s="756">
        <v>43998.451435185198</v>
      </c>
      <c r="E1100" s="754" t="s">
        <v>4821</v>
      </c>
      <c r="F1100" s="757">
        <v>20201</v>
      </c>
    </row>
    <row r="1101" spans="1:6" x14ac:dyDescent="0.2">
      <c r="A1101" s="753">
        <v>203206030037</v>
      </c>
      <c r="B1101" s="754" t="s">
        <v>2720</v>
      </c>
      <c r="C1101" s="755">
        <v>500000</v>
      </c>
      <c r="D1101" s="756">
        <v>44027.436319444401</v>
      </c>
      <c r="E1101" s="754" t="s">
        <v>4821</v>
      </c>
      <c r="F1101" s="757">
        <v>20201</v>
      </c>
    </row>
    <row r="1102" spans="1:6" x14ac:dyDescent="0.2">
      <c r="A1102" s="753">
        <v>203206030038</v>
      </c>
      <c r="B1102" s="754" t="s">
        <v>2721</v>
      </c>
      <c r="C1102" s="755">
        <v>500000</v>
      </c>
      <c r="D1102" s="756">
        <v>43999.370405092603</v>
      </c>
      <c r="E1102" s="754" t="s">
        <v>4821</v>
      </c>
      <c r="F1102" s="757">
        <v>20201</v>
      </c>
    </row>
    <row r="1103" spans="1:6" x14ac:dyDescent="0.2">
      <c r="A1103" s="753">
        <v>203206030039</v>
      </c>
      <c r="B1103" s="754" t="s">
        <v>2722</v>
      </c>
      <c r="C1103" s="755">
        <v>500000</v>
      </c>
      <c r="D1103" s="756">
        <v>44015.350416666697</v>
      </c>
      <c r="E1103" s="754" t="s">
        <v>4821</v>
      </c>
      <c r="F1103" s="757">
        <v>20201</v>
      </c>
    </row>
    <row r="1104" spans="1:6" x14ac:dyDescent="0.2">
      <c r="A1104" s="753">
        <v>203206030040</v>
      </c>
      <c r="B1104" s="754" t="s">
        <v>2723</v>
      </c>
      <c r="C1104" s="755">
        <v>500000</v>
      </c>
      <c r="D1104" s="756">
        <v>44014.398553240702</v>
      </c>
      <c r="E1104" s="754" t="s">
        <v>4821</v>
      </c>
      <c r="F1104" s="757">
        <v>20201</v>
      </c>
    </row>
    <row r="1105" spans="1:6" x14ac:dyDescent="0.2">
      <c r="A1105" s="753">
        <v>203206030041</v>
      </c>
      <c r="B1105" s="754" t="s">
        <v>2724</v>
      </c>
      <c r="C1105" s="755">
        <v>500000</v>
      </c>
      <c r="D1105" s="756">
        <v>44018.511215277802</v>
      </c>
      <c r="E1105" s="754" t="s">
        <v>4821</v>
      </c>
      <c r="F1105" s="757">
        <v>20201</v>
      </c>
    </row>
    <row r="1106" spans="1:6" x14ac:dyDescent="0.2">
      <c r="A1106" s="753">
        <v>203206030042</v>
      </c>
      <c r="B1106" s="754" t="s">
        <v>2725</v>
      </c>
      <c r="C1106" s="755">
        <v>500000</v>
      </c>
      <c r="D1106" s="756">
        <v>44025.434340277803</v>
      </c>
      <c r="E1106" s="754" t="s">
        <v>4821</v>
      </c>
      <c r="F1106" s="757">
        <v>20201</v>
      </c>
    </row>
    <row r="1107" spans="1:6" x14ac:dyDescent="0.2">
      <c r="A1107" s="753">
        <v>203206030043</v>
      </c>
      <c r="B1107" s="754" t="s">
        <v>2726</v>
      </c>
      <c r="C1107" s="755">
        <v>500000</v>
      </c>
      <c r="D1107" s="756">
        <v>44027.605104166701</v>
      </c>
      <c r="E1107" s="754" t="s">
        <v>4821</v>
      </c>
      <c r="F1107" s="757">
        <v>20201</v>
      </c>
    </row>
    <row r="1108" spans="1:6" x14ac:dyDescent="0.2">
      <c r="A1108" s="753">
        <v>203206030044</v>
      </c>
      <c r="B1108" s="754" t="s">
        <v>2727</v>
      </c>
      <c r="C1108" s="755">
        <v>500000</v>
      </c>
      <c r="D1108" s="756">
        <v>43997.381307870397</v>
      </c>
      <c r="E1108" s="754" t="s">
        <v>4821</v>
      </c>
      <c r="F1108" s="757">
        <v>20201</v>
      </c>
    </row>
    <row r="1109" spans="1:6" x14ac:dyDescent="0.2">
      <c r="A1109" s="753">
        <v>203206030045</v>
      </c>
      <c r="B1109" s="754" t="s">
        <v>2728</v>
      </c>
      <c r="C1109" s="755">
        <v>500000</v>
      </c>
      <c r="D1109" s="756">
        <v>44019.3830787037</v>
      </c>
      <c r="E1109" s="754" t="s">
        <v>4821</v>
      </c>
      <c r="F1109" s="757">
        <v>20201</v>
      </c>
    </row>
    <row r="1110" spans="1:6" x14ac:dyDescent="0.2">
      <c r="A1110" s="753">
        <v>203206030046</v>
      </c>
      <c r="B1110" s="754" t="s">
        <v>2729</v>
      </c>
      <c r="C1110" s="755">
        <v>500000</v>
      </c>
      <c r="D1110" s="756">
        <v>44025.505868055603</v>
      </c>
      <c r="E1110" s="754" t="s">
        <v>4821</v>
      </c>
      <c r="F1110" s="757">
        <v>20201</v>
      </c>
    </row>
    <row r="1111" spans="1:6" x14ac:dyDescent="0.2">
      <c r="A1111" s="753">
        <v>203206030047</v>
      </c>
      <c r="B1111" s="754" t="s">
        <v>2730</v>
      </c>
      <c r="C1111" s="755">
        <v>500000</v>
      </c>
      <c r="D1111" s="756">
        <v>44022.396898148101</v>
      </c>
      <c r="E1111" s="754" t="s">
        <v>4821</v>
      </c>
      <c r="F1111" s="757">
        <v>20201</v>
      </c>
    </row>
    <row r="1112" spans="1:6" x14ac:dyDescent="0.2">
      <c r="A1112" s="753">
        <v>203206030048</v>
      </c>
      <c r="B1112" s="754" t="s">
        <v>2731</v>
      </c>
      <c r="C1112" s="755">
        <v>500000</v>
      </c>
      <c r="D1112" s="756">
        <v>43993.543159722198</v>
      </c>
      <c r="E1112" s="754" t="s">
        <v>4821</v>
      </c>
      <c r="F1112" s="757">
        <v>20201</v>
      </c>
    </row>
    <row r="1113" spans="1:6" x14ac:dyDescent="0.2">
      <c r="A1113" s="753">
        <v>203206030049</v>
      </c>
      <c r="B1113" s="754" t="s">
        <v>2732</v>
      </c>
      <c r="C1113" s="755">
        <v>500000</v>
      </c>
      <c r="D1113" s="756">
        <v>43997.491400462997</v>
      </c>
      <c r="E1113" s="754" t="s">
        <v>4821</v>
      </c>
      <c r="F1113" s="757">
        <v>20201</v>
      </c>
    </row>
    <row r="1114" spans="1:6" x14ac:dyDescent="0.2">
      <c r="A1114" s="753">
        <v>203206030050</v>
      </c>
      <c r="B1114" s="754" t="s">
        <v>2488</v>
      </c>
      <c r="C1114" s="755">
        <v>500000</v>
      </c>
      <c r="D1114" s="756">
        <v>44026.560439814799</v>
      </c>
      <c r="E1114" s="754" t="s">
        <v>4821</v>
      </c>
      <c r="F1114" s="757">
        <v>20201</v>
      </c>
    </row>
    <row r="1115" spans="1:6" x14ac:dyDescent="0.2">
      <c r="A1115" s="753">
        <v>203206030051</v>
      </c>
      <c r="B1115" s="754" t="s">
        <v>2733</v>
      </c>
      <c r="C1115" s="755">
        <v>500000</v>
      </c>
      <c r="D1115" s="756">
        <v>44025.707337963002</v>
      </c>
      <c r="E1115" s="754" t="s">
        <v>4821</v>
      </c>
      <c r="F1115" s="757">
        <v>20201</v>
      </c>
    </row>
    <row r="1116" spans="1:6" x14ac:dyDescent="0.2">
      <c r="A1116" s="753">
        <v>203206030052</v>
      </c>
      <c r="B1116" s="754" t="s">
        <v>2734</v>
      </c>
      <c r="C1116" s="755">
        <v>500000</v>
      </c>
      <c r="D1116" s="756">
        <v>44020.438240740703</v>
      </c>
      <c r="E1116" s="754" t="s">
        <v>4821</v>
      </c>
      <c r="F1116" s="757">
        <v>20201</v>
      </c>
    </row>
    <row r="1117" spans="1:6" x14ac:dyDescent="0.2">
      <c r="A1117" s="753">
        <v>203206030053</v>
      </c>
      <c r="B1117" s="754" t="s">
        <v>2735</v>
      </c>
      <c r="C1117" s="755">
        <v>500000</v>
      </c>
      <c r="D1117" s="756">
        <v>44042.418888888897</v>
      </c>
      <c r="E1117" s="754" t="s">
        <v>4821</v>
      </c>
      <c r="F1117" s="757">
        <v>20201</v>
      </c>
    </row>
    <row r="1118" spans="1:6" x14ac:dyDescent="0.2">
      <c r="A1118" s="753">
        <v>203206030054</v>
      </c>
      <c r="B1118" s="754" t="s">
        <v>2736</v>
      </c>
      <c r="C1118" s="755">
        <v>500000</v>
      </c>
      <c r="D1118" s="756">
        <v>44025.306435185201</v>
      </c>
      <c r="E1118" s="754" t="s">
        <v>4821</v>
      </c>
      <c r="F1118" s="757">
        <v>20201</v>
      </c>
    </row>
    <row r="1119" spans="1:6" x14ac:dyDescent="0.2">
      <c r="A1119" s="753">
        <v>203206040001</v>
      </c>
      <c r="B1119" s="754" t="s">
        <v>2749</v>
      </c>
      <c r="C1119" s="755">
        <v>500000</v>
      </c>
      <c r="D1119" s="756">
        <v>44005.563530092601</v>
      </c>
      <c r="E1119" s="754" t="s">
        <v>4829</v>
      </c>
      <c r="F1119" s="757">
        <v>20201</v>
      </c>
    </row>
    <row r="1120" spans="1:6" x14ac:dyDescent="0.2">
      <c r="A1120" s="753">
        <v>203206040002</v>
      </c>
      <c r="B1120" s="754" t="s">
        <v>2751</v>
      </c>
      <c r="C1120" s="755">
        <v>500000</v>
      </c>
      <c r="D1120" s="756">
        <v>44025.588414351798</v>
      </c>
      <c r="E1120" s="754" t="s">
        <v>4829</v>
      </c>
      <c r="F1120" s="757">
        <v>20201</v>
      </c>
    </row>
    <row r="1121" spans="1:6" x14ac:dyDescent="0.2">
      <c r="A1121" s="753">
        <v>203206040003</v>
      </c>
      <c r="B1121" s="754" t="s">
        <v>2752</v>
      </c>
      <c r="C1121" s="755">
        <v>500000</v>
      </c>
      <c r="D1121" s="756">
        <v>44026.518414351798</v>
      </c>
      <c r="E1121" s="754" t="s">
        <v>4829</v>
      </c>
      <c r="F1121" s="757">
        <v>20201</v>
      </c>
    </row>
    <row r="1122" spans="1:6" x14ac:dyDescent="0.2">
      <c r="A1122" s="753">
        <v>203206040004</v>
      </c>
      <c r="B1122" s="754" t="s">
        <v>2753</v>
      </c>
      <c r="C1122" s="755">
        <v>500000</v>
      </c>
      <c r="D1122" s="756">
        <v>44030.668240740699</v>
      </c>
      <c r="E1122" s="754" t="s">
        <v>4829</v>
      </c>
      <c r="F1122" s="757">
        <v>20201</v>
      </c>
    </row>
    <row r="1123" spans="1:6" x14ac:dyDescent="0.2">
      <c r="A1123" s="753">
        <v>203206040005</v>
      </c>
      <c r="B1123" s="754" t="s">
        <v>2754</v>
      </c>
      <c r="C1123" s="755">
        <v>500000</v>
      </c>
      <c r="D1123" s="756">
        <v>43991.9148726852</v>
      </c>
      <c r="E1123" s="754" t="s">
        <v>4829</v>
      </c>
      <c r="F1123" s="757">
        <v>20201</v>
      </c>
    </row>
    <row r="1124" spans="1:6" x14ac:dyDescent="0.2">
      <c r="A1124" s="753">
        <v>203206040006</v>
      </c>
      <c r="B1124" s="754" t="s">
        <v>2755</v>
      </c>
      <c r="C1124" s="755">
        <v>500000</v>
      </c>
      <c r="D1124" s="756">
        <v>43994.413587962998</v>
      </c>
      <c r="E1124" s="754" t="s">
        <v>4829</v>
      </c>
      <c r="F1124" s="757">
        <v>20201</v>
      </c>
    </row>
    <row r="1125" spans="1:6" x14ac:dyDescent="0.2">
      <c r="A1125" s="753">
        <v>203206040007</v>
      </c>
      <c r="B1125" s="754" t="s">
        <v>2756</v>
      </c>
      <c r="C1125" s="755">
        <v>500000</v>
      </c>
      <c r="D1125" s="756">
        <v>43998.2112962963</v>
      </c>
      <c r="E1125" s="754" t="s">
        <v>4829</v>
      </c>
      <c r="F1125" s="757">
        <v>20201</v>
      </c>
    </row>
    <row r="1126" spans="1:6" x14ac:dyDescent="0.2">
      <c r="A1126" s="753">
        <v>203206040008</v>
      </c>
      <c r="B1126" s="754" t="s">
        <v>2757</v>
      </c>
      <c r="C1126" s="755">
        <v>500000</v>
      </c>
      <c r="D1126" s="756">
        <v>44021.770810185197</v>
      </c>
      <c r="E1126" s="754" t="s">
        <v>4829</v>
      </c>
      <c r="F1126" s="757">
        <v>20201</v>
      </c>
    </row>
    <row r="1127" spans="1:6" x14ac:dyDescent="0.2">
      <c r="A1127" s="753">
        <v>203206040009</v>
      </c>
      <c r="B1127" s="754" t="s">
        <v>2758</v>
      </c>
      <c r="C1127" s="755">
        <v>500000</v>
      </c>
      <c r="D1127" s="756">
        <v>44007.418321759302</v>
      </c>
      <c r="E1127" s="754" t="s">
        <v>4829</v>
      </c>
      <c r="F1127" s="757">
        <v>20201</v>
      </c>
    </row>
    <row r="1128" spans="1:6" x14ac:dyDescent="0.2">
      <c r="A1128" s="753">
        <v>203206040010</v>
      </c>
      <c r="B1128" s="754" t="s">
        <v>2759</v>
      </c>
      <c r="C1128" s="755">
        <v>500000</v>
      </c>
      <c r="D1128" s="756">
        <v>44034.620671296303</v>
      </c>
      <c r="E1128" s="754" t="s">
        <v>4829</v>
      </c>
      <c r="F1128" s="757">
        <v>20201</v>
      </c>
    </row>
    <row r="1129" spans="1:6" x14ac:dyDescent="0.2">
      <c r="A1129" s="753">
        <v>203206040011</v>
      </c>
      <c r="B1129" s="754" t="s">
        <v>2760</v>
      </c>
      <c r="C1129" s="755">
        <v>500000</v>
      </c>
      <c r="D1129" s="756">
        <v>44027.588159722203</v>
      </c>
      <c r="E1129" s="754" t="s">
        <v>4829</v>
      </c>
      <c r="F1129" s="757">
        <v>20201</v>
      </c>
    </row>
    <row r="1130" spans="1:6" x14ac:dyDescent="0.2">
      <c r="A1130" s="753">
        <v>203206050001</v>
      </c>
      <c r="B1130" s="754" t="s">
        <v>4855</v>
      </c>
      <c r="C1130" s="755">
        <v>500000</v>
      </c>
      <c r="D1130" s="756">
        <v>44012.548935185201</v>
      </c>
      <c r="E1130" s="754" t="s">
        <v>4823</v>
      </c>
      <c r="F1130" s="757">
        <v>20201</v>
      </c>
    </row>
    <row r="1131" spans="1:6" x14ac:dyDescent="0.2">
      <c r="A1131" s="753">
        <v>203206050002</v>
      </c>
      <c r="B1131" s="754" t="s">
        <v>2593</v>
      </c>
      <c r="C1131" s="755">
        <v>500000</v>
      </c>
      <c r="D1131" s="756">
        <v>44004.551689814798</v>
      </c>
      <c r="E1131" s="754" t="s">
        <v>4823</v>
      </c>
      <c r="F1131" s="757">
        <v>20201</v>
      </c>
    </row>
    <row r="1132" spans="1:6" x14ac:dyDescent="0.2">
      <c r="A1132" s="753">
        <v>203206050003</v>
      </c>
      <c r="B1132" s="754" t="s">
        <v>2594</v>
      </c>
      <c r="C1132" s="755">
        <v>500000</v>
      </c>
      <c r="D1132" s="756">
        <v>44022.3903125</v>
      </c>
      <c r="E1132" s="754" t="s">
        <v>4823</v>
      </c>
      <c r="F1132" s="757">
        <v>20201</v>
      </c>
    </row>
    <row r="1133" spans="1:6" x14ac:dyDescent="0.2">
      <c r="A1133" s="753">
        <v>203206050004</v>
      </c>
      <c r="B1133" s="754" t="s">
        <v>2595</v>
      </c>
      <c r="C1133" s="755">
        <v>500000</v>
      </c>
      <c r="D1133" s="756">
        <v>44027.336967592601</v>
      </c>
      <c r="E1133" s="754" t="s">
        <v>4823</v>
      </c>
      <c r="F1133" s="757">
        <v>20201</v>
      </c>
    </row>
    <row r="1134" spans="1:6" x14ac:dyDescent="0.2">
      <c r="A1134" s="753">
        <v>203206050005</v>
      </c>
      <c r="B1134" s="754" t="s">
        <v>2596</v>
      </c>
      <c r="C1134" s="755">
        <v>500000</v>
      </c>
      <c r="D1134" s="756">
        <v>44025.495543981502</v>
      </c>
      <c r="E1134" s="754" t="s">
        <v>4823</v>
      </c>
      <c r="F1134" s="757">
        <v>20201</v>
      </c>
    </row>
    <row r="1135" spans="1:6" x14ac:dyDescent="0.2">
      <c r="A1135" s="753">
        <v>203206050006</v>
      </c>
      <c r="B1135" s="754" t="s">
        <v>2597</v>
      </c>
      <c r="C1135" s="755">
        <v>500000</v>
      </c>
      <c r="D1135" s="756">
        <v>44048.427719907399</v>
      </c>
      <c r="E1135" s="754" t="s">
        <v>4823</v>
      </c>
      <c r="F1135" s="757">
        <v>20201</v>
      </c>
    </row>
    <row r="1136" spans="1:6" x14ac:dyDescent="0.2">
      <c r="A1136" s="753">
        <v>203206050007</v>
      </c>
      <c r="B1136" s="754" t="s">
        <v>2598</v>
      </c>
      <c r="C1136" s="755">
        <v>500000</v>
      </c>
      <c r="D1136" s="756">
        <v>44022.564525463</v>
      </c>
      <c r="E1136" s="754" t="s">
        <v>4823</v>
      </c>
      <c r="F1136" s="757">
        <v>20201</v>
      </c>
    </row>
    <row r="1137" spans="1:6" x14ac:dyDescent="0.2">
      <c r="A1137" s="753">
        <v>203206050008</v>
      </c>
      <c r="B1137" s="754" t="s">
        <v>2599</v>
      </c>
      <c r="C1137" s="755">
        <v>500000</v>
      </c>
      <c r="D1137" s="756">
        <v>44014.534074074101</v>
      </c>
      <c r="E1137" s="754" t="s">
        <v>4823</v>
      </c>
      <c r="F1137" s="757">
        <v>20201</v>
      </c>
    </row>
    <row r="1138" spans="1:6" x14ac:dyDescent="0.2">
      <c r="A1138" s="753">
        <v>203206050009</v>
      </c>
      <c r="B1138" s="754" t="s">
        <v>2600</v>
      </c>
      <c r="C1138" s="755">
        <v>500000</v>
      </c>
      <c r="D1138" s="756">
        <v>44046.505902777797</v>
      </c>
      <c r="E1138" s="754" t="s">
        <v>4823</v>
      </c>
      <c r="F1138" s="757">
        <v>20201</v>
      </c>
    </row>
    <row r="1139" spans="1:6" x14ac:dyDescent="0.2">
      <c r="A1139" s="753">
        <v>203206050010</v>
      </c>
      <c r="B1139" s="754" t="s">
        <v>2601</v>
      </c>
      <c r="C1139" s="755">
        <v>500000</v>
      </c>
      <c r="D1139" s="756">
        <v>44025.678530092599</v>
      </c>
      <c r="E1139" s="754" t="s">
        <v>4823</v>
      </c>
      <c r="F1139" s="757">
        <v>20201</v>
      </c>
    </row>
    <row r="1140" spans="1:6" x14ac:dyDescent="0.2">
      <c r="A1140" s="753">
        <v>203206050011</v>
      </c>
      <c r="B1140" s="754" t="s">
        <v>2602</v>
      </c>
      <c r="C1140" s="755">
        <v>500000</v>
      </c>
      <c r="D1140" s="756">
        <v>44020.432210648098</v>
      </c>
      <c r="E1140" s="754" t="s">
        <v>4823</v>
      </c>
      <c r="F1140" s="757">
        <v>20201</v>
      </c>
    </row>
    <row r="1141" spans="1:6" x14ac:dyDescent="0.2">
      <c r="A1141" s="753">
        <v>203206050012</v>
      </c>
      <c r="B1141" s="754" t="s">
        <v>2603</v>
      </c>
      <c r="C1141" s="755">
        <v>500000</v>
      </c>
      <c r="D1141" s="756">
        <v>44027.560810185198</v>
      </c>
      <c r="E1141" s="754" t="s">
        <v>4823</v>
      </c>
      <c r="F1141" s="757">
        <v>20201</v>
      </c>
    </row>
    <row r="1142" spans="1:6" x14ac:dyDescent="0.2">
      <c r="A1142" s="753">
        <v>203206050013</v>
      </c>
      <c r="B1142" s="754" t="s">
        <v>2604</v>
      </c>
      <c r="C1142" s="755">
        <v>500000</v>
      </c>
      <c r="D1142" s="756">
        <v>44011.499062499999</v>
      </c>
      <c r="E1142" s="754" t="s">
        <v>4823</v>
      </c>
      <c r="F1142" s="757">
        <v>20201</v>
      </c>
    </row>
    <row r="1143" spans="1:6" x14ac:dyDescent="0.2">
      <c r="A1143" s="753">
        <v>203206050014</v>
      </c>
      <c r="B1143" s="754" t="s">
        <v>2605</v>
      </c>
      <c r="C1143" s="755">
        <v>500000</v>
      </c>
      <c r="D1143" s="756">
        <v>44050.859930555598</v>
      </c>
      <c r="E1143" s="754" t="s">
        <v>4823</v>
      </c>
      <c r="F1143" s="757">
        <v>20201</v>
      </c>
    </row>
    <row r="1144" spans="1:6" x14ac:dyDescent="0.2">
      <c r="A1144" s="753">
        <v>203206050015</v>
      </c>
      <c r="B1144" s="754" t="s">
        <v>2606</v>
      </c>
      <c r="C1144" s="755">
        <v>500000</v>
      </c>
      <c r="D1144" s="756">
        <v>44025.439548611103</v>
      </c>
      <c r="E1144" s="754" t="s">
        <v>4823</v>
      </c>
      <c r="F1144" s="757">
        <v>20201</v>
      </c>
    </row>
    <row r="1145" spans="1:6" x14ac:dyDescent="0.2">
      <c r="A1145" s="753">
        <v>203206050016</v>
      </c>
      <c r="B1145" s="754" t="s">
        <v>2607</v>
      </c>
      <c r="C1145" s="755">
        <v>500000</v>
      </c>
      <c r="D1145" s="756">
        <v>44026.519722222198</v>
      </c>
      <c r="E1145" s="754" t="s">
        <v>4823</v>
      </c>
      <c r="F1145" s="757">
        <v>20201</v>
      </c>
    </row>
    <row r="1146" spans="1:6" x14ac:dyDescent="0.2">
      <c r="A1146" s="753">
        <v>203206050017</v>
      </c>
      <c r="B1146" s="754" t="s">
        <v>2609</v>
      </c>
      <c r="C1146" s="755">
        <v>500000</v>
      </c>
      <c r="D1146" s="756">
        <v>44021.273148148102</v>
      </c>
      <c r="E1146" s="754" t="s">
        <v>4823</v>
      </c>
      <c r="F1146" s="757">
        <v>20201</v>
      </c>
    </row>
    <row r="1147" spans="1:6" x14ac:dyDescent="0.2">
      <c r="A1147" s="753">
        <v>203206050018</v>
      </c>
      <c r="B1147" s="754" t="s">
        <v>2610</v>
      </c>
      <c r="C1147" s="755">
        <v>500000</v>
      </c>
      <c r="D1147" s="756">
        <v>43998.724062499998</v>
      </c>
      <c r="E1147" s="754" t="s">
        <v>4823</v>
      </c>
      <c r="F1147" s="757">
        <v>20201</v>
      </c>
    </row>
    <row r="1148" spans="1:6" x14ac:dyDescent="0.2">
      <c r="A1148" s="753">
        <v>203206050019</v>
      </c>
      <c r="B1148" s="754" t="s">
        <v>2611</v>
      </c>
      <c r="C1148" s="755">
        <v>500000</v>
      </c>
      <c r="D1148" s="756">
        <v>44005.378009259301</v>
      </c>
      <c r="E1148" s="754" t="s">
        <v>4823</v>
      </c>
      <c r="F1148" s="757">
        <v>20201</v>
      </c>
    </row>
    <row r="1149" spans="1:6" x14ac:dyDescent="0.2">
      <c r="A1149" s="753">
        <v>203206050020</v>
      </c>
      <c r="B1149" s="754" t="s">
        <v>2612</v>
      </c>
      <c r="C1149" s="755">
        <v>500000</v>
      </c>
      <c r="D1149" s="756">
        <v>44013.409398148098</v>
      </c>
      <c r="E1149" s="754" t="s">
        <v>4823</v>
      </c>
      <c r="F1149" s="757">
        <v>20201</v>
      </c>
    </row>
    <row r="1150" spans="1:6" x14ac:dyDescent="0.2">
      <c r="A1150" s="753">
        <v>203206050021</v>
      </c>
      <c r="B1150" s="754" t="s">
        <v>2613</v>
      </c>
      <c r="C1150" s="755">
        <v>500000</v>
      </c>
      <c r="D1150" s="756">
        <v>43994.3424421296</v>
      </c>
      <c r="E1150" s="754" t="s">
        <v>4823</v>
      </c>
      <c r="F1150" s="757">
        <v>20201</v>
      </c>
    </row>
    <row r="1151" spans="1:6" x14ac:dyDescent="0.2">
      <c r="A1151" s="753">
        <v>203206050022</v>
      </c>
      <c r="B1151" s="754" t="s">
        <v>2614</v>
      </c>
      <c r="C1151" s="755">
        <v>500000</v>
      </c>
      <c r="D1151" s="756">
        <v>44048.579895833303</v>
      </c>
      <c r="E1151" s="754" t="s">
        <v>4823</v>
      </c>
      <c r="F1151" s="757">
        <v>20201</v>
      </c>
    </row>
    <row r="1152" spans="1:6" x14ac:dyDescent="0.2">
      <c r="A1152" s="753">
        <v>203206050023</v>
      </c>
      <c r="B1152" s="754" t="s">
        <v>2615</v>
      </c>
      <c r="C1152" s="755">
        <v>500000</v>
      </c>
      <c r="D1152" s="756">
        <v>44027.5239814815</v>
      </c>
      <c r="E1152" s="754" t="s">
        <v>4823</v>
      </c>
      <c r="F1152" s="757">
        <v>20201</v>
      </c>
    </row>
    <row r="1153" spans="1:6" x14ac:dyDescent="0.2">
      <c r="A1153" s="753">
        <v>203206050024</v>
      </c>
      <c r="B1153" s="754" t="s">
        <v>2616</v>
      </c>
      <c r="C1153" s="755">
        <v>500000</v>
      </c>
      <c r="D1153" s="756">
        <v>44015.427118055602</v>
      </c>
      <c r="E1153" s="754" t="s">
        <v>4823</v>
      </c>
      <c r="F1153" s="757">
        <v>20201</v>
      </c>
    </row>
    <row r="1154" spans="1:6" x14ac:dyDescent="0.2">
      <c r="A1154" s="753">
        <v>203206050025</v>
      </c>
      <c r="B1154" s="754" t="s">
        <v>2617</v>
      </c>
      <c r="C1154" s="755">
        <v>500000</v>
      </c>
      <c r="D1154" s="756">
        <v>44027.622442129599</v>
      </c>
      <c r="E1154" s="754" t="s">
        <v>4823</v>
      </c>
      <c r="F1154" s="757">
        <v>20201</v>
      </c>
    </row>
    <row r="1155" spans="1:6" x14ac:dyDescent="0.2">
      <c r="A1155" s="753">
        <v>203206050026</v>
      </c>
      <c r="B1155" s="754" t="s">
        <v>2618</v>
      </c>
      <c r="C1155" s="755">
        <v>500000</v>
      </c>
      <c r="D1155" s="756">
        <v>44027.597870370402</v>
      </c>
      <c r="E1155" s="754" t="s">
        <v>4823</v>
      </c>
      <c r="F1155" s="757">
        <v>20201</v>
      </c>
    </row>
    <row r="1156" spans="1:6" ht="24" x14ac:dyDescent="0.2">
      <c r="A1156" s="753">
        <v>203206050027</v>
      </c>
      <c r="B1156" s="754" t="s">
        <v>2619</v>
      </c>
      <c r="C1156" s="755">
        <v>500000</v>
      </c>
      <c r="D1156" s="756">
        <v>44022.580891203703</v>
      </c>
      <c r="E1156" s="754" t="s">
        <v>4823</v>
      </c>
      <c r="F1156" s="757">
        <v>20201</v>
      </c>
    </row>
    <row r="1157" spans="1:6" x14ac:dyDescent="0.2">
      <c r="A1157" s="753">
        <v>203206050028</v>
      </c>
      <c r="B1157" s="754" t="s">
        <v>2620</v>
      </c>
      <c r="C1157" s="755">
        <v>500000</v>
      </c>
      <c r="D1157" s="756">
        <v>44025.440092592602</v>
      </c>
      <c r="E1157" s="754" t="s">
        <v>4823</v>
      </c>
      <c r="F1157" s="757">
        <v>20201</v>
      </c>
    </row>
    <row r="1158" spans="1:6" x14ac:dyDescent="0.2">
      <c r="A1158" s="753">
        <v>203206050029</v>
      </c>
      <c r="B1158" s="754" t="s">
        <v>2621</v>
      </c>
      <c r="C1158" s="755">
        <v>500000</v>
      </c>
      <c r="D1158" s="756">
        <v>44014.336828703701</v>
      </c>
      <c r="E1158" s="754" t="s">
        <v>4823</v>
      </c>
      <c r="F1158" s="757">
        <v>20201</v>
      </c>
    </row>
    <row r="1159" spans="1:6" x14ac:dyDescent="0.2">
      <c r="A1159" s="753">
        <v>203206050030</v>
      </c>
      <c r="B1159" s="754" t="s">
        <v>2622</v>
      </c>
      <c r="C1159" s="755">
        <v>500000</v>
      </c>
      <c r="D1159" s="756">
        <v>44026.484953703701</v>
      </c>
      <c r="E1159" s="754" t="s">
        <v>4823</v>
      </c>
      <c r="F1159" s="757">
        <v>20201</v>
      </c>
    </row>
    <row r="1160" spans="1:6" x14ac:dyDescent="0.2">
      <c r="A1160" s="753">
        <v>203206060001</v>
      </c>
      <c r="B1160" s="754" t="s">
        <v>2646</v>
      </c>
      <c r="C1160" s="755">
        <v>500000</v>
      </c>
      <c r="D1160" s="756">
        <v>44027.8655671296</v>
      </c>
      <c r="E1160" s="754" t="s">
        <v>4826</v>
      </c>
      <c r="F1160" s="757">
        <v>20201</v>
      </c>
    </row>
    <row r="1161" spans="1:6" x14ac:dyDescent="0.2">
      <c r="A1161" s="753">
        <v>203206060002</v>
      </c>
      <c r="B1161" s="754" t="s">
        <v>2648</v>
      </c>
      <c r="C1161" s="755">
        <v>500000</v>
      </c>
      <c r="D1161" s="756">
        <v>44025.352314814802</v>
      </c>
      <c r="E1161" s="754" t="s">
        <v>4826</v>
      </c>
      <c r="F1161" s="757">
        <v>20201</v>
      </c>
    </row>
    <row r="1162" spans="1:6" x14ac:dyDescent="0.2">
      <c r="A1162" s="753">
        <v>203206060003</v>
      </c>
      <c r="B1162" s="754" t="s">
        <v>2649</v>
      </c>
      <c r="C1162" s="755">
        <v>500000</v>
      </c>
      <c r="D1162" s="756">
        <v>44026.5465162037</v>
      </c>
      <c r="E1162" s="754" t="s">
        <v>4826</v>
      </c>
      <c r="F1162" s="757">
        <v>20201</v>
      </c>
    </row>
    <row r="1163" spans="1:6" x14ac:dyDescent="0.2">
      <c r="A1163" s="753">
        <v>203206060004</v>
      </c>
      <c r="B1163" s="754" t="s">
        <v>2650</v>
      </c>
      <c r="C1163" s="755">
        <v>500000</v>
      </c>
      <c r="D1163" s="756">
        <v>44018.564641203702</v>
      </c>
      <c r="E1163" s="754" t="s">
        <v>4826</v>
      </c>
      <c r="F1163" s="757">
        <v>20201</v>
      </c>
    </row>
    <row r="1164" spans="1:6" x14ac:dyDescent="0.2">
      <c r="A1164" s="753">
        <v>203206060005</v>
      </c>
      <c r="B1164" s="754" t="s">
        <v>2651</v>
      </c>
      <c r="C1164" s="755">
        <v>500000</v>
      </c>
      <c r="D1164" s="756">
        <v>44020.570543981499</v>
      </c>
      <c r="E1164" s="754" t="s">
        <v>4826</v>
      </c>
      <c r="F1164" s="757">
        <v>20201</v>
      </c>
    </row>
    <row r="1165" spans="1:6" x14ac:dyDescent="0.2">
      <c r="A1165" s="753">
        <v>203206060006</v>
      </c>
      <c r="B1165" s="754" t="s">
        <v>2652</v>
      </c>
      <c r="C1165" s="755">
        <v>500000</v>
      </c>
      <c r="D1165" s="756">
        <v>44000.435231481497</v>
      </c>
      <c r="E1165" s="754" t="s">
        <v>4826</v>
      </c>
      <c r="F1165" s="757">
        <v>20201</v>
      </c>
    </row>
    <row r="1166" spans="1:6" x14ac:dyDescent="0.2">
      <c r="A1166" s="753">
        <v>203206060007</v>
      </c>
      <c r="B1166" s="754" t="s">
        <v>2653</v>
      </c>
      <c r="C1166" s="755">
        <v>500000</v>
      </c>
      <c r="D1166" s="756">
        <v>44007.426157407397</v>
      </c>
      <c r="E1166" s="754" t="s">
        <v>4826</v>
      </c>
      <c r="F1166" s="757">
        <v>20201</v>
      </c>
    </row>
    <row r="1167" spans="1:6" x14ac:dyDescent="0.2">
      <c r="A1167" s="753">
        <v>203206060008</v>
      </c>
      <c r="B1167" s="754" t="s">
        <v>2654</v>
      </c>
      <c r="C1167" s="755">
        <v>500000</v>
      </c>
      <c r="D1167" s="756">
        <v>44026.432731481502</v>
      </c>
      <c r="E1167" s="754" t="s">
        <v>4826</v>
      </c>
      <c r="F1167" s="757">
        <v>20201</v>
      </c>
    </row>
    <row r="1168" spans="1:6" x14ac:dyDescent="0.2">
      <c r="A1168" s="753">
        <v>203206060009</v>
      </c>
      <c r="B1168" s="754" t="s">
        <v>2655</v>
      </c>
      <c r="C1168" s="755">
        <v>500000</v>
      </c>
      <c r="D1168" s="756">
        <v>44025.494467592602</v>
      </c>
      <c r="E1168" s="754" t="s">
        <v>4826</v>
      </c>
      <c r="F1168" s="757">
        <v>20201</v>
      </c>
    </row>
    <row r="1169" spans="1:6" x14ac:dyDescent="0.2">
      <c r="A1169" s="753">
        <v>203206060010</v>
      </c>
      <c r="B1169" s="754" t="s">
        <v>2656</v>
      </c>
      <c r="C1169" s="755">
        <v>500000</v>
      </c>
      <c r="D1169" s="756">
        <v>44000.4383564815</v>
      </c>
      <c r="E1169" s="754" t="s">
        <v>4826</v>
      </c>
      <c r="F1169" s="757">
        <v>20201</v>
      </c>
    </row>
    <row r="1170" spans="1:6" x14ac:dyDescent="0.2">
      <c r="A1170" s="753">
        <v>203206060011</v>
      </c>
      <c r="B1170" s="754" t="s">
        <v>2657</v>
      </c>
      <c r="C1170" s="755">
        <v>500000</v>
      </c>
      <c r="D1170" s="756">
        <v>44041.4378125</v>
      </c>
      <c r="E1170" s="754" t="s">
        <v>4826</v>
      </c>
      <c r="F1170" s="757">
        <v>20201</v>
      </c>
    </row>
    <row r="1171" spans="1:6" x14ac:dyDescent="0.2">
      <c r="A1171" s="753">
        <v>203206060012</v>
      </c>
      <c r="B1171" s="754" t="s">
        <v>2658</v>
      </c>
      <c r="C1171" s="755">
        <v>500000</v>
      </c>
      <c r="D1171" s="756">
        <v>44026.574884259302</v>
      </c>
      <c r="E1171" s="754" t="s">
        <v>4826</v>
      </c>
      <c r="F1171" s="757">
        <v>20201</v>
      </c>
    </row>
    <row r="1172" spans="1:6" x14ac:dyDescent="0.2">
      <c r="A1172" s="753">
        <v>203206060013</v>
      </c>
      <c r="B1172" s="754" t="s">
        <v>2659</v>
      </c>
      <c r="C1172" s="755">
        <v>500000</v>
      </c>
      <c r="D1172" s="756">
        <v>44027.4994560185</v>
      </c>
      <c r="E1172" s="754" t="s">
        <v>4826</v>
      </c>
      <c r="F1172" s="757">
        <v>20201</v>
      </c>
    </row>
    <row r="1173" spans="1:6" x14ac:dyDescent="0.2">
      <c r="A1173" s="753">
        <v>203206060014</v>
      </c>
      <c r="B1173" s="754" t="s">
        <v>2660</v>
      </c>
      <c r="C1173" s="755">
        <v>500000</v>
      </c>
      <c r="D1173" s="756">
        <v>44025.496550925898</v>
      </c>
      <c r="E1173" s="754" t="s">
        <v>4826</v>
      </c>
      <c r="F1173" s="757">
        <v>20201</v>
      </c>
    </row>
    <row r="1174" spans="1:6" x14ac:dyDescent="0.2">
      <c r="A1174" s="753">
        <v>203206060015</v>
      </c>
      <c r="B1174" s="754" t="s">
        <v>2661</v>
      </c>
      <c r="C1174" s="755">
        <v>500000</v>
      </c>
      <c r="D1174" s="756">
        <v>44004.273206018501</v>
      </c>
      <c r="E1174" s="754" t="s">
        <v>4826</v>
      </c>
      <c r="F1174" s="757">
        <v>20201</v>
      </c>
    </row>
    <row r="1175" spans="1:6" x14ac:dyDescent="0.2">
      <c r="A1175" s="753">
        <v>203206060016</v>
      </c>
      <c r="B1175" s="754" t="s">
        <v>2662</v>
      </c>
      <c r="C1175" s="755">
        <v>500000</v>
      </c>
      <c r="D1175" s="756">
        <v>44011.463900463001</v>
      </c>
      <c r="E1175" s="754" t="s">
        <v>4826</v>
      </c>
      <c r="F1175" s="757">
        <v>20201</v>
      </c>
    </row>
    <row r="1176" spans="1:6" x14ac:dyDescent="0.2">
      <c r="A1176" s="753">
        <v>203206060017</v>
      </c>
      <c r="B1176" s="754" t="s">
        <v>2664</v>
      </c>
      <c r="C1176" s="755">
        <v>500000</v>
      </c>
      <c r="D1176" s="756">
        <v>44025.615752314799</v>
      </c>
      <c r="E1176" s="754" t="s">
        <v>4826</v>
      </c>
      <c r="F1176" s="757">
        <v>20201</v>
      </c>
    </row>
    <row r="1177" spans="1:6" x14ac:dyDescent="0.2">
      <c r="A1177" s="753">
        <v>203206060018</v>
      </c>
      <c r="B1177" s="754" t="s">
        <v>2665</v>
      </c>
      <c r="C1177" s="755">
        <v>500000</v>
      </c>
      <c r="D1177" s="756">
        <v>44026.446759259299</v>
      </c>
      <c r="E1177" s="754" t="s">
        <v>4826</v>
      </c>
      <c r="F1177" s="757">
        <v>20201</v>
      </c>
    </row>
    <row r="1178" spans="1:6" x14ac:dyDescent="0.2">
      <c r="A1178" s="753">
        <v>203206060019</v>
      </c>
      <c r="B1178" s="754" t="s">
        <v>2666</v>
      </c>
      <c r="C1178" s="755">
        <v>500000</v>
      </c>
      <c r="D1178" s="756">
        <v>43993.390011574098</v>
      </c>
      <c r="E1178" s="754" t="s">
        <v>4826</v>
      </c>
      <c r="F1178" s="757">
        <v>20201</v>
      </c>
    </row>
    <row r="1179" spans="1:6" x14ac:dyDescent="0.2">
      <c r="A1179" s="753">
        <v>203206060020</v>
      </c>
      <c r="B1179" s="754" t="s">
        <v>2668</v>
      </c>
      <c r="C1179" s="755">
        <v>500000</v>
      </c>
      <c r="D1179" s="756">
        <v>43992.836863425902</v>
      </c>
      <c r="E1179" s="754" t="s">
        <v>4826</v>
      </c>
      <c r="F1179" s="757">
        <v>20201</v>
      </c>
    </row>
    <row r="1180" spans="1:6" x14ac:dyDescent="0.2">
      <c r="A1180" s="753">
        <v>203206060021</v>
      </c>
      <c r="B1180" s="754" t="s">
        <v>2669</v>
      </c>
      <c r="C1180" s="755">
        <v>500000</v>
      </c>
      <c r="D1180" s="756">
        <v>44026.8098032407</v>
      </c>
      <c r="E1180" s="754" t="s">
        <v>4826</v>
      </c>
      <c r="F1180" s="757">
        <v>20201</v>
      </c>
    </row>
    <row r="1181" spans="1:6" x14ac:dyDescent="0.2">
      <c r="A1181" s="753">
        <v>203206060022</v>
      </c>
      <c r="B1181" s="754" t="s">
        <v>2670</v>
      </c>
      <c r="C1181" s="755">
        <v>500000</v>
      </c>
      <c r="D1181" s="756">
        <v>44026.445520833302</v>
      </c>
      <c r="E1181" s="754" t="s">
        <v>4826</v>
      </c>
      <c r="F1181" s="757">
        <v>20201</v>
      </c>
    </row>
    <row r="1182" spans="1:6" x14ac:dyDescent="0.2">
      <c r="A1182" s="753">
        <v>203206060023</v>
      </c>
      <c r="B1182" s="754" t="s">
        <v>2671</v>
      </c>
      <c r="C1182" s="755">
        <v>500000</v>
      </c>
      <c r="D1182" s="756">
        <v>44048.421099537001</v>
      </c>
      <c r="E1182" s="754" t="s">
        <v>4826</v>
      </c>
      <c r="F1182" s="757">
        <v>20201</v>
      </c>
    </row>
    <row r="1183" spans="1:6" x14ac:dyDescent="0.2">
      <c r="A1183" s="753">
        <v>203206060024</v>
      </c>
      <c r="B1183" s="754" t="s">
        <v>2672</v>
      </c>
      <c r="C1183" s="755">
        <v>500000</v>
      </c>
      <c r="D1183" s="756">
        <v>44027.423067129603</v>
      </c>
      <c r="E1183" s="754" t="s">
        <v>4826</v>
      </c>
      <c r="F1183" s="757">
        <v>20201</v>
      </c>
    </row>
    <row r="1184" spans="1:6" x14ac:dyDescent="0.2">
      <c r="A1184" s="753">
        <v>203206060025</v>
      </c>
      <c r="B1184" s="754" t="s">
        <v>2673</v>
      </c>
      <c r="C1184" s="755">
        <v>500000</v>
      </c>
      <c r="D1184" s="756">
        <v>44026.428437499999</v>
      </c>
      <c r="E1184" s="754" t="s">
        <v>4826</v>
      </c>
      <c r="F1184" s="757">
        <v>20201</v>
      </c>
    </row>
    <row r="1185" spans="1:6" x14ac:dyDescent="0.2">
      <c r="A1185" s="753">
        <v>203206060026</v>
      </c>
      <c r="B1185" s="754" t="s">
        <v>2674</v>
      </c>
      <c r="C1185" s="755">
        <v>500000</v>
      </c>
      <c r="D1185" s="756">
        <v>43993.374201388899</v>
      </c>
      <c r="E1185" s="754" t="s">
        <v>4826</v>
      </c>
      <c r="F1185" s="757">
        <v>20201</v>
      </c>
    </row>
    <row r="1186" spans="1:6" x14ac:dyDescent="0.2">
      <c r="A1186" s="753">
        <v>203206060027</v>
      </c>
      <c r="B1186" s="754" t="s">
        <v>2675</v>
      </c>
      <c r="C1186" s="755">
        <v>500000</v>
      </c>
      <c r="D1186" s="756">
        <v>44026.644837963002</v>
      </c>
      <c r="E1186" s="754" t="s">
        <v>4826</v>
      </c>
      <c r="F1186" s="757">
        <v>20201</v>
      </c>
    </row>
    <row r="1187" spans="1:6" x14ac:dyDescent="0.2">
      <c r="A1187" s="753">
        <v>203206060028</v>
      </c>
      <c r="B1187" s="754" t="s">
        <v>2676</v>
      </c>
      <c r="C1187" s="755">
        <v>500000</v>
      </c>
      <c r="D1187" s="756">
        <v>44053.7628819444</v>
      </c>
      <c r="E1187" s="754" t="s">
        <v>4826</v>
      </c>
      <c r="F1187" s="757">
        <v>20201</v>
      </c>
    </row>
    <row r="1188" spans="1:6" x14ac:dyDescent="0.2">
      <c r="A1188" s="753">
        <v>203206060029</v>
      </c>
      <c r="B1188" s="754" t="s">
        <v>2677</v>
      </c>
      <c r="C1188" s="755">
        <v>500000</v>
      </c>
      <c r="D1188" s="756">
        <v>44013.559560185196</v>
      </c>
      <c r="E1188" s="754" t="s">
        <v>4826</v>
      </c>
      <c r="F1188" s="757">
        <v>20201</v>
      </c>
    </row>
    <row r="1189" spans="1:6" x14ac:dyDescent="0.2">
      <c r="A1189" s="753">
        <v>203206060031</v>
      </c>
      <c r="B1189" s="754" t="s">
        <v>2667</v>
      </c>
      <c r="C1189" s="755">
        <v>500000</v>
      </c>
      <c r="D1189" s="756">
        <v>44026.6039930556</v>
      </c>
      <c r="E1189" s="754" t="s">
        <v>4826</v>
      </c>
      <c r="F1189" s="757">
        <v>20201</v>
      </c>
    </row>
    <row r="1190" spans="1:6" x14ac:dyDescent="0.2">
      <c r="A1190" s="753">
        <v>203206070001</v>
      </c>
      <c r="B1190" s="754" t="s">
        <v>2738</v>
      </c>
      <c r="C1190" s="755">
        <v>500000</v>
      </c>
      <c r="D1190" s="756">
        <v>44026.574571759302</v>
      </c>
      <c r="E1190" s="754" t="s">
        <v>4824</v>
      </c>
      <c r="F1190" s="757">
        <v>20201</v>
      </c>
    </row>
    <row r="1191" spans="1:6" x14ac:dyDescent="0.2">
      <c r="A1191" s="753">
        <v>203206070002</v>
      </c>
      <c r="B1191" s="754" t="s">
        <v>2740</v>
      </c>
      <c r="C1191" s="755">
        <v>500000</v>
      </c>
      <c r="D1191" s="756">
        <v>44047.715567129599</v>
      </c>
      <c r="E1191" s="754" t="s">
        <v>4824</v>
      </c>
      <c r="F1191" s="757">
        <v>20201</v>
      </c>
    </row>
    <row r="1192" spans="1:6" x14ac:dyDescent="0.2">
      <c r="A1192" s="753">
        <v>203206070003</v>
      </c>
      <c r="B1192" s="754" t="s">
        <v>2741</v>
      </c>
      <c r="C1192" s="755">
        <v>500000</v>
      </c>
      <c r="D1192" s="756">
        <v>44003.652280092603</v>
      </c>
      <c r="E1192" s="754" t="s">
        <v>4824</v>
      </c>
      <c r="F1192" s="757">
        <v>20201</v>
      </c>
    </row>
    <row r="1193" spans="1:6" x14ac:dyDescent="0.2">
      <c r="A1193" s="753">
        <v>203206070004</v>
      </c>
      <c r="B1193" s="754" t="s">
        <v>2742</v>
      </c>
      <c r="C1193" s="755">
        <v>500000</v>
      </c>
      <c r="D1193" s="756">
        <v>43993.571493055599</v>
      </c>
      <c r="E1193" s="754" t="s">
        <v>4824</v>
      </c>
      <c r="F1193" s="757">
        <v>20201</v>
      </c>
    </row>
    <row r="1194" spans="1:6" x14ac:dyDescent="0.2">
      <c r="A1194" s="753">
        <v>203206070005</v>
      </c>
      <c r="B1194" s="754" t="s">
        <v>2743</v>
      </c>
      <c r="C1194" s="755">
        <v>500000</v>
      </c>
      <c r="D1194" s="756">
        <v>43992.809085648201</v>
      </c>
      <c r="E1194" s="754" t="s">
        <v>4824</v>
      </c>
      <c r="F1194" s="757">
        <v>20201</v>
      </c>
    </row>
    <row r="1195" spans="1:6" x14ac:dyDescent="0.2">
      <c r="A1195" s="753">
        <v>203206070006</v>
      </c>
      <c r="B1195" s="754" t="s">
        <v>2744</v>
      </c>
      <c r="C1195" s="755">
        <v>500000</v>
      </c>
      <c r="D1195" s="756">
        <v>44021.686655092599</v>
      </c>
      <c r="E1195" s="754" t="s">
        <v>4824</v>
      </c>
      <c r="F1195" s="757">
        <v>20201</v>
      </c>
    </row>
    <row r="1196" spans="1:6" x14ac:dyDescent="0.2">
      <c r="A1196" s="753">
        <v>203206070007</v>
      </c>
      <c r="B1196" s="754" t="s">
        <v>2745</v>
      </c>
      <c r="C1196" s="755">
        <v>500000</v>
      </c>
      <c r="D1196" s="756">
        <v>44024.661122685196</v>
      </c>
      <c r="E1196" s="754" t="s">
        <v>4824</v>
      </c>
      <c r="F1196" s="757">
        <v>20201</v>
      </c>
    </row>
    <row r="1197" spans="1:6" x14ac:dyDescent="0.2">
      <c r="A1197" s="753">
        <v>203206070008</v>
      </c>
      <c r="B1197" s="754" t="s">
        <v>2746</v>
      </c>
      <c r="C1197" s="755">
        <v>500000</v>
      </c>
      <c r="D1197" s="756">
        <v>44001.707141203697</v>
      </c>
      <c r="E1197" s="754" t="s">
        <v>4824</v>
      </c>
      <c r="F1197" s="757">
        <v>20201</v>
      </c>
    </row>
    <row r="1198" spans="1:6" x14ac:dyDescent="0.2">
      <c r="A1198" s="753">
        <v>203206080001</v>
      </c>
      <c r="B1198" s="754" t="s">
        <v>4856</v>
      </c>
      <c r="C1198" s="755">
        <v>500000</v>
      </c>
      <c r="D1198" s="756">
        <v>44008.367604166699</v>
      </c>
      <c r="E1198" s="754" t="s">
        <v>4836</v>
      </c>
      <c r="F1198" s="757">
        <v>20201</v>
      </c>
    </row>
    <row r="1199" spans="1:6" x14ac:dyDescent="0.2">
      <c r="A1199" s="753">
        <v>203206080002</v>
      </c>
      <c r="B1199" s="754" t="s">
        <v>2765</v>
      </c>
      <c r="C1199" s="755">
        <v>500000</v>
      </c>
      <c r="D1199" s="756">
        <v>44015.374699074098</v>
      </c>
      <c r="E1199" s="754" t="s">
        <v>4836</v>
      </c>
      <c r="F1199" s="757">
        <v>20201</v>
      </c>
    </row>
    <row r="1200" spans="1:6" x14ac:dyDescent="0.2">
      <c r="A1200" s="753">
        <v>203206080003</v>
      </c>
      <c r="B1200" s="754" t="s">
        <v>2766</v>
      </c>
      <c r="C1200" s="755">
        <v>500000</v>
      </c>
      <c r="D1200" s="756">
        <v>44027.826018518499</v>
      </c>
      <c r="E1200" s="754" t="s">
        <v>4836</v>
      </c>
      <c r="F1200" s="757">
        <v>20201</v>
      </c>
    </row>
    <row r="1201" spans="1:6" x14ac:dyDescent="0.2">
      <c r="A1201" s="753">
        <v>203206080004</v>
      </c>
      <c r="B1201" s="754" t="s">
        <v>2768</v>
      </c>
      <c r="C1201" s="755">
        <v>500000</v>
      </c>
      <c r="D1201" s="756">
        <v>44004.666701388902</v>
      </c>
      <c r="E1201" s="754" t="s">
        <v>4836</v>
      </c>
      <c r="F1201" s="757">
        <v>20201</v>
      </c>
    </row>
    <row r="1202" spans="1:6" x14ac:dyDescent="0.2">
      <c r="A1202" s="753">
        <v>203206080005</v>
      </c>
      <c r="B1202" s="754" t="s">
        <v>2769</v>
      </c>
      <c r="C1202" s="755">
        <v>500000</v>
      </c>
      <c r="D1202" s="756">
        <v>44001.5535185185</v>
      </c>
      <c r="E1202" s="754" t="s">
        <v>4836</v>
      </c>
      <c r="F1202" s="757">
        <v>20201</v>
      </c>
    </row>
    <row r="1203" spans="1:6" x14ac:dyDescent="0.2">
      <c r="A1203" s="753">
        <v>203206080006</v>
      </c>
      <c r="B1203" s="754" t="s">
        <v>2770</v>
      </c>
      <c r="C1203" s="755">
        <v>500000</v>
      </c>
      <c r="D1203" s="756">
        <v>44012.410787036999</v>
      </c>
      <c r="E1203" s="754" t="s">
        <v>4836</v>
      </c>
      <c r="F1203" s="757">
        <v>20201</v>
      </c>
    </row>
    <row r="1204" spans="1:6" x14ac:dyDescent="0.2">
      <c r="A1204" s="753">
        <v>203206080007</v>
      </c>
      <c r="B1204" s="754" t="s">
        <v>2771</v>
      </c>
      <c r="C1204" s="755">
        <v>500000</v>
      </c>
      <c r="D1204" s="756">
        <v>44018.460358796299</v>
      </c>
      <c r="E1204" s="754" t="s">
        <v>4836</v>
      </c>
      <c r="F1204" s="757">
        <v>20201</v>
      </c>
    </row>
    <row r="1205" spans="1:6" x14ac:dyDescent="0.2">
      <c r="A1205" s="753">
        <v>203206080008</v>
      </c>
      <c r="B1205" s="754" t="s">
        <v>2772</v>
      </c>
      <c r="C1205" s="755">
        <v>500000</v>
      </c>
      <c r="D1205" s="756">
        <v>44011.372604166703</v>
      </c>
      <c r="E1205" s="754" t="s">
        <v>4836</v>
      </c>
      <c r="F1205" s="757">
        <v>20201</v>
      </c>
    </row>
    <row r="1206" spans="1:6" x14ac:dyDescent="0.2">
      <c r="A1206" s="753">
        <v>203206080009</v>
      </c>
      <c r="B1206" s="754" t="s">
        <v>2773</v>
      </c>
      <c r="C1206" s="755">
        <v>500000</v>
      </c>
      <c r="D1206" s="756">
        <v>44001.552210648202</v>
      </c>
      <c r="E1206" s="754" t="s">
        <v>4836</v>
      </c>
      <c r="F1206" s="757">
        <v>20201</v>
      </c>
    </row>
    <row r="1207" spans="1:6" x14ac:dyDescent="0.2">
      <c r="A1207" s="753">
        <v>203206080010</v>
      </c>
      <c r="B1207" s="754" t="s">
        <v>2774</v>
      </c>
      <c r="C1207" s="755">
        <v>500000</v>
      </c>
      <c r="D1207" s="756">
        <v>44001.403993055603</v>
      </c>
      <c r="E1207" s="754" t="s">
        <v>4836</v>
      </c>
      <c r="F1207" s="757">
        <v>20201</v>
      </c>
    </row>
    <row r="1208" spans="1:6" x14ac:dyDescent="0.2">
      <c r="A1208" s="753">
        <v>203206080011</v>
      </c>
      <c r="B1208" s="754" t="s">
        <v>2775</v>
      </c>
      <c r="C1208" s="755">
        <v>500000</v>
      </c>
      <c r="D1208" s="756">
        <v>44026.613842592596</v>
      </c>
      <c r="E1208" s="754" t="s">
        <v>4836</v>
      </c>
      <c r="F1208" s="757">
        <v>20201</v>
      </c>
    </row>
    <row r="1209" spans="1:6" x14ac:dyDescent="0.2">
      <c r="A1209" s="753">
        <v>203206080012</v>
      </c>
      <c r="B1209" s="754" t="s">
        <v>2767</v>
      </c>
      <c r="C1209" s="755">
        <v>500000</v>
      </c>
      <c r="D1209" s="756">
        <v>44022.549826388902</v>
      </c>
      <c r="E1209" s="754" t="s">
        <v>4836</v>
      </c>
      <c r="F1209" s="757">
        <v>20201</v>
      </c>
    </row>
    <row r="1210" spans="1:6" x14ac:dyDescent="0.2">
      <c r="A1210" s="753">
        <v>203206080013</v>
      </c>
      <c r="B1210" s="754" t="s">
        <v>2776</v>
      </c>
      <c r="C1210" s="755">
        <v>500000</v>
      </c>
      <c r="D1210" s="756">
        <v>44040.587094907401</v>
      </c>
      <c r="E1210" s="754" t="s">
        <v>4836</v>
      </c>
      <c r="F1210" s="757">
        <v>20201</v>
      </c>
    </row>
    <row r="1211" spans="1:6" x14ac:dyDescent="0.2">
      <c r="A1211" s="753">
        <v>204206040001</v>
      </c>
      <c r="B1211" s="754" t="s">
        <v>4857</v>
      </c>
      <c r="C1211" s="755">
        <v>500000</v>
      </c>
      <c r="D1211" s="756">
        <v>44071.5468287037</v>
      </c>
      <c r="E1211" s="754" t="s">
        <v>4829</v>
      </c>
      <c r="F1211" s="757">
        <v>20201</v>
      </c>
    </row>
    <row r="1212" spans="1:6" x14ac:dyDescent="0.2">
      <c r="A1212" s="753">
        <v>204206070001</v>
      </c>
      <c r="B1212" s="754" t="s">
        <v>4858</v>
      </c>
      <c r="C1212" s="755">
        <v>500000</v>
      </c>
      <c r="D1212" s="756">
        <v>44067.572280092601</v>
      </c>
      <c r="E1212" s="754" t="s">
        <v>4824</v>
      </c>
      <c r="F1212" s="757">
        <v>20201</v>
      </c>
    </row>
    <row r="1213" spans="1:6" x14ac:dyDescent="0.2">
      <c r="A1213" s="753">
        <v>204206080001</v>
      </c>
      <c r="B1213" s="754" t="s">
        <v>4859</v>
      </c>
      <c r="C1213" s="755">
        <v>500000</v>
      </c>
      <c r="D1213" s="756">
        <v>44069.387708333299</v>
      </c>
      <c r="E1213" s="754" t="s">
        <v>4836</v>
      </c>
      <c r="F1213" s="757">
        <v>20201</v>
      </c>
    </row>
    <row r="1214" spans="1:6" x14ac:dyDescent="0.2">
      <c r="A1214" s="753">
        <v>204206080002</v>
      </c>
      <c r="B1214" s="754" t="s">
        <v>2778</v>
      </c>
      <c r="C1214" s="755">
        <v>500000</v>
      </c>
      <c r="D1214" s="756">
        <v>44073.355023148099</v>
      </c>
      <c r="E1214" s="754" t="s">
        <v>4836</v>
      </c>
      <c r="F1214" s="757">
        <v>20201</v>
      </c>
    </row>
    <row r="1215" spans="1:6" x14ac:dyDescent="0.2">
      <c r="A1215" s="753">
        <v>204206080003</v>
      </c>
      <c r="B1215" s="754" t="s">
        <v>4860</v>
      </c>
      <c r="C1215" s="755">
        <v>500000</v>
      </c>
      <c r="D1215" s="756">
        <v>44070.407083333303</v>
      </c>
      <c r="E1215" s="754" t="s">
        <v>4836</v>
      </c>
      <c r="F1215" s="757">
        <v>20201</v>
      </c>
    </row>
    <row r="1216" spans="1:6" x14ac:dyDescent="0.2">
      <c r="A1216" s="753">
        <v>204206080004</v>
      </c>
      <c r="B1216" s="754" t="s">
        <v>2780</v>
      </c>
      <c r="C1216" s="755">
        <v>500000</v>
      </c>
      <c r="D1216" s="756">
        <v>44073.355763888903</v>
      </c>
      <c r="E1216" s="754" t="s">
        <v>4836</v>
      </c>
      <c r="F1216" s="757">
        <v>20201</v>
      </c>
    </row>
    <row r="1217" spans="1:6" x14ac:dyDescent="0.2">
      <c r="A1217" s="753">
        <v>203206010008</v>
      </c>
      <c r="B1217" s="754" t="s">
        <v>2559</v>
      </c>
      <c r="C1217" s="755">
        <v>500000</v>
      </c>
      <c r="D1217" s="756">
        <v>44044</v>
      </c>
      <c r="E1217" s="754"/>
      <c r="F1217" s="757">
        <v>20201</v>
      </c>
    </row>
    <row r="1218" spans="1:6" x14ac:dyDescent="0.2">
      <c r="A1218" s="753">
        <v>203206010020</v>
      </c>
      <c r="B1218" s="754" t="s">
        <v>2573</v>
      </c>
      <c r="C1218" s="755">
        <v>6450000</v>
      </c>
      <c r="D1218" s="756">
        <v>44078</v>
      </c>
      <c r="E1218" s="754"/>
      <c r="F1218" s="757"/>
    </row>
    <row r="1219" spans="1:6" x14ac:dyDescent="0.2">
      <c r="A1219" s="753">
        <v>203206010020</v>
      </c>
      <c r="B1219" s="754" t="s">
        <v>2573</v>
      </c>
      <c r="C1219" s="755">
        <v>500000</v>
      </c>
      <c r="D1219" s="756">
        <v>44044</v>
      </c>
      <c r="E1219" s="754"/>
      <c r="F1219" s="757"/>
    </row>
    <row r="1220" spans="1:6" x14ac:dyDescent="0.2">
      <c r="A1220" s="754"/>
      <c r="B1220" s="754"/>
      <c r="C1220" s="755"/>
      <c r="D1220" s="756"/>
      <c r="E1220" s="754"/>
      <c r="F1220" s="757"/>
    </row>
    <row r="1221" spans="1:6" x14ac:dyDescent="0.2">
      <c r="A1221" s="754"/>
      <c r="B1221" s="754"/>
      <c r="C1221" s="755"/>
      <c r="D1221" s="756"/>
      <c r="E1221" s="754"/>
      <c r="F1221" s="757"/>
    </row>
    <row r="1222" spans="1:6" x14ac:dyDescent="0.2">
      <c r="A1222" s="754"/>
      <c r="B1222" s="754"/>
      <c r="C1222" s="755"/>
      <c r="D1222" s="756"/>
      <c r="E1222" s="754"/>
      <c r="F1222" s="757"/>
    </row>
    <row r="1223" spans="1:6" x14ac:dyDescent="0.2">
      <c r="A1223" s="754"/>
      <c r="B1223" s="754"/>
      <c r="C1223" s="755"/>
      <c r="D1223" s="756"/>
      <c r="E1223" s="754"/>
      <c r="F1223" s="757"/>
    </row>
    <row r="1224" spans="1:6" x14ac:dyDescent="0.2">
      <c r="A1224" s="754"/>
      <c r="B1224" s="754"/>
      <c r="C1224" s="755"/>
      <c r="D1224" s="756"/>
      <c r="E1224" s="754"/>
      <c r="F1224" s="757"/>
    </row>
    <row r="1225" spans="1:6" x14ac:dyDescent="0.2">
      <c r="A1225" s="754"/>
      <c r="B1225" s="754"/>
      <c r="C1225" s="755"/>
      <c r="D1225" s="756"/>
      <c r="E1225" s="754"/>
      <c r="F1225" s="757"/>
    </row>
    <row r="1226" spans="1:6" x14ac:dyDescent="0.2">
      <c r="A1226" s="754"/>
      <c r="B1226" s="754"/>
      <c r="C1226" s="755"/>
      <c r="D1226" s="756"/>
      <c r="E1226" s="754"/>
      <c r="F1226" s="757"/>
    </row>
    <row r="1227" spans="1:6" x14ac:dyDescent="0.2">
      <c r="A1227" s="754"/>
      <c r="B1227" s="754"/>
      <c r="C1227" s="755"/>
      <c r="D1227" s="756"/>
      <c r="E1227" s="754"/>
      <c r="F1227" s="757"/>
    </row>
    <row r="1228" spans="1:6" x14ac:dyDescent="0.2">
      <c r="A1228" s="754"/>
      <c r="B1228" s="754"/>
      <c r="C1228" s="755"/>
      <c r="D1228" s="756"/>
      <c r="E1228" s="754"/>
      <c r="F1228" s="757"/>
    </row>
    <row r="1229" spans="1:6" x14ac:dyDescent="0.2">
      <c r="A1229" s="754"/>
      <c r="B1229" s="754"/>
      <c r="C1229" s="755"/>
      <c r="D1229" s="756"/>
      <c r="E1229" s="754"/>
      <c r="F1229" s="757"/>
    </row>
    <row r="1230" spans="1:6" x14ac:dyDescent="0.2">
      <c r="A1230" s="754"/>
      <c r="B1230" s="754"/>
      <c r="C1230" s="755"/>
      <c r="D1230" s="756"/>
      <c r="E1230" s="754"/>
      <c r="F1230" s="757"/>
    </row>
    <row r="1231" spans="1:6" x14ac:dyDescent="0.2">
      <c r="A1231" s="754"/>
      <c r="B1231" s="754"/>
      <c r="C1231" s="755"/>
      <c r="D1231" s="756"/>
      <c r="E1231" s="754"/>
      <c r="F1231" s="757"/>
    </row>
    <row r="1232" spans="1:6" x14ac:dyDescent="0.2">
      <c r="A1232" s="754"/>
      <c r="B1232" s="754"/>
      <c r="C1232" s="755"/>
      <c r="D1232" s="756"/>
      <c r="E1232" s="754"/>
      <c r="F1232" s="757"/>
    </row>
    <row r="1233" spans="1:6" x14ac:dyDescent="0.2">
      <c r="A1233" s="754"/>
      <c r="B1233" s="754"/>
      <c r="C1233" s="755"/>
      <c r="D1233" s="756"/>
      <c r="E1233" s="754"/>
      <c r="F1233" s="757"/>
    </row>
    <row r="1234" spans="1:6" x14ac:dyDescent="0.2">
      <c r="A1234" s="754"/>
      <c r="B1234" s="754"/>
      <c r="C1234" s="755"/>
      <c r="D1234" s="756"/>
      <c r="E1234" s="754"/>
      <c r="F1234" s="757"/>
    </row>
    <row r="1235" spans="1:6" x14ac:dyDescent="0.2">
      <c r="A1235" s="754"/>
      <c r="B1235" s="754"/>
      <c r="C1235" s="755"/>
      <c r="D1235" s="756"/>
      <c r="E1235" s="754"/>
      <c r="F1235" s="757"/>
    </row>
    <row r="1236" spans="1:6" x14ac:dyDescent="0.2">
      <c r="A1236" s="754"/>
      <c r="B1236" s="754"/>
      <c r="C1236" s="755"/>
      <c r="D1236" s="756"/>
      <c r="E1236" s="754"/>
      <c r="F1236" s="757"/>
    </row>
    <row r="1237" spans="1:6" x14ac:dyDescent="0.2">
      <c r="A1237" s="754"/>
      <c r="B1237" s="754"/>
      <c r="C1237" s="755"/>
      <c r="D1237" s="756"/>
      <c r="E1237" s="754"/>
      <c r="F1237" s="757"/>
    </row>
    <row r="1238" spans="1:6" x14ac:dyDescent="0.2">
      <c r="A1238" s="754"/>
      <c r="B1238" s="754"/>
      <c r="C1238" s="755"/>
      <c r="D1238" s="756"/>
      <c r="E1238" s="754"/>
      <c r="F1238" s="757"/>
    </row>
    <row r="1239" spans="1:6" x14ac:dyDescent="0.2">
      <c r="A1239" s="754"/>
      <c r="B1239" s="754"/>
      <c r="C1239" s="755"/>
      <c r="D1239" s="756"/>
      <c r="E1239" s="754"/>
      <c r="F1239" s="757"/>
    </row>
    <row r="1240" spans="1:6" x14ac:dyDescent="0.2">
      <c r="A1240" s="754"/>
      <c r="B1240" s="754"/>
      <c r="C1240" s="755"/>
      <c r="D1240" s="756"/>
      <c r="E1240" s="754"/>
      <c r="F1240" s="757"/>
    </row>
    <row r="1241" spans="1:6" x14ac:dyDescent="0.2">
      <c r="A1241" s="754"/>
      <c r="B1241" s="754"/>
      <c r="C1241" s="755"/>
      <c r="D1241" s="756"/>
      <c r="E1241" s="754"/>
      <c r="F1241" s="757"/>
    </row>
    <row r="1242" spans="1:6" x14ac:dyDescent="0.2">
      <c r="A1242" s="754"/>
      <c r="B1242" s="754"/>
      <c r="C1242" s="755"/>
      <c r="D1242" s="756"/>
      <c r="E1242" s="754"/>
      <c r="F1242" s="757"/>
    </row>
    <row r="1243" spans="1:6" x14ac:dyDescent="0.2">
      <c r="A1243" s="754"/>
      <c r="B1243" s="754"/>
      <c r="C1243" s="755"/>
      <c r="D1243" s="756"/>
      <c r="E1243" s="754"/>
      <c r="F1243" s="757"/>
    </row>
    <row r="1244" spans="1:6" x14ac:dyDescent="0.2">
      <c r="A1244" s="754"/>
      <c r="B1244" s="754"/>
      <c r="C1244" s="755"/>
      <c r="D1244" s="756"/>
      <c r="E1244" s="754"/>
      <c r="F1244" s="757"/>
    </row>
    <row r="1245" spans="1:6" x14ac:dyDescent="0.2">
      <c r="A1245" s="754"/>
      <c r="B1245" s="754"/>
      <c r="C1245" s="755"/>
      <c r="D1245" s="756"/>
      <c r="E1245" s="754"/>
      <c r="F1245" s="757"/>
    </row>
    <row r="1246" spans="1:6" x14ac:dyDescent="0.2">
      <c r="A1246" s="754"/>
      <c r="B1246" s="754"/>
      <c r="C1246" s="755"/>
      <c r="D1246" s="756"/>
      <c r="E1246" s="754"/>
      <c r="F1246" s="757"/>
    </row>
    <row r="1247" spans="1:6" x14ac:dyDescent="0.2">
      <c r="A1247" s="754"/>
      <c r="B1247" s="754"/>
      <c r="C1247" s="755"/>
      <c r="D1247" s="756"/>
      <c r="E1247" s="754"/>
      <c r="F1247" s="757"/>
    </row>
    <row r="1248" spans="1:6" x14ac:dyDescent="0.2">
      <c r="A1248" s="754"/>
      <c r="B1248" s="754"/>
      <c r="C1248" s="755"/>
      <c r="D1248" s="756"/>
      <c r="E1248" s="754"/>
      <c r="F1248" s="757"/>
    </row>
    <row r="1249" spans="1:6" x14ac:dyDescent="0.2">
      <c r="A1249" s="754"/>
      <c r="B1249" s="754"/>
      <c r="C1249" s="755"/>
      <c r="D1249" s="756"/>
      <c r="E1249" s="754"/>
      <c r="F1249" s="757"/>
    </row>
    <row r="1250" spans="1:6" x14ac:dyDescent="0.2">
      <c r="A1250" s="754"/>
      <c r="B1250" s="754"/>
      <c r="C1250" s="755"/>
      <c r="D1250" s="756"/>
      <c r="E1250" s="754"/>
      <c r="F1250" s="757"/>
    </row>
    <row r="1251" spans="1:6" x14ac:dyDescent="0.2">
      <c r="A1251" s="754"/>
      <c r="B1251" s="754"/>
      <c r="C1251" s="755"/>
      <c r="D1251" s="756"/>
      <c r="E1251" s="754"/>
      <c r="F1251" s="757"/>
    </row>
    <row r="1252" spans="1:6" x14ac:dyDescent="0.2">
      <c r="A1252" s="754"/>
      <c r="B1252" s="754"/>
      <c r="C1252" s="755"/>
      <c r="D1252" s="756"/>
      <c r="E1252" s="754"/>
      <c r="F1252" s="757"/>
    </row>
    <row r="1253" spans="1:6" x14ac:dyDescent="0.2">
      <c r="A1253" s="754"/>
      <c r="B1253" s="754"/>
      <c r="C1253" s="755"/>
      <c r="D1253" s="756"/>
      <c r="E1253" s="754"/>
      <c r="F1253" s="757"/>
    </row>
    <row r="1254" spans="1:6" x14ac:dyDescent="0.2">
      <c r="A1254" s="754"/>
      <c r="B1254" s="754"/>
      <c r="C1254" s="755"/>
      <c r="D1254" s="756"/>
      <c r="E1254" s="754"/>
      <c r="F1254" s="757"/>
    </row>
    <row r="1255" spans="1:6" x14ac:dyDescent="0.2">
      <c r="A1255" s="754"/>
      <c r="B1255" s="754"/>
      <c r="C1255" s="755"/>
      <c r="D1255" s="756"/>
      <c r="E1255" s="754"/>
      <c r="F1255" s="757"/>
    </row>
    <row r="1256" spans="1:6" x14ac:dyDescent="0.2">
      <c r="A1256" s="754"/>
      <c r="B1256" s="754"/>
      <c r="C1256" s="755"/>
      <c r="D1256" s="756"/>
      <c r="E1256" s="754"/>
      <c r="F1256" s="757"/>
    </row>
    <row r="1257" spans="1:6" x14ac:dyDescent="0.2">
      <c r="A1257" s="754"/>
      <c r="B1257" s="754"/>
      <c r="C1257" s="755"/>
      <c r="D1257" s="756"/>
      <c r="E1257" s="754"/>
      <c r="F1257" s="757"/>
    </row>
    <row r="1258" spans="1:6" x14ac:dyDescent="0.2">
      <c r="A1258" s="754"/>
      <c r="B1258" s="754"/>
      <c r="C1258" s="755"/>
      <c r="D1258" s="756"/>
      <c r="E1258" s="754"/>
      <c r="F1258" s="757"/>
    </row>
    <row r="1259" spans="1:6" x14ac:dyDescent="0.2">
      <c r="A1259" s="754"/>
      <c r="B1259" s="754"/>
      <c r="C1259" s="755"/>
      <c r="D1259" s="756"/>
      <c r="E1259" s="754"/>
      <c r="F1259" s="757"/>
    </row>
    <row r="1260" spans="1:6" x14ac:dyDescent="0.2">
      <c r="A1260" s="754"/>
      <c r="B1260" s="754"/>
      <c r="C1260" s="755"/>
      <c r="D1260" s="756"/>
      <c r="E1260" s="754"/>
      <c r="F1260" s="757"/>
    </row>
    <row r="1261" spans="1:6" x14ac:dyDescent="0.2">
      <c r="A1261" s="754"/>
      <c r="B1261" s="754"/>
      <c r="C1261" s="755"/>
      <c r="D1261" s="756"/>
      <c r="E1261" s="754"/>
      <c r="F1261" s="757"/>
    </row>
    <row r="1262" spans="1:6" x14ac:dyDescent="0.2">
      <c r="A1262" s="754"/>
      <c r="B1262" s="754"/>
      <c r="C1262" s="755"/>
      <c r="D1262" s="756"/>
      <c r="E1262" s="754"/>
      <c r="F1262" s="757"/>
    </row>
    <row r="1263" spans="1:6" x14ac:dyDescent="0.2">
      <c r="A1263" s="754"/>
      <c r="B1263" s="754"/>
      <c r="C1263" s="755"/>
      <c r="D1263" s="756"/>
      <c r="E1263" s="754"/>
      <c r="F1263" s="757"/>
    </row>
    <row r="1264" spans="1:6" x14ac:dyDescent="0.2">
      <c r="A1264" s="754"/>
      <c r="B1264" s="754"/>
      <c r="C1264" s="755"/>
      <c r="D1264" s="756"/>
      <c r="E1264" s="754"/>
      <c r="F1264" s="757"/>
    </row>
    <row r="1265" spans="1:6" x14ac:dyDescent="0.2">
      <c r="A1265" s="754"/>
      <c r="B1265" s="754"/>
      <c r="C1265" s="755"/>
      <c r="D1265" s="756"/>
      <c r="E1265" s="754"/>
      <c r="F1265" s="757"/>
    </row>
    <row r="1266" spans="1:6" x14ac:dyDescent="0.2">
      <c r="A1266" s="754"/>
      <c r="B1266" s="754"/>
      <c r="C1266" s="755"/>
      <c r="D1266" s="756"/>
      <c r="E1266" s="754"/>
      <c r="F1266" s="757"/>
    </row>
    <row r="1267" spans="1:6" x14ac:dyDescent="0.2">
      <c r="A1267" s="754"/>
      <c r="B1267" s="754"/>
      <c r="C1267" s="755"/>
      <c r="D1267" s="756"/>
      <c r="E1267" s="754"/>
      <c r="F1267" s="757"/>
    </row>
    <row r="1268" spans="1:6" x14ac:dyDescent="0.2">
      <c r="A1268" s="754"/>
      <c r="B1268" s="754"/>
      <c r="C1268" s="755"/>
      <c r="D1268" s="756"/>
      <c r="E1268" s="754"/>
      <c r="F1268" s="757"/>
    </row>
    <row r="1269" spans="1:6" x14ac:dyDescent="0.2">
      <c r="A1269" s="754"/>
      <c r="B1269" s="754"/>
      <c r="C1269" s="755"/>
      <c r="D1269" s="756"/>
      <c r="E1269" s="754"/>
      <c r="F1269" s="757"/>
    </row>
    <row r="1270" spans="1:6" x14ac:dyDescent="0.2">
      <c r="A1270" s="754"/>
      <c r="B1270" s="754"/>
      <c r="C1270" s="755"/>
      <c r="D1270" s="756"/>
      <c r="E1270" s="754"/>
      <c r="F1270" s="757"/>
    </row>
    <row r="1271" spans="1:6" x14ac:dyDescent="0.2">
      <c r="A1271" s="754"/>
      <c r="B1271" s="754"/>
      <c r="C1271" s="755"/>
      <c r="D1271" s="756"/>
      <c r="E1271" s="754"/>
      <c r="F1271" s="757"/>
    </row>
    <row r="1272" spans="1:6" x14ac:dyDescent="0.2">
      <c r="A1272" s="754"/>
      <c r="B1272" s="754"/>
      <c r="C1272" s="755"/>
      <c r="D1272" s="756"/>
      <c r="E1272" s="754"/>
      <c r="F1272" s="757"/>
    </row>
    <row r="1273" spans="1:6" x14ac:dyDescent="0.2">
      <c r="A1273" s="754"/>
      <c r="B1273" s="754"/>
      <c r="C1273" s="755"/>
      <c r="D1273" s="756"/>
      <c r="E1273" s="754"/>
      <c r="F1273" s="757"/>
    </row>
    <row r="1274" spans="1:6" x14ac:dyDescent="0.2">
      <c r="A1274" s="754"/>
      <c r="B1274" s="754"/>
      <c r="C1274" s="755"/>
      <c r="D1274" s="756"/>
      <c r="E1274" s="754"/>
      <c r="F1274" s="757"/>
    </row>
    <row r="1275" spans="1:6" x14ac:dyDescent="0.2">
      <c r="A1275" s="754"/>
      <c r="B1275" s="754"/>
      <c r="C1275" s="755"/>
      <c r="D1275" s="756"/>
      <c r="E1275" s="754"/>
      <c r="F1275" s="757"/>
    </row>
    <row r="1276" spans="1:6" x14ac:dyDescent="0.2">
      <c r="A1276" s="754"/>
      <c r="B1276" s="754"/>
      <c r="C1276" s="755"/>
      <c r="D1276" s="756"/>
      <c r="E1276" s="754"/>
      <c r="F1276" s="757"/>
    </row>
    <row r="1277" spans="1:6" x14ac:dyDescent="0.2">
      <c r="A1277" s="754"/>
      <c r="B1277" s="754"/>
      <c r="C1277" s="755"/>
      <c r="D1277" s="756"/>
      <c r="E1277" s="754"/>
      <c r="F1277" s="757"/>
    </row>
    <row r="1278" spans="1:6" x14ac:dyDescent="0.2">
      <c r="A1278" s="754"/>
      <c r="B1278" s="754"/>
      <c r="C1278" s="755"/>
      <c r="D1278" s="756"/>
      <c r="E1278" s="754"/>
      <c r="F1278" s="757"/>
    </row>
    <row r="1279" spans="1:6" x14ac:dyDescent="0.2">
      <c r="A1279" s="754"/>
      <c r="B1279" s="754"/>
      <c r="C1279" s="755"/>
      <c r="D1279" s="756"/>
      <c r="E1279" s="754"/>
      <c r="F1279" s="757"/>
    </row>
    <row r="1280" spans="1:6" x14ac:dyDescent="0.2">
      <c r="A1280" s="754"/>
      <c r="B1280" s="754"/>
      <c r="C1280" s="755"/>
      <c r="D1280" s="756"/>
      <c r="E1280" s="754"/>
      <c r="F1280" s="757"/>
    </row>
    <row r="1281" spans="1:6" x14ac:dyDescent="0.2">
      <c r="A1281" s="754"/>
      <c r="B1281" s="754"/>
      <c r="C1281" s="755"/>
      <c r="D1281" s="756"/>
      <c r="E1281" s="754"/>
      <c r="F1281" s="757"/>
    </row>
    <row r="1282" spans="1:6" x14ac:dyDescent="0.2">
      <c r="A1282" s="754"/>
      <c r="B1282" s="754"/>
      <c r="C1282" s="755"/>
      <c r="D1282" s="756"/>
      <c r="E1282" s="754"/>
      <c r="F1282" s="757"/>
    </row>
    <row r="1283" spans="1:6" x14ac:dyDescent="0.2">
      <c r="A1283" s="754"/>
      <c r="B1283" s="754"/>
      <c r="C1283" s="755"/>
      <c r="D1283" s="756"/>
      <c r="E1283" s="754"/>
      <c r="F1283" s="757"/>
    </row>
    <row r="1284" spans="1:6" x14ac:dyDescent="0.2">
      <c r="A1284" s="754"/>
      <c r="B1284" s="754"/>
      <c r="C1284" s="755"/>
      <c r="D1284" s="756"/>
      <c r="E1284" s="754"/>
      <c r="F1284" s="757"/>
    </row>
    <row r="1285" spans="1:6" x14ac:dyDescent="0.2">
      <c r="A1285" s="754"/>
      <c r="B1285" s="754"/>
      <c r="C1285" s="755"/>
      <c r="D1285" s="756"/>
      <c r="E1285" s="754"/>
      <c r="F1285" s="757"/>
    </row>
    <row r="1286" spans="1:6" x14ac:dyDescent="0.2">
      <c r="A1286" s="754"/>
      <c r="B1286" s="754"/>
      <c r="C1286" s="755"/>
      <c r="D1286" s="756"/>
      <c r="E1286" s="754"/>
      <c r="F1286" s="757"/>
    </row>
    <row r="1287" spans="1:6" x14ac:dyDescent="0.2">
      <c r="A1287" s="754"/>
      <c r="B1287" s="754"/>
      <c r="C1287" s="755"/>
      <c r="D1287" s="756"/>
      <c r="E1287" s="754"/>
      <c r="F1287" s="757"/>
    </row>
    <row r="1288" spans="1:6" x14ac:dyDescent="0.2">
      <c r="A1288" s="754"/>
      <c r="B1288" s="754"/>
      <c r="C1288" s="755"/>
      <c r="D1288" s="756"/>
      <c r="E1288" s="754"/>
      <c r="F1288" s="757"/>
    </row>
    <row r="1289" spans="1:6" x14ac:dyDescent="0.2">
      <c r="A1289" s="754"/>
      <c r="B1289" s="754"/>
      <c r="C1289" s="755"/>
      <c r="D1289" s="756"/>
      <c r="E1289" s="754"/>
      <c r="F1289" s="757"/>
    </row>
    <row r="1290" spans="1:6" x14ac:dyDescent="0.2">
      <c r="A1290" s="754"/>
      <c r="B1290" s="754"/>
      <c r="C1290" s="755"/>
      <c r="D1290" s="756"/>
      <c r="E1290" s="754"/>
      <c r="F1290" s="757"/>
    </row>
    <row r="1291" spans="1:6" x14ac:dyDescent="0.2">
      <c r="A1291" s="754"/>
      <c r="B1291" s="754"/>
      <c r="C1291" s="755"/>
      <c r="D1291" s="756"/>
      <c r="E1291" s="754"/>
      <c r="F1291" s="757"/>
    </row>
    <row r="1292" spans="1:6" x14ac:dyDescent="0.2">
      <c r="A1292" s="754"/>
      <c r="B1292" s="754"/>
      <c r="C1292" s="755"/>
      <c r="D1292" s="756"/>
      <c r="E1292" s="754"/>
      <c r="F1292" s="757"/>
    </row>
    <row r="1293" spans="1:6" x14ac:dyDescent="0.2">
      <c r="A1293" s="754"/>
      <c r="B1293" s="754"/>
      <c r="C1293" s="755"/>
      <c r="D1293" s="756"/>
      <c r="E1293" s="754"/>
      <c r="F1293" s="757"/>
    </row>
    <row r="1294" spans="1:6" x14ac:dyDescent="0.2">
      <c r="A1294" s="754"/>
      <c r="B1294" s="754"/>
      <c r="C1294" s="755"/>
      <c r="D1294" s="756"/>
      <c r="E1294" s="754"/>
      <c r="F1294" s="757"/>
    </row>
    <row r="1295" spans="1:6" x14ac:dyDescent="0.2">
      <c r="A1295" s="754"/>
      <c r="B1295" s="754"/>
      <c r="C1295" s="755"/>
      <c r="D1295" s="756"/>
      <c r="E1295" s="754"/>
      <c r="F1295" s="757"/>
    </row>
    <row r="1296" spans="1:6" x14ac:dyDescent="0.2">
      <c r="A1296" s="754"/>
      <c r="B1296" s="754"/>
      <c r="C1296" s="755"/>
      <c r="D1296" s="756"/>
      <c r="E1296" s="754"/>
      <c r="F1296" s="757"/>
    </row>
    <row r="1297" spans="1:6" x14ac:dyDescent="0.2">
      <c r="A1297" s="754"/>
      <c r="B1297" s="754"/>
      <c r="C1297" s="755"/>
      <c r="D1297" s="756"/>
      <c r="E1297" s="754"/>
      <c r="F1297" s="757"/>
    </row>
    <row r="1298" spans="1:6" x14ac:dyDescent="0.2">
      <c r="A1298" s="754"/>
      <c r="B1298" s="754"/>
      <c r="C1298" s="755"/>
      <c r="D1298" s="756"/>
      <c r="E1298" s="754"/>
      <c r="F1298" s="757"/>
    </row>
    <row r="1299" spans="1:6" x14ac:dyDescent="0.2">
      <c r="A1299" s="754"/>
      <c r="B1299" s="754"/>
      <c r="C1299" s="755"/>
      <c r="D1299" s="756"/>
      <c r="E1299" s="754"/>
      <c r="F1299" s="757"/>
    </row>
    <row r="1300" spans="1:6" x14ac:dyDescent="0.2">
      <c r="A1300" s="754"/>
      <c r="B1300" s="754"/>
      <c r="C1300" s="755"/>
      <c r="D1300" s="756"/>
      <c r="E1300" s="754"/>
      <c r="F1300" s="757"/>
    </row>
    <row r="1301" spans="1:6" x14ac:dyDescent="0.2">
      <c r="A1301" s="754"/>
      <c r="B1301" s="754"/>
      <c r="C1301" s="755"/>
      <c r="D1301" s="756"/>
      <c r="E1301" s="754"/>
      <c r="F1301" s="757"/>
    </row>
    <row r="1302" spans="1:6" x14ac:dyDescent="0.2">
      <c r="A1302" s="754"/>
      <c r="B1302" s="754"/>
      <c r="C1302" s="755"/>
      <c r="D1302" s="756"/>
      <c r="E1302" s="754"/>
      <c r="F1302" s="757"/>
    </row>
    <row r="1303" spans="1:6" x14ac:dyDescent="0.2">
      <c r="A1303" s="754"/>
      <c r="B1303" s="754"/>
      <c r="C1303" s="755"/>
      <c r="D1303" s="756"/>
      <c r="E1303" s="754"/>
      <c r="F1303" s="757"/>
    </row>
    <row r="1304" spans="1:6" x14ac:dyDescent="0.2">
      <c r="A1304" s="754"/>
      <c r="B1304" s="754"/>
      <c r="C1304" s="755"/>
      <c r="D1304" s="756"/>
      <c r="E1304" s="754"/>
      <c r="F1304" s="757"/>
    </row>
    <row r="1305" spans="1:6" x14ac:dyDescent="0.2">
      <c r="A1305" s="754"/>
      <c r="B1305" s="754"/>
      <c r="C1305" s="755"/>
      <c r="D1305" s="756"/>
      <c r="E1305" s="754"/>
      <c r="F1305" s="757"/>
    </row>
    <row r="1306" spans="1:6" x14ac:dyDescent="0.2">
      <c r="A1306" s="754"/>
      <c r="B1306" s="754"/>
      <c r="C1306" s="755"/>
      <c r="D1306" s="756"/>
      <c r="E1306" s="754"/>
      <c r="F1306" s="757"/>
    </row>
    <row r="1307" spans="1:6" x14ac:dyDescent="0.2">
      <c r="A1307" s="754"/>
      <c r="B1307" s="754"/>
      <c r="C1307" s="755"/>
      <c r="D1307" s="756"/>
      <c r="E1307" s="754"/>
      <c r="F1307" s="757"/>
    </row>
    <row r="1308" spans="1:6" x14ac:dyDescent="0.2">
      <c r="A1308" s="754"/>
      <c r="B1308" s="754"/>
      <c r="C1308" s="755"/>
      <c r="D1308" s="756"/>
      <c r="E1308" s="754"/>
      <c r="F1308" s="757"/>
    </row>
    <row r="1309" spans="1:6" x14ac:dyDescent="0.2">
      <c r="A1309" s="754"/>
      <c r="B1309" s="754"/>
      <c r="C1309" s="755"/>
      <c r="D1309" s="756"/>
      <c r="E1309" s="754"/>
      <c r="F1309" s="757"/>
    </row>
    <row r="1310" spans="1:6" x14ac:dyDescent="0.2">
      <c r="A1310" s="754"/>
      <c r="B1310" s="754"/>
      <c r="C1310" s="755"/>
      <c r="D1310" s="756"/>
      <c r="E1310" s="754"/>
      <c r="F1310" s="757"/>
    </row>
    <row r="1311" spans="1:6" x14ac:dyDescent="0.2">
      <c r="A1311" s="754"/>
      <c r="B1311" s="754"/>
      <c r="C1311" s="755"/>
      <c r="D1311" s="756"/>
      <c r="E1311" s="754"/>
      <c r="F1311" s="757"/>
    </row>
    <row r="1312" spans="1:6" x14ac:dyDescent="0.2">
      <c r="A1312" s="754"/>
      <c r="B1312" s="754"/>
      <c r="C1312" s="755"/>
      <c r="D1312" s="756"/>
      <c r="E1312" s="754"/>
      <c r="F1312" s="757"/>
    </row>
    <row r="1313" spans="1:6" x14ac:dyDescent="0.2">
      <c r="A1313" s="754"/>
      <c r="B1313" s="754"/>
      <c r="C1313" s="755"/>
      <c r="D1313" s="756"/>
      <c r="E1313" s="754"/>
      <c r="F1313" s="757"/>
    </row>
    <row r="1314" spans="1:6" x14ac:dyDescent="0.2">
      <c r="A1314" s="754"/>
      <c r="B1314" s="754"/>
      <c r="C1314" s="755"/>
      <c r="D1314" s="756"/>
      <c r="E1314" s="754"/>
      <c r="F1314" s="757"/>
    </row>
    <row r="1315" spans="1:6" x14ac:dyDescent="0.2">
      <c r="A1315" s="754"/>
      <c r="B1315" s="754"/>
      <c r="C1315" s="755"/>
      <c r="D1315" s="756"/>
      <c r="E1315" s="754"/>
      <c r="F1315" s="757"/>
    </row>
    <row r="1316" spans="1:6" x14ac:dyDescent="0.2">
      <c r="A1316" s="754"/>
      <c r="B1316" s="754"/>
      <c r="C1316" s="755"/>
      <c r="D1316" s="756"/>
      <c r="E1316" s="754"/>
      <c r="F1316" s="757"/>
    </row>
    <row r="1317" spans="1:6" x14ac:dyDescent="0.2">
      <c r="A1317" s="754"/>
      <c r="B1317" s="754"/>
      <c r="C1317" s="755"/>
      <c r="D1317" s="756"/>
      <c r="E1317" s="754"/>
      <c r="F1317" s="757"/>
    </row>
    <row r="1318" spans="1:6" x14ac:dyDescent="0.2">
      <c r="A1318" s="754"/>
      <c r="B1318" s="754"/>
      <c r="C1318" s="755"/>
      <c r="D1318" s="756"/>
      <c r="E1318" s="754"/>
      <c r="F1318" s="757"/>
    </row>
    <row r="1319" spans="1:6" x14ac:dyDescent="0.2">
      <c r="A1319" s="754"/>
      <c r="B1319" s="754"/>
      <c r="C1319" s="755"/>
      <c r="D1319" s="756"/>
      <c r="E1319" s="754"/>
      <c r="F1319" s="757"/>
    </row>
    <row r="1320" spans="1:6" x14ac:dyDescent="0.2">
      <c r="A1320" s="754"/>
      <c r="B1320" s="754"/>
      <c r="C1320" s="755"/>
      <c r="D1320" s="756"/>
      <c r="E1320" s="754"/>
      <c r="F1320" s="757"/>
    </row>
    <row r="1321" spans="1:6" x14ac:dyDescent="0.2">
      <c r="A1321" s="754"/>
      <c r="B1321" s="754"/>
      <c r="C1321" s="755"/>
      <c r="D1321" s="756"/>
      <c r="E1321" s="754"/>
      <c r="F1321" s="757"/>
    </row>
    <row r="1322" spans="1:6" x14ac:dyDescent="0.2">
      <c r="A1322" s="754"/>
      <c r="B1322" s="754"/>
      <c r="C1322" s="755"/>
      <c r="D1322" s="756"/>
      <c r="E1322" s="754"/>
      <c r="F1322" s="757"/>
    </row>
    <row r="1323" spans="1:6" x14ac:dyDescent="0.2">
      <c r="A1323" s="754"/>
      <c r="B1323" s="754"/>
      <c r="C1323" s="755"/>
      <c r="D1323" s="756"/>
      <c r="E1323" s="754"/>
      <c r="F1323" s="757"/>
    </row>
    <row r="1324" spans="1:6" x14ac:dyDescent="0.2">
      <c r="A1324" s="754"/>
      <c r="B1324" s="754"/>
      <c r="C1324" s="755"/>
      <c r="D1324" s="756"/>
      <c r="E1324" s="754"/>
      <c r="F1324" s="757"/>
    </row>
    <row r="1325" spans="1:6" x14ac:dyDescent="0.2">
      <c r="A1325" s="754"/>
      <c r="B1325" s="754"/>
      <c r="C1325" s="755"/>
      <c r="D1325" s="756"/>
      <c r="E1325" s="754"/>
      <c r="F1325" s="757"/>
    </row>
    <row r="1326" spans="1:6" x14ac:dyDescent="0.2">
      <c r="A1326" s="754"/>
      <c r="B1326" s="754"/>
      <c r="C1326" s="755"/>
      <c r="D1326" s="756"/>
      <c r="E1326" s="754"/>
      <c r="F1326" s="757"/>
    </row>
    <row r="1327" spans="1:6" x14ac:dyDescent="0.2">
      <c r="A1327" s="754"/>
      <c r="B1327" s="754"/>
      <c r="C1327" s="755"/>
      <c r="D1327" s="756"/>
      <c r="E1327" s="754"/>
      <c r="F1327" s="757"/>
    </row>
    <row r="1328" spans="1:6" x14ac:dyDescent="0.2">
      <c r="A1328" s="754"/>
      <c r="B1328" s="754"/>
      <c r="C1328" s="755"/>
      <c r="D1328" s="756"/>
      <c r="E1328" s="754"/>
      <c r="F1328" s="757"/>
    </row>
    <row r="1329" spans="1:6" x14ac:dyDescent="0.2">
      <c r="A1329" s="754"/>
      <c r="B1329" s="754"/>
      <c r="C1329" s="755"/>
      <c r="D1329" s="756"/>
      <c r="E1329" s="754"/>
      <c r="F1329" s="757"/>
    </row>
    <row r="1330" spans="1:6" x14ac:dyDescent="0.2">
      <c r="A1330" s="754"/>
      <c r="B1330" s="754"/>
      <c r="C1330" s="755"/>
      <c r="D1330" s="756"/>
      <c r="E1330" s="754"/>
      <c r="F1330" s="757"/>
    </row>
    <row r="1331" spans="1:6" x14ac:dyDescent="0.2">
      <c r="A1331" s="754"/>
      <c r="B1331" s="754"/>
      <c r="C1331" s="755"/>
      <c r="D1331" s="756"/>
      <c r="E1331" s="754"/>
      <c r="F1331" s="757"/>
    </row>
    <row r="1332" spans="1:6" x14ac:dyDescent="0.2">
      <c r="A1332" s="754"/>
      <c r="B1332" s="754"/>
      <c r="C1332" s="755"/>
      <c r="D1332" s="756"/>
      <c r="E1332" s="754"/>
      <c r="F1332" s="757"/>
    </row>
    <row r="1333" spans="1:6" x14ac:dyDescent="0.2">
      <c r="A1333" s="754"/>
      <c r="B1333" s="754"/>
      <c r="C1333" s="755"/>
      <c r="D1333" s="756"/>
      <c r="E1333" s="754"/>
      <c r="F1333" s="757"/>
    </row>
    <row r="1334" spans="1:6" x14ac:dyDescent="0.2">
      <c r="A1334" s="754"/>
      <c r="B1334" s="754"/>
      <c r="C1334" s="755"/>
      <c r="D1334" s="756"/>
      <c r="E1334" s="754"/>
      <c r="F1334" s="757"/>
    </row>
    <row r="1335" spans="1:6" x14ac:dyDescent="0.2">
      <c r="A1335" s="754"/>
      <c r="B1335" s="754"/>
      <c r="C1335" s="755"/>
      <c r="D1335" s="756"/>
      <c r="E1335" s="754"/>
      <c r="F1335" s="757"/>
    </row>
    <row r="1336" spans="1:6" x14ac:dyDescent="0.2">
      <c r="A1336" s="754"/>
      <c r="B1336" s="754"/>
      <c r="C1336" s="755"/>
      <c r="D1336" s="756"/>
      <c r="E1336" s="754"/>
      <c r="F1336" s="757"/>
    </row>
    <row r="1337" spans="1:6" x14ac:dyDescent="0.2">
      <c r="A1337" s="754"/>
      <c r="B1337" s="754"/>
      <c r="C1337" s="755"/>
      <c r="D1337" s="756"/>
      <c r="E1337" s="754"/>
      <c r="F1337" s="757"/>
    </row>
    <row r="1338" spans="1:6" x14ac:dyDescent="0.2">
      <c r="A1338" s="754"/>
      <c r="B1338" s="754"/>
      <c r="C1338" s="755"/>
      <c r="D1338" s="756"/>
      <c r="E1338" s="754"/>
      <c r="F1338" s="757"/>
    </row>
    <row r="1339" spans="1:6" x14ac:dyDescent="0.2">
      <c r="A1339" s="754"/>
      <c r="B1339" s="754"/>
      <c r="C1339" s="755"/>
      <c r="D1339" s="756"/>
      <c r="E1339" s="754"/>
      <c r="F1339" s="757"/>
    </row>
    <row r="1340" spans="1:6" x14ac:dyDescent="0.2">
      <c r="A1340" s="754"/>
      <c r="B1340" s="754"/>
      <c r="C1340" s="755"/>
      <c r="D1340" s="756"/>
      <c r="E1340" s="754"/>
      <c r="F1340" s="757"/>
    </row>
    <row r="1341" spans="1:6" x14ac:dyDescent="0.2">
      <c r="A1341" s="754"/>
      <c r="B1341" s="754"/>
      <c r="C1341" s="755"/>
      <c r="D1341" s="756"/>
      <c r="E1341" s="754"/>
      <c r="F1341" s="757"/>
    </row>
    <row r="1342" spans="1:6" x14ac:dyDescent="0.2">
      <c r="A1342" s="754"/>
      <c r="B1342" s="754"/>
      <c r="C1342" s="755"/>
      <c r="D1342" s="756"/>
      <c r="E1342" s="754"/>
      <c r="F1342" s="757"/>
    </row>
    <row r="1343" spans="1:6" x14ac:dyDescent="0.2">
      <c r="A1343" s="754"/>
      <c r="B1343" s="754"/>
      <c r="C1343" s="755"/>
      <c r="D1343" s="756"/>
      <c r="E1343" s="754"/>
      <c r="F1343" s="757"/>
    </row>
    <row r="1344" spans="1:6" x14ac:dyDescent="0.2">
      <c r="A1344" s="754"/>
      <c r="B1344" s="754"/>
      <c r="C1344" s="755"/>
      <c r="D1344" s="756"/>
      <c r="E1344" s="754"/>
      <c r="F1344" s="757"/>
    </row>
    <row r="1345" spans="1:6" x14ac:dyDescent="0.2">
      <c r="A1345" s="754"/>
      <c r="B1345" s="754"/>
      <c r="C1345" s="755"/>
      <c r="D1345" s="756"/>
      <c r="E1345" s="754"/>
      <c r="F1345" s="757"/>
    </row>
    <row r="1346" spans="1:6" x14ac:dyDescent="0.2">
      <c r="A1346" s="754"/>
      <c r="B1346" s="754"/>
      <c r="C1346" s="755"/>
      <c r="D1346" s="756"/>
      <c r="E1346" s="754"/>
      <c r="F1346" s="757"/>
    </row>
    <row r="1347" spans="1:6" x14ac:dyDescent="0.2">
      <c r="A1347" s="754"/>
      <c r="B1347" s="754"/>
      <c r="C1347" s="755"/>
      <c r="D1347" s="756"/>
      <c r="E1347" s="754"/>
      <c r="F1347" s="757"/>
    </row>
    <row r="1348" spans="1:6" x14ac:dyDescent="0.2">
      <c r="A1348" s="754"/>
      <c r="B1348" s="754"/>
      <c r="C1348" s="755"/>
      <c r="D1348" s="756"/>
      <c r="E1348" s="754"/>
      <c r="F1348" s="757"/>
    </row>
    <row r="1349" spans="1:6" x14ac:dyDescent="0.2">
      <c r="A1349" s="754"/>
      <c r="B1349" s="754"/>
      <c r="C1349" s="755"/>
      <c r="D1349" s="756"/>
      <c r="E1349" s="754"/>
      <c r="F1349" s="757"/>
    </row>
    <row r="1350" spans="1:6" x14ac:dyDescent="0.2">
      <c r="A1350" s="754"/>
      <c r="B1350" s="754"/>
      <c r="C1350" s="755"/>
      <c r="D1350" s="756"/>
      <c r="E1350" s="754"/>
      <c r="F1350" s="757"/>
    </row>
    <row r="1351" spans="1:6" x14ac:dyDescent="0.2">
      <c r="A1351" s="754"/>
      <c r="B1351" s="754"/>
      <c r="C1351" s="755"/>
      <c r="D1351" s="756"/>
      <c r="E1351" s="754"/>
      <c r="F1351" s="757"/>
    </row>
    <row r="1352" spans="1:6" x14ac:dyDescent="0.2">
      <c r="A1352" s="754"/>
      <c r="B1352" s="754"/>
      <c r="C1352" s="755"/>
      <c r="D1352" s="756"/>
      <c r="E1352" s="754"/>
      <c r="F1352" s="757"/>
    </row>
    <row r="1353" spans="1:6" x14ac:dyDescent="0.2">
      <c r="A1353" s="754"/>
      <c r="B1353" s="754"/>
      <c r="C1353" s="755"/>
      <c r="D1353" s="756"/>
      <c r="E1353" s="754"/>
      <c r="F1353" s="757"/>
    </row>
    <row r="1354" spans="1:6" x14ac:dyDescent="0.2">
      <c r="A1354" s="754"/>
      <c r="B1354" s="754"/>
      <c r="C1354" s="755"/>
      <c r="D1354" s="756"/>
      <c r="E1354" s="754"/>
      <c r="F1354" s="757"/>
    </row>
    <row r="1355" spans="1:6" x14ac:dyDescent="0.2">
      <c r="A1355" s="754"/>
      <c r="B1355" s="754"/>
      <c r="C1355" s="755"/>
      <c r="D1355" s="756"/>
      <c r="E1355" s="754"/>
      <c r="F1355" s="757"/>
    </row>
    <row r="1356" spans="1:6" x14ac:dyDescent="0.2">
      <c r="A1356" s="754"/>
      <c r="B1356" s="754"/>
      <c r="C1356" s="755"/>
      <c r="D1356" s="756"/>
      <c r="E1356" s="754"/>
      <c r="F1356" s="757"/>
    </row>
    <row r="1357" spans="1:6" x14ac:dyDescent="0.2">
      <c r="A1357" s="754"/>
      <c r="B1357" s="754"/>
      <c r="C1357" s="755"/>
      <c r="D1357" s="756"/>
      <c r="E1357" s="754"/>
      <c r="F1357" s="757"/>
    </row>
    <row r="1358" spans="1:6" x14ac:dyDescent="0.2">
      <c r="A1358" s="754"/>
      <c r="B1358" s="754"/>
      <c r="C1358" s="755"/>
      <c r="D1358" s="756"/>
      <c r="E1358" s="754"/>
      <c r="F1358" s="757"/>
    </row>
    <row r="1359" spans="1:6" x14ac:dyDescent="0.2">
      <c r="A1359" s="754"/>
      <c r="B1359" s="754"/>
      <c r="C1359" s="755"/>
      <c r="D1359" s="756"/>
      <c r="E1359" s="754"/>
      <c r="F1359" s="757"/>
    </row>
    <row r="1360" spans="1:6" x14ac:dyDescent="0.2">
      <c r="A1360" s="754"/>
      <c r="B1360" s="754"/>
      <c r="C1360" s="755"/>
      <c r="D1360" s="756"/>
      <c r="E1360" s="754"/>
      <c r="F1360" s="757"/>
    </row>
    <row r="1361" spans="1:6" x14ac:dyDescent="0.2">
      <c r="A1361" s="754"/>
      <c r="B1361" s="754"/>
      <c r="C1361" s="755"/>
      <c r="D1361" s="756"/>
      <c r="E1361" s="754"/>
      <c r="F1361" s="757"/>
    </row>
    <row r="1362" spans="1:6" x14ac:dyDescent="0.2">
      <c r="A1362" s="754"/>
      <c r="B1362" s="754"/>
      <c r="C1362" s="755"/>
      <c r="D1362" s="756"/>
      <c r="E1362" s="754"/>
      <c r="F1362" s="757"/>
    </row>
    <row r="1363" spans="1:6" x14ac:dyDescent="0.2">
      <c r="A1363" s="754"/>
      <c r="B1363" s="754"/>
      <c r="C1363" s="755"/>
      <c r="D1363" s="756"/>
      <c r="E1363" s="754"/>
      <c r="F1363" s="757"/>
    </row>
    <row r="1364" spans="1:6" x14ac:dyDescent="0.2">
      <c r="A1364" s="754"/>
      <c r="B1364" s="754"/>
      <c r="C1364" s="755"/>
      <c r="D1364" s="756"/>
      <c r="E1364" s="754"/>
      <c r="F1364" s="757"/>
    </row>
    <row r="1365" spans="1:6" x14ac:dyDescent="0.2">
      <c r="A1365" s="754"/>
      <c r="B1365" s="754"/>
      <c r="C1365" s="755"/>
      <c r="D1365" s="756"/>
      <c r="E1365" s="754"/>
      <c r="F1365" s="757"/>
    </row>
    <row r="1366" spans="1:6" x14ac:dyDescent="0.2">
      <c r="A1366" s="754"/>
      <c r="B1366" s="754"/>
      <c r="C1366" s="755"/>
      <c r="D1366" s="756"/>
      <c r="E1366" s="754"/>
      <c r="F1366" s="757"/>
    </row>
    <row r="1367" spans="1:6" x14ac:dyDescent="0.2">
      <c r="A1367" s="754"/>
      <c r="B1367" s="754"/>
      <c r="C1367" s="755"/>
      <c r="D1367" s="756"/>
      <c r="E1367" s="754"/>
      <c r="F1367" s="757"/>
    </row>
    <row r="1368" spans="1:6" x14ac:dyDescent="0.2">
      <c r="A1368" s="754"/>
      <c r="B1368" s="754"/>
      <c r="C1368" s="755"/>
      <c r="D1368" s="756"/>
      <c r="E1368" s="754"/>
      <c r="F1368" s="757"/>
    </row>
    <row r="1369" spans="1:6" x14ac:dyDescent="0.2">
      <c r="A1369" s="754"/>
      <c r="B1369" s="754"/>
      <c r="C1369" s="755"/>
      <c r="D1369" s="756"/>
      <c r="E1369" s="754"/>
      <c r="F1369" s="757"/>
    </row>
    <row r="1370" spans="1:6" x14ac:dyDescent="0.2">
      <c r="A1370" s="754"/>
      <c r="B1370" s="754"/>
      <c r="C1370" s="755"/>
      <c r="D1370" s="756"/>
      <c r="E1370" s="754"/>
      <c r="F1370" s="757"/>
    </row>
    <row r="1371" spans="1:6" x14ac:dyDescent="0.2">
      <c r="A1371" s="754"/>
      <c r="B1371" s="754"/>
      <c r="C1371" s="755"/>
      <c r="D1371" s="756"/>
      <c r="E1371" s="754"/>
      <c r="F1371" s="757"/>
    </row>
    <row r="1372" spans="1:6" x14ac:dyDescent="0.2">
      <c r="A1372" s="754"/>
      <c r="B1372" s="754"/>
      <c r="C1372" s="755"/>
      <c r="D1372" s="756"/>
      <c r="E1372" s="754"/>
      <c r="F1372" s="757"/>
    </row>
    <row r="1373" spans="1:6" x14ac:dyDescent="0.2">
      <c r="A1373" s="754"/>
      <c r="B1373" s="754"/>
      <c r="C1373" s="755"/>
      <c r="D1373" s="756"/>
      <c r="E1373" s="754"/>
      <c r="F1373" s="757"/>
    </row>
    <row r="1374" spans="1:6" x14ac:dyDescent="0.2">
      <c r="A1374" s="754"/>
      <c r="B1374" s="754"/>
      <c r="C1374" s="755"/>
      <c r="D1374" s="756"/>
      <c r="E1374" s="754"/>
      <c r="F1374" s="757"/>
    </row>
    <row r="1375" spans="1:6" x14ac:dyDescent="0.2">
      <c r="A1375" s="754"/>
      <c r="B1375" s="754"/>
      <c r="C1375" s="755"/>
      <c r="D1375" s="756"/>
      <c r="E1375" s="754"/>
      <c r="F1375" s="757"/>
    </row>
    <row r="1376" spans="1:6" x14ac:dyDescent="0.2">
      <c r="A1376" s="754"/>
      <c r="B1376" s="754"/>
      <c r="C1376" s="755"/>
      <c r="D1376" s="756"/>
      <c r="E1376" s="754"/>
      <c r="F1376" s="757"/>
    </row>
    <row r="1377" spans="1:6" x14ac:dyDescent="0.2">
      <c r="A1377" s="754"/>
      <c r="B1377" s="754"/>
      <c r="C1377" s="755"/>
      <c r="D1377" s="756"/>
      <c r="E1377" s="754"/>
      <c r="F1377" s="757"/>
    </row>
    <row r="1378" spans="1:6" x14ac:dyDescent="0.2">
      <c r="A1378" s="754"/>
      <c r="B1378" s="754"/>
      <c r="C1378" s="755"/>
      <c r="D1378" s="756"/>
      <c r="E1378" s="754"/>
      <c r="F1378" s="757"/>
    </row>
    <row r="1379" spans="1:6" x14ac:dyDescent="0.2">
      <c r="A1379" s="754"/>
      <c r="B1379" s="754"/>
      <c r="C1379" s="755"/>
      <c r="D1379" s="756"/>
      <c r="E1379" s="754"/>
      <c r="F1379" s="757"/>
    </row>
    <row r="1380" spans="1:6" x14ac:dyDescent="0.2">
      <c r="A1380" s="754"/>
      <c r="B1380" s="754"/>
      <c r="C1380" s="755"/>
      <c r="D1380" s="756"/>
      <c r="E1380" s="754"/>
      <c r="F1380" s="757"/>
    </row>
    <row r="1381" spans="1:6" x14ac:dyDescent="0.2">
      <c r="A1381" s="754"/>
      <c r="B1381" s="754"/>
      <c r="C1381" s="755"/>
      <c r="D1381" s="756"/>
      <c r="E1381" s="754"/>
      <c r="F1381" s="757"/>
    </row>
    <row r="1382" spans="1:6" x14ac:dyDescent="0.2">
      <c r="A1382" s="754"/>
      <c r="B1382" s="754"/>
      <c r="C1382" s="755"/>
      <c r="D1382" s="756"/>
      <c r="E1382" s="754"/>
      <c r="F1382" s="757"/>
    </row>
    <row r="1383" spans="1:6" x14ac:dyDescent="0.2">
      <c r="A1383" s="754"/>
      <c r="B1383" s="754"/>
      <c r="C1383" s="755"/>
      <c r="D1383" s="756"/>
      <c r="E1383" s="754"/>
      <c r="F1383" s="757"/>
    </row>
    <row r="1384" spans="1:6" x14ac:dyDescent="0.2">
      <c r="A1384" s="754"/>
      <c r="B1384" s="754"/>
      <c r="C1384" s="755"/>
      <c r="D1384" s="756"/>
      <c r="E1384" s="754"/>
      <c r="F1384" s="757"/>
    </row>
    <row r="1385" spans="1:6" x14ac:dyDescent="0.2">
      <c r="A1385" s="754"/>
      <c r="B1385" s="754"/>
      <c r="C1385" s="755"/>
      <c r="D1385" s="756"/>
      <c r="E1385" s="754"/>
      <c r="F1385" s="757"/>
    </row>
    <row r="1386" spans="1:6" x14ac:dyDescent="0.2">
      <c r="A1386" s="754"/>
      <c r="B1386" s="754"/>
      <c r="C1386" s="755"/>
      <c r="D1386" s="756"/>
      <c r="E1386" s="754"/>
      <c r="F1386" s="757"/>
    </row>
    <row r="1387" spans="1:6" x14ac:dyDescent="0.2">
      <c r="A1387" s="754"/>
      <c r="B1387" s="754"/>
      <c r="C1387" s="755"/>
      <c r="D1387" s="756"/>
      <c r="E1387" s="754"/>
      <c r="F1387" s="757"/>
    </row>
    <row r="1388" spans="1:6" x14ac:dyDescent="0.2">
      <c r="A1388" s="754"/>
      <c r="B1388" s="754"/>
      <c r="C1388" s="755"/>
      <c r="D1388" s="756"/>
      <c r="E1388" s="754"/>
      <c r="F1388" s="757"/>
    </row>
    <row r="1389" spans="1:6" x14ac:dyDescent="0.2">
      <c r="A1389" s="754"/>
      <c r="B1389" s="754"/>
      <c r="C1389" s="755"/>
      <c r="D1389" s="756"/>
      <c r="E1389" s="754"/>
      <c r="F1389" s="757"/>
    </row>
    <row r="1390" spans="1:6" x14ac:dyDescent="0.2">
      <c r="A1390" s="754"/>
      <c r="B1390" s="754"/>
      <c r="C1390" s="755"/>
      <c r="D1390" s="756"/>
      <c r="E1390" s="754"/>
      <c r="F1390" s="757"/>
    </row>
    <row r="1391" spans="1:6" x14ac:dyDescent="0.2">
      <c r="A1391" s="754"/>
      <c r="B1391" s="754"/>
      <c r="C1391" s="755"/>
      <c r="D1391" s="756"/>
      <c r="E1391" s="754"/>
      <c r="F1391" s="757"/>
    </row>
    <row r="1392" spans="1:6" x14ac:dyDescent="0.2">
      <c r="A1392" s="754"/>
      <c r="B1392" s="754"/>
      <c r="C1392" s="755"/>
      <c r="D1392" s="756"/>
      <c r="E1392" s="754"/>
      <c r="F1392" s="757"/>
    </row>
    <row r="1393" spans="1:6" x14ac:dyDescent="0.2">
      <c r="A1393" s="754"/>
      <c r="B1393" s="754"/>
      <c r="C1393" s="755"/>
      <c r="D1393" s="756"/>
      <c r="E1393" s="754"/>
      <c r="F1393" s="757"/>
    </row>
    <row r="1394" spans="1:6" x14ac:dyDescent="0.2">
      <c r="A1394" s="754"/>
      <c r="B1394" s="754"/>
      <c r="C1394" s="755"/>
      <c r="D1394" s="756"/>
      <c r="E1394" s="754"/>
      <c r="F1394" s="757"/>
    </row>
    <row r="1395" spans="1:6" x14ac:dyDescent="0.2">
      <c r="A1395" s="754"/>
      <c r="B1395" s="754"/>
      <c r="C1395" s="755"/>
      <c r="D1395" s="756"/>
      <c r="E1395" s="754"/>
      <c r="F1395" s="757"/>
    </row>
    <row r="1396" spans="1:6" x14ac:dyDescent="0.2">
      <c r="A1396" s="754"/>
      <c r="B1396" s="754"/>
      <c r="C1396" s="755"/>
      <c r="D1396" s="756"/>
      <c r="E1396" s="754"/>
      <c r="F1396" s="757"/>
    </row>
    <row r="1397" spans="1:6" x14ac:dyDescent="0.2">
      <c r="A1397" s="754"/>
      <c r="B1397" s="754"/>
      <c r="C1397" s="755"/>
      <c r="D1397" s="756"/>
      <c r="E1397" s="754"/>
      <c r="F1397" s="757"/>
    </row>
    <row r="1398" spans="1:6" x14ac:dyDescent="0.2">
      <c r="A1398" s="754"/>
      <c r="B1398" s="754"/>
      <c r="C1398" s="755"/>
      <c r="D1398" s="756"/>
      <c r="E1398" s="754"/>
      <c r="F1398" s="757"/>
    </row>
    <row r="1399" spans="1:6" x14ac:dyDescent="0.2">
      <c r="A1399" s="754"/>
      <c r="B1399" s="754"/>
      <c r="C1399" s="755"/>
      <c r="D1399" s="756"/>
      <c r="E1399" s="754"/>
      <c r="F1399" s="757"/>
    </row>
    <row r="1400" spans="1:6" x14ac:dyDescent="0.2">
      <c r="A1400" s="754"/>
      <c r="B1400" s="754"/>
      <c r="C1400" s="755"/>
      <c r="D1400" s="756"/>
      <c r="E1400" s="754"/>
      <c r="F1400" s="757"/>
    </row>
    <row r="1401" spans="1:6" x14ac:dyDescent="0.2">
      <c r="A1401" s="754"/>
      <c r="B1401" s="754"/>
      <c r="C1401" s="755"/>
      <c r="D1401" s="756"/>
      <c r="E1401" s="754"/>
      <c r="F1401" s="757"/>
    </row>
    <row r="1402" spans="1:6" x14ac:dyDescent="0.2">
      <c r="A1402" s="754"/>
      <c r="B1402" s="754"/>
      <c r="C1402" s="755"/>
      <c r="D1402" s="756"/>
      <c r="E1402" s="754"/>
      <c r="F1402" s="757"/>
    </row>
    <row r="1403" spans="1:6" x14ac:dyDescent="0.2">
      <c r="A1403" s="754"/>
      <c r="B1403" s="754"/>
      <c r="C1403" s="755"/>
      <c r="D1403" s="756"/>
      <c r="E1403" s="754"/>
      <c r="F1403" s="757"/>
    </row>
    <row r="1404" spans="1:6" x14ac:dyDescent="0.2">
      <c r="A1404" s="754"/>
      <c r="B1404" s="754"/>
      <c r="C1404" s="755"/>
      <c r="D1404" s="756"/>
      <c r="E1404" s="754"/>
      <c r="F1404" s="757"/>
    </row>
    <row r="1405" spans="1:6" x14ac:dyDescent="0.2">
      <c r="A1405" s="754"/>
      <c r="B1405" s="754"/>
      <c r="C1405" s="755"/>
      <c r="D1405" s="756"/>
      <c r="E1405" s="754"/>
      <c r="F1405" s="757"/>
    </row>
    <row r="1406" spans="1:6" x14ac:dyDescent="0.2">
      <c r="A1406" s="754"/>
      <c r="B1406" s="754"/>
      <c r="C1406" s="755"/>
      <c r="D1406" s="756"/>
      <c r="E1406" s="754"/>
      <c r="F1406" s="757"/>
    </row>
    <row r="1407" spans="1:6" x14ac:dyDescent="0.2">
      <c r="A1407" s="754"/>
      <c r="B1407" s="754"/>
      <c r="C1407" s="755"/>
      <c r="D1407" s="756"/>
      <c r="E1407" s="754"/>
      <c r="F1407" s="757"/>
    </row>
    <row r="1408" spans="1:6" x14ac:dyDescent="0.2">
      <c r="A1408" s="754"/>
      <c r="B1408" s="754"/>
      <c r="C1408" s="755"/>
      <c r="D1408" s="756"/>
      <c r="E1408" s="754"/>
      <c r="F1408" s="757"/>
    </row>
    <row r="1409" spans="1:6" x14ac:dyDescent="0.2">
      <c r="A1409" s="754"/>
      <c r="B1409" s="754"/>
      <c r="C1409" s="755"/>
      <c r="D1409" s="756"/>
      <c r="E1409" s="754"/>
      <c r="F1409" s="757"/>
    </row>
    <row r="1410" spans="1:6" x14ac:dyDescent="0.2">
      <c r="A1410" s="754"/>
      <c r="B1410" s="754"/>
      <c r="C1410" s="755"/>
      <c r="D1410" s="756"/>
      <c r="E1410" s="754"/>
      <c r="F1410" s="757"/>
    </row>
    <row r="1411" spans="1:6" x14ac:dyDescent="0.2">
      <c r="A1411" s="754"/>
      <c r="B1411" s="754"/>
      <c r="C1411" s="755"/>
      <c r="D1411" s="756"/>
      <c r="E1411" s="754"/>
      <c r="F1411" s="757"/>
    </row>
    <row r="1412" spans="1:6" x14ac:dyDescent="0.2">
      <c r="A1412" s="754"/>
      <c r="B1412" s="754"/>
      <c r="C1412" s="755"/>
      <c r="D1412" s="756"/>
      <c r="E1412" s="754"/>
      <c r="F1412" s="757"/>
    </row>
    <row r="1413" spans="1:6" x14ac:dyDescent="0.2">
      <c r="A1413" s="754"/>
      <c r="B1413" s="754"/>
      <c r="C1413" s="755"/>
      <c r="D1413" s="756"/>
      <c r="E1413" s="754"/>
      <c r="F1413" s="757"/>
    </row>
    <row r="1414" spans="1:6" x14ac:dyDescent="0.2">
      <c r="A1414" s="754"/>
      <c r="B1414" s="754"/>
      <c r="C1414" s="755"/>
      <c r="D1414" s="756"/>
      <c r="E1414" s="754"/>
      <c r="F1414" s="757"/>
    </row>
    <row r="1415" spans="1:6" x14ac:dyDescent="0.2">
      <c r="A1415" s="754"/>
      <c r="B1415" s="754"/>
      <c r="C1415" s="755"/>
      <c r="D1415" s="756"/>
      <c r="E1415" s="754"/>
      <c r="F1415" s="757"/>
    </row>
    <row r="1416" spans="1:6" x14ac:dyDescent="0.2">
      <c r="A1416" s="754"/>
      <c r="B1416" s="754"/>
      <c r="C1416" s="755"/>
      <c r="D1416" s="756"/>
      <c r="E1416" s="754"/>
      <c r="F1416" s="757"/>
    </row>
    <row r="1417" spans="1:6" x14ac:dyDescent="0.2">
      <c r="A1417" s="754"/>
      <c r="B1417" s="754"/>
      <c r="C1417" s="755"/>
      <c r="D1417" s="756"/>
      <c r="E1417" s="754"/>
      <c r="F1417" s="757"/>
    </row>
    <row r="1418" spans="1:6" x14ac:dyDescent="0.2">
      <c r="A1418" s="754"/>
      <c r="B1418" s="754"/>
      <c r="C1418" s="755"/>
      <c r="D1418" s="756"/>
      <c r="E1418" s="754"/>
      <c r="F1418" s="757"/>
    </row>
    <row r="1419" spans="1:6" x14ac:dyDescent="0.2">
      <c r="A1419" s="754"/>
      <c r="B1419" s="754"/>
      <c r="C1419" s="755"/>
      <c r="D1419" s="756"/>
      <c r="E1419" s="754"/>
      <c r="F1419" s="757"/>
    </row>
    <row r="1420" spans="1:6" x14ac:dyDescent="0.2">
      <c r="A1420" s="754"/>
      <c r="B1420" s="754"/>
      <c r="C1420" s="755"/>
      <c r="D1420" s="756"/>
      <c r="E1420" s="754"/>
      <c r="F1420" s="757"/>
    </row>
    <row r="1421" spans="1:6" x14ac:dyDescent="0.2">
      <c r="A1421" s="754"/>
      <c r="B1421" s="754"/>
      <c r="C1421" s="755"/>
      <c r="D1421" s="756"/>
      <c r="E1421" s="754"/>
      <c r="F1421" s="757"/>
    </row>
    <row r="1422" spans="1:6" x14ac:dyDescent="0.2">
      <c r="A1422" s="754"/>
      <c r="B1422" s="754"/>
      <c r="C1422" s="755"/>
      <c r="D1422" s="756"/>
      <c r="E1422" s="754"/>
      <c r="F1422" s="757"/>
    </row>
    <row r="1423" spans="1:6" x14ac:dyDescent="0.2">
      <c r="A1423" s="754"/>
      <c r="B1423" s="754"/>
      <c r="C1423" s="755"/>
      <c r="D1423" s="756"/>
      <c r="E1423" s="754"/>
      <c r="F1423" s="757"/>
    </row>
    <row r="1424" spans="1:6" x14ac:dyDescent="0.2">
      <c r="A1424" s="754"/>
      <c r="B1424" s="754"/>
      <c r="C1424" s="755"/>
      <c r="D1424" s="756"/>
      <c r="E1424" s="754"/>
      <c r="F1424" s="757"/>
    </row>
    <row r="1425" spans="1:6" x14ac:dyDescent="0.2">
      <c r="A1425" s="754"/>
      <c r="B1425" s="754"/>
      <c r="C1425" s="755"/>
      <c r="D1425" s="756"/>
      <c r="E1425" s="754"/>
      <c r="F1425" s="757"/>
    </row>
    <row r="1426" spans="1:6" x14ac:dyDescent="0.2">
      <c r="A1426" s="754"/>
      <c r="B1426" s="754"/>
      <c r="C1426" s="755"/>
      <c r="D1426" s="756"/>
      <c r="E1426" s="754"/>
      <c r="F1426" s="757"/>
    </row>
    <row r="1427" spans="1:6" x14ac:dyDescent="0.2">
      <c r="A1427" s="754"/>
      <c r="B1427" s="754"/>
      <c r="C1427" s="755"/>
      <c r="D1427" s="756"/>
      <c r="E1427" s="754"/>
      <c r="F1427" s="757"/>
    </row>
    <row r="1428" spans="1:6" x14ac:dyDescent="0.2">
      <c r="A1428" s="754"/>
      <c r="B1428" s="754"/>
      <c r="C1428" s="755"/>
      <c r="D1428" s="756"/>
      <c r="E1428" s="754"/>
      <c r="F1428" s="757"/>
    </row>
    <row r="1429" spans="1:6" x14ac:dyDescent="0.2">
      <c r="A1429" s="754"/>
      <c r="B1429" s="754"/>
      <c r="C1429" s="755"/>
      <c r="D1429" s="756"/>
      <c r="E1429" s="754"/>
      <c r="F1429" s="757"/>
    </row>
    <row r="1430" spans="1:6" x14ac:dyDescent="0.2">
      <c r="A1430" s="754"/>
      <c r="B1430" s="754"/>
      <c r="C1430" s="755"/>
      <c r="D1430" s="756"/>
      <c r="E1430" s="754"/>
      <c r="F1430" s="757"/>
    </row>
    <row r="1431" spans="1:6" x14ac:dyDescent="0.2">
      <c r="A1431" s="754"/>
      <c r="B1431" s="754"/>
      <c r="C1431" s="755"/>
      <c r="D1431" s="756"/>
      <c r="E1431" s="754"/>
      <c r="F1431" s="757"/>
    </row>
    <row r="1432" spans="1:6" x14ac:dyDescent="0.2">
      <c r="A1432" s="754"/>
      <c r="B1432" s="754"/>
      <c r="C1432" s="755"/>
      <c r="D1432" s="756"/>
      <c r="E1432" s="754"/>
      <c r="F1432" s="757"/>
    </row>
    <row r="1433" spans="1:6" x14ac:dyDescent="0.2">
      <c r="A1433" s="754"/>
      <c r="B1433" s="754"/>
      <c r="C1433" s="755"/>
      <c r="D1433" s="756"/>
      <c r="E1433" s="754"/>
      <c r="F1433" s="757"/>
    </row>
    <row r="1434" spans="1:6" x14ac:dyDescent="0.2">
      <c r="A1434" s="754"/>
      <c r="B1434" s="754"/>
      <c r="C1434" s="755"/>
      <c r="D1434" s="756"/>
      <c r="E1434" s="754"/>
      <c r="F1434" s="757"/>
    </row>
    <row r="1435" spans="1:6" x14ac:dyDescent="0.2">
      <c r="A1435" s="754"/>
      <c r="B1435" s="754"/>
      <c r="C1435" s="755"/>
      <c r="D1435" s="756"/>
      <c r="E1435" s="754"/>
      <c r="F1435" s="757"/>
    </row>
    <row r="1436" spans="1:6" x14ac:dyDescent="0.2">
      <c r="A1436" s="754"/>
      <c r="B1436" s="754"/>
      <c r="C1436" s="755"/>
      <c r="D1436" s="756"/>
      <c r="E1436" s="754"/>
      <c r="F1436" s="757"/>
    </row>
    <row r="1437" spans="1:6" x14ac:dyDescent="0.2">
      <c r="A1437" s="754"/>
      <c r="B1437" s="754"/>
      <c r="C1437" s="755"/>
      <c r="D1437" s="756"/>
      <c r="E1437" s="754"/>
      <c r="F1437" s="757"/>
    </row>
    <row r="1438" spans="1:6" x14ac:dyDescent="0.2">
      <c r="A1438" s="754"/>
      <c r="B1438" s="754"/>
      <c r="C1438" s="755"/>
      <c r="D1438" s="756"/>
      <c r="E1438" s="754"/>
      <c r="F1438" s="757"/>
    </row>
    <row r="1439" spans="1:6" x14ac:dyDescent="0.2">
      <c r="A1439" s="754"/>
      <c r="B1439" s="754"/>
      <c r="C1439" s="755"/>
      <c r="D1439" s="756"/>
      <c r="E1439" s="754"/>
      <c r="F1439" s="757"/>
    </row>
    <row r="1440" spans="1:6" x14ac:dyDescent="0.2">
      <c r="A1440" s="754"/>
      <c r="B1440" s="754"/>
      <c r="C1440" s="755"/>
      <c r="D1440" s="756"/>
      <c r="E1440" s="754"/>
      <c r="F1440" s="757"/>
    </row>
    <row r="1441" spans="1:6" x14ac:dyDescent="0.2">
      <c r="A1441" s="754"/>
      <c r="B1441" s="754"/>
      <c r="C1441" s="755"/>
      <c r="D1441" s="756"/>
      <c r="E1441" s="754"/>
      <c r="F1441" s="757"/>
    </row>
    <row r="1442" spans="1:6" x14ac:dyDescent="0.2">
      <c r="A1442" s="754"/>
      <c r="B1442" s="754"/>
      <c r="C1442" s="755"/>
      <c r="D1442" s="756"/>
      <c r="E1442" s="754"/>
      <c r="F1442" s="757"/>
    </row>
    <row r="1443" spans="1:6" x14ac:dyDescent="0.2">
      <c r="A1443" s="754"/>
      <c r="B1443" s="754"/>
      <c r="C1443" s="755"/>
      <c r="D1443" s="756"/>
      <c r="E1443" s="754"/>
      <c r="F1443" s="757"/>
    </row>
    <row r="1444" spans="1:6" x14ac:dyDescent="0.2">
      <c r="A1444" s="754"/>
      <c r="B1444" s="754"/>
      <c r="C1444" s="755"/>
      <c r="D1444" s="756"/>
      <c r="E1444" s="754"/>
      <c r="F1444" s="757"/>
    </row>
    <row r="1445" spans="1:6" x14ac:dyDescent="0.2">
      <c r="A1445" s="754"/>
      <c r="B1445" s="754"/>
      <c r="C1445" s="755"/>
      <c r="D1445" s="756"/>
      <c r="E1445" s="754"/>
      <c r="F1445" s="757"/>
    </row>
    <row r="1446" spans="1:6" x14ac:dyDescent="0.2">
      <c r="A1446" s="754"/>
      <c r="B1446" s="754"/>
      <c r="C1446" s="755"/>
      <c r="D1446" s="756"/>
      <c r="E1446" s="754"/>
      <c r="F1446" s="757"/>
    </row>
    <row r="1447" spans="1:6" x14ac:dyDescent="0.2">
      <c r="A1447" s="754"/>
      <c r="B1447" s="754"/>
      <c r="C1447" s="755"/>
      <c r="D1447" s="756"/>
      <c r="E1447" s="754"/>
      <c r="F1447" s="757"/>
    </row>
    <row r="1448" spans="1:6" x14ac:dyDescent="0.2">
      <c r="A1448" s="754"/>
      <c r="B1448" s="754"/>
      <c r="C1448" s="755"/>
      <c r="D1448" s="756"/>
      <c r="E1448" s="754"/>
      <c r="F1448" s="757"/>
    </row>
    <row r="1449" spans="1:6" x14ac:dyDescent="0.2">
      <c r="A1449" s="754"/>
      <c r="B1449" s="754"/>
      <c r="C1449" s="755"/>
      <c r="D1449" s="756"/>
      <c r="E1449" s="754"/>
      <c r="F1449" s="757"/>
    </row>
    <row r="1450" spans="1:6" x14ac:dyDescent="0.2">
      <c r="A1450" s="754"/>
      <c r="B1450" s="754"/>
      <c r="C1450" s="755"/>
      <c r="D1450" s="756"/>
      <c r="E1450" s="754"/>
      <c r="F1450" s="757"/>
    </row>
    <row r="1451" spans="1:6" x14ac:dyDescent="0.2">
      <c r="A1451" s="754"/>
      <c r="B1451" s="754"/>
      <c r="C1451" s="755"/>
      <c r="D1451" s="756"/>
      <c r="E1451" s="754"/>
      <c r="F1451" s="757"/>
    </row>
    <row r="1452" spans="1:6" x14ac:dyDescent="0.2">
      <c r="A1452" s="754"/>
      <c r="B1452" s="754"/>
      <c r="C1452" s="755"/>
      <c r="D1452" s="756"/>
      <c r="E1452" s="754"/>
      <c r="F1452" s="757"/>
    </row>
    <row r="1453" spans="1:6" x14ac:dyDescent="0.2">
      <c r="A1453" s="754"/>
      <c r="B1453" s="754"/>
      <c r="C1453" s="755"/>
      <c r="D1453" s="756"/>
      <c r="E1453" s="754"/>
      <c r="F1453" s="757"/>
    </row>
    <row r="1454" spans="1:6" x14ac:dyDescent="0.2">
      <c r="A1454" s="754"/>
      <c r="B1454" s="754"/>
      <c r="C1454" s="755"/>
      <c r="D1454" s="756"/>
      <c r="E1454" s="754"/>
      <c r="F1454" s="757"/>
    </row>
    <row r="1455" spans="1:6" x14ac:dyDescent="0.2">
      <c r="A1455" s="754"/>
      <c r="B1455" s="754"/>
      <c r="C1455" s="755"/>
      <c r="D1455" s="756"/>
      <c r="E1455" s="754"/>
      <c r="F1455" s="757"/>
    </row>
    <row r="1456" spans="1:6" x14ac:dyDescent="0.2">
      <c r="A1456" s="754"/>
      <c r="B1456" s="754"/>
      <c r="C1456" s="755"/>
      <c r="D1456" s="756"/>
      <c r="E1456" s="754"/>
      <c r="F1456" s="757"/>
    </row>
    <row r="1457" spans="1:6" x14ac:dyDescent="0.2">
      <c r="A1457" s="754"/>
      <c r="B1457" s="754"/>
      <c r="C1457" s="755"/>
      <c r="D1457" s="756"/>
      <c r="E1457" s="754"/>
      <c r="F1457" s="757"/>
    </row>
    <row r="1458" spans="1:6" x14ac:dyDescent="0.2">
      <c r="A1458" s="754"/>
      <c r="B1458" s="754"/>
      <c r="C1458" s="755"/>
      <c r="D1458" s="756"/>
      <c r="E1458" s="754"/>
      <c r="F1458" s="757"/>
    </row>
    <row r="1459" spans="1:6" x14ac:dyDescent="0.2">
      <c r="A1459" s="754"/>
      <c r="B1459" s="754"/>
      <c r="C1459" s="755"/>
      <c r="D1459" s="756"/>
      <c r="E1459" s="754"/>
      <c r="F1459" s="757"/>
    </row>
    <row r="1460" spans="1:6" x14ac:dyDescent="0.2">
      <c r="A1460" s="754"/>
      <c r="B1460" s="754"/>
      <c r="C1460" s="755"/>
      <c r="D1460" s="756"/>
      <c r="E1460" s="754"/>
      <c r="F1460" s="757"/>
    </row>
    <row r="1461" spans="1:6" x14ac:dyDescent="0.2">
      <c r="A1461" s="754"/>
      <c r="B1461" s="754"/>
      <c r="C1461" s="755"/>
      <c r="D1461" s="756"/>
      <c r="E1461" s="754"/>
      <c r="F1461" s="757"/>
    </row>
    <row r="1462" spans="1:6" x14ac:dyDescent="0.2">
      <c r="A1462" s="754"/>
      <c r="B1462" s="754"/>
      <c r="C1462" s="755"/>
      <c r="D1462" s="756"/>
      <c r="E1462" s="754"/>
      <c r="F1462" s="757"/>
    </row>
    <row r="1463" spans="1:6" x14ac:dyDescent="0.2">
      <c r="A1463" s="754"/>
      <c r="B1463" s="754"/>
      <c r="C1463" s="755"/>
      <c r="D1463" s="756"/>
      <c r="E1463" s="754"/>
      <c r="F1463" s="757"/>
    </row>
    <row r="1464" spans="1:6" x14ac:dyDescent="0.2">
      <c r="A1464" s="754"/>
      <c r="B1464" s="754"/>
      <c r="C1464" s="755"/>
      <c r="D1464" s="756"/>
      <c r="E1464" s="754"/>
      <c r="F1464" s="757"/>
    </row>
    <row r="1465" spans="1:6" x14ac:dyDescent="0.2">
      <c r="A1465" s="754"/>
      <c r="B1465" s="754"/>
      <c r="C1465" s="755"/>
      <c r="D1465" s="756"/>
      <c r="E1465" s="754"/>
      <c r="F1465" s="757"/>
    </row>
    <row r="1466" spans="1:6" x14ac:dyDescent="0.2">
      <c r="A1466" s="754"/>
      <c r="B1466" s="754"/>
      <c r="C1466" s="755"/>
      <c r="D1466" s="756"/>
      <c r="E1466" s="754"/>
      <c r="F1466" s="757"/>
    </row>
    <row r="1467" spans="1:6" x14ac:dyDescent="0.2">
      <c r="A1467" s="754"/>
      <c r="B1467" s="754"/>
      <c r="C1467" s="755"/>
      <c r="D1467" s="756"/>
      <c r="E1467" s="754"/>
      <c r="F1467" s="757"/>
    </row>
    <row r="1468" spans="1:6" x14ac:dyDescent="0.2">
      <c r="A1468" s="754"/>
      <c r="B1468" s="754"/>
      <c r="C1468" s="755"/>
      <c r="D1468" s="756"/>
      <c r="E1468" s="754"/>
      <c r="F1468" s="757"/>
    </row>
    <row r="1469" spans="1:6" x14ac:dyDescent="0.2">
      <c r="A1469" s="754"/>
      <c r="B1469" s="754"/>
      <c r="C1469" s="755"/>
      <c r="D1469" s="756"/>
      <c r="E1469" s="754"/>
      <c r="F1469" s="757"/>
    </row>
    <row r="1470" spans="1:6" x14ac:dyDescent="0.2">
      <c r="A1470" s="754"/>
      <c r="B1470" s="754"/>
      <c r="C1470" s="755"/>
      <c r="D1470" s="756"/>
      <c r="E1470" s="754"/>
      <c r="F1470" s="757"/>
    </row>
    <row r="1471" spans="1:6" x14ac:dyDescent="0.2">
      <c r="A1471" s="754"/>
      <c r="B1471" s="754"/>
      <c r="C1471" s="755"/>
      <c r="D1471" s="756"/>
      <c r="E1471" s="754"/>
      <c r="F1471" s="757"/>
    </row>
    <row r="1472" spans="1:6" x14ac:dyDescent="0.2">
      <c r="A1472" s="754"/>
      <c r="B1472" s="754"/>
      <c r="C1472" s="755"/>
      <c r="D1472" s="756"/>
      <c r="E1472" s="754"/>
      <c r="F1472" s="757"/>
    </row>
    <row r="1473" spans="1:6" x14ac:dyDescent="0.2">
      <c r="A1473" s="754"/>
      <c r="B1473" s="754"/>
      <c r="C1473" s="755"/>
      <c r="D1473" s="756"/>
      <c r="E1473" s="754"/>
      <c r="F1473" s="757"/>
    </row>
    <row r="1474" spans="1:6" x14ac:dyDescent="0.2">
      <c r="A1474" s="754"/>
      <c r="B1474" s="754"/>
      <c r="C1474" s="755"/>
      <c r="D1474" s="756"/>
      <c r="E1474" s="754"/>
      <c r="F1474" s="757"/>
    </row>
    <row r="1475" spans="1:6" x14ac:dyDescent="0.2">
      <c r="A1475" s="754"/>
      <c r="B1475" s="754"/>
      <c r="C1475" s="755"/>
      <c r="D1475" s="756"/>
      <c r="E1475" s="754"/>
      <c r="F1475" s="757"/>
    </row>
    <row r="1476" spans="1:6" x14ac:dyDescent="0.2">
      <c r="A1476" s="754"/>
      <c r="B1476" s="754"/>
      <c r="C1476" s="755"/>
      <c r="D1476" s="756"/>
      <c r="E1476" s="754"/>
      <c r="F1476" s="757"/>
    </row>
    <row r="1477" spans="1:6" x14ac:dyDescent="0.2">
      <c r="A1477" s="754"/>
      <c r="B1477" s="754"/>
      <c r="C1477" s="755"/>
      <c r="D1477" s="756"/>
      <c r="E1477" s="754"/>
      <c r="F1477" s="757"/>
    </row>
    <row r="1478" spans="1:6" x14ac:dyDescent="0.2">
      <c r="A1478" s="754"/>
      <c r="B1478" s="754"/>
      <c r="C1478" s="755"/>
      <c r="D1478" s="756"/>
      <c r="E1478" s="754"/>
      <c r="F1478" s="757"/>
    </row>
    <row r="1479" spans="1:6" x14ac:dyDescent="0.2">
      <c r="A1479" s="754"/>
      <c r="B1479" s="754"/>
      <c r="C1479" s="755"/>
      <c r="D1479" s="756"/>
      <c r="E1479" s="754"/>
      <c r="F1479" s="757"/>
    </row>
    <row r="1480" spans="1:6" x14ac:dyDescent="0.2">
      <c r="A1480" s="754"/>
      <c r="B1480" s="754"/>
      <c r="C1480" s="755"/>
      <c r="D1480" s="756"/>
      <c r="E1480" s="754"/>
      <c r="F1480" s="757"/>
    </row>
    <row r="1481" spans="1:6" x14ac:dyDescent="0.2">
      <c r="A1481" s="754"/>
      <c r="B1481" s="754"/>
      <c r="C1481" s="755"/>
      <c r="D1481" s="756"/>
      <c r="E1481" s="754"/>
      <c r="F1481" s="757"/>
    </row>
    <row r="1482" spans="1:6" x14ac:dyDescent="0.2">
      <c r="A1482" s="754"/>
      <c r="B1482" s="754"/>
      <c r="C1482" s="755"/>
      <c r="D1482" s="756"/>
      <c r="E1482" s="754"/>
      <c r="F1482" s="757"/>
    </row>
    <row r="1483" spans="1:6" x14ac:dyDescent="0.2">
      <c r="A1483" s="754"/>
      <c r="B1483" s="754"/>
      <c r="C1483" s="755"/>
      <c r="D1483" s="756"/>
      <c r="E1483" s="754"/>
      <c r="F1483" s="757"/>
    </row>
    <row r="1484" spans="1:6" x14ac:dyDescent="0.2">
      <c r="A1484" s="754"/>
      <c r="B1484" s="754"/>
      <c r="C1484" s="755"/>
      <c r="D1484" s="756"/>
      <c r="E1484" s="754"/>
      <c r="F1484" s="757"/>
    </row>
    <row r="1485" spans="1:6" x14ac:dyDescent="0.2">
      <c r="A1485" s="754"/>
      <c r="B1485" s="754"/>
      <c r="C1485" s="755"/>
      <c r="D1485" s="756"/>
      <c r="E1485" s="754"/>
      <c r="F1485" s="757"/>
    </row>
    <row r="1486" spans="1:6" x14ac:dyDescent="0.2">
      <c r="A1486" s="754"/>
      <c r="B1486" s="754"/>
      <c r="C1486" s="755"/>
      <c r="D1486" s="756"/>
      <c r="E1486" s="754"/>
      <c r="F1486" s="757"/>
    </row>
    <row r="1487" spans="1:6" x14ac:dyDescent="0.2">
      <c r="A1487" s="754"/>
      <c r="B1487" s="754"/>
      <c r="C1487" s="755"/>
      <c r="D1487" s="756"/>
      <c r="E1487" s="754"/>
      <c r="F1487" s="757"/>
    </row>
    <row r="1488" spans="1:6" x14ac:dyDescent="0.2">
      <c r="A1488" s="754"/>
      <c r="B1488" s="754"/>
      <c r="C1488" s="755"/>
      <c r="D1488" s="756"/>
      <c r="E1488" s="754"/>
      <c r="F1488" s="757"/>
    </row>
    <row r="1489" spans="1:6" x14ac:dyDescent="0.2">
      <c r="A1489" s="754"/>
      <c r="B1489" s="754"/>
      <c r="C1489" s="755"/>
      <c r="D1489" s="756"/>
      <c r="E1489" s="754"/>
      <c r="F1489" s="757"/>
    </row>
    <row r="1490" spans="1:6" x14ac:dyDescent="0.2">
      <c r="A1490" s="754"/>
      <c r="B1490" s="754"/>
      <c r="C1490" s="755"/>
      <c r="D1490" s="756"/>
      <c r="E1490" s="754"/>
      <c r="F1490" s="757"/>
    </row>
    <row r="1491" spans="1:6" x14ac:dyDescent="0.2">
      <c r="A1491" s="754"/>
      <c r="B1491" s="754"/>
      <c r="C1491" s="755"/>
      <c r="D1491" s="756"/>
      <c r="E1491" s="754"/>
      <c r="F1491" s="757"/>
    </row>
    <row r="1492" spans="1:6" x14ac:dyDescent="0.2">
      <c r="A1492" s="754"/>
      <c r="B1492" s="754"/>
      <c r="C1492" s="755"/>
      <c r="D1492" s="756"/>
      <c r="E1492" s="754"/>
      <c r="F1492" s="757"/>
    </row>
    <row r="1493" spans="1:6" x14ac:dyDescent="0.2">
      <c r="A1493" s="754"/>
      <c r="B1493" s="754"/>
      <c r="C1493" s="755"/>
      <c r="D1493" s="756"/>
      <c r="E1493" s="754"/>
      <c r="F1493" s="757"/>
    </row>
    <row r="1494" spans="1:6" x14ac:dyDescent="0.2">
      <c r="A1494" s="754"/>
      <c r="B1494" s="754"/>
      <c r="C1494" s="755"/>
      <c r="D1494" s="756"/>
      <c r="E1494" s="754"/>
      <c r="F1494" s="757"/>
    </row>
    <row r="1495" spans="1:6" x14ac:dyDescent="0.2">
      <c r="A1495" s="754"/>
      <c r="B1495" s="754"/>
      <c r="C1495" s="755"/>
      <c r="D1495" s="756"/>
      <c r="E1495" s="754"/>
      <c r="F1495" s="757"/>
    </row>
    <row r="1496" spans="1:6" x14ac:dyDescent="0.2">
      <c r="A1496" s="754"/>
      <c r="B1496" s="754"/>
      <c r="C1496" s="755"/>
      <c r="D1496" s="756"/>
      <c r="E1496" s="754"/>
      <c r="F1496" s="757"/>
    </row>
    <row r="1497" spans="1:6" x14ac:dyDescent="0.2">
      <c r="A1497" s="754"/>
      <c r="B1497" s="754"/>
      <c r="C1497" s="755"/>
      <c r="D1497" s="756"/>
      <c r="E1497" s="754"/>
      <c r="F1497" s="757"/>
    </row>
    <row r="1498" spans="1:6" x14ac:dyDescent="0.2">
      <c r="A1498" s="754"/>
      <c r="B1498" s="754"/>
      <c r="C1498" s="755"/>
      <c r="D1498" s="756"/>
      <c r="E1498" s="754"/>
      <c r="F1498" s="757"/>
    </row>
    <row r="1499" spans="1:6" x14ac:dyDescent="0.2">
      <c r="A1499" s="754"/>
      <c r="B1499" s="754"/>
      <c r="C1499" s="755"/>
      <c r="D1499" s="756"/>
      <c r="E1499" s="754"/>
      <c r="F1499" s="757"/>
    </row>
    <row r="1500" spans="1:6" x14ac:dyDescent="0.2">
      <c r="A1500" s="754"/>
      <c r="B1500" s="754"/>
      <c r="C1500" s="755"/>
      <c r="D1500" s="756"/>
      <c r="E1500" s="754"/>
      <c r="F1500" s="757"/>
    </row>
    <row r="1501" spans="1:6" x14ac:dyDescent="0.2">
      <c r="A1501" s="754"/>
      <c r="B1501" s="754"/>
      <c r="C1501" s="755"/>
      <c r="D1501" s="756"/>
      <c r="E1501" s="754"/>
      <c r="F1501" s="757"/>
    </row>
    <row r="1502" spans="1:6" x14ac:dyDescent="0.2">
      <c r="A1502" s="754"/>
      <c r="B1502" s="754"/>
      <c r="C1502" s="755"/>
      <c r="D1502" s="756"/>
      <c r="E1502" s="754"/>
      <c r="F1502" s="757"/>
    </row>
    <row r="1503" spans="1:6" x14ac:dyDescent="0.2">
      <c r="A1503" s="754"/>
      <c r="B1503" s="754"/>
      <c r="C1503" s="755"/>
      <c r="D1503" s="756"/>
      <c r="E1503" s="754"/>
      <c r="F1503" s="757"/>
    </row>
    <row r="1504" spans="1:6" x14ac:dyDescent="0.2">
      <c r="A1504" s="754"/>
      <c r="B1504" s="754"/>
      <c r="C1504" s="755"/>
      <c r="D1504" s="756"/>
      <c r="E1504" s="754"/>
      <c r="F1504" s="757"/>
    </row>
    <row r="1505" spans="1:6" x14ac:dyDescent="0.2">
      <c r="A1505" s="754"/>
      <c r="B1505" s="754"/>
      <c r="C1505" s="755"/>
      <c r="D1505" s="756"/>
      <c r="E1505" s="754"/>
      <c r="F1505" s="757"/>
    </row>
    <row r="1506" spans="1:6" x14ac:dyDescent="0.2">
      <c r="A1506" s="754"/>
      <c r="B1506" s="754"/>
      <c r="C1506" s="755"/>
      <c r="D1506" s="756"/>
      <c r="E1506" s="754"/>
      <c r="F1506" s="757"/>
    </row>
    <row r="1507" spans="1:6" x14ac:dyDescent="0.2">
      <c r="A1507" s="754"/>
      <c r="B1507" s="754"/>
      <c r="C1507" s="755"/>
      <c r="D1507" s="756"/>
      <c r="E1507" s="754"/>
      <c r="F1507" s="757"/>
    </row>
    <row r="1508" spans="1:6" x14ac:dyDescent="0.2">
      <c r="A1508" s="754"/>
      <c r="B1508" s="754"/>
      <c r="C1508" s="755"/>
      <c r="D1508" s="756"/>
      <c r="E1508" s="754"/>
      <c r="F1508" s="757"/>
    </row>
    <row r="1509" spans="1:6" x14ac:dyDescent="0.2">
      <c r="A1509" s="754"/>
      <c r="B1509" s="754"/>
      <c r="C1509" s="755"/>
      <c r="D1509" s="756"/>
      <c r="E1509" s="754"/>
      <c r="F1509" s="757"/>
    </row>
    <row r="1510" spans="1:6" x14ac:dyDescent="0.2">
      <c r="A1510" s="754"/>
      <c r="B1510" s="754"/>
      <c r="C1510" s="755"/>
      <c r="D1510" s="756"/>
      <c r="E1510" s="754"/>
      <c r="F1510" s="757"/>
    </row>
    <row r="1511" spans="1:6" x14ac:dyDescent="0.2">
      <c r="A1511" s="754"/>
      <c r="B1511" s="754"/>
      <c r="C1511" s="755"/>
      <c r="D1511" s="756"/>
      <c r="E1511" s="754"/>
      <c r="F1511" s="757"/>
    </row>
    <row r="1512" spans="1:6" x14ac:dyDescent="0.2">
      <c r="A1512" s="754"/>
      <c r="B1512" s="754"/>
      <c r="C1512" s="755"/>
      <c r="D1512" s="756"/>
      <c r="E1512" s="754"/>
      <c r="F1512" s="757"/>
    </row>
    <row r="1513" spans="1:6" x14ac:dyDescent="0.2">
      <c r="A1513" s="754"/>
      <c r="B1513" s="754"/>
      <c r="C1513" s="755"/>
      <c r="D1513" s="756"/>
      <c r="E1513" s="754"/>
      <c r="F1513" s="757"/>
    </row>
    <row r="1514" spans="1:6" x14ac:dyDescent="0.2">
      <c r="A1514" s="754"/>
      <c r="B1514" s="754"/>
      <c r="C1514" s="755"/>
      <c r="D1514" s="756"/>
      <c r="E1514" s="754"/>
      <c r="F1514" s="757"/>
    </row>
    <row r="1515" spans="1:6" x14ac:dyDescent="0.2">
      <c r="A1515" s="754"/>
      <c r="B1515" s="754"/>
      <c r="C1515" s="755"/>
      <c r="D1515" s="756"/>
      <c r="E1515" s="754"/>
      <c r="F1515" s="757"/>
    </row>
    <row r="1516" spans="1:6" x14ac:dyDescent="0.2">
      <c r="A1516" s="754"/>
      <c r="B1516" s="754"/>
      <c r="C1516" s="755"/>
      <c r="D1516" s="756"/>
      <c r="E1516" s="754"/>
      <c r="F1516" s="757"/>
    </row>
    <row r="1517" spans="1:6" x14ac:dyDescent="0.2">
      <c r="A1517" s="754"/>
      <c r="B1517" s="754"/>
      <c r="C1517" s="755"/>
      <c r="D1517" s="756"/>
      <c r="E1517" s="754"/>
      <c r="F1517" s="757"/>
    </row>
    <row r="1518" spans="1:6" x14ac:dyDescent="0.2">
      <c r="A1518" s="754"/>
      <c r="B1518" s="754"/>
      <c r="C1518" s="755"/>
      <c r="D1518" s="756"/>
      <c r="E1518" s="754"/>
      <c r="F1518" s="757"/>
    </row>
    <row r="1519" spans="1:6" x14ac:dyDescent="0.2">
      <c r="A1519" s="754"/>
      <c r="B1519" s="754"/>
      <c r="C1519" s="755"/>
      <c r="D1519" s="756"/>
      <c r="E1519" s="754"/>
      <c r="F1519" s="757"/>
    </row>
    <row r="1520" spans="1:6" x14ac:dyDescent="0.2">
      <c r="A1520" s="754"/>
      <c r="B1520" s="754"/>
      <c r="C1520" s="755"/>
      <c r="D1520" s="756"/>
      <c r="E1520" s="754"/>
      <c r="F1520" s="757"/>
    </row>
    <row r="1521" spans="1:6" x14ac:dyDescent="0.2">
      <c r="A1521" s="754"/>
      <c r="B1521" s="754"/>
      <c r="C1521" s="755"/>
      <c r="D1521" s="756"/>
      <c r="E1521" s="754"/>
      <c r="F1521" s="757"/>
    </row>
    <row r="1522" spans="1:6" x14ac:dyDescent="0.2">
      <c r="A1522" s="754"/>
      <c r="B1522" s="754"/>
      <c r="C1522" s="755"/>
      <c r="D1522" s="756"/>
      <c r="E1522" s="754"/>
      <c r="F1522" s="757"/>
    </row>
    <row r="1523" spans="1:6" x14ac:dyDescent="0.2">
      <c r="A1523" s="754"/>
      <c r="B1523" s="754"/>
      <c r="C1523" s="755"/>
      <c r="D1523" s="756"/>
      <c r="E1523" s="754"/>
      <c r="F1523" s="757"/>
    </row>
    <row r="1524" spans="1:6" x14ac:dyDescent="0.2">
      <c r="A1524" s="754"/>
      <c r="B1524" s="754"/>
      <c r="C1524" s="755"/>
      <c r="D1524" s="756"/>
      <c r="E1524" s="754"/>
      <c r="F1524" s="757"/>
    </row>
    <row r="1525" spans="1:6" x14ac:dyDescent="0.2">
      <c r="A1525" s="754"/>
      <c r="B1525" s="754"/>
      <c r="C1525" s="755"/>
      <c r="D1525" s="756"/>
      <c r="E1525" s="754"/>
      <c r="F1525" s="757"/>
    </row>
    <row r="1526" spans="1:6" x14ac:dyDescent="0.2">
      <c r="A1526" s="754"/>
      <c r="B1526" s="754"/>
      <c r="C1526" s="755"/>
      <c r="D1526" s="756"/>
      <c r="E1526" s="754"/>
      <c r="F1526" s="757"/>
    </row>
    <row r="1527" spans="1:6" x14ac:dyDescent="0.2">
      <c r="A1527" s="754"/>
      <c r="B1527" s="754"/>
      <c r="C1527" s="755"/>
      <c r="D1527" s="756"/>
      <c r="E1527" s="754"/>
      <c r="F1527" s="757"/>
    </row>
    <row r="1528" spans="1:6" x14ac:dyDescent="0.2">
      <c r="A1528" s="754"/>
      <c r="B1528" s="754"/>
      <c r="C1528" s="755"/>
      <c r="D1528" s="756"/>
      <c r="E1528" s="754"/>
      <c r="F1528" s="757"/>
    </row>
    <row r="1529" spans="1:6" x14ac:dyDescent="0.2">
      <c r="A1529" s="754"/>
      <c r="B1529" s="754"/>
      <c r="C1529" s="755"/>
      <c r="D1529" s="756"/>
      <c r="E1529" s="754"/>
      <c r="F1529" s="757"/>
    </row>
    <row r="1530" spans="1:6" x14ac:dyDescent="0.2">
      <c r="A1530" s="754"/>
      <c r="B1530" s="754"/>
      <c r="C1530" s="755"/>
      <c r="D1530" s="756"/>
      <c r="E1530" s="754"/>
      <c r="F1530" s="757"/>
    </row>
    <row r="1531" spans="1:6" x14ac:dyDescent="0.2">
      <c r="A1531" s="754"/>
      <c r="B1531" s="754"/>
      <c r="C1531" s="755"/>
      <c r="D1531" s="756"/>
      <c r="E1531" s="754"/>
      <c r="F1531" s="757"/>
    </row>
    <row r="1532" spans="1:6" x14ac:dyDescent="0.2">
      <c r="A1532" s="754"/>
      <c r="B1532" s="754"/>
      <c r="C1532" s="755"/>
      <c r="D1532" s="756"/>
      <c r="E1532" s="754"/>
      <c r="F1532" s="757"/>
    </row>
    <row r="1533" spans="1:6" x14ac:dyDescent="0.2">
      <c r="A1533" s="754"/>
      <c r="B1533" s="754"/>
      <c r="C1533" s="755"/>
      <c r="D1533" s="756"/>
      <c r="E1533" s="754"/>
      <c r="F1533" s="757"/>
    </row>
    <row r="1534" spans="1:6" x14ac:dyDescent="0.2">
      <c r="A1534" s="754"/>
      <c r="B1534" s="754"/>
      <c r="C1534" s="755"/>
      <c r="D1534" s="756"/>
      <c r="E1534" s="754"/>
      <c r="F1534" s="757"/>
    </row>
    <row r="1535" spans="1:6" x14ac:dyDescent="0.2">
      <c r="A1535" s="754"/>
      <c r="B1535" s="754"/>
      <c r="C1535" s="755"/>
      <c r="D1535" s="756"/>
      <c r="E1535" s="754"/>
      <c r="F1535" s="757"/>
    </row>
    <row r="1536" spans="1:6" x14ac:dyDescent="0.2">
      <c r="A1536" s="754"/>
      <c r="B1536" s="754"/>
      <c r="C1536" s="755"/>
      <c r="D1536" s="756"/>
      <c r="E1536" s="754"/>
      <c r="F1536" s="757"/>
    </row>
    <row r="1537" spans="1:6" x14ac:dyDescent="0.2">
      <c r="A1537" s="754"/>
      <c r="B1537" s="754"/>
      <c r="C1537" s="755"/>
      <c r="D1537" s="756"/>
      <c r="E1537" s="754"/>
      <c r="F1537" s="757"/>
    </row>
    <row r="1538" spans="1:6" x14ac:dyDescent="0.2">
      <c r="A1538" s="754"/>
      <c r="B1538" s="754"/>
      <c r="C1538" s="755"/>
      <c r="D1538" s="756"/>
      <c r="E1538" s="754"/>
      <c r="F1538" s="757"/>
    </row>
    <row r="1539" spans="1:6" x14ac:dyDescent="0.2">
      <c r="A1539" s="754"/>
      <c r="B1539" s="754"/>
      <c r="C1539" s="755"/>
      <c r="D1539" s="756"/>
      <c r="E1539" s="754"/>
      <c r="F1539" s="757"/>
    </row>
    <row r="1540" spans="1:6" x14ac:dyDescent="0.2">
      <c r="A1540" s="754"/>
      <c r="B1540" s="754"/>
      <c r="C1540" s="755"/>
      <c r="D1540" s="756"/>
      <c r="E1540" s="754"/>
      <c r="F1540" s="757"/>
    </row>
    <row r="1541" spans="1:6" x14ac:dyDescent="0.2">
      <c r="A1541" s="754"/>
      <c r="B1541" s="754"/>
      <c r="C1541" s="755"/>
      <c r="D1541" s="756"/>
      <c r="E1541" s="754"/>
      <c r="F1541" s="757"/>
    </row>
    <row r="1542" spans="1:6" x14ac:dyDescent="0.2">
      <c r="A1542" s="754"/>
      <c r="B1542" s="754"/>
      <c r="C1542" s="755"/>
      <c r="D1542" s="756"/>
      <c r="E1542" s="754"/>
      <c r="F1542" s="757"/>
    </row>
    <row r="1543" spans="1:6" x14ac:dyDescent="0.2">
      <c r="A1543" s="754"/>
      <c r="B1543" s="754"/>
      <c r="C1543" s="755"/>
      <c r="D1543" s="756"/>
      <c r="E1543" s="754"/>
      <c r="F1543" s="757"/>
    </row>
    <row r="1544" spans="1:6" x14ac:dyDescent="0.2">
      <c r="A1544" s="754"/>
      <c r="B1544" s="754"/>
      <c r="C1544" s="755"/>
      <c r="D1544" s="756"/>
      <c r="E1544" s="754"/>
      <c r="F1544" s="757"/>
    </row>
    <row r="1545" spans="1:6" x14ac:dyDescent="0.2">
      <c r="A1545" s="754"/>
      <c r="B1545" s="754"/>
      <c r="C1545" s="755"/>
      <c r="D1545" s="756"/>
      <c r="E1545" s="754"/>
      <c r="F1545" s="757"/>
    </row>
    <row r="1546" spans="1:6" x14ac:dyDescent="0.2">
      <c r="A1546" s="754"/>
      <c r="B1546" s="754"/>
      <c r="C1546" s="755"/>
      <c r="D1546" s="756"/>
      <c r="E1546" s="754"/>
      <c r="F1546" s="757"/>
    </row>
    <row r="1547" spans="1:6" x14ac:dyDescent="0.2">
      <c r="A1547" s="754"/>
      <c r="B1547" s="754"/>
      <c r="C1547" s="755"/>
      <c r="D1547" s="756"/>
      <c r="E1547" s="754"/>
      <c r="F1547" s="757"/>
    </row>
    <row r="1548" spans="1:6" x14ac:dyDescent="0.2">
      <c r="A1548" s="754"/>
      <c r="B1548" s="754"/>
      <c r="C1548" s="755"/>
      <c r="D1548" s="756"/>
      <c r="E1548" s="754"/>
      <c r="F1548" s="757"/>
    </row>
    <row r="1549" spans="1:6" x14ac:dyDescent="0.2">
      <c r="A1549" s="754"/>
      <c r="B1549" s="754"/>
      <c r="C1549" s="755"/>
      <c r="D1549" s="756"/>
      <c r="E1549" s="754"/>
      <c r="F1549" s="757"/>
    </row>
    <row r="1550" spans="1:6" x14ac:dyDescent="0.2">
      <c r="A1550" s="754"/>
      <c r="B1550" s="754"/>
      <c r="C1550" s="755"/>
      <c r="D1550" s="756"/>
      <c r="E1550" s="754"/>
      <c r="F1550" s="757"/>
    </row>
    <row r="1551" spans="1:6" x14ac:dyDescent="0.2">
      <c r="A1551" s="754"/>
      <c r="B1551" s="754"/>
      <c r="C1551" s="755"/>
      <c r="D1551" s="756"/>
      <c r="E1551" s="754"/>
      <c r="F1551" s="757"/>
    </row>
    <row r="1552" spans="1:6" x14ac:dyDescent="0.2">
      <c r="A1552" s="754"/>
      <c r="B1552" s="754"/>
      <c r="C1552" s="755"/>
      <c r="D1552" s="756"/>
      <c r="E1552" s="754"/>
      <c r="F1552" s="757"/>
    </row>
    <row r="1553" spans="1:6" x14ac:dyDescent="0.2">
      <c r="A1553" s="754"/>
      <c r="B1553" s="754"/>
      <c r="C1553" s="755"/>
      <c r="D1553" s="756"/>
      <c r="E1553" s="754"/>
      <c r="F1553" s="757"/>
    </row>
    <row r="1554" spans="1:6" x14ac:dyDescent="0.2">
      <c r="A1554" s="754"/>
      <c r="B1554" s="754"/>
      <c r="C1554" s="755"/>
      <c r="D1554" s="756"/>
      <c r="E1554" s="754"/>
      <c r="F1554" s="757"/>
    </row>
    <row r="1555" spans="1:6" x14ac:dyDescent="0.2">
      <c r="A1555" s="754"/>
      <c r="B1555" s="754"/>
      <c r="C1555" s="755"/>
      <c r="D1555" s="756"/>
      <c r="E1555" s="754"/>
      <c r="F1555" s="757"/>
    </row>
    <row r="1556" spans="1:6" x14ac:dyDescent="0.2">
      <c r="A1556" s="754"/>
      <c r="B1556" s="754"/>
      <c r="C1556" s="755"/>
      <c r="D1556" s="756"/>
      <c r="E1556" s="754"/>
      <c r="F1556" s="757"/>
    </row>
    <row r="1557" spans="1:6" x14ac:dyDescent="0.2">
      <c r="A1557" s="754"/>
      <c r="B1557" s="754"/>
      <c r="C1557" s="755"/>
      <c r="D1557" s="756"/>
      <c r="E1557" s="754"/>
      <c r="F1557" s="757"/>
    </row>
    <row r="1558" spans="1:6" x14ac:dyDescent="0.2">
      <c r="A1558" s="754"/>
      <c r="B1558" s="754"/>
      <c r="C1558" s="755"/>
      <c r="D1558" s="756"/>
      <c r="E1558" s="754"/>
      <c r="F1558" s="757"/>
    </row>
    <row r="1559" spans="1:6" x14ac:dyDescent="0.2">
      <c r="A1559" s="754"/>
      <c r="B1559" s="754"/>
      <c r="C1559" s="755"/>
      <c r="D1559" s="756"/>
      <c r="E1559" s="754"/>
      <c r="F1559" s="757"/>
    </row>
    <row r="1560" spans="1:6" x14ac:dyDescent="0.2">
      <c r="A1560" s="754"/>
      <c r="B1560" s="754"/>
      <c r="C1560" s="755"/>
      <c r="D1560" s="756"/>
      <c r="E1560" s="754"/>
      <c r="F1560" s="757"/>
    </row>
    <row r="1561" spans="1:6" x14ac:dyDescent="0.2">
      <c r="A1561" s="754"/>
      <c r="B1561" s="754"/>
      <c r="C1561" s="755"/>
      <c r="D1561" s="756"/>
      <c r="E1561" s="754"/>
      <c r="F1561" s="757"/>
    </row>
    <row r="1562" spans="1:6" x14ac:dyDescent="0.2">
      <c r="A1562" s="754"/>
      <c r="B1562" s="754"/>
      <c r="C1562" s="755"/>
      <c r="D1562" s="756"/>
      <c r="E1562" s="754"/>
      <c r="F1562" s="757"/>
    </row>
    <row r="1563" spans="1:6" x14ac:dyDescent="0.2">
      <c r="A1563" s="754"/>
      <c r="B1563" s="754"/>
      <c r="C1563" s="755"/>
      <c r="D1563" s="756"/>
      <c r="E1563" s="754"/>
      <c r="F1563" s="757"/>
    </row>
    <row r="1564" spans="1:6" x14ac:dyDescent="0.2">
      <c r="A1564" s="754"/>
      <c r="B1564" s="754"/>
      <c r="C1564" s="755"/>
      <c r="D1564" s="756"/>
      <c r="E1564" s="754"/>
      <c r="F1564" s="757"/>
    </row>
    <row r="1565" spans="1:6" x14ac:dyDescent="0.2">
      <c r="A1565" s="754"/>
      <c r="B1565" s="754"/>
      <c r="C1565" s="755"/>
      <c r="D1565" s="756"/>
      <c r="E1565" s="754"/>
      <c r="F1565" s="757"/>
    </row>
    <row r="1566" spans="1:6" x14ac:dyDescent="0.2">
      <c r="A1566" s="754"/>
      <c r="B1566" s="754"/>
      <c r="C1566" s="755"/>
      <c r="D1566" s="756"/>
      <c r="E1566" s="754"/>
      <c r="F1566" s="757"/>
    </row>
    <row r="1567" spans="1:6" x14ac:dyDescent="0.2">
      <c r="A1567" s="754"/>
      <c r="B1567" s="754"/>
      <c r="C1567" s="755"/>
      <c r="D1567" s="756"/>
      <c r="E1567" s="754"/>
      <c r="F1567" s="757"/>
    </row>
    <row r="1568" spans="1:6" x14ac:dyDescent="0.2">
      <c r="A1568" s="754"/>
      <c r="B1568" s="754"/>
      <c r="C1568" s="755"/>
      <c r="D1568" s="756"/>
      <c r="E1568" s="754"/>
      <c r="F1568" s="757"/>
    </row>
    <row r="1569" spans="1:6" x14ac:dyDescent="0.2">
      <c r="A1569" s="754"/>
      <c r="B1569" s="754"/>
      <c r="C1569" s="755"/>
      <c r="D1569" s="756"/>
      <c r="E1569" s="754"/>
      <c r="F1569" s="757"/>
    </row>
    <row r="1570" spans="1:6" x14ac:dyDescent="0.2">
      <c r="A1570" s="754"/>
      <c r="B1570" s="754"/>
      <c r="C1570" s="755"/>
      <c r="D1570" s="756"/>
      <c r="E1570" s="754"/>
      <c r="F1570" s="757"/>
    </row>
    <row r="1571" spans="1:6" x14ac:dyDescent="0.2">
      <c r="A1571" s="754"/>
      <c r="B1571" s="754"/>
      <c r="C1571" s="755"/>
      <c r="D1571" s="756"/>
      <c r="E1571" s="754"/>
      <c r="F1571" s="757"/>
    </row>
    <row r="1572" spans="1:6" x14ac:dyDescent="0.2">
      <c r="A1572" s="754"/>
      <c r="B1572" s="754"/>
      <c r="C1572" s="755"/>
      <c r="D1572" s="756"/>
      <c r="E1572" s="754"/>
      <c r="F1572" s="757"/>
    </row>
    <row r="1573" spans="1:6" x14ac:dyDescent="0.2">
      <c r="A1573" s="754"/>
      <c r="B1573" s="754"/>
      <c r="C1573" s="755"/>
      <c r="D1573" s="756"/>
      <c r="E1573" s="754"/>
      <c r="F1573" s="757"/>
    </row>
    <row r="1574" spans="1:6" x14ac:dyDescent="0.2">
      <c r="A1574" s="754"/>
      <c r="B1574" s="754"/>
      <c r="C1574" s="755"/>
      <c r="D1574" s="756"/>
      <c r="E1574" s="754"/>
      <c r="F1574" s="757"/>
    </row>
    <row r="1575" spans="1:6" x14ac:dyDescent="0.2">
      <c r="A1575" s="754"/>
      <c r="B1575" s="754"/>
      <c r="C1575" s="755"/>
      <c r="D1575" s="756"/>
      <c r="E1575" s="754"/>
      <c r="F1575" s="757"/>
    </row>
    <row r="1576" spans="1:6" x14ac:dyDescent="0.2">
      <c r="A1576" s="754"/>
      <c r="B1576" s="754"/>
      <c r="C1576" s="755"/>
      <c r="D1576" s="756"/>
      <c r="E1576" s="754"/>
      <c r="F1576" s="757"/>
    </row>
    <row r="1577" spans="1:6" x14ac:dyDescent="0.2">
      <c r="A1577" s="754"/>
      <c r="B1577" s="754"/>
      <c r="C1577" s="755"/>
      <c r="D1577" s="756"/>
      <c r="E1577" s="754"/>
      <c r="F1577" s="757"/>
    </row>
    <row r="1578" spans="1:6" x14ac:dyDescent="0.2">
      <c r="A1578" s="754"/>
      <c r="B1578" s="754"/>
      <c r="C1578" s="755"/>
      <c r="D1578" s="756"/>
      <c r="E1578" s="754"/>
      <c r="F1578" s="757"/>
    </row>
    <row r="1579" spans="1:6" x14ac:dyDescent="0.2">
      <c r="A1579" s="754"/>
      <c r="B1579" s="754"/>
      <c r="C1579" s="755"/>
      <c r="D1579" s="756"/>
      <c r="E1579" s="754"/>
      <c r="F1579" s="757"/>
    </row>
    <row r="1580" spans="1:6" x14ac:dyDescent="0.2">
      <c r="A1580" s="754"/>
      <c r="B1580" s="754"/>
      <c r="C1580" s="755"/>
      <c r="D1580" s="756"/>
      <c r="E1580" s="754"/>
      <c r="F1580" s="757"/>
    </row>
    <row r="1581" spans="1:6" x14ac:dyDescent="0.2">
      <c r="A1581" s="754"/>
      <c r="B1581" s="754"/>
      <c r="C1581" s="755"/>
      <c r="D1581" s="756"/>
      <c r="E1581" s="754"/>
      <c r="F1581" s="757"/>
    </row>
    <row r="1582" spans="1:6" x14ac:dyDescent="0.2">
      <c r="A1582" s="754"/>
      <c r="B1582" s="754"/>
      <c r="C1582" s="755"/>
      <c r="D1582" s="756"/>
      <c r="E1582" s="754"/>
      <c r="F1582" s="757"/>
    </row>
    <row r="1583" spans="1:6" x14ac:dyDescent="0.2">
      <c r="A1583" s="754"/>
      <c r="B1583" s="754"/>
      <c r="C1583" s="755"/>
      <c r="D1583" s="756"/>
      <c r="E1583" s="754"/>
      <c r="F1583" s="757"/>
    </row>
    <row r="1584" spans="1:6" x14ac:dyDescent="0.2">
      <c r="A1584" s="754"/>
      <c r="B1584" s="754"/>
      <c r="C1584" s="755"/>
      <c r="D1584" s="756"/>
      <c r="E1584" s="754"/>
      <c r="F1584" s="757"/>
    </row>
    <row r="1585" spans="1:6" x14ac:dyDescent="0.2">
      <c r="A1585" s="754"/>
      <c r="B1585" s="754"/>
      <c r="C1585" s="755"/>
      <c r="D1585" s="756"/>
      <c r="E1585" s="754"/>
      <c r="F1585" s="757"/>
    </row>
    <row r="1586" spans="1:6" x14ac:dyDescent="0.2">
      <c r="A1586" s="754"/>
      <c r="B1586" s="754"/>
      <c r="C1586" s="755"/>
      <c r="D1586" s="756"/>
      <c r="E1586" s="754"/>
      <c r="F1586" s="757"/>
    </row>
    <row r="1587" spans="1:6" x14ac:dyDescent="0.2">
      <c r="A1587" s="754"/>
      <c r="B1587" s="754"/>
      <c r="C1587" s="755"/>
      <c r="D1587" s="756"/>
      <c r="E1587" s="754"/>
      <c r="F1587" s="757"/>
    </row>
    <row r="1588" spans="1:6" x14ac:dyDescent="0.2">
      <c r="A1588" s="754"/>
      <c r="B1588" s="754"/>
      <c r="C1588" s="755"/>
      <c r="D1588" s="756"/>
      <c r="E1588" s="754"/>
      <c r="F1588" s="757"/>
    </row>
    <row r="1589" spans="1:6" x14ac:dyDescent="0.2">
      <c r="A1589" s="754"/>
      <c r="B1589" s="754"/>
      <c r="C1589" s="755"/>
      <c r="D1589" s="756"/>
      <c r="E1589" s="754"/>
      <c r="F1589" s="757"/>
    </row>
    <row r="1590" spans="1:6" x14ac:dyDescent="0.2">
      <c r="A1590" s="754"/>
      <c r="B1590" s="754"/>
      <c r="C1590" s="755"/>
      <c r="D1590" s="756"/>
      <c r="E1590" s="754"/>
      <c r="F1590" s="757"/>
    </row>
    <row r="1591" spans="1:6" x14ac:dyDescent="0.2">
      <c r="A1591" s="754"/>
      <c r="B1591" s="754"/>
      <c r="C1591" s="755"/>
      <c r="D1591" s="756"/>
      <c r="E1591" s="754"/>
      <c r="F1591" s="757"/>
    </row>
    <row r="1592" spans="1:6" x14ac:dyDescent="0.2">
      <c r="A1592" s="754"/>
      <c r="B1592" s="754"/>
      <c r="C1592" s="755"/>
      <c r="D1592" s="756"/>
      <c r="E1592" s="754"/>
      <c r="F1592" s="757"/>
    </row>
    <row r="1593" spans="1:6" x14ac:dyDescent="0.2">
      <c r="A1593" s="754"/>
      <c r="B1593" s="754"/>
      <c r="C1593" s="755"/>
      <c r="D1593" s="756"/>
      <c r="E1593" s="754"/>
      <c r="F1593" s="757"/>
    </row>
    <row r="1594" spans="1:6" x14ac:dyDescent="0.2">
      <c r="A1594" s="754"/>
      <c r="B1594" s="754"/>
      <c r="C1594" s="755"/>
      <c r="D1594" s="756"/>
      <c r="E1594" s="754"/>
      <c r="F1594" s="757"/>
    </row>
    <row r="1595" spans="1:6" x14ac:dyDescent="0.2">
      <c r="A1595" s="754"/>
      <c r="B1595" s="754"/>
      <c r="C1595" s="755"/>
      <c r="D1595" s="756"/>
      <c r="E1595" s="754"/>
      <c r="F1595" s="757"/>
    </row>
    <row r="1596" spans="1:6" x14ac:dyDescent="0.2">
      <c r="A1596" s="754"/>
      <c r="B1596" s="754"/>
      <c r="C1596" s="755"/>
      <c r="D1596" s="756"/>
      <c r="E1596" s="754"/>
      <c r="F1596" s="757"/>
    </row>
    <row r="1597" spans="1:6" x14ac:dyDescent="0.2">
      <c r="A1597" s="754"/>
      <c r="B1597" s="754"/>
      <c r="C1597" s="755"/>
      <c r="D1597" s="756"/>
      <c r="E1597" s="754"/>
      <c r="F1597" s="757"/>
    </row>
    <row r="1598" spans="1:6" x14ac:dyDescent="0.2">
      <c r="A1598" s="754"/>
      <c r="B1598" s="754"/>
      <c r="C1598" s="755"/>
      <c r="D1598" s="756"/>
      <c r="E1598" s="754"/>
      <c r="F1598" s="757"/>
    </row>
    <row r="1599" spans="1:6" x14ac:dyDescent="0.2">
      <c r="A1599" s="754"/>
      <c r="B1599" s="754"/>
      <c r="C1599" s="755"/>
      <c r="D1599" s="756"/>
      <c r="E1599" s="754"/>
      <c r="F1599" s="757"/>
    </row>
    <row r="1600" spans="1:6" x14ac:dyDescent="0.2">
      <c r="A1600" s="754"/>
      <c r="B1600" s="754"/>
      <c r="C1600" s="755"/>
      <c r="D1600" s="756"/>
      <c r="E1600" s="754"/>
      <c r="F1600" s="757"/>
    </row>
    <row r="1601" spans="1:6" x14ac:dyDescent="0.2">
      <c r="A1601" s="754"/>
      <c r="B1601" s="754"/>
      <c r="C1601" s="755"/>
      <c r="D1601" s="756"/>
      <c r="E1601" s="754"/>
      <c r="F1601" s="757"/>
    </row>
    <row r="1602" spans="1:6" x14ac:dyDescent="0.2">
      <c r="A1602" s="754"/>
      <c r="B1602" s="754"/>
      <c r="C1602" s="755"/>
      <c r="D1602" s="756"/>
      <c r="E1602" s="754"/>
      <c r="F1602" s="757"/>
    </row>
    <row r="1603" spans="1:6" x14ac:dyDescent="0.2">
      <c r="A1603" s="754"/>
      <c r="B1603" s="754"/>
      <c r="C1603" s="755"/>
      <c r="D1603" s="756"/>
      <c r="E1603" s="754"/>
      <c r="F1603" s="757"/>
    </row>
    <row r="1604" spans="1:6" x14ac:dyDescent="0.2">
      <c r="A1604" s="754"/>
      <c r="B1604" s="754"/>
      <c r="C1604" s="755"/>
      <c r="D1604" s="756"/>
      <c r="E1604" s="754"/>
      <c r="F1604" s="757"/>
    </row>
    <row r="1605" spans="1:6" x14ac:dyDescent="0.2">
      <c r="A1605" s="754"/>
      <c r="B1605" s="754"/>
      <c r="C1605" s="755"/>
      <c r="D1605" s="756"/>
      <c r="E1605" s="754"/>
      <c r="F1605" s="757"/>
    </row>
    <row r="1606" spans="1:6" x14ac:dyDescent="0.2">
      <c r="A1606" s="754"/>
      <c r="B1606" s="754"/>
      <c r="C1606" s="755"/>
      <c r="D1606" s="756"/>
      <c r="E1606" s="754"/>
      <c r="F1606" s="757"/>
    </row>
    <row r="1607" spans="1:6" x14ac:dyDescent="0.2">
      <c r="A1607" s="754"/>
      <c r="B1607" s="754"/>
      <c r="C1607" s="755"/>
      <c r="D1607" s="756"/>
      <c r="E1607" s="754"/>
      <c r="F1607" s="757"/>
    </row>
    <row r="1608" spans="1:6" x14ac:dyDescent="0.2">
      <c r="A1608" s="754"/>
      <c r="B1608" s="754"/>
      <c r="C1608" s="755"/>
      <c r="D1608" s="756"/>
      <c r="E1608" s="754"/>
      <c r="F1608" s="757"/>
    </row>
    <row r="1609" spans="1:6" x14ac:dyDescent="0.2">
      <c r="A1609" s="754"/>
      <c r="B1609" s="754"/>
      <c r="C1609" s="755"/>
      <c r="D1609" s="756"/>
      <c r="E1609" s="754"/>
      <c r="F1609" s="757"/>
    </row>
    <row r="1610" spans="1:6" x14ac:dyDescent="0.2">
      <c r="A1610" s="754"/>
      <c r="B1610" s="754"/>
      <c r="C1610" s="755"/>
      <c r="D1610" s="756"/>
      <c r="E1610" s="754"/>
      <c r="F1610" s="757"/>
    </row>
    <row r="1611" spans="1:6" x14ac:dyDescent="0.2">
      <c r="A1611" s="754"/>
      <c r="B1611" s="754"/>
      <c r="C1611" s="755"/>
      <c r="D1611" s="756"/>
      <c r="E1611" s="754"/>
      <c r="F1611" s="757"/>
    </row>
    <row r="1612" spans="1:6" x14ac:dyDescent="0.2">
      <c r="A1612" s="754"/>
      <c r="B1612" s="754"/>
      <c r="C1612" s="755"/>
      <c r="D1612" s="756"/>
      <c r="E1612" s="754"/>
      <c r="F1612" s="757"/>
    </row>
    <row r="1613" spans="1:6" x14ac:dyDescent="0.2">
      <c r="A1613" s="754"/>
      <c r="B1613" s="754"/>
      <c r="C1613" s="755"/>
      <c r="D1613" s="756"/>
      <c r="E1613" s="754"/>
      <c r="F1613" s="757"/>
    </row>
    <row r="1614" spans="1:6" x14ac:dyDescent="0.2">
      <c r="A1614" s="754"/>
      <c r="B1614" s="754"/>
      <c r="C1614" s="755"/>
      <c r="D1614" s="756"/>
      <c r="E1614" s="754"/>
      <c r="F1614" s="757"/>
    </row>
    <row r="1615" spans="1:6" x14ac:dyDescent="0.2">
      <c r="A1615" s="754"/>
      <c r="B1615" s="754"/>
      <c r="C1615" s="755"/>
      <c r="D1615" s="756"/>
      <c r="E1615" s="754"/>
      <c r="F1615" s="757"/>
    </row>
    <row r="1616" spans="1:6" x14ac:dyDescent="0.2">
      <c r="A1616" s="754"/>
      <c r="B1616" s="754"/>
      <c r="C1616" s="755"/>
      <c r="D1616" s="756"/>
      <c r="E1616" s="754"/>
      <c r="F1616" s="757"/>
    </row>
    <row r="1617" spans="1:6" x14ac:dyDescent="0.2">
      <c r="A1617" s="754"/>
      <c r="B1617" s="754"/>
      <c r="C1617" s="755"/>
      <c r="D1617" s="756"/>
      <c r="E1617" s="754"/>
      <c r="F1617" s="757"/>
    </row>
    <row r="1618" spans="1:6" x14ac:dyDescent="0.2">
      <c r="A1618" s="754"/>
      <c r="B1618" s="754"/>
      <c r="C1618" s="755"/>
      <c r="D1618" s="756"/>
      <c r="E1618" s="754"/>
      <c r="F1618" s="757"/>
    </row>
    <row r="1619" spans="1:6" x14ac:dyDescent="0.2">
      <c r="A1619" s="754"/>
      <c r="B1619" s="754"/>
      <c r="C1619" s="755"/>
      <c r="D1619" s="756"/>
      <c r="E1619" s="754"/>
      <c r="F1619" s="757"/>
    </row>
    <row r="1620" spans="1:6" x14ac:dyDescent="0.2">
      <c r="A1620" s="754"/>
      <c r="B1620" s="754"/>
      <c r="C1620" s="755"/>
      <c r="D1620" s="756"/>
      <c r="E1620" s="754"/>
      <c r="F1620" s="757"/>
    </row>
    <row r="1621" spans="1:6" x14ac:dyDescent="0.2">
      <c r="A1621" s="754"/>
      <c r="B1621" s="754"/>
      <c r="C1621" s="755"/>
      <c r="D1621" s="756"/>
      <c r="E1621" s="754"/>
      <c r="F1621" s="757"/>
    </row>
    <row r="1622" spans="1:6" x14ac:dyDescent="0.2">
      <c r="A1622" s="754"/>
      <c r="B1622" s="754"/>
      <c r="C1622" s="755"/>
      <c r="D1622" s="756"/>
      <c r="E1622" s="754"/>
      <c r="F1622" s="757"/>
    </row>
    <row r="1623" spans="1:6" x14ac:dyDescent="0.2">
      <c r="A1623" s="754"/>
      <c r="B1623" s="754"/>
      <c r="C1623" s="755"/>
      <c r="D1623" s="756"/>
      <c r="E1623" s="754"/>
      <c r="F1623" s="757"/>
    </row>
    <row r="1624" spans="1:6" x14ac:dyDescent="0.2">
      <c r="A1624" s="754"/>
      <c r="B1624" s="754"/>
      <c r="C1624" s="755"/>
      <c r="D1624" s="756"/>
      <c r="E1624" s="754"/>
      <c r="F1624" s="757"/>
    </row>
    <row r="1625" spans="1:6" x14ac:dyDescent="0.2">
      <c r="A1625" s="754"/>
      <c r="B1625" s="754"/>
      <c r="C1625" s="755"/>
      <c r="D1625" s="756"/>
      <c r="E1625" s="754"/>
      <c r="F1625" s="757"/>
    </row>
    <row r="1626" spans="1:6" x14ac:dyDescent="0.2">
      <c r="A1626" s="754"/>
      <c r="B1626" s="754"/>
      <c r="C1626" s="755"/>
      <c r="D1626" s="756"/>
      <c r="E1626" s="754"/>
      <c r="F1626" s="757"/>
    </row>
    <row r="1627" spans="1:6" x14ac:dyDescent="0.2">
      <c r="A1627" s="754"/>
      <c r="B1627" s="754"/>
      <c r="C1627" s="755"/>
      <c r="D1627" s="756"/>
      <c r="E1627" s="754"/>
      <c r="F1627" s="757"/>
    </row>
    <row r="1628" spans="1:6" x14ac:dyDescent="0.2">
      <c r="A1628" s="754"/>
      <c r="B1628" s="754"/>
      <c r="C1628" s="755"/>
      <c r="D1628" s="756"/>
      <c r="E1628" s="754"/>
      <c r="F1628" s="757"/>
    </row>
    <row r="1629" spans="1:6" x14ac:dyDescent="0.2">
      <c r="A1629" s="754"/>
      <c r="B1629" s="754"/>
      <c r="C1629" s="755"/>
      <c r="D1629" s="756"/>
      <c r="E1629" s="754"/>
      <c r="F1629" s="757"/>
    </row>
    <row r="1630" spans="1:6" x14ac:dyDescent="0.2">
      <c r="A1630" s="754"/>
      <c r="B1630" s="754"/>
      <c r="C1630" s="755"/>
      <c r="D1630" s="756"/>
      <c r="E1630" s="754"/>
      <c r="F1630" s="757"/>
    </row>
    <row r="1631" spans="1:6" x14ac:dyDescent="0.2">
      <c r="A1631" s="754"/>
      <c r="B1631" s="754"/>
      <c r="C1631" s="755"/>
      <c r="D1631" s="756"/>
      <c r="E1631" s="754"/>
      <c r="F1631" s="757"/>
    </row>
    <row r="1632" spans="1:6" x14ac:dyDescent="0.2">
      <c r="A1632" s="754"/>
      <c r="B1632" s="754"/>
      <c r="C1632" s="755"/>
      <c r="D1632" s="756"/>
      <c r="E1632" s="754"/>
      <c r="F1632" s="757"/>
    </row>
    <row r="1633" spans="1:6" x14ac:dyDescent="0.2">
      <c r="A1633" s="754"/>
      <c r="B1633" s="754"/>
      <c r="C1633" s="755"/>
      <c r="D1633" s="756"/>
      <c r="E1633" s="754"/>
      <c r="F1633" s="757"/>
    </row>
    <row r="1634" spans="1:6" x14ac:dyDescent="0.2">
      <c r="A1634" s="754"/>
      <c r="B1634" s="754"/>
      <c r="C1634" s="755"/>
      <c r="D1634" s="756"/>
      <c r="E1634" s="754"/>
      <c r="F1634" s="757"/>
    </row>
    <row r="1635" spans="1:6" x14ac:dyDescent="0.2">
      <c r="A1635" s="754"/>
      <c r="B1635" s="754"/>
      <c r="C1635" s="755"/>
      <c r="D1635" s="756"/>
      <c r="E1635" s="754"/>
      <c r="F1635" s="757"/>
    </row>
    <row r="1636" spans="1:6" x14ac:dyDescent="0.2">
      <c r="A1636" s="754"/>
      <c r="B1636" s="754"/>
      <c r="C1636" s="755"/>
      <c r="D1636" s="756"/>
      <c r="E1636" s="754"/>
      <c r="F1636" s="757"/>
    </row>
    <row r="1637" spans="1:6" x14ac:dyDescent="0.2">
      <c r="A1637" s="754"/>
      <c r="B1637" s="754"/>
      <c r="C1637" s="755"/>
      <c r="D1637" s="756"/>
      <c r="E1637" s="754"/>
      <c r="F1637" s="757"/>
    </row>
    <row r="1638" spans="1:6" x14ac:dyDescent="0.2">
      <c r="A1638" s="754"/>
      <c r="B1638" s="754"/>
      <c r="C1638" s="755"/>
      <c r="D1638" s="756"/>
      <c r="E1638" s="754"/>
      <c r="F1638" s="757"/>
    </row>
    <row r="1639" spans="1:6" x14ac:dyDescent="0.2">
      <c r="A1639" s="754"/>
      <c r="B1639" s="754"/>
      <c r="C1639" s="755"/>
      <c r="D1639" s="756"/>
      <c r="E1639" s="754"/>
      <c r="F1639" s="757"/>
    </row>
    <row r="1640" spans="1:6" x14ac:dyDescent="0.2">
      <c r="A1640" s="754"/>
      <c r="B1640" s="754"/>
      <c r="C1640" s="755"/>
      <c r="D1640" s="756"/>
      <c r="E1640" s="754"/>
      <c r="F1640" s="757"/>
    </row>
    <row r="1641" spans="1:6" x14ac:dyDescent="0.2">
      <c r="A1641" s="754"/>
      <c r="B1641" s="754"/>
      <c r="C1641" s="755"/>
      <c r="D1641" s="756"/>
      <c r="E1641" s="754"/>
      <c r="F1641" s="757"/>
    </row>
    <row r="1642" spans="1:6" x14ac:dyDescent="0.2">
      <c r="A1642" s="754"/>
      <c r="B1642" s="754"/>
      <c r="C1642" s="755"/>
      <c r="D1642" s="756"/>
      <c r="E1642" s="754"/>
      <c r="F1642" s="757"/>
    </row>
    <row r="1643" spans="1:6" x14ac:dyDescent="0.2">
      <c r="A1643" s="754"/>
      <c r="B1643" s="754"/>
      <c r="C1643" s="755"/>
      <c r="D1643" s="756"/>
      <c r="E1643" s="754"/>
      <c r="F1643" s="757"/>
    </row>
    <row r="1644" spans="1:6" x14ac:dyDescent="0.2">
      <c r="A1644" s="754"/>
      <c r="B1644" s="754"/>
      <c r="C1644" s="755"/>
      <c r="D1644" s="756"/>
      <c r="E1644" s="754"/>
      <c r="F1644" s="757"/>
    </row>
    <row r="1645" spans="1:6" x14ac:dyDescent="0.2">
      <c r="A1645" s="754"/>
      <c r="B1645" s="754"/>
      <c r="C1645" s="755"/>
      <c r="D1645" s="756"/>
      <c r="E1645" s="754"/>
      <c r="F1645" s="757"/>
    </row>
    <row r="1646" spans="1:6" x14ac:dyDescent="0.2">
      <c r="A1646" s="754"/>
      <c r="B1646" s="754"/>
      <c r="C1646" s="755"/>
      <c r="D1646" s="756"/>
      <c r="E1646" s="754"/>
      <c r="F1646" s="757"/>
    </row>
    <row r="1647" spans="1:6" x14ac:dyDescent="0.2">
      <c r="A1647" s="754"/>
      <c r="B1647" s="754"/>
      <c r="C1647" s="755"/>
      <c r="D1647" s="756"/>
      <c r="E1647" s="754"/>
      <c r="F1647" s="757"/>
    </row>
    <row r="1648" spans="1:6" x14ac:dyDescent="0.2">
      <c r="A1648" s="754"/>
      <c r="B1648" s="754"/>
      <c r="C1648" s="755"/>
      <c r="D1648" s="756"/>
      <c r="E1648" s="754"/>
      <c r="F1648" s="757"/>
    </row>
    <row r="1649" spans="1:6" x14ac:dyDescent="0.2">
      <c r="A1649" s="754"/>
      <c r="B1649" s="754"/>
      <c r="C1649" s="755"/>
      <c r="D1649" s="756"/>
      <c r="E1649" s="754"/>
      <c r="F1649" s="757"/>
    </row>
    <row r="1650" spans="1:6" x14ac:dyDescent="0.2">
      <c r="A1650" s="754"/>
      <c r="B1650" s="754"/>
      <c r="C1650" s="755"/>
      <c r="D1650" s="756"/>
      <c r="E1650" s="754"/>
      <c r="F1650" s="757"/>
    </row>
    <row r="1651" spans="1:6" x14ac:dyDescent="0.2">
      <c r="A1651" s="754"/>
      <c r="B1651" s="754"/>
      <c r="C1651" s="755"/>
      <c r="D1651" s="756"/>
      <c r="E1651" s="754"/>
      <c r="F1651" s="757"/>
    </row>
    <row r="1652" spans="1:6" x14ac:dyDescent="0.2">
      <c r="A1652" s="754"/>
      <c r="B1652" s="754"/>
      <c r="C1652" s="755"/>
      <c r="D1652" s="756"/>
      <c r="E1652" s="754"/>
      <c r="F1652" s="757"/>
    </row>
    <row r="1653" spans="1:6" x14ac:dyDescent="0.2">
      <c r="A1653" s="754"/>
      <c r="B1653" s="754"/>
      <c r="C1653" s="755"/>
      <c r="D1653" s="756"/>
      <c r="E1653" s="754"/>
      <c r="F1653" s="757"/>
    </row>
    <row r="1654" spans="1:6" x14ac:dyDescent="0.2">
      <c r="A1654" s="754"/>
      <c r="B1654" s="754"/>
      <c r="C1654" s="755"/>
      <c r="D1654" s="756"/>
      <c r="E1654" s="754"/>
      <c r="F1654" s="757"/>
    </row>
    <row r="1655" spans="1:6" x14ac:dyDescent="0.2">
      <c r="A1655" s="754"/>
      <c r="B1655" s="754"/>
      <c r="C1655" s="755"/>
      <c r="D1655" s="756"/>
      <c r="E1655" s="754"/>
      <c r="F1655" s="757"/>
    </row>
    <row r="1656" spans="1:6" x14ac:dyDescent="0.2">
      <c r="A1656" s="754"/>
      <c r="B1656" s="754"/>
      <c r="C1656" s="755"/>
      <c r="D1656" s="756"/>
      <c r="E1656" s="754"/>
      <c r="F1656" s="757"/>
    </row>
    <row r="1657" spans="1:6" x14ac:dyDescent="0.2">
      <c r="A1657" s="754"/>
      <c r="B1657" s="754"/>
      <c r="C1657" s="755"/>
      <c r="D1657" s="756"/>
      <c r="E1657" s="754"/>
      <c r="F1657" s="757"/>
    </row>
    <row r="1658" spans="1:6" x14ac:dyDescent="0.2">
      <c r="A1658" s="754"/>
      <c r="B1658" s="754"/>
      <c r="C1658" s="755"/>
      <c r="D1658" s="756"/>
      <c r="E1658" s="754"/>
      <c r="F1658" s="757"/>
    </row>
    <row r="1659" spans="1:6" x14ac:dyDescent="0.2">
      <c r="A1659" s="754"/>
      <c r="B1659" s="754"/>
      <c r="C1659" s="755"/>
      <c r="D1659" s="756"/>
      <c r="E1659" s="754"/>
      <c r="F1659" s="757"/>
    </row>
    <row r="1660" spans="1:6" x14ac:dyDescent="0.2">
      <c r="A1660" s="754"/>
      <c r="B1660" s="754"/>
      <c r="C1660" s="755"/>
      <c r="D1660" s="756"/>
      <c r="E1660" s="754"/>
      <c r="F1660" s="757"/>
    </row>
    <row r="1661" spans="1:6" x14ac:dyDescent="0.2">
      <c r="A1661" s="754"/>
      <c r="B1661" s="754"/>
      <c r="C1661" s="755"/>
      <c r="D1661" s="756"/>
      <c r="E1661" s="754"/>
      <c r="F1661" s="757"/>
    </row>
    <row r="1662" spans="1:6" x14ac:dyDescent="0.2">
      <c r="A1662" s="754"/>
      <c r="B1662" s="754"/>
      <c r="C1662" s="755"/>
      <c r="D1662" s="756"/>
      <c r="E1662" s="754"/>
      <c r="F1662" s="757"/>
    </row>
    <row r="1663" spans="1:6" x14ac:dyDescent="0.2">
      <c r="A1663" s="754"/>
      <c r="B1663" s="754"/>
      <c r="C1663" s="755"/>
      <c r="D1663" s="756"/>
      <c r="E1663" s="754"/>
      <c r="F1663" s="757"/>
    </row>
    <row r="1664" spans="1:6" x14ac:dyDescent="0.2">
      <c r="A1664" s="754"/>
      <c r="B1664" s="754"/>
      <c r="C1664" s="755"/>
      <c r="D1664" s="756"/>
      <c r="E1664" s="754"/>
      <c r="F1664" s="757"/>
    </row>
    <row r="1665" spans="1:6" x14ac:dyDescent="0.2">
      <c r="A1665" s="754"/>
      <c r="B1665" s="754"/>
      <c r="C1665" s="755"/>
      <c r="D1665" s="756"/>
      <c r="E1665" s="754"/>
      <c r="F1665" s="757"/>
    </row>
    <row r="1666" spans="1:6" x14ac:dyDescent="0.2">
      <c r="A1666" s="754"/>
      <c r="B1666" s="754"/>
      <c r="C1666" s="755"/>
      <c r="D1666" s="756"/>
      <c r="E1666" s="754"/>
      <c r="F1666" s="757"/>
    </row>
    <row r="1667" spans="1:6" x14ac:dyDescent="0.2">
      <c r="A1667" s="754"/>
      <c r="B1667" s="754"/>
      <c r="C1667" s="755"/>
      <c r="D1667" s="756"/>
      <c r="E1667" s="754"/>
      <c r="F1667" s="757"/>
    </row>
    <row r="1668" spans="1:6" x14ac:dyDescent="0.2">
      <c r="A1668" s="754"/>
      <c r="B1668" s="754"/>
      <c r="C1668" s="755"/>
      <c r="D1668" s="756"/>
      <c r="E1668" s="754"/>
      <c r="F1668" s="757"/>
    </row>
    <row r="1669" spans="1:6" x14ac:dyDescent="0.2">
      <c r="A1669" s="754"/>
      <c r="B1669" s="754"/>
      <c r="C1669" s="755"/>
      <c r="D1669" s="756"/>
      <c r="E1669" s="754"/>
      <c r="F1669" s="757"/>
    </row>
    <row r="1670" spans="1:6" x14ac:dyDescent="0.2">
      <c r="A1670" s="754"/>
      <c r="B1670" s="754"/>
      <c r="C1670" s="755"/>
      <c r="D1670" s="756"/>
      <c r="E1670" s="754"/>
      <c r="F1670" s="757"/>
    </row>
    <row r="1671" spans="1:6" x14ac:dyDescent="0.2">
      <c r="A1671" s="754"/>
      <c r="B1671" s="754"/>
      <c r="C1671" s="755"/>
      <c r="D1671" s="756"/>
      <c r="E1671" s="754"/>
      <c r="F1671" s="757"/>
    </row>
    <row r="1672" spans="1:6" x14ac:dyDescent="0.2">
      <c r="A1672" s="754"/>
      <c r="B1672" s="754"/>
      <c r="C1672" s="755"/>
      <c r="D1672" s="756"/>
      <c r="E1672" s="754"/>
      <c r="F1672" s="757"/>
    </row>
    <row r="1673" spans="1:6" x14ac:dyDescent="0.2">
      <c r="A1673" s="754"/>
      <c r="B1673" s="754"/>
      <c r="C1673" s="755"/>
      <c r="D1673" s="756"/>
      <c r="E1673" s="754"/>
      <c r="F1673" s="757"/>
    </row>
    <row r="1674" spans="1:6" x14ac:dyDescent="0.2">
      <c r="A1674" s="754"/>
      <c r="B1674" s="754"/>
      <c r="C1674" s="755"/>
      <c r="D1674" s="756"/>
      <c r="E1674" s="754"/>
      <c r="F1674" s="757"/>
    </row>
    <row r="1675" spans="1:6" x14ac:dyDescent="0.2">
      <c r="A1675" s="754"/>
      <c r="B1675" s="754"/>
      <c r="C1675" s="755"/>
      <c r="D1675" s="756"/>
      <c r="E1675" s="754"/>
      <c r="F1675" s="757"/>
    </row>
    <row r="1676" spans="1:6" x14ac:dyDescent="0.2">
      <c r="A1676" s="754"/>
      <c r="B1676" s="754"/>
      <c r="C1676" s="755"/>
      <c r="D1676" s="756"/>
      <c r="E1676" s="754"/>
      <c r="F1676" s="757"/>
    </row>
    <row r="1677" spans="1:6" x14ac:dyDescent="0.2">
      <c r="A1677" s="754"/>
      <c r="B1677" s="754"/>
      <c r="C1677" s="755"/>
      <c r="D1677" s="756"/>
      <c r="E1677" s="754"/>
      <c r="F1677" s="757"/>
    </row>
    <row r="1678" spans="1:6" x14ac:dyDescent="0.2">
      <c r="A1678" s="754"/>
      <c r="B1678" s="754"/>
      <c r="C1678" s="755"/>
      <c r="D1678" s="756"/>
      <c r="E1678" s="754"/>
      <c r="F1678" s="757"/>
    </row>
    <row r="1679" spans="1:6" x14ac:dyDescent="0.2">
      <c r="A1679" s="754"/>
      <c r="B1679" s="754"/>
      <c r="C1679" s="755"/>
      <c r="D1679" s="756"/>
      <c r="E1679" s="754"/>
      <c r="F1679" s="757"/>
    </row>
    <row r="1680" spans="1:6" x14ac:dyDescent="0.2">
      <c r="A1680" s="754"/>
      <c r="B1680" s="754"/>
      <c r="C1680" s="755"/>
      <c r="D1680" s="756"/>
      <c r="E1680" s="754"/>
      <c r="F1680" s="757"/>
    </row>
    <row r="1681" spans="1:6" x14ac:dyDescent="0.2">
      <c r="A1681" s="754"/>
      <c r="B1681" s="754"/>
      <c r="C1681" s="755"/>
      <c r="D1681" s="756"/>
      <c r="E1681" s="754"/>
      <c r="F1681" s="757"/>
    </row>
    <row r="1682" spans="1:6" x14ac:dyDescent="0.2">
      <c r="A1682" s="754"/>
      <c r="B1682" s="754"/>
      <c r="C1682" s="755"/>
      <c r="D1682" s="756"/>
      <c r="E1682" s="754"/>
      <c r="F1682" s="757"/>
    </row>
    <row r="1683" spans="1:6" x14ac:dyDescent="0.2">
      <c r="A1683" s="754"/>
      <c r="B1683" s="754"/>
      <c r="C1683" s="755"/>
      <c r="D1683" s="756"/>
      <c r="E1683" s="754"/>
      <c r="F1683" s="757"/>
    </row>
    <row r="1684" spans="1:6" x14ac:dyDescent="0.2">
      <c r="A1684" s="754"/>
      <c r="B1684" s="754"/>
      <c r="C1684" s="755"/>
      <c r="D1684" s="756"/>
      <c r="E1684" s="754"/>
      <c r="F1684" s="757"/>
    </row>
    <row r="1685" spans="1:6" x14ac:dyDescent="0.2">
      <c r="A1685" s="754"/>
      <c r="B1685" s="754"/>
      <c r="C1685" s="755"/>
      <c r="D1685" s="756"/>
      <c r="E1685" s="754"/>
      <c r="F1685" s="757"/>
    </row>
    <row r="1686" spans="1:6" x14ac:dyDescent="0.2">
      <c r="A1686" s="754"/>
      <c r="B1686" s="754"/>
      <c r="C1686" s="755"/>
      <c r="D1686" s="756"/>
      <c r="E1686" s="754"/>
      <c r="F1686" s="757"/>
    </row>
    <row r="1687" spans="1:6" x14ac:dyDescent="0.2">
      <c r="A1687" s="754"/>
      <c r="B1687" s="754"/>
      <c r="C1687" s="755"/>
      <c r="D1687" s="756"/>
      <c r="E1687" s="754"/>
      <c r="F1687" s="757"/>
    </row>
    <row r="1688" spans="1:6" x14ac:dyDescent="0.2">
      <c r="A1688" s="754"/>
      <c r="B1688" s="754"/>
      <c r="C1688" s="755"/>
      <c r="D1688" s="756"/>
      <c r="E1688" s="754"/>
      <c r="F1688" s="757"/>
    </row>
    <row r="1689" spans="1:6" x14ac:dyDescent="0.2">
      <c r="A1689" s="754"/>
      <c r="B1689" s="754"/>
      <c r="C1689" s="755"/>
      <c r="D1689" s="756"/>
      <c r="E1689" s="754"/>
      <c r="F1689" s="757"/>
    </row>
    <row r="1690" spans="1:6" x14ac:dyDescent="0.2">
      <c r="A1690" s="754"/>
      <c r="B1690" s="754"/>
      <c r="C1690" s="755"/>
      <c r="D1690" s="756"/>
      <c r="E1690" s="754"/>
      <c r="F1690" s="757"/>
    </row>
    <row r="1691" spans="1:6" x14ac:dyDescent="0.2">
      <c r="A1691" s="754"/>
      <c r="B1691" s="754"/>
      <c r="C1691" s="755"/>
      <c r="D1691" s="756"/>
      <c r="E1691" s="754"/>
      <c r="F1691" s="757"/>
    </row>
    <row r="1692" spans="1:6" x14ac:dyDescent="0.2">
      <c r="A1692" s="754"/>
      <c r="B1692" s="754"/>
      <c r="C1692" s="755"/>
      <c r="D1692" s="756"/>
      <c r="E1692" s="754"/>
      <c r="F1692" s="757"/>
    </row>
    <row r="1693" spans="1:6" x14ac:dyDescent="0.2">
      <c r="A1693" s="754"/>
      <c r="B1693" s="754"/>
      <c r="C1693" s="755"/>
      <c r="D1693" s="756"/>
      <c r="E1693" s="754"/>
      <c r="F1693" s="757"/>
    </row>
    <row r="1694" spans="1:6" x14ac:dyDescent="0.2">
      <c r="A1694" s="754"/>
      <c r="B1694" s="754"/>
      <c r="C1694" s="755"/>
      <c r="D1694" s="756"/>
      <c r="E1694" s="754"/>
      <c r="F1694" s="757"/>
    </row>
    <row r="1695" spans="1:6" x14ac:dyDescent="0.2">
      <c r="A1695" s="754"/>
      <c r="B1695" s="754"/>
      <c r="C1695" s="755"/>
      <c r="D1695" s="756"/>
      <c r="E1695" s="754"/>
      <c r="F1695" s="757"/>
    </row>
    <row r="1696" spans="1:6" x14ac:dyDescent="0.2">
      <c r="A1696" s="754"/>
      <c r="B1696" s="754"/>
      <c r="C1696" s="755"/>
      <c r="D1696" s="756"/>
      <c r="E1696" s="754"/>
      <c r="F1696" s="757"/>
    </row>
    <row r="1697" spans="1:6" x14ac:dyDescent="0.2">
      <c r="A1697" s="754"/>
      <c r="B1697" s="754"/>
      <c r="C1697" s="755"/>
      <c r="D1697" s="756"/>
      <c r="E1697" s="754"/>
      <c r="F1697" s="757"/>
    </row>
    <row r="1698" spans="1:6" x14ac:dyDescent="0.2">
      <c r="A1698" s="754"/>
      <c r="B1698" s="754"/>
      <c r="C1698" s="755"/>
      <c r="D1698" s="756"/>
      <c r="E1698" s="754"/>
      <c r="F1698" s="757"/>
    </row>
    <row r="1699" spans="1:6" x14ac:dyDescent="0.2">
      <c r="A1699" s="754"/>
      <c r="B1699" s="754"/>
      <c r="C1699" s="755"/>
      <c r="D1699" s="756"/>
      <c r="E1699" s="754"/>
      <c r="F1699" s="757"/>
    </row>
    <row r="1700" spans="1:6" x14ac:dyDescent="0.2">
      <c r="A1700" s="754"/>
      <c r="B1700" s="754"/>
      <c r="C1700" s="755"/>
      <c r="D1700" s="756"/>
      <c r="E1700" s="754"/>
      <c r="F1700" s="757"/>
    </row>
    <row r="1701" spans="1:6" x14ac:dyDescent="0.2">
      <c r="A1701" s="754"/>
      <c r="B1701" s="754"/>
      <c r="C1701" s="755"/>
      <c r="D1701" s="756"/>
      <c r="E1701" s="754"/>
      <c r="F1701" s="757"/>
    </row>
    <row r="1702" spans="1:6" x14ac:dyDescent="0.2">
      <c r="A1702" s="754"/>
      <c r="B1702" s="754"/>
      <c r="C1702" s="755"/>
      <c r="D1702" s="756"/>
      <c r="E1702" s="754"/>
      <c r="F1702" s="757"/>
    </row>
    <row r="1703" spans="1:6" x14ac:dyDescent="0.2">
      <c r="A1703" s="754"/>
      <c r="B1703" s="754"/>
      <c r="C1703" s="755"/>
      <c r="D1703" s="756"/>
      <c r="E1703" s="754"/>
      <c r="F1703" s="757"/>
    </row>
    <row r="1704" spans="1:6" x14ac:dyDescent="0.2">
      <c r="A1704" s="754"/>
      <c r="B1704" s="754"/>
      <c r="C1704" s="755"/>
      <c r="D1704" s="756"/>
      <c r="E1704" s="754"/>
      <c r="F1704" s="757"/>
    </row>
    <row r="1705" spans="1:6" x14ac:dyDescent="0.2">
      <c r="A1705" s="754"/>
      <c r="B1705" s="754"/>
      <c r="C1705" s="755"/>
      <c r="D1705" s="756"/>
      <c r="E1705" s="754"/>
      <c r="F1705" s="757"/>
    </row>
    <row r="1706" spans="1:6" x14ac:dyDescent="0.2">
      <c r="A1706" s="754"/>
      <c r="B1706" s="754"/>
      <c r="C1706" s="755"/>
      <c r="D1706" s="756"/>
      <c r="E1706" s="754"/>
      <c r="F1706" s="757"/>
    </row>
    <row r="1707" spans="1:6" x14ac:dyDescent="0.2">
      <c r="A1707" s="754"/>
      <c r="B1707" s="754"/>
      <c r="C1707" s="755"/>
      <c r="D1707" s="756"/>
      <c r="E1707" s="754"/>
      <c r="F1707" s="757"/>
    </row>
    <row r="1708" spans="1:6" x14ac:dyDescent="0.2">
      <c r="A1708" s="754"/>
      <c r="B1708" s="754"/>
      <c r="C1708" s="755"/>
      <c r="D1708" s="756"/>
      <c r="E1708" s="754"/>
      <c r="F1708" s="757"/>
    </row>
    <row r="1709" spans="1:6" x14ac:dyDescent="0.2">
      <c r="A1709" s="754"/>
      <c r="B1709" s="754"/>
      <c r="C1709" s="755"/>
      <c r="D1709" s="756"/>
      <c r="E1709" s="754"/>
      <c r="F1709" s="757"/>
    </row>
    <row r="1710" spans="1:6" x14ac:dyDescent="0.2">
      <c r="A1710" s="754"/>
      <c r="B1710" s="754"/>
      <c r="C1710" s="755"/>
      <c r="D1710" s="756"/>
      <c r="E1710" s="754"/>
      <c r="F1710" s="757"/>
    </row>
    <row r="1711" spans="1:6" x14ac:dyDescent="0.2">
      <c r="A1711" s="754"/>
      <c r="B1711" s="754"/>
      <c r="C1711" s="755"/>
      <c r="D1711" s="756"/>
      <c r="E1711" s="754"/>
      <c r="F1711" s="757"/>
    </row>
    <row r="1712" spans="1:6" x14ac:dyDescent="0.2">
      <c r="A1712" s="754"/>
      <c r="B1712" s="754"/>
      <c r="C1712" s="755"/>
      <c r="D1712" s="756"/>
      <c r="E1712" s="754"/>
      <c r="F1712" s="757"/>
    </row>
    <row r="1713" spans="1:6" x14ac:dyDescent="0.2">
      <c r="A1713" s="754"/>
      <c r="B1713" s="754"/>
      <c r="C1713" s="755"/>
      <c r="D1713" s="756"/>
      <c r="E1713" s="754"/>
      <c r="F1713" s="757"/>
    </row>
    <row r="1714" spans="1:6" x14ac:dyDescent="0.2">
      <c r="A1714" s="754"/>
      <c r="B1714" s="754"/>
      <c r="C1714" s="755"/>
      <c r="D1714" s="756"/>
      <c r="E1714" s="754"/>
      <c r="F1714" s="757"/>
    </row>
    <row r="1715" spans="1:6" x14ac:dyDescent="0.2">
      <c r="A1715" s="754"/>
      <c r="B1715" s="754"/>
      <c r="C1715" s="755"/>
      <c r="D1715" s="756"/>
      <c r="E1715" s="754"/>
      <c r="F1715" s="757"/>
    </row>
    <row r="1716" spans="1:6" x14ac:dyDescent="0.2">
      <c r="A1716" s="754"/>
      <c r="B1716" s="754"/>
      <c r="C1716" s="755"/>
      <c r="D1716" s="756"/>
      <c r="E1716" s="754"/>
      <c r="F1716" s="757"/>
    </row>
    <row r="1717" spans="1:6" x14ac:dyDescent="0.2">
      <c r="A1717" s="754"/>
      <c r="B1717" s="754"/>
      <c r="C1717" s="755"/>
      <c r="D1717" s="756"/>
      <c r="E1717" s="754"/>
      <c r="F1717" s="757"/>
    </row>
    <row r="1718" spans="1:6" x14ac:dyDescent="0.2">
      <c r="A1718" s="754"/>
      <c r="B1718" s="754"/>
      <c r="C1718" s="755"/>
      <c r="D1718" s="756"/>
      <c r="E1718" s="754"/>
      <c r="F1718" s="757"/>
    </row>
    <row r="1719" spans="1:6" x14ac:dyDescent="0.2">
      <c r="A1719" s="754"/>
      <c r="B1719" s="754"/>
      <c r="C1719" s="755"/>
      <c r="D1719" s="756"/>
      <c r="E1719" s="754"/>
      <c r="F1719" s="757"/>
    </row>
    <row r="1720" spans="1:6" x14ac:dyDescent="0.2">
      <c r="A1720" s="754"/>
      <c r="B1720" s="754"/>
      <c r="C1720" s="755"/>
      <c r="D1720" s="756"/>
      <c r="E1720" s="754"/>
      <c r="F1720" s="757"/>
    </row>
    <row r="1721" spans="1:6" x14ac:dyDescent="0.2">
      <c r="A1721" s="754"/>
      <c r="B1721" s="754"/>
      <c r="C1721" s="755"/>
      <c r="D1721" s="756"/>
      <c r="E1721" s="754"/>
      <c r="F1721" s="757"/>
    </row>
    <row r="1722" spans="1:6" x14ac:dyDescent="0.2">
      <c r="A1722" s="754"/>
      <c r="B1722" s="754"/>
      <c r="C1722" s="755"/>
      <c r="D1722" s="756"/>
      <c r="E1722" s="754"/>
      <c r="F1722" s="757"/>
    </row>
    <row r="1723" spans="1:6" x14ac:dyDescent="0.2">
      <c r="A1723" s="754"/>
      <c r="B1723" s="754"/>
      <c r="C1723" s="755"/>
      <c r="D1723" s="756"/>
      <c r="E1723" s="754"/>
      <c r="F1723" s="757"/>
    </row>
    <row r="1724" spans="1:6" x14ac:dyDescent="0.2">
      <c r="A1724" s="754"/>
      <c r="B1724" s="754"/>
      <c r="C1724" s="755"/>
      <c r="D1724" s="756"/>
      <c r="E1724" s="754"/>
      <c r="F1724" s="757"/>
    </row>
    <row r="1725" spans="1:6" x14ac:dyDescent="0.2">
      <c r="A1725" s="754"/>
      <c r="B1725" s="754"/>
      <c r="C1725" s="755"/>
      <c r="D1725" s="756"/>
      <c r="E1725" s="754"/>
      <c r="F1725" s="757"/>
    </row>
    <row r="1726" spans="1:6" x14ac:dyDescent="0.2">
      <c r="A1726" s="754"/>
      <c r="B1726" s="754"/>
      <c r="C1726" s="755"/>
      <c r="D1726" s="756"/>
      <c r="E1726" s="754"/>
      <c r="F1726" s="757"/>
    </row>
    <row r="1727" spans="1:6" x14ac:dyDescent="0.2">
      <c r="A1727" s="754"/>
      <c r="B1727" s="754"/>
      <c r="C1727" s="755"/>
      <c r="D1727" s="756"/>
      <c r="E1727" s="754"/>
      <c r="F1727" s="757"/>
    </row>
    <row r="1728" spans="1:6" x14ac:dyDescent="0.2">
      <c r="A1728" s="754"/>
      <c r="B1728" s="754"/>
      <c r="C1728" s="755"/>
      <c r="D1728" s="756"/>
      <c r="E1728" s="754"/>
      <c r="F1728" s="757"/>
    </row>
    <row r="1729" spans="1:6" x14ac:dyDescent="0.2">
      <c r="A1729" s="754"/>
      <c r="B1729" s="754"/>
      <c r="C1729" s="755"/>
      <c r="D1729" s="756"/>
      <c r="E1729" s="754"/>
      <c r="F1729" s="757"/>
    </row>
    <row r="1730" spans="1:6" x14ac:dyDescent="0.2">
      <c r="A1730" s="754"/>
      <c r="B1730" s="754"/>
      <c r="C1730" s="755"/>
      <c r="D1730" s="756"/>
      <c r="E1730" s="754"/>
      <c r="F1730" s="757"/>
    </row>
    <row r="1731" spans="1:6" x14ac:dyDescent="0.2">
      <c r="A1731" s="754"/>
      <c r="B1731" s="754"/>
      <c r="C1731" s="755"/>
      <c r="D1731" s="756"/>
      <c r="E1731" s="754"/>
      <c r="F1731" s="757"/>
    </row>
    <row r="1732" spans="1:6" x14ac:dyDescent="0.2">
      <c r="A1732" s="754"/>
      <c r="B1732" s="754"/>
      <c r="C1732" s="755"/>
      <c r="D1732" s="756"/>
      <c r="E1732" s="754"/>
      <c r="F1732" s="757"/>
    </row>
    <row r="1733" spans="1:6" x14ac:dyDescent="0.2">
      <c r="A1733" s="754"/>
      <c r="B1733" s="754"/>
      <c r="C1733" s="755"/>
      <c r="D1733" s="756"/>
      <c r="E1733" s="754"/>
      <c r="F1733" s="757"/>
    </row>
    <row r="1734" spans="1:6" x14ac:dyDescent="0.2">
      <c r="A1734" s="754"/>
      <c r="B1734" s="754"/>
      <c r="C1734" s="755"/>
      <c r="D1734" s="756"/>
      <c r="E1734" s="754"/>
      <c r="F1734" s="757"/>
    </row>
    <row r="1735" spans="1:6" x14ac:dyDescent="0.2">
      <c r="A1735" s="754"/>
      <c r="B1735" s="754"/>
      <c r="C1735" s="755"/>
      <c r="D1735" s="756"/>
      <c r="E1735" s="754"/>
      <c r="F1735" s="757"/>
    </row>
    <row r="1736" spans="1:6" x14ac:dyDescent="0.2">
      <c r="A1736" s="754"/>
      <c r="B1736" s="754"/>
      <c r="C1736" s="755"/>
      <c r="D1736" s="756"/>
      <c r="E1736" s="754"/>
      <c r="F1736" s="757"/>
    </row>
    <row r="1737" spans="1:6" x14ac:dyDescent="0.2">
      <c r="A1737" s="754"/>
      <c r="B1737" s="754"/>
      <c r="C1737" s="755"/>
      <c r="D1737" s="756"/>
      <c r="E1737" s="754"/>
      <c r="F1737" s="757"/>
    </row>
    <row r="1738" spans="1:6" x14ac:dyDescent="0.2">
      <c r="A1738" s="754"/>
      <c r="B1738" s="754"/>
      <c r="C1738" s="755"/>
      <c r="D1738" s="756"/>
      <c r="E1738" s="754"/>
      <c r="F1738" s="757"/>
    </row>
    <row r="1739" spans="1:6" x14ac:dyDescent="0.2">
      <c r="A1739" s="754"/>
      <c r="B1739" s="754"/>
      <c r="C1739" s="755"/>
      <c r="D1739" s="756"/>
      <c r="E1739" s="754"/>
      <c r="F1739" s="757"/>
    </row>
    <row r="1740" spans="1:6" x14ac:dyDescent="0.2">
      <c r="A1740" s="754"/>
      <c r="B1740" s="754"/>
      <c r="C1740" s="755"/>
      <c r="D1740" s="756"/>
      <c r="E1740" s="754"/>
      <c r="F1740" s="757"/>
    </row>
    <row r="1741" spans="1:6" x14ac:dyDescent="0.2">
      <c r="A1741" s="754"/>
      <c r="B1741" s="754"/>
      <c r="C1741" s="755"/>
      <c r="D1741" s="756"/>
      <c r="E1741" s="754"/>
      <c r="F1741" s="757"/>
    </row>
    <row r="1742" spans="1:6" x14ac:dyDescent="0.2">
      <c r="A1742" s="754"/>
      <c r="B1742" s="754"/>
      <c r="C1742" s="755"/>
      <c r="D1742" s="756"/>
      <c r="E1742" s="754"/>
      <c r="F1742" s="757"/>
    </row>
    <row r="1743" spans="1:6" x14ac:dyDescent="0.2">
      <c r="A1743" s="754"/>
      <c r="B1743" s="754"/>
      <c r="C1743" s="755"/>
      <c r="D1743" s="756"/>
      <c r="E1743" s="754"/>
      <c r="F1743" s="757"/>
    </row>
    <row r="1744" spans="1:6" x14ac:dyDescent="0.2">
      <c r="A1744" s="754"/>
      <c r="B1744" s="754"/>
      <c r="C1744" s="755"/>
      <c r="D1744" s="756"/>
      <c r="E1744" s="754"/>
      <c r="F1744" s="757"/>
    </row>
    <row r="1745" spans="1:6" x14ac:dyDescent="0.2">
      <c r="A1745" s="754"/>
      <c r="B1745" s="754"/>
      <c r="C1745" s="755"/>
      <c r="D1745" s="756"/>
      <c r="E1745" s="754"/>
      <c r="F1745" s="757"/>
    </row>
    <row r="1746" spans="1:6" x14ac:dyDescent="0.2">
      <c r="A1746" s="754"/>
      <c r="B1746" s="754"/>
      <c r="C1746" s="755"/>
      <c r="D1746" s="756"/>
      <c r="E1746" s="754"/>
      <c r="F1746" s="757"/>
    </row>
    <row r="1747" spans="1:6" x14ac:dyDescent="0.2">
      <c r="A1747" s="754"/>
      <c r="B1747" s="754"/>
      <c r="C1747" s="755"/>
      <c r="D1747" s="756"/>
      <c r="E1747" s="754"/>
      <c r="F1747" s="757"/>
    </row>
    <row r="1748" spans="1:6" x14ac:dyDescent="0.2">
      <c r="A1748" s="754"/>
      <c r="B1748" s="754"/>
      <c r="C1748" s="755"/>
      <c r="D1748" s="756"/>
      <c r="E1748" s="754"/>
      <c r="F1748" s="757"/>
    </row>
    <row r="1749" spans="1:6" x14ac:dyDescent="0.2">
      <c r="A1749" s="754"/>
      <c r="B1749" s="754"/>
      <c r="C1749" s="755"/>
      <c r="D1749" s="756"/>
      <c r="E1749" s="754"/>
      <c r="F1749" s="757"/>
    </row>
    <row r="1750" spans="1:6" x14ac:dyDescent="0.2">
      <c r="A1750" s="754"/>
      <c r="B1750" s="754"/>
      <c r="C1750" s="755"/>
      <c r="D1750" s="756"/>
      <c r="E1750" s="754"/>
      <c r="F1750" s="757"/>
    </row>
    <row r="1751" spans="1:6" x14ac:dyDescent="0.2">
      <c r="A1751" s="754"/>
      <c r="B1751" s="754"/>
      <c r="C1751" s="755"/>
      <c r="D1751" s="756"/>
      <c r="E1751" s="754"/>
      <c r="F1751" s="757"/>
    </row>
    <row r="1752" spans="1:6" x14ac:dyDescent="0.2">
      <c r="A1752" s="754"/>
      <c r="B1752" s="754"/>
      <c r="C1752" s="755"/>
      <c r="D1752" s="756"/>
      <c r="E1752" s="754"/>
      <c r="F1752" s="757"/>
    </row>
    <row r="1753" spans="1:6" x14ac:dyDescent="0.2">
      <c r="A1753" s="754"/>
      <c r="B1753" s="754"/>
      <c r="C1753" s="755"/>
      <c r="D1753" s="756"/>
      <c r="E1753" s="754"/>
      <c r="F1753" s="757"/>
    </row>
    <row r="1754" spans="1:6" x14ac:dyDescent="0.2">
      <c r="A1754" s="754"/>
      <c r="B1754" s="754"/>
      <c r="C1754" s="755"/>
      <c r="D1754" s="756"/>
      <c r="E1754" s="754"/>
      <c r="F1754" s="757"/>
    </row>
    <row r="1755" spans="1:6" x14ac:dyDescent="0.2">
      <c r="A1755" s="754"/>
      <c r="B1755" s="754"/>
      <c r="C1755" s="755"/>
      <c r="D1755" s="756"/>
      <c r="E1755" s="754"/>
      <c r="F1755" s="757"/>
    </row>
    <row r="1756" spans="1:6" x14ac:dyDescent="0.2">
      <c r="A1756" s="754"/>
      <c r="B1756" s="754"/>
      <c r="C1756" s="755"/>
      <c r="D1756" s="756"/>
      <c r="E1756" s="754"/>
      <c r="F1756" s="757"/>
    </row>
    <row r="1757" spans="1:6" x14ac:dyDescent="0.2">
      <c r="A1757" s="754"/>
      <c r="B1757" s="754"/>
      <c r="C1757" s="755"/>
      <c r="D1757" s="756"/>
      <c r="E1757" s="754"/>
      <c r="F1757" s="757"/>
    </row>
    <row r="1758" spans="1:6" x14ac:dyDescent="0.2">
      <c r="A1758" s="754"/>
      <c r="B1758" s="754"/>
      <c r="C1758" s="755"/>
      <c r="D1758" s="756"/>
      <c r="E1758" s="754"/>
      <c r="F1758" s="757"/>
    </row>
    <row r="1759" spans="1:6" x14ac:dyDescent="0.2">
      <c r="A1759" s="754"/>
      <c r="B1759" s="754"/>
      <c r="C1759" s="755"/>
      <c r="D1759" s="756"/>
      <c r="E1759" s="754"/>
      <c r="F1759" s="757"/>
    </row>
    <row r="1760" spans="1:6" x14ac:dyDescent="0.2">
      <c r="A1760" s="754"/>
      <c r="B1760" s="754"/>
      <c r="C1760" s="755"/>
      <c r="D1760" s="756"/>
      <c r="E1760" s="754"/>
      <c r="F1760" s="757" t="s">
        <v>1953</v>
      </c>
    </row>
  </sheetData>
  <conditionalFormatting sqref="A1:A1760">
    <cfRule type="duplicateValues" dxfId="7" priority="6"/>
  </conditionalFormatting>
  <conditionalFormatting sqref="A215:A348">
    <cfRule type="duplicateValues" dxfId="6" priority="1"/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T2880"/>
  <sheetViews>
    <sheetView workbookViewId="0"/>
  </sheetViews>
  <sheetFormatPr defaultColWidth="9" defaultRowHeight="15" x14ac:dyDescent="0.25"/>
  <cols>
    <col min="1" max="1" width="5" customWidth="1"/>
    <col min="2" max="2" width="4.140625" customWidth="1"/>
    <col min="3" max="3" width="24" customWidth="1"/>
    <col min="4" max="4" width="15" customWidth="1"/>
    <col min="5" max="6" width="7" customWidth="1"/>
    <col min="7" max="7" width="9.85546875" customWidth="1"/>
    <col min="8" max="9" width="7.42578125" customWidth="1"/>
    <col min="11" max="11" width="9" customWidth="1"/>
    <col min="12" max="12" width="7" customWidth="1"/>
    <col min="13" max="13" width="9" customWidth="1"/>
    <col min="14" max="14" width="7" customWidth="1"/>
    <col min="15" max="15" width="9" customWidth="1"/>
    <col min="16" max="16" width="7" customWidth="1"/>
    <col min="17" max="17" width="9" customWidth="1"/>
    <col min="18" max="18" width="7" customWidth="1"/>
    <col min="19" max="19" width="9" customWidth="1"/>
    <col min="20" max="20" width="7" style="9" customWidth="1"/>
    <col min="21" max="21" width="9" customWidth="1"/>
    <col min="22" max="22" width="7" customWidth="1"/>
    <col min="23" max="23" width="9" customWidth="1"/>
    <col min="24" max="24" width="7" customWidth="1"/>
    <col min="25" max="25" width="2" customWidth="1"/>
    <col min="26" max="27" width="10.85546875" customWidth="1"/>
    <col min="28" max="28" width="10.7109375" customWidth="1"/>
    <col min="29" max="29" width="8.42578125" customWidth="1"/>
    <col min="30" max="30" width="9.140625" customWidth="1"/>
    <col min="31" max="31" width="6.85546875" customWidth="1"/>
    <col min="32" max="32" width="9.140625" customWidth="1"/>
    <col min="33" max="33" width="6.85546875" customWidth="1"/>
    <col min="34" max="34" width="9.140625" customWidth="1"/>
    <col min="35" max="35" width="6.85546875" customWidth="1"/>
    <col min="36" max="36" width="9.140625" customWidth="1"/>
    <col min="37" max="37" width="8" customWidth="1"/>
    <col min="38" max="38" width="9.140625" customWidth="1"/>
    <col min="39" max="39" width="7.140625" customWidth="1"/>
    <col min="40" max="40" width="9.140625" customWidth="1"/>
    <col min="41" max="41" width="9.28515625" customWidth="1"/>
    <col min="42" max="42" width="9.7109375" customWidth="1"/>
    <col min="43" max="43" width="9.28515625" customWidth="1"/>
    <col min="44" max="44" width="9.7109375" customWidth="1"/>
    <col min="45" max="45" width="9.28515625" customWidth="1"/>
  </cols>
  <sheetData>
    <row r="1" spans="1:13" s="1" customFormat="1" x14ac:dyDescent="0.25">
      <c r="A1" s="10">
        <v>1</v>
      </c>
      <c r="B1" s="10">
        <v>2</v>
      </c>
      <c r="C1" s="10">
        <v>3</v>
      </c>
      <c r="D1" s="10">
        <v>9</v>
      </c>
      <c r="E1" s="10">
        <v>4</v>
      </c>
      <c r="F1" s="10">
        <v>5</v>
      </c>
      <c r="G1" s="10">
        <v>6</v>
      </c>
      <c r="H1" s="10">
        <v>7</v>
      </c>
      <c r="I1" s="10">
        <v>8</v>
      </c>
      <c r="K1"/>
      <c r="L1"/>
      <c r="M1"/>
    </row>
    <row r="2" spans="1:13" s="2" customFormat="1" ht="15" customHeight="1" x14ac:dyDescent="0.25">
      <c r="A2" s="2324"/>
      <c r="B2" s="2324" t="s">
        <v>0</v>
      </c>
      <c r="C2" s="2329" t="s">
        <v>2</v>
      </c>
      <c r="D2" s="2368" t="s">
        <v>1</v>
      </c>
      <c r="E2" s="2331" t="s">
        <v>3</v>
      </c>
      <c r="F2" s="12" t="s">
        <v>4</v>
      </c>
      <c r="G2" s="11" t="s">
        <v>5</v>
      </c>
      <c r="H2" s="13"/>
      <c r="I2" s="13"/>
    </row>
    <row r="3" spans="1:13" s="2" customFormat="1" ht="15" customHeight="1" x14ac:dyDescent="0.25">
      <c r="A3" s="2325"/>
      <c r="B3" s="2325"/>
      <c r="C3" s="2330"/>
      <c r="D3" s="2369"/>
      <c r="E3" s="2332"/>
      <c r="F3" s="14" t="s">
        <v>19</v>
      </c>
      <c r="G3" s="15" t="s">
        <v>20</v>
      </c>
      <c r="H3" s="16" t="s">
        <v>21</v>
      </c>
      <c r="I3" s="16" t="s">
        <v>21</v>
      </c>
    </row>
    <row r="4" spans="1:13" s="3" customFormat="1" x14ac:dyDescent="0.25">
      <c r="A4" s="2325"/>
      <c r="B4" s="2325"/>
      <c r="C4" s="2330"/>
      <c r="D4" s="2370"/>
      <c r="E4" s="2332"/>
      <c r="F4" s="14" t="s">
        <v>27</v>
      </c>
      <c r="G4" s="17" t="s">
        <v>3336</v>
      </c>
      <c r="H4" s="18" t="s">
        <v>20</v>
      </c>
      <c r="I4" s="18" t="s">
        <v>22</v>
      </c>
    </row>
    <row r="5" spans="1:13" s="2" customFormat="1" hidden="1" x14ac:dyDescent="0.25">
      <c r="A5" s="19">
        <v>1</v>
      </c>
      <c r="B5" s="20">
        <v>1</v>
      </c>
      <c r="C5" s="21" t="s">
        <v>31</v>
      </c>
      <c r="D5" s="22">
        <v>84089004</v>
      </c>
      <c r="E5" s="23" t="s">
        <v>32</v>
      </c>
      <c r="F5" s="20">
        <v>2008</v>
      </c>
      <c r="G5" s="23" t="s">
        <v>33</v>
      </c>
      <c r="H5" s="24" t="str">
        <f t="shared" ref="H5:H36" si="0">IFERROR(VLOOKUP(D5,Tlus,3,FALSE),"   ")</f>
        <v xml:space="preserve">   </v>
      </c>
      <c r="I5" s="24">
        <f t="shared" ref="I5:I36" si="1">IFERROR(VLOOKUP(D5,Wis,4,FALSE),"   ")</f>
        <v>40544</v>
      </c>
    </row>
    <row r="6" spans="1:13" s="2" customFormat="1" hidden="1" x14ac:dyDescent="0.25">
      <c r="A6" s="19">
        <v>2</v>
      </c>
      <c r="B6" s="20">
        <v>2</v>
      </c>
      <c r="C6" s="21" t="s">
        <v>34</v>
      </c>
      <c r="D6" s="22">
        <v>84089011</v>
      </c>
      <c r="E6" s="23" t="s">
        <v>32</v>
      </c>
      <c r="F6" s="20">
        <v>2008</v>
      </c>
      <c r="G6" s="23" t="s">
        <v>33</v>
      </c>
      <c r="H6" s="24" t="str">
        <f t="shared" si="0"/>
        <v xml:space="preserve">   </v>
      </c>
      <c r="I6" s="24">
        <f t="shared" si="1"/>
        <v>40544</v>
      </c>
    </row>
    <row r="7" spans="1:13" s="2" customFormat="1" hidden="1" x14ac:dyDescent="0.25">
      <c r="A7" s="19">
        <v>3</v>
      </c>
      <c r="B7" s="25">
        <v>3</v>
      </c>
      <c r="C7" s="26" t="s">
        <v>35</v>
      </c>
      <c r="D7" s="27">
        <v>84089016</v>
      </c>
      <c r="E7" s="28" t="s">
        <v>32</v>
      </c>
      <c r="F7" s="25">
        <v>2008</v>
      </c>
      <c r="G7" s="29"/>
      <c r="H7" s="30" t="str">
        <f t="shared" si="0"/>
        <v xml:space="preserve">   </v>
      </c>
      <c r="I7" s="30" t="str">
        <f t="shared" si="1"/>
        <v xml:space="preserve">   </v>
      </c>
    </row>
    <row r="8" spans="1:13" s="2" customFormat="1" hidden="1" x14ac:dyDescent="0.25">
      <c r="A8" s="19">
        <v>4</v>
      </c>
      <c r="B8" s="25">
        <v>4</v>
      </c>
      <c r="C8" s="26" t="s">
        <v>36</v>
      </c>
      <c r="D8" s="27">
        <v>84089021</v>
      </c>
      <c r="E8" s="28" t="s">
        <v>32</v>
      </c>
      <c r="F8" s="25">
        <v>2008</v>
      </c>
      <c r="G8" s="29"/>
      <c r="H8" s="30" t="str">
        <f t="shared" si="0"/>
        <v xml:space="preserve">   </v>
      </c>
      <c r="I8" s="30" t="str">
        <f t="shared" si="1"/>
        <v xml:space="preserve">   </v>
      </c>
    </row>
    <row r="9" spans="1:13" s="2" customFormat="1" hidden="1" x14ac:dyDescent="0.25">
      <c r="A9" s="19">
        <v>5</v>
      </c>
      <c r="B9" s="25">
        <v>5</v>
      </c>
      <c r="C9" s="26" t="s">
        <v>37</v>
      </c>
      <c r="D9" s="27">
        <v>84089024</v>
      </c>
      <c r="E9" s="28" t="s">
        <v>32</v>
      </c>
      <c r="F9" s="25">
        <v>2008</v>
      </c>
      <c r="G9" s="29"/>
      <c r="H9" s="30" t="str">
        <f t="shared" si="0"/>
        <v xml:space="preserve">   </v>
      </c>
      <c r="I9" s="30" t="str">
        <f t="shared" si="1"/>
        <v xml:space="preserve">   </v>
      </c>
    </row>
    <row r="10" spans="1:13" s="2" customFormat="1" hidden="1" x14ac:dyDescent="0.25">
      <c r="A10" s="19">
        <v>6</v>
      </c>
      <c r="B10" s="25">
        <v>6</v>
      </c>
      <c r="C10" s="26" t="s">
        <v>38</v>
      </c>
      <c r="D10" s="27">
        <v>84089025</v>
      </c>
      <c r="E10" s="28" t="s">
        <v>32</v>
      </c>
      <c r="F10" s="25">
        <v>2008</v>
      </c>
      <c r="G10" s="29"/>
      <c r="H10" s="30" t="str">
        <f t="shared" si="0"/>
        <v xml:space="preserve">   </v>
      </c>
      <c r="I10" s="30" t="str">
        <f t="shared" si="1"/>
        <v xml:space="preserve">   </v>
      </c>
    </row>
    <row r="11" spans="1:13" s="2" customFormat="1" hidden="1" x14ac:dyDescent="0.25">
      <c r="A11" s="19">
        <v>7</v>
      </c>
      <c r="B11" s="25">
        <v>7</v>
      </c>
      <c r="C11" s="26" t="s">
        <v>39</v>
      </c>
      <c r="D11" s="27">
        <v>84089026</v>
      </c>
      <c r="E11" s="28" t="s">
        <v>32</v>
      </c>
      <c r="F11" s="25">
        <v>2008</v>
      </c>
      <c r="G11" s="29"/>
      <c r="H11" s="30" t="str">
        <f t="shared" si="0"/>
        <v xml:space="preserve">   </v>
      </c>
      <c r="I11" s="30" t="str">
        <f t="shared" si="1"/>
        <v xml:space="preserve">   </v>
      </c>
    </row>
    <row r="12" spans="1:13" s="2" customFormat="1" hidden="1" x14ac:dyDescent="0.25">
      <c r="A12" s="19">
        <v>8</v>
      </c>
      <c r="B12" s="25">
        <v>8</v>
      </c>
      <c r="C12" s="26" t="s">
        <v>40</v>
      </c>
      <c r="D12" s="27">
        <v>84089030</v>
      </c>
      <c r="E12" s="28" t="s">
        <v>32</v>
      </c>
      <c r="F12" s="25">
        <v>2008</v>
      </c>
      <c r="G12" s="29"/>
      <c r="H12" s="30" t="str">
        <f t="shared" si="0"/>
        <v xml:space="preserve">   </v>
      </c>
      <c r="I12" s="30" t="str">
        <f t="shared" si="1"/>
        <v xml:space="preserve">   </v>
      </c>
    </row>
    <row r="13" spans="1:13" s="2" customFormat="1" hidden="1" x14ac:dyDescent="0.25">
      <c r="A13" s="19">
        <v>9</v>
      </c>
      <c r="B13" s="25">
        <v>9</v>
      </c>
      <c r="C13" s="26" t="s">
        <v>41</v>
      </c>
      <c r="D13" s="27">
        <v>84089032</v>
      </c>
      <c r="E13" s="28" t="s">
        <v>32</v>
      </c>
      <c r="F13" s="25">
        <v>2008</v>
      </c>
      <c r="G13" s="29"/>
      <c r="H13" s="30" t="str">
        <f t="shared" si="0"/>
        <v xml:space="preserve">   </v>
      </c>
      <c r="I13" s="30" t="str">
        <f t="shared" si="1"/>
        <v xml:space="preserve">   </v>
      </c>
    </row>
    <row r="14" spans="1:13" s="2" customFormat="1" hidden="1" x14ac:dyDescent="0.25">
      <c r="A14" s="19">
        <v>10</v>
      </c>
      <c r="B14" s="25">
        <v>10</v>
      </c>
      <c r="C14" s="26" t="s">
        <v>42</v>
      </c>
      <c r="D14" s="27">
        <v>84089007</v>
      </c>
      <c r="E14" s="28" t="s">
        <v>32</v>
      </c>
      <c r="F14" s="25">
        <v>2008</v>
      </c>
      <c r="G14" s="29"/>
      <c r="H14" s="30" t="str">
        <f t="shared" si="0"/>
        <v xml:space="preserve">   </v>
      </c>
      <c r="I14" s="30" t="str">
        <f t="shared" si="1"/>
        <v xml:space="preserve">   </v>
      </c>
    </row>
    <row r="15" spans="1:13" s="2" customFormat="1" hidden="1" x14ac:dyDescent="0.25">
      <c r="A15" s="19">
        <v>11</v>
      </c>
      <c r="B15" s="25">
        <v>11</v>
      </c>
      <c r="C15" s="26" t="s">
        <v>43</v>
      </c>
      <c r="D15" s="27">
        <v>84089009</v>
      </c>
      <c r="E15" s="28" t="s">
        <v>32</v>
      </c>
      <c r="F15" s="25">
        <v>2008</v>
      </c>
      <c r="G15" s="29"/>
      <c r="H15" s="30" t="str">
        <f t="shared" si="0"/>
        <v xml:space="preserve">   </v>
      </c>
      <c r="I15" s="30" t="str">
        <f t="shared" si="1"/>
        <v xml:space="preserve">   </v>
      </c>
    </row>
    <row r="16" spans="1:13" s="2" customFormat="1" hidden="1" x14ac:dyDescent="0.25">
      <c r="A16" s="19">
        <v>12</v>
      </c>
      <c r="B16" s="25">
        <v>12</v>
      </c>
      <c r="C16" s="26" t="s">
        <v>44</v>
      </c>
      <c r="D16" s="27">
        <v>84089017</v>
      </c>
      <c r="E16" s="28" t="s">
        <v>32</v>
      </c>
      <c r="F16" s="25">
        <v>2008</v>
      </c>
      <c r="G16" s="29"/>
      <c r="H16" s="30" t="str">
        <f t="shared" si="0"/>
        <v xml:space="preserve">   </v>
      </c>
      <c r="I16" s="30" t="str">
        <f t="shared" si="1"/>
        <v xml:space="preserve">   </v>
      </c>
    </row>
    <row r="17" spans="1:9" s="2" customFormat="1" hidden="1" x14ac:dyDescent="0.25">
      <c r="A17" s="19">
        <v>13</v>
      </c>
      <c r="B17" s="25">
        <v>13</v>
      </c>
      <c r="C17" s="26" t="s">
        <v>45</v>
      </c>
      <c r="D17" s="27">
        <v>84089063</v>
      </c>
      <c r="E17" s="28" t="s">
        <v>32</v>
      </c>
      <c r="F17" s="25">
        <v>2008</v>
      </c>
      <c r="G17" s="29"/>
      <c r="H17" s="30" t="str">
        <f t="shared" si="0"/>
        <v xml:space="preserve">   </v>
      </c>
      <c r="I17" s="30" t="str">
        <f t="shared" si="1"/>
        <v xml:space="preserve">   </v>
      </c>
    </row>
    <row r="18" spans="1:9" s="2" customFormat="1" hidden="1" x14ac:dyDescent="0.25">
      <c r="A18" s="19">
        <v>14</v>
      </c>
      <c r="B18" s="25">
        <v>14</v>
      </c>
      <c r="C18" s="26" t="s">
        <v>46</v>
      </c>
      <c r="D18" s="27">
        <v>84089041</v>
      </c>
      <c r="E18" s="28" t="s">
        <v>32</v>
      </c>
      <c r="F18" s="25">
        <v>2008</v>
      </c>
      <c r="G18" s="29"/>
      <c r="H18" s="30" t="str">
        <f t="shared" si="0"/>
        <v xml:space="preserve">   </v>
      </c>
      <c r="I18" s="30" t="str">
        <f t="shared" si="1"/>
        <v xml:space="preserve">   </v>
      </c>
    </row>
    <row r="19" spans="1:9" s="2" customFormat="1" hidden="1" x14ac:dyDescent="0.25">
      <c r="A19" s="19">
        <v>15</v>
      </c>
      <c r="B19" s="25">
        <v>15</v>
      </c>
      <c r="C19" s="26" t="s">
        <v>47</v>
      </c>
      <c r="D19" s="27">
        <v>84089034</v>
      </c>
      <c r="E19" s="28" t="s">
        <v>32</v>
      </c>
      <c r="F19" s="25">
        <v>2008</v>
      </c>
      <c r="G19" s="29"/>
      <c r="H19" s="30" t="str">
        <f t="shared" si="0"/>
        <v xml:space="preserve">   </v>
      </c>
      <c r="I19" s="30" t="str">
        <f t="shared" si="1"/>
        <v xml:space="preserve">   </v>
      </c>
    </row>
    <row r="20" spans="1:9" s="2" customFormat="1" hidden="1" x14ac:dyDescent="0.25">
      <c r="A20" s="19">
        <v>16</v>
      </c>
      <c r="B20" s="25">
        <v>16</v>
      </c>
      <c r="C20" s="26" t="s">
        <v>48</v>
      </c>
      <c r="D20" s="27">
        <v>84089037</v>
      </c>
      <c r="E20" s="28" t="s">
        <v>32</v>
      </c>
      <c r="F20" s="25">
        <v>2008</v>
      </c>
      <c r="G20" s="29"/>
      <c r="H20" s="30" t="str">
        <f t="shared" si="0"/>
        <v xml:space="preserve">   </v>
      </c>
      <c r="I20" s="30" t="str">
        <f t="shared" si="1"/>
        <v xml:space="preserve">   </v>
      </c>
    </row>
    <row r="21" spans="1:9" s="2" customFormat="1" hidden="1" x14ac:dyDescent="0.25">
      <c r="A21" s="19">
        <v>17</v>
      </c>
      <c r="B21" s="25">
        <v>17</v>
      </c>
      <c r="C21" s="26" t="s">
        <v>49</v>
      </c>
      <c r="D21" s="27">
        <v>84089039</v>
      </c>
      <c r="E21" s="28" t="s">
        <v>32</v>
      </c>
      <c r="F21" s="25">
        <v>2008</v>
      </c>
      <c r="G21" s="29"/>
      <c r="H21" s="30" t="str">
        <f t="shared" si="0"/>
        <v xml:space="preserve">   </v>
      </c>
      <c r="I21" s="30" t="str">
        <f t="shared" si="1"/>
        <v xml:space="preserve">   </v>
      </c>
    </row>
    <row r="22" spans="1:9" s="2" customFormat="1" hidden="1" x14ac:dyDescent="0.25">
      <c r="A22" s="19">
        <v>18</v>
      </c>
      <c r="B22" s="20">
        <v>18</v>
      </c>
      <c r="C22" s="21" t="s">
        <v>50</v>
      </c>
      <c r="D22" s="22">
        <v>84089047</v>
      </c>
      <c r="E22" s="23" t="s">
        <v>32</v>
      </c>
      <c r="F22" s="20">
        <v>2008</v>
      </c>
      <c r="G22" s="23" t="s">
        <v>33</v>
      </c>
      <c r="H22" s="24" t="str">
        <f t="shared" si="0"/>
        <v xml:space="preserve">   </v>
      </c>
      <c r="I22" s="24">
        <f t="shared" si="1"/>
        <v>41275</v>
      </c>
    </row>
    <row r="23" spans="1:9" s="2" customFormat="1" hidden="1" x14ac:dyDescent="0.25">
      <c r="A23" s="19">
        <v>19</v>
      </c>
      <c r="B23" s="25">
        <v>19</v>
      </c>
      <c r="C23" s="26" t="s">
        <v>51</v>
      </c>
      <c r="D23" s="27">
        <v>84089049</v>
      </c>
      <c r="E23" s="28" t="s">
        <v>32</v>
      </c>
      <c r="F23" s="25">
        <v>2008</v>
      </c>
      <c r="G23" s="29"/>
      <c r="H23" s="30" t="str">
        <f t="shared" si="0"/>
        <v xml:space="preserve">   </v>
      </c>
      <c r="I23" s="30" t="str">
        <f t="shared" si="1"/>
        <v xml:space="preserve">   </v>
      </c>
    </row>
    <row r="24" spans="1:9" s="2" customFormat="1" hidden="1" x14ac:dyDescent="0.25">
      <c r="A24" s="19">
        <v>20</v>
      </c>
      <c r="B24" s="20">
        <v>20</v>
      </c>
      <c r="C24" s="21" t="s">
        <v>52</v>
      </c>
      <c r="D24" s="22">
        <v>84089050</v>
      </c>
      <c r="E24" s="23" t="s">
        <v>32</v>
      </c>
      <c r="F24" s="20">
        <v>2008</v>
      </c>
      <c r="G24" s="31"/>
      <c r="H24" s="24" t="str">
        <f t="shared" si="0"/>
        <v xml:space="preserve">   </v>
      </c>
      <c r="I24" s="24" t="str">
        <f t="shared" si="1"/>
        <v xml:space="preserve">   </v>
      </c>
    </row>
    <row r="25" spans="1:9" s="2" customFormat="1" hidden="1" x14ac:dyDescent="0.25">
      <c r="A25" s="19">
        <v>21</v>
      </c>
      <c r="B25" s="25">
        <v>21</v>
      </c>
      <c r="C25" s="26" t="s">
        <v>54</v>
      </c>
      <c r="D25" s="27">
        <v>84089051</v>
      </c>
      <c r="E25" s="28" t="s">
        <v>32</v>
      </c>
      <c r="F25" s="25">
        <v>2008</v>
      </c>
      <c r="G25" s="29"/>
      <c r="H25" s="30" t="str">
        <f t="shared" si="0"/>
        <v xml:space="preserve">   </v>
      </c>
      <c r="I25" s="30" t="str">
        <f t="shared" si="1"/>
        <v xml:space="preserve">   </v>
      </c>
    </row>
    <row r="26" spans="1:9" s="2" customFormat="1" hidden="1" x14ac:dyDescent="0.25">
      <c r="A26" s="19">
        <v>22</v>
      </c>
      <c r="B26" s="25">
        <v>22</v>
      </c>
      <c r="C26" s="26" t="s">
        <v>55</v>
      </c>
      <c r="D26" s="27">
        <v>84089060</v>
      </c>
      <c r="E26" s="28" t="s">
        <v>32</v>
      </c>
      <c r="F26" s="25">
        <v>2008</v>
      </c>
      <c r="G26" s="29"/>
      <c r="H26" s="30" t="str">
        <f t="shared" si="0"/>
        <v xml:space="preserve">   </v>
      </c>
      <c r="I26" s="30" t="str">
        <f t="shared" si="1"/>
        <v xml:space="preserve">   </v>
      </c>
    </row>
    <row r="27" spans="1:9" s="2" customFormat="1" hidden="1" x14ac:dyDescent="0.25">
      <c r="A27" s="19">
        <v>23</v>
      </c>
      <c r="B27" s="25">
        <v>23</v>
      </c>
      <c r="C27" s="26" t="s">
        <v>56</v>
      </c>
      <c r="D27" s="27">
        <v>84089061</v>
      </c>
      <c r="E27" s="28" t="s">
        <v>32</v>
      </c>
      <c r="F27" s="25">
        <v>2008</v>
      </c>
      <c r="G27" s="29"/>
      <c r="H27" s="30" t="str">
        <f t="shared" si="0"/>
        <v xml:space="preserve">   </v>
      </c>
      <c r="I27" s="30" t="str">
        <f t="shared" si="1"/>
        <v xml:space="preserve">   </v>
      </c>
    </row>
    <row r="28" spans="1:9" s="2" customFormat="1" hidden="1" x14ac:dyDescent="0.25">
      <c r="A28" s="19">
        <v>24</v>
      </c>
      <c r="B28" s="25">
        <v>24</v>
      </c>
      <c r="C28" s="26" t="s">
        <v>57</v>
      </c>
      <c r="D28" s="27">
        <v>84089068</v>
      </c>
      <c r="E28" s="28" t="s">
        <v>32</v>
      </c>
      <c r="F28" s="25">
        <v>2008</v>
      </c>
      <c r="G28" s="29"/>
      <c r="H28" s="30" t="str">
        <f t="shared" si="0"/>
        <v xml:space="preserve">   </v>
      </c>
      <c r="I28" s="30" t="str">
        <f t="shared" si="1"/>
        <v xml:space="preserve">   </v>
      </c>
    </row>
    <row r="29" spans="1:9" s="2" customFormat="1" hidden="1" x14ac:dyDescent="0.25">
      <c r="A29" s="19">
        <v>25</v>
      </c>
      <c r="B29" s="25">
        <v>25</v>
      </c>
      <c r="C29" s="26" t="s">
        <v>58</v>
      </c>
      <c r="D29" s="27">
        <v>84089027</v>
      </c>
      <c r="E29" s="28" t="s">
        <v>32</v>
      </c>
      <c r="F29" s="25">
        <v>2008</v>
      </c>
      <c r="G29" s="29"/>
      <c r="H29" s="30" t="str">
        <f t="shared" si="0"/>
        <v xml:space="preserve">   </v>
      </c>
      <c r="I29" s="30" t="str">
        <f t="shared" si="1"/>
        <v xml:space="preserve">   </v>
      </c>
    </row>
    <row r="30" spans="1:9" s="2" customFormat="1" hidden="1" x14ac:dyDescent="0.25">
      <c r="A30" s="19">
        <v>26</v>
      </c>
      <c r="B30" s="25">
        <v>26</v>
      </c>
      <c r="C30" s="26" t="s">
        <v>59</v>
      </c>
      <c r="D30" s="27">
        <v>84089069</v>
      </c>
      <c r="E30" s="28" t="s">
        <v>32</v>
      </c>
      <c r="F30" s="25">
        <v>2008</v>
      </c>
      <c r="G30" s="29"/>
      <c r="H30" s="30" t="str">
        <f t="shared" si="0"/>
        <v xml:space="preserve">   </v>
      </c>
      <c r="I30" s="30" t="str">
        <f t="shared" si="1"/>
        <v xml:space="preserve">   </v>
      </c>
    </row>
    <row r="31" spans="1:9" s="2" customFormat="1" hidden="1" x14ac:dyDescent="0.25">
      <c r="A31" s="19">
        <v>27</v>
      </c>
      <c r="B31" s="25">
        <v>27</v>
      </c>
      <c r="C31" s="26" t="s">
        <v>60</v>
      </c>
      <c r="D31" s="27">
        <v>84089053</v>
      </c>
      <c r="E31" s="28" t="s">
        <v>32</v>
      </c>
      <c r="F31" s="25">
        <v>2008</v>
      </c>
      <c r="G31" s="29"/>
      <c r="H31" s="30" t="str">
        <f t="shared" si="0"/>
        <v xml:space="preserve">   </v>
      </c>
      <c r="I31" s="30" t="str">
        <f t="shared" si="1"/>
        <v xml:space="preserve">   </v>
      </c>
    </row>
    <row r="32" spans="1:9" s="2" customFormat="1" hidden="1" x14ac:dyDescent="0.25">
      <c r="A32"/>
      <c r="B32" s="32"/>
      <c r="D32" s="33"/>
      <c r="E32" s="34"/>
      <c r="F32" s="35" t="s">
        <v>61</v>
      </c>
      <c r="G32" s="3"/>
      <c r="H32" s="36" t="str">
        <f t="shared" si="0"/>
        <v xml:space="preserve">   </v>
      </c>
      <c r="I32" s="36" t="str">
        <f t="shared" si="1"/>
        <v xml:space="preserve">   </v>
      </c>
    </row>
    <row r="33" spans="1:9" s="2" customFormat="1" hidden="1" x14ac:dyDescent="0.25">
      <c r="A33" s="19">
        <v>28</v>
      </c>
      <c r="B33" s="25">
        <v>1</v>
      </c>
      <c r="C33" s="26" t="s">
        <v>62</v>
      </c>
      <c r="D33" s="27">
        <v>84089001</v>
      </c>
      <c r="E33" s="28" t="s">
        <v>32</v>
      </c>
      <c r="F33" s="25">
        <v>2008</v>
      </c>
      <c r="G33" s="29"/>
      <c r="H33" s="30" t="str">
        <f t="shared" si="0"/>
        <v xml:space="preserve">   </v>
      </c>
      <c r="I33" s="30" t="str">
        <f t="shared" si="1"/>
        <v xml:space="preserve">   </v>
      </c>
    </row>
    <row r="34" spans="1:9" s="2" customFormat="1" hidden="1" x14ac:dyDescent="0.25">
      <c r="A34" s="19">
        <v>29</v>
      </c>
      <c r="B34" s="20">
        <v>2</v>
      </c>
      <c r="C34" s="21" t="s">
        <v>63</v>
      </c>
      <c r="D34" s="22">
        <v>84089003</v>
      </c>
      <c r="E34" s="23" t="s">
        <v>32</v>
      </c>
      <c r="F34" s="20">
        <v>2008</v>
      </c>
      <c r="G34" s="23" t="s">
        <v>33</v>
      </c>
      <c r="H34" s="24" t="str">
        <f t="shared" si="0"/>
        <v xml:space="preserve">   </v>
      </c>
      <c r="I34" s="24">
        <f t="shared" si="1"/>
        <v>40544</v>
      </c>
    </row>
    <row r="35" spans="1:9" s="2" customFormat="1" hidden="1" x14ac:dyDescent="0.25">
      <c r="A35" s="19">
        <v>30</v>
      </c>
      <c r="B35" s="25">
        <v>3</v>
      </c>
      <c r="C35" s="26" t="s">
        <v>64</v>
      </c>
      <c r="D35" s="27">
        <v>84089006</v>
      </c>
      <c r="E35" s="28" t="s">
        <v>32</v>
      </c>
      <c r="F35" s="25">
        <v>2008</v>
      </c>
      <c r="G35" s="29"/>
      <c r="H35" s="30" t="str">
        <f t="shared" si="0"/>
        <v xml:space="preserve">   </v>
      </c>
      <c r="I35" s="30" t="str">
        <f t="shared" si="1"/>
        <v xml:space="preserve">   </v>
      </c>
    </row>
    <row r="36" spans="1:9" s="2" customFormat="1" hidden="1" x14ac:dyDescent="0.25">
      <c r="A36" s="19">
        <v>31</v>
      </c>
      <c r="B36" s="25">
        <v>4</v>
      </c>
      <c r="C36" s="26" t="s">
        <v>65</v>
      </c>
      <c r="D36" s="27">
        <v>84089010</v>
      </c>
      <c r="E36" s="28" t="s">
        <v>32</v>
      </c>
      <c r="F36" s="25">
        <v>2008</v>
      </c>
      <c r="G36" s="29"/>
      <c r="H36" s="30" t="str">
        <f t="shared" si="0"/>
        <v xml:space="preserve">   </v>
      </c>
      <c r="I36" s="30" t="str">
        <f t="shared" si="1"/>
        <v xml:space="preserve">   </v>
      </c>
    </row>
    <row r="37" spans="1:9" s="2" customFormat="1" hidden="1" x14ac:dyDescent="0.25">
      <c r="A37" s="19">
        <v>32</v>
      </c>
      <c r="B37" s="25">
        <v>5</v>
      </c>
      <c r="C37" s="26" t="s">
        <v>66</v>
      </c>
      <c r="D37" s="27">
        <v>84089014</v>
      </c>
      <c r="E37" s="28" t="s">
        <v>32</v>
      </c>
      <c r="F37" s="25">
        <v>2008</v>
      </c>
      <c r="G37" s="29"/>
      <c r="H37" s="30" t="str">
        <f t="shared" ref="H37:H68" si="2">IFERROR(VLOOKUP(D37,Tlus,3,FALSE),"   ")</f>
        <v xml:space="preserve">   </v>
      </c>
      <c r="I37" s="30" t="str">
        <f t="shared" ref="I37:I68" si="3">IFERROR(VLOOKUP(D37,Wis,4,FALSE),"   ")</f>
        <v xml:space="preserve">   </v>
      </c>
    </row>
    <row r="38" spans="1:9" s="2" customFormat="1" hidden="1" x14ac:dyDescent="0.25">
      <c r="A38" s="19">
        <v>33</v>
      </c>
      <c r="B38" s="20">
        <v>6</v>
      </c>
      <c r="C38" s="21" t="s">
        <v>67</v>
      </c>
      <c r="D38" s="22">
        <v>84089022</v>
      </c>
      <c r="E38" s="23" t="s">
        <v>32</v>
      </c>
      <c r="F38" s="20">
        <v>2008</v>
      </c>
      <c r="G38" s="23" t="s">
        <v>33</v>
      </c>
      <c r="H38" s="24" t="str">
        <f t="shared" si="2"/>
        <v xml:space="preserve">   </v>
      </c>
      <c r="I38" s="24">
        <f t="shared" si="3"/>
        <v>40544</v>
      </c>
    </row>
    <row r="39" spans="1:9" s="2" customFormat="1" hidden="1" x14ac:dyDescent="0.25">
      <c r="A39" s="19">
        <v>34</v>
      </c>
      <c r="B39" s="20">
        <v>7</v>
      </c>
      <c r="C39" s="21" t="s">
        <v>68</v>
      </c>
      <c r="D39" s="22">
        <v>84089031</v>
      </c>
      <c r="E39" s="23" t="s">
        <v>32</v>
      </c>
      <c r="F39" s="20">
        <v>2008</v>
      </c>
      <c r="G39" s="23" t="s">
        <v>33</v>
      </c>
      <c r="H39" s="24" t="str">
        <f t="shared" si="2"/>
        <v xml:space="preserve">   </v>
      </c>
      <c r="I39" s="24">
        <f t="shared" si="3"/>
        <v>40544</v>
      </c>
    </row>
    <row r="40" spans="1:9" s="2" customFormat="1" hidden="1" x14ac:dyDescent="0.25">
      <c r="A40" s="19">
        <v>35</v>
      </c>
      <c r="B40" s="20">
        <v>8</v>
      </c>
      <c r="C40" s="21" t="s">
        <v>70</v>
      </c>
      <c r="D40" s="22">
        <v>84089020</v>
      </c>
      <c r="E40" s="23" t="s">
        <v>32</v>
      </c>
      <c r="F40" s="20">
        <v>2008</v>
      </c>
      <c r="G40" s="23" t="s">
        <v>33</v>
      </c>
      <c r="H40" s="24" t="str">
        <f t="shared" si="2"/>
        <v xml:space="preserve">   </v>
      </c>
      <c r="I40" s="24">
        <f t="shared" si="3"/>
        <v>40544</v>
      </c>
    </row>
    <row r="41" spans="1:9" s="2" customFormat="1" hidden="1" x14ac:dyDescent="0.25">
      <c r="A41" s="19">
        <v>36</v>
      </c>
      <c r="B41" s="20">
        <v>9</v>
      </c>
      <c r="C41" s="21" t="s">
        <v>72</v>
      </c>
      <c r="D41" s="22">
        <v>84089038</v>
      </c>
      <c r="E41" s="23" t="s">
        <v>32</v>
      </c>
      <c r="F41" s="20">
        <v>2008</v>
      </c>
      <c r="G41" s="23" t="s">
        <v>33</v>
      </c>
      <c r="H41" s="24" t="str">
        <f t="shared" si="2"/>
        <v xml:space="preserve">   </v>
      </c>
      <c r="I41" s="24">
        <f t="shared" si="3"/>
        <v>40544</v>
      </c>
    </row>
    <row r="42" spans="1:9" s="2" customFormat="1" hidden="1" x14ac:dyDescent="0.25">
      <c r="A42" s="19">
        <v>37</v>
      </c>
      <c r="B42" s="25">
        <v>10</v>
      </c>
      <c r="C42" s="26" t="s">
        <v>73</v>
      </c>
      <c r="D42" s="27">
        <v>84089040</v>
      </c>
      <c r="E42" s="28" t="s">
        <v>32</v>
      </c>
      <c r="F42" s="25">
        <v>2008</v>
      </c>
      <c r="G42" s="29"/>
      <c r="H42" s="30" t="str">
        <f t="shared" si="2"/>
        <v xml:space="preserve">   </v>
      </c>
      <c r="I42" s="30" t="str">
        <f t="shared" si="3"/>
        <v xml:space="preserve">   </v>
      </c>
    </row>
    <row r="43" spans="1:9" s="2" customFormat="1" hidden="1" x14ac:dyDescent="0.25">
      <c r="A43" s="19">
        <v>38</v>
      </c>
      <c r="B43" s="20">
        <v>11</v>
      </c>
      <c r="C43" s="21" t="s">
        <v>74</v>
      </c>
      <c r="D43" s="22">
        <v>84089042</v>
      </c>
      <c r="E43" s="23" t="s">
        <v>32</v>
      </c>
      <c r="F43" s="20">
        <v>2008</v>
      </c>
      <c r="G43" s="23" t="s">
        <v>33</v>
      </c>
      <c r="H43" s="24" t="str">
        <f t="shared" si="2"/>
        <v xml:space="preserve">   </v>
      </c>
      <c r="I43" s="24">
        <f t="shared" si="3"/>
        <v>40544</v>
      </c>
    </row>
    <row r="44" spans="1:9" s="2" customFormat="1" hidden="1" x14ac:dyDescent="0.25">
      <c r="A44" s="19">
        <v>39</v>
      </c>
      <c r="B44" s="25">
        <v>12</v>
      </c>
      <c r="C44" s="26" t="s">
        <v>75</v>
      </c>
      <c r="D44" s="27">
        <v>84089044</v>
      </c>
      <c r="E44" s="28" t="s">
        <v>32</v>
      </c>
      <c r="F44" s="25">
        <v>2008</v>
      </c>
      <c r="G44" s="29"/>
      <c r="H44" s="30" t="str">
        <f t="shared" si="2"/>
        <v xml:space="preserve">   </v>
      </c>
      <c r="I44" s="30" t="str">
        <f t="shared" si="3"/>
        <v xml:space="preserve">   </v>
      </c>
    </row>
    <row r="45" spans="1:9" s="2" customFormat="1" hidden="1" x14ac:dyDescent="0.25">
      <c r="A45" s="19">
        <v>40</v>
      </c>
      <c r="B45" s="20">
        <v>13</v>
      </c>
      <c r="C45" s="21" t="s">
        <v>76</v>
      </c>
      <c r="D45" s="22">
        <v>84089045</v>
      </c>
      <c r="E45" s="23" t="s">
        <v>32</v>
      </c>
      <c r="F45" s="20">
        <v>2008</v>
      </c>
      <c r="G45" s="23" t="s">
        <v>33</v>
      </c>
      <c r="H45" s="24" t="str">
        <f t="shared" si="2"/>
        <v xml:space="preserve">   </v>
      </c>
      <c r="I45" s="24">
        <f t="shared" si="3"/>
        <v>40544</v>
      </c>
    </row>
    <row r="46" spans="1:9" s="2" customFormat="1" hidden="1" x14ac:dyDescent="0.25">
      <c r="A46" s="19">
        <v>41</v>
      </c>
      <c r="B46" s="25">
        <v>14</v>
      </c>
      <c r="C46" s="26" t="s">
        <v>77</v>
      </c>
      <c r="D46" s="27">
        <v>84089052</v>
      </c>
      <c r="E46" s="28" t="s">
        <v>32</v>
      </c>
      <c r="F46" s="25">
        <v>2008</v>
      </c>
      <c r="G46" s="29"/>
      <c r="H46" s="30" t="str">
        <f t="shared" si="2"/>
        <v xml:space="preserve">   </v>
      </c>
      <c r="I46" s="30" t="str">
        <f t="shared" si="3"/>
        <v xml:space="preserve">   </v>
      </c>
    </row>
    <row r="47" spans="1:9" s="2" customFormat="1" hidden="1" x14ac:dyDescent="0.25">
      <c r="A47" s="19">
        <v>42</v>
      </c>
      <c r="B47" s="25">
        <v>15</v>
      </c>
      <c r="C47" s="26" t="s">
        <v>78</v>
      </c>
      <c r="D47" s="27">
        <v>84089054</v>
      </c>
      <c r="E47" s="28" t="s">
        <v>32</v>
      </c>
      <c r="F47" s="25">
        <v>2008</v>
      </c>
      <c r="G47" s="29"/>
      <c r="H47" s="30" t="str">
        <f t="shared" si="2"/>
        <v xml:space="preserve">   </v>
      </c>
      <c r="I47" s="30" t="str">
        <f t="shared" si="3"/>
        <v xml:space="preserve">   </v>
      </c>
    </row>
    <row r="48" spans="1:9" s="2" customFormat="1" hidden="1" x14ac:dyDescent="0.25">
      <c r="A48" s="19">
        <v>43</v>
      </c>
      <c r="B48" s="25">
        <v>16</v>
      </c>
      <c r="C48" s="26" t="s">
        <v>79</v>
      </c>
      <c r="D48" s="27">
        <v>84089055</v>
      </c>
      <c r="E48" s="28" t="s">
        <v>32</v>
      </c>
      <c r="F48" s="25">
        <v>2008</v>
      </c>
      <c r="G48" s="29"/>
      <c r="H48" s="30" t="str">
        <f t="shared" si="2"/>
        <v xml:space="preserve">   </v>
      </c>
      <c r="I48" s="30" t="str">
        <f t="shared" si="3"/>
        <v xml:space="preserve">   </v>
      </c>
    </row>
    <row r="49" spans="1:9" s="2" customFormat="1" hidden="1" x14ac:dyDescent="0.25">
      <c r="A49" s="19">
        <v>44</v>
      </c>
      <c r="B49" s="25">
        <v>17</v>
      </c>
      <c r="C49" s="26" t="s">
        <v>80</v>
      </c>
      <c r="D49" s="27">
        <v>84089057</v>
      </c>
      <c r="E49" s="28" t="s">
        <v>32</v>
      </c>
      <c r="F49" s="25">
        <v>2008</v>
      </c>
      <c r="G49" s="29"/>
      <c r="H49" s="30" t="str">
        <f t="shared" si="2"/>
        <v xml:space="preserve">   </v>
      </c>
      <c r="I49" s="30" t="str">
        <f t="shared" si="3"/>
        <v xml:space="preserve">   </v>
      </c>
    </row>
    <row r="50" spans="1:9" s="2" customFormat="1" hidden="1" x14ac:dyDescent="0.25">
      <c r="A50" s="19">
        <v>45</v>
      </c>
      <c r="B50" s="25">
        <v>18</v>
      </c>
      <c r="C50" s="26" t="s">
        <v>81</v>
      </c>
      <c r="D50" s="27">
        <v>84089059</v>
      </c>
      <c r="E50" s="28" t="s">
        <v>32</v>
      </c>
      <c r="F50" s="25">
        <v>2008</v>
      </c>
      <c r="G50" s="29"/>
      <c r="H50" s="30" t="str">
        <f t="shared" si="2"/>
        <v xml:space="preserve">   </v>
      </c>
      <c r="I50" s="30" t="str">
        <f t="shared" si="3"/>
        <v xml:space="preserve">   </v>
      </c>
    </row>
    <row r="51" spans="1:9" s="2" customFormat="1" hidden="1" x14ac:dyDescent="0.25">
      <c r="A51" s="19">
        <v>46</v>
      </c>
      <c r="B51" s="25">
        <v>19</v>
      </c>
      <c r="C51" s="26" t="s">
        <v>82</v>
      </c>
      <c r="D51" s="27">
        <v>84089062</v>
      </c>
      <c r="E51" s="28" t="s">
        <v>32</v>
      </c>
      <c r="F51" s="25">
        <v>2008</v>
      </c>
      <c r="G51" s="29"/>
      <c r="H51" s="30" t="str">
        <f t="shared" si="2"/>
        <v xml:space="preserve">   </v>
      </c>
      <c r="I51" s="30" t="str">
        <f t="shared" si="3"/>
        <v xml:space="preserve">   </v>
      </c>
    </row>
    <row r="52" spans="1:9" s="2" customFormat="1" hidden="1" x14ac:dyDescent="0.25">
      <c r="A52" s="19">
        <v>47</v>
      </c>
      <c r="B52" s="25">
        <v>20</v>
      </c>
      <c r="C52" s="26" t="s">
        <v>83</v>
      </c>
      <c r="D52" s="27">
        <v>84089064</v>
      </c>
      <c r="E52" s="28" t="s">
        <v>32</v>
      </c>
      <c r="F52" s="25">
        <v>2008</v>
      </c>
      <c r="G52" s="29"/>
      <c r="H52" s="30" t="str">
        <f t="shared" si="2"/>
        <v xml:space="preserve">   </v>
      </c>
      <c r="I52" s="30" t="str">
        <f t="shared" si="3"/>
        <v xml:space="preserve">   </v>
      </c>
    </row>
    <row r="53" spans="1:9" s="2" customFormat="1" hidden="1" x14ac:dyDescent="0.25">
      <c r="A53" s="19">
        <v>48</v>
      </c>
      <c r="B53" s="25">
        <v>21</v>
      </c>
      <c r="C53" s="26" t="s">
        <v>84</v>
      </c>
      <c r="D53" s="27">
        <v>84089033</v>
      </c>
      <c r="E53" s="28" t="s">
        <v>32</v>
      </c>
      <c r="F53" s="25">
        <v>2008</v>
      </c>
      <c r="G53" s="29"/>
      <c r="H53" s="30" t="str">
        <f t="shared" si="2"/>
        <v xml:space="preserve">   </v>
      </c>
      <c r="I53" s="30" t="str">
        <f t="shared" si="3"/>
        <v xml:space="preserve">   </v>
      </c>
    </row>
    <row r="54" spans="1:9" s="2" customFormat="1" hidden="1" x14ac:dyDescent="0.25">
      <c r="A54" s="19">
        <v>49</v>
      </c>
      <c r="B54" s="25">
        <v>22</v>
      </c>
      <c r="C54" s="26" t="s">
        <v>85</v>
      </c>
      <c r="D54" s="27">
        <v>84089035</v>
      </c>
      <c r="E54" s="28" t="s">
        <v>32</v>
      </c>
      <c r="F54" s="25">
        <v>2008</v>
      </c>
      <c r="G54" s="29"/>
      <c r="H54" s="30" t="str">
        <f t="shared" si="2"/>
        <v xml:space="preserve">   </v>
      </c>
      <c r="I54" s="30" t="str">
        <f t="shared" si="3"/>
        <v xml:space="preserve">   </v>
      </c>
    </row>
    <row r="55" spans="1:9" s="2" customFormat="1" hidden="1" x14ac:dyDescent="0.25">
      <c r="A55" s="19">
        <v>50</v>
      </c>
      <c r="B55" s="20">
        <v>23</v>
      </c>
      <c r="C55" s="21" t="s">
        <v>86</v>
      </c>
      <c r="D55" s="22">
        <v>84089036</v>
      </c>
      <c r="E55" s="23" t="s">
        <v>32</v>
      </c>
      <c r="F55" s="20">
        <v>2008</v>
      </c>
      <c r="G55" s="23" t="s">
        <v>33</v>
      </c>
      <c r="H55" s="24" t="str">
        <f t="shared" si="2"/>
        <v xml:space="preserve">   </v>
      </c>
      <c r="I55" s="24">
        <f t="shared" si="3"/>
        <v>40544</v>
      </c>
    </row>
    <row r="56" spans="1:9" s="2" customFormat="1" hidden="1" x14ac:dyDescent="0.25">
      <c r="A56" s="19">
        <v>51</v>
      </c>
      <c r="B56" s="20">
        <v>24</v>
      </c>
      <c r="C56" s="21" t="s">
        <v>87</v>
      </c>
      <c r="D56" s="22">
        <v>84089002</v>
      </c>
      <c r="E56" s="23" t="s">
        <v>32</v>
      </c>
      <c r="F56" s="20">
        <v>2008</v>
      </c>
      <c r="G56" s="23" t="s">
        <v>33</v>
      </c>
      <c r="H56" s="24" t="str">
        <f t="shared" si="2"/>
        <v xml:space="preserve">   </v>
      </c>
      <c r="I56" s="24">
        <f t="shared" si="3"/>
        <v>40544</v>
      </c>
    </row>
    <row r="57" spans="1:9" s="2" customFormat="1" hidden="1" x14ac:dyDescent="0.25">
      <c r="A57" s="19">
        <v>52</v>
      </c>
      <c r="B57" s="25">
        <v>25</v>
      </c>
      <c r="C57" s="26" t="s">
        <v>88</v>
      </c>
      <c r="D57" s="27">
        <v>84089029</v>
      </c>
      <c r="E57" s="28" t="s">
        <v>32</v>
      </c>
      <c r="F57" s="25">
        <v>2008</v>
      </c>
      <c r="G57" s="29"/>
      <c r="H57" s="30" t="str">
        <f t="shared" si="2"/>
        <v xml:space="preserve">   </v>
      </c>
      <c r="I57" s="30" t="str">
        <f t="shared" si="3"/>
        <v xml:space="preserve">   </v>
      </c>
    </row>
    <row r="58" spans="1:9" s="2" customFormat="1" hidden="1" x14ac:dyDescent="0.25">
      <c r="A58" s="32"/>
      <c r="B58" s="32"/>
      <c r="D58" s="33"/>
      <c r="E58" s="34"/>
      <c r="F58" s="35" t="s">
        <v>61</v>
      </c>
      <c r="G58" s="3"/>
      <c r="H58" s="36" t="str">
        <f t="shared" si="2"/>
        <v xml:space="preserve">   </v>
      </c>
      <c r="I58" s="36" t="str">
        <f t="shared" si="3"/>
        <v xml:space="preserve">   </v>
      </c>
    </row>
    <row r="59" spans="1:9" s="2" customFormat="1" hidden="1" x14ac:dyDescent="0.25">
      <c r="A59" s="19">
        <v>53</v>
      </c>
      <c r="B59" s="25">
        <v>1</v>
      </c>
      <c r="C59" s="37" t="s">
        <v>89</v>
      </c>
      <c r="D59" s="38">
        <v>84089005</v>
      </c>
      <c r="E59" s="28" t="s">
        <v>32</v>
      </c>
      <c r="F59" s="25">
        <v>2008</v>
      </c>
      <c r="G59" s="29"/>
      <c r="H59" s="30" t="str">
        <f t="shared" si="2"/>
        <v xml:space="preserve">   </v>
      </c>
      <c r="I59" s="30" t="str">
        <f t="shared" si="3"/>
        <v xml:space="preserve">   </v>
      </c>
    </row>
    <row r="60" spans="1:9" s="2" customFormat="1" hidden="1" x14ac:dyDescent="0.25">
      <c r="A60" s="19">
        <v>54</v>
      </c>
      <c r="B60" s="25">
        <v>2</v>
      </c>
      <c r="C60" s="37" t="s">
        <v>91</v>
      </c>
      <c r="D60" s="38">
        <v>84089008</v>
      </c>
      <c r="E60" s="28" t="s">
        <v>32</v>
      </c>
      <c r="F60" s="25">
        <v>2008</v>
      </c>
      <c r="G60" s="29"/>
      <c r="H60" s="30" t="str">
        <f t="shared" si="2"/>
        <v xml:space="preserve">   </v>
      </c>
      <c r="I60" s="30" t="str">
        <f t="shared" si="3"/>
        <v xml:space="preserve">   </v>
      </c>
    </row>
    <row r="61" spans="1:9" s="2" customFormat="1" hidden="1" x14ac:dyDescent="0.25">
      <c r="A61" s="19">
        <v>55</v>
      </c>
      <c r="B61" s="25">
        <v>3</v>
      </c>
      <c r="C61" s="37" t="s">
        <v>92</v>
      </c>
      <c r="D61" s="38">
        <v>84089012</v>
      </c>
      <c r="E61" s="28" t="s">
        <v>32</v>
      </c>
      <c r="F61" s="25">
        <v>2008</v>
      </c>
      <c r="G61" s="29"/>
      <c r="H61" s="30" t="str">
        <f t="shared" si="2"/>
        <v xml:space="preserve">   </v>
      </c>
      <c r="I61" s="30" t="str">
        <f t="shared" si="3"/>
        <v xml:space="preserve">   </v>
      </c>
    </row>
    <row r="62" spans="1:9" s="2" customFormat="1" hidden="1" x14ac:dyDescent="0.25">
      <c r="A62" s="19">
        <v>56</v>
      </c>
      <c r="B62" s="25">
        <v>4</v>
      </c>
      <c r="C62" s="37" t="s">
        <v>94</v>
      </c>
      <c r="D62" s="38">
        <v>84089013</v>
      </c>
      <c r="E62" s="28" t="s">
        <v>32</v>
      </c>
      <c r="F62" s="25">
        <v>2008</v>
      </c>
      <c r="G62" s="29"/>
      <c r="H62" s="30" t="str">
        <f t="shared" si="2"/>
        <v xml:space="preserve">   </v>
      </c>
      <c r="I62" s="30" t="str">
        <f t="shared" si="3"/>
        <v xml:space="preserve">   </v>
      </c>
    </row>
    <row r="63" spans="1:9" s="2" customFormat="1" hidden="1" x14ac:dyDescent="0.25">
      <c r="A63" s="19">
        <v>57</v>
      </c>
      <c r="B63" s="25">
        <v>5</v>
      </c>
      <c r="C63" s="37" t="s">
        <v>95</v>
      </c>
      <c r="D63" s="38">
        <v>84089015</v>
      </c>
      <c r="E63" s="28" t="s">
        <v>32</v>
      </c>
      <c r="F63" s="25">
        <v>2008</v>
      </c>
      <c r="G63" s="29"/>
      <c r="H63" s="30" t="str">
        <f t="shared" si="2"/>
        <v xml:space="preserve">   </v>
      </c>
      <c r="I63" s="30" t="str">
        <f t="shared" si="3"/>
        <v xml:space="preserve">   </v>
      </c>
    </row>
    <row r="64" spans="1:9" s="2" customFormat="1" hidden="1" x14ac:dyDescent="0.25">
      <c r="A64" s="19">
        <v>58</v>
      </c>
      <c r="B64" s="25">
        <v>6</v>
      </c>
      <c r="C64" s="37" t="s">
        <v>96</v>
      </c>
      <c r="D64" s="38">
        <v>84089018</v>
      </c>
      <c r="E64" s="28" t="s">
        <v>32</v>
      </c>
      <c r="F64" s="25">
        <v>2008</v>
      </c>
      <c r="G64" s="29"/>
      <c r="H64" s="30" t="str">
        <f t="shared" si="2"/>
        <v xml:space="preserve">   </v>
      </c>
      <c r="I64" s="30" t="str">
        <f t="shared" si="3"/>
        <v xml:space="preserve">   </v>
      </c>
    </row>
    <row r="65" spans="1:9" s="2" customFormat="1" hidden="1" x14ac:dyDescent="0.25">
      <c r="A65" s="19">
        <v>59</v>
      </c>
      <c r="B65" s="25">
        <v>7</v>
      </c>
      <c r="C65" s="37" t="s">
        <v>99</v>
      </c>
      <c r="D65" s="38">
        <v>84089023</v>
      </c>
      <c r="E65" s="28" t="s">
        <v>32</v>
      </c>
      <c r="F65" s="25">
        <v>2008</v>
      </c>
      <c r="G65" s="29"/>
      <c r="H65" s="30" t="str">
        <f t="shared" si="2"/>
        <v xml:space="preserve">   </v>
      </c>
      <c r="I65" s="30" t="str">
        <f t="shared" si="3"/>
        <v xml:space="preserve">   </v>
      </c>
    </row>
    <row r="66" spans="1:9" s="2" customFormat="1" hidden="1" x14ac:dyDescent="0.25">
      <c r="A66" s="19">
        <v>60</v>
      </c>
      <c r="B66" s="25">
        <v>8</v>
      </c>
      <c r="C66" s="37" t="s">
        <v>100</v>
      </c>
      <c r="D66" s="38">
        <v>84089028</v>
      </c>
      <c r="E66" s="28" t="s">
        <v>32</v>
      </c>
      <c r="F66" s="25">
        <v>2008</v>
      </c>
      <c r="G66" s="29"/>
      <c r="H66" s="30" t="str">
        <f t="shared" si="2"/>
        <v xml:space="preserve">   </v>
      </c>
      <c r="I66" s="30" t="str">
        <f t="shared" si="3"/>
        <v xml:space="preserve">   </v>
      </c>
    </row>
    <row r="67" spans="1:9" s="2" customFormat="1" hidden="1" x14ac:dyDescent="0.25">
      <c r="A67" s="19">
        <v>61</v>
      </c>
      <c r="B67" s="20">
        <v>9</v>
      </c>
      <c r="C67" s="39" t="s">
        <v>101</v>
      </c>
      <c r="D67" s="40">
        <v>84089043</v>
      </c>
      <c r="E67" s="23" t="s">
        <v>32</v>
      </c>
      <c r="F67" s="20">
        <v>2008</v>
      </c>
      <c r="G67" s="23" t="s">
        <v>33</v>
      </c>
      <c r="H67" s="24" t="str">
        <f t="shared" si="2"/>
        <v xml:space="preserve">   </v>
      </c>
      <c r="I67" s="24">
        <f t="shared" si="3"/>
        <v>40544</v>
      </c>
    </row>
    <row r="68" spans="1:9" s="2" customFormat="1" hidden="1" x14ac:dyDescent="0.25">
      <c r="A68" s="19">
        <v>62</v>
      </c>
      <c r="B68" s="25">
        <v>10</v>
      </c>
      <c r="C68" s="37" t="s">
        <v>102</v>
      </c>
      <c r="D68" s="38">
        <v>84089046</v>
      </c>
      <c r="E68" s="28" t="s">
        <v>32</v>
      </c>
      <c r="F68" s="25">
        <v>2008</v>
      </c>
      <c r="G68" s="29"/>
      <c r="H68" s="30" t="str">
        <f t="shared" si="2"/>
        <v xml:space="preserve">   </v>
      </c>
      <c r="I68" s="30" t="str">
        <f t="shared" si="3"/>
        <v xml:space="preserve">   </v>
      </c>
    </row>
    <row r="69" spans="1:9" s="2" customFormat="1" hidden="1" x14ac:dyDescent="0.25">
      <c r="A69" s="19">
        <v>63</v>
      </c>
      <c r="B69" s="25">
        <v>11</v>
      </c>
      <c r="C69" s="37" t="s">
        <v>103</v>
      </c>
      <c r="D69" s="38">
        <v>84089048</v>
      </c>
      <c r="E69" s="28" t="s">
        <v>32</v>
      </c>
      <c r="F69" s="25">
        <v>2008</v>
      </c>
      <c r="G69" s="29"/>
      <c r="H69" s="30" t="str">
        <f t="shared" ref="H69:H100" si="4">IFERROR(VLOOKUP(D69,Tlus,3,FALSE),"   ")</f>
        <v xml:space="preserve">   </v>
      </c>
      <c r="I69" s="30" t="str">
        <f t="shared" ref="I69:I100" si="5">IFERROR(VLOOKUP(D69,Wis,4,FALSE),"   ")</f>
        <v xml:space="preserve">   </v>
      </c>
    </row>
    <row r="70" spans="1:9" s="2" customFormat="1" hidden="1" x14ac:dyDescent="0.25">
      <c r="A70" s="19">
        <v>64</v>
      </c>
      <c r="B70" s="25">
        <v>12</v>
      </c>
      <c r="C70" s="37" t="s">
        <v>104</v>
      </c>
      <c r="D70" s="38">
        <v>84089056</v>
      </c>
      <c r="E70" s="28" t="s">
        <v>32</v>
      </c>
      <c r="F70" s="25">
        <v>2008</v>
      </c>
      <c r="G70" s="29"/>
      <c r="H70" s="30" t="str">
        <f t="shared" si="4"/>
        <v xml:space="preserve">   </v>
      </c>
      <c r="I70" s="30" t="str">
        <f t="shared" si="5"/>
        <v xml:space="preserve">   </v>
      </c>
    </row>
    <row r="71" spans="1:9" s="2" customFormat="1" hidden="1" x14ac:dyDescent="0.25">
      <c r="A71" s="19">
        <v>65</v>
      </c>
      <c r="B71" s="25">
        <v>13</v>
      </c>
      <c r="C71" s="37" t="s">
        <v>105</v>
      </c>
      <c r="D71" s="38">
        <v>84089058</v>
      </c>
      <c r="E71" s="28" t="s">
        <v>32</v>
      </c>
      <c r="F71" s="25">
        <v>2008</v>
      </c>
      <c r="G71" s="29"/>
      <c r="H71" s="30" t="str">
        <f t="shared" si="4"/>
        <v xml:space="preserve">   </v>
      </c>
      <c r="I71" s="30" t="str">
        <f t="shared" si="5"/>
        <v xml:space="preserve">   </v>
      </c>
    </row>
    <row r="72" spans="1:9" s="2" customFormat="1" hidden="1" x14ac:dyDescent="0.25">
      <c r="A72" s="19">
        <v>66</v>
      </c>
      <c r="B72" s="25">
        <v>14</v>
      </c>
      <c r="C72" s="37" t="s">
        <v>106</v>
      </c>
      <c r="D72" s="38">
        <v>84089065</v>
      </c>
      <c r="E72" s="28" t="s">
        <v>32</v>
      </c>
      <c r="F72" s="25">
        <v>2008</v>
      </c>
      <c r="G72" s="29"/>
      <c r="H72" s="30" t="str">
        <f t="shared" si="4"/>
        <v xml:space="preserve">   </v>
      </c>
      <c r="I72" s="30" t="str">
        <f t="shared" si="5"/>
        <v xml:space="preserve">   </v>
      </c>
    </row>
    <row r="73" spans="1:9" s="2" customFormat="1" hidden="1" x14ac:dyDescent="0.25">
      <c r="A73" s="19">
        <v>67</v>
      </c>
      <c r="B73" s="25">
        <v>15</v>
      </c>
      <c r="C73" s="37" t="s">
        <v>107</v>
      </c>
      <c r="D73" s="38">
        <v>84089066</v>
      </c>
      <c r="E73" s="28" t="s">
        <v>32</v>
      </c>
      <c r="F73" s="25">
        <v>2008</v>
      </c>
      <c r="G73" s="29"/>
      <c r="H73" s="30" t="str">
        <f t="shared" si="4"/>
        <v xml:space="preserve">   </v>
      </c>
      <c r="I73" s="30" t="str">
        <f t="shared" si="5"/>
        <v xml:space="preserve">   </v>
      </c>
    </row>
    <row r="74" spans="1:9" s="2" customFormat="1" hidden="1" x14ac:dyDescent="0.25">
      <c r="A74" s="19">
        <v>68</v>
      </c>
      <c r="B74" s="20">
        <v>16</v>
      </c>
      <c r="C74" s="39" t="s">
        <v>108</v>
      </c>
      <c r="D74" s="40">
        <v>84089019</v>
      </c>
      <c r="E74" s="23" t="s">
        <v>32</v>
      </c>
      <c r="F74" s="20">
        <v>2008</v>
      </c>
      <c r="G74" s="23" t="s">
        <v>33</v>
      </c>
      <c r="H74" s="24" t="str">
        <f t="shared" si="4"/>
        <v xml:space="preserve">   </v>
      </c>
      <c r="I74" s="24">
        <f t="shared" si="5"/>
        <v>40544</v>
      </c>
    </row>
    <row r="75" spans="1:9" s="2" customFormat="1" hidden="1" x14ac:dyDescent="0.25">
      <c r="A75" s="32"/>
      <c r="B75" s="32"/>
      <c r="D75" s="33"/>
      <c r="E75" s="34"/>
      <c r="F75" s="35" t="s">
        <v>61</v>
      </c>
      <c r="G75" s="3"/>
      <c r="H75" s="36" t="str">
        <f t="shared" si="4"/>
        <v xml:space="preserve">   </v>
      </c>
      <c r="I75" s="36" t="str">
        <f t="shared" si="5"/>
        <v xml:space="preserve">   </v>
      </c>
    </row>
    <row r="76" spans="1:9" s="2" customFormat="1" hidden="1" x14ac:dyDescent="0.25">
      <c r="A76" s="32"/>
      <c r="B76" s="41" t="s">
        <v>109</v>
      </c>
      <c r="C76" s="41"/>
      <c r="D76" s="27"/>
      <c r="E76" s="28"/>
      <c r="F76" s="25" t="s">
        <v>61</v>
      </c>
      <c r="G76" s="29"/>
      <c r="H76" s="30" t="str">
        <f t="shared" si="4"/>
        <v xml:space="preserve">   </v>
      </c>
      <c r="I76" s="30" t="str">
        <f t="shared" si="5"/>
        <v xml:space="preserve">   </v>
      </c>
    </row>
    <row r="77" spans="1:9" s="2" customFormat="1" hidden="1" x14ac:dyDescent="0.25">
      <c r="A77" s="19">
        <v>69</v>
      </c>
      <c r="B77" s="42">
        <v>1</v>
      </c>
      <c r="C77" s="43" t="s">
        <v>110</v>
      </c>
      <c r="D77" s="44">
        <v>84089070</v>
      </c>
      <c r="E77" s="45" t="s">
        <v>32</v>
      </c>
      <c r="F77" s="42">
        <v>2009</v>
      </c>
      <c r="G77" s="46"/>
      <c r="H77" s="47" t="str">
        <f t="shared" si="4"/>
        <v xml:space="preserve">   </v>
      </c>
      <c r="I77" s="47" t="str">
        <f t="shared" si="5"/>
        <v xml:space="preserve">   </v>
      </c>
    </row>
    <row r="78" spans="1:9" s="2" customFormat="1" hidden="1" x14ac:dyDescent="0.25">
      <c r="A78" s="19">
        <v>70</v>
      </c>
      <c r="B78" s="20">
        <v>2</v>
      </c>
      <c r="C78" s="39" t="s">
        <v>111</v>
      </c>
      <c r="D78" s="40">
        <v>84089071</v>
      </c>
      <c r="E78" s="23" t="s">
        <v>32</v>
      </c>
      <c r="F78" s="20">
        <v>2009</v>
      </c>
      <c r="G78" s="23" t="s">
        <v>33</v>
      </c>
      <c r="H78" s="24" t="str">
        <f t="shared" si="4"/>
        <v xml:space="preserve">   </v>
      </c>
      <c r="I78" s="24">
        <f t="shared" si="5"/>
        <v>40544</v>
      </c>
    </row>
    <row r="79" spans="1:9" s="2" customFormat="1" hidden="1" x14ac:dyDescent="0.25">
      <c r="A79" s="19">
        <v>71</v>
      </c>
      <c r="B79" s="20">
        <v>3</v>
      </c>
      <c r="C79" s="39" t="s">
        <v>112</v>
      </c>
      <c r="D79" s="40">
        <v>84089072</v>
      </c>
      <c r="E79" s="23" t="s">
        <v>32</v>
      </c>
      <c r="F79" s="20">
        <v>2009</v>
      </c>
      <c r="G79" s="23" t="s">
        <v>33</v>
      </c>
      <c r="H79" s="24" t="str">
        <f t="shared" si="4"/>
        <v xml:space="preserve">   </v>
      </c>
      <c r="I79" s="24">
        <f t="shared" si="5"/>
        <v>40544</v>
      </c>
    </row>
    <row r="80" spans="1:9" s="2" customFormat="1" hidden="1" x14ac:dyDescent="0.25">
      <c r="A80" s="19">
        <v>72</v>
      </c>
      <c r="B80" s="20">
        <v>4</v>
      </c>
      <c r="C80" s="39" t="s">
        <v>113</v>
      </c>
      <c r="D80" s="40">
        <v>84089073</v>
      </c>
      <c r="E80" s="23" t="s">
        <v>32</v>
      </c>
      <c r="F80" s="20">
        <v>2009</v>
      </c>
      <c r="G80" s="23" t="s">
        <v>33</v>
      </c>
      <c r="H80" s="24" t="str">
        <f t="shared" si="4"/>
        <v xml:space="preserve">   </v>
      </c>
      <c r="I80" s="24">
        <f t="shared" si="5"/>
        <v>40544</v>
      </c>
    </row>
    <row r="81" spans="1:9" s="2" customFormat="1" hidden="1" x14ac:dyDescent="0.25">
      <c r="A81" s="19">
        <v>73</v>
      </c>
      <c r="B81" s="20">
        <v>5</v>
      </c>
      <c r="C81" s="39" t="s">
        <v>114</v>
      </c>
      <c r="D81" s="40">
        <v>84089074</v>
      </c>
      <c r="E81" s="23" t="s">
        <v>32</v>
      </c>
      <c r="F81" s="20">
        <v>2009</v>
      </c>
      <c r="G81" s="23" t="s">
        <v>33</v>
      </c>
      <c r="H81" s="24" t="str">
        <f t="shared" si="4"/>
        <v xml:space="preserve">   </v>
      </c>
      <c r="I81" s="24">
        <f t="shared" si="5"/>
        <v>40544</v>
      </c>
    </row>
    <row r="82" spans="1:9" s="2" customFormat="1" hidden="1" x14ac:dyDescent="0.25">
      <c r="A82" s="19">
        <v>74</v>
      </c>
      <c r="B82" s="25">
        <v>6</v>
      </c>
      <c r="C82" s="37" t="s">
        <v>116</v>
      </c>
      <c r="D82" s="38">
        <v>84089075</v>
      </c>
      <c r="E82" s="28" t="s">
        <v>32</v>
      </c>
      <c r="F82" s="25">
        <v>2009</v>
      </c>
      <c r="G82" s="29"/>
      <c r="H82" s="30" t="str">
        <f t="shared" si="4"/>
        <v xml:space="preserve">   </v>
      </c>
      <c r="I82" s="30" t="str">
        <f t="shared" si="5"/>
        <v xml:space="preserve">   </v>
      </c>
    </row>
    <row r="83" spans="1:9" s="2" customFormat="1" hidden="1" x14ac:dyDescent="0.25">
      <c r="A83" s="19">
        <v>75</v>
      </c>
      <c r="B83" s="20">
        <v>7</v>
      </c>
      <c r="C83" s="39" t="s">
        <v>118</v>
      </c>
      <c r="D83" s="40">
        <v>84089076</v>
      </c>
      <c r="E83" s="23" t="s">
        <v>32</v>
      </c>
      <c r="F83" s="20">
        <v>2009</v>
      </c>
      <c r="G83" s="23" t="s">
        <v>33</v>
      </c>
      <c r="H83" s="24" t="str">
        <f t="shared" si="4"/>
        <v xml:space="preserve">   </v>
      </c>
      <c r="I83" s="24">
        <f t="shared" si="5"/>
        <v>40544</v>
      </c>
    </row>
    <row r="84" spans="1:9" s="2" customFormat="1" hidden="1" x14ac:dyDescent="0.25">
      <c r="A84" s="19">
        <v>76</v>
      </c>
      <c r="B84" s="25">
        <v>8</v>
      </c>
      <c r="C84" s="37" t="s">
        <v>119</v>
      </c>
      <c r="D84" s="38">
        <v>84089077</v>
      </c>
      <c r="E84" s="28" t="s">
        <v>32</v>
      </c>
      <c r="F84" s="25">
        <v>2009</v>
      </c>
      <c r="G84" s="29"/>
      <c r="H84" s="30" t="str">
        <f t="shared" si="4"/>
        <v xml:space="preserve">   </v>
      </c>
      <c r="I84" s="30" t="str">
        <f t="shared" si="5"/>
        <v xml:space="preserve">   </v>
      </c>
    </row>
    <row r="85" spans="1:9" s="2" customFormat="1" hidden="1" x14ac:dyDescent="0.25">
      <c r="A85" s="19">
        <v>77</v>
      </c>
      <c r="B85" s="20">
        <v>9</v>
      </c>
      <c r="C85" s="39" t="s">
        <v>120</v>
      </c>
      <c r="D85" s="40">
        <v>84089078</v>
      </c>
      <c r="E85" s="23" t="s">
        <v>32</v>
      </c>
      <c r="F85" s="20">
        <v>2009</v>
      </c>
      <c r="G85" s="23" t="s">
        <v>33</v>
      </c>
      <c r="H85" s="24" t="str">
        <f t="shared" si="4"/>
        <v xml:space="preserve">   </v>
      </c>
      <c r="I85" s="24">
        <f t="shared" si="5"/>
        <v>40544</v>
      </c>
    </row>
    <row r="86" spans="1:9" s="2" customFormat="1" hidden="1" x14ac:dyDescent="0.25">
      <c r="A86" s="19">
        <v>78</v>
      </c>
      <c r="B86" s="20">
        <v>10</v>
      </c>
      <c r="C86" s="39" t="s">
        <v>121</v>
      </c>
      <c r="D86" s="40">
        <v>84089079</v>
      </c>
      <c r="E86" s="23" t="s">
        <v>32</v>
      </c>
      <c r="F86" s="20">
        <v>2009</v>
      </c>
      <c r="G86" s="31" t="s">
        <v>33</v>
      </c>
      <c r="H86" s="24" t="str">
        <f t="shared" si="4"/>
        <v xml:space="preserve">   </v>
      </c>
      <c r="I86" s="24">
        <f t="shared" si="5"/>
        <v>41640</v>
      </c>
    </row>
    <row r="87" spans="1:9" s="2" customFormat="1" hidden="1" x14ac:dyDescent="0.25">
      <c r="A87" s="19">
        <v>79</v>
      </c>
      <c r="B87" s="25">
        <v>11</v>
      </c>
      <c r="C87" s="37" t="s">
        <v>122</v>
      </c>
      <c r="D87" s="38">
        <v>84089080</v>
      </c>
      <c r="E87" s="28" t="s">
        <v>32</v>
      </c>
      <c r="F87" s="25">
        <v>2009</v>
      </c>
      <c r="G87" s="29"/>
      <c r="H87" s="30" t="str">
        <f t="shared" si="4"/>
        <v xml:space="preserve">   </v>
      </c>
      <c r="I87" s="30" t="str">
        <f t="shared" si="5"/>
        <v xml:space="preserve">   </v>
      </c>
    </row>
    <row r="88" spans="1:9" s="2" customFormat="1" hidden="1" x14ac:dyDescent="0.25">
      <c r="A88" s="19">
        <v>80</v>
      </c>
      <c r="B88" s="25">
        <v>12</v>
      </c>
      <c r="C88" s="37" t="s">
        <v>123</v>
      </c>
      <c r="D88" s="38">
        <v>84089081</v>
      </c>
      <c r="E88" s="28" t="s">
        <v>32</v>
      </c>
      <c r="F88" s="25">
        <v>2009</v>
      </c>
      <c r="G88" s="29"/>
      <c r="H88" s="30" t="str">
        <f t="shared" si="4"/>
        <v xml:space="preserve">   </v>
      </c>
      <c r="I88" s="30" t="str">
        <f t="shared" si="5"/>
        <v xml:space="preserve">   </v>
      </c>
    </row>
    <row r="89" spans="1:9" s="2" customFormat="1" hidden="1" x14ac:dyDescent="0.25">
      <c r="A89" s="19">
        <v>81</v>
      </c>
      <c r="B89" s="20">
        <v>13</v>
      </c>
      <c r="C89" s="39" t="s">
        <v>126</v>
      </c>
      <c r="D89" s="40">
        <v>84089082</v>
      </c>
      <c r="E89" s="23" t="s">
        <v>32</v>
      </c>
      <c r="F89" s="20">
        <v>2009</v>
      </c>
      <c r="G89" s="31" t="s">
        <v>33</v>
      </c>
      <c r="H89" s="24" t="str">
        <f t="shared" si="4"/>
        <v xml:space="preserve">   </v>
      </c>
      <c r="I89" s="24">
        <f t="shared" si="5"/>
        <v>41275</v>
      </c>
    </row>
    <row r="90" spans="1:9" s="2" customFormat="1" hidden="1" x14ac:dyDescent="0.25">
      <c r="A90" s="19">
        <v>82</v>
      </c>
      <c r="B90" s="20">
        <v>14</v>
      </c>
      <c r="C90" s="39" t="s">
        <v>129</v>
      </c>
      <c r="D90" s="40">
        <v>84089083</v>
      </c>
      <c r="E90" s="23" t="s">
        <v>32</v>
      </c>
      <c r="F90" s="20">
        <v>2009</v>
      </c>
      <c r="G90" s="23" t="s">
        <v>33</v>
      </c>
      <c r="H90" s="24" t="str">
        <f t="shared" si="4"/>
        <v xml:space="preserve">   </v>
      </c>
      <c r="I90" s="24">
        <f t="shared" si="5"/>
        <v>40544</v>
      </c>
    </row>
    <row r="91" spans="1:9" s="2" customFormat="1" hidden="1" x14ac:dyDescent="0.25">
      <c r="A91" s="19">
        <v>83</v>
      </c>
      <c r="B91" s="20">
        <v>15</v>
      </c>
      <c r="C91" s="39" t="s">
        <v>131</v>
      </c>
      <c r="D91" s="40">
        <v>84089084</v>
      </c>
      <c r="E91" s="23" t="s">
        <v>32</v>
      </c>
      <c r="F91" s="20">
        <v>2009</v>
      </c>
      <c r="G91" s="23" t="s">
        <v>33</v>
      </c>
      <c r="H91" s="24" t="str">
        <f t="shared" si="4"/>
        <v xml:space="preserve">   </v>
      </c>
      <c r="I91" s="24">
        <f t="shared" si="5"/>
        <v>40544</v>
      </c>
    </row>
    <row r="92" spans="1:9" s="2" customFormat="1" hidden="1" x14ac:dyDescent="0.25">
      <c r="A92" s="19">
        <v>84</v>
      </c>
      <c r="B92" s="20">
        <v>16</v>
      </c>
      <c r="C92" s="39" t="s">
        <v>132</v>
      </c>
      <c r="D92" s="40">
        <v>84089085</v>
      </c>
      <c r="E92" s="23" t="s">
        <v>32</v>
      </c>
      <c r="F92" s="20">
        <v>2009</v>
      </c>
      <c r="G92" s="31" t="s">
        <v>33</v>
      </c>
      <c r="H92" s="24" t="str">
        <f t="shared" si="4"/>
        <v xml:space="preserve">   </v>
      </c>
      <c r="I92" s="24">
        <f t="shared" si="5"/>
        <v>41275</v>
      </c>
    </row>
    <row r="93" spans="1:9" s="2" customFormat="1" hidden="1" x14ac:dyDescent="0.25">
      <c r="A93" s="19">
        <v>85</v>
      </c>
      <c r="B93" s="20">
        <v>17</v>
      </c>
      <c r="C93" s="39" t="s">
        <v>135</v>
      </c>
      <c r="D93" s="40">
        <v>84089086</v>
      </c>
      <c r="E93" s="23" t="s">
        <v>32</v>
      </c>
      <c r="F93" s="20">
        <v>2009</v>
      </c>
      <c r="G93" s="23" t="s">
        <v>33</v>
      </c>
      <c r="H93" s="24" t="str">
        <f t="shared" si="4"/>
        <v xml:space="preserve">   </v>
      </c>
      <c r="I93" s="24">
        <f t="shared" si="5"/>
        <v>40544</v>
      </c>
    </row>
    <row r="94" spans="1:9" s="2" customFormat="1" hidden="1" x14ac:dyDescent="0.25">
      <c r="A94" s="19">
        <v>86</v>
      </c>
      <c r="B94" s="42">
        <v>18</v>
      </c>
      <c r="C94" s="43" t="s">
        <v>136</v>
      </c>
      <c r="D94" s="44">
        <v>84089087</v>
      </c>
      <c r="E94" s="45" t="s">
        <v>32</v>
      </c>
      <c r="F94" s="42">
        <v>2009</v>
      </c>
      <c r="G94" s="46"/>
      <c r="H94" s="47" t="str">
        <f t="shared" si="4"/>
        <v xml:space="preserve">   </v>
      </c>
      <c r="I94" s="47" t="str">
        <f t="shared" si="5"/>
        <v xml:space="preserve">   </v>
      </c>
    </row>
    <row r="95" spans="1:9" s="2" customFormat="1" hidden="1" x14ac:dyDescent="0.25">
      <c r="A95" s="19">
        <v>87</v>
      </c>
      <c r="B95" s="20">
        <v>19</v>
      </c>
      <c r="C95" s="39" t="s">
        <v>138</v>
      </c>
      <c r="D95" s="40">
        <v>84089088</v>
      </c>
      <c r="E95" s="23" t="s">
        <v>32</v>
      </c>
      <c r="F95" s="20">
        <v>2009</v>
      </c>
      <c r="G95" s="23" t="s">
        <v>33</v>
      </c>
      <c r="H95" s="24" t="str">
        <f t="shared" si="4"/>
        <v xml:space="preserve">   </v>
      </c>
      <c r="I95" s="24">
        <f t="shared" si="5"/>
        <v>40544</v>
      </c>
    </row>
    <row r="96" spans="1:9" s="2" customFormat="1" hidden="1" x14ac:dyDescent="0.25">
      <c r="A96" s="19">
        <v>88</v>
      </c>
      <c r="B96" s="20">
        <v>20</v>
      </c>
      <c r="C96" s="39" t="s">
        <v>139</v>
      </c>
      <c r="D96" s="40">
        <v>84089089</v>
      </c>
      <c r="E96" s="23" t="s">
        <v>32</v>
      </c>
      <c r="F96" s="20">
        <v>2009</v>
      </c>
      <c r="G96" s="23" t="s">
        <v>33</v>
      </c>
      <c r="H96" s="24" t="str">
        <f t="shared" si="4"/>
        <v xml:space="preserve">   </v>
      </c>
      <c r="I96" s="24">
        <f t="shared" si="5"/>
        <v>40544</v>
      </c>
    </row>
    <row r="97" spans="1:9" s="2" customFormat="1" hidden="1" x14ac:dyDescent="0.25">
      <c r="A97" s="19">
        <v>89</v>
      </c>
      <c r="B97" s="20">
        <v>21</v>
      </c>
      <c r="C97" s="39" t="s">
        <v>140</v>
      </c>
      <c r="D97" s="40">
        <v>84089090</v>
      </c>
      <c r="E97" s="23" t="s">
        <v>32</v>
      </c>
      <c r="F97" s="20">
        <v>2009</v>
      </c>
      <c r="G97" s="23" t="s">
        <v>33</v>
      </c>
      <c r="H97" s="24" t="str">
        <f t="shared" si="4"/>
        <v xml:space="preserve">   </v>
      </c>
      <c r="I97" s="24">
        <f t="shared" si="5"/>
        <v>40544</v>
      </c>
    </row>
    <row r="98" spans="1:9" s="2" customFormat="1" hidden="1" x14ac:dyDescent="0.25">
      <c r="A98" s="19">
        <v>90</v>
      </c>
      <c r="B98" s="20">
        <v>22</v>
      </c>
      <c r="C98" s="39" t="s">
        <v>141</v>
      </c>
      <c r="D98" s="40">
        <v>84089091</v>
      </c>
      <c r="E98" s="23" t="s">
        <v>32</v>
      </c>
      <c r="F98" s="20">
        <v>2009</v>
      </c>
      <c r="G98" s="23" t="s">
        <v>33</v>
      </c>
      <c r="H98" s="24" t="str">
        <f t="shared" si="4"/>
        <v xml:space="preserve">   </v>
      </c>
      <c r="I98" s="24">
        <f t="shared" si="5"/>
        <v>40544</v>
      </c>
    </row>
    <row r="99" spans="1:9" s="2" customFormat="1" hidden="1" x14ac:dyDescent="0.25">
      <c r="A99" s="19">
        <v>91</v>
      </c>
      <c r="B99" s="20">
        <v>23</v>
      </c>
      <c r="C99" s="39" t="s">
        <v>143</v>
      </c>
      <c r="D99" s="40">
        <v>84089092</v>
      </c>
      <c r="E99" s="23" t="s">
        <v>32</v>
      </c>
      <c r="F99" s="20">
        <v>2009</v>
      </c>
      <c r="G99" s="23" t="s">
        <v>33</v>
      </c>
      <c r="H99" s="24" t="str">
        <f t="shared" si="4"/>
        <v xml:space="preserve">   </v>
      </c>
      <c r="I99" s="24">
        <f t="shared" si="5"/>
        <v>40544</v>
      </c>
    </row>
    <row r="100" spans="1:9" s="2" customFormat="1" hidden="1" x14ac:dyDescent="0.25">
      <c r="A100" s="19">
        <v>92</v>
      </c>
      <c r="B100" s="42">
        <v>24</v>
      </c>
      <c r="C100" s="43" t="s">
        <v>144</v>
      </c>
      <c r="D100" s="44">
        <v>84089093</v>
      </c>
      <c r="E100" s="45" t="s">
        <v>32</v>
      </c>
      <c r="F100" s="42">
        <v>2009</v>
      </c>
      <c r="G100" s="46"/>
      <c r="H100" s="47" t="str">
        <f t="shared" si="4"/>
        <v xml:space="preserve">   </v>
      </c>
      <c r="I100" s="47">
        <f t="shared" si="5"/>
        <v>40544</v>
      </c>
    </row>
    <row r="101" spans="1:9" s="2" customFormat="1" hidden="1" x14ac:dyDescent="0.25">
      <c r="A101" s="19">
        <v>93</v>
      </c>
      <c r="B101" s="42">
        <v>25</v>
      </c>
      <c r="C101" s="43" t="s">
        <v>145</v>
      </c>
      <c r="D101" s="44">
        <v>84089094</v>
      </c>
      <c r="E101" s="45" t="s">
        <v>32</v>
      </c>
      <c r="F101" s="42">
        <v>2009</v>
      </c>
      <c r="G101" s="46"/>
      <c r="H101" s="47" t="str">
        <f t="shared" ref="H101:H106" si="6">IFERROR(VLOOKUP(D101,Tlus,3,FALSE),"   ")</f>
        <v xml:space="preserve">   </v>
      </c>
      <c r="I101" s="47" t="str">
        <f t="shared" ref="I101:I106" si="7">IFERROR(VLOOKUP(D101,Wis,4,FALSE),"   ")</f>
        <v xml:space="preserve">   </v>
      </c>
    </row>
    <row r="102" spans="1:9" s="2" customFormat="1" hidden="1" x14ac:dyDescent="0.25">
      <c r="A102" s="19">
        <v>94</v>
      </c>
      <c r="B102" s="20">
        <v>26</v>
      </c>
      <c r="C102" s="39" t="s">
        <v>147</v>
      </c>
      <c r="D102" s="40">
        <v>84089095</v>
      </c>
      <c r="E102" s="23" t="s">
        <v>32</v>
      </c>
      <c r="F102" s="20">
        <v>2009</v>
      </c>
      <c r="G102" s="23" t="s">
        <v>33</v>
      </c>
      <c r="H102" s="24" t="str">
        <f t="shared" si="6"/>
        <v xml:space="preserve">   </v>
      </c>
      <c r="I102" s="24">
        <f t="shared" si="7"/>
        <v>40544</v>
      </c>
    </row>
    <row r="103" spans="1:9" s="2" customFormat="1" hidden="1" x14ac:dyDescent="0.25">
      <c r="A103" s="19">
        <v>95</v>
      </c>
      <c r="B103" s="20">
        <v>27</v>
      </c>
      <c r="C103" s="39" t="s">
        <v>150</v>
      </c>
      <c r="D103" s="40">
        <v>84089096</v>
      </c>
      <c r="E103" s="23" t="s">
        <v>32</v>
      </c>
      <c r="F103" s="20">
        <v>2009</v>
      </c>
      <c r="G103" s="23" t="s">
        <v>33</v>
      </c>
      <c r="H103" s="24" t="str">
        <f t="shared" si="6"/>
        <v xml:space="preserve">   </v>
      </c>
      <c r="I103" s="24">
        <f t="shared" si="7"/>
        <v>40544</v>
      </c>
    </row>
    <row r="104" spans="1:9" s="2" customFormat="1" hidden="1" x14ac:dyDescent="0.25">
      <c r="A104" s="19">
        <v>96</v>
      </c>
      <c r="B104" s="20">
        <v>28</v>
      </c>
      <c r="C104" s="39" t="s">
        <v>151</v>
      </c>
      <c r="D104" s="40">
        <v>84089097</v>
      </c>
      <c r="E104" s="23" t="s">
        <v>32</v>
      </c>
      <c r="F104" s="20">
        <v>2009</v>
      </c>
      <c r="G104" s="23" t="s">
        <v>33</v>
      </c>
      <c r="H104" s="24" t="str">
        <f t="shared" si="6"/>
        <v xml:space="preserve">   </v>
      </c>
      <c r="I104" s="24">
        <f t="shared" si="7"/>
        <v>40544</v>
      </c>
    </row>
    <row r="105" spans="1:9" s="2" customFormat="1" hidden="1" x14ac:dyDescent="0.25">
      <c r="A105" s="19">
        <v>97</v>
      </c>
      <c r="B105" s="25">
        <v>29</v>
      </c>
      <c r="C105" s="37" t="s">
        <v>153</v>
      </c>
      <c r="D105" s="38">
        <v>84089098</v>
      </c>
      <c r="E105" s="28" t="s">
        <v>32</v>
      </c>
      <c r="F105" s="25">
        <v>2009</v>
      </c>
      <c r="G105" s="29"/>
      <c r="H105" s="30" t="str">
        <f t="shared" si="6"/>
        <v xml:space="preserve">   </v>
      </c>
      <c r="I105" s="30" t="str">
        <f t="shared" si="7"/>
        <v xml:space="preserve">   </v>
      </c>
    </row>
    <row r="106" spans="1:9" s="2" customFormat="1" hidden="1" x14ac:dyDescent="0.25">
      <c r="A106" s="32"/>
      <c r="B106" s="32"/>
      <c r="D106" s="33"/>
      <c r="E106" s="34"/>
      <c r="F106" s="35" t="s">
        <v>61</v>
      </c>
      <c r="G106" s="3"/>
      <c r="H106" s="36" t="str">
        <f t="shared" si="6"/>
        <v xml:space="preserve">   </v>
      </c>
      <c r="I106" s="36" t="str">
        <f t="shared" si="7"/>
        <v xml:space="preserve">   </v>
      </c>
    </row>
    <row r="107" spans="1:9" s="4" customFormat="1" hidden="1" x14ac:dyDescent="0.25">
      <c r="A107" s="32"/>
      <c r="B107" s="48" t="s">
        <v>155</v>
      </c>
      <c r="C107" s="48"/>
      <c r="D107" s="49"/>
      <c r="E107" s="50"/>
      <c r="F107" s="51" t="s">
        <v>61</v>
      </c>
      <c r="G107" s="52"/>
      <c r="H107" s="53"/>
      <c r="I107" s="53"/>
    </row>
    <row r="108" spans="1:9" s="2" customFormat="1" hidden="1" x14ac:dyDescent="0.25">
      <c r="A108" s="19">
        <v>98</v>
      </c>
      <c r="B108" s="20">
        <v>1</v>
      </c>
      <c r="C108" s="39" t="s">
        <v>156</v>
      </c>
      <c r="D108" s="40">
        <v>84099001</v>
      </c>
      <c r="E108" s="23" t="s">
        <v>32</v>
      </c>
      <c r="F108" s="20">
        <v>2009</v>
      </c>
      <c r="G108" s="23" t="s">
        <v>33</v>
      </c>
      <c r="H108" s="24" t="str">
        <f t="shared" ref="H108:H171" si="8">IFERROR(VLOOKUP(D108,Tlus,3,FALSE),"   ")</f>
        <v xml:space="preserve">   </v>
      </c>
      <c r="I108" s="24">
        <f t="shared" ref="I108:I171" si="9">IFERROR(VLOOKUP(D108,Wis,4,FALSE),"   ")</f>
        <v>42504</v>
      </c>
    </row>
    <row r="109" spans="1:9" s="2" customFormat="1" hidden="1" x14ac:dyDescent="0.25">
      <c r="A109" s="19">
        <v>99</v>
      </c>
      <c r="B109" s="42">
        <v>2</v>
      </c>
      <c r="C109" s="43" t="s">
        <v>158</v>
      </c>
      <c r="D109" s="44">
        <v>84099002</v>
      </c>
      <c r="E109" s="28" t="s">
        <v>32</v>
      </c>
      <c r="F109" s="25">
        <v>2009</v>
      </c>
      <c r="G109" s="29"/>
      <c r="H109" s="30" t="str">
        <f t="shared" si="8"/>
        <v xml:space="preserve">   </v>
      </c>
      <c r="I109" s="30" t="str">
        <f t="shared" si="9"/>
        <v xml:space="preserve">   </v>
      </c>
    </row>
    <row r="110" spans="1:9" s="2" customFormat="1" hidden="1" x14ac:dyDescent="0.25">
      <c r="A110" s="19">
        <v>100</v>
      </c>
      <c r="B110" s="42">
        <v>3</v>
      </c>
      <c r="C110" s="43" t="s">
        <v>160</v>
      </c>
      <c r="D110" s="44">
        <v>84099003</v>
      </c>
      <c r="E110" s="28" t="s">
        <v>32</v>
      </c>
      <c r="F110" s="25">
        <v>2009</v>
      </c>
      <c r="G110" s="29"/>
      <c r="H110" s="30" t="str">
        <f t="shared" si="8"/>
        <v xml:space="preserve">   </v>
      </c>
      <c r="I110" s="30" t="str">
        <f t="shared" si="9"/>
        <v xml:space="preserve">   </v>
      </c>
    </row>
    <row r="111" spans="1:9" s="2" customFormat="1" hidden="1" x14ac:dyDescent="0.25">
      <c r="A111" s="19">
        <v>101</v>
      </c>
      <c r="B111" s="25">
        <v>4</v>
      </c>
      <c r="C111" s="37" t="s">
        <v>161</v>
      </c>
      <c r="D111" s="38">
        <v>84099004</v>
      </c>
      <c r="E111" s="28" t="s">
        <v>32</v>
      </c>
      <c r="F111" s="25">
        <v>2009</v>
      </c>
      <c r="G111" s="29"/>
      <c r="H111" s="30" t="str">
        <f t="shared" si="8"/>
        <v xml:space="preserve">   </v>
      </c>
      <c r="I111" s="30" t="str">
        <f t="shared" si="9"/>
        <v xml:space="preserve">   </v>
      </c>
    </row>
    <row r="112" spans="1:9" s="2" customFormat="1" hidden="1" x14ac:dyDescent="0.25">
      <c r="A112" s="19">
        <v>102</v>
      </c>
      <c r="B112" s="20">
        <v>5</v>
      </c>
      <c r="C112" s="39" t="s">
        <v>162</v>
      </c>
      <c r="D112" s="40">
        <v>84099005</v>
      </c>
      <c r="E112" s="23" t="s">
        <v>32</v>
      </c>
      <c r="F112" s="20">
        <v>2009</v>
      </c>
      <c r="G112" s="23" t="s">
        <v>33</v>
      </c>
      <c r="H112" s="24" t="str">
        <f t="shared" si="8"/>
        <v xml:space="preserve">   </v>
      </c>
      <c r="I112" s="24">
        <f t="shared" si="9"/>
        <v>40544</v>
      </c>
    </row>
    <row r="113" spans="1:9" s="2" customFormat="1" hidden="1" x14ac:dyDescent="0.25">
      <c r="A113" s="19">
        <v>103</v>
      </c>
      <c r="B113" s="20">
        <v>6</v>
      </c>
      <c r="C113" s="39" t="s">
        <v>163</v>
      </c>
      <c r="D113" s="40">
        <v>84099006</v>
      </c>
      <c r="E113" s="23" t="s">
        <v>32</v>
      </c>
      <c r="F113" s="20">
        <v>2009</v>
      </c>
      <c r="G113" s="23" t="s">
        <v>33</v>
      </c>
      <c r="H113" s="24" t="str">
        <f t="shared" si="8"/>
        <v xml:space="preserve">   </v>
      </c>
      <c r="I113" s="24">
        <f t="shared" si="9"/>
        <v>40544</v>
      </c>
    </row>
    <row r="114" spans="1:9" s="2" customFormat="1" hidden="1" x14ac:dyDescent="0.25">
      <c r="A114" s="19">
        <v>104</v>
      </c>
      <c r="B114" s="20">
        <v>7</v>
      </c>
      <c r="C114" s="39" t="s">
        <v>166</v>
      </c>
      <c r="D114" s="40">
        <v>84099007</v>
      </c>
      <c r="E114" s="23" t="s">
        <v>32</v>
      </c>
      <c r="F114" s="20">
        <v>2009</v>
      </c>
      <c r="G114" s="23" t="s">
        <v>33</v>
      </c>
      <c r="H114" s="24" t="str">
        <f t="shared" si="8"/>
        <v xml:space="preserve">   </v>
      </c>
      <c r="I114" s="24">
        <f t="shared" si="9"/>
        <v>40544</v>
      </c>
    </row>
    <row r="115" spans="1:9" s="2" customFormat="1" hidden="1" x14ac:dyDescent="0.25">
      <c r="A115" s="19">
        <v>105</v>
      </c>
      <c r="B115" s="25">
        <v>8</v>
      </c>
      <c r="C115" s="37" t="s">
        <v>167</v>
      </c>
      <c r="D115" s="38">
        <v>84099008</v>
      </c>
      <c r="E115" s="28" t="s">
        <v>32</v>
      </c>
      <c r="F115" s="25">
        <v>2009</v>
      </c>
      <c r="G115" s="29"/>
      <c r="H115" s="30" t="str">
        <f t="shared" si="8"/>
        <v xml:space="preserve">   </v>
      </c>
      <c r="I115" s="30" t="str">
        <f t="shared" si="9"/>
        <v xml:space="preserve">   </v>
      </c>
    </row>
    <row r="116" spans="1:9" s="2" customFormat="1" hidden="1" x14ac:dyDescent="0.25">
      <c r="A116" s="19">
        <v>106</v>
      </c>
      <c r="B116" s="25">
        <v>9</v>
      </c>
      <c r="C116" s="37" t="s">
        <v>168</v>
      </c>
      <c r="D116" s="38">
        <v>84099009</v>
      </c>
      <c r="E116" s="28" t="s">
        <v>32</v>
      </c>
      <c r="F116" s="25">
        <v>2009</v>
      </c>
      <c r="G116" s="29"/>
      <c r="H116" s="30" t="str">
        <f t="shared" si="8"/>
        <v xml:space="preserve">   </v>
      </c>
      <c r="I116" s="30" t="str">
        <f t="shared" si="9"/>
        <v xml:space="preserve">   </v>
      </c>
    </row>
    <row r="117" spans="1:9" s="2" customFormat="1" hidden="1" x14ac:dyDescent="0.25">
      <c r="A117" s="19">
        <v>107</v>
      </c>
      <c r="B117" s="25">
        <v>10</v>
      </c>
      <c r="C117" s="37" t="s">
        <v>169</v>
      </c>
      <c r="D117" s="38">
        <v>84099010</v>
      </c>
      <c r="E117" s="28" t="s">
        <v>32</v>
      </c>
      <c r="F117" s="25">
        <v>2009</v>
      </c>
      <c r="G117" s="29"/>
      <c r="H117" s="30" t="str">
        <f t="shared" si="8"/>
        <v xml:space="preserve">   </v>
      </c>
      <c r="I117" s="30" t="str">
        <f t="shared" si="9"/>
        <v xml:space="preserve">   </v>
      </c>
    </row>
    <row r="118" spans="1:9" s="2" customFormat="1" hidden="1" x14ac:dyDescent="0.25">
      <c r="A118" s="19">
        <v>108</v>
      </c>
      <c r="B118" s="20">
        <v>11</v>
      </c>
      <c r="C118" s="39" t="s">
        <v>171</v>
      </c>
      <c r="D118" s="40">
        <v>84099011</v>
      </c>
      <c r="E118" s="23" t="s">
        <v>32</v>
      </c>
      <c r="F118" s="20">
        <v>2009</v>
      </c>
      <c r="G118" s="23" t="s">
        <v>33</v>
      </c>
      <c r="H118" s="24" t="str">
        <f t="shared" si="8"/>
        <v xml:space="preserve">   </v>
      </c>
      <c r="I118" s="24">
        <f t="shared" si="9"/>
        <v>40544</v>
      </c>
    </row>
    <row r="119" spans="1:9" s="2" customFormat="1" hidden="1" x14ac:dyDescent="0.25">
      <c r="A119" s="19">
        <v>109</v>
      </c>
      <c r="B119" s="25">
        <v>12</v>
      </c>
      <c r="C119" s="37" t="s">
        <v>172</v>
      </c>
      <c r="D119" s="38">
        <v>84099012</v>
      </c>
      <c r="E119" s="28" t="s">
        <v>32</v>
      </c>
      <c r="F119" s="25">
        <v>2009</v>
      </c>
      <c r="G119" s="29"/>
      <c r="H119" s="30" t="str">
        <f t="shared" si="8"/>
        <v xml:space="preserve">   </v>
      </c>
      <c r="I119" s="30" t="str">
        <f t="shared" si="9"/>
        <v xml:space="preserve">   </v>
      </c>
    </row>
    <row r="120" spans="1:9" s="2" customFormat="1" hidden="1" x14ac:dyDescent="0.25">
      <c r="A120" s="19">
        <v>110</v>
      </c>
      <c r="B120" s="25">
        <v>13</v>
      </c>
      <c r="C120" s="37" t="s">
        <v>173</v>
      </c>
      <c r="D120" s="38">
        <v>84099013</v>
      </c>
      <c r="E120" s="28" t="s">
        <v>32</v>
      </c>
      <c r="F120" s="25">
        <v>2009</v>
      </c>
      <c r="G120" s="29"/>
      <c r="H120" s="30" t="str">
        <f t="shared" si="8"/>
        <v xml:space="preserve">   </v>
      </c>
      <c r="I120" s="30" t="str">
        <f t="shared" si="9"/>
        <v xml:space="preserve">   </v>
      </c>
    </row>
    <row r="121" spans="1:9" s="2" customFormat="1" hidden="1" x14ac:dyDescent="0.25">
      <c r="A121" s="19">
        <v>111</v>
      </c>
      <c r="B121" s="20">
        <v>14</v>
      </c>
      <c r="C121" s="39" t="s">
        <v>175</v>
      </c>
      <c r="D121" s="40">
        <v>84099014</v>
      </c>
      <c r="E121" s="23" t="s">
        <v>32</v>
      </c>
      <c r="F121" s="20">
        <v>2009</v>
      </c>
      <c r="G121" s="23" t="s">
        <v>33</v>
      </c>
      <c r="H121" s="24" t="str">
        <f t="shared" si="8"/>
        <v xml:space="preserve">   </v>
      </c>
      <c r="I121" s="24">
        <f t="shared" si="9"/>
        <v>40544</v>
      </c>
    </row>
    <row r="122" spans="1:9" s="2" customFormat="1" hidden="1" x14ac:dyDescent="0.25">
      <c r="A122" s="19">
        <v>112</v>
      </c>
      <c r="B122" s="25">
        <v>15</v>
      </c>
      <c r="C122" s="37" t="s">
        <v>176</v>
      </c>
      <c r="D122" s="38">
        <v>84099015</v>
      </c>
      <c r="E122" s="28" t="s">
        <v>32</v>
      </c>
      <c r="F122" s="25">
        <v>2009</v>
      </c>
      <c r="G122" s="29"/>
      <c r="H122" s="30" t="str">
        <f t="shared" si="8"/>
        <v xml:space="preserve">   </v>
      </c>
      <c r="I122" s="30" t="str">
        <f t="shared" si="9"/>
        <v xml:space="preserve">   </v>
      </c>
    </row>
    <row r="123" spans="1:9" s="2" customFormat="1" hidden="1" x14ac:dyDescent="0.25">
      <c r="A123" s="19">
        <v>113</v>
      </c>
      <c r="B123" s="20">
        <v>16</v>
      </c>
      <c r="C123" s="39" t="s">
        <v>177</v>
      </c>
      <c r="D123" s="40">
        <v>84099016</v>
      </c>
      <c r="E123" s="23" t="s">
        <v>32</v>
      </c>
      <c r="F123" s="20">
        <v>2009</v>
      </c>
      <c r="G123" s="23" t="s">
        <v>33</v>
      </c>
      <c r="H123" s="24" t="str">
        <f t="shared" si="8"/>
        <v xml:space="preserve">   </v>
      </c>
      <c r="I123" s="24">
        <f t="shared" si="9"/>
        <v>40544</v>
      </c>
    </row>
    <row r="124" spans="1:9" s="2" customFormat="1" hidden="1" x14ac:dyDescent="0.25">
      <c r="A124" s="19">
        <v>114</v>
      </c>
      <c r="B124" s="25">
        <v>17</v>
      </c>
      <c r="C124" s="37" t="s">
        <v>178</v>
      </c>
      <c r="D124" s="38">
        <v>84099017</v>
      </c>
      <c r="E124" s="28" t="s">
        <v>32</v>
      </c>
      <c r="F124" s="25">
        <v>2009</v>
      </c>
      <c r="G124" s="29"/>
      <c r="H124" s="30" t="str">
        <f t="shared" si="8"/>
        <v xml:space="preserve">   </v>
      </c>
      <c r="I124" s="30" t="str">
        <f t="shared" si="9"/>
        <v xml:space="preserve">   </v>
      </c>
    </row>
    <row r="125" spans="1:9" s="2" customFormat="1" hidden="1" x14ac:dyDescent="0.25">
      <c r="A125" s="19">
        <v>115</v>
      </c>
      <c r="B125" s="25">
        <v>18</v>
      </c>
      <c r="C125" s="37" t="s">
        <v>179</v>
      </c>
      <c r="D125" s="38">
        <v>84099018</v>
      </c>
      <c r="E125" s="28" t="s">
        <v>32</v>
      </c>
      <c r="F125" s="25">
        <v>2009</v>
      </c>
      <c r="G125" s="29"/>
      <c r="H125" s="30" t="str">
        <f t="shared" si="8"/>
        <v xml:space="preserve">   </v>
      </c>
      <c r="I125" s="30" t="str">
        <f t="shared" si="9"/>
        <v xml:space="preserve">   </v>
      </c>
    </row>
    <row r="126" spans="1:9" s="2" customFormat="1" hidden="1" x14ac:dyDescent="0.25">
      <c r="A126" s="19">
        <v>116</v>
      </c>
      <c r="B126" s="25">
        <v>19</v>
      </c>
      <c r="C126" s="37" t="s">
        <v>180</v>
      </c>
      <c r="D126" s="38">
        <v>84099019</v>
      </c>
      <c r="E126" s="28" t="s">
        <v>32</v>
      </c>
      <c r="F126" s="25">
        <v>2009</v>
      </c>
      <c r="G126" s="29"/>
      <c r="H126" s="30" t="str">
        <f t="shared" si="8"/>
        <v xml:space="preserve">   </v>
      </c>
      <c r="I126" s="30" t="str">
        <f t="shared" si="9"/>
        <v xml:space="preserve">   </v>
      </c>
    </row>
    <row r="127" spans="1:9" s="2" customFormat="1" hidden="1" x14ac:dyDescent="0.25">
      <c r="A127" s="19">
        <v>117</v>
      </c>
      <c r="B127" s="25">
        <v>20</v>
      </c>
      <c r="C127" s="37" t="s">
        <v>182</v>
      </c>
      <c r="D127" s="38">
        <v>84099020</v>
      </c>
      <c r="E127" s="28" t="s">
        <v>32</v>
      </c>
      <c r="F127" s="25">
        <v>2009</v>
      </c>
      <c r="G127" s="29"/>
      <c r="H127" s="30" t="str">
        <f t="shared" si="8"/>
        <v xml:space="preserve">   </v>
      </c>
      <c r="I127" s="30" t="str">
        <f t="shared" si="9"/>
        <v xml:space="preserve">   </v>
      </c>
    </row>
    <row r="128" spans="1:9" s="2" customFormat="1" hidden="1" x14ac:dyDescent="0.25">
      <c r="A128" s="19">
        <v>118</v>
      </c>
      <c r="B128" s="25">
        <v>21</v>
      </c>
      <c r="C128" s="37" t="s">
        <v>185</v>
      </c>
      <c r="D128" s="38">
        <v>84099021</v>
      </c>
      <c r="E128" s="28" t="s">
        <v>32</v>
      </c>
      <c r="F128" s="25">
        <v>2009</v>
      </c>
      <c r="G128" s="29"/>
      <c r="H128" s="30" t="str">
        <f t="shared" si="8"/>
        <v xml:space="preserve">   </v>
      </c>
      <c r="I128" s="30" t="str">
        <f t="shared" si="9"/>
        <v xml:space="preserve">   </v>
      </c>
    </row>
    <row r="129" spans="1:9" s="2" customFormat="1" hidden="1" x14ac:dyDescent="0.25">
      <c r="A129" s="19">
        <v>119</v>
      </c>
      <c r="B129" s="25">
        <v>22</v>
      </c>
      <c r="C129" s="37" t="s">
        <v>186</v>
      </c>
      <c r="D129" s="38">
        <v>84099022</v>
      </c>
      <c r="E129" s="28" t="s">
        <v>32</v>
      </c>
      <c r="F129" s="25">
        <v>2009</v>
      </c>
      <c r="G129" s="29"/>
      <c r="H129" s="30" t="str">
        <f t="shared" si="8"/>
        <v xml:space="preserve">   </v>
      </c>
      <c r="I129" s="30" t="str">
        <f t="shared" si="9"/>
        <v xml:space="preserve">   </v>
      </c>
    </row>
    <row r="130" spans="1:9" s="2" customFormat="1" hidden="1" x14ac:dyDescent="0.25">
      <c r="A130" s="19">
        <v>120</v>
      </c>
      <c r="B130" s="25">
        <v>23</v>
      </c>
      <c r="C130" s="37" t="s">
        <v>188</v>
      </c>
      <c r="D130" s="38">
        <v>84099023</v>
      </c>
      <c r="E130" s="28" t="s">
        <v>32</v>
      </c>
      <c r="F130" s="25">
        <v>2009</v>
      </c>
      <c r="G130" s="29"/>
      <c r="H130" s="30" t="str">
        <f t="shared" si="8"/>
        <v xml:space="preserve">   </v>
      </c>
      <c r="I130" s="30" t="str">
        <f t="shared" si="9"/>
        <v xml:space="preserve">   </v>
      </c>
    </row>
    <row r="131" spans="1:9" s="2" customFormat="1" hidden="1" x14ac:dyDescent="0.25">
      <c r="A131" s="19">
        <v>121</v>
      </c>
      <c r="B131" s="25">
        <v>24</v>
      </c>
      <c r="C131" s="37" t="s">
        <v>189</v>
      </c>
      <c r="D131" s="38">
        <v>84099024</v>
      </c>
      <c r="E131" s="28" t="s">
        <v>32</v>
      </c>
      <c r="F131" s="25">
        <v>2009</v>
      </c>
      <c r="G131" s="29"/>
      <c r="H131" s="30" t="str">
        <f t="shared" si="8"/>
        <v xml:space="preserve">   </v>
      </c>
      <c r="I131" s="30" t="str">
        <f t="shared" si="9"/>
        <v xml:space="preserve">   </v>
      </c>
    </row>
    <row r="132" spans="1:9" s="2" customFormat="1" hidden="1" x14ac:dyDescent="0.25">
      <c r="A132" s="19">
        <v>122</v>
      </c>
      <c r="B132" s="25">
        <v>25</v>
      </c>
      <c r="C132" s="37" t="s">
        <v>191</v>
      </c>
      <c r="D132" s="38">
        <v>84099025</v>
      </c>
      <c r="E132" s="28" t="s">
        <v>32</v>
      </c>
      <c r="F132" s="25">
        <v>2009</v>
      </c>
      <c r="G132" s="29"/>
      <c r="H132" s="30" t="str">
        <f t="shared" si="8"/>
        <v xml:space="preserve">   </v>
      </c>
      <c r="I132" s="30" t="str">
        <f t="shared" si="9"/>
        <v xml:space="preserve">   </v>
      </c>
    </row>
    <row r="133" spans="1:9" s="2" customFormat="1" hidden="1" x14ac:dyDescent="0.25">
      <c r="A133" s="19">
        <v>123</v>
      </c>
      <c r="B133" s="20">
        <v>26</v>
      </c>
      <c r="C133" s="39" t="s">
        <v>192</v>
      </c>
      <c r="D133" s="40">
        <v>84099026</v>
      </c>
      <c r="E133" s="23" t="s">
        <v>32</v>
      </c>
      <c r="F133" s="20">
        <v>2009</v>
      </c>
      <c r="G133" s="31" t="s">
        <v>33</v>
      </c>
      <c r="H133" s="24" t="str">
        <f t="shared" si="8"/>
        <v xml:space="preserve">   </v>
      </c>
      <c r="I133" s="24">
        <f t="shared" si="9"/>
        <v>41275</v>
      </c>
    </row>
    <row r="134" spans="1:9" s="2" customFormat="1" hidden="1" x14ac:dyDescent="0.25">
      <c r="A134" s="19">
        <v>124</v>
      </c>
      <c r="B134" s="25">
        <v>27</v>
      </c>
      <c r="C134" s="37" t="s">
        <v>193</v>
      </c>
      <c r="D134" s="38">
        <v>84099027</v>
      </c>
      <c r="E134" s="28" t="s">
        <v>32</v>
      </c>
      <c r="F134" s="25">
        <v>2009</v>
      </c>
      <c r="G134" s="29"/>
      <c r="H134" s="30" t="str">
        <f t="shared" si="8"/>
        <v xml:space="preserve">   </v>
      </c>
      <c r="I134" s="30" t="str">
        <f t="shared" si="9"/>
        <v xml:space="preserve">   </v>
      </c>
    </row>
    <row r="135" spans="1:9" s="2" customFormat="1" hidden="1" x14ac:dyDescent="0.25">
      <c r="A135" s="19">
        <v>125</v>
      </c>
      <c r="B135" s="25">
        <v>28</v>
      </c>
      <c r="C135" s="37" t="s">
        <v>195</v>
      </c>
      <c r="D135" s="38">
        <v>84099028</v>
      </c>
      <c r="E135" s="28" t="s">
        <v>32</v>
      </c>
      <c r="F135" s="25">
        <v>2009</v>
      </c>
      <c r="G135" s="29"/>
      <c r="H135" s="30" t="str">
        <f t="shared" si="8"/>
        <v xml:space="preserve">   </v>
      </c>
      <c r="I135" s="30" t="str">
        <f t="shared" si="9"/>
        <v xml:space="preserve">   </v>
      </c>
    </row>
    <row r="136" spans="1:9" s="2" customFormat="1" hidden="1" x14ac:dyDescent="0.25">
      <c r="A136" s="19">
        <v>126</v>
      </c>
      <c r="B136" s="25">
        <v>29</v>
      </c>
      <c r="C136" s="37" t="s">
        <v>198</v>
      </c>
      <c r="D136" s="38">
        <v>84099029</v>
      </c>
      <c r="E136" s="28" t="s">
        <v>32</v>
      </c>
      <c r="F136" s="25">
        <v>2009</v>
      </c>
      <c r="G136" s="29"/>
      <c r="H136" s="30" t="str">
        <f t="shared" si="8"/>
        <v xml:space="preserve">   </v>
      </c>
      <c r="I136" s="30" t="str">
        <f t="shared" si="9"/>
        <v xml:space="preserve">   </v>
      </c>
    </row>
    <row r="137" spans="1:9" s="2" customFormat="1" hidden="1" x14ac:dyDescent="0.25">
      <c r="A137" s="19">
        <v>127</v>
      </c>
      <c r="B137" s="25">
        <v>30</v>
      </c>
      <c r="C137" s="37" t="s">
        <v>201</v>
      </c>
      <c r="D137" s="38">
        <v>84099030</v>
      </c>
      <c r="E137" s="28" t="s">
        <v>32</v>
      </c>
      <c r="F137" s="25">
        <v>2009</v>
      </c>
      <c r="G137" s="29"/>
      <c r="H137" s="30" t="str">
        <f t="shared" si="8"/>
        <v xml:space="preserve">   </v>
      </c>
      <c r="I137" s="30" t="str">
        <f t="shared" si="9"/>
        <v xml:space="preserve">   </v>
      </c>
    </row>
    <row r="138" spans="1:9" s="2" customFormat="1" hidden="1" x14ac:dyDescent="0.25">
      <c r="A138" s="19">
        <v>128</v>
      </c>
      <c r="B138" s="25">
        <v>31</v>
      </c>
      <c r="C138" s="37" t="s">
        <v>202</v>
      </c>
      <c r="D138" s="38">
        <v>84099031</v>
      </c>
      <c r="E138" s="28" t="s">
        <v>32</v>
      </c>
      <c r="F138" s="25">
        <v>2009</v>
      </c>
      <c r="G138" s="29"/>
      <c r="H138" s="30" t="str">
        <f t="shared" si="8"/>
        <v xml:space="preserve">   </v>
      </c>
      <c r="I138" s="30" t="str">
        <f t="shared" si="9"/>
        <v xml:space="preserve">   </v>
      </c>
    </row>
    <row r="139" spans="1:9" s="2" customFormat="1" hidden="1" x14ac:dyDescent="0.25">
      <c r="A139" s="19">
        <v>129</v>
      </c>
      <c r="B139" s="25">
        <v>32</v>
      </c>
      <c r="C139" s="37" t="s">
        <v>203</v>
      </c>
      <c r="D139" s="38">
        <v>84099032</v>
      </c>
      <c r="E139" s="28" t="s">
        <v>32</v>
      </c>
      <c r="F139" s="25">
        <v>2009</v>
      </c>
      <c r="G139" s="29"/>
      <c r="H139" s="30" t="str">
        <f t="shared" si="8"/>
        <v xml:space="preserve">   </v>
      </c>
      <c r="I139" s="30" t="str">
        <f t="shared" si="9"/>
        <v xml:space="preserve">   </v>
      </c>
    </row>
    <row r="140" spans="1:9" s="2" customFormat="1" hidden="1" x14ac:dyDescent="0.25">
      <c r="A140" s="19">
        <v>130</v>
      </c>
      <c r="B140" s="25">
        <v>33</v>
      </c>
      <c r="C140" s="37" t="s">
        <v>205</v>
      </c>
      <c r="D140" s="38">
        <v>84099033</v>
      </c>
      <c r="E140" s="28" t="s">
        <v>32</v>
      </c>
      <c r="F140" s="25">
        <v>2009</v>
      </c>
      <c r="G140" s="29"/>
      <c r="H140" s="30" t="str">
        <f t="shared" si="8"/>
        <v xml:space="preserve">   </v>
      </c>
      <c r="I140" s="30" t="str">
        <f t="shared" si="9"/>
        <v xml:space="preserve">   </v>
      </c>
    </row>
    <row r="141" spans="1:9" s="2" customFormat="1" hidden="1" x14ac:dyDescent="0.25">
      <c r="A141" s="19">
        <v>131</v>
      </c>
      <c r="B141" s="20">
        <v>34</v>
      </c>
      <c r="C141" s="39" t="s">
        <v>206</v>
      </c>
      <c r="D141" s="40">
        <v>84099034</v>
      </c>
      <c r="E141" s="23" t="s">
        <v>32</v>
      </c>
      <c r="F141" s="20">
        <v>2009</v>
      </c>
      <c r="G141" s="23" t="s">
        <v>33</v>
      </c>
      <c r="H141" s="24" t="str">
        <f t="shared" si="8"/>
        <v xml:space="preserve">   </v>
      </c>
      <c r="I141" s="24">
        <f t="shared" si="9"/>
        <v>40544</v>
      </c>
    </row>
    <row r="142" spans="1:9" s="2" customFormat="1" hidden="1" x14ac:dyDescent="0.25">
      <c r="A142" s="19">
        <v>132</v>
      </c>
      <c r="B142" s="25">
        <v>35</v>
      </c>
      <c r="C142" s="37" t="s">
        <v>208</v>
      </c>
      <c r="D142" s="38">
        <v>84099035</v>
      </c>
      <c r="E142" s="28" t="s">
        <v>32</v>
      </c>
      <c r="F142" s="25">
        <v>2009</v>
      </c>
      <c r="G142" s="29"/>
      <c r="H142" s="30" t="str">
        <f t="shared" si="8"/>
        <v xml:space="preserve">   </v>
      </c>
      <c r="I142" s="30" t="str">
        <f t="shared" si="9"/>
        <v xml:space="preserve">   </v>
      </c>
    </row>
    <row r="143" spans="1:9" s="2" customFormat="1" hidden="1" x14ac:dyDescent="0.25">
      <c r="A143" s="19">
        <v>133</v>
      </c>
      <c r="B143" s="25">
        <v>36</v>
      </c>
      <c r="C143" s="37" t="s">
        <v>209</v>
      </c>
      <c r="D143" s="38">
        <v>84099036</v>
      </c>
      <c r="E143" s="28" t="s">
        <v>32</v>
      </c>
      <c r="F143" s="25">
        <v>2009</v>
      </c>
      <c r="G143" s="29"/>
      <c r="H143" s="30" t="str">
        <f t="shared" si="8"/>
        <v xml:space="preserve">   </v>
      </c>
      <c r="I143" s="30" t="str">
        <f t="shared" si="9"/>
        <v xml:space="preserve">   </v>
      </c>
    </row>
    <row r="144" spans="1:9" s="2" customFormat="1" hidden="1" x14ac:dyDescent="0.25">
      <c r="A144" s="19">
        <v>134</v>
      </c>
      <c r="B144" s="25">
        <v>37</v>
      </c>
      <c r="C144" s="37" t="s">
        <v>210</v>
      </c>
      <c r="D144" s="38">
        <v>84099037</v>
      </c>
      <c r="E144" s="28" t="s">
        <v>32</v>
      </c>
      <c r="F144" s="25">
        <v>2009</v>
      </c>
      <c r="G144" s="29"/>
      <c r="H144" s="30" t="str">
        <f t="shared" si="8"/>
        <v xml:space="preserve">   </v>
      </c>
      <c r="I144" s="30" t="str">
        <f t="shared" si="9"/>
        <v xml:space="preserve">   </v>
      </c>
    </row>
    <row r="145" spans="1:9" s="2" customFormat="1" hidden="1" x14ac:dyDescent="0.25">
      <c r="A145" s="19">
        <v>135</v>
      </c>
      <c r="B145" s="25">
        <v>38</v>
      </c>
      <c r="C145" s="37" t="s">
        <v>211</v>
      </c>
      <c r="D145" s="38">
        <v>84099038</v>
      </c>
      <c r="E145" s="28" t="s">
        <v>32</v>
      </c>
      <c r="F145" s="25">
        <v>2009</v>
      </c>
      <c r="G145" s="29"/>
      <c r="H145" s="30" t="str">
        <f t="shared" si="8"/>
        <v xml:space="preserve">   </v>
      </c>
      <c r="I145" s="30" t="str">
        <f t="shared" si="9"/>
        <v xml:space="preserve">   </v>
      </c>
    </row>
    <row r="146" spans="1:9" s="2" customFormat="1" hidden="1" x14ac:dyDescent="0.25">
      <c r="A146" s="32"/>
      <c r="B146" s="32"/>
      <c r="D146" s="33"/>
      <c r="E146" s="34"/>
      <c r="F146" s="35" t="s">
        <v>61</v>
      </c>
      <c r="G146" s="3"/>
      <c r="H146" s="36" t="str">
        <f t="shared" si="8"/>
        <v xml:space="preserve">   </v>
      </c>
      <c r="I146" s="36" t="str">
        <f t="shared" si="9"/>
        <v xml:space="preserve">   </v>
      </c>
    </row>
    <row r="147" spans="1:9" s="4" customFormat="1" hidden="1" x14ac:dyDescent="0.25">
      <c r="A147" s="32"/>
      <c r="B147" s="54" t="s">
        <v>212</v>
      </c>
      <c r="C147" s="55"/>
      <c r="D147" s="56"/>
      <c r="E147" s="50"/>
      <c r="F147" s="51" t="s">
        <v>61</v>
      </c>
      <c r="G147" s="52"/>
      <c r="H147" s="53" t="str">
        <f t="shared" si="8"/>
        <v xml:space="preserve">   </v>
      </c>
      <c r="I147" s="53" t="str">
        <f t="shared" si="9"/>
        <v xml:space="preserve">   </v>
      </c>
    </row>
    <row r="148" spans="1:9" s="2" customFormat="1" hidden="1" x14ac:dyDescent="0.25">
      <c r="A148" s="19">
        <v>136</v>
      </c>
      <c r="B148" s="57">
        <v>1</v>
      </c>
      <c r="C148" s="37" t="s">
        <v>213</v>
      </c>
      <c r="D148" s="38">
        <v>849199039</v>
      </c>
      <c r="E148" s="28" t="s">
        <v>32</v>
      </c>
      <c r="F148" s="57">
        <v>2010</v>
      </c>
      <c r="G148" s="28"/>
      <c r="H148" s="58" t="str">
        <f t="shared" si="8"/>
        <v xml:space="preserve">   </v>
      </c>
      <c r="I148" s="58" t="str">
        <f t="shared" si="9"/>
        <v xml:space="preserve">   </v>
      </c>
    </row>
    <row r="149" spans="1:9" s="2" customFormat="1" hidden="1" x14ac:dyDescent="0.25">
      <c r="A149" s="19">
        <v>137</v>
      </c>
      <c r="B149" s="57">
        <v>2</v>
      </c>
      <c r="C149" s="37" t="s">
        <v>214</v>
      </c>
      <c r="D149" s="38">
        <v>849199040</v>
      </c>
      <c r="E149" s="28" t="s">
        <v>32</v>
      </c>
      <c r="F149" s="57">
        <v>2010</v>
      </c>
      <c r="G149" s="28"/>
      <c r="H149" s="58" t="str">
        <f t="shared" si="8"/>
        <v xml:space="preserve">   </v>
      </c>
      <c r="I149" s="58" t="str">
        <f t="shared" si="9"/>
        <v xml:space="preserve">   </v>
      </c>
    </row>
    <row r="150" spans="1:9" s="2" customFormat="1" hidden="1" x14ac:dyDescent="0.25">
      <c r="A150" s="19">
        <v>138</v>
      </c>
      <c r="B150" s="57">
        <v>3</v>
      </c>
      <c r="C150" s="37" t="s">
        <v>216</v>
      </c>
      <c r="D150" s="38">
        <v>849199041</v>
      </c>
      <c r="E150" s="28" t="s">
        <v>32</v>
      </c>
      <c r="F150" s="57">
        <v>2010</v>
      </c>
      <c r="G150" s="28"/>
      <c r="H150" s="58" t="str">
        <f t="shared" si="8"/>
        <v xml:space="preserve">   </v>
      </c>
      <c r="I150" s="58" t="str">
        <f t="shared" si="9"/>
        <v xml:space="preserve">   </v>
      </c>
    </row>
    <row r="151" spans="1:9" s="2" customFormat="1" hidden="1" x14ac:dyDescent="0.25">
      <c r="A151" s="19">
        <v>139</v>
      </c>
      <c r="B151" s="57">
        <v>4</v>
      </c>
      <c r="C151" s="37" t="s">
        <v>217</v>
      </c>
      <c r="D151" s="38">
        <v>849199042</v>
      </c>
      <c r="E151" s="28" t="s">
        <v>32</v>
      </c>
      <c r="F151" s="57">
        <v>2010</v>
      </c>
      <c r="G151" s="28"/>
      <c r="H151" s="58" t="str">
        <f t="shared" si="8"/>
        <v xml:space="preserve">   </v>
      </c>
      <c r="I151" s="58" t="str">
        <f t="shared" si="9"/>
        <v xml:space="preserve">   </v>
      </c>
    </row>
    <row r="152" spans="1:9" s="2" customFormat="1" hidden="1" x14ac:dyDescent="0.25">
      <c r="A152" s="19">
        <v>140</v>
      </c>
      <c r="B152" s="59">
        <v>5</v>
      </c>
      <c r="C152" s="39" t="s">
        <v>218</v>
      </c>
      <c r="D152" s="40">
        <v>849199043</v>
      </c>
      <c r="E152" s="23" t="s">
        <v>32</v>
      </c>
      <c r="F152" s="59">
        <v>2010</v>
      </c>
      <c r="G152" s="23" t="s">
        <v>33</v>
      </c>
      <c r="H152" s="60" t="str">
        <f t="shared" si="8"/>
        <v xml:space="preserve">   </v>
      </c>
      <c r="I152" s="60">
        <f t="shared" si="9"/>
        <v>41275</v>
      </c>
    </row>
    <row r="153" spans="1:9" s="2" customFormat="1" hidden="1" x14ac:dyDescent="0.25">
      <c r="A153" s="19">
        <v>141</v>
      </c>
      <c r="B153" s="57">
        <v>6</v>
      </c>
      <c r="C153" s="37" t="s">
        <v>220</v>
      </c>
      <c r="D153" s="38">
        <v>849199044</v>
      </c>
      <c r="E153" s="28" t="s">
        <v>32</v>
      </c>
      <c r="F153" s="57">
        <v>2010</v>
      </c>
      <c r="G153" s="28"/>
      <c r="H153" s="58" t="str">
        <f t="shared" si="8"/>
        <v xml:space="preserve">   </v>
      </c>
      <c r="I153" s="58" t="str">
        <f t="shared" si="9"/>
        <v xml:space="preserve">   </v>
      </c>
    </row>
    <row r="154" spans="1:9" s="2" customFormat="1" hidden="1" x14ac:dyDescent="0.25">
      <c r="A154" s="19">
        <v>142</v>
      </c>
      <c r="B154" s="57">
        <v>7</v>
      </c>
      <c r="C154" s="37" t="s">
        <v>222</v>
      </c>
      <c r="D154" s="38">
        <v>849199045</v>
      </c>
      <c r="E154" s="28" t="s">
        <v>32</v>
      </c>
      <c r="F154" s="57">
        <v>2010</v>
      </c>
      <c r="G154" s="28"/>
      <c r="H154" s="58" t="str">
        <f t="shared" si="8"/>
        <v xml:space="preserve">   </v>
      </c>
      <c r="I154" s="58" t="str">
        <f t="shared" si="9"/>
        <v xml:space="preserve">   </v>
      </c>
    </row>
    <row r="155" spans="1:9" s="2" customFormat="1" hidden="1" x14ac:dyDescent="0.25">
      <c r="A155" s="19">
        <v>143</v>
      </c>
      <c r="B155" s="57">
        <v>8</v>
      </c>
      <c r="C155" s="37" t="s">
        <v>223</v>
      </c>
      <c r="D155" s="38">
        <v>849199046</v>
      </c>
      <c r="E155" s="28" t="s">
        <v>32</v>
      </c>
      <c r="F155" s="57">
        <v>2010</v>
      </c>
      <c r="G155" s="28"/>
      <c r="H155" s="58" t="str">
        <f t="shared" si="8"/>
        <v xml:space="preserve">   </v>
      </c>
      <c r="I155" s="58" t="str">
        <f t="shared" si="9"/>
        <v xml:space="preserve">   </v>
      </c>
    </row>
    <row r="156" spans="1:9" s="2" customFormat="1" hidden="1" x14ac:dyDescent="0.25">
      <c r="A156" s="19">
        <v>144</v>
      </c>
      <c r="B156" s="57">
        <v>9</v>
      </c>
      <c r="C156" s="37" t="s">
        <v>225</v>
      </c>
      <c r="D156" s="38">
        <v>849199047</v>
      </c>
      <c r="E156" s="28" t="s">
        <v>32</v>
      </c>
      <c r="F156" s="57">
        <v>2010</v>
      </c>
      <c r="G156" s="28"/>
      <c r="H156" s="58" t="str">
        <f t="shared" si="8"/>
        <v xml:space="preserve">   </v>
      </c>
      <c r="I156" s="58" t="str">
        <f t="shared" si="9"/>
        <v xml:space="preserve">   </v>
      </c>
    </row>
    <row r="157" spans="1:9" s="2" customFormat="1" hidden="1" x14ac:dyDescent="0.25">
      <c r="A157" s="19">
        <v>145</v>
      </c>
      <c r="B157" s="57">
        <v>10</v>
      </c>
      <c r="C157" s="37" t="s">
        <v>226</v>
      </c>
      <c r="D157" s="38">
        <v>849199048</v>
      </c>
      <c r="E157" s="28" t="s">
        <v>32</v>
      </c>
      <c r="F157" s="57">
        <v>2010</v>
      </c>
      <c r="G157" s="28"/>
      <c r="H157" s="58" t="str">
        <f t="shared" si="8"/>
        <v xml:space="preserve">   </v>
      </c>
      <c r="I157" s="58" t="str">
        <f t="shared" si="9"/>
        <v xml:space="preserve">   </v>
      </c>
    </row>
    <row r="158" spans="1:9" s="2" customFormat="1" hidden="1" x14ac:dyDescent="0.25">
      <c r="A158" s="19">
        <v>146</v>
      </c>
      <c r="B158" s="57">
        <v>11</v>
      </c>
      <c r="C158" s="37" t="s">
        <v>228</v>
      </c>
      <c r="D158" s="38">
        <v>849199049</v>
      </c>
      <c r="E158" s="28" t="s">
        <v>32</v>
      </c>
      <c r="F158" s="57">
        <v>2010</v>
      </c>
      <c r="G158" s="28"/>
      <c r="H158" s="58" t="str">
        <f t="shared" si="8"/>
        <v xml:space="preserve">   </v>
      </c>
      <c r="I158" s="58" t="str">
        <f t="shared" si="9"/>
        <v xml:space="preserve">   </v>
      </c>
    </row>
    <row r="159" spans="1:9" s="2" customFormat="1" hidden="1" x14ac:dyDescent="0.25">
      <c r="A159" s="19">
        <v>147</v>
      </c>
      <c r="B159" s="57">
        <v>12</v>
      </c>
      <c r="C159" s="37" t="s">
        <v>230</v>
      </c>
      <c r="D159" s="38">
        <v>849199050</v>
      </c>
      <c r="E159" s="28" t="s">
        <v>32</v>
      </c>
      <c r="F159" s="57">
        <v>2010</v>
      </c>
      <c r="G159" s="28"/>
      <c r="H159" s="58" t="str">
        <f t="shared" si="8"/>
        <v xml:space="preserve">   </v>
      </c>
      <c r="I159" s="58" t="str">
        <f t="shared" si="9"/>
        <v xml:space="preserve">   </v>
      </c>
    </row>
    <row r="160" spans="1:9" s="2" customFormat="1" hidden="1" x14ac:dyDescent="0.25">
      <c r="A160" s="19">
        <v>148</v>
      </c>
      <c r="B160" s="57">
        <v>13</v>
      </c>
      <c r="C160" s="37" t="s">
        <v>232</v>
      </c>
      <c r="D160" s="38">
        <v>849199051</v>
      </c>
      <c r="E160" s="28" t="s">
        <v>32</v>
      </c>
      <c r="F160" s="57">
        <v>2010</v>
      </c>
      <c r="G160" s="28"/>
      <c r="H160" s="58" t="str">
        <f t="shared" si="8"/>
        <v xml:space="preserve">   </v>
      </c>
      <c r="I160" s="58" t="str">
        <f t="shared" si="9"/>
        <v xml:space="preserve">   </v>
      </c>
    </row>
    <row r="161" spans="1:9" s="2" customFormat="1" hidden="1" x14ac:dyDescent="0.25">
      <c r="A161" s="19">
        <v>149</v>
      </c>
      <c r="B161" s="57">
        <v>14</v>
      </c>
      <c r="C161" s="37" t="s">
        <v>234</v>
      </c>
      <c r="D161" s="38">
        <v>849199052</v>
      </c>
      <c r="E161" s="28" t="s">
        <v>32</v>
      </c>
      <c r="F161" s="57">
        <v>2010</v>
      </c>
      <c r="G161" s="28"/>
      <c r="H161" s="58" t="str">
        <f t="shared" si="8"/>
        <v xml:space="preserve">   </v>
      </c>
      <c r="I161" s="58" t="str">
        <f t="shared" si="9"/>
        <v xml:space="preserve">   </v>
      </c>
    </row>
    <row r="162" spans="1:9" s="2" customFormat="1" hidden="1" x14ac:dyDescent="0.25">
      <c r="A162" s="19">
        <v>150</v>
      </c>
      <c r="B162" s="57">
        <v>15</v>
      </c>
      <c r="C162" s="37" t="s">
        <v>235</v>
      </c>
      <c r="D162" s="38">
        <v>849199053</v>
      </c>
      <c r="E162" s="28" t="s">
        <v>32</v>
      </c>
      <c r="F162" s="57">
        <v>2010</v>
      </c>
      <c r="G162" s="28"/>
      <c r="H162" s="58" t="str">
        <f t="shared" si="8"/>
        <v xml:space="preserve">   </v>
      </c>
      <c r="I162" s="58" t="str">
        <f t="shared" si="9"/>
        <v xml:space="preserve">   </v>
      </c>
    </row>
    <row r="163" spans="1:9" s="2" customFormat="1" hidden="1" x14ac:dyDescent="0.25">
      <c r="A163" s="19">
        <v>151</v>
      </c>
      <c r="B163" s="57">
        <v>16</v>
      </c>
      <c r="C163" s="37" t="s">
        <v>238</v>
      </c>
      <c r="D163" s="38">
        <v>849199054</v>
      </c>
      <c r="E163" s="28" t="s">
        <v>32</v>
      </c>
      <c r="F163" s="57">
        <v>2010</v>
      </c>
      <c r="G163" s="28"/>
      <c r="H163" s="58" t="str">
        <f t="shared" si="8"/>
        <v xml:space="preserve">   </v>
      </c>
      <c r="I163" s="58" t="str">
        <f t="shared" si="9"/>
        <v xml:space="preserve">   </v>
      </c>
    </row>
    <row r="164" spans="1:9" s="2" customFormat="1" hidden="1" x14ac:dyDescent="0.25">
      <c r="A164" s="19">
        <v>152</v>
      </c>
      <c r="B164" s="57">
        <v>17</v>
      </c>
      <c r="C164" s="37" t="s">
        <v>240</v>
      </c>
      <c r="D164" s="38">
        <v>849199055</v>
      </c>
      <c r="E164" s="28" t="s">
        <v>32</v>
      </c>
      <c r="F164" s="57">
        <v>2010</v>
      </c>
      <c r="G164" s="28"/>
      <c r="H164" s="58" t="str">
        <f t="shared" si="8"/>
        <v xml:space="preserve">   </v>
      </c>
      <c r="I164" s="58" t="str">
        <f t="shared" si="9"/>
        <v xml:space="preserve">   </v>
      </c>
    </row>
    <row r="165" spans="1:9" s="2" customFormat="1" hidden="1" x14ac:dyDescent="0.25">
      <c r="A165" s="19">
        <v>153</v>
      </c>
      <c r="B165" s="57">
        <v>18</v>
      </c>
      <c r="C165" s="37" t="s">
        <v>243</v>
      </c>
      <c r="D165" s="38">
        <v>849199056</v>
      </c>
      <c r="E165" s="28" t="s">
        <v>32</v>
      </c>
      <c r="F165" s="57">
        <v>2010</v>
      </c>
      <c r="G165" s="28"/>
      <c r="H165" s="58" t="str">
        <f t="shared" si="8"/>
        <v xml:space="preserve">   </v>
      </c>
      <c r="I165" s="58" t="str">
        <f t="shared" si="9"/>
        <v xml:space="preserve">   </v>
      </c>
    </row>
    <row r="166" spans="1:9" s="2" customFormat="1" hidden="1" x14ac:dyDescent="0.25">
      <c r="A166" s="19">
        <v>154</v>
      </c>
      <c r="B166" s="57">
        <v>19</v>
      </c>
      <c r="C166" s="37" t="s">
        <v>244</v>
      </c>
      <c r="D166" s="38">
        <v>849199057</v>
      </c>
      <c r="E166" s="28" t="s">
        <v>32</v>
      </c>
      <c r="F166" s="57">
        <v>2010</v>
      </c>
      <c r="G166" s="28"/>
      <c r="H166" s="58" t="str">
        <f t="shared" si="8"/>
        <v xml:space="preserve">   </v>
      </c>
      <c r="I166" s="58" t="str">
        <f t="shared" si="9"/>
        <v xml:space="preserve">   </v>
      </c>
    </row>
    <row r="167" spans="1:9" s="2" customFormat="1" hidden="1" x14ac:dyDescent="0.25">
      <c r="A167" s="19">
        <v>155</v>
      </c>
      <c r="B167" s="59">
        <v>20</v>
      </c>
      <c r="C167" s="39" t="s">
        <v>245</v>
      </c>
      <c r="D167" s="40">
        <v>849199058</v>
      </c>
      <c r="E167" s="23" t="s">
        <v>32</v>
      </c>
      <c r="F167" s="59">
        <v>2010</v>
      </c>
      <c r="G167" s="31" t="s">
        <v>33</v>
      </c>
      <c r="H167" s="24" t="str">
        <f t="shared" si="8"/>
        <v xml:space="preserve">   </v>
      </c>
      <c r="I167" s="24">
        <f t="shared" si="9"/>
        <v>41275</v>
      </c>
    </row>
    <row r="168" spans="1:9" s="2" customFormat="1" hidden="1" x14ac:dyDescent="0.25">
      <c r="A168" s="19">
        <v>156</v>
      </c>
      <c r="B168" s="59">
        <v>21</v>
      </c>
      <c r="C168" s="39" t="s">
        <v>250</v>
      </c>
      <c r="D168" s="40">
        <v>849199059</v>
      </c>
      <c r="E168" s="23" t="s">
        <v>32</v>
      </c>
      <c r="F168" s="59">
        <v>2010</v>
      </c>
      <c r="G168" s="31" t="s">
        <v>33</v>
      </c>
      <c r="H168" s="60" t="str">
        <f t="shared" si="8"/>
        <v xml:space="preserve">   </v>
      </c>
      <c r="I168" s="60">
        <f t="shared" si="9"/>
        <v>42329</v>
      </c>
    </row>
    <row r="169" spans="1:9" s="2" customFormat="1" hidden="1" x14ac:dyDescent="0.25">
      <c r="A169" s="19">
        <v>157</v>
      </c>
      <c r="B169" s="59">
        <v>22</v>
      </c>
      <c r="C169" s="39" t="s">
        <v>255</v>
      </c>
      <c r="D169" s="40">
        <v>849199061</v>
      </c>
      <c r="E169" s="23" t="s">
        <v>32</v>
      </c>
      <c r="F169" s="59">
        <v>2010</v>
      </c>
      <c r="G169" s="31" t="s">
        <v>33</v>
      </c>
      <c r="H169" s="60" t="str">
        <f t="shared" si="8"/>
        <v xml:space="preserve">   </v>
      </c>
      <c r="I169" s="60">
        <f t="shared" si="9"/>
        <v>42143</v>
      </c>
    </row>
    <row r="170" spans="1:9" s="2" customFormat="1" hidden="1" x14ac:dyDescent="0.25">
      <c r="A170" s="19">
        <v>158</v>
      </c>
      <c r="B170" s="57">
        <v>23</v>
      </c>
      <c r="C170" s="37" t="s">
        <v>258</v>
      </c>
      <c r="D170" s="38">
        <v>849199062</v>
      </c>
      <c r="E170" s="28" t="s">
        <v>32</v>
      </c>
      <c r="F170" s="57">
        <v>2010</v>
      </c>
      <c r="G170" s="28"/>
      <c r="H170" s="58" t="str">
        <f t="shared" si="8"/>
        <v xml:space="preserve">   </v>
      </c>
      <c r="I170" s="58" t="str">
        <f t="shared" si="9"/>
        <v xml:space="preserve">   </v>
      </c>
    </row>
    <row r="171" spans="1:9" s="2" customFormat="1" hidden="1" x14ac:dyDescent="0.25">
      <c r="A171" s="19">
        <v>159</v>
      </c>
      <c r="B171" s="57">
        <v>24</v>
      </c>
      <c r="C171" s="37" t="s">
        <v>260</v>
      </c>
      <c r="D171" s="38">
        <v>849199063</v>
      </c>
      <c r="E171" s="28" t="s">
        <v>32</v>
      </c>
      <c r="F171" s="57">
        <v>2010</v>
      </c>
      <c r="G171" s="28"/>
      <c r="H171" s="58" t="str">
        <f t="shared" si="8"/>
        <v xml:space="preserve">   </v>
      </c>
      <c r="I171" s="58" t="str">
        <f t="shared" si="9"/>
        <v xml:space="preserve">   </v>
      </c>
    </row>
    <row r="172" spans="1:9" s="2" customFormat="1" hidden="1" x14ac:dyDescent="0.25">
      <c r="A172" s="19">
        <v>160</v>
      </c>
      <c r="B172" s="57">
        <v>25</v>
      </c>
      <c r="C172" s="37" t="s">
        <v>263</v>
      </c>
      <c r="D172" s="38">
        <v>849199064</v>
      </c>
      <c r="E172" s="28" t="s">
        <v>32</v>
      </c>
      <c r="F172" s="57">
        <v>2010</v>
      </c>
      <c r="G172" s="28"/>
      <c r="H172" s="58" t="str">
        <f t="shared" ref="H172:H235" si="10">IFERROR(VLOOKUP(D172,Tlus,3,FALSE),"   ")</f>
        <v xml:space="preserve">   </v>
      </c>
      <c r="I172" s="58" t="str">
        <f t="shared" ref="I172:I235" si="11">IFERROR(VLOOKUP(D172,Wis,4,FALSE),"   ")</f>
        <v xml:space="preserve">   </v>
      </c>
    </row>
    <row r="173" spans="1:9" s="2" customFormat="1" hidden="1" x14ac:dyDescent="0.25">
      <c r="A173" s="19">
        <v>161</v>
      </c>
      <c r="B173" s="59">
        <v>26</v>
      </c>
      <c r="C173" s="39" t="s">
        <v>266</v>
      </c>
      <c r="D173" s="40">
        <v>849199066</v>
      </c>
      <c r="E173" s="23" t="s">
        <v>32</v>
      </c>
      <c r="F173" s="59">
        <v>2010</v>
      </c>
      <c r="G173" s="23" t="s">
        <v>33</v>
      </c>
      <c r="H173" s="60" t="str">
        <f t="shared" si="10"/>
        <v xml:space="preserve">   </v>
      </c>
      <c r="I173" s="60">
        <f t="shared" si="11"/>
        <v>42504</v>
      </c>
    </row>
    <row r="174" spans="1:9" s="2" customFormat="1" hidden="1" x14ac:dyDescent="0.25">
      <c r="A174" s="19">
        <v>162</v>
      </c>
      <c r="B174" s="59">
        <v>27</v>
      </c>
      <c r="C174" s="39" t="s">
        <v>271</v>
      </c>
      <c r="D174" s="40">
        <v>849199067</v>
      </c>
      <c r="E174" s="23" t="s">
        <v>32</v>
      </c>
      <c r="F174" s="59">
        <v>2010</v>
      </c>
      <c r="G174" s="23" t="s">
        <v>33</v>
      </c>
      <c r="H174" s="60" t="str">
        <f t="shared" si="10"/>
        <v xml:space="preserve">   </v>
      </c>
      <c r="I174" s="60">
        <f t="shared" si="11"/>
        <v>42329</v>
      </c>
    </row>
    <row r="175" spans="1:9" s="5" customFormat="1" hidden="1" x14ac:dyDescent="0.25">
      <c r="A175" s="19">
        <v>163</v>
      </c>
      <c r="B175" s="57">
        <v>28</v>
      </c>
      <c r="C175" s="37" t="s">
        <v>273</v>
      </c>
      <c r="D175" s="38">
        <v>849199068</v>
      </c>
      <c r="E175" s="28" t="s">
        <v>32</v>
      </c>
      <c r="F175" s="57">
        <v>2010</v>
      </c>
      <c r="G175" s="28"/>
      <c r="H175" s="58" t="str">
        <f t="shared" si="10"/>
        <v xml:space="preserve">   </v>
      </c>
      <c r="I175" s="58" t="str">
        <f t="shared" si="11"/>
        <v xml:space="preserve">   </v>
      </c>
    </row>
    <row r="176" spans="1:9" s="2" customFormat="1" hidden="1" x14ac:dyDescent="0.25">
      <c r="A176" s="19">
        <v>164</v>
      </c>
      <c r="B176" s="59">
        <v>29</v>
      </c>
      <c r="C176" s="39" t="s">
        <v>277</v>
      </c>
      <c r="D176" s="40">
        <v>849199069</v>
      </c>
      <c r="E176" s="23" t="s">
        <v>32</v>
      </c>
      <c r="F176" s="59">
        <v>2010</v>
      </c>
      <c r="G176" s="23" t="s">
        <v>33</v>
      </c>
      <c r="H176" s="60" t="str">
        <f t="shared" si="10"/>
        <v xml:space="preserve">   </v>
      </c>
      <c r="I176" s="60">
        <f t="shared" si="11"/>
        <v>42329</v>
      </c>
    </row>
    <row r="177" spans="1:9" s="2" customFormat="1" hidden="1" x14ac:dyDescent="0.25">
      <c r="A177" s="19">
        <v>165</v>
      </c>
      <c r="B177" s="59">
        <v>30</v>
      </c>
      <c r="C177" s="39" t="s">
        <v>281</v>
      </c>
      <c r="D177" s="40">
        <v>849199070</v>
      </c>
      <c r="E177" s="23" t="s">
        <v>32</v>
      </c>
      <c r="F177" s="59">
        <v>2010</v>
      </c>
      <c r="G177" s="23" t="s">
        <v>33</v>
      </c>
      <c r="H177" s="60" t="str">
        <f t="shared" si="10"/>
        <v xml:space="preserve">   </v>
      </c>
      <c r="I177" s="60">
        <f t="shared" si="11"/>
        <v>42329</v>
      </c>
    </row>
    <row r="178" spans="1:9" s="5" customFormat="1" hidden="1" x14ac:dyDescent="0.25">
      <c r="A178" s="19">
        <v>166</v>
      </c>
      <c r="B178" s="57">
        <v>31</v>
      </c>
      <c r="C178" s="37" t="s">
        <v>283</v>
      </c>
      <c r="D178" s="38">
        <v>849199072</v>
      </c>
      <c r="E178" s="28" t="s">
        <v>32</v>
      </c>
      <c r="F178" s="57">
        <v>2010</v>
      </c>
      <c r="G178" s="28"/>
      <c r="H178" s="58" t="str">
        <f t="shared" si="10"/>
        <v xml:space="preserve">   </v>
      </c>
      <c r="I178" s="58" t="str">
        <f t="shared" si="11"/>
        <v xml:space="preserve">   </v>
      </c>
    </row>
    <row r="179" spans="1:9" s="2" customFormat="1" hidden="1" x14ac:dyDescent="0.25">
      <c r="A179" s="32"/>
      <c r="B179" s="32"/>
      <c r="C179" s="61"/>
      <c r="D179" s="62"/>
      <c r="E179" s="63"/>
      <c r="F179" s="64" t="s">
        <v>61</v>
      </c>
      <c r="G179" s="63"/>
      <c r="H179" s="65" t="str">
        <f t="shared" si="10"/>
        <v xml:space="preserve">   </v>
      </c>
      <c r="I179" s="65" t="str">
        <f t="shared" si="11"/>
        <v xml:space="preserve">   </v>
      </c>
    </row>
    <row r="180" spans="1:9" s="2" customFormat="1" hidden="1" x14ac:dyDescent="0.25">
      <c r="A180" s="32"/>
      <c r="B180" s="54" t="s">
        <v>287</v>
      </c>
      <c r="C180" s="66"/>
      <c r="D180" s="62"/>
      <c r="E180" s="63"/>
      <c r="F180" s="64" t="s">
        <v>61</v>
      </c>
      <c r="G180" s="63"/>
      <c r="H180" s="65" t="str">
        <f t="shared" si="10"/>
        <v xml:space="preserve">   </v>
      </c>
      <c r="I180" s="65" t="str">
        <f t="shared" si="11"/>
        <v xml:space="preserve">   </v>
      </c>
    </row>
    <row r="181" spans="1:9" s="2" customFormat="1" hidden="1" x14ac:dyDescent="0.25">
      <c r="A181" s="19">
        <v>167</v>
      </c>
      <c r="B181" s="59">
        <v>1</v>
      </c>
      <c r="C181" s="39" t="s">
        <v>288</v>
      </c>
      <c r="D181" s="40">
        <v>849110001</v>
      </c>
      <c r="E181" s="23" t="s">
        <v>32</v>
      </c>
      <c r="F181" s="59">
        <v>2010</v>
      </c>
      <c r="G181" s="23" t="s">
        <v>33</v>
      </c>
      <c r="H181" s="60" t="str">
        <f t="shared" si="10"/>
        <v xml:space="preserve">   </v>
      </c>
      <c r="I181" s="60">
        <f t="shared" si="11"/>
        <v>42329</v>
      </c>
    </row>
    <row r="182" spans="1:9" s="5" customFormat="1" hidden="1" x14ac:dyDescent="0.25">
      <c r="A182" s="19">
        <v>168</v>
      </c>
      <c r="B182" s="57">
        <v>2</v>
      </c>
      <c r="C182" s="37" t="s">
        <v>291</v>
      </c>
      <c r="D182" s="38">
        <v>849110062</v>
      </c>
      <c r="E182" s="28" t="s">
        <v>32</v>
      </c>
      <c r="F182" s="57">
        <v>2010</v>
      </c>
      <c r="G182" s="28"/>
      <c r="H182" s="58" t="str">
        <f t="shared" si="10"/>
        <v xml:space="preserve">   </v>
      </c>
      <c r="I182" s="58" t="str">
        <f t="shared" si="11"/>
        <v xml:space="preserve">   </v>
      </c>
    </row>
    <row r="183" spans="1:9" s="5" customFormat="1" hidden="1" x14ac:dyDescent="0.25">
      <c r="A183" s="19">
        <v>169</v>
      </c>
      <c r="B183" s="57">
        <v>3</v>
      </c>
      <c r="C183" s="37" t="s">
        <v>294</v>
      </c>
      <c r="D183" s="38">
        <v>849110004</v>
      </c>
      <c r="E183" s="28" t="s">
        <v>32</v>
      </c>
      <c r="F183" s="57">
        <v>2010</v>
      </c>
      <c r="G183" s="28"/>
      <c r="H183" s="58" t="str">
        <f t="shared" si="10"/>
        <v xml:space="preserve">   </v>
      </c>
      <c r="I183" s="58" t="str">
        <f t="shared" si="11"/>
        <v xml:space="preserve">   </v>
      </c>
    </row>
    <row r="184" spans="1:9" s="2" customFormat="1" hidden="1" x14ac:dyDescent="0.25">
      <c r="A184" s="19">
        <v>170</v>
      </c>
      <c r="B184" s="57">
        <v>4</v>
      </c>
      <c r="C184" s="37" t="s">
        <v>296</v>
      </c>
      <c r="D184" s="38">
        <v>849110005</v>
      </c>
      <c r="E184" s="28" t="s">
        <v>32</v>
      </c>
      <c r="F184" s="57">
        <v>2010</v>
      </c>
      <c r="G184" s="28"/>
      <c r="H184" s="58" t="str">
        <f t="shared" si="10"/>
        <v xml:space="preserve">   </v>
      </c>
      <c r="I184" s="58" t="str">
        <f t="shared" si="11"/>
        <v xml:space="preserve">   </v>
      </c>
    </row>
    <row r="185" spans="1:9" s="2" customFormat="1" hidden="1" x14ac:dyDescent="0.25">
      <c r="A185" s="19">
        <v>171</v>
      </c>
      <c r="B185" s="57">
        <v>5</v>
      </c>
      <c r="C185" s="37" t="s">
        <v>297</v>
      </c>
      <c r="D185" s="38">
        <v>849110040</v>
      </c>
      <c r="E185" s="28" t="s">
        <v>32</v>
      </c>
      <c r="F185" s="57">
        <v>2010</v>
      </c>
      <c r="G185" s="28"/>
      <c r="H185" s="58" t="str">
        <f t="shared" si="10"/>
        <v xml:space="preserve">   </v>
      </c>
      <c r="I185" s="58" t="str">
        <f t="shared" si="11"/>
        <v xml:space="preserve">   </v>
      </c>
    </row>
    <row r="186" spans="1:9" s="2" customFormat="1" hidden="1" x14ac:dyDescent="0.25">
      <c r="A186" s="19">
        <v>172</v>
      </c>
      <c r="B186" s="67">
        <v>6</v>
      </c>
      <c r="C186" s="43" t="s">
        <v>299</v>
      </c>
      <c r="D186" s="44">
        <v>849110009</v>
      </c>
      <c r="E186" s="45" t="s">
        <v>32</v>
      </c>
      <c r="F186" s="67">
        <v>2010</v>
      </c>
      <c r="G186" s="45"/>
      <c r="H186" s="68" t="str">
        <f t="shared" si="10"/>
        <v xml:space="preserve">   </v>
      </c>
      <c r="I186" s="68" t="str">
        <f t="shared" si="11"/>
        <v xml:space="preserve">   </v>
      </c>
    </row>
    <row r="187" spans="1:9" s="2" customFormat="1" hidden="1" x14ac:dyDescent="0.25">
      <c r="A187" s="19">
        <v>173</v>
      </c>
      <c r="B187" s="59">
        <v>7</v>
      </c>
      <c r="C187" s="39" t="s">
        <v>300</v>
      </c>
      <c r="D187" s="40">
        <v>849110010</v>
      </c>
      <c r="E187" s="23" t="s">
        <v>32</v>
      </c>
      <c r="F187" s="59">
        <v>2010</v>
      </c>
      <c r="G187" s="31" t="s">
        <v>33</v>
      </c>
      <c r="H187" s="24" t="str">
        <f t="shared" si="10"/>
        <v xml:space="preserve">   </v>
      </c>
      <c r="I187" s="24">
        <f t="shared" si="11"/>
        <v>41640</v>
      </c>
    </row>
    <row r="188" spans="1:9" s="5" customFormat="1" hidden="1" x14ac:dyDescent="0.25">
      <c r="A188" s="19">
        <v>174</v>
      </c>
      <c r="B188" s="57">
        <v>8</v>
      </c>
      <c r="C188" s="37" t="s">
        <v>304</v>
      </c>
      <c r="D188" s="38">
        <v>849110011</v>
      </c>
      <c r="E188" s="28" t="s">
        <v>32</v>
      </c>
      <c r="F188" s="57">
        <v>2010</v>
      </c>
      <c r="G188" s="28"/>
      <c r="H188" s="58" t="str">
        <f t="shared" si="10"/>
        <v xml:space="preserve">   </v>
      </c>
      <c r="I188" s="58" t="str">
        <f t="shared" si="11"/>
        <v xml:space="preserve">   </v>
      </c>
    </row>
    <row r="189" spans="1:9" s="2" customFormat="1" hidden="1" x14ac:dyDescent="0.25">
      <c r="A189" s="19">
        <v>175</v>
      </c>
      <c r="B189" s="67">
        <v>9</v>
      </c>
      <c r="C189" s="43" t="s">
        <v>305</v>
      </c>
      <c r="D189" s="44">
        <v>849110014</v>
      </c>
      <c r="E189" s="45" t="s">
        <v>32</v>
      </c>
      <c r="F189" s="67">
        <v>2010</v>
      </c>
      <c r="G189" s="45"/>
      <c r="H189" s="68" t="str">
        <f t="shared" si="10"/>
        <v xml:space="preserve">   </v>
      </c>
      <c r="I189" s="68" t="str">
        <f t="shared" si="11"/>
        <v xml:space="preserve">   </v>
      </c>
    </row>
    <row r="190" spans="1:9" s="2" customFormat="1" hidden="1" x14ac:dyDescent="0.25">
      <c r="A190" s="19">
        <v>176</v>
      </c>
      <c r="B190" s="59">
        <v>10</v>
      </c>
      <c r="C190" s="39" t="s">
        <v>306</v>
      </c>
      <c r="D190" s="40">
        <v>849110048</v>
      </c>
      <c r="E190" s="23" t="s">
        <v>32</v>
      </c>
      <c r="F190" s="59">
        <v>2010</v>
      </c>
      <c r="G190" s="23" t="s">
        <v>33</v>
      </c>
      <c r="H190" s="60" t="str">
        <f t="shared" si="10"/>
        <v xml:space="preserve">   </v>
      </c>
      <c r="I190" s="60">
        <f t="shared" si="11"/>
        <v>42329</v>
      </c>
    </row>
    <row r="191" spans="1:9" s="2" customFormat="1" hidden="1" x14ac:dyDescent="0.25">
      <c r="A191" s="19">
        <v>177</v>
      </c>
      <c r="B191" s="57">
        <v>11</v>
      </c>
      <c r="C191" s="37" t="s">
        <v>311</v>
      </c>
      <c r="D191" s="38">
        <v>849110049</v>
      </c>
      <c r="E191" s="28" t="s">
        <v>32</v>
      </c>
      <c r="F191" s="57">
        <v>2010</v>
      </c>
      <c r="G191" s="28"/>
      <c r="H191" s="58" t="str">
        <f t="shared" si="10"/>
        <v xml:space="preserve">   </v>
      </c>
      <c r="I191" s="58" t="str">
        <f t="shared" si="11"/>
        <v xml:space="preserve">   </v>
      </c>
    </row>
    <row r="192" spans="1:9" s="5" customFormat="1" hidden="1" x14ac:dyDescent="0.25">
      <c r="A192" s="19">
        <v>178</v>
      </c>
      <c r="B192" s="57">
        <v>12</v>
      </c>
      <c r="C192" s="37" t="s">
        <v>314</v>
      </c>
      <c r="D192" s="38">
        <v>849110018</v>
      </c>
      <c r="E192" s="28" t="s">
        <v>32</v>
      </c>
      <c r="F192" s="57">
        <v>2010</v>
      </c>
      <c r="G192" s="28"/>
      <c r="H192" s="58" t="str">
        <f t="shared" si="10"/>
        <v xml:space="preserve">   </v>
      </c>
      <c r="I192" s="58" t="str">
        <f t="shared" si="11"/>
        <v xml:space="preserve">   </v>
      </c>
    </row>
    <row r="193" spans="1:9" s="5" customFormat="1" hidden="1" x14ac:dyDescent="0.25">
      <c r="A193" s="19">
        <v>179</v>
      </c>
      <c r="B193" s="57">
        <v>13</v>
      </c>
      <c r="C193" s="37" t="s">
        <v>315</v>
      </c>
      <c r="D193" s="38">
        <v>849110021</v>
      </c>
      <c r="E193" s="28" t="s">
        <v>32</v>
      </c>
      <c r="F193" s="57">
        <v>2010</v>
      </c>
      <c r="G193" s="28"/>
      <c r="H193" s="58" t="str">
        <f t="shared" si="10"/>
        <v xml:space="preserve">   </v>
      </c>
      <c r="I193" s="58" t="str">
        <f t="shared" si="11"/>
        <v xml:space="preserve">   </v>
      </c>
    </row>
    <row r="194" spans="1:9" s="5" customFormat="1" hidden="1" x14ac:dyDescent="0.25">
      <c r="A194" s="19">
        <v>180</v>
      </c>
      <c r="B194" s="57">
        <v>14</v>
      </c>
      <c r="C194" s="37" t="s">
        <v>318</v>
      </c>
      <c r="D194" s="38">
        <v>849110054</v>
      </c>
      <c r="E194" s="28" t="s">
        <v>32</v>
      </c>
      <c r="F194" s="57">
        <v>2010</v>
      </c>
      <c r="G194" s="28"/>
      <c r="H194" s="58" t="str">
        <f t="shared" si="10"/>
        <v xml:space="preserve">   </v>
      </c>
      <c r="I194" s="58" t="str">
        <f t="shared" si="11"/>
        <v xml:space="preserve">   </v>
      </c>
    </row>
    <row r="195" spans="1:9" s="5" customFormat="1" hidden="1" x14ac:dyDescent="0.25">
      <c r="A195" s="19">
        <v>181</v>
      </c>
      <c r="B195" s="57">
        <v>15</v>
      </c>
      <c r="C195" s="37" t="s">
        <v>319</v>
      </c>
      <c r="D195" s="38">
        <v>849110023</v>
      </c>
      <c r="E195" s="28" t="s">
        <v>32</v>
      </c>
      <c r="F195" s="57">
        <v>2010</v>
      </c>
      <c r="G195" s="28"/>
      <c r="H195" s="58" t="str">
        <f t="shared" si="10"/>
        <v xml:space="preserve">   </v>
      </c>
      <c r="I195" s="58" t="str">
        <f t="shared" si="11"/>
        <v xml:space="preserve">   </v>
      </c>
    </row>
    <row r="196" spans="1:9" s="2" customFormat="1" hidden="1" x14ac:dyDescent="0.25">
      <c r="A196" s="19">
        <v>182</v>
      </c>
      <c r="B196" s="59">
        <v>16</v>
      </c>
      <c r="C196" s="39" t="s">
        <v>320</v>
      </c>
      <c r="D196" s="40">
        <v>849110026</v>
      </c>
      <c r="E196" s="23" t="s">
        <v>32</v>
      </c>
      <c r="F196" s="59">
        <v>2010</v>
      </c>
      <c r="G196" s="31" t="s">
        <v>33</v>
      </c>
      <c r="H196" s="24" t="str">
        <f t="shared" si="10"/>
        <v xml:space="preserve">   </v>
      </c>
      <c r="I196" s="24">
        <f t="shared" si="11"/>
        <v>41640</v>
      </c>
    </row>
    <row r="197" spans="1:9" s="5" customFormat="1" hidden="1" x14ac:dyDescent="0.25">
      <c r="A197" s="19">
        <v>183</v>
      </c>
      <c r="B197" s="57">
        <v>17</v>
      </c>
      <c r="C197" s="37" t="s">
        <v>324</v>
      </c>
      <c r="D197" s="38">
        <v>849110027</v>
      </c>
      <c r="E197" s="28" t="s">
        <v>32</v>
      </c>
      <c r="F197" s="57">
        <v>2010</v>
      </c>
      <c r="G197" s="28"/>
      <c r="H197" s="58" t="str">
        <f t="shared" si="10"/>
        <v xml:space="preserve">   </v>
      </c>
      <c r="I197" s="58" t="str">
        <f t="shared" si="11"/>
        <v xml:space="preserve">   </v>
      </c>
    </row>
    <row r="198" spans="1:9" s="2" customFormat="1" hidden="1" x14ac:dyDescent="0.25">
      <c r="A198" s="19">
        <v>184</v>
      </c>
      <c r="B198" s="67">
        <v>18</v>
      </c>
      <c r="C198" s="43" t="s">
        <v>327</v>
      </c>
      <c r="D198" s="44">
        <v>849110064</v>
      </c>
      <c r="E198" s="45" t="s">
        <v>32</v>
      </c>
      <c r="F198" s="67">
        <v>2010</v>
      </c>
      <c r="G198" s="45"/>
      <c r="H198" s="68" t="str">
        <f t="shared" si="10"/>
        <v xml:space="preserve">   </v>
      </c>
      <c r="I198" s="68" t="str">
        <f t="shared" si="11"/>
        <v xml:space="preserve">   </v>
      </c>
    </row>
    <row r="199" spans="1:9" s="5" customFormat="1" hidden="1" x14ac:dyDescent="0.25">
      <c r="A199" s="19">
        <v>185</v>
      </c>
      <c r="B199" s="57">
        <v>19</v>
      </c>
      <c r="C199" s="37" t="s">
        <v>329</v>
      </c>
      <c r="D199" s="38">
        <v>849110065</v>
      </c>
      <c r="E199" s="28" t="s">
        <v>32</v>
      </c>
      <c r="F199" s="57">
        <v>2010</v>
      </c>
      <c r="G199" s="28"/>
      <c r="H199" s="58" t="str">
        <f t="shared" si="10"/>
        <v xml:space="preserve">   </v>
      </c>
      <c r="I199" s="58" t="str">
        <f t="shared" si="11"/>
        <v xml:space="preserve">   </v>
      </c>
    </row>
    <row r="200" spans="1:9" s="5" customFormat="1" hidden="1" x14ac:dyDescent="0.25">
      <c r="A200" s="19">
        <v>186</v>
      </c>
      <c r="B200" s="57">
        <v>20</v>
      </c>
      <c r="C200" s="37" t="s">
        <v>332</v>
      </c>
      <c r="D200" s="38">
        <v>849110060</v>
      </c>
      <c r="E200" s="28" t="s">
        <v>32</v>
      </c>
      <c r="F200" s="57">
        <v>2010</v>
      </c>
      <c r="G200" s="28"/>
      <c r="H200" s="58" t="str">
        <f t="shared" si="10"/>
        <v xml:space="preserve">   </v>
      </c>
      <c r="I200" s="58" t="str">
        <f t="shared" si="11"/>
        <v xml:space="preserve">   </v>
      </c>
    </row>
    <row r="201" spans="1:9" s="5" customFormat="1" hidden="1" x14ac:dyDescent="0.25">
      <c r="A201" s="19">
        <v>187</v>
      </c>
      <c r="B201" s="57">
        <v>21</v>
      </c>
      <c r="C201" s="37" t="s">
        <v>334</v>
      </c>
      <c r="D201" s="38">
        <v>849110033</v>
      </c>
      <c r="E201" s="28" t="s">
        <v>32</v>
      </c>
      <c r="F201" s="57">
        <v>2010</v>
      </c>
      <c r="G201" s="28"/>
      <c r="H201" s="58" t="str">
        <f t="shared" si="10"/>
        <v xml:space="preserve">   </v>
      </c>
      <c r="I201" s="58" t="str">
        <f t="shared" si="11"/>
        <v xml:space="preserve">   </v>
      </c>
    </row>
    <row r="202" spans="1:9" s="5" customFormat="1" hidden="1" x14ac:dyDescent="0.25">
      <c r="A202" s="19">
        <v>188</v>
      </c>
      <c r="B202" s="57">
        <v>22</v>
      </c>
      <c r="C202" s="37" t="s">
        <v>336</v>
      </c>
      <c r="D202" s="38">
        <v>849110061</v>
      </c>
      <c r="E202" s="28" t="s">
        <v>32</v>
      </c>
      <c r="F202" s="57">
        <v>2010</v>
      </c>
      <c r="G202" s="29" t="s">
        <v>33</v>
      </c>
      <c r="H202" s="30" t="str">
        <f t="shared" si="10"/>
        <v xml:space="preserve">   </v>
      </c>
      <c r="I202" s="30">
        <f t="shared" si="11"/>
        <v>41275</v>
      </c>
    </row>
    <row r="203" spans="1:9" s="2" customFormat="1" hidden="1" x14ac:dyDescent="0.25">
      <c r="A203" s="19">
        <v>189</v>
      </c>
      <c r="B203" s="59">
        <v>23</v>
      </c>
      <c r="C203" s="39" t="s">
        <v>338</v>
      </c>
      <c r="D203" s="40">
        <v>849110034</v>
      </c>
      <c r="E203" s="23" t="s">
        <v>32</v>
      </c>
      <c r="F203" s="59">
        <v>2010</v>
      </c>
      <c r="G203" s="31" t="s">
        <v>33</v>
      </c>
      <c r="H203" s="24" t="str">
        <f t="shared" si="10"/>
        <v xml:space="preserve">   </v>
      </c>
      <c r="I203" s="24">
        <f t="shared" si="11"/>
        <v>41275</v>
      </c>
    </row>
    <row r="204" spans="1:9" s="5" customFormat="1" hidden="1" x14ac:dyDescent="0.25">
      <c r="A204" s="19">
        <v>190</v>
      </c>
      <c r="B204" s="57">
        <v>24</v>
      </c>
      <c r="C204" s="37" t="s">
        <v>342</v>
      </c>
      <c r="D204" s="38">
        <v>849110037</v>
      </c>
      <c r="E204" s="28" t="s">
        <v>32</v>
      </c>
      <c r="F204" s="57">
        <v>2010</v>
      </c>
      <c r="G204" s="28"/>
      <c r="H204" s="58" t="str">
        <f t="shared" si="10"/>
        <v xml:space="preserve">   </v>
      </c>
      <c r="I204" s="58" t="str">
        <f t="shared" si="11"/>
        <v xml:space="preserve">   </v>
      </c>
    </row>
    <row r="205" spans="1:9" s="5" customFormat="1" hidden="1" x14ac:dyDescent="0.25">
      <c r="A205" s="19">
        <v>191</v>
      </c>
      <c r="B205" s="57">
        <v>25</v>
      </c>
      <c r="C205" s="37" t="s">
        <v>344</v>
      </c>
      <c r="D205" s="38">
        <v>849110038</v>
      </c>
      <c r="E205" s="28" t="s">
        <v>32</v>
      </c>
      <c r="F205" s="57">
        <v>2010</v>
      </c>
      <c r="G205" s="28"/>
      <c r="H205" s="58" t="str">
        <f t="shared" si="10"/>
        <v xml:space="preserve">   </v>
      </c>
      <c r="I205" s="58" t="str">
        <f t="shared" si="11"/>
        <v xml:space="preserve">   </v>
      </c>
    </row>
    <row r="206" spans="1:9" s="5" customFormat="1" hidden="1" x14ac:dyDescent="0.25">
      <c r="A206" s="19">
        <v>192</v>
      </c>
      <c r="B206" s="57">
        <v>26</v>
      </c>
      <c r="C206" s="37" t="s">
        <v>347</v>
      </c>
      <c r="D206" s="38">
        <v>849110039</v>
      </c>
      <c r="E206" s="28" t="s">
        <v>32</v>
      </c>
      <c r="F206" s="57">
        <v>2010</v>
      </c>
      <c r="G206" s="28"/>
      <c r="H206" s="58" t="str">
        <f t="shared" si="10"/>
        <v xml:space="preserve">   </v>
      </c>
      <c r="I206" s="58" t="str">
        <f t="shared" si="11"/>
        <v xml:space="preserve">   </v>
      </c>
    </row>
    <row r="207" spans="1:9" s="5" customFormat="1" hidden="1" x14ac:dyDescent="0.25">
      <c r="A207" s="19">
        <v>193</v>
      </c>
      <c r="B207" s="57">
        <v>27</v>
      </c>
      <c r="C207" s="37" t="s">
        <v>348</v>
      </c>
      <c r="D207" s="38">
        <v>849110041</v>
      </c>
      <c r="E207" s="28" t="s">
        <v>32</v>
      </c>
      <c r="F207" s="57">
        <v>2010</v>
      </c>
      <c r="G207" s="28"/>
      <c r="H207" s="58" t="str">
        <f t="shared" si="10"/>
        <v xml:space="preserve">   </v>
      </c>
      <c r="I207" s="58" t="str">
        <f t="shared" si="11"/>
        <v xml:space="preserve">   </v>
      </c>
    </row>
    <row r="208" spans="1:9" s="5" customFormat="1" hidden="1" x14ac:dyDescent="0.25">
      <c r="A208" s="19">
        <v>194</v>
      </c>
      <c r="B208" s="57">
        <v>28</v>
      </c>
      <c r="C208" s="37" t="s">
        <v>350</v>
      </c>
      <c r="D208" s="38">
        <v>849110043</v>
      </c>
      <c r="E208" s="28" t="s">
        <v>32</v>
      </c>
      <c r="F208" s="57">
        <v>2010</v>
      </c>
      <c r="G208" s="28"/>
      <c r="H208" s="58" t="str">
        <f t="shared" si="10"/>
        <v xml:space="preserve">   </v>
      </c>
      <c r="I208" s="58" t="str">
        <f t="shared" si="11"/>
        <v xml:space="preserve">   </v>
      </c>
    </row>
    <row r="209" spans="1:9" s="2" customFormat="1" hidden="1" x14ac:dyDescent="0.25">
      <c r="A209" s="19">
        <v>195</v>
      </c>
      <c r="B209" s="59">
        <v>29</v>
      </c>
      <c r="C209" s="39" t="s">
        <v>352</v>
      </c>
      <c r="D209" s="40">
        <v>849110044</v>
      </c>
      <c r="E209" s="23" t="s">
        <v>32</v>
      </c>
      <c r="F209" s="59">
        <v>2010</v>
      </c>
      <c r="G209" s="31" t="s">
        <v>33</v>
      </c>
      <c r="H209" s="24" t="str">
        <f t="shared" si="10"/>
        <v xml:space="preserve">   </v>
      </c>
      <c r="I209" s="24">
        <f t="shared" si="11"/>
        <v>41275</v>
      </c>
    </row>
    <row r="210" spans="1:9" s="5" customFormat="1" hidden="1" x14ac:dyDescent="0.25">
      <c r="A210" s="19">
        <v>196</v>
      </c>
      <c r="B210" s="57">
        <v>30</v>
      </c>
      <c r="C210" s="37" t="s">
        <v>355</v>
      </c>
      <c r="D210" s="38">
        <v>849110012</v>
      </c>
      <c r="E210" s="28" t="s">
        <v>32</v>
      </c>
      <c r="F210" s="57">
        <v>2010</v>
      </c>
      <c r="G210" s="28"/>
      <c r="H210" s="58" t="str">
        <f t="shared" si="10"/>
        <v xml:space="preserve">   </v>
      </c>
      <c r="I210" s="58" t="str">
        <f t="shared" si="11"/>
        <v xml:space="preserve">   </v>
      </c>
    </row>
    <row r="211" spans="1:9" s="2" customFormat="1" hidden="1" x14ac:dyDescent="0.25">
      <c r="A211" s="19">
        <v>197</v>
      </c>
      <c r="B211" s="67">
        <v>31</v>
      </c>
      <c r="C211" s="43" t="s">
        <v>356</v>
      </c>
      <c r="D211" s="44">
        <v>849110063</v>
      </c>
      <c r="E211" s="45" t="s">
        <v>32</v>
      </c>
      <c r="F211" s="67">
        <v>2010</v>
      </c>
      <c r="G211" s="45"/>
      <c r="H211" s="68" t="str">
        <f t="shared" si="10"/>
        <v xml:space="preserve">   </v>
      </c>
      <c r="I211" s="68" t="str">
        <f t="shared" si="11"/>
        <v xml:space="preserve">   </v>
      </c>
    </row>
    <row r="212" spans="1:9" s="5" customFormat="1" hidden="1" x14ac:dyDescent="0.25">
      <c r="A212" s="19">
        <v>198</v>
      </c>
      <c r="B212" s="57">
        <v>32</v>
      </c>
      <c r="C212" s="37" t="s">
        <v>358</v>
      </c>
      <c r="D212" s="38">
        <v>849110047</v>
      </c>
      <c r="E212" s="28" t="s">
        <v>32</v>
      </c>
      <c r="F212" s="57">
        <v>2010</v>
      </c>
      <c r="G212" s="28"/>
      <c r="H212" s="58" t="str">
        <f t="shared" si="10"/>
        <v xml:space="preserve">   </v>
      </c>
      <c r="I212" s="58" t="str">
        <f t="shared" si="11"/>
        <v xml:space="preserve">   </v>
      </c>
    </row>
    <row r="213" spans="1:9" s="5" customFormat="1" hidden="1" x14ac:dyDescent="0.25">
      <c r="A213" s="19">
        <v>199</v>
      </c>
      <c r="B213" s="57">
        <v>33</v>
      </c>
      <c r="C213" s="37" t="s">
        <v>359</v>
      </c>
      <c r="D213" s="38">
        <v>849110016</v>
      </c>
      <c r="E213" s="28" t="s">
        <v>32</v>
      </c>
      <c r="F213" s="57">
        <v>2010</v>
      </c>
      <c r="G213" s="28"/>
      <c r="H213" s="58" t="str">
        <f t="shared" si="10"/>
        <v xml:space="preserve">   </v>
      </c>
      <c r="I213" s="58" t="str">
        <f t="shared" si="11"/>
        <v xml:space="preserve">   </v>
      </c>
    </row>
    <row r="214" spans="1:9" s="5" customFormat="1" hidden="1" x14ac:dyDescent="0.25">
      <c r="A214" s="19">
        <v>200</v>
      </c>
      <c r="B214" s="57">
        <v>34</v>
      </c>
      <c r="C214" s="37" t="s">
        <v>361</v>
      </c>
      <c r="D214" s="38">
        <v>849110019</v>
      </c>
      <c r="E214" s="28" t="s">
        <v>32</v>
      </c>
      <c r="F214" s="57">
        <v>2010</v>
      </c>
      <c r="G214" s="28"/>
      <c r="H214" s="58" t="str">
        <f t="shared" si="10"/>
        <v xml:space="preserve">   </v>
      </c>
      <c r="I214" s="58" t="str">
        <f t="shared" si="11"/>
        <v xml:space="preserve">   </v>
      </c>
    </row>
    <row r="215" spans="1:9" s="5" customFormat="1" hidden="1" x14ac:dyDescent="0.25">
      <c r="A215" s="19">
        <v>201</v>
      </c>
      <c r="B215" s="57">
        <v>35</v>
      </c>
      <c r="C215" s="37" t="s">
        <v>363</v>
      </c>
      <c r="D215" s="38">
        <v>849110052</v>
      </c>
      <c r="E215" s="28" t="s">
        <v>32</v>
      </c>
      <c r="F215" s="57">
        <v>2010</v>
      </c>
      <c r="G215" s="28"/>
      <c r="H215" s="58" t="str">
        <f t="shared" si="10"/>
        <v xml:space="preserve">   </v>
      </c>
      <c r="I215" s="58" t="str">
        <f t="shared" si="11"/>
        <v xml:space="preserve">   </v>
      </c>
    </row>
    <row r="216" spans="1:9" s="5" customFormat="1" hidden="1" x14ac:dyDescent="0.25">
      <c r="A216" s="19">
        <v>202</v>
      </c>
      <c r="B216" s="57">
        <v>36</v>
      </c>
      <c r="C216" s="37" t="s">
        <v>364</v>
      </c>
      <c r="D216" s="38">
        <v>849110053</v>
      </c>
      <c r="E216" s="28" t="s">
        <v>32</v>
      </c>
      <c r="F216" s="57">
        <v>2010</v>
      </c>
      <c r="G216" s="28"/>
      <c r="H216" s="58" t="str">
        <f t="shared" si="10"/>
        <v xml:space="preserve">   </v>
      </c>
      <c r="I216" s="58" t="str">
        <f t="shared" si="11"/>
        <v xml:space="preserve">   </v>
      </c>
    </row>
    <row r="217" spans="1:9" s="5" customFormat="1" hidden="1" x14ac:dyDescent="0.25">
      <c r="A217" s="19">
        <v>203</v>
      </c>
      <c r="B217" s="57">
        <v>37</v>
      </c>
      <c r="C217" s="37" t="s">
        <v>366</v>
      </c>
      <c r="D217" s="38">
        <v>849110056</v>
      </c>
      <c r="E217" s="28" t="s">
        <v>32</v>
      </c>
      <c r="F217" s="57">
        <v>2010</v>
      </c>
      <c r="G217" s="28"/>
      <c r="H217" s="58" t="str">
        <f t="shared" si="10"/>
        <v xml:space="preserve">   </v>
      </c>
      <c r="I217" s="58" t="str">
        <f t="shared" si="11"/>
        <v xml:space="preserve">   </v>
      </c>
    </row>
    <row r="218" spans="1:9" s="5" customFormat="1" hidden="1" x14ac:dyDescent="0.25">
      <c r="A218" s="19">
        <v>204</v>
      </c>
      <c r="B218" s="57">
        <v>38</v>
      </c>
      <c r="C218" s="37" t="s">
        <v>367</v>
      </c>
      <c r="D218" s="38">
        <v>849110025</v>
      </c>
      <c r="E218" s="28" t="s">
        <v>32</v>
      </c>
      <c r="F218" s="57">
        <v>2010</v>
      </c>
      <c r="G218" s="28"/>
      <c r="H218" s="58" t="str">
        <f t="shared" si="10"/>
        <v xml:space="preserve">   </v>
      </c>
      <c r="I218" s="58" t="str">
        <f t="shared" si="11"/>
        <v xml:space="preserve">   </v>
      </c>
    </row>
    <row r="219" spans="1:9" s="5" customFormat="1" hidden="1" x14ac:dyDescent="0.25">
      <c r="A219" s="19">
        <v>205</v>
      </c>
      <c r="B219" s="57">
        <v>39</v>
      </c>
      <c r="C219" s="37" t="s">
        <v>369</v>
      </c>
      <c r="D219" s="38">
        <v>849110059</v>
      </c>
      <c r="E219" s="28" t="s">
        <v>32</v>
      </c>
      <c r="F219" s="57">
        <v>2010</v>
      </c>
      <c r="G219" s="28"/>
      <c r="H219" s="58" t="str">
        <f t="shared" si="10"/>
        <v xml:space="preserve">   </v>
      </c>
      <c r="I219" s="58" t="str">
        <f t="shared" si="11"/>
        <v xml:space="preserve">   </v>
      </c>
    </row>
    <row r="220" spans="1:9" s="2" customFormat="1" hidden="1" x14ac:dyDescent="0.25">
      <c r="A220" s="19">
        <v>206</v>
      </c>
      <c r="B220" s="59">
        <v>40</v>
      </c>
      <c r="C220" s="39" t="s">
        <v>371</v>
      </c>
      <c r="D220" s="40">
        <v>849110031</v>
      </c>
      <c r="E220" s="23" t="s">
        <v>32</v>
      </c>
      <c r="F220" s="59">
        <v>2010</v>
      </c>
      <c r="G220" s="31" t="s">
        <v>33</v>
      </c>
      <c r="H220" s="24" t="str">
        <f t="shared" si="10"/>
        <v xml:space="preserve">   </v>
      </c>
      <c r="I220" s="24" t="str">
        <f t="shared" si="11"/>
        <v xml:space="preserve">   </v>
      </c>
    </row>
    <row r="221" spans="1:9" s="2" customFormat="1" hidden="1" x14ac:dyDescent="0.25">
      <c r="A221" s="19">
        <v>207</v>
      </c>
      <c r="B221" s="67">
        <v>41</v>
      </c>
      <c r="C221" s="43" t="s">
        <v>373</v>
      </c>
      <c r="D221" s="44">
        <v>849110028</v>
      </c>
      <c r="E221" s="45" t="s">
        <v>32</v>
      </c>
      <c r="F221" s="67">
        <v>2010</v>
      </c>
      <c r="G221" s="45"/>
      <c r="H221" s="68" t="str">
        <f t="shared" si="10"/>
        <v xml:space="preserve">   </v>
      </c>
      <c r="I221" s="68" t="str">
        <f t="shared" si="11"/>
        <v xml:space="preserve">   </v>
      </c>
    </row>
    <row r="222" spans="1:9" s="2" customFormat="1" hidden="1" x14ac:dyDescent="0.25">
      <c r="A222" s="19">
        <v>208</v>
      </c>
      <c r="B222" s="57">
        <v>42</v>
      </c>
      <c r="C222" s="37" t="s">
        <v>374</v>
      </c>
      <c r="D222" s="38">
        <v>849110002</v>
      </c>
      <c r="E222" s="28" t="s">
        <v>32</v>
      </c>
      <c r="F222" s="57">
        <v>2010</v>
      </c>
      <c r="G222" s="28"/>
      <c r="H222" s="58" t="str">
        <f t="shared" si="10"/>
        <v xml:space="preserve">   </v>
      </c>
      <c r="I222" s="58">
        <f t="shared" si="11"/>
        <v>41640</v>
      </c>
    </row>
    <row r="223" spans="1:9" s="2" customFormat="1" hidden="1" x14ac:dyDescent="0.25">
      <c r="A223" s="19">
        <v>209</v>
      </c>
      <c r="B223" s="57">
        <v>43</v>
      </c>
      <c r="C223" s="37" t="s">
        <v>376</v>
      </c>
      <c r="D223" s="38">
        <v>849110029</v>
      </c>
      <c r="E223" s="28" t="s">
        <v>32</v>
      </c>
      <c r="F223" s="57">
        <v>2010</v>
      </c>
      <c r="G223" s="28"/>
      <c r="H223" s="58" t="str">
        <f t="shared" si="10"/>
        <v xml:space="preserve">   </v>
      </c>
      <c r="I223" s="58" t="str">
        <f t="shared" si="11"/>
        <v xml:space="preserve">   </v>
      </c>
    </row>
    <row r="224" spans="1:9" s="2" customFormat="1" hidden="1" x14ac:dyDescent="0.25">
      <c r="A224" s="19">
        <v>210</v>
      </c>
      <c r="B224" s="57">
        <v>44</v>
      </c>
      <c r="C224" s="37" t="s">
        <v>377</v>
      </c>
      <c r="D224" s="38">
        <v>849110003</v>
      </c>
      <c r="E224" s="28" t="s">
        <v>32</v>
      </c>
      <c r="F224" s="57">
        <v>2010</v>
      </c>
      <c r="G224" s="28"/>
      <c r="H224" s="58" t="str">
        <f t="shared" si="10"/>
        <v xml:space="preserve">   </v>
      </c>
      <c r="I224" s="58" t="str">
        <f t="shared" si="11"/>
        <v xml:space="preserve">   </v>
      </c>
    </row>
    <row r="225" spans="1:9" s="2" customFormat="1" hidden="1" x14ac:dyDescent="0.25">
      <c r="A225" s="19">
        <v>211</v>
      </c>
      <c r="B225" s="57">
        <v>45</v>
      </c>
      <c r="C225" s="37" t="s">
        <v>378</v>
      </c>
      <c r="D225" s="38">
        <v>849110036</v>
      </c>
      <c r="E225" s="28" t="s">
        <v>32</v>
      </c>
      <c r="F225" s="57">
        <v>2010</v>
      </c>
      <c r="G225" s="28"/>
      <c r="H225" s="58" t="str">
        <f t="shared" si="10"/>
        <v xml:space="preserve">   </v>
      </c>
      <c r="I225" s="58" t="str">
        <f t="shared" si="11"/>
        <v xml:space="preserve">   </v>
      </c>
    </row>
    <row r="226" spans="1:9" s="2" customFormat="1" hidden="1" x14ac:dyDescent="0.25">
      <c r="A226" s="19">
        <v>212</v>
      </c>
      <c r="B226" s="59">
        <v>46</v>
      </c>
      <c r="C226" s="39" t="s">
        <v>379</v>
      </c>
      <c r="D226" s="40">
        <v>849110006</v>
      </c>
      <c r="E226" s="23" t="s">
        <v>32</v>
      </c>
      <c r="F226" s="59">
        <v>2010</v>
      </c>
      <c r="G226" s="31" t="s">
        <v>33</v>
      </c>
      <c r="H226" s="24" t="str">
        <f t="shared" si="10"/>
        <v xml:space="preserve">   </v>
      </c>
      <c r="I226" s="24">
        <f t="shared" si="11"/>
        <v>41275</v>
      </c>
    </row>
    <row r="227" spans="1:9" s="2" customFormat="1" hidden="1" x14ac:dyDescent="0.25">
      <c r="A227" s="19">
        <v>213</v>
      </c>
      <c r="B227" s="57">
        <v>47</v>
      </c>
      <c r="C227" s="37" t="s">
        <v>382</v>
      </c>
      <c r="D227" s="38">
        <v>849110007</v>
      </c>
      <c r="E227" s="28" t="s">
        <v>32</v>
      </c>
      <c r="F227" s="57">
        <v>2010</v>
      </c>
      <c r="G227" s="28"/>
      <c r="H227" s="58" t="str">
        <f t="shared" si="10"/>
        <v xml:space="preserve">   </v>
      </c>
      <c r="I227" s="58" t="str">
        <f t="shared" si="11"/>
        <v xml:space="preserve">   </v>
      </c>
    </row>
    <row r="228" spans="1:9" s="2" customFormat="1" hidden="1" x14ac:dyDescent="0.25">
      <c r="A228" s="19">
        <v>214</v>
      </c>
      <c r="B228" s="59">
        <v>48</v>
      </c>
      <c r="C228" s="39" t="s">
        <v>384</v>
      </c>
      <c r="D228" s="40">
        <v>849110042</v>
      </c>
      <c r="E228" s="23" t="s">
        <v>32</v>
      </c>
      <c r="F228" s="59">
        <v>2010</v>
      </c>
      <c r="G228" s="31" t="s">
        <v>33</v>
      </c>
      <c r="H228" s="24" t="str">
        <f t="shared" si="10"/>
        <v xml:space="preserve">   </v>
      </c>
      <c r="I228" s="24">
        <f t="shared" si="11"/>
        <v>41275</v>
      </c>
    </row>
    <row r="229" spans="1:9" s="2" customFormat="1" hidden="1" x14ac:dyDescent="0.25">
      <c r="A229" s="19">
        <v>215</v>
      </c>
      <c r="B229" s="59">
        <v>49</v>
      </c>
      <c r="C229" s="39" t="s">
        <v>385</v>
      </c>
      <c r="D229" s="40">
        <v>849110045</v>
      </c>
      <c r="E229" s="23" t="s">
        <v>32</v>
      </c>
      <c r="F229" s="59">
        <v>2010</v>
      </c>
      <c r="G229" s="31" t="s">
        <v>33</v>
      </c>
      <c r="H229" s="24" t="str">
        <f t="shared" si="10"/>
        <v xml:space="preserve">   </v>
      </c>
      <c r="I229" s="24">
        <f t="shared" si="11"/>
        <v>41640</v>
      </c>
    </row>
    <row r="230" spans="1:9" s="2" customFormat="1" hidden="1" x14ac:dyDescent="0.25">
      <c r="A230" s="19">
        <v>216</v>
      </c>
      <c r="B230" s="57">
        <v>50</v>
      </c>
      <c r="C230" s="37" t="s">
        <v>387</v>
      </c>
      <c r="D230" s="38">
        <v>849110013</v>
      </c>
      <c r="E230" s="28" t="s">
        <v>32</v>
      </c>
      <c r="F230" s="57">
        <v>2010</v>
      </c>
      <c r="G230" s="28"/>
      <c r="H230" s="58" t="str">
        <f t="shared" si="10"/>
        <v xml:space="preserve">   </v>
      </c>
      <c r="I230" s="58" t="str">
        <f t="shared" si="11"/>
        <v xml:space="preserve">   </v>
      </c>
    </row>
    <row r="231" spans="1:9" s="2" customFormat="1" hidden="1" x14ac:dyDescent="0.25">
      <c r="A231" s="19">
        <v>217</v>
      </c>
      <c r="B231" s="59">
        <v>51</v>
      </c>
      <c r="C231" s="39" t="s">
        <v>388</v>
      </c>
      <c r="D231" s="40">
        <v>849110046</v>
      </c>
      <c r="E231" s="23" t="s">
        <v>32</v>
      </c>
      <c r="F231" s="59">
        <v>2010</v>
      </c>
      <c r="G231" s="31" t="s">
        <v>33</v>
      </c>
      <c r="H231" s="24" t="str">
        <f t="shared" si="10"/>
        <v xml:space="preserve">   </v>
      </c>
      <c r="I231" s="24">
        <f t="shared" si="11"/>
        <v>41640</v>
      </c>
    </row>
    <row r="232" spans="1:9" s="2" customFormat="1" hidden="1" x14ac:dyDescent="0.25">
      <c r="A232" s="19">
        <v>218</v>
      </c>
      <c r="B232" s="59">
        <v>52</v>
      </c>
      <c r="C232" s="39" t="s">
        <v>390</v>
      </c>
      <c r="D232" s="40">
        <v>849110015</v>
      </c>
      <c r="E232" s="23" t="s">
        <v>32</v>
      </c>
      <c r="F232" s="59">
        <v>2010</v>
      </c>
      <c r="G232" s="31" t="s">
        <v>33</v>
      </c>
      <c r="H232" s="24" t="str">
        <f t="shared" si="10"/>
        <v xml:space="preserve">   </v>
      </c>
      <c r="I232" s="24">
        <f t="shared" si="11"/>
        <v>41275</v>
      </c>
    </row>
    <row r="233" spans="1:9" s="2" customFormat="1" hidden="1" x14ac:dyDescent="0.25">
      <c r="A233" s="19">
        <v>219</v>
      </c>
      <c r="B233" s="59">
        <v>53</v>
      </c>
      <c r="C233" s="39" t="s">
        <v>392</v>
      </c>
      <c r="D233" s="40">
        <v>849110017</v>
      </c>
      <c r="E233" s="23" t="s">
        <v>32</v>
      </c>
      <c r="F233" s="59">
        <v>2010</v>
      </c>
      <c r="G233" s="23"/>
      <c r="H233" s="60" t="str">
        <f t="shared" si="10"/>
        <v xml:space="preserve">   </v>
      </c>
      <c r="I233" s="60" t="str">
        <f t="shared" si="11"/>
        <v xml:space="preserve">   </v>
      </c>
    </row>
    <row r="234" spans="1:9" s="2" customFormat="1" hidden="1" x14ac:dyDescent="0.25">
      <c r="A234" s="19">
        <v>220</v>
      </c>
      <c r="B234" s="59">
        <v>54</v>
      </c>
      <c r="C234" s="39" t="s">
        <v>393</v>
      </c>
      <c r="D234" s="40">
        <v>849110020</v>
      </c>
      <c r="E234" s="23" t="s">
        <v>32</v>
      </c>
      <c r="F234" s="59">
        <v>2010</v>
      </c>
      <c r="G234" s="23"/>
      <c r="H234" s="60" t="str">
        <f t="shared" si="10"/>
        <v xml:space="preserve">   </v>
      </c>
      <c r="I234" s="60" t="str">
        <f t="shared" si="11"/>
        <v xml:space="preserve">   </v>
      </c>
    </row>
    <row r="235" spans="1:9" s="2" customFormat="1" hidden="1" x14ac:dyDescent="0.25">
      <c r="A235" s="19">
        <v>221</v>
      </c>
      <c r="B235" s="59">
        <v>55</v>
      </c>
      <c r="C235" s="39" t="s">
        <v>397</v>
      </c>
      <c r="D235" s="40">
        <v>849110022</v>
      </c>
      <c r="E235" s="23" t="s">
        <v>32</v>
      </c>
      <c r="F235" s="59">
        <v>2010</v>
      </c>
      <c r="G235" s="31" t="s">
        <v>33</v>
      </c>
      <c r="H235" s="24" t="str">
        <f t="shared" si="10"/>
        <v xml:space="preserve">   </v>
      </c>
      <c r="I235" s="24">
        <f t="shared" si="11"/>
        <v>41275</v>
      </c>
    </row>
    <row r="236" spans="1:9" s="2" customFormat="1" hidden="1" x14ac:dyDescent="0.25">
      <c r="A236" s="19">
        <v>222</v>
      </c>
      <c r="B236" s="59">
        <v>56</v>
      </c>
      <c r="C236" s="39" t="s">
        <v>400</v>
      </c>
      <c r="D236" s="40">
        <v>849110055</v>
      </c>
      <c r="E236" s="23" t="s">
        <v>32</v>
      </c>
      <c r="F236" s="59">
        <v>2010</v>
      </c>
      <c r="G236" s="23"/>
      <c r="H236" s="60" t="str">
        <f t="shared" ref="H236:H299" si="12">IFERROR(VLOOKUP(D236,Tlus,3,FALSE),"   ")</f>
        <v xml:space="preserve">   </v>
      </c>
      <c r="I236" s="60" t="str">
        <f t="shared" ref="I236:I299" si="13">IFERROR(VLOOKUP(D236,Wis,4,FALSE),"   ")</f>
        <v xml:space="preserve">   </v>
      </c>
    </row>
    <row r="237" spans="1:9" s="2" customFormat="1" hidden="1" x14ac:dyDescent="0.25">
      <c r="A237" s="19">
        <v>223</v>
      </c>
      <c r="B237" s="67">
        <v>57</v>
      </c>
      <c r="C237" s="43" t="s">
        <v>401</v>
      </c>
      <c r="D237" s="69">
        <v>849110024</v>
      </c>
      <c r="E237" s="45" t="s">
        <v>32</v>
      </c>
      <c r="F237" s="67">
        <v>2010</v>
      </c>
      <c r="G237" s="45"/>
      <c r="H237" s="68" t="str">
        <f t="shared" si="12"/>
        <v xml:space="preserve">   </v>
      </c>
      <c r="I237" s="68" t="str">
        <f t="shared" si="13"/>
        <v xml:space="preserve">   </v>
      </c>
    </row>
    <row r="238" spans="1:9" s="2" customFormat="1" hidden="1" x14ac:dyDescent="0.25">
      <c r="A238" s="19">
        <v>224</v>
      </c>
      <c r="B238" s="67">
        <v>58</v>
      </c>
      <c r="C238" s="43" t="s">
        <v>402</v>
      </c>
      <c r="D238" s="69">
        <v>849110057</v>
      </c>
      <c r="E238" s="45" t="s">
        <v>32</v>
      </c>
      <c r="F238" s="67">
        <v>2010</v>
      </c>
      <c r="G238" s="45"/>
      <c r="H238" s="68" t="str">
        <f t="shared" si="12"/>
        <v xml:space="preserve">   </v>
      </c>
      <c r="I238" s="68" t="str">
        <f t="shared" si="13"/>
        <v xml:space="preserve">   </v>
      </c>
    </row>
    <row r="239" spans="1:9" s="2" customFormat="1" hidden="1" x14ac:dyDescent="0.25">
      <c r="A239" s="19">
        <v>225</v>
      </c>
      <c r="B239" s="67">
        <v>59</v>
      </c>
      <c r="C239" s="43" t="s">
        <v>403</v>
      </c>
      <c r="D239" s="69">
        <v>849110058</v>
      </c>
      <c r="E239" s="45" t="s">
        <v>32</v>
      </c>
      <c r="F239" s="67">
        <v>2010</v>
      </c>
      <c r="G239" s="45"/>
      <c r="H239" s="68" t="str">
        <f t="shared" si="12"/>
        <v xml:space="preserve">   </v>
      </c>
      <c r="I239" s="68" t="str">
        <f t="shared" si="13"/>
        <v xml:space="preserve">   </v>
      </c>
    </row>
    <row r="240" spans="1:9" s="2" customFormat="1" hidden="1" x14ac:dyDescent="0.25">
      <c r="A240" s="19">
        <v>226</v>
      </c>
      <c r="B240" s="59">
        <v>60</v>
      </c>
      <c r="C240" s="39" t="s">
        <v>404</v>
      </c>
      <c r="D240" s="70">
        <v>849110030</v>
      </c>
      <c r="E240" s="23" t="s">
        <v>32</v>
      </c>
      <c r="F240" s="59">
        <v>2010</v>
      </c>
      <c r="G240" s="23" t="s">
        <v>33</v>
      </c>
      <c r="H240" s="60" t="str">
        <f t="shared" si="12"/>
        <v xml:space="preserve">   </v>
      </c>
      <c r="I240" s="60" t="str">
        <f t="shared" si="13"/>
        <v xml:space="preserve">   </v>
      </c>
    </row>
    <row r="241" spans="1:9" s="2" customFormat="1" hidden="1" x14ac:dyDescent="0.25">
      <c r="A241" s="19">
        <v>227</v>
      </c>
      <c r="B241" s="67">
        <v>61</v>
      </c>
      <c r="C241" s="43" t="s">
        <v>409</v>
      </c>
      <c r="D241" s="69">
        <v>849110032</v>
      </c>
      <c r="E241" s="45" t="s">
        <v>32</v>
      </c>
      <c r="F241" s="67">
        <v>2010</v>
      </c>
      <c r="G241" s="45"/>
      <c r="H241" s="68" t="str">
        <f t="shared" si="12"/>
        <v xml:space="preserve">   </v>
      </c>
      <c r="I241" s="68" t="str">
        <f t="shared" si="13"/>
        <v xml:space="preserve">   </v>
      </c>
    </row>
    <row r="242" spans="1:9" s="2" customFormat="1" hidden="1" x14ac:dyDescent="0.25">
      <c r="A242" s="19">
        <v>228</v>
      </c>
      <c r="B242" s="57">
        <v>62</v>
      </c>
      <c r="C242" s="37" t="s">
        <v>410</v>
      </c>
      <c r="D242" s="71">
        <v>849110050</v>
      </c>
      <c r="E242" s="28" t="s">
        <v>32</v>
      </c>
      <c r="F242" s="57">
        <v>2010</v>
      </c>
      <c r="G242" s="28"/>
      <c r="H242" s="58" t="str">
        <f t="shared" si="12"/>
        <v xml:space="preserve">   </v>
      </c>
      <c r="I242" s="58" t="str">
        <f t="shared" si="13"/>
        <v xml:space="preserve">   </v>
      </c>
    </row>
    <row r="243" spans="1:9" s="2" customFormat="1" hidden="1" x14ac:dyDescent="0.25">
      <c r="A243" s="19">
        <v>229</v>
      </c>
      <c r="B243" s="59">
        <v>63</v>
      </c>
      <c r="C243" s="39" t="s">
        <v>411</v>
      </c>
      <c r="D243" s="40">
        <v>849110031</v>
      </c>
      <c r="E243" s="23" t="s">
        <v>32</v>
      </c>
      <c r="F243" s="59">
        <v>2010</v>
      </c>
      <c r="G243" s="31" t="s">
        <v>33</v>
      </c>
      <c r="H243" s="24" t="str">
        <f t="shared" si="12"/>
        <v xml:space="preserve">   </v>
      </c>
      <c r="I243" s="24" t="str">
        <f t="shared" si="13"/>
        <v xml:space="preserve">   </v>
      </c>
    </row>
    <row r="244" spans="1:9" s="2" customFormat="1" hidden="1" x14ac:dyDescent="0.25">
      <c r="A244" s="19">
        <v>230</v>
      </c>
      <c r="B244" s="57">
        <v>64</v>
      </c>
      <c r="C244" s="37" t="s">
        <v>415</v>
      </c>
      <c r="D244" s="38"/>
      <c r="E244" s="28" t="s">
        <v>32</v>
      </c>
      <c r="F244" s="57">
        <v>2010</v>
      </c>
      <c r="G244" s="28"/>
      <c r="H244" s="58" t="str">
        <f t="shared" si="12"/>
        <v xml:space="preserve">   </v>
      </c>
      <c r="I244" s="58" t="str">
        <f t="shared" si="13"/>
        <v xml:space="preserve">   </v>
      </c>
    </row>
    <row r="245" spans="1:9" s="2" customFormat="1" hidden="1" x14ac:dyDescent="0.25">
      <c r="A245" s="72"/>
      <c r="B245" s="72"/>
      <c r="C245" s="73"/>
      <c r="D245" s="62"/>
      <c r="E245" s="63"/>
      <c r="F245" s="64" t="s">
        <v>61</v>
      </c>
      <c r="G245" s="63"/>
      <c r="H245" s="65" t="str">
        <f t="shared" si="12"/>
        <v xml:space="preserve">   </v>
      </c>
      <c r="I245" s="65" t="str">
        <f t="shared" si="13"/>
        <v xml:space="preserve">   </v>
      </c>
    </row>
    <row r="246" spans="1:9" s="2" customFormat="1" hidden="1" x14ac:dyDescent="0.25">
      <c r="A246" s="72"/>
      <c r="B246" s="54" t="s">
        <v>417</v>
      </c>
      <c r="C246" s="74"/>
      <c r="D246" s="62"/>
      <c r="E246" s="63"/>
      <c r="F246" s="64" t="s">
        <v>61</v>
      </c>
      <c r="G246" s="63"/>
      <c r="H246" s="65" t="str">
        <f t="shared" si="12"/>
        <v xml:space="preserve">   </v>
      </c>
      <c r="I246" s="65" t="str">
        <f t="shared" si="13"/>
        <v xml:space="preserve">   </v>
      </c>
    </row>
    <row r="247" spans="1:9" s="2" customFormat="1" hidden="1" x14ac:dyDescent="0.25">
      <c r="A247" s="19">
        <v>231</v>
      </c>
      <c r="B247" s="67">
        <v>1</v>
      </c>
      <c r="C247" s="43" t="s">
        <v>418</v>
      </c>
      <c r="D247" s="44">
        <v>49110079</v>
      </c>
      <c r="E247" s="45" t="s">
        <v>32</v>
      </c>
      <c r="F247" s="67">
        <v>2010</v>
      </c>
      <c r="G247" s="45"/>
      <c r="H247" s="68" t="str">
        <f t="shared" si="12"/>
        <v xml:space="preserve">   </v>
      </c>
      <c r="I247" s="68" t="str">
        <f t="shared" si="13"/>
        <v xml:space="preserve">   </v>
      </c>
    </row>
    <row r="248" spans="1:9" s="2" customFormat="1" hidden="1" x14ac:dyDescent="0.25">
      <c r="A248" s="19">
        <v>232</v>
      </c>
      <c r="B248" s="67">
        <v>2</v>
      </c>
      <c r="C248" s="43" t="s">
        <v>419</v>
      </c>
      <c r="D248" s="44">
        <v>49110082</v>
      </c>
      <c r="E248" s="45" t="s">
        <v>32</v>
      </c>
      <c r="F248" s="67">
        <v>2010</v>
      </c>
      <c r="G248" s="45"/>
      <c r="H248" s="68" t="str">
        <f t="shared" si="12"/>
        <v xml:space="preserve">   </v>
      </c>
      <c r="I248" s="68" t="str">
        <f t="shared" si="13"/>
        <v xml:space="preserve">   </v>
      </c>
    </row>
    <row r="249" spans="1:9" s="2" customFormat="1" hidden="1" x14ac:dyDescent="0.25">
      <c r="A249" s="19">
        <v>233</v>
      </c>
      <c r="B249" s="59">
        <v>3</v>
      </c>
      <c r="C249" s="39" t="s">
        <v>420</v>
      </c>
      <c r="D249" s="40">
        <v>849110074</v>
      </c>
      <c r="E249" s="23" t="s">
        <v>32</v>
      </c>
      <c r="F249" s="59">
        <v>2010</v>
      </c>
      <c r="G249" s="31" t="s">
        <v>33</v>
      </c>
      <c r="H249" s="24" t="str">
        <f t="shared" si="12"/>
        <v xml:space="preserve">   </v>
      </c>
      <c r="I249" s="24">
        <f t="shared" si="13"/>
        <v>41275</v>
      </c>
    </row>
    <row r="250" spans="1:9" s="2" customFormat="1" hidden="1" x14ac:dyDescent="0.25">
      <c r="A250" s="19">
        <v>234</v>
      </c>
      <c r="B250" s="67">
        <v>4</v>
      </c>
      <c r="C250" s="43" t="s">
        <v>423</v>
      </c>
      <c r="D250" s="44">
        <v>49110083</v>
      </c>
      <c r="E250" s="45" t="s">
        <v>32</v>
      </c>
      <c r="F250" s="67">
        <v>2010</v>
      </c>
      <c r="G250" s="45"/>
      <c r="H250" s="68" t="str">
        <f t="shared" si="12"/>
        <v xml:space="preserve">   </v>
      </c>
      <c r="I250" s="68" t="str">
        <f t="shared" si="13"/>
        <v xml:space="preserve">   </v>
      </c>
    </row>
    <row r="251" spans="1:9" s="2" customFormat="1" hidden="1" x14ac:dyDescent="0.25">
      <c r="A251" s="19">
        <v>235</v>
      </c>
      <c r="B251" s="57">
        <v>5</v>
      </c>
      <c r="C251" s="37" t="s">
        <v>424</v>
      </c>
      <c r="D251" s="38">
        <v>849110069</v>
      </c>
      <c r="E251" s="28" t="s">
        <v>32</v>
      </c>
      <c r="F251" s="57">
        <v>2010</v>
      </c>
      <c r="G251" s="28"/>
      <c r="H251" s="58" t="str">
        <f t="shared" si="12"/>
        <v xml:space="preserve">   </v>
      </c>
      <c r="I251" s="58" t="str">
        <f t="shared" si="13"/>
        <v xml:space="preserve">   </v>
      </c>
    </row>
    <row r="252" spans="1:9" s="2" customFormat="1" hidden="1" x14ac:dyDescent="0.25">
      <c r="A252" s="19">
        <v>236</v>
      </c>
      <c r="B252" s="59">
        <v>6</v>
      </c>
      <c r="C252" s="39" t="s">
        <v>425</v>
      </c>
      <c r="D252" s="40">
        <v>849110110</v>
      </c>
      <c r="E252" s="23" t="s">
        <v>32</v>
      </c>
      <c r="F252" s="59">
        <v>2010</v>
      </c>
      <c r="G252" s="23" t="s">
        <v>33</v>
      </c>
      <c r="H252" s="60" t="str">
        <f t="shared" si="12"/>
        <v xml:space="preserve">   </v>
      </c>
      <c r="I252" s="60">
        <f t="shared" si="13"/>
        <v>42143</v>
      </c>
    </row>
    <row r="253" spans="1:9" s="2" customFormat="1" hidden="1" x14ac:dyDescent="0.25">
      <c r="A253" s="19">
        <v>237</v>
      </c>
      <c r="B253" s="67">
        <v>7</v>
      </c>
      <c r="C253" s="43" t="s">
        <v>429</v>
      </c>
      <c r="D253" s="44">
        <v>49110107</v>
      </c>
      <c r="E253" s="45" t="s">
        <v>32</v>
      </c>
      <c r="F253" s="67">
        <v>2010</v>
      </c>
      <c r="G253" s="45"/>
      <c r="H253" s="68" t="str">
        <f t="shared" si="12"/>
        <v xml:space="preserve">   </v>
      </c>
      <c r="I253" s="68" t="str">
        <f t="shared" si="13"/>
        <v xml:space="preserve">   </v>
      </c>
    </row>
    <row r="254" spans="1:9" s="2" customFormat="1" hidden="1" x14ac:dyDescent="0.25">
      <c r="A254" s="19">
        <v>238</v>
      </c>
      <c r="B254" s="67">
        <v>8</v>
      </c>
      <c r="C254" s="43" t="s">
        <v>430</v>
      </c>
      <c r="D254" s="44">
        <v>49110070</v>
      </c>
      <c r="E254" s="45" t="s">
        <v>32</v>
      </c>
      <c r="F254" s="67">
        <v>2010</v>
      </c>
      <c r="G254" s="45"/>
      <c r="H254" s="68" t="str">
        <f t="shared" si="12"/>
        <v xml:space="preserve">   </v>
      </c>
      <c r="I254" s="68" t="str">
        <f t="shared" si="13"/>
        <v xml:space="preserve">   </v>
      </c>
    </row>
    <row r="255" spans="1:9" s="2" customFormat="1" hidden="1" x14ac:dyDescent="0.25">
      <c r="A255" s="19">
        <v>239</v>
      </c>
      <c r="B255" s="59">
        <v>9</v>
      </c>
      <c r="C255" s="39" t="s">
        <v>431</v>
      </c>
      <c r="D255" s="40">
        <v>849110072</v>
      </c>
      <c r="E255" s="23" t="s">
        <v>32</v>
      </c>
      <c r="F255" s="59">
        <v>2010</v>
      </c>
      <c r="G255" s="23" t="s">
        <v>33</v>
      </c>
      <c r="H255" s="60" t="str">
        <f t="shared" si="12"/>
        <v xml:space="preserve">   </v>
      </c>
      <c r="I255" s="60">
        <f t="shared" si="13"/>
        <v>42504</v>
      </c>
    </row>
    <row r="256" spans="1:9" s="2" customFormat="1" hidden="1" x14ac:dyDescent="0.25">
      <c r="A256" s="19">
        <v>240</v>
      </c>
      <c r="B256" s="67">
        <v>10</v>
      </c>
      <c r="C256" s="43" t="s">
        <v>434</v>
      </c>
      <c r="D256" s="44">
        <v>49110073</v>
      </c>
      <c r="E256" s="45" t="s">
        <v>32</v>
      </c>
      <c r="F256" s="67">
        <v>2010</v>
      </c>
      <c r="G256" s="45"/>
      <c r="H256" s="68" t="str">
        <f t="shared" si="12"/>
        <v xml:space="preserve">   </v>
      </c>
      <c r="I256" s="68" t="str">
        <f t="shared" si="13"/>
        <v xml:space="preserve">   </v>
      </c>
    </row>
    <row r="257" spans="1:9" s="2" customFormat="1" hidden="1" x14ac:dyDescent="0.25">
      <c r="A257" s="19">
        <v>241</v>
      </c>
      <c r="B257" s="59">
        <v>11</v>
      </c>
      <c r="C257" s="39" t="s">
        <v>435</v>
      </c>
      <c r="D257" s="40">
        <v>849110080</v>
      </c>
      <c r="E257" s="23" t="s">
        <v>32</v>
      </c>
      <c r="F257" s="59">
        <v>2010</v>
      </c>
      <c r="G257" s="31" t="s">
        <v>33</v>
      </c>
      <c r="H257" s="24" t="str">
        <f t="shared" si="12"/>
        <v xml:space="preserve">   </v>
      </c>
      <c r="I257" s="24">
        <f t="shared" si="13"/>
        <v>41640</v>
      </c>
    </row>
    <row r="258" spans="1:9" s="2" customFormat="1" hidden="1" x14ac:dyDescent="0.25">
      <c r="A258" s="19">
        <v>242</v>
      </c>
      <c r="B258" s="59">
        <v>12</v>
      </c>
      <c r="C258" s="39" t="s">
        <v>438</v>
      </c>
      <c r="D258" s="40">
        <v>849110081</v>
      </c>
      <c r="E258" s="23" t="s">
        <v>32</v>
      </c>
      <c r="F258" s="59">
        <v>2010</v>
      </c>
      <c r="G258" s="31" t="s">
        <v>33</v>
      </c>
      <c r="H258" s="24" t="str">
        <f t="shared" si="12"/>
        <v xml:space="preserve">   </v>
      </c>
      <c r="I258" s="24">
        <f t="shared" si="13"/>
        <v>41275</v>
      </c>
    </row>
    <row r="259" spans="1:9" s="2" customFormat="1" hidden="1" x14ac:dyDescent="0.25">
      <c r="A259" s="19">
        <v>243</v>
      </c>
      <c r="B259" s="57">
        <v>13</v>
      </c>
      <c r="C259" s="37" t="s">
        <v>439</v>
      </c>
      <c r="D259" s="38">
        <v>49110066</v>
      </c>
      <c r="E259" s="28" t="s">
        <v>32</v>
      </c>
      <c r="F259" s="57">
        <v>2010</v>
      </c>
      <c r="G259" s="28"/>
      <c r="H259" s="58" t="str">
        <f t="shared" si="12"/>
        <v xml:space="preserve">   </v>
      </c>
      <c r="I259" s="58" t="str">
        <f t="shared" si="13"/>
        <v xml:space="preserve">   </v>
      </c>
    </row>
    <row r="260" spans="1:9" s="2" customFormat="1" hidden="1" x14ac:dyDescent="0.25">
      <c r="A260" s="19">
        <v>244</v>
      </c>
      <c r="B260" s="59">
        <v>14</v>
      </c>
      <c r="C260" s="39" t="s">
        <v>441</v>
      </c>
      <c r="D260" s="40">
        <v>849110078</v>
      </c>
      <c r="E260" s="23" t="s">
        <v>32</v>
      </c>
      <c r="F260" s="59">
        <v>2010</v>
      </c>
      <c r="G260" s="31" t="s">
        <v>33</v>
      </c>
      <c r="H260" s="24" t="str">
        <f t="shared" si="12"/>
        <v xml:space="preserve">   </v>
      </c>
      <c r="I260" s="24">
        <f t="shared" si="13"/>
        <v>41275</v>
      </c>
    </row>
    <row r="261" spans="1:9" s="2" customFormat="1" hidden="1" x14ac:dyDescent="0.25">
      <c r="A261" s="19">
        <v>245</v>
      </c>
      <c r="B261" s="67">
        <v>15</v>
      </c>
      <c r="C261" s="43" t="s">
        <v>443</v>
      </c>
      <c r="D261" s="44">
        <v>849110076</v>
      </c>
      <c r="E261" s="45" t="s">
        <v>32</v>
      </c>
      <c r="F261" s="67">
        <v>2010</v>
      </c>
      <c r="G261" s="45"/>
      <c r="H261" s="68" t="str">
        <f t="shared" si="12"/>
        <v xml:space="preserve">   </v>
      </c>
      <c r="I261" s="68">
        <f t="shared" si="13"/>
        <v>41275</v>
      </c>
    </row>
    <row r="262" spans="1:9" s="2" customFormat="1" hidden="1" x14ac:dyDescent="0.25">
      <c r="A262" s="19">
        <v>246</v>
      </c>
      <c r="B262" s="59">
        <v>16</v>
      </c>
      <c r="C262" s="39" t="s">
        <v>445</v>
      </c>
      <c r="D262" s="40">
        <v>849110077</v>
      </c>
      <c r="E262" s="23" t="s">
        <v>32</v>
      </c>
      <c r="F262" s="59">
        <v>2010</v>
      </c>
      <c r="G262" s="23"/>
      <c r="H262" s="60" t="str">
        <f t="shared" si="12"/>
        <v xml:space="preserve">   </v>
      </c>
      <c r="I262" s="60" t="str">
        <f t="shared" si="13"/>
        <v xml:space="preserve">   </v>
      </c>
    </row>
    <row r="263" spans="1:9" s="2" customFormat="1" hidden="1" x14ac:dyDescent="0.25">
      <c r="A263" s="19">
        <v>247</v>
      </c>
      <c r="B263" s="59">
        <v>17</v>
      </c>
      <c r="C263" s="39" t="s">
        <v>447</v>
      </c>
      <c r="D263" s="40">
        <v>849110068</v>
      </c>
      <c r="E263" s="23" t="s">
        <v>32</v>
      </c>
      <c r="F263" s="59">
        <v>2010</v>
      </c>
      <c r="G263" s="31" t="s">
        <v>33</v>
      </c>
      <c r="H263" s="24" t="str">
        <f t="shared" si="12"/>
        <v xml:space="preserve">   </v>
      </c>
      <c r="I263" s="24">
        <f t="shared" si="13"/>
        <v>41275</v>
      </c>
    </row>
    <row r="264" spans="1:9" s="2" customFormat="1" hidden="1" x14ac:dyDescent="0.25">
      <c r="A264" s="19">
        <v>248</v>
      </c>
      <c r="B264" s="59">
        <v>18</v>
      </c>
      <c r="C264" s="39" t="s">
        <v>450</v>
      </c>
      <c r="D264" s="75">
        <v>849110067</v>
      </c>
      <c r="E264" s="76" t="s">
        <v>32</v>
      </c>
      <c r="F264" s="77">
        <v>2010</v>
      </c>
      <c r="G264" s="31" t="s">
        <v>33</v>
      </c>
      <c r="H264" s="24" t="str">
        <f t="shared" si="12"/>
        <v xml:space="preserve">   </v>
      </c>
      <c r="I264" s="24">
        <f t="shared" si="13"/>
        <v>41275</v>
      </c>
    </row>
    <row r="265" spans="1:9" s="2" customFormat="1" hidden="1" x14ac:dyDescent="0.25">
      <c r="A265" s="19">
        <v>249</v>
      </c>
      <c r="B265" s="59">
        <v>19</v>
      </c>
      <c r="C265" s="39" t="s">
        <v>451</v>
      </c>
      <c r="D265" s="75">
        <v>849110090</v>
      </c>
      <c r="E265" s="76" t="s">
        <v>32</v>
      </c>
      <c r="F265" s="77">
        <v>2010</v>
      </c>
      <c r="G265" s="31" t="s">
        <v>33</v>
      </c>
      <c r="H265" s="24" t="str">
        <f t="shared" si="12"/>
        <v xml:space="preserve">   </v>
      </c>
      <c r="I265" s="24">
        <f t="shared" si="13"/>
        <v>41275</v>
      </c>
    </row>
    <row r="266" spans="1:9" s="2" customFormat="1" hidden="1" x14ac:dyDescent="0.25">
      <c r="A266" s="19">
        <v>250</v>
      </c>
      <c r="B266" s="67">
        <v>20</v>
      </c>
      <c r="C266" s="43" t="s">
        <v>454</v>
      </c>
      <c r="D266" s="44">
        <v>49110091</v>
      </c>
      <c r="E266" s="45" t="s">
        <v>32</v>
      </c>
      <c r="F266" s="67">
        <v>2010</v>
      </c>
      <c r="G266" s="45"/>
      <c r="H266" s="68" t="str">
        <f t="shared" si="12"/>
        <v xml:space="preserve">   </v>
      </c>
      <c r="I266" s="68" t="str">
        <f t="shared" si="13"/>
        <v xml:space="preserve">   </v>
      </c>
    </row>
    <row r="267" spans="1:9" s="2" customFormat="1" hidden="1" x14ac:dyDescent="0.25">
      <c r="A267" s="19">
        <v>251</v>
      </c>
      <c r="B267" s="59">
        <v>21</v>
      </c>
      <c r="C267" s="39" t="s">
        <v>455</v>
      </c>
      <c r="D267" s="40">
        <v>849110093</v>
      </c>
      <c r="E267" s="23" t="s">
        <v>32</v>
      </c>
      <c r="F267" s="59">
        <v>2010</v>
      </c>
      <c r="G267" s="31" t="s">
        <v>33</v>
      </c>
      <c r="H267" s="24" t="str">
        <f t="shared" si="12"/>
        <v xml:space="preserve">   </v>
      </c>
      <c r="I267" s="24">
        <f t="shared" si="13"/>
        <v>41275</v>
      </c>
    </row>
    <row r="268" spans="1:9" s="2" customFormat="1" hidden="1" x14ac:dyDescent="0.25">
      <c r="A268" s="19">
        <v>252</v>
      </c>
      <c r="B268" s="57">
        <v>22</v>
      </c>
      <c r="C268" s="37" t="s">
        <v>456</v>
      </c>
      <c r="D268" s="38">
        <v>849110087</v>
      </c>
      <c r="E268" s="28" t="s">
        <v>32</v>
      </c>
      <c r="F268" s="57">
        <v>2010</v>
      </c>
      <c r="G268" s="28"/>
      <c r="H268" s="58" t="str">
        <f t="shared" si="12"/>
        <v xml:space="preserve">   </v>
      </c>
      <c r="I268" s="58" t="str">
        <f t="shared" si="13"/>
        <v xml:space="preserve">   </v>
      </c>
    </row>
    <row r="269" spans="1:9" s="2" customFormat="1" hidden="1" x14ac:dyDescent="0.25">
      <c r="A269" s="19">
        <v>253</v>
      </c>
      <c r="B269" s="59">
        <v>23</v>
      </c>
      <c r="C269" s="39" t="s">
        <v>458</v>
      </c>
      <c r="D269" s="40">
        <v>849110085</v>
      </c>
      <c r="E269" s="23" t="s">
        <v>32</v>
      </c>
      <c r="F269" s="59">
        <v>2010</v>
      </c>
      <c r="G269" s="31" t="s">
        <v>33</v>
      </c>
      <c r="H269" s="24" t="str">
        <f t="shared" si="12"/>
        <v xml:space="preserve">   </v>
      </c>
      <c r="I269" s="24">
        <f t="shared" si="13"/>
        <v>41275</v>
      </c>
    </row>
    <row r="270" spans="1:9" s="2" customFormat="1" hidden="1" x14ac:dyDescent="0.25">
      <c r="A270" s="19">
        <v>254</v>
      </c>
      <c r="B270" s="67">
        <v>24</v>
      </c>
      <c r="C270" s="43" t="s">
        <v>461</v>
      </c>
      <c r="D270" s="44">
        <v>49110086</v>
      </c>
      <c r="E270" s="45" t="s">
        <v>32</v>
      </c>
      <c r="F270" s="67">
        <v>2010</v>
      </c>
      <c r="G270" s="45"/>
      <c r="H270" s="68" t="str">
        <f t="shared" si="12"/>
        <v xml:space="preserve">   </v>
      </c>
      <c r="I270" s="68" t="str">
        <f t="shared" si="13"/>
        <v xml:space="preserve">   </v>
      </c>
    </row>
    <row r="271" spans="1:9" s="2" customFormat="1" hidden="1" x14ac:dyDescent="0.25">
      <c r="A271" s="19">
        <v>255</v>
      </c>
      <c r="B271" s="59">
        <v>25</v>
      </c>
      <c r="C271" s="39" t="s">
        <v>462</v>
      </c>
      <c r="D271" s="40">
        <v>849110084</v>
      </c>
      <c r="E271" s="23" t="s">
        <v>32</v>
      </c>
      <c r="F271" s="59">
        <v>2010</v>
      </c>
      <c r="G271" s="31" t="s">
        <v>33</v>
      </c>
      <c r="H271" s="24" t="str">
        <f t="shared" si="12"/>
        <v xml:space="preserve">   </v>
      </c>
      <c r="I271" s="24">
        <f t="shared" si="13"/>
        <v>41275</v>
      </c>
    </row>
    <row r="272" spans="1:9" s="2" customFormat="1" hidden="1" x14ac:dyDescent="0.25">
      <c r="A272" s="19">
        <v>256</v>
      </c>
      <c r="B272" s="59">
        <v>26</v>
      </c>
      <c r="C272" s="39" t="s">
        <v>464</v>
      </c>
      <c r="D272" s="40">
        <v>849110097</v>
      </c>
      <c r="E272" s="23" t="s">
        <v>32</v>
      </c>
      <c r="F272" s="59">
        <v>2010</v>
      </c>
      <c r="G272" s="31" t="s">
        <v>33</v>
      </c>
      <c r="H272" s="24" t="str">
        <f t="shared" si="12"/>
        <v xml:space="preserve">   </v>
      </c>
      <c r="I272" s="24">
        <f t="shared" si="13"/>
        <v>41640</v>
      </c>
    </row>
    <row r="273" spans="1:9" s="2" customFormat="1" hidden="1" x14ac:dyDescent="0.25">
      <c r="A273" s="19">
        <v>257</v>
      </c>
      <c r="B273" s="57">
        <v>27</v>
      </c>
      <c r="C273" s="37" t="s">
        <v>469</v>
      </c>
      <c r="D273" s="38">
        <v>849110116</v>
      </c>
      <c r="E273" s="28" t="s">
        <v>32</v>
      </c>
      <c r="F273" s="57">
        <v>2010</v>
      </c>
      <c r="G273" s="28"/>
      <c r="H273" s="58" t="str">
        <f t="shared" si="12"/>
        <v xml:space="preserve">   </v>
      </c>
      <c r="I273" s="58" t="str">
        <f t="shared" si="13"/>
        <v xml:space="preserve">   </v>
      </c>
    </row>
    <row r="274" spans="1:9" s="2" customFormat="1" hidden="1" x14ac:dyDescent="0.25">
      <c r="A274" s="19">
        <v>258</v>
      </c>
      <c r="B274" s="77">
        <v>28</v>
      </c>
      <c r="C274" s="39" t="s">
        <v>471</v>
      </c>
      <c r="D274" s="40">
        <v>849110096</v>
      </c>
      <c r="E274" s="23" t="s">
        <v>32</v>
      </c>
      <c r="F274" s="59">
        <v>2010</v>
      </c>
      <c r="G274" s="31" t="s">
        <v>33</v>
      </c>
      <c r="H274" s="24" t="str">
        <f t="shared" si="12"/>
        <v xml:space="preserve">   </v>
      </c>
      <c r="I274" s="24">
        <f t="shared" si="13"/>
        <v>41275</v>
      </c>
    </row>
    <row r="275" spans="1:9" s="2" customFormat="1" hidden="1" x14ac:dyDescent="0.25">
      <c r="A275" s="19">
        <v>259</v>
      </c>
      <c r="B275" s="77">
        <v>29</v>
      </c>
      <c r="C275" s="39" t="s">
        <v>472</v>
      </c>
      <c r="D275" s="40">
        <v>849110089</v>
      </c>
      <c r="E275" s="23" t="s">
        <v>32</v>
      </c>
      <c r="F275" s="59">
        <v>2010</v>
      </c>
      <c r="G275" s="31" t="s">
        <v>33</v>
      </c>
      <c r="H275" s="24" t="str">
        <f t="shared" si="12"/>
        <v xml:space="preserve">   </v>
      </c>
      <c r="I275" s="24">
        <f t="shared" si="13"/>
        <v>41640</v>
      </c>
    </row>
    <row r="276" spans="1:9" s="2" customFormat="1" hidden="1" x14ac:dyDescent="0.25">
      <c r="A276" s="19">
        <v>260</v>
      </c>
      <c r="B276" s="77">
        <v>30</v>
      </c>
      <c r="C276" s="39" t="s">
        <v>474</v>
      </c>
      <c r="D276" s="40">
        <v>849110088</v>
      </c>
      <c r="E276" s="23" t="s">
        <v>32</v>
      </c>
      <c r="F276" s="59">
        <v>2010</v>
      </c>
      <c r="G276" s="31" t="s">
        <v>33</v>
      </c>
      <c r="H276" s="24" t="str">
        <f t="shared" si="12"/>
        <v xml:space="preserve">   </v>
      </c>
      <c r="I276" s="24">
        <f t="shared" si="13"/>
        <v>41275</v>
      </c>
    </row>
    <row r="277" spans="1:9" s="2" customFormat="1" hidden="1" x14ac:dyDescent="0.25">
      <c r="A277" s="19">
        <v>261</v>
      </c>
      <c r="B277" s="59">
        <v>31</v>
      </c>
      <c r="C277" s="39" t="s">
        <v>478</v>
      </c>
      <c r="D277" s="40">
        <v>849110092</v>
      </c>
      <c r="E277" s="23" t="s">
        <v>32</v>
      </c>
      <c r="F277" s="59">
        <v>2010</v>
      </c>
      <c r="G277" s="31" t="s">
        <v>33</v>
      </c>
      <c r="H277" s="24" t="str">
        <f t="shared" si="12"/>
        <v xml:space="preserve">   </v>
      </c>
      <c r="I277" s="24">
        <f t="shared" si="13"/>
        <v>41275</v>
      </c>
    </row>
    <row r="278" spans="1:9" s="2" customFormat="1" hidden="1" x14ac:dyDescent="0.25">
      <c r="A278" s="19">
        <v>262</v>
      </c>
      <c r="B278" s="59">
        <v>32</v>
      </c>
      <c r="C278" s="39" t="s">
        <v>479</v>
      </c>
      <c r="D278" s="40">
        <v>849110094</v>
      </c>
      <c r="E278" s="23" t="s">
        <v>32</v>
      </c>
      <c r="F278" s="59">
        <v>2010</v>
      </c>
      <c r="G278" s="31" t="s">
        <v>33</v>
      </c>
      <c r="H278" s="24" t="str">
        <f t="shared" si="12"/>
        <v xml:space="preserve">   </v>
      </c>
      <c r="I278" s="24">
        <f t="shared" si="13"/>
        <v>41275</v>
      </c>
    </row>
    <row r="279" spans="1:9" s="2" customFormat="1" hidden="1" x14ac:dyDescent="0.25">
      <c r="A279" s="19">
        <v>263</v>
      </c>
      <c r="B279" s="67">
        <v>33</v>
      </c>
      <c r="C279" s="43" t="s">
        <v>482</v>
      </c>
      <c r="D279" s="44">
        <v>49110098</v>
      </c>
      <c r="E279" s="45" t="s">
        <v>32</v>
      </c>
      <c r="F279" s="67">
        <v>2010</v>
      </c>
      <c r="G279" s="45"/>
      <c r="H279" s="68" t="str">
        <f t="shared" si="12"/>
        <v xml:space="preserve">   </v>
      </c>
      <c r="I279" s="68" t="str">
        <f t="shared" si="13"/>
        <v xml:space="preserve">   </v>
      </c>
    </row>
    <row r="280" spans="1:9" s="2" customFormat="1" hidden="1" x14ac:dyDescent="0.25">
      <c r="A280" s="19">
        <v>264</v>
      </c>
      <c r="B280" s="57">
        <v>34</v>
      </c>
      <c r="C280" s="37" t="s">
        <v>483</v>
      </c>
      <c r="D280" s="38">
        <v>849110099</v>
      </c>
      <c r="E280" s="28" t="s">
        <v>32</v>
      </c>
      <c r="F280" s="57">
        <v>2010</v>
      </c>
      <c r="G280" s="28"/>
      <c r="H280" s="58" t="str">
        <f t="shared" si="12"/>
        <v xml:space="preserve">   </v>
      </c>
      <c r="I280" s="58" t="str">
        <f t="shared" si="13"/>
        <v xml:space="preserve">   </v>
      </c>
    </row>
    <row r="281" spans="1:9" s="2" customFormat="1" hidden="1" x14ac:dyDescent="0.25">
      <c r="A281" s="19">
        <v>265</v>
      </c>
      <c r="B281" s="77">
        <v>35</v>
      </c>
      <c r="C281" s="39" t="s">
        <v>485</v>
      </c>
      <c r="D281" s="40">
        <v>849110113</v>
      </c>
      <c r="E281" s="23" t="s">
        <v>32</v>
      </c>
      <c r="F281" s="59">
        <v>2010</v>
      </c>
      <c r="G281" s="31" t="s">
        <v>33</v>
      </c>
      <c r="H281" s="60" t="str">
        <f t="shared" si="12"/>
        <v xml:space="preserve">   </v>
      </c>
      <c r="I281" s="60">
        <f t="shared" si="13"/>
        <v>41275</v>
      </c>
    </row>
    <row r="282" spans="1:9" s="2" customFormat="1" hidden="1" x14ac:dyDescent="0.25">
      <c r="A282" s="19">
        <v>266</v>
      </c>
      <c r="B282" s="77">
        <v>36</v>
      </c>
      <c r="C282" s="39" t="s">
        <v>488</v>
      </c>
      <c r="D282" s="40">
        <v>849110121</v>
      </c>
      <c r="E282" s="23" t="s">
        <v>32</v>
      </c>
      <c r="F282" s="59">
        <v>2010</v>
      </c>
      <c r="G282" s="23"/>
      <c r="H282" s="60" t="str">
        <f t="shared" si="12"/>
        <v xml:space="preserve">   </v>
      </c>
      <c r="I282" s="60" t="str">
        <f t="shared" si="13"/>
        <v xml:space="preserve">   </v>
      </c>
    </row>
    <row r="283" spans="1:9" s="2" customFormat="1" hidden="1" x14ac:dyDescent="0.25">
      <c r="A283" s="19">
        <v>267</v>
      </c>
      <c r="B283" s="77">
        <v>37</v>
      </c>
      <c r="C283" s="39" t="s">
        <v>489</v>
      </c>
      <c r="D283" s="40">
        <v>849110120</v>
      </c>
      <c r="E283" s="23" t="s">
        <v>32</v>
      </c>
      <c r="F283" s="59">
        <v>2010</v>
      </c>
      <c r="G283" s="31" t="s">
        <v>33</v>
      </c>
      <c r="H283" s="60" t="str">
        <f t="shared" si="12"/>
        <v xml:space="preserve">   </v>
      </c>
      <c r="I283" s="60">
        <f t="shared" si="13"/>
        <v>42504</v>
      </c>
    </row>
    <row r="284" spans="1:9" s="2" customFormat="1" hidden="1" x14ac:dyDescent="0.25">
      <c r="A284" s="19">
        <v>268</v>
      </c>
      <c r="B284" s="67">
        <v>38</v>
      </c>
      <c r="C284" s="43" t="s">
        <v>492</v>
      </c>
      <c r="D284" s="44">
        <v>49110104</v>
      </c>
      <c r="E284" s="45" t="s">
        <v>32</v>
      </c>
      <c r="F284" s="67">
        <v>2010</v>
      </c>
      <c r="G284" s="45"/>
      <c r="H284" s="68" t="str">
        <f t="shared" si="12"/>
        <v xml:space="preserve">   </v>
      </c>
      <c r="I284" s="68" t="str">
        <f t="shared" si="13"/>
        <v xml:space="preserve">   </v>
      </c>
    </row>
    <row r="285" spans="1:9" s="2" customFormat="1" hidden="1" x14ac:dyDescent="0.25">
      <c r="A285" s="19">
        <v>269</v>
      </c>
      <c r="B285" s="57">
        <v>39</v>
      </c>
      <c r="C285" s="37" t="s">
        <v>493</v>
      </c>
      <c r="D285" s="38">
        <v>49110102</v>
      </c>
      <c r="E285" s="28" t="s">
        <v>32</v>
      </c>
      <c r="F285" s="57">
        <v>2010</v>
      </c>
      <c r="G285" s="28"/>
      <c r="H285" s="58" t="str">
        <f t="shared" si="12"/>
        <v xml:space="preserve">   </v>
      </c>
      <c r="I285" s="58" t="str">
        <f t="shared" si="13"/>
        <v xml:space="preserve">   </v>
      </c>
    </row>
    <row r="286" spans="1:9" s="2" customFormat="1" hidden="1" x14ac:dyDescent="0.25">
      <c r="A286" s="19">
        <v>270</v>
      </c>
      <c r="B286" s="57">
        <v>40</v>
      </c>
      <c r="C286" s="37" t="s">
        <v>494</v>
      </c>
      <c r="D286" s="38">
        <v>49110071</v>
      </c>
      <c r="E286" s="28" t="s">
        <v>32</v>
      </c>
      <c r="F286" s="57">
        <v>2010</v>
      </c>
      <c r="G286" s="28"/>
      <c r="H286" s="58" t="str">
        <f t="shared" si="12"/>
        <v xml:space="preserve">   </v>
      </c>
      <c r="I286" s="58" t="str">
        <f t="shared" si="13"/>
        <v xml:space="preserve">   </v>
      </c>
    </row>
    <row r="287" spans="1:9" s="2" customFormat="1" hidden="1" x14ac:dyDescent="0.25">
      <c r="A287" s="19">
        <v>271</v>
      </c>
      <c r="B287" s="59">
        <v>41</v>
      </c>
      <c r="C287" s="39" t="s">
        <v>496</v>
      </c>
      <c r="D287" s="40">
        <v>849110111</v>
      </c>
      <c r="E287" s="23" t="s">
        <v>32</v>
      </c>
      <c r="F287" s="59">
        <v>2010</v>
      </c>
      <c r="G287" s="31" t="s">
        <v>33</v>
      </c>
      <c r="H287" s="24" t="str">
        <f t="shared" si="12"/>
        <v xml:space="preserve">   </v>
      </c>
      <c r="I287" s="24">
        <f t="shared" si="13"/>
        <v>41275</v>
      </c>
    </row>
    <row r="288" spans="1:9" s="2" customFormat="1" hidden="1" x14ac:dyDescent="0.25">
      <c r="A288" s="19">
        <v>272</v>
      </c>
      <c r="B288" s="67">
        <v>42</v>
      </c>
      <c r="C288" s="43" t="s">
        <v>500</v>
      </c>
      <c r="D288" s="44">
        <v>49110095</v>
      </c>
      <c r="E288" s="45" t="s">
        <v>32</v>
      </c>
      <c r="F288" s="67">
        <v>2010</v>
      </c>
      <c r="G288" s="45"/>
      <c r="H288" s="68" t="str">
        <f t="shared" si="12"/>
        <v xml:space="preserve">   </v>
      </c>
      <c r="I288" s="68" t="str">
        <f t="shared" si="13"/>
        <v xml:space="preserve">   </v>
      </c>
    </row>
    <row r="289" spans="1:9" s="2" customFormat="1" hidden="1" x14ac:dyDescent="0.25">
      <c r="A289" s="19">
        <v>273</v>
      </c>
      <c r="B289" s="59">
        <v>43</v>
      </c>
      <c r="C289" s="39" t="s">
        <v>501</v>
      </c>
      <c r="D289" s="40">
        <v>849110106</v>
      </c>
      <c r="E289" s="23" t="s">
        <v>32</v>
      </c>
      <c r="F289" s="59">
        <v>2010</v>
      </c>
      <c r="G289" s="31" t="s">
        <v>33</v>
      </c>
      <c r="H289" s="24" t="str">
        <f t="shared" si="12"/>
        <v xml:space="preserve">   </v>
      </c>
      <c r="I289" s="24">
        <f t="shared" si="13"/>
        <v>41640</v>
      </c>
    </row>
    <row r="290" spans="1:9" s="2" customFormat="1" hidden="1" x14ac:dyDescent="0.25">
      <c r="A290" s="19">
        <v>274</v>
      </c>
      <c r="B290" s="59">
        <v>44</v>
      </c>
      <c r="C290" s="39" t="s">
        <v>504</v>
      </c>
      <c r="D290" s="40">
        <v>849110103</v>
      </c>
      <c r="E290" s="23" t="s">
        <v>32</v>
      </c>
      <c r="F290" s="59">
        <v>2010</v>
      </c>
      <c r="G290" s="31" t="s">
        <v>33</v>
      </c>
      <c r="H290" s="24" t="str">
        <f t="shared" si="12"/>
        <v xml:space="preserve">   </v>
      </c>
      <c r="I290" s="24">
        <f t="shared" si="13"/>
        <v>41275</v>
      </c>
    </row>
    <row r="291" spans="1:9" s="2" customFormat="1" hidden="1" x14ac:dyDescent="0.25">
      <c r="A291" s="19">
        <v>275</v>
      </c>
      <c r="B291" s="67">
        <v>45</v>
      </c>
      <c r="C291" s="43" t="s">
        <v>507</v>
      </c>
      <c r="D291" s="44">
        <v>849110112</v>
      </c>
      <c r="E291" s="45" t="s">
        <v>32</v>
      </c>
      <c r="F291" s="67">
        <v>2010</v>
      </c>
      <c r="G291" s="45"/>
      <c r="H291" s="68" t="str">
        <f t="shared" si="12"/>
        <v xml:space="preserve">   </v>
      </c>
      <c r="I291" s="68" t="str">
        <f t="shared" si="13"/>
        <v xml:space="preserve">   </v>
      </c>
    </row>
    <row r="292" spans="1:9" s="2" customFormat="1" hidden="1" x14ac:dyDescent="0.25">
      <c r="A292" s="19">
        <v>276</v>
      </c>
      <c r="B292" s="67">
        <v>46</v>
      </c>
      <c r="C292" s="43" t="s">
        <v>508</v>
      </c>
      <c r="D292" s="44">
        <v>849110100</v>
      </c>
      <c r="E292" s="45" t="s">
        <v>32</v>
      </c>
      <c r="F292" s="67">
        <v>2010</v>
      </c>
      <c r="G292" s="45"/>
      <c r="H292" s="68" t="str">
        <f t="shared" si="12"/>
        <v xml:space="preserve">   </v>
      </c>
      <c r="I292" s="68" t="str">
        <f t="shared" si="13"/>
        <v xml:space="preserve">   </v>
      </c>
    </row>
    <row r="293" spans="1:9" s="2" customFormat="1" hidden="1" x14ac:dyDescent="0.25">
      <c r="A293" s="19">
        <v>277</v>
      </c>
      <c r="B293" s="59">
        <v>47</v>
      </c>
      <c r="C293" s="39" t="s">
        <v>509</v>
      </c>
      <c r="D293" s="38">
        <v>849110105</v>
      </c>
      <c r="E293" s="23" t="s">
        <v>32</v>
      </c>
      <c r="F293" s="59">
        <v>2010</v>
      </c>
      <c r="G293" s="31" t="s">
        <v>33</v>
      </c>
      <c r="H293" s="24" t="str">
        <f t="shared" si="12"/>
        <v xml:space="preserve">   </v>
      </c>
      <c r="I293" s="24">
        <f t="shared" si="13"/>
        <v>41275</v>
      </c>
    </row>
    <row r="294" spans="1:9" s="2" customFormat="1" hidden="1" x14ac:dyDescent="0.25">
      <c r="A294" s="19">
        <v>278</v>
      </c>
      <c r="B294" s="67">
        <v>48</v>
      </c>
      <c r="C294" s="43" t="s">
        <v>511</v>
      </c>
      <c r="D294" s="44">
        <v>849110109</v>
      </c>
      <c r="E294" s="45" t="s">
        <v>32</v>
      </c>
      <c r="F294" s="67">
        <v>2010</v>
      </c>
      <c r="G294" s="45"/>
      <c r="H294" s="68" t="str">
        <f t="shared" si="12"/>
        <v xml:space="preserve">   </v>
      </c>
      <c r="I294" s="68" t="str">
        <f t="shared" si="13"/>
        <v xml:space="preserve">   </v>
      </c>
    </row>
    <row r="295" spans="1:9" s="2" customFormat="1" hidden="1" x14ac:dyDescent="0.25">
      <c r="A295" s="19">
        <v>279</v>
      </c>
      <c r="B295" s="59">
        <v>49</v>
      </c>
      <c r="C295" s="39" t="s">
        <v>512</v>
      </c>
      <c r="D295" s="38">
        <v>849110115</v>
      </c>
      <c r="E295" s="23" t="s">
        <v>32</v>
      </c>
      <c r="F295" s="59">
        <v>2010</v>
      </c>
      <c r="G295" s="31" t="s">
        <v>33</v>
      </c>
      <c r="H295" s="24" t="str">
        <f t="shared" si="12"/>
        <v xml:space="preserve">   </v>
      </c>
      <c r="I295" s="24">
        <f t="shared" si="13"/>
        <v>41275</v>
      </c>
    </row>
    <row r="296" spans="1:9" s="2" customFormat="1" hidden="1" x14ac:dyDescent="0.25">
      <c r="A296" s="19">
        <v>280</v>
      </c>
      <c r="B296" s="59">
        <v>50</v>
      </c>
      <c r="C296" s="39" t="s">
        <v>515</v>
      </c>
      <c r="D296" s="40">
        <v>849110108</v>
      </c>
      <c r="E296" s="23" t="s">
        <v>32</v>
      </c>
      <c r="F296" s="59">
        <v>2010</v>
      </c>
      <c r="G296" s="31" t="s">
        <v>33</v>
      </c>
      <c r="H296" s="24" t="str">
        <f t="shared" si="12"/>
        <v xml:space="preserve">   </v>
      </c>
      <c r="I296" s="24">
        <f t="shared" si="13"/>
        <v>41275</v>
      </c>
    </row>
    <row r="297" spans="1:9" s="2" customFormat="1" hidden="1" x14ac:dyDescent="0.25">
      <c r="A297" s="19">
        <v>281</v>
      </c>
      <c r="B297" s="59">
        <v>51</v>
      </c>
      <c r="C297" s="39" t="s">
        <v>516</v>
      </c>
      <c r="D297" s="40">
        <v>849110118</v>
      </c>
      <c r="E297" s="23" t="s">
        <v>32</v>
      </c>
      <c r="F297" s="59">
        <v>2010</v>
      </c>
      <c r="G297" s="31" t="s">
        <v>33</v>
      </c>
      <c r="H297" s="24" t="str">
        <f t="shared" si="12"/>
        <v xml:space="preserve">   </v>
      </c>
      <c r="I297" s="24">
        <f t="shared" si="13"/>
        <v>41275</v>
      </c>
    </row>
    <row r="298" spans="1:9" s="2" customFormat="1" hidden="1" x14ac:dyDescent="0.25">
      <c r="A298" s="19">
        <v>282</v>
      </c>
      <c r="B298" s="67">
        <v>52</v>
      </c>
      <c r="C298" s="43" t="s">
        <v>519</v>
      </c>
      <c r="D298" s="44">
        <v>849110101</v>
      </c>
      <c r="E298" s="45" t="s">
        <v>32</v>
      </c>
      <c r="F298" s="67">
        <v>2010</v>
      </c>
      <c r="G298" s="45" t="s">
        <v>33</v>
      </c>
      <c r="H298" s="68" t="str">
        <f t="shared" si="12"/>
        <v xml:space="preserve">   </v>
      </c>
      <c r="I298" s="68">
        <f t="shared" si="13"/>
        <v>41275</v>
      </c>
    </row>
    <row r="299" spans="1:9" s="2" customFormat="1" hidden="1" x14ac:dyDescent="0.25">
      <c r="A299" s="19">
        <v>283</v>
      </c>
      <c r="B299" s="59">
        <v>53</v>
      </c>
      <c r="C299" s="39" t="s">
        <v>520</v>
      </c>
      <c r="D299" s="40">
        <v>849110117</v>
      </c>
      <c r="E299" s="23" t="s">
        <v>32</v>
      </c>
      <c r="F299" s="59">
        <v>2010</v>
      </c>
      <c r="G299" s="23" t="s">
        <v>33</v>
      </c>
      <c r="H299" s="60" t="str">
        <f t="shared" si="12"/>
        <v xml:space="preserve">   </v>
      </c>
      <c r="I299" s="60">
        <f t="shared" si="13"/>
        <v>42329</v>
      </c>
    </row>
    <row r="300" spans="1:9" s="2" customFormat="1" hidden="1" x14ac:dyDescent="0.25">
      <c r="A300" s="19">
        <v>284</v>
      </c>
      <c r="B300" s="59">
        <v>54</v>
      </c>
      <c r="C300" s="39" t="s">
        <v>521</v>
      </c>
      <c r="D300" s="40">
        <v>849110119</v>
      </c>
      <c r="E300" s="23" t="s">
        <v>32</v>
      </c>
      <c r="F300" s="59">
        <v>2010</v>
      </c>
      <c r="G300" s="31" t="s">
        <v>33</v>
      </c>
      <c r="H300" s="24" t="str">
        <f t="shared" ref="H300:H363" si="14">IFERROR(VLOOKUP(D300,Tlus,3,FALSE),"   ")</f>
        <v xml:space="preserve">   </v>
      </c>
      <c r="I300" s="24">
        <f t="shared" ref="I300:I363" si="15">IFERROR(VLOOKUP(D300,Wis,4,FALSE),"   ")</f>
        <v>41275</v>
      </c>
    </row>
    <row r="301" spans="1:9" s="2" customFormat="1" hidden="1" x14ac:dyDescent="0.25">
      <c r="A301" s="19">
        <v>285</v>
      </c>
      <c r="B301" s="57">
        <v>55</v>
      </c>
      <c r="C301" s="37" t="s">
        <v>523</v>
      </c>
      <c r="D301" s="38">
        <v>49110122</v>
      </c>
      <c r="E301" s="28" t="s">
        <v>32</v>
      </c>
      <c r="F301" s="57">
        <v>2010</v>
      </c>
      <c r="G301" s="28"/>
      <c r="H301" s="58" t="str">
        <f t="shared" si="14"/>
        <v xml:space="preserve">   </v>
      </c>
      <c r="I301" s="58" t="str">
        <f t="shared" si="15"/>
        <v xml:space="preserve">   </v>
      </c>
    </row>
    <row r="302" spans="1:9" s="2" customFormat="1" hidden="1" x14ac:dyDescent="0.25">
      <c r="A302" s="72"/>
      <c r="B302" s="72"/>
      <c r="C302" s="73"/>
      <c r="D302" s="62"/>
      <c r="E302" s="63"/>
      <c r="F302" s="64" t="s">
        <v>61</v>
      </c>
      <c r="G302" s="63"/>
      <c r="H302" s="65" t="str">
        <f t="shared" si="14"/>
        <v xml:space="preserve">   </v>
      </c>
      <c r="I302" s="65" t="str">
        <f t="shared" si="15"/>
        <v xml:space="preserve">   </v>
      </c>
    </row>
    <row r="303" spans="1:9" s="2" customFormat="1" hidden="1" x14ac:dyDescent="0.25">
      <c r="A303" s="72"/>
      <c r="B303" s="41" t="s">
        <v>525</v>
      </c>
      <c r="C303" s="41"/>
      <c r="D303" s="62"/>
      <c r="E303" s="63"/>
      <c r="F303" s="64" t="s">
        <v>61</v>
      </c>
      <c r="G303" s="63"/>
      <c r="H303" s="65" t="str">
        <f t="shared" si="14"/>
        <v xml:space="preserve">   </v>
      </c>
      <c r="I303" s="65" t="str">
        <f t="shared" si="15"/>
        <v xml:space="preserve">   </v>
      </c>
    </row>
    <row r="304" spans="1:9" s="2" customFormat="1" hidden="1" x14ac:dyDescent="0.25">
      <c r="A304" s="19">
        <v>286</v>
      </c>
      <c r="B304" s="67">
        <v>1</v>
      </c>
      <c r="C304" s="43" t="s">
        <v>526</v>
      </c>
      <c r="D304" s="44"/>
      <c r="E304" s="45" t="s">
        <v>527</v>
      </c>
      <c r="F304" s="67">
        <v>2011</v>
      </c>
      <c r="G304" s="45"/>
      <c r="H304" s="68" t="str">
        <f t="shared" si="14"/>
        <v xml:space="preserve">   </v>
      </c>
      <c r="I304" s="68" t="str">
        <f t="shared" si="15"/>
        <v xml:space="preserve">   </v>
      </c>
    </row>
    <row r="305" spans="1:9" s="2" customFormat="1" hidden="1" x14ac:dyDescent="0.25">
      <c r="A305" s="19">
        <v>287</v>
      </c>
      <c r="B305" s="59">
        <v>2</v>
      </c>
      <c r="C305" s="39" t="s">
        <v>530</v>
      </c>
      <c r="D305" s="40">
        <v>849110140</v>
      </c>
      <c r="E305" s="23" t="s">
        <v>527</v>
      </c>
      <c r="F305" s="59">
        <v>2011</v>
      </c>
      <c r="G305" s="31" t="s">
        <v>33</v>
      </c>
      <c r="H305" s="24" t="str">
        <f t="shared" si="14"/>
        <v xml:space="preserve">   </v>
      </c>
      <c r="I305" s="24">
        <f t="shared" si="15"/>
        <v>41275</v>
      </c>
    </row>
    <row r="306" spans="1:9" s="2" customFormat="1" hidden="1" x14ac:dyDescent="0.25">
      <c r="A306" s="19">
        <v>288</v>
      </c>
      <c r="B306" s="59">
        <v>3</v>
      </c>
      <c r="C306" s="39" t="s">
        <v>531</v>
      </c>
      <c r="D306" s="40"/>
      <c r="E306" s="23" t="s">
        <v>527</v>
      </c>
      <c r="F306" s="59">
        <v>2011</v>
      </c>
      <c r="G306" s="23"/>
      <c r="H306" s="60" t="str">
        <f t="shared" si="14"/>
        <v xml:space="preserve">   </v>
      </c>
      <c r="I306" s="60" t="str">
        <f t="shared" si="15"/>
        <v xml:space="preserve">   </v>
      </c>
    </row>
    <row r="307" spans="1:9" s="2" customFormat="1" hidden="1" x14ac:dyDescent="0.25">
      <c r="A307" s="19">
        <v>289</v>
      </c>
      <c r="B307" s="59">
        <v>4</v>
      </c>
      <c r="C307" s="39" t="s">
        <v>533</v>
      </c>
      <c r="D307" s="40">
        <v>849110129</v>
      </c>
      <c r="E307" s="23" t="s">
        <v>527</v>
      </c>
      <c r="F307" s="59">
        <v>2011</v>
      </c>
      <c r="G307" s="23"/>
      <c r="H307" s="60" t="str">
        <f t="shared" si="14"/>
        <v xml:space="preserve">   </v>
      </c>
      <c r="I307" s="60">
        <f t="shared" si="15"/>
        <v>42143</v>
      </c>
    </row>
    <row r="308" spans="1:9" s="2" customFormat="1" hidden="1" x14ac:dyDescent="0.25">
      <c r="A308" s="19">
        <v>290</v>
      </c>
      <c r="B308" s="59">
        <v>5</v>
      </c>
      <c r="C308" s="39" t="s">
        <v>536</v>
      </c>
      <c r="D308" s="78"/>
      <c r="E308" s="23" t="s">
        <v>527</v>
      </c>
      <c r="F308" s="59">
        <v>2011</v>
      </c>
      <c r="G308" s="23"/>
      <c r="H308" s="60" t="str">
        <f t="shared" si="14"/>
        <v xml:space="preserve">   </v>
      </c>
      <c r="I308" s="60" t="str">
        <f t="shared" si="15"/>
        <v xml:space="preserve">   </v>
      </c>
    </row>
    <row r="309" spans="1:9" s="2" customFormat="1" hidden="1" x14ac:dyDescent="0.25">
      <c r="A309" s="19">
        <v>291</v>
      </c>
      <c r="B309" s="59">
        <v>6</v>
      </c>
      <c r="C309" s="39" t="s">
        <v>539</v>
      </c>
      <c r="D309" s="38">
        <v>849110126</v>
      </c>
      <c r="E309" s="23" t="s">
        <v>527</v>
      </c>
      <c r="F309" s="59">
        <v>2011</v>
      </c>
      <c r="G309" s="31" t="s">
        <v>33</v>
      </c>
      <c r="H309" s="24" t="str">
        <f t="shared" si="14"/>
        <v xml:space="preserve">   </v>
      </c>
      <c r="I309" s="24">
        <f t="shared" si="15"/>
        <v>41275</v>
      </c>
    </row>
    <row r="310" spans="1:9" s="2" customFormat="1" hidden="1" x14ac:dyDescent="0.25">
      <c r="A310" s="19">
        <v>292</v>
      </c>
      <c r="B310" s="59">
        <v>7</v>
      </c>
      <c r="C310" s="39" t="s">
        <v>540</v>
      </c>
      <c r="D310" s="40">
        <v>849110124</v>
      </c>
      <c r="E310" s="23" t="s">
        <v>527</v>
      </c>
      <c r="F310" s="59">
        <v>2011</v>
      </c>
      <c r="G310" s="31" t="s">
        <v>33</v>
      </c>
      <c r="H310" s="24" t="str">
        <f t="shared" si="14"/>
        <v xml:space="preserve">   </v>
      </c>
      <c r="I310" s="24">
        <f t="shared" si="15"/>
        <v>41640</v>
      </c>
    </row>
    <row r="311" spans="1:9" s="2" customFormat="1" hidden="1" x14ac:dyDescent="0.25">
      <c r="A311" s="19">
        <v>293</v>
      </c>
      <c r="B311" s="57">
        <v>8</v>
      </c>
      <c r="C311" s="37" t="s">
        <v>541</v>
      </c>
      <c r="D311" s="38"/>
      <c r="E311" s="28" t="s">
        <v>527</v>
      </c>
      <c r="F311" s="57">
        <v>2011</v>
      </c>
      <c r="G311" s="28"/>
      <c r="H311" s="58" t="str">
        <f t="shared" si="14"/>
        <v xml:space="preserve">   </v>
      </c>
      <c r="I311" s="58" t="str">
        <f t="shared" si="15"/>
        <v xml:space="preserve">   </v>
      </c>
    </row>
    <row r="312" spans="1:9" s="2" customFormat="1" hidden="1" x14ac:dyDescent="0.25">
      <c r="A312" s="19">
        <v>294</v>
      </c>
      <c r="B312" s="57">
        <v>9</v>
      </c>
      <c r="C312" s="37" t="s">
        <v>542</v>
      </c>
      <c r="D312" s="79"/>
      <c r="E312" s="28" t="s">
        <v>527</v>
      </c>
      <c r="F312" s="57">
        <v>2011</v>
      </c>
      <c r="G312" s="28"/>
      <c r="H312" s="58" t="str">
        <f t="shared" si="14"/>
        <v xml:space="preserve">   </v>
      </c>
      <c r="I312" s="58" t="str">
        <f t="shared" si="15"/>
        <v xml:space="preserve">   </v>
      </c>
    </row>
    <row r="313" spans="1:9" s="2" customFormat="1" hidden="1" x14ac:dyDescent="0.25">
      <c r="A313" s="19">
        <v>295</v>
      </c>
      <c r="B313" s="59">
        <v>10</v>
      </c>
      <c r="C313" s="39" t="s">
        <v>543</v>
      </c>
      <c r="D313" s="40">
        <v>849110123</v>
      </c>
      <c r="E313" s="23" t="s">
        <v>527</v>
      </c>
      <c r="F313" s="59">
        <v>2011</v>
      </c>
      <c r="G313" s="31" t="s">
        <v>33</v>
      </c>
      <c r="H313" s="24" t="str">
        <f t="shared" si="14"/>
        <v xml:space="preserve">   </v>
      </c>
      <c r="I313" s="24">
        <f t="shared" si="15"/>
        <v>41640</v>
      </c>
    </row>
    <row r="314" spans="1:9" s="2" customFormat="1" hidden="1" x14ac:dyDescent="0.25">
      <c r="A314" s="19">
        <v>296</v>
      </c>
      <c r="B314" s="59">
        <v>11</v>
      </c>
      <c r="C314" s="39" t="s">
        <v>545</v>
      </c>
      <c r="D314" s="40"/>
      <c r="E314" s="23" t="s">
        <v>527</v>
      </c>
      <c r="F314" s="59">
        <v>2011</v>
      </c>
      <c r="G314" s="23"/>
      <c r="H314" s="60" t="str">
        <f t="shared" si="14"/>
        <v xml:space="preserve">   </v>
      </c>
      <c r="I314" s="60" t="str">
        <f t="shared" si="15"/>
        <v xml:space="preserve">   </v>
      </c>
    </row>
    <row r="315" spans="1:9" s="2" customFormat="1" hidden="1" x14ac:dyDescent="0.25">
      <c r="A315" s="19">
        <v>297</v>
      </c>
      <c r="B315" s="80">
        <v>12</v>
      </c>
      <c r="C315" s="37" t="s">
        <v>547</v>
      </c>
      <c r="D315" s="79"/>
      <c r="E315" s="28" t="s">
        <v>527</v>
      </c>
      <c r="F315" s="57">
        <v>2011</v>
      </c>
      <c r="G315" s="28"/>
      <c r="H315" s="58" t="str">
        <f t="shared" si="14"/>
        <v xml:space="preserve">   </v>
      </c>
      <c r="I315" s="58" t="str">
        <f t="shared" si="15"/>
        <v xml:space="preserve">   </v>
      </c>
    </row>
    <row r="316" spans="1:9" s="2" customFormat="1" hidden="1" x14ac:dyDescent="0.25">
      <c r="A316" s="19">
        <v>298</v>
      </c>
      <c r="B316" s="59">
        <v>13</v>
      </c>
      <c r="C316" s="39" t="s">
        <v>549</v>
      </c>
      <c r="D316" s="40">
        <v>849110136</v>
      </c>
      <c r="E316" s="23" t="s">
        <v>527</v>
      </c>
      <c r="F316" s="59">
        <v>2011</v>
      </c>
      <c r="G316" s="31" t="s">
        <v>33</v>
      </c>
      <c r="H316" s="24" t="str">
        <f t="shared" si="14"/>
        <v xml:space="preserve">   </v>
      </c>
      <c r="I316" s="24">
        <f t="shared" si="15"/>
        <v>41640</v>
      </c>
    </row>
    <row r="317" spans="1:9" s="2" customFormat="1" hidden="1" x14ac:dyDescent="0.25">
      <c r="A317" s="19">
        <v>299</v>
      </c>
      <c r="B317" s="80">
        <v>14</v>
      </c>
      <c r="C317" s="37" t="s">
        <v>550</v>
      </c>
      <c r="D317" s="38"/>
      <c r="E317" s="28" t="s">
        <v>527</v>
      </c>
      <c r="F317" s="57">
        <v>2011</v>
      </c>
      <c r="G317" s="28"/>
      <c r="H317" s="58" t="str">
        <f t="shared" si="14"/>
        <v xml:space="preserve">   </v>
      </c>
      <c r="I317" s="58" t="str">
        <f t="shared" si="15"/>
        <v xml:space="preserve">   </v>
      </c>
    </row>
    <row r="318" spans="1:9" s="2" customFormat="1" hidden="1" x14ac:dyDescent="0.25">
      <c r="A318" s="19">
        <v>300</v>
      </c>
      <c r="B318" s="59">
        <v>15</v>
      </c>
      <c r="C318" s="39" t="s">
        <v>551</v>
      </c>
      <c r="D318" s="40"/>
      <c r="E318" s="23" t="s">
        <v>527</v>
      </c>
      <c r="F318" s="59">
        <v>2011</v>
      </c>
      <c r="G318" s="23" t="s">
        <v>33</v>
      </c>
      <c r="H318" s="60" t="str">
        <f t="shared" si="14"/>
        <v xml:space="preserve">   </v>
      </c>
      <c r="I318" s="60" t="str">
        <f t="shared" si="15"/>
        <v xml:space="preserve">   </v>
      </c>
    </row>
    <row r="319" spans="1:9" s="2" customFormat="1" hidden="1" x14ac:dyDescent="0.25">
      <c r="A319" s="19">
        <v>301</v>
      </c>
      <c r="B319" s="59">
        <v>16</v>
      </c>
      <c r="C319" s="39" t="s">
        <v>552</v>
      </c>
      <c r="D319" s="40"/>
      <c r="E319" s="23" t="s">
        <v>527</v>
      </c>
      <c r="F319" s="59">
        <v>2011</v>
      </c>
      <c r="G319" s="23" t="s">
        <v>33</v>
      </c>
      <c r="H319" s="60" t="str">
        <f t="shared" si="14"/>
        <v xml:space="preserve">   </v>
      </c>
      <c r="I319" s="60" t="str">
        <f t="shared" si="15"/>
        <v xml:space="preserve">   </v>
      </c>
    </row>
    <row r="320" spans="1:9" s="2" customFormat="1" hidden="1" x14ac:dyDescent="0.25">
      <c r="A320" s="19">
        <v>302</v>
      </c>
      <c r="B320" s="59">
        <v>17</v>
      </c>
      <c r="C320" s="39" t="s">
        <v>554</v>
      </c>
      <c r="D320" s="40">
        <v>849110149</v>
      </c>
      <c r="E320" s="23" t="s">
        <v>527</v>
      </c>
      <c r="F320" s="59">
        <v>2011</v>
      </c>
      <c r="G320" s="23" t="s">
        <v>33</v>
      </c>
      <c r="H320" s="60" t="str">
        <f t="shared" si="14"/>
        <v xml:space="preserve">   </v>
      </c>
      <c r="I320" s="60">
        <f t="shared" si="15"/>
        <v>41640</v>
      </c>
    </row>
    <row r="321" spans="1:9" s="2" customFormat="1" hidden="1" x14ac:dyDescent="0.25">
      <c r="A321" s="19">
        <v>303</v>
      </c>
      <c r="B321" s="59">
        <v>18</v>
      </c>
      <c r="C321" s="39" t="s">
        <v>556</v>
      </c>
      <c r="D321" s="40">
        <v>849110128</v>
      </c>
      <c r="E321" s="23" t="s">
        <v>527</v>
      </c>
      <c r="F321" s="59">
        <v>2011</v>
      </c>
      <c r="G321" s="23" t="s">
        <v>33</v>
      </c>
      <c r="H321" s="24" t="str">
        <f t="shared" si="14"/>
        <v xml:space="preserve">   </v>
      </c>
      <c r="I321" s="24">
        <f t="shared" si="15"/>
        <v>41640</v>
      </c>
    </row>
    <row r="322" spans="1:9" s="2" customFormat="1" hidden="1" x14ac:dyDescent="0.25">
      <c r="A322" s="19">
        <v>304</v>
      </c>
      <c r="B322" s="59">
        <v>19</v>
      </c>
      <c r="C322" s="39" t="s">
        <v>561</v>
      </c>
      <c r="D322" s="40">
        <v>849110150</v>
      </c>
      <c r="E322" s="23" t="s">
        <v>527</v>
      </c>
      <c r="F322" s="59">
        <v>2011</v>
      </c>
      <c r="G322" s="23" t="s">
        <v>33</v>
      </c>
      <c r="H322" s="24" t="str">
        <f t="shared" si="14"/>
        <v xml:space="preserve">   </v>
      </c>
      <c r="I322" s="24">
        <f t="shared" si="15"/>
        <v>41640</v>
      </c>
    </row>
    <row r="323" spans="1:9" s="2" customFormat="1" hidden="1" x14ac:dyDescent="0.25">
      <c r="A323" s="19">
        <v>305</v>
      </c>
      <c r="B323" s="59">
        <v>20</v>
      </c>
      <c r="C323" s="39" t="s">
        <v>563</v>
      </c>
      <c r="D323" s="40">
        <v>849110130</v>
      </c>
      <c r="E323" s="23" t="s">
        <v>527</v>
      </c>
      <c r="F323" s="59">
        <v>2011</v>
      </c>
      <c r="G323" s="23" t="s">
        <v>33</v>
      </c>
      <c r="H323" s="60" t="str">
        <f t="shared" si="14"/>
        <v xml:space="preserve">   </v>
      </c>
      <c r="I323" s="60">
        <f t="shared" si="15"/>
        <v>41275</v>
      </c>
    </row>
    <row r="324" spans="1:9" s="2" customFormat="1" hidden="1" x14ac:dyDescent="0.25">
      <c r="A324" s="19">
        <v>306</v>
      </c>
      <c r="B324" s="59">
        <v>21</v>
      </c>
      <c r="C324" s="39" t="s">
        <v>564</v>
      </c>
      <c r="D324" s="40"/>
      <c r="E324" s="23" t="s">
        <v>527</v>
      </c>
      <c r="F324" s="59">
        <v>2011</v>
      </c>
      <c r="G324" s="23" t="s">
        <v>33</v>
      </c>
      <c r="H324" s="60" t="str">
        <f t="shared" si="14"/>
        <v xml:space="preserve">   </v>
      </c>
      <c r="I324" s="60" t="str">
        <f t="shared" si="15"/>
        <v xml:space="preserve">   </v>
      </c>
    </row>
    <row r="325" spans="1:9" s="2" customFormat="1" hidden="1" x14ac:dyDescent="0.25">
      <c r="A325" s="19">
        <v>307</v>
      </c>
      <c r="B325" s="59">
        <v>22</v>
      </c>
      <c r="C325" s="39" t="s">
        <v>565</v>
      </c>
      <c r="D325" s="40">
        <v>849110144</v>
      </c>
      <c r="E325" s="23" t="s">
        <v>527</v>
      </c>
      <c r="F325" s="59">
        <v>2011</v>
      </c>
      <c r="G325" s="23" t="s">
        <v>33</v>
      </c>
      <c r="H325" s="60" t="str">
        <f t="shared" si="14"/>
        <v xml:space="preserve">   </v>
      </c>
      <c r="I325" s="60">
        <f t="shared" si="15"/>
        <v>42143</v>
      </c>
    </row>
    <row r="326" spans="1:9" s="2" customFormat="1" hidden="1" x14ac:dyDescent="0.25">
      <c r="A326" s="19">
        <v>308</v>
      </c>
      <c r="B326" s="57">
        <v>23</v>
      </c>
      <c r="C326" s="37" t="s">
        <v>567</v>
      </c>
      <c r="D326" s="38"/>
      <c r="E326" s="28" t="s">
        <v>527</v>
      </c>
      <c r="F326" s="57">
        <v>2011</v>
      </c>
      <c r="G326" s="28"/>
      <c r="H326" s="58" t="str">
        <f t="shared" si="14"/>
        <v xml:space="preserve">   </v>
      </c>
      <c r="I326" s="58" t="str">
        <f t="shared" si="15"/>
        <v xml:space="preserve">   </v>
      </c>
    </row>
    <row r="327" spans="1:9" s="2" customFormat="1" hidden="1" x14ac:dyDescent="0.25">
      <c r="A327" s="19">
        <v>309</v>
      </c>
      <c r="B327" s="59">
        <v>24</v>
      </c>
      <c r="C327" s="39" t="s">
        <v>568</v>
      </c>
      <c r="D327" s="40"/>
      <c r="E327" s="23" t="s">
        <v>527</v>
      </c>
      <c r="F327" s="59">
        <v>2011</v>
      </c>
      <c r="G327" s="23" t="s">
        <v>33</v>
      </c>
      <c r="H327" s="60" t="str">
        <f t="shared" si="14"/>
        <v xml:space="preserve">   </v>
      </c>
      <c r="I327" s="60" t="str">
        <f t="shared" si="15"/>
        <v xml:space="preserve">   </v>
      </c>
    </row>
    <row r="328" spans="1:9" s="2" customFormat="1" hidden="1" x14ac:dyDescent="0.25">
      <c r="A328" s="19">
        <v>310</v>
      </c>
      <c r="B328" s="59">
        <v>25</v>
      </c>
      <c r="C328" s="39" t="s">
        <v>570</v>
      </c>
      <c r="D328" s="40">
        <v>849110142</v>
      </c>
      <c r="E328" s="23" t="s">
        <v>527</v>
      </c>
      <c r="F328" s="59">
        <v>2011</v>
      </c>
      <c r="G328" s="23" t="s">
        <v>33</v>
      </c>
      <c r="H328" s="60" t="str">
        <f t="shared" si="14"/>
        <v xml:space="preserve">   </v>
      </c>
      <c r="I328" s="60">
        <f t="shared" si="15"/>
        <v>42329</v>
      </c>
    </row>
    <row r="329" spans="1:9" s="2" customFormat="1" hidden="1" x14ac:dyDescent="0.25">
      <c r="A329" s="19">
        <v>311</v>
      </c>
      <c r="B329" s="59">
        <v>26</v>
      </c>
      <c r="C329" s="39" t="s">
        <v>574</v>
      </c>
      <c r="D329" s="40">
        <v>849110131</v>
      </c>
      <c r="E329" s="23" t="s">
        <v>527</v>
      </c>
      <c r="F329" s="59">
        <v>2011</v>
      </c>
      <c r="G329" s="23" t="s">
        <v>33</v>
      </c>
      <c r="H329" s="60" t="str">
        <f t="shared" si="14"/>
        <v xml:space="preserve">   </v>
      </c>
      <c r="I329" s="60">
        <f t="shared" si="15"/>
        <v>42329</v>
      </c>
    </row>
    <row r="330" spans="1:9" s="2" customFormat="1" hidden="1" x14ac:dyDescent="0.25">
      <c r="A330" s="72"/>
      <c r="B330" s="72"/>
      <c r="C330" s="73"/>
      <c r="D330" s="62"/>
      <c r="E330" s="63"/>
      <c r="F330" s="64" t="s">
        <v>61</v>
      </c>
      <c r="G330" s="63"/>
      <c r="H330" s="65" t="str">
        <f t="shared" si="14"/>
        <v xml:space="preserve">   </v>
      </c>
      <c r="I330" s="65" t="str">
        <f t="shared" si="15"/>
        <v xml:space="preserve">   </v>
      </c>
    </row>
    <row r="331" spans="1:9" s="4" customFormat="1" hidden="1" x14ac:dyDescent="0.25">
      <c r="A331" s="72"/>
      <c r="B331" s="81" t="s">
        <v>577</v>
      </c>
      <c r="C331" s="81"/>
      <c r="D331" s="56"/>
      <c r="E331" s="82"/>
      <c r="F331" s="83" t="s">
        <v>61</v>
      </c>
      <c r="G331" s="82"/>
      <c r="H331" s="84" t="str">
        <f t="shared" si="14"/>
        <v xml:space="preserve">   </v>
      </c>
      <c r="I331" s="84" t="str">
        <f t="shared" si="15"/>
        <v xml:space="preserve">   </v>
      </c>
    </row>
    <row r="332" spans="1:9" s="2" customFormat="1" hidden="1" x14ac:dyDescent="0.25">
      <c r="A332" s="19">
        <v>312</v>
      </c>
      <c r="B332" s="59">
        <v>1</v>
      </c>
      <c r="C332" s="39" t="s">
        <v>578</v>
      </c>
      <c r="D332" s="40">
        <v>849110180</v>
      </c>
      <c r="E332" s="85" t="s">
        <v>579</v>
      </c>
      <c r="F332" s="59">
        <v>2011</v>
      </c>
      <c r="G332" s="31" t="s">
        <v>33</v>
      </c>
      <c r="H332" s="60" t="str">
        <f t="shared" si="14"/>
        <v xml:space="preserve">   </v>
      </c>
      <c r="I332" s="60">
        <f t="shared" si="15"/>
        <v>41275</v>
      </c>
    </row>
    <row r="333" spans="1:9" s="2" customFormat="1" hidden="1" x14ac:dyDescent="0.25">
      <c r="A333" s="19">
        <v>313</v>
      </c>
      <c r="B333" s="59">
        <v>2</v>
      </c>
      <c r="C333" s="39" t="s">
        <v>580</v>
      </c>
      <c r="D333" s="38">
        <v>849110168</v>
      </c>
      <c r="E333" s="85" t="s">
        <v>579</v>
      </c>
      <c r="F333" s="59">
        <v>2011</v>
      </c>
      <c r="G333" s="31" t="s">
        <v>33</v>
      </c>
      <c r="H333" s="24" t="str">
        <f t="shared" si="14"/>
        <v xml:space="preserve">   </v>
      </c>
      <c r="I333" s="24">
        <f t="shared" si="15"/>
        <v>41275</v>
      </c>
    </row>
    <row r="334" spans="1:9" s="2" customFormat="1" hidden="1" x14ac:dyDescent="0.25">
      <c r="A334" s="19">
        <v>314</v>
      </c>
      <c r="B334" s="59">
        <v>3</v>
      </c>
      <c r="C334" s="39" t="s">
        <v>581</v>
      </c>
      <c r="D334" s="40">
        <v>849110167</v>
      </c>
      <c r="E334" s="85" t="s">
        <v>579</v>
      </c>
      <c r="F334" s="59">
        <v>2011</v>
      </c>
      <c r="G334" s="31" t="s">
        <v>33</v>
      </c>
      <c r="H334" s="60" t="str">
        <f t="shared" si="14"/>
        <v xml:space="preserve">   </v>
      </c>
      <c r="I334" s="60">
        <f t="shared" si="15"/>
        <v>41275</v>
      </c>
    </row>
    <row r="335" spans="1:9" s="2" customFormat="1" hidden="1" x14ac:dyDescent="0.25">
      <c r="A335" s="19">
        <v>315</v>
      </c>
      <c r="B335" s="59">
        <v>4</v>
      </c>
      <c r="C335" s="39" t="s">
        <v>582</v>
      </c>
      <c r="D335" s="40">
        <v>849110158</v>
      </c>
      <c r="E335" s="85" t="s">
        <v>579</v>
      </c>
      <c r="F335" s="59">
        <v>2011</v>
      </c>
      <c r="G335" s="31" t="s">
        <v>33</v>
      </c>
      <c r="H335" s="24" t="str">
        <f t="shared" si="14"/>
        <v xml:space="preserve">   </v>
      </c>
      <c r="I335" s="24">
        <f t="shared" si="15"/>
        <v>41275</v>
      </c>
    </row>
    <row r="336" spans="1:9" s="2" customFormat="1" hidden="1" x14ac:dyDescent="0.25">
      <c r="A336" s="19">
        <v>316</v>
      </c>
      <c r="B336" s="59">
        <v>5</v>
      </c>
      <c r="C336" s="39" t="s">
        <v>519</v>
      </c>
      <c r="D336" s="40">
        <v>849110101</v>
      </c>
      <c r="E336" s="85" t="s">
        <v>579</v>
      </c>
      <c r="F336" s="59">
        <v>2011</v>
      </c>
      <c r="G336" s="31" t="s">
        <v>33</v>
      </c>
      <c r="H336" s="24" t="str">
        <f t="shared" si="14"/>
        <v xml:space="preserve">   </v>
      </c>
      <c r="I336" s="24">
        <f t="shared" si="15"/>
        <v>41275</v>
      </c>
    </row>
    <row r="337" spans="1:9" s="2" customFormat="1" hidden="1" x14ac:dyDescent="0.25">
      <c r="A337" s="19">
        <v>317</v>
      </c>
      <c r="B337" s="59">
        <v>6</v>
      </c>
      <c r="C337" s="39" t="s">
        <v>443</v>
      </c>
      <c r="D337" s="40">
        <v>849110076</v>
      </c>
      <c r="E337" s="85" t="s">
        <v>579</v>
      </c>
      <c r="F337" s="59">
        <v>2011</v>
      </c>
      <c r="G337" s="31" t="s">
        <v>33</v>
      </c>
      <c r="H337" s="24" t="str">
        <f t="shared" si="14"/>
        <v xml:space="preserve">   </v>
      </c>
      <c r="I337" s="24">
        <f t="shared" si="15"/>
        <v>41275</v>
      </c>
    </row>
    <row r="338" spans="1:9" s="2" customFormat="1" hidden="1" x14ac:dyDescent="0.25">
      <c r="A338" s="19">
        <v>318</v>
      </c>
      <c r="B338" s="59">
        <v>7</v>
      </c>
      <c r="C338" s="39" t="s">
        <v>584</v>
      </c>
      <c r="D338" s="40">
        <v>849110174</v>
      </c>
      <c r="E338" s="85" t="s">
        <v>579</v>
      </c>
      <c r="F338" s="59">
        <v>2011</v>
      </c>
      <c r="G338" s="31" t="s">
        <v>33</v>
      </c>
      <c r="H338" s="60" t="str">
        <f t="shared" si="14"/>
        <v xml:space="preserve">   </v>
      </c>
      <c r="I338" s="60">
        <f t="shared" si="15"/>
        <v>41275</v>
      </c>
    </row>
    <row r="339" spans="1:9" s="2" customFormat="1" hidden="1" x14ac:dyDescent="0.25">
      <c r="A339" s="19">
        <v>319</v>
      </c>
      <c r="B339" s="59">
        <v>8</v>
      </c>
      <c r="C339" s="39" t="s">
        <v>585</v>
      </c>
      <c r="D339" s="40">
        <v>849110151</v>
      </c>
      <c r="E339" s="85" t="s">
        <v>579</v>
      </c>
      <c r="F339" s="59">
        <v>2011</v>
      </c>
      <c r="G339" s="31" t="s">
        <v>33</v>
      </c>
      <c r="H339" s="60" t="str">
        <f t="shared" si="14"/>
        <v xml:space="preserve">   </v>
      </c>
      <c r="I339" s="60">
        <f t="shared" si="15"/>
        <v>41275</v>
      </c>
    </row>
    <row r="340" spans="1:9" s="2" customFormat="1" hidden="1" x14ac:dyDescent="0.25">
      <c r="A340" s="19">
        <v>320</v>
      </c>
      <c r="B340" s="59">
        <v>9</v>
      </c>
      <c r="C340" s="39" t="s">
        <v>586</v>
      </c>
      <c r="D340" s="40">
        <v>849110182</v>
      </c>
      <c r="E340" s="85" t="s">
        <v>579</v>
      </c>
      <c r="F340" s="59">
        <v>2011</v>
      </c>
      <c r="G340" s="31" t="s">
        <v>33</v>
      </c>
      <c r="H340" s="24" t="str">
        <f t="shared" si="14"/>
        <v xml:space="preserve">   </v>
      </c>
      <c r="I340" s="24">
        <f t="shared" si="15"/>
        <v>41275</v>
      </c>
    </row>
    <row r="341" spans="1:9" s="2" customFormat="1" hidden="1" x14ac:dyDescent="0.25">
      <c r="A341" s="19">
        <v>321</v>
      </c>
      <c r="B341" s="59">
        <v>10</v>
      </c>
      <c r="C341" s="39" t="s">
        <v>587</v>
      </c>
      <c r="D341" s="40">
        <v>849110183</v>
      </c>
      <c r="E341" s="85" t="s">
        <v>579</v>
      </c>
      <c r="F341" s="59">
        <v>2011</v>
      </c>
      <c r="G341" s="31" t="s">
        <v>33</v>
      </c>
      <c r="H341" s="24" t="str">
        <f t="shared" si="14"/>
        <v xml:space="preserve">   </v>
      </c>
      <c r="I341" s="24">
        <f t="shared" si="15"/>
        <v>41640</v>
      </c>
    </row>
    <row r="342" spans="1:9" s="2" customFormat="1" hidden="1" x14ac:dyDescent="0.25">
      <c r="A342" s="19">
        <v>322</v>
      </c>
      <c r="B342" s="59">
        <v>11</v>
      </c>
      <c r="C342" s="39" t="s">
        <v>590</v>
      </c>
      <c r="D342" s="40">
        <v>849110172</v>
      </c>
      <c r="E342" s="85" t="s">
        <v>579</v>
      </c>
      <c r="F342" s="59">
        <v>2011</v>
      </c>
      <c r="G342" s="31" t="s">
        <v>33</v>
      </c>
      <c r="H342" s="24" t="str">
        <f t="shared" si="14"/>
        <v xml:space="preserve">   </v>
      </c>
      <c r="I342" s="24">
        <f t="shared" si="15"/>
        <v>41275</v>
      </c>
    </row>
    <row r="343" spans="1:9" s="2" customFormat="1" hidden="1" x14ac:dyDescent="0.25">
      <c r="A343" s="19">
        <v>323</v>
      </c>
      <c r="B343" s="59">
        <v>12</v>
      </c>
      <c r="C343" s="39" t="s">
        <v>591</v>
      </c>
      <c r="D343" s="40">
        <v>849110155</v>
      </c>
      <c r="E343" s="85" t="s">
        <v>579</v>
      </c>
      <c r="F343" s="59">
        <v>2011</v>
      </c>
      <c r="G343" s="31" t="s">
        <v>33</v>
      </c>
      <c r="H343" s="24" t="str">
        <f t="shared" si="14"/>
        <v xml:space="preserve">   </v>
      </c>
      <c r="I343" s="24">
        <f t="shared" si="15"/>
        <v>41275</v>
      </c>
    </row>
    <row r="344" spans="1:9" s="2" customFormat="1" hidden="1" x14ac:dyDescent="0.25">
      <c r="A344" s="19">
        <v>324</v>
      </c>
      <c r="B344" s="59">
        <v>13</v>
      </c>
      <c r="C344" s="39" t="s">
        <v>592</v>
      </c>
      <c r="D344" s="40">
        <v>849110160</v>
      </c>
      <c r="E344" s="85" t="s">
        <v>579</v>
      </c>
      <c r="F344" s="59">
        <v>2011</v>
      </c>
      <c r="G344" s="31" t="s">
        <v>33</v>
      </c>
      <c r="H344" s="24" t="str">
        <f t="shared" si="14"/>
        <v xml:space="preserve">   </v>
      </c>
      <c r="I344" s="24">
        <f t="shared" si="15"/>
        <v>41275</v>
      </c>
    </row>
    <row r="345" spans="1:9" s="2" customFormat="1" hidden="1" x14ac:dyDescent="0.25">
      <c r="A345" s="19">
        <v>325</v>
      </c>
      <c r="B345" s="59">
        <v>14</v>
      </c>
      <c r="C345" s="39" t="s">
        <v>593</v>
      </c>
      <c r="D345" s="38">
        <v>849110185</v>
      </c>
      <c r="E345" s="85" t="s">
        <v>579</v>
      </c>
      <c r="F345" s="59">
        <v>2011</v>
      </c>
      <c r="G345" s="31" t="s">
        <v>33</v>
      </c>
      <c r="H345" s="24" t="str">
        <f t="shared" si="14"/>
        <v xml:space="preserve">   </v>
      </c>
      <c r="I345" s="24">
        <f t="shared" si="15"/>
        <v>41275</v>
      </c>
    </row>
    <row r="346" spans="1:9" s="2" customFormat="1" hidden="1" x14ac:dyDescent="0.25">
      <c r="A346" s="19">
        <v>326</v>
      </c>
      <c r="B346" s="59">
        <v>15</v>
      </c>
      <c r="C346" s="39" t="s">
        <v>594</v>
      </c>
      <c r="D346" s="40">
        <v>849110164</v>
      </c>
      <c r="E346" s="85" t="s">
        <v>579</v>
      </c>
      <c r="F346" s="59">
        <v>2011</v>
      </c>
      <c r="G346" s="31" t="s">
        <v>33</v>
      </c>
      <c r="H346" s="24" t="str">
        <f t="shared" si="14"/>
        <v xml:space="preserve">   </v>
      </c>
      <c r="I346" s="24">
        <f t="shared" si="15"/>
        <v>41275</v>
      </c>
    </row>
    <row r="347" spans="1:9" s="2" customFormat="1" hidden="1" x14ac:dyDescent="0.25">
      <c r="A347" s="19">
        <v>327</v>
      </c>
      <c r="B347" s="59">
        <v>16</v>
      </c>
      <c r="C347" s="39" t="s">
        <v>595</v>
      </c>
      <c r="D347" s="38">
        <v>849110170</v>
      </c>
      <c r="E347" s="85" t="s">
        <v>579</v>
      </c>
      <c r="F347" s="59">
        <v>2011</v>
      </c>
      <c r="G347" s="31" t="s">
        <v>33</v>
      </c>
      <c r="H347" s="24" t="str">
        <f t="shared" si="14"/>
        <v xml:space="preserve">   </v>
      </c>
      <c r="I347" s="24">
        <f t="shared" si="15"/>
        <v>41275</v>
      </c>
    </row>
    <row r="348" spans="1:9" s="2" customFormat="1" hidden="1" x14ac:dyDescent="0.25">
      <c r="A348" s="19">
        <v>328</v>
      </c>
      <c r="B348" s="59">
        <v>17</v>
      </c>
      <c r="C348" s="39" t="s">
        <v>596</v>
      </c>
      <c r="D348" s="38">
        <v>849110159</v>
      </c>
      <c r="E348" s="85" t="s">
        <v>579</v>
      </c>
      <c r="F348" s="59">
        <v>2011</v>
      </c>
      <c r="G348" s="31" t="s">
        <v>33</v>
      </c>
      <c r="H348" s="24" t="str">
        <f t="shared" si="14"/>
        <v xml:space="preserve">   </v>
      </c>
      <c r="I348" s="24">
        <f t="shared" si="15"/>
        <v>41275</v>
      </c>
    </row>
    <row r="349" spans="1:9" s="2" customFormat="1" hidden="1" x14ac:dyDescent="0.25">
      <c r="A349" s="19">
        <v>329</v>
      </c>
      <c r="B349" s="59">
        <v>18</v>
      </c>
      <c r="C349" s="39" t="s">
        <v>597</v>
      </c>
      <c r="D349" s="40">
        <v>849110179</v>
      </c>
      <c r="E349" s="85" t="s">
        <v>579</v>
      </c>
      <c r="F349" s="59">
        <v>2011</v>
      </c>
      <c r="G349" s="31" t="s">
        <v>33</v>
      </c>
      <c r="H349" s="60" t="str">
        <f t="shared" si="14"/>
        <v xml:space="preserve">   </v>
      </c>
      <c r="I349" s="60">
        <f t="shared" si="15"/>
        <v>41275</v>
      </c>
    </row>
    <row r="350" spans="1:9" s="2" customFormat="1" hidden="1" x14ac:dyDescent="0.25">
      <c r="A350" s="19">
        <v>330</v>
      </c>
      <c r="B350" s="59">
        <v>19</v>
      </c>
      <c r="C350" s="39" t="s">
        <v>598</v>
      </c>
      <c r="D350" s="38">
        <v>849110163</v>
      </c>
      <c r="E350" s="85" t="s">
        <v>579</v>
      </c>
      <c r="F350" s="59">
        <v>2011</v>
      </c>
      <c r="G350" s="31" t="s">
        <v>33</v>
      </c>
      <c r="H350" s="24" t="str">
        <f t="shared" si="14"/>
        <v xml:space="preserve">   </v>
      </c>
      <c r="I350" s="24">
        <f t="shared" si="15"/>
        <v>41275</v>
      </c>
    </row>
    <row r="351" spans="1:9" s="2" customFormat="1" hidden="1" x14ac:dyDescent="0.25">
      <c r="A351" s="19">
        <v>331</v>
      </c>
      <c r="B351" s="59">
        <v>20</v>
      </c>
      <c r="C351" s="39" t="s">
        <v>599</v>
      </c>
      <c r="D351" s="40">
        <v>849110169</v>
      </c>
      <c r="E351" s="85" t="s">
        <v>579</v>
      </c>
      <c r="F351" s="59">
        <v>2011</v>
      </c>
      <c r="G351" s="31" t="s">
        <v>33</v>
      </c>
      <c r="H351" s="24" t="str">
        <f t="shared" si="14"/>
        <v xml:space="preserve">   </v>
      </c>
      <c r="I351" s="24">
        <f t="shared" si="15"/>
        <v>41275</v>
      </c>
    </row>
    <row r="352" spans="1:9" s="2" customFormat="1" hidden="1" x14ac:dyDescent="0.25">
      <c r="A352" s="19">
        <v>332</v>
      </c>
      <c r="B352" s="59">
        <v>21</v>
      </c>
      <c r="C352" s="39" t="s">
        <v>600</v>
      </c>
      <c r="D352" s="40">
        <v>849110171</v>
      </c>
      <c r="E352" s="85" t="s">
        <v>579</v>
      </c>
      <c r="F352" s="59">
        <v>2011</v>
      </c>
      <c r="G352" s="31" t="s">
        <v>33</v>
      </c>
      <c r="H352" s="24" t="str">
        <f t="shared" si="14"/>
        <v xml:space="preserve">   </v>
      </c>
      <c r="I352" s="24">
        <f t="shared" si="15"/>
        <v>41275</v>
      </c>
    </row>
    <row r="353" spans="1:9" s="2" customFormat="1" hidden="1" x14ac:dyDescent="0.25">
      <c r="A353" s="19">
        <v>333</v>
      </c>
      <c r="B353" s="59">
        <v>22</v>
      </c>
      <c r="C353" s="39" t="s">
        <v>601</v>
      </c>
      <c r="D353" s="38">
        <v>849110204</v>
      </c>
      <c r="E353" s="85" t="s">
        <v>579</v>
      </c>
      <c r="F353" s="59">
        <v>2011</v>
      </c>
      <c r="G353" s="31" t="s">
        <v>33</v>
      </c>
      <c r="H353" s="60" t="str">
        <f t="shared" si="14"/>
        <v xml:space="preserve">   </v>
      </c>
      <c r="I353" s="60">
        <f t="shared" si="15"/>
        <v>41275</v>
      </c>
    </row>
    <row r="354" spans="1:9" s="2" customFormat="1" hidden="1" x14ac:dyDescent="0.25">
      <c r="A354" s="19">
        <v>334</v>
      </c>
      <c r="B354" s="59">
        <v>23</v>
      </c>
      <c r="C354" s="39" t="s">
        <v>602</v>
      </c>
      <c r="D354" s="38">
        <v>849110154</v>
      </c>
      <c r="E354" s="85" t="s">
        <v>579</v>
      </c>
      <c r="F354" s="59">
        <v>2011</v>
      </c>
      <c r="G354" s="31" t="s">
        <v>33</v>
      </c>
      <c r="H354" s="24" t="str">
        <f t="shared" si="14"/>
        <v xml:space="preserve">   </v>
      </c>
      <c r="I354" s="24">
        <f t="shared" si="15"/>
        <v>41275</v>
      </c>
    </row>
    <row r="355" spans="1:9" s="2" customFormat="1" hidden="1" x14ac:dyDescent="0.25">
      <c r="A355" s="19">
        <v>335</v>
      </c>
      <c r="B355" s="59">
        <v>24</v>
      </c>
      <c r="C355" s="39" t="s">
        <v>603</v>
      </c>
      <c r="D355" s="38">
        <v>849110173</v>
      </c>
      <c r="E355" s="85" t="s">
        <v>579</v>
      </c>
      <c r="F355" s="59">
        <v>2011</v>
      </c>
      <c r="G355" s="31" t="s">
        <v>33</v>
      </c>
      <c r="H355" s="24" t="str">
        <f t="shared" si="14"/>
        <v xml:space="preserve">   </v>
      </c>
      <c r="I355" s="24">
        <f t="shared" si="15"/>
        <v>41275</v>
      </c>
    </row>
    <row r="356" spans="1:9" s="2" customFormat="1" hidden="1" x14ac:dyDescent="0.25">
      <c r="A356" s="19">
        <v>336</v>
      </c>
      <c r="B356" s="59">
        <v>25</v>
      </c>
      <c r="C356" s="39" t="s">
        <v>604</v>
      </c>
      <c r="D356" s="38">
        <v>849110153</v>
      </c>
      <c r="E356" s="85" t="s">
        <v>579</v>
      </c>
      <c r="F356" s="59">
        <v>2011</v>
      </c>
      <c r="G356" s="31" t="s">
        <v>33</v>
      </c>
      <c r="H356" s="24" t="str">
        <f t="shared" si="14"/>
        <v xml:space="preserve">   </v>
      </c>
      <c r="I356" s="24">
        <f t="shared" si="15"/>
        <v>41275</v>
      </c>
    </row>
    <row r="357" spans="1:9" s="2" customFormat="1" hidden="1" x14ac:dyDescent="0.25">
      <c r="A357" s="86"/>
      <c r="B357" s="86"/>
      <c r="C357" s="87"/>
      <c r="D357" s="88"/>
      <c r="E357" s="89"/>
      <c r="F357" s="90" t="s">
        <v>61</v>
      </c>
      <c r="G357" s="89"/>
      <c r="H357" s="91" t="str">
        <f t="shared" si="14"/>
        <v xml:space="preserve">   </v>
      </c>
      <c r="I357" s="91" t="str">
        <f t="shared" si="15"/>
        <v xml:space="preserve">   </v>
      </c>
    </row>
    <row r="358" spans="1:9" s="2" customFormat="1" hidden="1" x14ac:dyDescent="0.25">
      <c r="A358" s="86"/>
      <c r="B358" s="92" t="s">
        <v>605</v>
      </c>
      <c r="C358" s="92"/>
      <c r="D358" s="38"/>
      <c r="E358" s="28"/>
      <c r="F358" s="57" t="s">
        <v>61</v>
      </c>
      <c r="G358" s="28"/>
      <c r="H358" s="58" t="str">
        <f t="shared" si="14"/>
        <v xml:space="preserve">   </v>
      </c>
      <c r="I358" s="58" t="str">
        <f t="shared" si="15"/>
        <v xml:space="preserve">   </v>
      </c>
    </row>
    <row r="359" spans="1:9" s="2" customFormat="1" hidden="1" x14ac:dyDescent="0.25">
      <c r="A359" s="19">
        <v>337</v>
      </c>
      <c r="B359" s="59">
        <v>1</v>
      </c>
      <c r="C359" s="39" t="s">
        <v>606</v>
      </c>
      <c r="D359" s="40">
        <v>849110199</v>
      </c>
      <c r="E359" s="23" t="s">
        <v>32</v>
      </c>
      <c r="F359" s="59">
        <v>2011</v>
      </c>
      <c r="G359" s="31" t="s">
        <v>33</v>
      </c>
      <c r="H359" s="24" t="str">
        <f t="shared" si="14"/>
        <v xml:space="preserve">   </v>
      </c>
      <c r="I359" s="24">
        <f t="shared" si="15"/>
        <v>41640</v>
      </c>
    </row>
    <row r="360" spans="1:9" s="2" customFormat="1" hidden="1" x14ac:dyDescent="0.25">
      <c r="A360" s="19">
        <v>338</v>
      </c>
      <c r="B360" s="59">
        <v>2</v>
      </c>
      <c r="C360" s="39" t="s">
        <v>608</v>
      </c>
      <c r="D360" s="40">
        <v>849110157</v>
      </c>
      <c r="E360" s="23" t="s">
        <v>32</v>
      </c>
      <c r="F360" s="59">
        <v>2011</v>
      </c>
      <c r="G360" s="31" t="s">
        <v>33</v>
      </c>
      <c r="H360" s="24" t="str">
        <f t="shared" si="14"/>
        <v xml:space="preserve">   </v>
      </c>
      <c r="I360" s="24">
        <f t="shared" si="15"/>
        <v>41275</v>
      </c>
    </row>
    <row r="361" spans="1:9" s="2" customFormat="1" hidden="1" x14ac:dyDescent="0.25">
      <c r="A361" s="19">
        <v>339</v>
      </c>
      <c r="B361" s="57">
        <v>3</v>
      </c>
      <c r="C361" s="37" t="s">
        <v>610</v>
      </c>
      <c r="D361" s="38"/>
      <c r="E361" s="28" t="s">
        <v>32</v>
      </c>
      <c r="F361" s="57">
        <v>2011</v>
      </c>
      <c r="G361" s="28"/>
      <c r="H361" s="58" t="str">
        <f t="shared" si="14"/>
        <v xml:space="preserve">   </v>
      </c>
      <c r="I361" s="58" t="str">
        <f t="shared" si="15"/>
        <v xml:space="preserve">   </v>
      </c>
    </row>
    <row r="362" spans="1:9" s="2" customFormat="1" hidden="1" x14ac:dyDescent="0.25">
      <c r="A362" s="19">
        <v>340</v>
      </c>
      <c r="B362" s="57">
        <v>4</v>
      </c>
      <c r="C362" s="37" t="s">
        <v>611</v>
      </c>
      <c r="D362" s="38"/>
      <c r="E362" s="28" t="s">
        <v>32</v>
      </c>
      <c r="F362" s="57">
        <v>2011</v>
      </c>
      <c r="G362" s="28"/>
      <c r="H362" s="58" t="str">
        <f t="shared" si="14"/>
        <v xml:space="preserve">   </v>
      </c>
      <c r="I362" s="58" t="str">
        <f t="shared" si="15"/>
        <v xml:space="preserve">   </v>
      </c>
    </row>
    <row r="363" spans="1:9" s="2" customFormat="1" hidden="1" x14ac:dyDescent="0.25">
      <c r="A363" s="19">
        <v>341</v>
      </c>
      <c r="B363" s="57">
        <v>5</v>
      </c>
      <c r="C363" s="37" t="s">
        <v>612</v>
      </c>
      <c r="D363" s="38"/>
      <c r="E363" s="28" t="s">
        <v>32</v>
      </c>
      <c r="F363" s="57">
        <v>2011</v>
      </c>
      <c r="G363" s="28"/>
      <c r="H363" s="58" t="str">
        <f t="shared" si="14"/>
        <v xml:space="preserve">   </v>
      </c>
      <c r="I363" s="58" t="str">
        <f t="shared" si="15"/>
        <v xml:space="preserve">   </v>
      </c>
    </row>
    <row r="364" spans="1:9" s="2" customFormat="1" hidden="1" x14ac:dyDescent="0.25">
      <c r="A364" s="19">
        <v>342</v>
      </c>
      <c r="B364" s="57">
        <v>6</v>
      </c>
      <c r="C364" s="37" t="s">
        <v>613</v>
      </c>
      <c r="D364" s="38"/>
      <c r="E364" s="28" t="s">
        <v>32</v>
      </c>
      <c r="F364" s="57">
        <v>2011</v>
      </c>
      <c r="G364" s="28"/>
      <c r="H364" s="58" t="str">
        <f t="shared" ref="H364:H427" si="16">IFERROR(VLOOKUP(D364,Tlus,3,FALSE),"   ")</f>
        <v xml:space="preserve">   </v>
      </c>
      <c r="I364" s="58" t="str">
        <f t="shared" ref="I364:I427" si="17">IFERROR(VLOOKUP(D364,Wis,4,FALSE),"   ")</f>
        <v xml:space="preserve">   </v>
      </c>
    </row>
    <row r="365" spans="1:9" s="2" customFormat="1" hidden="1" x14ac:dyDescent="0.25">
      <c r="A365" s="19">
        <v>343</v>
      </c>
      <c r="B365" s="59">
        <v>7</v>
      </c>
      <c r="C365" s="39" t="s">
        <v>614</v>
      </c>
      <c r="D365" s="93">
        <v>849110161</v>
      </c>
      <c r="E365" s="23" t="s">
        <v>32</v>
      </c>
      <c r="F365" s="59">
        <v>2011</v>
      </c>
      <c r="G365" s="31" t="s">
        <v>33</v>
      </c>
      <c r="H365" s="24" t="str">
        <f t="shared" si="16"/>
        <v xml:space="preserve">   </v>
      </c>
      <c r="I365" s="24">
        <f t="shared" si="17"/>
        <v>41275</v>
      </c>
    </row>
    <row r="366" spans="1:9" s="2" customFormat="1" hidden="1" x14ac:dyDescent="0.25">
      <c r="A366" s="19">
        <v>344</v>
      </c>
      <c r="B366" s="57">
        <v>8</v>
      </c>
      <c r="C366" s="37" t="s">
        <v>615</v>
      </c>
      <c r="D366" s="38"/>
      <c r="E366" s="28" t="s">
        <v>32</v>
      </c>
      <c r="F366" s="57">
        <v>2011</v>
      </c>
      <c r="G366" s="28"/>
      <c r="H366" s="58" t="str">
        <f t="shared" si="16"/>
        <v xml:space="preserve">   </v>
      </c>
      <c r="I366" s="58" t="str">
        <f t="shared" si="17"/>
        <v xml:space="preserve">   </v>
      </c>
    </row>
    <row r="367" spans="1:9" s="2" customFormat="1" hidden="1" x14ac:dyDescent="0.25">
      <c r="A367" s="19">
        <v>345</v>
      </c>
      <c r="B367" s="57">
        <v>9</v>
      </c>
      <c r="C367" s="37" t="s">
        <v>616</v>
      </c>
      <c r="D367" s="38"/>
      <c r="E367" s="28" t="s">
        <v>32</v>
      </c>
      <c r="F367" s="57">
        <v>2011</v>
      </c>
      <c r="G367" s="28"/>
      <c r="H367" s="58" t="str">
        <f t="shared" si="16"/>
        <v xml:space="preserve">   </v>
      </c>
      <c r="I367" s="58" t="str">
        <f t="shared" si="17"/>
        <v xml:space="preserve">   </v>
      </c>
    </row>
    <row r="368" spans="1:9" s="2" customFormat="1" hidden="1" x14ac:dyDescent="0.25">
      <c r="A368" s="19">
        <v>346</v>
      </c>
      <c r="B368" s="57">
        <v>10</v>
      </c>
      <c r="C368" s="37" t="s">
        <v>617</v>
      </c>
      <c r="D368" s="38"/>
      <c r="E368" s="28" t="s">
        <v>32</v>
      </c>
      <c r="F368" s="57">
        <v>2011</v>
      </c>
      <c r="G368" s="28"/>
      <c r="H368" s="58" t="str">
        <f t="shared" si="16"/>
        <v xml:space="preserve">   </v>
      </c>
      <c r="I368" s="58" t="str">
        <f t="shared" si="17"/>
        <v xml:space="preserve">   </v>
      </c>
    </row>
    <row r="369" spans="1:9" s="2" customFormat="1" hidden="1" x14ac:dyDescent="0.25">
      <c r="A369" s="19">
        <v>347</v>
      </c>
      <c r="B369" s="59">
        <v>11</v>
      </c>
      <c r="C369" s="39" t="s">
        <v>618</v>
      </c>
      <c r="D369" s="40">
        <v>849110213</v>
      </c>
      <c r="E369" s="23" t="s">
        <v>32</v>
      </c>
      <c r="F369" s="59">
        <v>2011</v>
      </c>
      <c r="G369" s="23" t="s">
        <v>33</v>
      </c>
      <c r="H369" s="60" t="str">
        <f t="shared" si="16"/>
        <v xml:space="preserve">   </v>
      </c>
      <c r="I369" s="60">
        <f t="shared" si="17"/>
        <v>42329</v>
      </c>
    </row>
    <row r="370" spans="1:9" s="2" customFormat="1" hidden="1" x14ac:dyDescent="0.25">
      <c r="A370" s="19">
        <v>348</v>
      </c>
      <c r="B370" s="59">
        <v>12</v>
      </c>
      <c r="C370" s="39" t="s">
        <v>619</v>
      </c>
      <c r="D370" s="40">
        <v>849110191</v>
      </c>
      <c r="E370" s="23" t="s">
        <v>32</v>
      </c>
      <c r="F370" s="59">
        <v>2011</v>
      </c>
      <c r="G370" s="31" t="s">
        <v>33</v>
      </c>
      <c r="H370" s="24" t="str">
        <f t="shared" si="16"/>
        <v xml:space="preserve">   </v>
      </c>
      <c r="I370" s="24">
        <f t="shared" si="17"/>
        <v>41640</v>
      </c>
    </row>
    <row r="371" spans="1:9" s="2" customFormat="1" hidden="1" x14ac:dyDescent="0.25">
      <c r="A371" s="19">
        <v>349</v>
      </c>
      <c r="B371" s="59">
        <v>13</v>
      </c>
      <c r="C371" s="39" t="s">
        <v>620</v>
      </c>
      <c r="D371" s="40">
        <v>849110197</v>
      </c>
      <c r="E371" s="23" t="s">
        <v>32</v>
      </c>
      <c r="F371" s="59">
        <v>2011</v>
      </c>
      <c r="G371" s="31" t="s">
        <v>33</v>
      </c>
      <c r="H371" s="60" t="str">
        <f t="shared" si="16"/>
        <v xml:space="preserve">   </v>
      </c>
      <c r="I371" s="60">
        <f t="shared" si="17"/>
        <v>41275</v>
      </c>
    </row>
    <row r="372" spans="1:9" s="2" customFormat="1" hidden="1" x14ac:dyDescent="0.25">
      <c r="A372" s="19">
        <v>350</v>
      </c>
      <c r="B372" s="59">
        <v>14</v>
      </c>
      <c r="C372" s="39" t="s">
        <v>622</v>
      </c>
      <c r="D372" s="40">
        <v>849110193</v>
      </c>
      <c r="E372" s="23" t="s">
        <v>32</v>
      </c>
      <c r="F372" s="59">
        <v>2011</v>
      </c>
      <c r="G372" s="31" t="s">
        <v>33</v>
      </c>
      <c r="H372" s="24" t="str">
        <f t="shared" si="16"/>
        <v xml:space="preserve">   </v>
      </c>
      <c r="I372" s="24">
        <f t="shared" si="17"/>
        <v>41640</v>
      </c>
    </row>
    <row r="373" spans="1:9" s="2" customFormat="1" hidden="1" x14ac:dyDescent="0.25">
      <c r="A373" s="19">
        <v>351</v>
      </c>
      <c r="B373" s="59">
        <v>15</v>
      </c>
      <c r="C373" s="39" t="s">
        <v>397</v>
      </c>
      <c r="D373" s="40">
        <v>849110192</v>
      </c>
      <c r="E373" s="23" t="s">
        <v>32</v>
      </c>
      <c r="F373" s="59">
        <v>2011</v>
      </c>
      <c r="G373" s="31" t="s">
        <v>33</v>
      </c>
      <c r="H373" s="24" t="str">
        <f t="shared" si="16"/>
        <v xml:space="preserve">   </v>
      </c>
      <c r="I373" s="24">
        <f t="shared" si="17"/>
        <v>41640</v>
      </c>
    </row>
    <row r="374" spans="1:9" s="2" customFormat="1" hidden="1" x14ac:dyDescent="0.25">
      <c r="A374" s="19">
        <v>352</v>
      </c>
      <c r="B374" s="59">
        <v>16</v>
      </c>
      <c r="C374" s="39" t="s">
        <v>625</v>
      </c>
      <c r="D374" s="40">
        <v>849110214</v>
      </c>
      <c r="E374" s="23" t="s">
        <v>32</v>
      </c>
      <c r="F374" s="59">
        <v>2011</v>
      </c>
      <c r="G374" s="23" t="s">
        <v>33</v>
      </c>
      <c r="H374" s="60" t="str">
        <f t="shared" si="16"/>
        <v xml:space="preserve">   </v>
      </c>
      <c r="I374" s="60">
        <f t="shared" si="17"/>
        <v>42329</v>
      </c>
    </row>
    <row r="375" spans="1:9" s="2" customFormat="1" hidden="1" x14ac:dyDescent="0.25">
      <c r="A375" s="19">
        <v>353</v>
      </c>
      <c r="B375" s="57">
        <v>17</v>
      </c>
      <c r="C375" s="37" t="s">
        <v>629</v>
      </c>
      <c r="D375" s="38"/>
      <c r="E375" s="28" t="s">
        <v>32</v>
      </c>
      <c r="F375" s="57">
        <v>2011</v>
      </c>
      <c r="G375" s="28"/>
      <c r="H375" s="58" t="str">
        <f t="shared" si="16"/>
        <v xml:space="preserve">   </v>
      </c>
      <c r="I375" s="58" t="str">
        <f t="shared" si="17"/>
        <v xml:space="preserve">   </v>
      </c>
    </row>
    <row r="376" spans="1:9" s="2" customFormat="1" hidden="1" x14ac:dyDescent="0.25">
      <c r="A376" s="19">
        <v>354</v>
      </c>
      <c r="B376" s="57">
        <v>18</v>
      </c>
      <c r="C376" s="37" t="s">
        <v>630</v>
      </c>
      <c r="D376" s="38"/>
      <c r="E376" s="28" t="s">
        <v>32</v>
      </c>
      <c r="F376" s="57">
        <v>2011</v>
      </c>
      <c r="G376" s="28"/>
      <c r="H376" s="58" t="str">
        <f t="shared" si="16"/>
        <v xml:space="preserve">   </v>
      </c>
      <c r="I376" s="58" t="str">
        <f t="shared" si="17"/>
        <v xml:space="preserve">   </v>
      </c>
    </row>
    <row r="377" spans="1:9" s="2" customFormat="1" hidden="1" x14ac:dyDescent="0.25">
      <c r="A377" s="19">
        <v>355</v>
      </c>
      <c r="B377" s="57">
        <v>19</v>
      </c>
      <c r="C377" s="37" t="s">
        <v>631</v>
      </c>
      <c r="D377" s="38"/>
      <c r="E377" s="28" t="s">
        <v>32</v>
      </c>
      <c r="F377" s="57">
        <v>2011</v>
      </c>
      <c r="G377" s="28"/>
      <c r="H377" s="58" t="str">
        <f t="shared" si="16"/>
        <v xml:space="preserve">   </v>
      </c>
      <c r="I377" s="58" t="str">
        <f t="shared" si="17"/>
        <v xml:space="preserve">   </v>
      </c>
    </row>
    <row r="378" spans="1:9" s="2" customFormat="1" hidden="1" x14ac:dyDescent="0.25">
      <c r="A378" s="19">
        <v>356</v>
      </c>
      <c r="B378" s="57">
        <v>20</v>
      </c>
      <c r="C378" s="37" t="s">
        <v>632</v>
      </c>
      <c r="D378" s="38"/>
      <c r="E378" s="28" t="s">
        <v>32</v>
      </c>
      <c r="F378" s="57">
        <v>2011</v>
      </c>
      <c r="G378" s="28"/>
      <c r="H378" s="58" t="str">
        <f t="shared" si="16"/>
        <v xml:space="preserve">   </v>
      </c>
      <c r="I378" s="58" t="str">
        <f t="shared" si="17"/>
        <v xml:space="preserve">   </v>
      </c>
    </row>
    <row r="379" spans="1:9" s="2" customFormat="1" hidden="1" x14ac:dyDescent="0.25">
      <c r="A379" s="19">
        <v>357</v>
      </c>
      <c r="B379" s="20">
        <v>21</v>
      </c>
      <c r="C379" s="21" t="s">
        <v>633</v>
      </c>
      <c r="D379" s="22">
        <v>849120062</v>
      </c>
      <c r="E379" s="23" t="s">
        <v>32</v>
      </c>
      <c r="F379" s="20">
        <v>2011</v>
      </c>
      <c r="G379" s="31" t="s">
        <v>33</v>
      </c>
      <c r="H379" s="24" t="str">
        <f t="shared" si="16"/>
        <v xml:space="preserve">   </v>
      </c>
      <c r="I379" s="24">
        <f t="shared" si="17"/>
        <v>41640</v>
      </c>
    </row>
    <row r="380" spans="1:9" s="2" customFormat="1" hidden="1" x14ac:dyDescent="0.25">
      <c r="A380" s="19">
        <v>358</v>
      </c>
      <c r="B380" s="57">
        <v>22</v>
      </c>
      <c r="C380" s="37" t="s">
        <v>636</v>
      </c>
      <c r="D380" s="38"/>
      <c r="E380" s="28" t="s">
        <v>32</v>
      </c>
      <c r="F380" s="57">
        <v>2011</v>
      </c>
      <c r="G380" s="28"/>
      <c r="H380" s="58" t="str">
        <f t="shared" si="16"/>
        <v xml:space="preserve">   </v>
      </c>
      <c r="I380" s="58" t="str">
        <f t="shared" si="17"/>
        <v xml:space="preserve">   </v>
      </c>
    </row>
    <row r="381" spans="1:9" s="2" customFormat="1" hidden="1" x14ac:dyDescent="0.25">
      <c r="A381" s="19">
        <v>359</v>
      </c>
      <c r="B381" s="57">
        <v>23</v>
      </c>
      <c r="C381" s="37" t="s">
        <v>638</v>
      </c>
      <c r="D381" s="38"/>
      <c r="E381" s="28" t="s">
        <v>32</v>
      </c>
      <c r="F381" s="57">
        <v>2011</v>
      </c>
      <c r="G381" s="28"/>
      <c r="H381" s="58" t="str">
        <f t="shared" si="16"/>
        <v xml:space="preserve">   </v>
      </c>
      <c r="I381" s="58" t="str">
        <f t="shared" si="17"/>
        <v xml:space="preserve">   </v>
      </c>
    </row>
    <row r="382" spans="1:9" s="2" customFormat="1" hidden="1" x14ac:dyDescent="0.25">
      <c r="A382" s="19">
        <v>360</v>
      </c>
      <c r="B382" s="57">
        <v>24</v>
      </c>
      <c r="C382" s="37" t="s">
        <v>639</v>
      </c>
      <c r="D382" s="38"/>
      <c r="E382" s="28" t="s">
        <v>32</v>
      </c>
      <c r="F382" s="57">
        <v>2011</v>
      </c>
      <c r="G382" s="28"/>
      <c r="H382" s="58" t="str">
        <f t="shared" si="16"/>
        <v xml:space="preserve">   </v>
      </c>
      <c r="I382" s="58" t="str">
        <f t="shared" si="17"/>
        <v xml:space="preserve">   </v>
      </c>
    </row>
    <row r="383" spans="1:9" s="2" customFormat="1" hidden="1" x14ac:dyDescent="0.25">
      <c r="A383" s="19">
        <v>361</v>
      </c>
      <c r="B383" s="59">
        <v>25</v>
      </c>
      <c r="C383" s="39" t="s">
        <v>640</v>
      </c>
      <c r="D383" s="40">
        <v>849110186</v>
      </c>
      <c r="E383" s="23" t="s">
        <v>32</v>
      </c>
      <c r="F383" s="59">
        <v>2011</v>
      </c>
      <c r="G383" s="31" t="s">
        <v>33</v>
      </c>
      <c r="H383" s="60" t="str">
        <f t="shared" si="16"/>
        <v xml:space="preserve">   </v>
      </c>
      <c r="I383" s="60">
        <f t="shared" si="17"/>
        <v>42504</v>
      </c>
    </row>
    <row r="384" spans="1:9" s="2" customFormat="1" hidden="1" x14ac:dyDescent="0.25">
      <c r="A384" s="19">
        <v>362</v>
      </c>
      <c r="B384" s="59">
        <v>26</v>
      </c>
      <c r="C384" s="39" t="s">
        <v>643</v>
      </c>
      <c r="D384" s="40">
        <v>849110198</v>
      </c>
      <c r="E384" s="23" t="s">
        <v>32</v>
      </c>
      <c r="F384" s="59">
        <v>2011</v>
      </c>
      <c r="G384" s="31" t="s">
        <v>33</v>
      </c>
      <c r="H384" s="24" t="str">
        <f t="shared" si="16"/>
        <v xml:space="preserve">   </v>
      </c>
      <c r="I384" s="24">
        <f t="shared" si="17"/>
        <v>41640</v>
      </c>
    </row>
    <row r="385" spans="1:9" s="2" customFormat="1" hidden="1" x14ac:dyDescent="0.25">
      <c r="A385" s="19">
        <v>363</v>
      </c>
      <c r="B385" s="59">
        <v>27</v>
      </c>
      <c r="C385" s="39" t="s">
        <v>646</v>
      </c>
      <c r="D385" s="38">
        <v>849110195</v>
      </c>
      <c r="E385" s="23" t="s">
        <v>32</v>
      </c>
      <c r="F385" s="59">
        <v>2011</v>
      </c>
      <c r="G385" s="31" t="s">
        <v>33</v>
      </c>
      <c r="H385" s="24" t="str">
        <f t="shared" si="16"/>
        <v xml:space="preserve">   </v>
      </c>
      <c r="I385" s="24">
        <f t="shared" si="17"/>
        <v>41275</v>
      </c>
    </row>
    <row r="386" spans="1:9" s="2" customFormat="1" hidden="1" x14ac:dyDescent="0.25">
      <c r="A386" s="19">
        <v>364</v>
      </c>
      <c r="B386" s="59">
        <v>28</v>
      </c>
      <c r="C386" s="39" t="s">
        <v>649</v>
      </c>
      <c r="D386" s="38">
        <v>849110190</v>
      </c>
      <c r="E386" s="23" t="s">
        <v>32</v>
      </c>
      <c r="F386" s="59">
        <v>2011</v>
      </c>
      <c r="G386" s="31" t="s">
        <v>33</v>
      </c>
      <c r="H386" s="24" t="str">
        <f t="shared" si="16"/>
        <v xml:space="preserve">   </v>
      </c>
      <c r="I386" s="24">
        <f t="shared" si="17"/>
        <v>41640</v>
      </c>
    </row>
    <row r="387" spans="1:9" s="2" customFormat="1" hidden="1" x14ac:dyDescent="0.25">
      <c r="A387" s="19">
        <v>365</v>
      </c>
      <c r="B387" s="20">
        <v>29</v>
      </c>
      <c r="C387" s="21" t="s">
        <v>651</v>
      </c>
      <c r="D387" s="22">
        <v>849110201</v>
      </c>
      <c r="E387" s="23" t="s">
        <v>32</v>
      </c>
      <c r="F387" s="20">
        <v>2011</v>
      </c>
      <c r="G387" s="31" t="s">
        <v>33</v>
      </c>
      <c r="H387" s="24" t="str">
        <f t="shared" si="16"/>
        <v xml:space="preserve">   </v>
      </c>
      <c r="I387" s="24">
        <f t="shared" si="17"/>
        <v>41275</v>
      </c>
    </row>
    <row r="388" spans="1:9" s="2" customFormat="1" hidden="1" x14ac:dyDescent="0.25">
      <c r="A388" s="19">
        <v>366</v>
      </c>
      <c r="B388" s="57">
        <v>30</v>
      </c>
      <c r="C388" s="37" t="s">
        <v>653</v>
      </c>
      <c r="D388" s="38"/>
      <c r="E388" s="28" t="s">
        <v>32</v>
      </c>
      <c r="F388" s="57">
        <v>2011</v>
      </c>
      <c r="G388" s="28"/>
      <c r="H388" s="58" t="str">
        <f t="shared" si="16"/>
        <v xml:space="preserve">   </v>
      </c>
      <c r="I388" s="58" t="str">
        <f t="shared" si="17"/>
        <v xml:space="preserve">   </v>
      </c>
    </row>
    <row r="389" spans="1:9" s="2" customFormat="1" hidden="1" x14ac:dyDescent="0.25">
      <c r="A389" s="19">
        <v>367</v>
      </c>
      <c r="B389" s="59">
        <v>31</v>
      </c>
      <c r="C389" s="39" t="s">
        <v>654</v>
      </c>
      <c r="D389" s="38">
        <v>849110194</v>
      </c>
      <c r="E389" s="23" t="s">
        <v>32</v>
      </c>
      <c r="F389" s="59">
        <v>2011</v>
      </c>
      <c r="G389" s="31" t="s">
        <v>33</v>
      </c>
      <c r="H389" s="24" t="str">
        <f t="shared" si="16"/>
        <v xml:space="preserve">   </v>
      </c>
      <c r="I389" s="24">
        <f t="shared" si="17"/>
        <v>41275</v>
      </c>
    </row>
    <row r="390" spans="1:9" s="2" customFormat="1" hidden="1" x14ac:dyDescent="0.25">
      <c r="A390" s="19">
        <v>368</v>
      </c>
      <c r="B390" s="59">
        <v>32</v>
      </c>
      <c r="C390" s="39" t="s">
        <v>656</v>
      </c>
      <c r="D390" s="40"/>
      <c r="E390" s="23" t="s">
        <v>32</v>
      </c>
      <c r="F390" s="59">
        <v>2011</v>
      </c>
      <c r="G390" s="23"/>
      <c r="H390" s="60" t="str">
        <f t="shared" si="16"/>
        <v xml:space="preserve">   </v>
      </c>
      <c r="I390" s="60" t="str">
        <f t="shared" si="17"/>
        <v xml:space="preserve">   </v>
      </c>
    </row>
    <row r="391" spans="1:9" s="2" customFormat="1" hidden="1" x14ac:dyDescent="0.25">
      <c r="A391" s="19">
        <v>369</v>
      </c>
      <c r="B391" s="59">
        <v>33</v>
      </c>
      <c r="C391" s="39" t="s">
        <v>658</v>
      </c>
      <c r="D391" s="40">
        <v>849110202</v>
      </c>
      <c r="E391" s="23" t="s">
        <v>32</v>
      </c>
      <c r="F391" s="59">
        <v>2011</v>
      </c>
      <c r="G391" s="31" t="s">
        <v>33</v>
      </c>
      <c r="H391" s="24" t="str">
        <f t="shared" si="16"/>
        <v xml:space="preserve">   </v>
      </c>
      <c r="I391" s="24">
        <f t="shared" si="17"/>
        <v>41640</v>
      </c>
    </row>
    <row r="392" spans="1:9" s="2" customFormat="1" hidden="1" x14ac:dyDescent="0.25">
      <c r="A392" s="19">
        <v>370</v>
      </c>
      <c r="B392" s="59">
        <v>34</v>
      </c>
      <c r="C392" s="39" t="s">
        <v>660</v>
      </c>
      <c r="D392" s="40">
        <v>849110177</v>
      </c>
      <c r="E392" s="23" t="s">
        <v>32</v>
      </c>
      <c r="F392" s="59">
        <v>2011</v>
      </c>
      <c r="G392" s="31" t="s">
        <v>33</v>
      </c>
      <c r="H392" s="24" t="str">
        <f t="shared" si="16"/>
        <v xml:space="preserve">   </v>
      </c>
      <c r="I392" s="24">
        <f t="shared" si="17"/>
        <v>41640</v>
      </c>
    </row>
    <row r="393" spans="1:9" s="2" customFormat="1" hidden="1" x14ac:dyDescent="0.25">
      <c r="A393" s="19">
        <v>371</v>
      </c>
      <c r="B393" s="57">
        <v>35</v>
      </c>
      <c r="C393" s="37" t="s">
        <v>664</v>
      </c>
      <c r="D393" s="94"/>
      <c r="E393" s="28" t="s">
        <v>32</v>
      </c>
      <c r="F393" s="57">
        <v>2011</v>
      </c>
      <c r="G393" s="28"/>
      <c r="H393" s="58" t="str">
        <f t="shared" si="16"/>
        <v xml:space="preserve">   </v>
      </c>
      <c r="I393" s="58" t="str">
        <f t="shared" si="17"/>
        <v xml:space="preserve">   </v>
      </c>
    </row>
    <row r="394" spans="1:9" s="2" customFormat="1" hidden="1" x14ac:dyDescent="0.25">
      <c r="A394" s="19">
        <v>372</v>
      </c>
      <c r="B394" s="57">
        <v>36</v>
      </c>
      <c r="C394" s="37" t="s">
        <v>666</v>
      </c>
      <c r="D394" s="38"/>
      <c r="E394" s="28" t="s">
        <v>32</v>
      </c>
      <c r="F394" s="57">
        <v>2011</v>
      </c>
      <c r="G394" s="28"/>
      <c r="H394" s="58" t="str">
        <f t="shared" si="16"/>
        <v xml:space="preserve">   </v>
      </c>
      <c r="I394" s="58" t="str">
        <f t="shared" si="17"/>
        <v xml:space="preserve">   </v>
      </c>
    </row>
    <row r="395" spans="1:9" s="2" customFormat="1" hidden="1" x14ac:dyDescent="0.25">
      <c r="A395" s="19">
        <v>373</v>
      </c>
      <c r="B395" s="59">
        <v>37</v>
      </c>
      <c r="C395" s="39" t="s">
        <v>667</v>
      </c>
      <c r="D395" s="40">
        <v>849110219</v>
      </c>
      <c r="E395" s="23" t="s">
        <v>32</v>
      </c>
      <c r="F395" s="59">
        <v>2011</v>
      </c>
      <c r="G395" s="31" t="s">
        <v>33</v>
      </c>
      <c r="H395" s="24" t="str">
        <f t="shared" si="16"/>
        <v xml:space="preserve">   </v>
      </c>
      <c r="I395" s="24">
        <f t="shared" si="17"/>
        <v>41640</v>
      </c>
    </row>
    <row r="396" spans="1:9" s="2" customFormat="1" hidden="1" x14ac:dyDescent="0.25">
      <c r="A396" s="19">
        <v>374</v>
      </c>
      <c r="B396" s="57">
        <v>38</v>
      </c>
      <c r="C396" s="37" t="s">
        <v>668</v>
      </c>
      <c r="D396" s="38"/>
      <c r="E396" s="28" t="s">
        <v>32</v>
      </c>
      <c r="F396" s="57">
        <v>2011</v>
      </c>
      <c r="G396" s="28"/>
      <c r="H396" s="58" t="str">
        <f t="shared" si="16"/>
        <v xml:space="preserve">   </v>
      </c>
      <c r="I396" s="58" t="str">
        <f t="shared" si="17"/>
        <v xml:space="preserve">   </v>
      </c>
    </row>
    <row r="397" spans="1:9" s="2" customFormat="1" hidden="1" x14ac:dyDescent="0.25">
      <c r="A397" s="19">
        <v>375</v>
      </c>
      <c r="B397" s="59">
        <v>39</v>
      </c>
      <c r="C397" s="39" t="s">
        <v>670</v>
      </c>
      <c r="D397" s="38">
        <v>849110206</v>
      </c>
      <c r="E397" s="23" t="s">
        <v>32</v>
      </c>
      <c r="F397" s="59">
        <v>2011</v>
      </c>
      <c r="G397" s="31" t="s">
        <v>33</v>
      </c>
      <c r="H397" s="24" t="str">
        <f t="shared" si="16"/>
        <v xml:space="preserve">   </v>
      </c>
      <c r="I397" s="24">
        <f t="shared" si="17"/>
        <v>41640</v>
      </c>
    </row>
    <row r="398" spans="1:9" s="2" customFormat="1" hidden="1" x14ac:dyDescent="0.25">
      <c r="A398" s="19">
        <v>376</v>
      </c>
      <c r="B398" s="59">
        <v>40</v>
      </c>
      <c r="C398" s="39" t="s">
        <v>672</v>
      </c>
      <c r="D398" s="38">
        <v>849110220</v>
      </c>
      <c r="E398" s="23" t="s">
        <v>32</v>
      </c>
      <c r="F398" s="59">
        <v>2011</v>
      </c>
      <c r="G398" s="31" t="s">
        <v>33</v>
      </c>
      <c r="H398" s="24" t="str">
        <f t="shared" si="16"/>
        <v xml:space="preserve">   </v>
      </c>
      <c r="I398" s="24">
        <f t="shared" si="17"/>
        <v>41640</v>
      </c>
    </row>
    <row r="399" spans="1:9" s="2" customFormat="1" hidden="1" x14ac:dyDescent="0.25">
      <c r="A399" s="19">
        <v>377</v>
      </c>
      <c r="B399" s="80">
        <v>41</v>
      </c>
      <c r="C399" s="37" t="s">
        <v>675</v>
      </c>
      <c r="D399" s="38"/>
      <c r="E399" s="28" t="s">
        <v>32</v>
      </c>
      <c r="F399" s="57">
        <v>2011</v>
      </c>
      <c r="G399" s="28"/>
      <c r="H399" s="58" t="str">
        <f t="shared" si="16"/>
        <v xml:space="preserve">   </v>
      </c>
      <c r="I399" s="58" t="str">
        <f t="shared" si="17"/>
        <v xml:space="preserve">   </v>
      </c>
    </row>
    <row r="400" spans="1:9" s="2" customFormat="1" hidden="1" x14ac:dyDescent="0.25">
      <c r="A400" s="19">
        <v>378</v>
      </c>
      <c r="B400" s="59">
        <v>42</v>
      </c>
      <c r="C400" s="39" t="s">
        <v>676</v>
      </c>
      <c r="D400" s="40">
        <v>849110187</v>
      </c>
      <c r="E400" s="23" t="s">
        <v>32</v>
      </c>
      <c r="F400" s="59">
        <v>2011</v>
      </c>
      <c r="G400" s="31" t="s">
        <v>33</v>
      </c>
      <c r="H400" s="24" t="str">
        <f t="shared" si="16"/>
        <v xml:space="preserve">   </v>
      </c>
      <c r="I400" s="24">
        <f t="shared" si="17"/>
        <v>41640</v>
      </c>
    </row>
    <row r="401" spans="1:9" s="2" customFormat="1" hidden="1" x14ac:dyDescent="0.25">
      <c r="A401" s="19">
        <v>379</v>
      </c>
      <c r="B401" s="57">
        <v>43</v>
      </c>
      <c r="C401" s="37" t="s">
        <v>679</v>
      </c>
      <c r="D401" s="38"/>
      <c r="E401" s="28" t="s">
        <v>32</v>
      </c>
      <c r="F401" s="57">
        <v>2011</v>
      </c>
      <c r="G401" s="28"/>
      <c r="H401" s="58" t="str">
        <f t="shared" si="16"/>
        <v xml:space="preserve">   </v>
      </c>
      <c r="I401" s="58" t="str">
        <f t="shared" si="17"/>
        <v xml:space="preserve">   </v>
      </c>
    </row>
    <row r="402" spans="1:9" s="2" customFormat="1" hidden="1" x14ac:dyDescent="0.25">
      <c r="A402" s="72"/>
      <c r="B402" s="72"/>
      <c r="C402" s="73"/>
      <c r="D402" s="62"/>
      <c r="E402" s="63"/>
      <c r="F402" s="64" t="s">
        <v>61</v>
      </c>
      <c r="G402" s="63"/>
      <c r="H402" s="65" t="str">
        <f t="shared" si="16"/>
        <v xml:space="preserve">   </v>
      </c>
      <c r="I402" s="65" t="str">
        <f t="shared" si="17"/>
        <v xml:space="preserve">   </v>
      </c>
    </row>
    <row r="403" spans="1:9" s="2" customFormat="1" hidden="1" x14ac:dyDescent="0.25">
      <c r="A403" s="72"/>
      <c r="B403" s="41" t="s">
        <v>682</v>
      </c>
      <c r="C403" s="41"/>
      <c r="D403" s="38"/>
      <c r="E403" s="28"/>
      <c r="F403" s="57" t="s">
        <v>61</v>
      </c>
      <c r="G403" s="28"/>
      <c r="H403" s="58" t="str">
        <f t="shared" si="16"/>
        <v xml:space="preserve">   </v>
      </c>
      <c r="I403" s="58" t="str">
        <f t="shared" si="17"/>
        <v xml:space="preserve">   </v>
      </c>
    </row>
    <row r="404" spans="1:9" s="2" customFormat="1" hidden="1" x14ac:dyDescent="0.25">
      <c r="A404" s="19">
        <v>380</v>
      </c>
      <c r="B404" s="57">
        <v>1</v>
      </c>
      <c r="C404" s="37" t="s">
        <v>683</v>
      </c>
      <c r="D404" s="38">
        <v>49110221</v>
      </c>
      <c r="E404" s="28" t="s">
        <v>32</v>
      </c>
      <c r="F404" s="57">
        <v>2011</v>
      </c>
      <c r="G404" s="28"/>
      <c r="H404" s="58" t="str">
        <f t="shared" si="16"/>
        <v xml:space="preserve">   </v>
      </c>
      <c r="I404" s="58" t="str">
        <f t="shared" si="17"/>
        <v xml:space="preserve">   </v>
      </c>
    </row>
    <row r="405" spans="1:9" s="2" customFormat="1" hidden="1" x14ac:dyDescent="0.25">
      <c r="A405" s="19">
        <v>381</v>
      </c>
      <c r="B405" s="59">
        <v>2</v>
      </c>
      <c r="C405" s="39" t="s">
        <v>685</v>
      </c>
      <c r="D405" s="95">
        <v>849110222</v>
      </c>
      <c r="E405" s="23" t="s">
        <v>32</v>
      </c>
      <c r="F405" s="59">
        <v>2011</v>
      </c>
      <c r="G405" s="23"/>
      <c r="H405" s="60" t="str">
        <f t="shared" si="16"/>
        <v xml:space="preserve">   </v>
      </c>
      <c r="I405" s="60">
        <f t="shared" si="17"/>
        <v>41275</v>
      </c>
    </row>
    <row r="406" spans="1:9" s="2" customFormat="1" hidden="1" x14ac:dyDescent="0.25">
      <c r="A406" s="19">
        <v>382</v>
      </c>
      <c r="B406" s="59">
        <v>3</v>
      </c>
      <c r="C406" s="39" t="s">
        <v>686</v>
      </c>
      <c r="D406" s="40">
        <v>849110223</v>
      </c>
      <c r="E406" s="23" t="s">
        <v>32</v>
      </c>
      <c r="F406" s="59">
        <v>2011</v>
      </c>
      <c r="G406" s="23" t="s">
        <v>33</v>
      </c>
      <c r="H406" s="60" t="str">
        <f t="shared" si="16"/>
        <v xml:space="preserve">   </v>
      </c>
      <c r="I406" s="60">
        <f t="shared" si="17"/>
        <v>41640</v>
      </c>
    </row>
    <row r="407" spans="1:9" s="2" customFormat="1" hidden="1" x14ac:dyDescent="0.25">
      <c r="A407" s="19">
        <v>383</v>
      </c>
      <c r="B407" s="59">
        <v>4</v>
      </c>
      <c r="C407" s="39" t="s">
        <v>687</v>
      </c>
      <c r="D407" s="40">
        <v>849110224</v>
      </c>
      <c r="E407" s="23" t="s">
        <v>32</v>
      </c>
      <c r="F407" s="59">
        <v>2011</v>
      </c>
      <c r="G407" s="23" t="s">
        <v>33</v>
      </c>
      <c r="H407" s="60" t="str">
        <f t="shared" si="16"/>
        <v xml:space="preserve">   </v>
      </c>
      <c r="I407" s="60">
        <f t="shared" si="17"/>
        <v>41640</v>
      </c>
    </row>
    <row r="408" spans="1:9" s="2" customFormat="1" hidden="1" x14ac:dyDescent="0.25">
      <c r="A408" s="19">
        <v>384</v>
      </c>
      <c r="B408" s="59">
        <v>5</v>
      </c>
      <c r="C408" s="39" t="s">
        <v>688</v>
      </c>
      <c r="D408" s="40">
        <v>849110225</v>
      </c>
      <c r="E408" s="23" t="s">
        <v>32</v>
      </c>
      <c r="F408" s="59">
        <v>2011</v>
      </c>
      <c r="G408" s="23" t="s">
        <v>33</v>
      </c>
      <c r="H408" s="60" t="str">
        <f t="shared" si="16"/>
        <v xml:space="preserve">   </v>
      </c>
      <c r="I408" s="60">
        <f t="shared" si="17"/>
        <v>41640</v>
      </c>
    </row>
    <row r="409" spans="1:9" s="2" customFormat="1" hidden="1" x14ac:dyDescent="0.25">
      <c r="A409" s="19">
        <v>385</v>
      </c>
      <c r="B409" s="59">
        <v>6</v>
      </c>
      <c r="C409" s="39" t="s">
        <v>692</v>
      </c>
      <c r="D409" s="40">
        <v>849110226</v>
      </c>
      <c r="E409" s="23" t="s">
        <v>32</v>
      </c>
      <c r="F409" s="59">
        <v>2011</v>
      </c>
      <c r="G409" s="23" t="s">
        <v>33</v>
      </c>
      <c r="H409" s="60" t="str">
        <f t="shared" si="16"/>
        <v xml:space="preserve">   </v>
      </c>
      <c r="I409" s="60">
        <f t="shared" si="17"/>
        <v>41640</v>
      </c>
    </row>
    <row r="410" spans="1:9" s="2" customFormat="1" hidden="1" x14ac:dyDescent="0.25">
      <c r="A410" s="19">
        <v>386</v>
      </c>
      <c r="B410" s="57">
        <v>7</v>
      </c>
      <c r="C410" s="37" t="s">
        <v>694</v>
      </c>
      <c r="D410" s="38">
        <v>849110227</v>
      </c>
      <c r="E410" s="28" t="s">
        <v>32</v>
      </c>
      <c r="F410" s="57">
        <v>2011</v>
      </c>
      <c r="G410" s="28"/>
      <c r="H410" s="58" t="str">
        <f t="shared" si="16"/>
        <v xml:space="preserve">   </v>
      </c>
      <c r="I410" s="58" t="str">
        <f t="shared" si="17"/>
        <v xml:space="preserve">   </v>
      </c>
    </row>
    <row r="411" spans="1:9" s="2" customFormat="1" hidden="1" x14ac:dyDescent="0.25">
      <c r="A411" s="19">
        <v>387</v>
      </c>
      <c r="B411" s="59">
        <v>8</v>
      </c>
      <c r="C411" s="39" t="s">
        <v>696</v>
      </c>
      <c r="D411" s="40">
        <v>849110228</v>
      </c>
      <c r="E411" s="23" t="s">
        <v>32</v>
      </c>
      <c r="F411" s="59">
        <v>2011</v>
      </c>
      <c r="G411" s="23" t="s">
        <v>33</v>
      </c>
      <c r="H411" s="60" t="str">
        <f t="shared" si="16"/>
        <v xml:space="preserve">   </v>
      </c>
      <c r="I411" s="60">
        <f t="shared" si="17"/>
        <v>41640</v>
      </c>
    </row>
    <row r="412" spans="1:9" s="2" customFormat="1" hidden="1" x14ac:dyDescent="0.25">
      <c r="A412" s="19">
        <v>388</v>
      </c>
      <c r="B412" s="59">
        <v>9</v>
      </c>
      <c r="C412" s="39" t="s">
        <v>698</v>
      </c>
      <c r="D412" s="40">
        <v>849110229</v>
      </c>
      <c r="E412" s="23" t="s">
        <v>32</v>
      </c>
      <c r="F412" s="59">
        <v>2011</v>
      </c>
      <c r="G412" s="23" t="s">
        <v>33</v>
      </c>
      <c r="H412" s="60" t="str">
        <f t="shared" si="16"/>
        <v xml:space="preserve">   </v>
      </c>
      <c r="I412" s="60">
        <f t="shared" si="17"/>
        <v>41640</v>
      </c>
    </row>
    <row r="413" spans="1:9" s="2" customFormat="1" hidden="1" x14ac:dyDescent="0.25">
      <c r="A413" s="19">
        <v>389</v>
      </c>
      <c r="B413" s="59">
        <v>10</v>
      </c>
      <c r="C413" s="39" t="s">
        <v>699</v>
      </c>
      <c r="D413" s="40">
        <v>849110230</v>
      </c>
      <c r="E413" s="23" t="s">
        <v>32</v>
      </c>
      <c r="F413" s="59">
        <v>2011</v>
      </c>
      <c r="G413" s="23" t="s">
        <v>33</v>
      </c>
      <c r="H413" s="60" t="str">
        <f t="shared" si="16"/>
        <v xml:space="preserve">   </v>
      </c>
      <c r="I413" s="60">
        <f t="shared" si="17"/>
        <v>41640</v>
      </c>
    </row>
    <row r="414" spans="1:9" s="2" customFormat="1" hidden="1" x14ac:dyDescent="0.25">
      <c r="A414" s="19">
        <v>390</v>
      </c>
      <c r="B414" s="59">
        <v>11</v>
      </c>
      <c r="C414" s="39" t="s">
        <v>700</v>
      </c>
      <c r="D414" s="40">
        <v>849110231</v>
      </c>
      <c r="E414" s="23" t="s">
        <v>32</v>
      </c>
      <c r="F414" s="59">
        <v>2011</v>
      </c>
      <c r="G414" s="23" t="s">
        <v>33</v>
      </c>
      <c r="H414" s="60" t="str">
        <f t="shared" si="16"/>
        <v xml:space="preserve">   </v>
      </c>
      <c r="I414" s="60">
        <f t="shared" si="17"/>
        <v>41640</v>
      </c>
    </row>
    <row r="415" spans="1:9" s="2" customFormat="1" hidden="1" x14ac:dyDescent="0.25">
      <c r="A415" s="19">
        <v>391</v>
      </c>
      <c r="B415" s="59">
        <v>12</v>
      </c>
      <c r="C415" s="39" t="s">
        <v>702</v>
      </c>
      <c r="D415" s="40">
        <v>849110232</v>
      </c>
      <c r="E415" s="23" t="s">
        <v>32</v>
      </c>
      <c r="F415" s="59">
        <v>2011</v>
      </c>
      <c r="G415" s="23" t="s">
        <v>33</v>
      </c>
      <c r="H415" s="60" t="str">
        <f t="shared" si="16"/>
        <v xml:space="preserve">   </v>
      </c>
      <c r="I415" s="60">
        <f t="shared" si="17"/>
        <v>41640</v>
      </c>
    </row>
    <row r="416" spans="1:9" s="2" customFormat="1" hidden="1" x14ac:dyDescent="0.25">
      <c r="A416" s="19">
        <v>392</v>
      </c>
      <c r="B416" s="59">
        <v>13</v>
      </c>
      <c r="C416" s="39" t="s">
        <v>703</v>
      </c>
      <c r="D416" s="40">
        <v>849110233</v>
      </c>
      <c r="E416" s="23" t="s">
        <v>32</v>
      </c>
      <c r="F416" s="59">
        <v>2011</v>
      </c>
      <c r="G416" s="23" t="s">
        <v>33</v>
      </c>
      <c r="H416" s="60" t="str">
        <f t="shared" si="16"/>
        <v xml:space="preserve">   </v>
      </c>
      <c r="I416" s="60">
        <f t="shared" si="17"/>
        <v>41640</v>
      </c>
    </row>
    <row r="417" spans="1:9" s="2" customFormat="1" hidden="1" x14ac:dyDescent="0.25">
      <c r="A417" s="19">
        <v>393</v>
      </c>
      <c r="B417" s="59">
        <v>14</v>
      </c>
      <c r="C417" s="39" t="s">
        <v>707</v>
      </c>
      <c r="D417" s="40">
        <v>849110234</v>
      </c>
      <c r="E417" s="23" t="s">
        <v>32</v>
      </c>
      <c r="F417" s="59">
        <v>2011</v>
      </c>
      <c r="G417" s="23" t="s">
        <v>33</v>
      </c>
      <c r="H417" s="60" t="str">
        <f t="shared" si="16"/>
        <v xml:space="preserve">   </v>
      </c>
      <c r="I417" s="60" t="str">
        <f t="shared" si="17"/>
        <v xml:space="preserve">   </v>
      </c>
    </row>
    <row r="418" spans="1:9" s="2" customFormat="1" hidden="1" x14ac:dyDescent="0.25">
      <c r="A418" s="19">
        <v>394</v>
      </c>
      <c r="B418" s="59">
        <v>15</v>
      </c>
      <c r="C418" s="39" t="s">
        <v>709</v>
      </c>
      <c r="D418" s="40">
        <v>849110236</v>
      </c>
      <c r="E418" s="23" t="s">
        <v>32</v>
      </c>
      <c r="F418" s="59">
        <v>2011</v>
      </c>
      <c r="G418" s="23"/>
      <c r="H418" s="60" t="str">
        <f t="shared" si="16"/>
        <v xml:space="preserve">   </v>
      </c>
      <c r="I418" s="60" t="str">
        <f t="shared" si="17"/>
        <v xml:space="preserve">   </v>
      </c>
    </row>
    <row r="419" spans="1:9" s="2" customFormat="1" hidden="1" x14ac:dyDescent="0.25">
      <c r="A419" s="19">
        <v>395</v>
      </c>
      <c r="B419" s="77">
        <v>16</v>
      </c>
      <c r="C419" s="39" t="s">
        <v>711</v>
      </c>
      <c r="D419" s="75">
        <v>849110237</v>
      </c>
      <c r="E419" s="23" t="s">
        <v>32</v>
      </c>
      <c r="F419" s="59">
        <v>2011</v>
      </c>
      <c r="G419" s="23" t="s">
        <v>33</v>
      </c>
      <c r="H419" s="60" t="str">
        <f t="shared" si="16"/>
        <v xml:space="preserve">   </v>
      </c>
      <c r="I419" s="60">
        <f t="shared" si="17"/>
        <v>41640</v>
      </c>
    </row>
    <row r="420" spans="1:9" s="2" customFormat="1" hidden="1" x14ac:dyDescent="0.25">
      <c r="A420" s="19">
        <v>396</v>
      </c>
      <c r="B420" s="77">
        <v>17</v>
      </c>
      <c r="C420" s="39" t="s">
        <v>713</v>
      </c>
      <c r="D420" s="75">
        <v>849110273</v>
      </c>
      <c r="E420" s="23" t="s">
        <v>32</v>
      </c>
      <c r="F420" s="59">
        <v>2011</v>
      </c>
      <c r="G420" s="23" t="s">
        <v>33</v>
      </c>
      <c r="H420" s="60" t="str">
        <f t="shared" si="16"/>
        <v xml:space="preserve">   </v>
      </c>
      <c r="I420" s="60">
        <f t="shared" si="17"/>
        <v>41640</v>
      </c>
    </row>
    <row r="421" spans="1:9" s="2" customFormat="1" hidden="1" x14ac:dyDescent="0.25">
      <c r="A421" s="19">
        <v>397</v>
      </c>
      <c r="B421" s="59">
        <v>18</v>
      </c>
      <c r="C421" s="39" t="s">
        <v>715</v>
      </c>
      <c r="D421" s="40">
        <v>849110239</v>
      </c>
      <c r="E421" s="23" t="s">
        <v>32</v>
      </c>
      <c r="F421" s="59">
        <v>2011</v>
      </c>
      <c r="G421" s="23" t="s">
        <v>33</v>
      </c>
      <c r="H421" s="60" t="str">
        <f t="shared" si="16"/>
        <v xml:space="preserve">   </v>
      </c>
      <c r="I421" s="60" t="str">
        <f t="shared" si="17"/>
        <v xml:space="preserve">   </v>
      </c>
    </row>
    <row r="422" spans="1:9" s="2" customFormat="1" hidden="1" x14ac:dyDescent="0.25">
      <c r="A422" s="19">
        <v>398</v>
      </c>
      <c r="B422" s="59">
        <v>19</v>
      </c>
      <c r="C422" s="39" t="s">
        <v>717</v>
      </c>
      <c r="D422" s="40">
        <v>849110303</v>
      </c>
      <c r="E422" s="23" t="s">
        <v>32</v>
      </c>
      <c r="F422" s="59">
        <v>2011</v>
      </c>
      <c r="G422" s="23" t="s">
        <v>33</v>
      </c>
      <c r="H422" s="60" t="str">
        <f t="shared" si="16"/>
        <v xml:space="preserve">   </v>
      </c>
      <c r="I422" s="60">
        <f t="shared" si="17"/>
        <v>41275</v>
      </c>
    </row>
    <row r="423" spans="1:9" s="2" customFormat="1" hidden="1" x14ac:dyDescent="0.25">
      <c r="A423" s="19">
        <v>399</v>
      </c>
      <c r="B423" s="59">
        <v>20</v>
      </c>
      <c r="C423" s="39" t="s">
        <v>542</v>
      </c>
      <c r="D423" s="40">
        <v>849110304</v>
      </c>
      <c r="E423" s="23" t="s">
        <v>32</v>
      </c>
      <c r="F423" s="59">
        <v>2011</v>
      </c>
      <c r="G423" s="23" t="s">
        <v>33</v>
      </c>
      <c r="H423" s="60" t="str">
        <f t="shared" si="16"/>
        <v xml:space="preserve">   </v>
      </c>
      <c r="I423" s="60">
        <f t="shared" si="17"/>
        <v>41640</v>
      </c>
    </row>
    <row r="424" spans="1:9" s="2" customFormat="1" hidden="1" x14ac:dyDescent="0.25">
      <c r="A424" s="19">
        <v>400</v>
      </c>
      <c r="B424" s="57">
        <v>21</v>
      </c>
      <c r="C424" s="37" t="s">
        <v>721</v>
      </c>
      <c r="D424" s="38">
        <v>849110272</v>
      </c>
      <c r="E424" s="28" t="s">
        <v>32</v>
      </c>
      <c r="F424" s="57">
        <v>2011</v>
      </c>
      <c r="G424" s="28"/>
      <c r="H424" s="58" t="str">
        <f t="shared" si="16"/>
        <v xml:space="preserve">   </v>
      </c>
      <c r="I424" s="58" t="str">
        <f t="shared" si="17"/>
        <v xml:space="preserve">   </v>
      </c>
    </row>
    <row r="425" spans="1:9" s="2" customFormat="1" hidden="1" x14ac:dyDescent="0.25">
      <c r="A425" s="19">
        <v>401</v>
      </c>
      <c r="B425" s="59">
        <v>22</v>
      </c>
      <c r="C425" s="39" t="s">
        <v>722</v>
      </c>
      <c r="D425" s="40">
        <v>849110240</v>
      </c>
      <c r="E425" s="23" t="s">
        <v>32</v>
      </c>
      <c r="F425" s="59">
        <v>2011</v>
      </c>
      <c r="G425" s="23" t="s">
        <v>33</v>
      </c>
      <c r="H425" s="60" t="str">
        <f t="shared" si="16"/>
        <v xml:space="preserve">   </v>
      </c>
      <c r="I425" s="60" t="str">
        <f t="shared" si="17"/>
        <v xml:space="preserve">   </v>
      </c>
    </row>
    <row r="426" spans="1:9" s="2" customFormat="1" hidden="1" x14ac:dyDescent="0.25">
      <c r="A426" s="19">
        <v>402</v>
      </c>
      <c r="B426" s="59">
        <v>23</v>
      </c>
      <c r="C426" s="96" t="s">
        <v>724</v>
      </c>
      <c r="D426" s="40">
        <v>849110241</v>
      </c>
      <c r="E426" s="23" t="s">
        <v>32</v>
      </c>
      <c r="F426" s="59">
        <v>2011</v>
      </c>
      <c r="G426" s="23" t="s">
        <v>33</v>
      </c>
      <c r="H426" s="60" t="str">
        <f t="shared" si="16"/>
        <v xml:space="preserve">   </v>
      </c>
      <c r="I426" s="60">
        <f t="shared" si="17"/>
        <v>41640</v>
      </c>
    </row>
    <row r="427" spans="1:9" s="2" customFormat="1" hidden="1" x14ac:dyDescent="0.25">
      <c r="A427" s="19">
        <v>403</v>
      </c>
      <c r="B427" s="59">
        <v>24</v>
      </c>
      <c r="C427" s="39" t="s">
        <v>726</v>
      </c>
      <c r="D427" s="40">
        <v>849110242</v>
      </c>
      <c r="E427" s="23" t="s">
        <v>32</v>
      </c>
      <c r="F427" s="59">
        <v>2011</v>
      </c>
      <c r="G427" s="23" t="s">
        <v>33</v>
      </c>
      <c r="H427" s="60" t="str">
        <f t="shared" si="16"/>
        <v xml:space="preserve">   </v>
      </c>
      <c r="I427" s="60">
        <f t="shared" si="17"/>
        <v>41640</v>
      </c>
    </row>
    <row r="428" spans="1:9" s="2" customFormat="1" hidden="1" x14ac:dyDescent="0.25">
      <c r="A428" s="19">
        <v>404</v>
      </c>
      <c r="B428" s="59">
        <v>25</v>
      </c>
      <c r="C428" s="39" t="s">
        <v>727</v>
      </c>
      <c r="D428" s="40">
        <v>849110244</v>
      </c>
      <c r="E428" s="23" t="s">
        <v>32</v>
      </c>
      <c r="F428" s="59">
        <v>2011</v>
      </c>
      <c r="G428" s="23" t="s">
        <v>33</v>
      </c>
      <c r="H428" s="60" t="str">
        <f t="shared" ref="H428:H491" si="18">IFERROR(VLOOKUP(D428,Tlus,3,FALSE),"   ")</f>
        <v xml:space="preserve">   </v>
      </c>
      <c r="I428" s="60">
        <f t="shared" ref="I428:I491" si="19">IFERROR(VLOOKUP(D428,Wis,4,FALSE),"   ")</f>
        <v>41640</v>
      </c>
    </row>
    <row r="429" spans="1:9" s="2" customFormat="1" hidden="1" x14ac:dyDescent="0.25">
      <c r="A429" s="19">
        <v>405</v>
      </c>
      <c r="B429" s="59">
        <v>26</v>
      </c>
      <c r="C429" s="39" t="s">
        <v>730</v>
      </c>
      <c r="D429" s="40">
        <v>849110245</v>
      </c>
      <c r="E429" s="23" t="s">
        <v>32</v>
      </c>
      <c r="F429" s="59">
        <v>2011</v>
      </c>
      <c r="G429" s="23" t="s">
        <v>33</v>
      </c>
      <c r="H429" s="60" t="str">
        <f t="shared" si="18"/>
        <v xml:space="preserve">   </v>
      </c>
      <c r="I429" s="60">
        <f t="shared" si="19"/>
        <v>41640</v>
      </c>
    </row>
    <row r="430" spans="1:9" s="2" customFormat="1" hidden="1" x14ac:dyDescent="0.25">
      <c r="A430" s="19">
        <v>406</v>
      </c>
      <c r="B430" s="59">
        <v>27</v>
      </c>
      <c r="C430" s="97" t="s">
        <v>733</v>
      </c>
      <c r="D430" s="40">
        <v>849110246</v>
      </c>
      <c r="E430" s="23" t="s">
        <v>32</v>
      </c>
      <c r="F430" s="77">
        <v>2011</v>
      </c>
      <c r="G430" s="23" t="s">
        <v>33</v>
      </c>
      <c r="H430" s="60" t="str">
        <f t="shared" si="18"/>
        <v xml:space="preserve">   </v>
      </c>
      <c r="I430" s="60">
        <f t="shared" si="19"/>
        <v>41275</v>
      </c>
    </row>
    <row r="431" spans="1:9" s="2" customFormat="1" hidden="1" x14ac:dyDescent="0.25">
      <c r="A431" s="19">
        <v>407</v>
      </c>
      <c r="B431" s="59">
        <v>28</v>
      </c>
      <c r="C431" s="39" t="s">
        <v>734</v>
      </c>
      <c r="D431" s="40">
        <v>849110247</v>
      </c>
      <c r="E431" s="23" t="s">
        <v>32</v>
      </c>
      <c r="F431" s="59">
        <v>2011</v>
      </c>
      <c r="G431" s="23" t="s">
        <v>33</v>
      </c>
      <c r="H431" s="60" t="str">
        <f t="shared" si="18"/>
        <v xml:space="preserve">   </v>
      </c>
      <c r="I431" s="60">
        <f t="shared" si="19"/>
        <v>41640</v>
      </c>
    </row>
    <row r="432" spans="1:9" s="2" customFormat="1" hidden="1" x14ac:dyDescent="0.25">
      <c r="A432" s="19">
        <v>408</v>
      </c>
      <c r="B432" s="59">
        <v>29</v>
      </c>
      <c r="C432" s="39" t="s">
        <v>735</v>
      </c>
      <c r="D432" s="40">
        <v>849110248</v>
      </c>
      <c r="E432" s="23" t="s">
        <v>32</v>
      </c>
      <c r="F432" s="59">
        <v>2011</v>
      </c>
      <c r="G432" s="23" t="s">
        <v>33</v>
      </c>
      <c r="H432" s="60" t="str">
        <f t="shared" si="18"/>
        <v xml:space="preserve">   </v>
      </c>
      <c r="I432" s="60">
        <f t="shared" si="19"/>
        <v>41640</v>
      </c>
    </row>
    <row r="433" spans="1:9" s="2" customFormat="1" hidden="1" x14ac:dyDescent="0.25">
      <c r="A433" s="19">
        <v>409</v>
      </c>
      <c r="B433" s="59">
        <v>30</v>
      </c>
      <c r="C433" s="97" t="s">
        <v>736</v>
      </c>
      <c r="D433" s="40">
        <v>849110249</v>
      </c>
      <c r="E433" s="23" t="s">
        <v>32</v>
      </c>
      <c r="F433" s="77">
        <v>2011</v>
      </c>
      <c r="G433" s="23" t="s">
        <v>33</v>
      </c>
      <c r="H433" s="60" t="str">
        <f t="shared" si="18"/>
        <v xml:space="preserve">   </v>
      </c>
      <c r="I433" s="60">
        <f t="shared" si="19"/>
        <v>41640</v>
      </c>
    </row>
    <row r="434" spans="1:9" s="2" customFormat="1" hidden="1" x14ac:dyDescent="0.25">
      <c r="A434" s="19">
        <v>410</v>
      </c>
      <c r="B434" s="59">
        <v>31</v>
      </c>
      <c r="C434" s="39" t="s">
        <v>738</v>
      </c>
      <c r="D434" s="40">
        <v>849110250</v>
      </c>
      <c r="E434" s="23" t="s">
        <v>32</v>
      </c>
      <c r="F434" s="59">
        <v>2011</v>
      </c>
      <c r="G434" s="23" t="s">
        <v>33</v>
      </c>
      <c r="H434" s="60">
        <f t="shared" si="18"/>
        <v>42693</v>
      </c>
      <c r="I434" s="60">
        <f t="shared" si="19"/>
        <v>42693</v>
      </c>
    </row>
    <row r="435" spans="1:9" s="2" customFormat="1" hidden="1" x14ac:dyDescent="0.25">
      <c r="A435" s="19">
        <v>411</v>
      </c>
      <c r="B435" s="59">
        <v>32</v>
      </c>
      <c r="C435" s="39" t="s">
        <v>741</v>
      </c>
      <c r="D435" s="40">
        <v>849110251</v>
      </c>
      <c r="E435" s="23" t="s">
        <v>32</v>
      </c>
      <c r="F435" s="59">
        <v>2011</v>
      </c>
      <c r="G435" s="23" t="s">
        <v>33</v>
      </c>
      <c r="H435" s="60" t="str">
        <f t="shared" si="18"/>
        <v xml:space="preserve">   </v>
      </c>
      <c r="I435" s="60">
        <f t="shared" si="19"/>
        <v>41275</v>
      </c>
    </row>
    <row r="436" spans="1:9" s="2" customFormat="1" hidden="1" x14ac:dyDescent="0.25">
      <c r="A436" s="19">
        <v>412</v>
      </c>
      <c r="B436" s="59">
        <v>33</v>
      </c>
      <c r="C436" s="39" t="s">
        <v>742</v>
      </c>
      <c r="D436" s="40">
        <v>849110252</v>
      </c>
      <c r="E436" s="23" t="s">
        <v>32</v>
      </c>
      <c r="F436" s="59">
        <v>2011</v>
      </c>
      <c r="G436" s="23" t="s">
        <v>33</v>
      </c>
      <c r="H436" s="60" t="str">
        <f t="shared" si="18"/>
        <v xml:space="preserve">   </v>
      </c>
      <c r="I436" s="60">
        <f t="shared" si="19"/>
        <v>41640</v>
      </c>
    </row>
    <row r="437" spans="1:9" s="2" customFormat="1" hidden="1" x14ac:dyDescent="0.25">
      <c r="A437" s="19">
        <v>413</v>
      </c>
      <c r="B437" s="80">
        <v>34</v>
      </c>
      <c r="C437" s="98" t="s">
        <v>744</v>
      </c>
      <c r="D437" s="95">
        <v>849110253</v>
      </c>
      <c r="E437" s="28" t="s">
        <v>32</v>
      </c>
      <c r="F437" s="80">
        <v>2011</v>
      </c>
      <c r="G437" s="99"/>
      <c r="H437" s="100" t="str">
        <f t="shared" si="18"/>
        <v xml:space="preserve">   </v>
      </c>
      <c r="I437" s="100" t="str">
        <f t="shared" si="19"/>
        <v xml:space="preserve">   </v>
      </c>
    </row>
    <row r="438" spans="1:9" s="2" customFormat="1" hidden="1" x14ac:dyDescent="0.25">
      <c r="A438" s="19">
        <v>414</v>
      </c>
      <c r="B438" s="59">
        <v>35</v>
      </c>
      <c r="C438" s="39" t="s">
        <v>745</v>
      </c>
      <c r="D438" s="40">
        <v>849110254</v>
      </c>
      <c r="E438" s="23" t="s">
        <v>32</v>
      </c>
      <c r="F438" s="59">
        <v>2011</v>
      </c>
      <c r="G438" s="23" t="s">
        <v>33</v>
      </c>
      <c r="H438" s="60" t="str">
        <f t="shared" si="18"/>
        <v xml:space="preserve">   </v>
      </c>
      <c r="I438" s="60">
        <f t="shared" si="19"/>
        <v>41640</v>
      </c>
    </row>
    <row r="439" spans="1:9" s="2" customFormat="1" hidden="1" x14ac:dyDescent="0.25">
      <c r="A439" s="19">
        <v>415</v>
      </c>
      <c r="B439" s="59">
        <v>36</v>
      </c>
      <c r="C439" s="39" t="s">
        <v>747</v>
      </c>
      <c r="D439" s="40">
        <v>849110255</v>
      </c>
      <c r="E439" s="23" t="s">
        <v>32</v>
      </c>
      <c r="F439" s="59">
        <v>2011</v>
      </c>
      <c r="G439" s="23" t="s">
        <v>33</v>
      </c>
      <c r="H439" s="60" t="str">
        <f t="shared" si="18"/>
        <v xml:space="preserve">   </v>
      </c>
      <c r="I439" s="60">
        <f t="shared" si="19"/>
        <v>41640</v>
      </c>
    </row>
    <row r="440" spans="1:9" s="2" customFormat="1" hidden="1" x14ac:dyDescent="0.25">
      <c r="A440" s="19">
        <v>416</v>
      </c>
      <c r="B440" s="59">
        <v>37</v>
      </c>
      <c r="C440" s="39" t="s">
        <v>748</v>
      </c>
      <c r="D440" s="40">
        <v>849110256</v>
      </c>
      <c r="E440" s="23" t="s">
        <v>32</v>
      </c>
      <c r="F440" s="59">
        <v>2011</v>
      </c>
      <c r="G440" s="23" t="s">
        <v>33</v>
      </c>
      <c r="H440" s="60" t="str">
        <f t="shared" si="18"/>
        <v xml:space="preserve">   </v>
      </c>
      <c r="I440" s="60">
        <f t="shared" si="19"/>
        <v>41640</v>
      </c>
    </row>
    <row r="441" spans="1:9" s="2" customFormat="1" hidden="1" x14ac:dyDescent="0.25">
      <c r="A441" s="19">
        <v>417</v>
      </c>
      <c r="B441" s="59">
        <v>38</v>
      </c>
      <c r="C441" s="39" t="s">
        <v>751</v>
      </c>
      <c r="D441" s="40">
        <v>849110257</v>
      </c>
      <c r="E441" s="23" t="s">
        <v>32</v>
      </c>
      <c r="F441" s="59">
        <v>2011</v>
      </c>
      <c r="G441" s="23"/>
      <c r="H441" s="60" t="str">
        <f t="shared" si="18"/>
        <v xml:space="preserve">   </v>
      </c>
      <c r="I441" s="60">
        <f t="shared" si="19"/>
        <v>41640</v>
      </c>
    </row>
    <row r="442" spans="1:9" s="2" customFormat="1" hidden="1" x14ac:dyDescent="0.25">
      <c r="A442" s="19">
        <v>418</v>
      </c>
      <c r="B442" s="101">
        <v>39</v>
      </c>
      <c r="C442" s="102" t="s">
        <v>754</v>
      </c>
      <c r="D442" s="103">
        <v>849110258</v>
      </c>
      <c r="E442" s="104" t="s">
        <v>32</v>
      </c>
      <c r="F442" s="101">
        <v>2011</v>
      </c>
      <c r="G442" s="104"/>
      <c r="H442" s="105" t="str">
        <f t="shared" si="18"/>
        <v xml:space="preserve">   </v>
      </c>
      <c r="I442" s="105" t="str">
        <f t="shared" si="19"/>
        <v xml:space="preserve">   </v>
      </c>
    </row>
    <row r="443" spans="1:9" s="2" customFormat="1" hidden="1" x14ac:dyDescent="0.25">
      <c r="A443" s="19">
        <v>419</v>
      </c>
      <c r="B443" s="59">
        <v>40</v>
      </c>
      <c r="C443" s="39" t="s">
        <v>755</v>
      </c>
      <c r="D443" s="70">
        <v>849110305</v>
      </c>
      <c r="E443" s="23" t="s">
        <v>32</v>
      </c>
      <c r="F443" s="59">
        <v>2011</v>
      </c>
      <c r="G443" s="23" t="s">
        <v>33</v>
      </c>
      <c r="H443" s="60" t="str">
        <f t="shared" si="18"/>
        <v xml:space="preserve">   </v>
      </c>
      <c r="I443" s="60">
        <f t="shared" si="19"/>
        <v>41640</v>
      </c>
    </row>
    <row r="444" spans="1:9" s="2" customFormat="1" hidden="1" x14ac:dyDescent="0.25">
      <c r="A444" s="19">
        <v>420</v>
      </c>
      <c r="B444" s="59">
        <v>41</v>
      </c>
      <c r="C444" s="39" t="s">
        <v>758</v>
      </c>
      <c r="D444" s="70">
        <v>849110306</v>
      </c>
      <c r="E444" s="23" t="s">
        <v>32</v>
      </c>
      <c r="F444" s="59">
        <v>2011</v>
      </c>
      <c r="G444" s="23" t="s">
        <v>33</v>
      </c>
      <c r="H444" s="60" t="str">
        <f t="shared" si="18"/>
        <v xml:space="preserve">   </v>
      </c>
      <c r="I444" s="60">
        <f t="shared" si="19"/>
        <v>41640</v>
      </c>
    </row>
    <row r="445" spans="1:9" s="2" customFormat="1" hidden="1" x14ac:dyDescent="0.25">
      <c r="A445" s="19">
        <v>421</v>
      </c>
      <c r="B445" s="57">
        <v>42</v>
      </c>
      <c r="C445" s="37" t="s">
        <v>759</v>
      </c>
      <c r="D445" s="71">
        <v>849110243</v>
      </c>
      <c r="E445" s="28" t="s">
        <v>32</v>
      </c>
      <c r="F445" s="57">
        <v>2011</v>
      </c>
      <c r="G445" s="28"/>
      <c r="H445" s="58" t="str">
        <f t="shared" si="18"/>
        <v xml:space="preserve">   </v>
      </c>
      <c r="I445" s="58" t="str">
        <f t="shared" si="19"/>
        <v xml:space="preserve">   </v>
      </c>
    </row>
    <row r="446" spans="1:9" s="2" customFormat="1" hidden="1" x14ac:dyDescent="0.25">
      <c r="A446" s="19">
        <v>422</v>
      </c>
      <c r="B446" s="59">
        <v>43</v>
      </c>
      <c r="C446" s="39" t="s">
        <v>760</v>
      </c>
      <c r="D446" s="70">
        <v>849110259</v>
      </c>
      <c r="E446" s="23" t="s">
        <v>32</v>
      </c>
      <c r="F446" s="59">
        <v>2011</v>
      </c>
      <c r="G446" s="23" t="s">
        <v>33</v>
      </c>
      <c r="H446" s="60" t="str">
        <f t="shared" si="18"/>
        <v xml:space="preserve">   </v>
      </c>
      <c r="I446" s="60">
        <f t="shared" si="19"/>
        <v>41640</v>
      </c>
    </row>
    <row r="447" spans="1:9" s="2" customFormat="1" hidden="1" x14ac:dyDescent="0.25">
      <c r="A447" s="19">
        <v>423</v>
      </c>
      <c r="B447" s="57">
        <v>44</v>
      </c>
      <c r="C447" s="37" t="s">
        <v>762</v>
      </c>
      <c r="D447" s="71">
        <v>849110260</v>
      </c>
      <c r="E447" s="28" t="s">
        <v>32</v>
      </c>
      <c r="F447" s="57">
        <v>2011</v>
      </c>
      <c r="G447" s="28"/>
      <c r="H447" s="58" t="str">
        <f t="shared" si="18"/>
        <v xml:space="preserve">   </v>
      </c>
      <c r="I447" s="58" t="str">
        <f t="shared" si="19"/>
        <v xml:space="preserve">   </v>
      </c>
    </row>
    <row r="448" spans="1:9" s="2" customFormat="1" hidden="1" x14ac:dyDescent="0.25">
      <c r="A448" s="19">
        <v>424</v>
      </c>
      <c r="B448" s="57">
        <v>45</v>
      </c>
      <c r="C448" s="37" t="s">
        <v>763</v>
      </c>
      <c r="D448" s="71">
        <v>849110261</v>
      </c>
      <c r="E448" s="28" t="s">
        <v>32</v>
      </c>
      <c r="F448" s="57">
        <v>2011</v>
      </c>
      <c r="G448" s="28"/>
      <c r="H448" s="58" t="str">
        <f t="shared" si="18"/>
        <v xml:space="preserve">   </v>
      </c>
      <c r="I448" s="58" t="str">
        <f t="shared" si="19"/>
        <v xml:space="preserve">   </v>
      </c>
    </row>
    <row r="449" spans="1:9" s="2" customFormat="1" hidden="1" x14ac:dyDescent="0.25">
      <c r="A449" s="19">
        <v>425</v>
      </c>
      <c r="B449" s="59">
        <v>46</v>
      </c>
      <c r="C449" s="39" t="s">
        <v>764</v>
      </c>
      <c r="D449" s="70">
        <v>849110262</v>
      </c>
      <c r="E449" s="23" t="s">
        <v>32</v>
      </c>
      <c r="F449" s="59">
        <v>2011</v>
      </c>
      <c r="G449" s="23" t="s">
        <v>33</v>
      </c>
      <c r="H449" s="60" t="str">
        <f t="shared" si="18"/>
        <v xml:space="preserve">   </v>
      </c>
      <c r="I449" s="60" t="str">
        <f t="shared" si="19"/>
        <v xml:space="preserve">   </v>
      </c>
    </row>
    <row r="450" spans="1:9" s="2" customFormat="1" hidden="1" x14ac:dyDescent="0.25">
      <c r="A450" s="19">
        <v>426</v>
      </c>
      <c r="B450" s="59">
        <v>47</v>
      </c>
      <c r="C450" s="39" t="s">
        <v>765</v>
      </c>
      <c r="D450" s="70">
        <v>849110263</v>
      </c>
      <c r="E450" s="23" t="s">
        <v>32</v>
      </c>
      <c r="F450" s="59">
        <v>2011</v>
      </c>
      <c r="G450" s="23" t="s">
        <v>33</v>
      </c>
      <c r="H450" s="60" t="str">
        <f t="shared" si="18"/>
        <v xml:space="preserve">   </v>
      </c>
      <c r="I450" s="60">
        <f t="shared" si="19"/>
        <v>41275</v>
      </c>
    </row>
    <row r="451" spans="1:9" s="2" customFormat="1" hidden="1" x14ac:dyDescent="0.25">
      <c r="A451" s="19">
        <v>427</v>
      </c>
      <c r="B451" s="59">
        <v>48</v>
      </c>
      <c r="C451" s="39" t="s">
        <v>766</v>
      </c>
      <c r="D451" s="70">
        <v>849110265</v>
      </c>
      <c r="E451" s="23" t="s">
        <v>32</v>
      </c>
      <c r="F451" s="59">
        <v>2011</v>
      </c>
      <c r="G451" s="23" t="s">
        <v>33</v>
      </c>
      <c r="H451" s="60" t="str">
        <f t="shared" si="18"/>
        <v xml:space="preserve">   </v>
      </c>
      <c r="I451" s="60">
        <f t="shared" si="19"/>
        <v>41275</v>
      </c>
    </row>
    <row r="452" spans="1:9" s="2" customFormat="1" hidden="1" x14ac:dyDescent="0.25">
      <c r="A452" s="19">
        <v>428</v>
      </c>
      <c r="B452" s="59">
        <v>49</v>
      </c>
      <c r="C452" s="39" t="s">
        <v>768</v>
      </c>
      <c r="D452" s="70">
        <v>849110266</v>
      </c>
      <c r="E452" s="23" t="s">
        <v>32</v>
      </c>
      <c r="F452" s="59">
        <v>2011</v>
      </c>
      <c r="G452" s="23" t="s">
        <v>33</v>
      </c>
      <c r="H452" s="60" t="str">
        <f t="shared" si="18"/>
        <v xml:space="preserve">   </v>
      </c>
      <c r="I452" s="60">
        <f t="shared" si="19"/>
        <v>41640</v>
      </c>
    </row>
    <row r="453" spans="1:9" s="2" customFormat="1" hidden="1" x14ac:dyDescent="0.25">
      <c r="A453" s="19">
        <v>429</v>
      </c>
      <c r="B453" s="59">
        <v>50</v>
      </c>
      <c r="C453" s="39" t="s">
        <v>770</v>
      </c>
      <c r="D453" s="70">
        <v>849110267</v>
      </c>
      <c r="E453" s="23" t="s">
        <v>32</v>
      </c>
      <c r="F453" s="59">
        <v>2011</v>
      </c>
      <c r="G453" s="23" t="s">
        <v>33</v>
      </c>
      <c r="H453" s="60" t="str">
        <f t="shared" si="18"/>
        <v xml:space="preserve">   </v>
      </c>
      <c r="I453" s="60">
        <f t="shared" si="19"/>
        <v>41640</v>
      </c>
    </row>
    <row r="454" spans="1:9" s="2" customFormat="1" hidden="1" x14ac:dyDescent="0.25">
      <c r="A454" s="19">
        <v>430</v>
      </c>
      <c r="B454" s="59">
        <v>51</v>
      </c>
      <c r="C454" s="39" t="s">
        <v>773</v>
      </c>
      <c r="D454" s="70">
        <v>849110268</v>
      </c>
      <c r="E454" s="23" t="s">
        <v>32</v>
      </c>
      <c r="F454" s="59">
        <v>2011</v>
      </c>
      <c r="G454" s="23" t="s">
        <v>33</v>
      </c>
      <c r="H454" s="60" t="str">
        <f t="shared" si="18"/>
        <v xml:space="preserve">   </v>
      </c>
      <c r="I454" s="60">
        <f t="shared" si="19"/>
        <v>41640</v>
      </c>
    </row>
    <row r="455" spans="1:9" s="2" customFormat="1" hidden="1" x14ac:dyDescent="0.25">
      <c r="A455" s="19">
        <v>431</v>
      </c>
      <c r="B455" s="59">
        <v>52</v>
      </c>
      <c r="C455" s="39" t="s">
        <v>775</v>
      </c>
      <c r="D455" s="70">
        <v>849110269</v>
      </c>
      <c r="E455" s="23" t="s">
        <v>32</v>
      </c>
      <c r="F455" s="59">
        <v>2011</v>
      </c>
      <c r="G455" s="23" t="s">
        <v>33</v>
      </c>
      <c r="H455" s="60">
        <f t="shared" si="18"/>
        <v>42499</v>
      </c>
      <c r="I455" s="60">
        <f t="shared" si="19"/>
        <v>42861</v>
      </c>
    </row>
    <row r="456" spans="1:9" s="2" customFormat="1" hidden="1" x14ac:dyDescent="0.25">
      <c r="A456" s="19">
        <v>432</v>
      </c>
      <c r="B456" s="59">
        <v>53</v>
      </c>
      <c r="C456" s="39" t="s">
        <v>777</v>
      </c>
      <c r="D456" s="70">
        <v>849110270</v>
      </c>
      <c r="E456" s="23" t="s">
        <v>32</v>
      </c>
      <c r="F456" s="59">
        <v>2011</v>
      </c>
      <c r="G456" s="23" t="s">
        <v>33</v>
      </c>
      <c r="H456" s="60" t="str">
        <f t="shared" si="18"/>
        <v xml:space="preserve">   </v>
      </c>
      <c r="I456" s="60" t="str">
        <f t="shared" si="19"/>
        <v xml:space="preserve">   </v>
      </c>
    </row>
    <row r="457" spans="1:9" s="2" customFormat="1" hidden="1" x14ac:dyDescent="0.25">
      <c r="A457" s="19">
        <v>433</v>
      </c>
      <c r="B457" s="57">
        <v>54</v>
      </c>
      <c r="C457" s="37" t="s">
        <v>779</v>
      </c>
      <c r="D457" s="71">
        <v>849110271</v>
      </c>
      <c r="E457" s="28"/>
      <c r="F457" s="57">
        <v>2011</v>
      </c>
      <c r="G457" s="28"/>
      <c r="H457" s="58" t="str">
        <f t="shared" si="18"/>
        <v xml:space="preserve">   </v>
      </c>
      <c r="I457" s="58" t="str">
        <f t="shared" si="19"/>
        <v xml:space="preserve">   </v>
      </c>
    </row>
    <row r="458" spans="1:9" s="2" customFormat="1" hidden="1" x14ac:dyDescent="0.25">
      <c r="A458" s="19">
        <v>434</v>
      </c>
      <c r="B458" s="59">
        <v>55</v>
      </c>
      <c r="C458" s="39" t="s">
        <v>782</v>
      </c>
      <c r="D458" s="70">
        <v>849110273</v>
      </c>
      <c r="E458" s="23" t="s">
        <v>32</v>
      </c>
      <c r="F458" s="59">
        <v>2011</v>
      </c>
      <c r="G458" s="23" t="s">
        <v>33</v>
      </c>
      <c r="H458" s="60" t="str">
        <f t="shared" si="18"/>
        <v xml:space="preserve">   </v>
      </c>
      <c r="I458" s="60">
        <f t="shared" si="19"/>
        <v>41640</v>
      </c>
    </row>
    <row r="459" spans="1:9" s="2" customFormat="1" hidden="1" x14ac:dyDescent="0.25">
      <c r="A459" s="19">
        <v>435</v>
      </c>
      <c r="B459" s="59">
        <v>56</v>
      </c>
      <c r="C459" s="39" t="s">
        <v>784</v>
      </c>
      <c r="D459" s="70">
        <v>849110274</v>
      </c>
      <c r="E459" s="23" t="s">
        <v>32</v>
      </c>
      <c r="F459" s="59">
        <v>2011</v>
      </c>
      <c r="G459" s="23" t="s">
        <v>33</v>
      </c>
      <c r="H459" s="60" t="str">
        <f t="shared" si="18"/>
        <v xml:space="preserve">   </v>
      </c>
      <c r="I459" s="60">
        <f t="shared" si="19"/>
        <v>41640</v>
      </c>
    </row>
    <row r="460" spans="1:9" s="2" customFormat="1" hidden="1" x14ac:dyDescent="0.25">
      <c r="A460" s="19">
        <v>436</v>
      </c>
      <c r="B460" s="57">
        <v>57</v>
      </c>
      <c r="C460" s="37" t="s">
        <v>785</v>
      </c>
      <c r="D460" s="71">
        <v>849110275</v>
      </c>
      <c r="E460" s="28" t="s">
        <v>32</v>
      </c>
      <c r="F460" s="57">
        <v>2011</v>
      </c>
      <c r="G460" s="28"/>
      <c r="H460" s="58" t="str">
        <f t="shared" si="18"/>
        <v xml:space="preserve">   </v>
      </c>
      <c r="I460" s="58" t="str">
        <f t="shared" si="19"/>
        <v xml:space="preserve">   </v>
      </c>
    </row>
    <row r="461" spans="1:9" s="2" customFormat="1" hidden="1" x14ac:dyDescent="0.25">
      <c r="A461" s="19">
        <v>437</v>
      </c>
      <c r="B461" s="80">
        <v>58</v>
      </c>
      <c r="C461" s="98" t="s">
        <v>786</v>
      </c>
      <c r="D461" s="106">
        <v>849110276</v>
      </c>
      <c r="E461" s="99" t="s">
        <v>32</v>
      </c>
      <c r="F461" s="80">
        <v>2011</v>
      </c>
      <c r="G461" s="99"/>
      <c r="H461" s="100" t="str">
        <f t="shared" si="18"/>
        <v xml:space="preserve">   </v>
      </c>
      <c r="I461" s="100" t="str">
        <f t="shared" si="19"/>
        <v xml:space="preserve">   </v>
      </c>
    </row>
    <row r="462" spans="1:9" s="2" customFormat="1" hidden="1" x14ac:dyDescent="0.25">
      <c r="A462" s="19">
        <v>438</v>
      </c>
      <c r="B462" s="57">
        <v>59</v>
      </c>
      <c r="C462" s="37" t="s">
        <v>787</v>
      </c>
      <c r="D462" s="71">
        <v>849110277</v>
      </c>
      <c r="E462" s="28" t="s">
        <v>32</v>
      </c>
      <c r="F462" s="57">
        <v>2011</v>
      </c>
      <c r="G462" s="28"/>
      <c r="H462" s="58" t="str">
        <f t="shared" si="18"/>
        <v xml:space="preserve">   </v>
      </c>
      <c r="I462" s="58">
        <f t="shared" si="19"/>
        <v>41640</v>
      </c>
    </row>
    <row r="463" spans="1:9" s="2" customFormat="1" hidden="1" x14ac:dyDescent="0.25">
      <c r="A463" s="19">
        <v>439</v>
      </c>
      <c r="B463" s="59">
        <v>60</v>
      </c>
      <c r="C463" s="39" t="s">
        <v>788</v>
      </c>
      <c r="D463" s="70">
        <v>849110300</v>
      </c>
      <c r="E463" s="23" t="s">
        <v>32</v>
      </c>
      <c r="F463" s="59">
        <v>2011</v>
      </c>
      <c r="G463" s="23" t="s">
        <v>33</v>
      </c>
      <c r="H463" s="60" t="str">
        <f t="shared" si="18"/>
        <v xml:space="preserve">   </v>
      </c>
      <c r="I463" s="60">
        <f t="shared" si="19"/>
        <v>41640</v>
      </c>
    </row>
    <row r="464" spans="1:9" s="2" customFormat="1" hidden="1" x14ac:dyDescent="0.25">
      <c r="A464" s="19">
        <v>440</v>
      </c>
      <c r="B464" s="57">
        <v>61</v>
      </c>
      <c r="C464" s="37" t="s">
        <v>790</v>
      </c>
      <c r="D464" s="71">
        <v>849110301</v>
      </c>
      <c r="E464" s="28" t="s">
        <v>32</v>
      </c>
      <c r="F464" s="57">
        <v>2011</v>
      </c>
      <c r="G464" s="28"/>
      <c r="H464" s="58" t="str">
        <f t="shared" si="18"/>
        <v xml:space="preserve">   </v>
      </c>
      <c r="I464" s="58" t="str">
        <f t="shared" si="19"/>
        <v xml:space="preserve">   </v>
      </c>
    </row>
    <row r="465" spans="1:9" s="2" customFormat="1" hidden="1" x14ac:dyDescent="0.25">
      <c r="A465" s="19">
        <v>441</v>
      </c>
      <c r="B465" s="59">
        <v>62</v>
      </c>
      <c r="C465" s="39" t="s">
        <v>791</v>
      </c>
      <c r="D465" s="70">
        <v>849110302</v>
      </c>
      <c r="E465" s="23" t="s">
        <v>32</v>
      </c>
      <c r="F465" s="59">
        <v>2011</v>
      </c>
      <c r="G465" s="23" t="s">
        <v>33</v>
      </c>
      <c r="H465" s="60" t="str">
        <f t="shared" si="18"/>
        <v xml:space="preserve">   </v>
      </c>
      <c r="I465" s="60">
        <f t="shared" si="19"/>
        <v>41640</v>
      </c>
    </row>
    <row r="466" spans="1:9" s="2" customFormat="1" hidden="1" x14ac:dyDescent="0.25">
      <c r="A466" s="19">
        <v>442</v>
      </c>
      <c r="B466" s="59">
        <v>63</v>
      </c>
      <c r="C466" s="39" t="s">
        <v>794</v>
      </c>
      <c r="D466" s="70">
        <v>849110279</v>
      </c>
      <c r="E466" s="23" t="s">
        <v>32</v>
      </c>
      <c r="F466" s="59">
        <v>2011</v>
      </c>
      <c r="G466" s="23" t="s">
        <v>33</v>
      </c>
      <c r="H466" s="60" t="str">
        <f t="shared" si="18"/>
        <v xml:space="preserve">   </v>
      </c>
      <c r="I466" s="60">
        <f t="shared" si="19"/>
        <v>42143</v>
      </c>
    </row>
    <row r="467" spans="1:9" s="2" customFormat="1" hidden="1" x14ac:dyDescent="0.25">
      <c r="A467" s="19">
        <v>443</v>
      </c>
      <c r="B467" s="59">
        <v>64</v>
      </c>
      <c r="C467" s="39" t="s">
        <v>797</v>
      </c>
      <c r="D467" s="70">
        <v>849110280</v>
      </c>
      <c r="E467" s="23" t="s">
        <v>32</v>
      </c>
      <c r="F467" s="59">
        <v>2011</v>
      </c>
      <c r="G467" s="23" t="s">
        <v>33</v>
      </c>
      <c r="H467" s="60" t="str">
        <f t="shared" si="18"/>
        <v xml:space="preserve">   </v>
      </c>
      <c r="I467" s="60">
        <f t="shared" si="19"/>
        <v>41640</v>
      </c>
    </row>
    <row r="468" spans="1:9" s="2" customFormat="1" hidden="1" x14ac:dyDescent="0.25">
      <c r="A468" s="19">
        <v>444</v>
      </c>
      <c r="B468" s="57">
        <v>65</v>
      </c>
      <c r="C468" s="37" t="s">
        <v>800</v>
      </c>
      <c r="D468" s="71">
        <v>849110281</v>
      </c>
      <c r="E468" s="28" t="s">
        <v>32</v>
      </c>
      <c r="F468" s="57">
        <v>2011</v>
      </c>
      <c r="G468" s="28"/>
      <c r="H468" s="58" t="str">
        <f t="shared" si="18"/>
        <v xml:space="preserve">   </v>
      </c>
      <c r="I468" s="58" t="str">
        <f t="shared" si="19"/>
        <v xml:space="preserve">   </v>
      </c>
    </row>
    <row r="469" spans="1:9" s="2" customFormat="1" hidden="1" x14ac:dyDescent="0.25">
      <c r="A469" s="19">
        <v>445</v>
      </c>
      <c r="B469" s="59">
        <v>66</v>
      </c>
      <c r="C469" s="2298" t="s">
        <v>801</v>
      </c>
      <c r="D469" s="70">
        <v>849110283</v>
      </c>
      <c r="E469" s="23" t="s">
        <v>32</v>
      </c>
      <c r="F469" s="59">
        <v>2011</v>
      </c>
      <c r="G469" s="23" t="s">
        <v>33</v>
      </c>
      <c r="H469" s="60" t="str">
        <f t="shared" si="18"/>
        <v xml:space="preserve">   </v>
      </c>
      <c r="I469" s="60">
        <f t="shared" si="19"/>
        <v>41640</v>
      </c>
    </row>
    <row r="470" spans="1:9" s="2" customFormat="1" hidden="1" x14ac:dyDescent="0.25">
      <c r="A470" s="19">
        <v>446</v>
      </c>
      <c r="B470" s="59">
        <v>67</v>
      </c>
      <c r="C470" s="39" t="s">
        <v>803</v>
      </c>
      <c r="D470" s="70">
        <v>849110284</v>
      </c>
      <c r="E470" s="23" t="s">
        <v>32</v>
      </c>
      <c r="F470" s="59">
        <v>2011</v>
      </c>
      <c r="G470" s="23"/>
      <c r="H470" s="60" t="str">
        <f t="shared" si="18"/>
        <v xml:space="preserve">   </v>
      </c>
      <c r="I470" s="60" t="str">
        <f t="shared" si="19"/>
        <v xml:space="preserve">   </v>
      </c>
    </row>
    <row r="471" spans="1:9" s="2" customFormat="1" hidden="1" x14ac:dyDescent="0.25">
      <c r="A471" s="19">
        <v>447</v>
      </c>
      <c r="B471" s="59">
        <v>68</v>
      </c>
      <c r="C471" s="39" t="s">
        <v>804</v>
      </c>
      <c r="D471" s="70">
        <v>849110285</v>
      </c>
      <c r="E471" s="23" t="s">
        <v>32</v>
      </c>
      <c r="F471" s="59">
        <v>2011</v>
      </c>
      <c r="G471" s="23" t="s">
        <v>33</v>
      </c>
      <c r="H471" s="60" t="str">
        <f t="shared" si="18"/>
        <v xml:space="preserve">   </v>
      </c>
      <c r="I471" s="60">
        <f t="shared" si="19"/>
        <v>41640</v>
      </c>
    </row>
    <row r="472" spans="1:9" s="2" customFormat="1" hidden="1" x14ac:dyDescent="0.25">
      <c r="A472" s="19">
        <v>448</v>
      </c>
      <c r="B472" s="57">
        <v>69</v>
      </c>
      <c r="C472" s="37" t="s">
        <v>805</v>
      </c>
      <c r="D472" s="71">
        <v>849110286</v>
      </c>
      <c r="E472" s="28" t="s">
        <v>32</v>
      </c>
      <c r="F472" s="57">
        <v>2011</v>
      </c>
      <c r="G472" s="28"/>
      <c r="H472" s="58" t="str">
        <f t="shared" si="18"/>
        <v xml:space="preserve">   </v>
      </c>
      <c r="I472" s="58" t="str">
        <f t="shared" si="19"/>
        <v xml:space="preserve">   </v>
      </c>
    </row>
    <row r="473" spans="1:9" s="2" customFormat="1" hidden="1" x14ac:dyDescent="0.25">
      <c r="A473" s="19">
        <v>449</v>
      </c>
      <c r="B473" s="59">
        <v>70</v>
      </c>
      <c r="C473" s="39" t="s">
        <v>806</v>
      </c>
      <c r="D473" s="70">
        <v>849110287</v>
      </c>
      <c r="E473" s="23" t="s">
        <v>32</v>
      </c>
      <c r="F473" s="59">
        <v>2011</v>
      </c>
      <c r="G473" s="23" t="s">
        <v>33</v>
      </c>
      <c r="H473" s="60" t="str">
        <f t="shared" si="18"/>
        <v xml:space="preserve">   </v>
      </c>
      <c r="I473" s="60">
        <f t="shared" si="19"/>
        <v>41640</v>
      </c>
    </row>
    <row r="474" spans="1:9" s="2" customFormat="1" hidden="1" x14ac:dyDescent="0.25">
      <c r="A474" s="19">
        <v>450</v>
      </c>
      <c r="B474" s="59">
        <v>71</v>
      </c>
      <c r="C474" s="39" t="s">
        <v>808</v>
      </c>
      <c r="D474" s="70">
        <v>849110288</v>
      </c>
      <c r="E474" s="23" t="s">
        <v>32</v>
      </c>
      <c r="F474" s="59">
        <v>2011</v>
      </c>
      <c r="G474" s="23" t="s">
        <v>33</v>
      </c>
      <c r="H474" s="60" t="str">
        <f t="shared" si="18"/>
        <v xml:space="preserve">   </v>
      </c>
      <c r="I474" s="60" t="str">
        <f t="shared" si="19"/>
        <v xml:space="preserve">   </v>
      </c>
    </row>
    <row r="475" spans="1:9" s="2" customFormat="1" hidden="1" x14ac:dyDescent="0.25">
      <c r="A475" s="19">
        <v>451</v>
      </c>
      <c r="B475" s="59">
        <v>72</v>
      </c>
      <c r="C475" s="39" t="s">
        <v>809</v>
      </c>
      <c r="D475" s="70">
        <v>849110289</v>
      </c>
      <c r="E475" s="23" t="s">
        <v>32</v>
      </c>
      <c r="F475" s="59">
        <v>2011</v>
      </c>
      <c r="G475" s="23" t="s">
        <v>33</v>
      </c>
      <c r="H475" s="60" t="str">
        <f t="shared" si="18"/>
        <v xml:space="preserve">   </v>
      </c>
      <c r="I475" s="60">
        <f t="shared" si="19"/>
        <v>42329</v>
      </c>
    </row>
    <row r="476" spans="1:9" s="2" customFormat="1" hidden="1" x14ac:dyDescent="0.25">
      <c r="A476" s="19">
        <v>452</v>
      </c>
      <c r="B476" s="57">
        <v>73</v>
      </c>
      <c r="C476" s="37" t="s">
        <v>812</v>
      </c>
      <c r="D476" s="71">
        <v>849110290</v>
      </c>
      <c r="E476" s="28" t="s">
        <v>32</v>
      </c>
      <c r="F476" s="57">
        <v>2011</v>
      </c>
      <c r="G476" s="28"/>
      <c r="H476" s="58" t="str">
        <f t="shared" si="18"/>
        <v xml:space="preserve">   </v>
      </c>
      <c r="I476" s="58" t="str">
        <f t="shared" si="19"/>
        <v xml:space="preserve">   </v>
      </c>
    </row>
    <row r="477" spans="1:9" s="2" customFormat="1" hidden="1" x14ac:dyDescent="0.25">
      <c r="A477" s="19">
        <v>453</v>
      </c>
      <c r="B477" s="59">
        <v>74</v>
      </c>
      <c r="C477" s="39" t="s">
        <v>815</v>
      </c>
      <c r="D477" s="70">
        <v>849110291</v>
      </c>
      <c r="E477" s="23" t="s">
        <v>32</v>
      </c>
      <c r="F477" s="59">
        <v>2011</v>
      </c>
      <c r="G477" s="23" t="s">
        <v>33</v>
      </c>
      <c r="H477" s="60" t="str">
        <f t="shared" si="18"/>
        <v xml:space="preserve">   </v>
      </c>
      <c r="I477" s="60">
        <f t="shared" si="19"/>
        <v>41640</v>
      </c>
    </row>
    <row r="478" spans="1:9" s="2" customFormat="1" hidden="1" x14ac:dyDescent="0.25">
      <c r="A478" s="19">
        <v>454</v>
      </c>
      <c r="B478" s="59">
        <v>75</v>
      </c>
      <c r="C478" s="39" t="s">
        <v>817</v>
      </c>
      <c r="D478" s="70">
        <v>849110292</v>
      </c>
      <c r="E478" s="23" t="s">
        <v>32</v>
      </c>
      <c r="F478" s="59">
        <v>2011</v>
      </c>
      <c r="G478" s="23" t="s">
        <v>33</v>
      </c>
      <c r="H478" s="60" t="str">
        <f t="shared" si="18"/>
        <v xml:space="preserve">   </v>
      </c>
      <c r="I478" s="60">
        <f t="shared" si="19"/>
        <v>41640</v>
      </c>
    </row>
    <row r="479" spans="1:9" s="2" customFormat="1" hidden="1" x14ac:dyDescent="0.25">
      <c r="A479" s="19">
        <v>455</v>
      </c>
      <c r="B479" s="59">
        <v>76</v>
      </c>
      <c r="C479" s="39" t="s">
        <v>820</v>
      </c>
      <c r="D479" s="70">
        <v>849110293</v>
      </c>
      <c r="E479" s="23" t="s">
        <v>32</v>
      </c>
      <c r="F479" s="59">
        <v>2011</v>
      </c>
      <c r="G479" s="23" t="s">
        <v>33</v>
      </c>
      <c r="H479" s="60" t="str">
        <f t="shared" si="18"/>
        <v xml:space="preserve">   </v>
      </c>
      <c r="I479" s="60">
        <f t="shared" si="19"/>
        <v>41640</v>
      </c>
    </row>
    <row r="480" spans="1:9" s="2" customFormat="1" hidden="1" x14ac:dyDescent="0.25">
      <c r="A480" s="19">
        <v>456</v>
      </c>
      <c r="B480" s="57">
        <v>77</v>
      </c>
      <c r="C480" s="37" t="s">
        <v>822</v>
      </c>
      <c r="D480" s="71">
        <v>849110294</v>
      </c>
      <c r="E480" s="28" t="s">
        <v>32</v>
      </c>
      <c r="F480" s="57">
        <v>2011</v>
      </c>
      <c r="G480" s="28"/>
      <c r="H480" s="58" t="str">
        <f t="shared" si="18"/>
        <v xml:space="preserve">   </v>
      </c>
      <c r="I480" s="58" t="str">
        <f t="shared" si="19"/>
        <v xml:space="preserve">   </v>
      </c>
    </row>
    <row r="481" spans="1:9" s="2" customFormat="1" hidden="1" x14ac:dyDescent="0.25">
      <c r="A481" s="19">
        <v>457</v>
      </c>
      <c r="B481" s="57">
        <v>78</v>
      </c>
      <c r="C481" s="37" t="s">
        <v>823</v>
      </c>
      <c r="D481" s="71">
        <v>849110295</v>
      </c>
      <c r="E481" s="28" t="s">
        <v>32</v>
      </c>
      <c r="F481" s="57">
        <v>2011</v>
      </c>
      <c r="G481" s="28"/>
      <c r="H481" s="58" t="str">
        <f t="shared" si="18"/>
        <v xml:space="preserve">   </v>
      </c>
      <c r="I481" s="58" t="str">
        <f t="shared" si="19"/>
        <v xml:space="preserve">   </v>
      </c>
    </row>
    <row r="482" spans="1:9" s="2" customFormat="1" hidden="1" x14ac:dyDescent="0.25">
      <c r="A482" s="19">
        <v>458</v>
      </c>
      <c r="B482" s="59">
        <v>79</v>
      </c>
      <c r="C482" s="39" t="s">
        <v>824</v>
      </c>
      <c r="D482" s="70">
        <v>849110296</v>
      </c>
      <c r="E482" s="23" t="s">
        <v>32</v>
      </c>
      <c r="F482" s="59">
        <v>2011</v>
      </c>
      <c r="G482" s="23" t="s">
        <v>33</v>
      </c>
      <c r="H482" s="60" t="str">
        <f t="shared" si="18"/>
        <v xml:space="preserve">   </v>
      </c>
      <c r="I482" s="60">
        <f t="shared" si="19"/>
        <v>41640</v>
      </c>
    </row>
    <row r="483" spans="1:9" s="2" customFormat="1" hidden="1" x14ac:dyDescent="0.25">
      <c r="A483" s="19">
        <v>459</v>
      </c>
      <c r="B483" s="59">
        <v>80</v>
      </c>
      <c r="C483" s="39" t="s">
        <v>826</v>
      </c>
      <c r="D483" s="70">
        <v>849110297</v>
      </c>
      <c r="E483" s="23" t="s">
        <v>32</v>
      </c>
      <c r="F483" s="59">
        <v>2011</v>
      </c>
      <c r="G483" s="23" t="s">
        <v>33</v>
      </c>
      <c r="H483" s="60" t="str">
        <f t="shared" si="18"/>
        <v xml:space="preserve">   </v>
      </c>
      <c r="I483" s="60" t="str">
        <f t="shared" si="19"/>
        <v xml:space="preserve">   </v>
      </c>
    </row>
    <row r="484" spans="1:9" s="2" customFormat="1" hidden="1" x14ac:dyDescent="0.25">
      <c r="A484" s="19">
        <v>460</v>
      </c>
      <c r="B484" s="80">
        <v>81</v>
      </c>
      <c r="C484" s="37" t="s">
        <v>827</v>
      </c>
      <c r="D484" s="71">
        <v>849110298</v>
      </c>
      <c r="E484" s="28" t="s">
        <v>32</v>
      </c>
      <c r="F484" s="57">
        <v>2011</v>
      </c>
      <c r="G484" s="28"/>
      <c r="H484" s="58" t="str">
        <f t="shared" si="18"/>
        <v xml:space="preserve">   </v>
      </c>
      <c r="I484" s="58">
        <f t="shared" si="19"/>
        <v>41640</v>
      </c>
    </row>
    <row r="485" spans="1:9" s="2" customFormat="1" hidden="1" x14ac:dyDescent="0.25">
      <c r="A485" s="19">
        <v>461</v>
      </c>
      <c r="B485" s="59">
        <v>82</v>
      </c>
      <c r="C485" s="39" t="s">
        <v>828</v>
      </c>
      <c r="D485" s="70">
        <v>849110299</v>
      </c>
      <c r="E485" s="23" t="s">
        <v>32</v>
      </c>
      <c r="F485" s="59">
        <v>2011</v>
      </c>
      <c r="G485" s="23" t="s">
        <v>33</v>
      </c>
      <c r="H485" s="60">
        <f t="shared" si="18"/>
        <v>42693</v>
      </c>
      <c r="I485" s="60">
        <f t="shared" si="19"/>
        <v>42693</v>
      </c>
    </row>
    <row r="486" spans="1:9" s="2" customFormat="1" hidden="1" x14ac:dyDescent="0.25">
      <c r="A486" s="19">
        <v>462</v>
      </c>
      <c r="B486" s="59">
        <v>83</v>
      </c>
      <c r="C486" s="39" t="s">
        <v>830</v>
      </c>
      <c r="D486" s="70">
        <v>83911010</v>
      </c>
      <c r="E486" s="23" t="s">
        <v>32</v>
      </c>
      <c r="F486" s="59">
        <v>2011</v>
      </c>
      <c r="G486" s="23" t="s">
        <v>33</v>
      </c>
      <c r="H486" s="60" t="str">
        <f t="shared" si="18"/>
        <v xml:space="preserve">   </v>
      </c>
      <c r="I486" s="60">
        <f t="shared" si="19"/>
        <v>41640</v>
      </c>
    </row>
    <row r="487" spans="1:9" s="2" customFormat="1" hidden="1" x14ac:dyDescent="0.25">
      <c r="A487" s="19">
        <v>463</v>
      </c>
      <c r="B487" s="59">
        <v>84</v>
      </c>
      <c r="C487" s="39" t="s">
        <v>831</v>
      </c>
      <c r="D487" s="70">
        <v>83911018</v>
      </c>
      <c r="E487" s="23" t="s">
        <v>32</v>
      </c>
      <c r="F487" s="59">
        <v>2011</v>
      </c>
      <c r="G487" s="23" t="s">
        <v>33</v>
      </c>
      <c r="H487" s="60" t="str">
        <f t="shared" si="18"/>
        <v xml:space="preserve">   </v>
      </c>
      <c r="I487" s="60">
        <f t="shared" si="19"/>
        <v>41640</v>
      </c>
    </row>
    <row r="488" spans="1:9" s="2" customFormat="1" hidden="1" x14ac:dyDescent="0.25">
      <c r="A488" s="19">
        <v>464</v>
      </c>
      <c r="B488" s="59">
        <v>85</v>
      </c>
      <c r="C488" s="39" t="s">
        <v>832</v>
      </c>
      <c r="D488" s="70">
        <v>83911021</v>
      </c>
      <c r="E488" s="23" t="s">
        <v>32</v>
      </c>
      <c r="F488" s="59">
        <v>2011</v>
      </c>
      <c r="G488" s="23" t="s">
        <v>33</v>
      </c>
      <c r="H488" s="60" t="str">
        <f t="shared" si="18"/>
        <v xml:space="preserve">   </v>
      </c>
      <c r="I488" s="60">
        <f t="shared" si="19"/>
        <v>41640</v>
      </c>
    </row>
    <row r="489" spans="1:9" s="2" customFormat="1" hidden="1" x14ac:dyDescent="0.25">
      <c r="A489" s="19">
        <v>465</v>
      </c>
      <c r="B489" s="59">
        <v>86</v>
      </c>
      <c r="C489" s="39" t="s">
        <v>835</v>
      </c>
      <c r="D489" s="70">
        <v>83911005</v>
      </c>
      <c r="E489" s="23" t="s">
        <v>32</v>
      </c>
      <c r="F489" s="59">
        <v>2011</v>
      </c>
      <c r="G489" s="23" t="s">
        <v>33</v>
      </c>
      <c r="H489" s="60" t="str">
        <f t="shared" si="18"/>
        <v xml:space="preserve">   </v>
      </c>
      <c r="I489" s="60">
        <f t="shared" si="19"/>
        <v>41640</v>
      </c>
    </row>
    <row r="490" spans="1:9" s="2" customFormat="1" hidden="1" x14ac:dyDescent="0.25">
      <c r="A490" s="19">
        <v>466</v>
      </c>
      <c r="B490" s="59">
        <v>87</v>
      </c>
      <c r="C490" s="39" t="s">
        <v>837</v>
      </c>
      <c r="D490" s="70">
        <v>83911008</v>
      </c>
      <c r="E490" s="23" t="s">
        <v>32</v>
      </c>
      <c r="F490" s="59">
        <v>2011</v>
      </c>
      <c r="G490" s="23" t="s">
        <v>33</v>
      </c>
      <c r="H490" s="60" t="str">
        <f t="shared" si="18"/>
        <v xml:space="preserve">   </v>
      </c>
      <c r="I490" s="60">
        <f t="shared" si="19"/>
        <v>41640</v>
      </c>
    </row>
    <row r="491" spans="1:9" s="2" customFormat="1" hidden="1" x14ac:dyDescent="0.25">
      <c r="A491" s="19">
        <v>467</v>
      </c>
      <c r="B491" s="59">
        <v>88</v>
      </c>
      <c r="C491" s="39" t="s">
        <v>839</v>
      </c>
      <c r="D491" s="70">
        <v>83911017</v>
      </c>
      <c r="E491" s="23" t="s">
        <v>32</v>
      </c>
      <c r="F491" s="59">
        <v>2011</v>
      </c>
      <c r="G491" s="23" t="s">
        <v>33</v>
      </c>
      <c r="H491" s="60" t="str">
        <f t="shared" si="18"/>
        <v xml:space="preserve">   </v>
      </c>
      <c r="I491" s="60">
        <f t="shared" si="19"/>
        <v>42329</v>
      </c>
    </row>
    <row r="492" spans="1:9" s="2" customFormat="1" hidden="1" x14ac:dyDescent="0.25">
      <c r="A492" s="19">
        <v>468</v>
      </c>
      <c r="B492" s="59">
        <v>89</v>
      </c>
      <c r="C492" s="39" t="s">
        <v>841</v>
      </c>
      <c r="D492" s="70">
        <v>83911016</v>
      </c>
      <c r="E492" s="23" t="s">
        <v>32</v>
      </c>
      <c r="F492" s="59">
        <v>2011</v>
      </c>
      <c r="G492" s="23" t="s">
        <v>33</v>
      </c>
      <c r="H492" s="60" t="str">
        <f t="shared" ref="H492:H555" si="20">IFERROR(VLOOKUP(D492,Tlus,3,FALSE),"   ")</f>
        <v xml:space="preserve">   </v>
      </c>
      <c r="I492" s="60">
        <f t="shared" ref="I492:I555" si="21">IFERROR(VLOOKUP(D492,Wis,4,FALSE),"   ")</f>
        <v>41640</v>
      </c>
    </row>
    <row r="493" spans="1:9" s="2" customFormat="1" hidden="1" x14ac:dyDescent="0.25">
      <c r="A493" s="19">
        <v>469</v>
      </c>
      <c r="B493" s="59">
        <v>90</v>
      </c>
      <c r="C493" s="39" t="s">
        <v>843</v>
      </c>
      <c r="D493" s="70">
        <v>83911020</v>
      </c>
      <c r="E493" s="23" t="s">
        <v>32</v>
      </c>
      <c r="F493" s="59">
        <v>2011</v>
      </c>
      <c r="G493" s="23" t="s">
        <v>33</v>
      </c>
      <c r="H493" s="60" t="str">
        <f t="shared" si="20"/>
        <v xml:space="preserve">   </v>
      </c>
      <c r="I493" s="60">
        <f t="shared" si="21"/>
        <v>41640</v>
      </c>
    </row>
    <row r="494" spans="1:9" s="2" customFormat="1" hidden="1" x14ac:dyDescent="0.25">
      <c r="A494" s="19">
        <v>470</v>
      </c>
      <c r="B494" s="59">
        <v>91</v>
      </c>
      <c r="C494" s="97" t="s">
        <v>847</v>
      </c>
      <c r="D494" s="70">
        <v>839111024</v>
      </c>
      <c r="E494" s="23" t="s">
        <v>848</v>
      </c>
      <c r="F494" s="59">
        <v>2011</v>
      </c>
      <c r="G494" s="23" t="s">
        <v>33</v>
      </c>
      <c r="H494" s="60" t="str">
        <f t="shared" si="20"/>
        <v xml:space="preserve">   </v>
      </c>
      <c r="I494" s="60">
        <f t="shared" si="21"/>
        <v>42861</v>
      </c>
    </row>
    <row r="495" spans="1:9" s="2" customFormat="1" hidden="1" x14ac:dyDescent="0.25">
      <c r="A495" s="19">
        <v>471</v>
      </c>
      <c r="B495" s="80">
        <v>92</v>
      </c>
      <c r="C495" s="37" t="s">
        <v>850</v>
      </c>
      <c r="D495" s="38"/>
      <c r="E495" s="28" t="s">
        <v>32</v>
      </c>
      <c r="F495" s="57">
        <v>2011</v>
      </c>
      <c r="G495" s="28"/>
      <c r="H495" s="58" t="str">
        <f t="shared" si="20"/>
        <v xml:space="preserve">   </v>
      </c>
      <c r="I495" s="58" t="str">
        <f t="shared" si="21"/>
        <v xml:space="preserve">   </v>
      </c>
    </row>
    <row r="496" spans="1:9" s="2" customFormat="1" hidden="1" x14ac:dyDescent="0.25">
      <c r="A496" s="19">
        <v>472</v>
      </c>
      <c r="B496" s="59">
        <v>93</v>
      </c>
      <c r="C496" s="39" t="s">
        <v>851</v>
      </c>
      <c r="D496" s="70">
        <v>83911013</v>
      </c>
      <c r="E496" s="23" t="s">
        <v>32</v>
      </c>
      <c r="F496" s="59">
        <v>2011</v>
      </c>
      <c r="G496" s="23" t="s">
        <v>33</v>
      </c>
      <c r="H496" s="60" t="str">
        <f t="shared" si="20"/>
        <v xml:space="preserve">   </v>
      </c>
      <c r="I496" s="60">
        <f t="shared" si="21"/>
        <v>42504</v>
      </c>
    </row>
    <row r="497" spans="1:9" s="2" customFormat="1" hidden="1" x14ac:dyDescent="0.25">
      <c r="A497" s="19">
        <v>473</v>
      </c>
      <c r="B497" s="59">
        <v>94</v>
      </c>
      <c r="C497" s="39" t="s">
        <v>855</v>
      </c>
      <c r="D497" s="70">
        <v>83911030</v>
      </c>
      <c r="E497" s="23" t="s">
        <v>32</v>
      </c>
      <c r="F497" s="59">
        <v>2011</v>
      </c>
      <c r="G497" s="23" t="s">
        <v>33</v>
      </c>
      <c r="H497" s="60" t="str">
        <f t="shared" si="20"/>
        <v xml:space="preserve">   </v>
      </c>
      <c r="I497" s="60">
        <f t="shared" si="21"/>
        <v>42329</v>
      </c>
    </row>
    <row r="498" spans="1:9" s="2" customFormat="1" hidden="1" x14ac:dyDescent="0.25">
      <c r="A498" s="19">
        <v>474</v>
      </c>
      <c r="B498" s="59">
        <v>95</v>
      </c>
      <c r="C498" s="39" t="s">
        <v>856</v>
      </c>
      <c r="D498" s="70">
        <v>83911011</v>
      </c>
      <c r="E498" s="23" t="s">
        <v>32</v>
      </c>
      <c r="F498" s="59">
        <v>2011</v>
      </c>
      <c r="G498" s="23" t="s">
        <v>33</v>
      </c>
      <c r="H498" s="60" t="str">
        <f t="shared" si="20"/>
        <v xml:space="preserve">   </v>
      </c>
      <c r="I498" s="60">
        <f t="shared" si="21"/>
        <v>41640</v>
      </c>
    </row>
    <row r="499" spans="1:9" s="2" customFormat="1" hidden="1" x14ac:dyDescent="0.25">
      <c r="A499" s="19">
        <v>475</v>
      </c>
      <c r="B499" s="59">
        <v>96</v>
      </c>
      <c r="C499" s="39" t="s">
        <v>857</v>
      </c>
      <c r="D499" s="70">
        <v>83911029</v>
      </c>
      <c r="E499" s="23" t="s">
        <v>32</v>
      </c>
      <c r="F499" s="59">
        <v>2011</v>
      </c>
      <c r="G499" s="23" t="s">
        <v>33</v>
      </c>
      <c r="H499" s="60" t="str">
        <f t="shared" si="20"/>
        <v xml:space="preserve">   </v>
      </c>
      <c r="I499" s="60">
        <f t="shared" si="21"/>
        <v>41640</v>
      </c>
    </row>
    <row r="500" spans="1:9" s="2" customFormat="1" hidden="1" x14ac:dyDescent="0.25">
      <c r="A500" s="19">
        <v>476</v>
      </c>
      <c r="B500" s="59">
        <v>97</v>
      </c>
      <c r="C500" s="39" t="s">
        <v>858</v>
      </c>
      <c r="D500" s="70">
        <v>83911014</v>
      </c>
      <c r="E500" s="23" t="s">
        <v>32</v>
      </c>
      <c r="F500" s="59">
        <v>2011</v>
      </c>
      <c r="G500" s="23" t="s">
        <v>33</v>
      </c>
      <c r="H500" s="60" t="str">
        <f t="shared" si="20"/>
        <v xml:space="preserve">   </v>
      </c>
      <c r="I500" s="60">
        <f t="shared" si="21"/>
        <v>41640</v>
      </c>
    </row>
    <row r="501" spans="1:9" s="2" customFormat="1" hidden="1" x14ac:dyDescent="0.25">
      <c r="A501" s="19">
        <v>477</v>
      </c>
      <c r="B501" s="59">
        <v>98</v>
      </c>
      <c r="C501" s="39" t="s">
        <v>859</v>
      </c>
      <c r="D501" s="70">
        <v>83911028</v>
      </c>
      <c r="E501" s="23" t="s">
        <v>32</v>
      </c>
      <c r="F501" s="59">
        <v>2011</v>
      </c>
      <c r="G501" s="23" t="s">
        <v>33</v>
      </c>
      <c r="H501" s="60" t="str">
        <f t="shared" si="20"/>
        <v xml:space="preserve">   </v>
      </c>
      <c r="I501" s="60">
        <f t="shared" si="21"/>
        <v>41640</v>
      </c>
    </row>
    <row r="502" spans="1:9" s="2" customFormat="1" hidden="1" x14ac:dyDescent="0.25">
      <c r="A502" s="19">
        <v>478</v>
      </c>
      <c r="B502" s="59">
        <v>99</v>
      </c>
      <c r="C502" s="39" t="s">
        <v>860</v>
      </c>
      <c r="D502" s="70">
        <v>83911015</v>
      </c>
      <c r="E502" s="23" t="s">
        <v>32</v>
      </c>
      <c r="F502" s="59">
        <v>2011</v>
      </c>
      <c r="G502" s="23" t="s">
        <v>33</v>
      </c>
      <c r="H502" s="60" t="str">
        <f t="shared" si="20"/>
        <v xml:space="preserve">   </v>
      </c>
      <c r="I502" s="60">
        <f t="shared" si="21"/>
        <v>41640</v>
      </c>
    </row>
    <row r="503" spans="1:9" s="2" customFormat="1" hidden="1" x14ac:dyDescent="0.25">
      <c r="A503" s="19">
        <v>479</v>
      </c>
      <c r="B503" s="59">
        <v>100</v>
      </c>
      <c r="C503" s="39" t="s">
        <v>861</v>
      </c>
      <c r="D503" s="40"/>
      <c r="E503" s="23" t="s">
        <v>32</v>
      </c>
      <c r="F503" s="59">
        <v>2011</v>
      </c>
      <c r="G503" s="23" t="s">
        <v>33</v>
      </c>
      <c r="H503" s="60" t="str">
        <f t="shared" si="20"/>
        <v xml:space="preserve">   </v>
      </c>
      <c r="I503" s="60" t="str">
        <f t="shared" si="21"/>
        <v xml:space="preserve">   </v>
      </c>
    </row>
    <row r="504" spans="1:9" s="2" customFormat="1" hidden="1" x14ac:dyDescent="0.25">
      <c r="A504" s="19">
        <v>480</v>
      </c>
      <c r="B504" s="59">
        <v>101</v>
      </c>
      <c r="C504" s="39" t="s">
        <v>862</v>
      </c>
      <c r="D504" s="70">
        <v>83911006</v>
      </c>
      <c r="E504" s="23" t="s">
        <v>32</v>
      </c>
      <c r="F504" s="59">
        <v>2011</v>
      </c>
      <c r="G504" s="23" t="s">
        <v>33</v>
      </c>
      <c r="H504" s="60" t="str">
        <f t="shared" si="20"/>
        <v xml:space="preserve">   </v>
      </c>
      <c r="I504" s="60">
        <f t="shared" si="21"/>
        <v>41640</v>
      </c>
    </row>
    <row r="505" spans="1:9" s="2" customFormat="1" hidden="1" x14ac:dyDescent="0.25">
      <c r="A505" s="19">
        <v>481</v>
      </c>
      <c r="B505" s="59">
        <v>102</v>
      </c>
      <c r="C505" s="39" t="s">
        <v>865</v>
      </c>
      <c r="D505" s="70">
        <v>83911026</v>
      </c>
      <c r="E505" s="23" t="s">
        <v>32</v>
      </c>
      <c r="F505" s="59">
        <v>2011</v>
      </c>
      <c r="G505" s="23" t="s">
        <v>33</v>
      </c>
      <c r="H505" s="60" t="str">
        <f t="shared" si="20"/>
        <v xml:space="preserve">   </v>
      </c>
      <c r="I505" s="60">
        <f t="shared" si="21"/>
        <v>41640</v>
      </c>
    </row>
    <row r="506" spans="1:9" s="2" customFormat="1" hidden="1" x14ac:dyDescent="0.25">
      <c r="A506" s="19">
        <v>482</v>
      </c>
      <c r="B506" s="59">
        <v>103</v>
      </c>
      <c r="C506" s="39" t="s">
        <v>866</v>
      </c>
      <c r="D506" s="70">
        <v>83911007</v>
      </c>
      <c r="E506" s="23" t="s">
        <v>32</v>
      </c>
      <c r="F506" s="59">
        <v>2011</v>
      </c>
      <c r="G506" s="23" t="s">
        <v>33</v>
      </c>
      <c r="H506" s="60" t="str">
        <f t="shared" si="20"/>
        <v xml:space="preserve">   </v>
      </c>
      <c r="I506" s="60">
        <f t="shared" si="21"/>
        <v>41640</v>
      </c>
    </row>
    <row r="507" spans="1:9" s="2" customFormat="1" hidden="1" x14ac:dyDescent="0.25">
      <c r="A507" s="19">
        <v>483</v>
      </c>
      <c r="B507" s="59">
        <v>104</v>
      </c>
      <c r="C507" s="39" t="s">
        <v>867</v>
      </c>
      <c r="D507" s="70">
        <v>83911004</v>
      </c>
      <c r="E507" s="23" t="s">
        <v>32</v>
      </c>
      <c r="F507" s="59">
        <v>2011</v>
      </c>
      <c r="G507" s="23" t="s">
        <v>33</v>
      </c>
      <c r="H507" s="60" t="str">
        <f t="shared" si="20"/>
        <v xml:space="preserve">   </v>
      </c>
      <c r="I507" s="60">
        <f t="shared" si="21"/>
        <v>41640</v>
      </c>
    </row>
    <row r="508" spans="1:9" s="2" customFormat="1" hidden="1" x14ac:dyDescent="0.25">
      <c r="A508" s="19">
        <v>484</v>
      </c>
      <c r="B508" s="59">
        <v>105</v>
      </c>
      <c r="C508" s="39" t="s">
        <v>868</v>
      </c>
      <c r="D508" s="70">
        <v>83911012</v>
      </c>
      <c r="E508" s="23" t="s">
        <v>32</v>
      </c>
      <c r="F508" s="59">
        <v>2011</v>
      </c>
      <c r="G508" s="23" t="s">
        <v>33</v>
      </c>
      <c r="H508" s="60" t="str">
        <f t="shared" si="20"/>
        <v xml:space="preserve">   </v>
      </c>
      <c r="I508" s="60">
        <f t="shared" si="21"/>
        <v>41640</v>
      </c>
    </row>
    <row r="509" spans="1:9" s="2" customFormat="1" hidden="1" x14ac:dyDescent="0.25">
      <c r="A509" s="19">
        <v>485</v>
      </c>
      <c r="B509" s="59">
        <v>106</v>
      </c>
      <c r="C509" s="39" t="s">
        <v>869</v>
      </c>
      <c r="D509" s="70">
        <v>83911023</v>
      </c>
      <c r="E509" s="23" t="s">
        <v>32</v>
      </c>
      <c r="F509" s="59">
        <v>2011</v>
      </c>
      <c r="G509" s="23" t="s">
        <v>33</v>
      </c>
      <c r="H509" s="60" t="str">
        <f t="shared" si="20"/>
        <v xml:space="preserve">   </v>
      </c>
      <c r="I509" s="60">
        <f t="shared" si="21"/>
        <v>41640</v>
      </c>
    </row>
    <row r="510" spans="1:9" s="2" customFormat="1" hidden="1" x14ac:dyDescent="0.25">
      <c r="A510" s="19">
        <v>486</v>
      </c>
      <c r="B510" s="59">
        <v>107</v>
      </c>
      <c r="C510" s="39" t="s">
        <v>872</v>
      </c>
      <c r="D510" s="70">
        <v>83911003</v>
      </c>
      <c r="E510" s="23" t="s">
        <v>32</v>
      </c>
      <c r="F510" s="59">
        <v>2011</v>
      </c>
      <c r="G510" s="23" t="s">
        <v>33</v>
      </c>
      <c r="H510" s="60" t="str">
        <f t="shared" si="20"/>
        <v xml:space="preserve">   </v>
      </c>
      <c r="I510" s="60">
        <f t="shared" si="21"/>
        <v>41640</v>
      </c>
    </row>
    <row r="511" spans="1:9" s="2" customFormat="1" hidden="1" x14ac:dyDescent="0.25">
      <c r="A511" s="19">
        <v>487</v>
      </c>
      <c r="B511" s="59">
        <v>108</v>
      </c>
      <c r="C511" s="39" t="s">
        <v>873</v>
      </c>
      <c r="D511" s="70">
        <v>83911019</v>
      </c>
      <c r="E511" s="23" t="s">
        <v>32</v>
      </c>
      <c r="F511" s="59">
        <v>2011</v>
      </c>
      <c r="G511" s="23" t="s">
        <v>33</v>
      </c>
      <c r="H511" s="60" t="str">
        <f t="shared" si="20"/>
        <v xml:space="preserve">   </v>
      </c>
      <c r="I511" s="60">
        <f t="shared" si="21"/>
        <v>41640</v>
      </c>
    </row>
    <row r="512" spans="1:9" s="2" customFormat="1" hidden="1" x14ac:dyDescent="0.25">
      <c r="A512" s="19">
        <v>488</v>
      </c>
      <c r="B512" s="57">
        <v>109</v>
      </c>
      <c r="C512" s="37" t="s">
        <v>874</v>
      </c>
      <c r="D512" s="38"/>
      <c r="E512" s="28" t="s">
        <v>32</v>
      </c>
      <c r="F512" s="57">
        <v>2011</v>
      </c>
      <c r="G512" s="28"/>
      <c r="H512" s="58" t="str">
        <f t="shared" si="20"/>
        <v xml:space="preserve">   </v>
      </c>
      <c r="I512" s="58" t="str">
        <f t="shared" si="21"/>
        <v xml:space="preserve">   </v>
      </c>
    </row>
    <row r="513" spans="1:9" s="2" customFormat="1" hidden="1" x14ac:dyDescent="0.25">
      <c r="A513" s="19">
        <v>489</v>
      </c>
      <c r="B513" s="57">
        <v>110</v>
      </c>
      <c r="C513" s="37" t="s">
        <v>876</v>
      </c>
      <c r="D513" s="38"/>
      <c r="E513" s="28" t="s">
        <v>32</v>
      </c>
      <c r="F513" s="57">
        <v>2011</v>
      </c>
      <c r="G513" s="28"/>
      <c r="H513" s="58" t="str">
        <f t="shared" si="20"/>
        <v xml:space="preserve">   </v>
      </c>
      <c r="I513" s="58" t="str">
        <f t="shared" si="21"/>
        <v xml:space="preserve">   </v>
      </c>
    </row>
    <row r="514" spans="1:9" s="2" customFormat="1" hidden="1" x14ac:dyDescent="0.25">
      <c r="A514" s="19">
        <v>490</v>
      </c>
      <c r="B514" s="59">
        <v>111</v>
      </c>
      <c r="C514" s="39" t="s">
        <v>877</v>
      </c>
      <c r="D514" s="70">
        <v>83911022</v>
      </c>
      <c r="E514" s="23" t="s">
        <v>848</v>
      </c>
      <c r="F514" s="59">
        <v>2011</v>
      </c>
      <c r="G514" s="23" t="s">
        <v>33</v>
      </c>
      <c r="H514" s="60">
        <f t="shared" si="20"/>
        <v>42693</v>
      </c>
      <c r="I514" s="60">
        <f t="shared" si="21"/>
        <v>42693</v>
      </c>
    </row>
    <row r="515" spans="1:9" s="2" customFormat="1" hidden="1" x14ac:dyDescent="0.25">
      <c r="A515" s="19">
        <v>491</v>
      </c>
      <c r="B515" s="80">
        <v>112</v>
      </c>
      <c r="C515" s="37" t="s">
        <v>882</v>
      </c>
      <c r="D515" s="38"/>
      <c r="E515" s="28" t="s">
        <v>32</v>
      </c>
      <c r="F515" s="57">
        <v>2011</v>
      </c>
      <c r="G515" s="28"/>
      <c r="H515" s="58" t="str">
        <f t="shared" si="20"/>
        <v xml:space="preserve">   </v>
      </c>
      <c r="I515" s="58" t="str">
        <f t="shared" si="21"/>
        <v xml:space="preserve">   </v>
      </c>
    </row>
    <row r="516" spans="1:9" s="2" customFormat="1" hidden="1" x14ac:dyDescent="0.25">
      <c r="A516" s="107"/>
      <c r="B516" s="72"/>
      <c r="C516" s="73"/>
      <c r="D516" s="62"/>
      <c r="E516" s="63"/>
      <c r="F516" s="64" t="s">
        <v>61</v>
      </c>
      <c r="G516" s="63"/>
      <c r="H516" s="65" t="str">
        <f t="shared" si="20"/>
        <v xml:space="preserve">   </v>
      </c>
      <c r="I516" s="65" t="str">
        <f t="shared" si="21"/>
        <v xml:space="preserve">   </v>
      </c>
    </row>
    <row r="517" spans="1:9" s="4" customFormat="1" hidden="1" x14ac:dyDescent="0.25">
      <c r="A517" s="108"/>
      <c r="B517" s="109" t="s">
        <v>883</v>
      </c>
      <c r="C517" s="110"/>
      <c r="D517" s="56"/>
      <c r="E517" s="111"/>
      <c r="F517" s="83" t="s">
        <v>61</v>
      </c>
      <c r="G517" s="111"/>
      <c r="H517" s="84" t="str">
        <f t="shared" si="20"/>
        <v xml:space="preserve">   </v>
      </c>
      <c r="I517" s="84" t="str">
        <f t="shared" si="21"/>
        <v xml:space="preserve">   </v>
      </c>
    </row>
    <row r="518" spans="1:9" s="2" customFormat="1" hidden="1" x14ac:dyDescent="0.25">
      <c r="A518" s="19">
        <v>492</v>
      </c>
      <c r="B518" s="59">
        <v>1</v>
      </c>
      <c r="C518" s="97" t="s">
        <v>884</v>
      </c>
      <c r="D518" s="70">
        <v>849120001</v>
      </c>
      <c r="E518" s="23" t="s">
        <v>32</v>
      </c>
      <c r="F518" s="59">
        <v>2011</v>
      </c>
      <c r="G518" s="23" t="s">
        <v>33</v>
      </c>
      <c r="H518" s="60">
        <f t="shared" si="20"/>
        <v>42900</v>
      </c>
      <c r="I518" s="60">
        <f t="shared" si="21"/>
        <v>43064</v>
      </c>
    </row>
    <row r="519" spans="1:9" s="2" customFormat="1" hidden="1" x14ac:dyDescent="0.25">
      <c r="A519" s="19">
        <v>493</v>
      </c>
      <c r="B519" s="59"/>
      <c r="C519" s="39"/>
      <c r="D519" s="40"/>
      <c r="E519" s="23"/>
      <c r="F519" s="59">
        <v>2011</v>
      </c>
      <c r="G519" s="23"/>
      <c r="H519" s="60" t="str">
        <f t="shared" si="20"/>
        <v xml:space="preserve">   </v>
      </c>
      <c r="I519" s="60" t="str">
        <f t="shared" si="21"/>
        <v xml:space="preserve">   </v>
      </c>
    </row>
    <row r="520" spans="1:9" s="2" customFormat="1" hidden="1" x14ac:dyDescent="0.25">
      <c r="A520" s="19">
        <v>494</v>
      </c>
      <c r="B520" s="59">
        <v>2</v>
      </c>
      <c r="C520" s="39" t="s">
        <v>885</v>
      </c>
      <c r="D520" s="70">
        <v>849120002</v>
      </c>
      <c r="E520" s="23" t="s">
        <v>32</v>
      </c>
      <c r="F520" s="59">
        <v>2011</v>
      </c>
      <c r="G520" s="23"/>
      <c r="H520" s="60" t="str">
        <f t="shared" si="20"/>
        <v xml:space="preserve">   </v>
      </c>
      <c r="I520" s="60" t="str">
        <f t="shared" si="21"/>
        <v xml:space="preserve">   </v>
      </c>
    </row>
    <row r="521" spans="1:9" s="2" customFormat="1" hidden="1" x14ac:dyDescent="0.25">
      <c r="A521" s="19">
        <v>495</v>
      </c>
      <c r="B521" s="59">
        <v>3</v>
      </c>
      <c r="C521" s="39" t="s">
        <v>887</v>
      </c>
      <c r="D521" s="70">
        <v>849120005</v>
      </c>
      <c r="E521" s="23" t="s">
        <v>32</v>
      </c>
      <c r="F521" s="59">
        <v>2011</v>
      </c>
      <c r="G521" s="23" t="s">
        <v>33</v>
      </c>
      <c r="H521" s="60" t="str">
        <f t="shared" si="20"/>
        <v xml:space="preserve">   </v>
      </c>
      <c r="I521" s="60">
        <f t="shared" si="21"/>
        <v>41640</v>
      </c>
    </row>
    <row r="522" spans="1:9" s="2" customFormat="1" hidden="1" x14ac:dyDescent="0.25">
      <c r="A522" s="19">
        <v>496</v>
      </c>
      <c r="B522" s="59">
        <v>4</v>
      </c>
      <c r="C522" s="39" t="s">
        <v>890</v>
      </c>
      <c r="D522" s="70">
        <v>849120006</v>
      </c>
      <c r="E522" s="23" t="s">
        <v>32</v>
      </c>
      <c r="F522" s="59">
        <v>2011</v>
      </c>
      <c r="G522" s="23" t="s">
        <v>33</v>
      </c>
      <c r="H522" s="60" t="str">
        <f t="shared" si="20"/>
        <v xml:space="preserve">   </v>
      </c>
      <c r="I522" s="60">
        <f t="shared" si="21"/>
        <v>41640</v>
      </c>
    </row>
    <row r="523" spans="1:9" s="2" customFormat="1" hidden="1" x14ac:dyDescent="0.25">
      <c r="A523" s="19">
        <v>497</v>
      </c>
      <c r="B523" s="57">
        <v>5</v>
      </c>
      <c r="C523" s="37" t="s">
        <v>893</v>
      </c>
      <c r="D523" s="71">
        <v>849120007</v>
      </c>
      <c r="E523" s="28" t="s">
        <v>32</v>
      </c>
      <c r="F523" s="57">
        <v>2011</v>
      </c>
      <c r="G523" s="28"/>
      <c r="H523" s="58" t="str">
        <f t="shared" si="20"/>
        <v xml:space="preserve">   </v>
      </c>
      <c r="I523" s="58" t="str">
        <f t="shared" si="21"/>
        <v xml:space="preserve">   </v>
      </c>
    </row>
    <row r="524" spans="1:9" s="2" customFormat="1" hidden="1" x14ac:dyDescent="0.25">
      <c r="A524" s="19">
        <v>498</v>
      </c>
      <c r="B524" s="59">
        <v>6</v>
      </c>
      <c r="C524" s="39" t="s">
        <v>895</v>
      </c>
      <c r="D524" s="70">
        <v>849120008</v>
      </c>
      <c r="E524" s="23" t="s">
        <v>32</v>
      </c>
      <c r="F524" s="59">
        <v>2011</v>
      </c>
      <c r="G524" s="23" t="s">
        <v>33</v>
      </c>
      <c r="H524" s="60" t="str">
        <f t="shared" si="20"/>
        <v xml:space="preserve">   </v>
      </c>
      <c r="I524" s="60" t="str">
        <f t="shared" si="21"/>
        <v xml:space="preserve">   </v>
      </c>
    </row>
    <row r="525" spans="1:9" s="2" customFormat="1" hidden="1" x14ac:dyDescent="0.25">
      <c r="A525" s="19">
        <v>499</v>
      </c>
      <c r="B525" s="59">
        <v>7</v>
      </c>
      <c r="C525" s="39" t="s">
        <v>896</v>
      </c>
      <c r="D525" s="70">
        <v>849120009</v>
      </c>
      <c r="E525" s="23" t="s">
        <v>32</v>
      </c>
      <c r="F525" s="59">
        <v>2011</v>
      </c>
      <c r="G525" s="23" t="s">
        <v>33</v>
      </c>
      <c r="H525" s="60" t="str">
        <f t="shared" si="20"/>
        <v xml:space="preserve">   </v>
      </c>
      <c r="I525" s="60">
        <f t="shared" si="21"/>
        <v>41640</v>
      </c>
    </row>
    <row r="526" spans="1:9" s="2" customFormat="1" hidden="1" x14ac:dyDescent="0.25">
      <c r="A526" s="19">
        <v>500</v>
      </c>
      <c r="B526" s="57">
        <v>8</v>
      </c>
      <c r="C526" s="37" t="s">
        <v>898</v>
      </c>
      <c r="D526" s="71">
        <v>849120010</v>
      </c>
      <c r="E526" s="28" t="s">
        <v>32</v>
      </c>
      <c r="F526" s="57">
        <v>2011</v>
      </c>
      <c r="G526" s="28"/>
      <c r="H526" s="58" t="str">
        <f t="shared" si="20"/>
        <v xml:space="preserve">   </v>
      </c>
      <c r="I526" s="58" t="str">
        <f t="shared" si="21"/>
        <v xml:space="preserve">   </v>
      </c>
    </row>
    <row r="527" spans="1:9" s="2" customFormat="1" hidden="1" x14ac:dyDescent="0.25">
      <c r="A527" s="19">
        <v>501</v>
      </c>
      <c r="B527" s="59">
        <v>9</v>
      </c>
      <c r="C527" s="39" t="s">
        <v>899</v>
      </c>
      <c r="D527" s="70">
        <v>849120011</v>
      </c>
      <c r="E527" s="23" t="s">
        <v>32</v>
      </c>
      <c r="F527" s="59">
        <v>2011</v>
      </c>
      <c r="G527" s="23" t="s">
        <v>33</v>
      </c>
      <c r="H527" s="60" t="str">
        <f t="shared" si="20"/>
        <v xml:space="preserve">   </v>
      </c>
      <c r="I527" s="60">
        <f t="shared" si="21"/>
        <v>41640</v>
      </c>
    </row>
    <row r="528" spans="1:9" s="2" customFormat="1" hidden="1" x14ac:dyDescent="0.25">
      <c r="A528" s="19">
        <v>502</v>
      </c>
      <c r="B528" s="57">
        <v>10</v>
      </c>
      <c r="C528" s="37" t="s">
        <v>900</v>
      </c>
      <c r="D528" s="71">
        <v>849120012</v>
      </c>
      <c r="E528" s="28" t="s">
        <v>32</v>
      </c>
      <c r="F528" s="57">
        <v>2011</v>
      </c>
      <c r="G528" s="28"/>
      <c r="H528" s="58" t="str">
        <f t="shared" si="20"/>
        <v xml:space="preserve">   </v>
      </c>
      <c r="I528" s="58" t="str">
        <f t="shared" si="21"/>
        <v xml:space="preserve">   </v>
      </c>
    </row>
    <row r="529" spans="1:9" s="2" customFormat="1" hidden="1" x14ac:dyDescent="0.25">
      <c r="A529" s="19">
        <v>503</v>
      </c>
      <c r="B529" s="59">
        <v>11</v>
      </c>
      <c r="C529" s="39" t="s">
        <v>901</v>
      </c>
      <c r="D529" s="70">
        <v>849120013</v>
      </c>
      <c r="E529" s="23" t="s">
        <v>32</v>
      </c>
      <c r="F529" s="59">
        <v>2011</v>
      </c>
      <c r="G529" s="23"/>
      <c r="H529" s="60" t="str">
        <f t="shared" si="20"/>
        <v xml:space="preserve">   </v>
      </c>
      <c r="I529" s="60">
        <f t="shared" si="21"/>
        <v>42143</v>
      </c>
    </row>
    <row r="530" spans="1:9" s="2" customFormat="1" hidden="1" x14ac:dyDescent="0.25">
      <c r="A530" s="19">
        <v>504</v>
      </c>
      <c r="B530" s="59">
        <v>12</v>
      </c>
      <c r="C530" s="39" t="s">
        <v>902</v>
      </c>
      <c r="D530" s="70">
        <v>849120014</v>
      </c>
      <c r="E530" s="23" t="s">
        <v>32</v>
      </c>
      <c r="F530" s="59">
        <v>2011</v>
      </c>
      <c r="G530" s="23" t="s">
        <v>33</v>
      </c>
      <c r="H530" s="60">
        <f t="shared" si="20"/>
        <v>42691</v>
      </c>
      <c r="I530" s="60">
        <f t="shared" si="21"/>
        <v>42861</v>
      </c>
    </row>
    <row r="531" spans="1:9" s="2" customFormat="1" hidden="1" x14ac:dyDescent="0.25">
      <c r="A531" s="19">
        <v>505</v>
      </c>
      <c r="B531" s="59">
        <v>13</v>
      </c>
      <c r="C531" s="39" t="s">
        <v>908</v>
      </c>
      <c r="D531" s="70">
        <v>849120015</v>
      </c>
      <c r="E531" s="23" t="s">
        <v>32</v>
      </c>
      <c r="F531" s="59">
        <v>2011</v>
      </c>
      <c r="G531" s="23" t="s">
        <v>33</v>
      </c>
      <c r="H531" s="60">
        <f t="shared" si="20"/>
        <v>42803</v>
      </c>
      <c r="I531" s="60" t="str">
        <f t="shared" si="21"/>
        <v xml:space="preserve">   </v>
      </c>
    </row>
    <row r="532" spans="1:9" s="2" customFormat="1" hidden="1" x14ac:dyDescent="0.25">
      <c r="A532" s="19">
        <v>506</v>
      </c>
      <c r="B532" s="57">
        <v>14</v>
      </c>
      <c r="C532" s="37" t="s">
        <v>912</v>
      </c>
      <c r="D532" s="71">
        <v>849120016</v>
      </c>
      <c r="E532" s="28" t="s">
        <v>32</v>
      </c>
      <c r="F532" s="57">
        <v>2011</v>
      </c>
      <c r="G532" s="28"/>
      <c r="H532" s="58" t="str">
        <f t="shared" si="20"/>
        <v xml:space="preserve">   </v>
      </c>
      <c r="I532" s="58" t="str">
        <f t="shared" si="21"/>
        <v xml:space="preserve">   </v>
      </c>
    </row>
    <row r="533" spans="1:9" s="2" customFormat="1" hidden="1" x14ac:dyDescent="0.25">
      <c r="A533" s="19">
        <v>507</v>
      </c>
      <c r="B533" s="59">
        <v>15</v>
      </c>
      <c r="C533" s="39" t="s">
        <v>913</v>
      </c>
      <c r="D533" s="70">
        <v>849120017</v>
      </c>
      <c r="E533" s="23" t="s">
        <v>32</v>
      </c>
      <c r="F533" s="59">
        <v>2011</v>
      </c>
      <c r="G533" s="23" t="s">
        <v>33</v>
      </c>
      <c r="H533" s="60" t="str">
        <f t="shared" si="20"/>
        <v xml:space="preserve">   </v>
      </c>
      <c r="I533" s="60">
        <f t="shared" si="21"/>
        <v>42504</v>
      </c>
    </row>
    <row r="534" spans="1:9" s="2" customFormat="1" hidden="1" x14ac:dyDescent="0.25">
      <c r="A534" s="19">
        <v>508</v>
      </c>
      <c r="B534" s="59">
        <v>16</v>
      </c>
      <c r="C534" s="39" t="s">
        <v>915</v>
      </c>
      <c r="D534" s="70">
        <v>849120018</v>
      </c>
      <c r="E534" s="23" t="s">
        <v>32</v>
      </c>
      <c r="F534" s="59">
        <v>2011</v>
      </c>
      <c r="G534" s="23" t="s">
        <v>33</v>
      </c>
      <c r="H534" s="60" t="str">
        <f t="shared" si="20"/>
        <v xml:space="preserve">   </v>
      </c>
      <c r="I534" s="60">
        <f t="shared" si="21"/>
        <v>41640</v>
      </c>
    </row>
    <row r="535" spans="1:9" s="2" customFormat="1" hidden="1" x14ac:dyDescent="0.25">
      <c r="A535" s="19">
        <v>509</v>
      </c>
      <c r="B535" s="59">
        <v>17</v>
      </c>
      <c r="C535" s="39" t="s">
        <v>916</v>
      </c>
      <c r="D535" s="70">
        <v>849120019</v>
      </c>
      <c r="E535" s="23" t="s">
        <v>32</v>
      </c>
      <c r="F535" s="59">
        <v>2011</v>
      </c>
      <c r="G535" s="23" t="s">
        <v>33</v>
      </c>
      <c r="H535" s="60" t="str">
        <f t="shared" si="20"/>
        <v xml:space="preserve">   </v>
      </c>
      <c r="I535" s="60">
        <f t="shared" si="21"/>
        <v>41640</v>
      </c>
    </row>
    <row r="536" spans="1:9" s="2" customFormat="1" hidden="1" x14ac:dyDescent="0.25">
      <c r="A536" s="19">
        <v>510</v>
      </c>
      <c r="B536" s="59">
        <v>18</v>
      </c>
      <c r="C536" s="39" t="s">
        <v>917</v>
      </c>
      <c r="D536" s="70">
        <v>849120020</v>
      </c>
      <c r="E536" s="23" t="s">
        <v>32</v>
      </c>
      <c r="F536" s="59">
        <v>2011</v>
      </c>
      <c r="G536" s="23" t="s">
        <v>33</v>
      </c>
      <c r="H536" s="60" t="str">
        <f t="shared" si="20"/>
        <v xml:space="preserve">   </v>
      </c>
      <c r="I536" s="60">
        <f t="shared" si="21"/>
        <v>41640</v>
      </c>
    </row>
    <row r="537" spans="1:9" s="2" customFormat="1" hidden="1" x14ac:dyDescent="0.25">
      <c r="A537" s="19">
        <v>511</v>
      </c>
      <c r="B537" s="57">
        <v>19</v>
      </c>
      <c r="C537" s="37" t="s">
        <v>919</v>
      </c>
      <c r="D537" s="71">
        <v>849120021</v>
      </c>
      <c r="E537" s="28" t="s">
        <v>32</v>
      </c>
      <c r="F537" s="57">
        <v>2011</v>
      </c>
      <c r="G537" s="28"/>
      <c r="H537" s="58" t="str">
        <f t="shared" si="20"/>
        <v xml:space="preserve">   </v>
      </c>
      <c r="I537" s="58" t="str">
        <f t="shared" si="21"/>
        <v xml:space="preserve">   </v>
      </c>
    </row>
    <row r="538" spans="1:9" s="2" customFormat="1" hidden="1" x14ac:dyDescent="0.25">
      <c r="A538" s="19">
        <v>512</v>
      </c>
      <c r="B538" s="59">
        <v>20</v>
      </c>
      <c r="C538" s="39" t="s">
        <v>920</v>
      </c>
      <c r="D538" s="70">
        <v>849120022</v>
      </c>
      <c r="E538" s="23" t="s">
        <v>32</v>
      </c>
      <c r="F538" s="59">
        <v>2011</v>
      </c>
      <c r="G538" s="23" t="s">
        <v>33</v>
      </c>
      <c r="H538" s="60" t="str">
        <f t="shared" si="20"/>
        <v xml:space="preserve">   </v>
      </c>
      <c r="I538" s="60">
        <f t="shared" si="21"/>
        <v>41640</v>
      </c>
    </row>
    <row r="539" spans="1:9" s="2" customFormat="1" hidden="1" x14ac:dyDescent="0.25">
      <c r="A539" s="19">
        <v>513</v>
      </c>
      <c r="B539" s="57">
        <v>21</v>
      </c>
      <c r="C539" s="37" t="s">
        <v>921</v>
      </c>
      <c r="D539" s="71">
        <v>849120023</v>
      </c>
      <c r="E539" s="28" t="s">
        <v>32</v>
      </c>
      <c r="F539" s="57">
        <v>2011</v>
      </c>
      <c r="G539" s="28"/>
      <c r="H539" s="58" t="str">
        <f t="shared" si="20"/>
        <v xml:space="preserve">   </v>
      </c>
      <c r="I539" s="58">
        <f t="shared" si="21"/>
        <v>41640</v>
      </c>
    </row>
    <row r="540" spans="1:9" s="2" customFormat="1" hidden="1" x14ac:dyDescent="0.25">
      <c r="A540" s="19">
        <v>514</v>
      </c>
      <c r="B540" s="59">
        <v>22</v>
      </c>
      <c r="C540" s="39" t="s">
        <v>923</v>
      </c>
      <c r="D540" s="70">
        <v>849120024</v>
      </c>
      <c r="E540" s="23" t="s">
        <v>32</v>
      </c>
      <c r="F540" s="59">
        <v>2011</v>
      </c>
      <c r="G540" s="23" t="s">
        <v>33</v>
      </c>
      <c r="H540" s="60" t="str">
        <f t="shared" si="20"/>
        <v xml:space="preserve">   </v>
      </c>
      <c r="I540" s="60">
        <f t="shared" si="21"/>
        <v>41640</v>
      </c>
    </row>
    <row r="541" spans="1:9" s="2" customFormat="1" hidden="1" x14ac:dyDescent="0.25">
      <c r="A541" s="19">
        <v>515</v>
      </c>
      <c r="B541" s="59">
        <v>23</v>
      </c>
      <c r="C541" s="39" t="s">
        <v>924</v>
      </c>
      <c r="D541" s="70">
        <v>849120025</v>
      </c>
      <c r="E541" s="23" t="s">
        <v>32</v>
      </c>
      <c r="F541" s="59">
        <v>2011</v>
      </c>
      <c r="G541" s="23" t="s">
        <v>33</v>
      </c>
      <c r="H541" s="60" t="str">
        <f t="shared" si="20"/>
        <v xml:space="preserve">   </v>
      </c>
      <c r="I541" s="60">
        <f t="shared" si="21"/>
        <v>41640</v>
      </c>
    </row>
    <row r="542" spans="1:9" s="2" customFormat="1" hidden="1" x14ac:dyDescent="0.25">
      <c r="A542" s="19">
        <v>516</v>
      </c>
      <c r="B542" s="59">
        <v>24</v>
      </c>
      <c r="C542" s="39" t="s">
        <v>925</v>
      </c>
      <c r="D542" s="70">
        <v>849120026</v>
      </c>
      <c r="E542" s="23" t="s">
        <v>32</v>
      </c>
      <c r="F542" s="59">
        <v>2011</v>
      </c>
      <c r="G542" s="23" t="s">
        <v>33</v>
      </c>
      <c r="H542" s="60" t="str">
        <f t="shared" si="20"/>
        <v xml:space="preserve">   </v>
      </c>
      <c r="I542" s="60">
        <f t="shared" si="21"/>
        <v>41640</v>
      </c>
    </row>
    <row r="543" spans="1:9" s="2" customFormat="1" hidden="1" x14ac:dyDescent="0.25">
      <c r="A543" s="19">
        <v>517</v>
      </c>
      <c r="B543" s="59">
        <v>25</v>
      </c>
      <c r="C543" s="39" t="s">
        <v>927</v>
      </c>
      <c r="D543" s="70">
        <v>849120028</v>
      </c>
      <c r="E543" s="23" t="s">
        <v>32</v>
      </c>
      <c r="F543" s="59">
        <v>2011</v>
      </c>
      <c r="G543" s="23" t="s">
        <v>33</v>
      </c>
      <c r="H543" s="60" t="str">
        <f t="shared" si="20"/>
        <v xml:space="preserve">   </v>
      </c>
      <c r="I543" s="60">
        <f t="shared" si="21"/>
        <v>41640</v>
      </c>
    </row>
    <row r="544" spans="1:9" s="2" customFormat="1" hidden="1" x14ac:dyDescent="0.25">
      <c r="A544" s="19">
        <v>518</v>
      </c>
      <c r="B544" s="57">
        <v>26</v>
      </c>
      <c r="C544" s="37" t="s">
        <v>928</v>
      </c>
      <c r="D544" s="71">
        <v>849120029</v>
      </c>
      <c r="E544" s="28" t="s">
        <v>32</v>
      </c>
      <c r="F544" s="57">
        <v>2011</v>
      </c>
      <c r="G544" s="28"/>
      <c r="H544" s="58" t="str">
        <f t="shared" si="20"/>
        <v xml:space="preserve">   </v>
      </c>
      <c r="I544" s="58" t="str">
        <f t="shared" si="21"/>
        <v xml:space="preserve">   </v>
      </c>
    </row>
    <row r="545" spans="1:9" s="2" customFormat="1" hidden="1" x14ac:dyDescent="0.25">
      <c r="A545" s="19">
        <v>519</v>
      </c>
      <c r="B545" s="59">
        <v>27</v>
      </c>
      <c r="C545" s="39" t="s">
        <v>930</v>
      </c>
      <c r="D545" s="70">
        <v>849120030</v>
      </c>
      <c r="E545" s="23" t="s">
        <v>32</v>
      </c>
      <c r="F545" s="59">
        <v>2011</v>
      </c>
      <c r="G545" s="23" t="s">
        <v>33</v>
      </c>
      <c r="H545" s="60" t="str">
        <f t="shared" si="20"/>
        <v xml:space="preserve">   </v>
      </c>
      <c r="I545" s="60" t="str">
        <f t="shared" si="21"/>
        <v xml:space="preserve">   </v>
      </c>
    </row>
    <row r="546" spans="1:9" s="2" customFormat="1" hidden="1" x14ac:dyDescent="0.25">
      <c r="A546" s="19">
        <v>520</v>
      </c>
      <c r="B546" s="59">
        <v>28</v>
      </c>
      <c r="C546" s="39" t="s">
        <v>931</v>
      </c>
      <c r="D546" s="70">
        <v>849120031</v>
      </c>
      <c r="E546" s="23" t="s">
        <v>32</v>
      </c>
      <c r="F546" s="59">
        <v>2011</v>
      </c>
      <c r="G546" s="23" t="s">
        <v>33</v>
      </c>
      <c r="H546" s="60" t="str">
        <f t="shared" si="20"/>
        <v xml:space="preserve">   </v>
      </c>
      <c r="I546" s="60">
        <f t="shared" si="21"/>
        <v>41640</v>
      </c>
    </row>
    <row r="547" spans="1:9" s="2" customFormat="1" hidden="1" x14ac:dyDescent="0.25">
      <c r="A547" s="19">
        <v>521</v>
      </c>
      <c r="B547" s="59">
        <v>29</v>
      </c>
      <c r="C547" s="39" t="s">
        <v>932</v>
      </c>
      <c r="D547" s="70">
        <v>849120032</v>
      </c>
      <c r="E547" s="23" t="s">
        <v>32</v>
      </c>
      <c r="F547" s="59">
        <v>2011</v>
      </c>
      <c r="G547" s="23" t="s">
        <v>33</v>
      </c>
      <c r="H547" s="60" t="str">
        <f t="shared" si="20"/>
        <v xml:space="preserve">   </v>
      </c>
      <c r="I547" s="60">
        <f t="shared" si="21"/>
        <v>41640</v>
      </c>
    </row>
    <row r="548" spans="1:9" s="2" customFormat="1" hidden="1" x14ac:dyDescent="0.25">
      <c r="A548" s="19">
        <v>522</v>
      </c>
      <c r="B548" s="59">
        <v>30</v>
      </c>
      <c r="C548" s="39" t="s">
        <v>933</v>
      </c>
      <c r="D548" s="70">
        <v>849120033</v>
      </c>
      <c r="E548" s="23" t="s">
        <v>32</v>
      </c>
      <c r="F548" s="59">
        <v>2011</v>
      </c>
      <c r="G548" s="23" t="s">
        <v>33</v>
      </c>
      <c r="H548" s="60" t="str">
        <f t="shared" si="20"/>
        <v xml:space="preserve">   </v>
      </c>
      <c r="I548" s="60">
        <f t="shared" si="21"/>
        <v>41640</v>
      </c>
    </row>
    <row r="549" spans="1:9" s="2" customFormat="1" hidden="1" x14ac:dyDescent="0.25">
      <c r="A549" s="19">
        <v>523</v>
      </c>
      <c r="B549" s="59">
        <v>31</v>
      </c>
      <c r="C549" s="39" t="s">
        <v>934</v>
      </c>
      <c r="D549" s="70">
        <v>849120034</v>
      </c>
      <c r="E549" s="23" t="s">
        <v>32</v>
      </c>
      <c r="F549" s="59">
        <v>2011</v>
      </c>
      <c r="G549" s="23"/>
      <c r="H549" s="60" t="str">
        <f t="shared" si="20"/>
        <v xml:space="preserve">   </v>
      </c>
      <c r="I549" s="60" t="str">
        <f t="shared" si="21"/>
        <v xml:space="preserve">   </v>
      </c>
    </row>
    <row r="550" spans="1:9" s="2" customFormat="1" hidden="1" x14ac:dyDescent="0.25">
      <c r="A550" s="19">
        <v>524</v>
      </c>
      <c r="B550" s="59">
        <v>32</v>
      </c>
      <c r="C550" s="39" t="s">
        <v>935</v>
      </c>
      <c r="D550" s="70">
        <v>849120036</v>
      </c>
      <c r="E550" s="23" t="s">
        <v>32</v>
      </c>
      <c r="F550" s="59">
        <v>2011</v>
      </c>
      <c r="G550" s="23" t="s">
        <v>33</v>
      </c>
      <c r="H550" s="60" t="str">
        <f t="shared" si="20"/>
        <v xml:space="preserve">   </v>
      </c>
      <c r="I550" s="60">
        <f t="shared" si="21"/>
        <v>41640</v>
      </c>
    </row>
    <row r="551" spans="1:9" s="2" customFormat="1" hidden="1" x14ac:dyDescent="0.25">
      <c r="A551" s="19">
        <v>525</v>
      </c>
      <c r="B551" s="59">
        <v>33</v>
      </c>
      <c r="C551" s="39" t="s">
        <v>937</v>
      </c>
      <c r="D551" s="70">
        <v>849120037</v>
      </c>
      <c r="E551" s="23" t="s">
        <v>32</v>
      </c>
      <c r="F551" s="59">
        <v>2011</v>
      </c>
      <c r="G551" s="23" t="s">
        <v>33</v>
      </c>
      <c r="H551" s="60" t="str">
        <f t="shared" si="20"/>
        <v xml:space="preserve">   </v>
      </c>
      <c r="I551" s="60">
        <f t="shared" si="21"/>
        <v>41640</v>
      </c>
    </row>
    <row r="552" spans="1:9" s="2" customFormat="1" hidden="1" x14ac:dyDescent="0.25">
      <c r="A552" s="19">
        <v>526</v>
      </c>
      <c r="B552" s="112">
        <v>34</v>
      </c>
      <c r="C552" s="113" t="s">
        <v>938</v>
      </c>
      <c r="D552" s="114">
        <v>839120001</v>
      </c>
      <c r="E552" s="45" t="s">
        <v>32</v>
      </c>
      <c r="F552" s="112">
        <v>2011</v>
      </c>
      <c r="G552" s="115"/>
      <c r="H552" s="68" t="str">
        <f t="shared" si="20"/>
        <v xml:space="preserve">   </v>
      </c>
      <c r="I552" s="68" t="str">
        <f t="shared" si="21"/>
        <v xml:space="preserve">   </v>
      </c>
    </row>
    <row r="553" spans="1:9" s="2" customFormat="1" hidden="1" x14ac:dyDescent="0.25">
      <c r="A553" s="19">
        <v>527</v>
      </c>
      <c r="B553" s="59">
        <v>35</v>
      </c>
      <c r="C553" s="39" t="s">
        <v>458</v>
      </c>
      <c r="D553" s="70">
        <v>839120002</v>
      </c>
      <c r="E553" s="23" t="s">
        <v>32</v>
      </c>
      <c r="F553" s="59">
        <v>2011</v>
      </c>
      <c r="G553" s="23" t="s">
        <v>33</v>
      </c>
      <c r="H553" s="60" t="str">
        <f t="shared" si="20"/>
        <v xml:space="preserve">   </v>
      </c>
      <c r="I553" s="60">
        <f t="shared" si="21"/>
        <v>42143</v>
      </c>
    </row>
    <row r="554" spans="1:9" s="2" customFormat="1" hidden="1" x14ac:dyDescent="0.25">
      <c r="A554" s="19">
        <v>528</v>
      </c>
      <c r="B554" s="59">
        <v>36</v>
      </c>
      <c r="C554" s="39" t="s">
        <v>941</v>
      </c>
      <c r="D554" s="70">
        <v>839120003</v>
      </c>
      <c r="E554" s="23" t="s">
        <v>32</v>
      </c>
      <c r="F554" s="59">
        <v>2011</v>
      </c>
      <c r="G554" s="23"/>
      <c r="H554" s="60" t="str">
        <f t="shared" si="20"/>
        <v xml:space="preserve">   </v>
      </c>
      <c r="I554" s="60" t="str">
        <f t="shared" si="21"/>
        <v xml:space="preserve">   </v>
      </c>
    </row>
    <row r="555" spans="1:9" s="2" customFormat="1" hidden="1" x14ac:dyDescent="0.25">
      <c r="A555" s="19">
        <v>529</v>
      </c>
      <c r="B555" s="57">
        <v>37</v>
      </c>
      <c r="C555" s="37" t="s">
        <v>945</v>
      </c>
      <c r="D555" s="71">
        <v>839120005</v>
      </c>
      <c r="E555" s="28" t="s">
        <v>32</v>
      </c>
      <c r="F555" s="57">
        <v>2011</v>
      </c>
      <c r="G555" s="28"/>
      <c r="H555" s="58" t="str">
        <f t="shared" si="20"/>
        <v xml:space="preserve">   </v>
      </c>
      <c r="I555" s="58" t="str">
        <f t="shared" si="21"/>
        <v xml:space="preserve">   </v>
      </c>
    </row>
    <row r="556" spans="1:9" s="2" customFormat="1" hidden="1" x14ac:dyDescent="0.25">
      <c r="A556" s="19">
        <v>530</v>
      </c>
      <c r="B556" s="59">
        <v>38</v>
      </c>
      <c r="C556" s="97" t="s">
        <v>946</v>
      </c>
      <c r="D556" s="70">
        <v>839120006</v>
      </c>
      <c r="E556" s="23" t="s">
        <v>32</v>
      </c>
      <c r="F556" s="59">
        <v>2011</v>
      </c>
      <c r="G556" s="23" t="s">
        <v>33</v>
      </c>
      <c r="H556" s="60">
        <f t="shared" ref="H556:H602" si="22">IFERROR(VLOOKUP(D556,Tlus,3,FALSE),"   ")</f>
        <v>42782</v>
      </c>
      <c r="I556" s="60">
        <f t="shared" ref="I556:I602" si="23">IFERROR(VLOOKUP(D556,Wis,4,FALSE),"   ")</f>
        <v>42861</v>
      </c>
    </row>
    <row r="557" spans="1:9" s="2" customFormat="1" hidden="1" x14ac:dyDescent="0.25">
      <c r="A557" s="19">
        <v>531</v>
      </c>
      <c r="B557" s="80">
        <v>39</v>
      </c>
      <c r="C557" s="98" t="s">
        <v>262</v>
      </c>
      <c r="D557" s="95"/>
      <c r="E557" s="99" t="s">
        <v>32</v>
      </c>
      <c r="F557" s="80">
        <v>2011</v>
      </c>
      <c r="G557" s="99"/>
      <c r="H557" s="100" t="str">
        <f t="shared" si="22"/>
        <v xml:space="preserve">   </v>
      </c>
      <c r="I557" s="100" t="str">
        <f t="shared" si="23"/>
        <v xml:space="preserve">   </v>
      </c>
    </row>
    <row r="558" spans="1:9" s="2" customFormat="1" hidden="1" x14ac:dyDescent="0.25">
      <c r="A558" s="19">
        <v>532</v>
      </c>
      <c r="B558" s="59">
        <v>40</v>
      </c>
      <c r="C558" s="39" t="s">
        <v>948</v>
      </c>
      <c r="D558" s="40"/>
      <c r="E558" s="23" t="s">
        <v>32</v>
      </c>
      <c r="F558" s="59">
        <v>2011</v>
      </c>
      <c r="G558" s="23" t="s">
        <v>33</v>
      </c>
      <c r="H558" s="60" t="str">
        <f t="shared" si="22"/>
        <v xml:space="preserve">   </v>
      </c>
      <c r="I558" s="60" t="str">
        <f t="shared" si="23"/>
        <v xml:space="preserve">   </v>
      </c>
    </row>
    <row r="559" spans="1:9" s="2" customFormat="1" hidden="1" x14ac:dyDescent="0.25">
      <c r="A559" s="19">
        <v>533</v>
      </c>
      <c r="B559" s="59">
        <v>41</v>
      </c>
      <c r="C559" s="39" t="s">
        <v>949</v>
      </c>
      <c r="D559" s="40"/>
      <c r="E559" s="23" t="s">
        <v>32</v>
      </c>
      <c r="F559" s="59">
        <v>2011</v>
      </c>
      <c r="G559" s="23" t="s">
        <v>33</v>
      </c>
      <c r="H559" s="60" t="str">
        <f t="shared" si="22"/>
        <v xml:space="preserve">   </v>
      </c>
      <c r="I559" s="60" t="str">
        <f t="shared" si="23"/>
        <v xml:space="preserve">   </v>
      </c>
    </row>
    <row r="560" spans="1:9" s="2" customFormat="1" hidden="1" x14ac:dyDescent="0.25">
      <c r="A560" s="19">
        <v>534</v>
      </c>
      <c r="B560" s="67">
        <v>42</v>
      </c>
      <c r="C560" s="43" t="s">
        <v>951</v>
      </c>
      <c r="D560" s="44"/>
      <c r="E560" s="45" t="s">
        <v>32</v>
      </c>
      <c r="F560" s="67">
        <v>2011</v>
      </c>
      <c r="G560" s="45"/>
      <c r="H560" s="68" t="str">
        <f t="shared" si="22"/>
        <v xml:space="preserve">   </v>
      </c>
      <c r="I560" s="68" t="str">
        <f t="shared" si="23"/>
        <v xml:space="preserve">   </v>
      </c>
    </row>
    <row r="561" spans="1:9" s="2" customFormat="1" hidden="1" x14ac:dyDescent="0.25">
      <c r="A561" s="19">
        <v>535</v>
      </c>
      <c r="B561" s="59">
        <v>43</v>
      </c>
      <c r="C561" s="39" t="s">
        <v>956</v>
      </c>
      <c r="D561" s="40">
        <v>849120045</v>
      </c>
      <c r="E561" s="23" t="s">
        <v>32</v>
      </c>
      <c r="F561" s="59">
        <v>2011</v>
      </c>
      <c r="G561" s="23" t="s">
        <v>33</v>
      </c>
      <c r="H561" s="60" t="str">
        <f t="shared" si="22"/>
        <v xml:space="preserve">   </v>
      </c>
      <c r="I561" s="60">
        <f t="shared" si="23"/>
        <v>41640</v>
      </c>
    </row>
    <row r="562" spans="1:9" s="2" customFormat="1" hidden="1" x14ac:dyDescent="0.25">
      <c r="A562" s="19">
        <v>536</v>
      </c>
      <c r="B562" s="59">
        <v>44</v>
      </c>
      <c r="C562" s="39" t="s">
        <v>957</v>
      </c>
      <c r="D562" s="40">
        <v>849120038</v>
      </c>
      <c r="E562" s="23" t="s">
        <v>32</v>
      </c>
      <c r="F562" s="59">
        <v>2011</v>
      </c>
      <c r="G562" s="23" t="s">
        <v>33</v>
      </c>
      <c r="H562" s="60" t="str">
        <f t="shared" si="22"/>
        <v xml:space="preserve">   </v>
      </c>
      <c r="I562" s="60">
        <f t="shared" si="23"/>
        <v>41640</v>
      </c>
    </row>
    <row r="563" spans="1:9" s="2" customFormat="1" hidden="1" x14ac:dyDescent="0.25">
      <c r="A563" s="19">
        <v>537</v>
      </c>
      <c r="B563" s="59">
        <v>45</v>
      </c>
      <c r="C563" s="39" t="s">
        <v>649</v>
      </c>
      <c r="D563" s="70">
        <v>849120044</v>
      </c>
      <c r="E563" s="23" t="s">
        <v>32</v>
      </c>
      <c r="F563" s="59">
        <v>2011</v>
      </c>
      <c r="G563" s="23" t="s">
        <v>33</v>
      </c>
      <c r="H563" s="60" t="str">
        <f t="shared" si="22"/>
        <v xml:space="preserve">   </v>
      </c>
      <c r="I563" s="60">
        <f t="shared" si="23"/>
        <v>41640</v>
      </c>
    </row>
    <row r="564" spans="1:9" s="2" customFormat="1" hidden="1" x14ac:dyDescent="0.25">
      <c r="A564" s="19">
        <v>538</v>
      </c>
      <c r="B564" s="80">
        <v>46</v>
      </c>
      <c r="C564" s="98" t="s">
        <v>960</v>
      </c>
      <c r="D564" s="95"/>
      <c r="E564" s="28" t="s">
        <v>32</v>
      </c>
      <c r="F564" s="80">
        <v>2011</v>
      </c>
      <c r="G564" s="99"/>
      <c r="H564" s="100" t="str">
        <f t="shared" si="22"/>
        <v xml:space="preserve">   </v>
      </c>
      <c r="I564" s="100" t="str">
        <f t="shared" si="23"/>
        <v xml:space="preserve">   </v>
      </c>
    </row>
    <row r="565" spans="1:9" s="2" customFormat="1" hidden="1" x14ac:dyDescent="0.25">
      <c r="A565" s="19">
        <v>539</v>
      </c>
      <c r="B565" s="57">
        <v>47</v>
      </c>
      <c r="C565" s="37" t="s">
        <v>962</v>
      </c>
      <c r="D565" s="38"/>
      <c r="E565" s="28" t="s">
        <v>32</v>
      </c>
      <c r="F565" s="57">
        <v>2011</v>
      </c>
      <c r="G565" s="28"/>
      <c r="H565" s="58" t="str">
        <f t="shared" si="22"/>
        <v xml:space="preserve">   </v>
      </c>
      <c r="I565" s="58" t="str">
        <f t="shared" si="23"/>
        <v xml:space="preserve">   </v>
      </c>
    </row>
    <row r="566" spans="1:9" s="2" customFormat="1" hidden="1" x14ac:dyDescent="0.25">
      <c r="A566" s="19">
        <v>540</v>
      </c>
      <c r="B566" s="57">
        <v>48</v>
      </c>
      <c r="C566" s="37" t="s">
        <v>964</v>
      </c>
      <c r="D566" s="38"/>
      <c r="E566" s="28" t="s">
        <v>32</v>
      </c>
      <c r="F566" s="57">
        <v>2011</v>
      </c>
      <c r="G566" s="28"/>
      <c r="H566" s="58" t="str">
        <f t="shared" si="22"/>
        <v xml:space="preserve">   </v>
      </c>
      <c r="I566" s="58" t="str">
        <f t="shared" si="23"/>
        <v xml:space="preserve">   </v>
      </c>
    </row>
    <row r="567" spans="1:9" s="2" customFormat="1" hidden="1" x14ac:dyDescent="0.25">
      <c r="A567" s="19">
        <v>541</v>
      </c>
      <c r="B567" s="57">
        <v>49</v>
      </c>
      <c r="C567" s="37" t="s">
        <v>964</v>
      </c>
      <c r="D567" s="38"/>
      <c r="E567" s="28" t="s">
        <v>32</v>
      </c>
      <c r="F567" s="57">
        <v>2011</v>
      </c>
      <c r="G567" s="28"/>
      <c r="H567" s="58" t="str">
        <f t="shared" si="22"/>
        <v xml:space="preserve">   </v>
      </c>
      <c r="I567" s="58" t="str">
        <f t="shared" si="23"/>
        <v xml:space="preserve">   </v>
      </c>
    </row>
    <row r="568" spans="1:9" s="2" customFormat="1" hidden="1" x14ac:dyDescent="0.25">
      <c r="A568" s="19">
        <v>542</v>
      </c>
      <c r="B568" s="59">
        <v>50</v>
      </c>
      <c r="C568" s="97" t="s">
        <v>965</v>
      </c>
      <c r="D568" s="70">
        <v>849120039</v>
      </c>
      <c r="E568" s="23" t="s">
        <v>32</v>
      </c>
      <c r="F568" s="59">
        <v>2011</v>
      </c>
      <c r="G568" s="23" t="s">
        <v>33</v>
      </c>
      <c r="H568" s="60">
        <f t="shared" si="22"/>
        <v>42985</v>
      </c>
      <c r="I568" s="60">
        <f t="shared" si="23"/>
        <v>43064</v>
      </c>
    </row>
    <row r="569" spans="1:9" s="2" customFormat="1" hidden="1" x14ac:dyDescent="0.25">
      <c r="A569" s="107"/>
      <c r="B569" s="72"/>
      <c r="C569" s="73"/>
      <c r="D569" s="62"/>
      <c r="E569" s="63"/>
      <c r="F569" s="64" t="s">
        <v>61</v>
      </c>
      <c r="G569" s="63"/>
      <c r="H569" s="65" t="str">
        <f t="shared" si="22"/>
        <v xml:space="preserve">   </v>
      </c>
      <c r="I569" s="65" t="str">
        <f t="shared" si="23"/>
        <v xml:space="preserve">   </v>
      </c>
    </row>
    <row r="570" spans="1:9" s="2" customFormat="1" hidden="1" x14ac:dyDescent="0.25">
      <c r="A570" s="107"/>
      <c r="B570" s="92" t="s">
        <v>967</v>
      </c>
      <c r="C570" s="116"/>
      <c r="D570" s="56"/>
      <c r="E570" s="117"/>
      <c r="F570" s="83" t="s">
        <v>61</v>
      </c>
      <c r="G570" s="82"/>
      <c r="H570" s="84" t="str">
        <f t="shared" si="22"/>
        <v xml:space="preserve">   </v>
      </c>
      <c r="I570" s="84" t="str">
        <f t="shared" si="23"/>
        <v xml:space="preserve">   </v>
      </c>
    </row>
    <row r="571" spans="1:9" s="2" customFormat="1" hidden="1" x14ac:dyDescent="0.25">
      <c r="A571" s="19">
        <v>543</v>
      </c>
      <c r="B571" s="59">
        <v>1</v>
      </c>
      <c r="C571" s="39" t="s">
        <v>968</v>
      </c>
      <c r="D571" s="118">
        <v>849120060</v>
      </c>
      <c r="E571" s="85" t="s">
        <v>579</v>
      </c>
      <c r="F571" s="59">
        <v>2012</v>
      </c>
      <c r="G571" s="23" t="s">
        <v>33</v>
      </c>
      <c r="H571" s="60" t="str">
        <f t="shared" si="22"/>
        <v xml:space="preserve">   </v>
      </c>
      <c r="I571" s="60">
        <f t="shared" si="23"/>
        <v>41640</v>
      </c>
    </row>
    <row r="572" spans="1:9" s="2" customFormat="1" hidden="1" x14ac:dyDescent="0.25">
      <c r="A572" s="19">
        <v>544</v>
      </c>
      <c r="B572" s="59">
        <v>2</v>
      </c>
      <c r="C572" s="39" t="s">
        <v>972</v>
      </c>
      <c r="D572" s="118">
        <v>849120058</v>
      </c>
      <c r="E572" s="85" t="s">
        <v>579</v>
      </c>
      <c r="F572" s="59">
        <v>2012</v>
      </c>
      <c r="G572" s="23" t="s">
        <v>33</v>
      </c>
      <c r="H572" s="60" t="str">
        <f t="shared" si="22"/>
        <v xml:space="preserve">   </v>
      </c>
      <c r="I572" s="60">
        <f t="shared" si="23"/>
        <v>41640</v>
      </c>
    </row>
    <row r="573" spans="1:9" s="2" customFormat="1" hidden="1" x14ac:dyDescent="0.25">
      <c r="A573" s="19">
        <v>545</v>
      </c>
      <c r="B573" s="59">
        <v>3</v>
      </c>
      <c r="C573" s="39" t="s">
        <v>974</v>
      </c>
      <c r="D573" s="118">
        <v>849120055</v>
      </c>
      <c r="E573" s="85" t="s">
        <v>579</v>
      </c>
      <c r="F573" s="59">
        <v>2012</v>
      </c>
      <c r="G573" s="23" t="s">
        <v>33</v>
      </c>
      <c r="H573" s="60" t="str">
        <f t="shared" si="22"/>
        <v xml:space="preserve">   </v>
      </c>
      <c r="I573" s="60">
        <f t="shared" si="23"/>
        <v>41640</v>
      </c>
    </row>
    <row r="574" spans="1:9" s="2" customFormat="1" hidden="1" x14ac:dyDescent="0.25">
      <c r="A574" s="19">
        <v>546</v>
      </c>
      <c r="B574" s="59">
        <v>4</v>
      </c>
      <c r="C574" s="39" t="s">
        <v>975</v>
      </c>
      <c r="D574" s="119"/>
      <c r="E574" s="85" t="s">
        <v>579</v>
      </c>
      <c r="F574" s="59">
        <v>2012</v>
      </c>
      <c r="G574" s="23"/>
      <c r="H574" s="60" t="str">
        <f t="shared" si="22"/>
        <v xml:space="preserve">   </v>
      </c>
      <c r="I574" s="60" t="str">
        <f t="shared" si="23"/>
        <v xml:space="preserve">   </v>
      </c>
    </row>
    <row r="575" spans="1:9" s="2" customFormat="1" hidden="1" x14ac:dyDescent="0.25">
      <c r="A575" s="19">
        <v>547</v>
      </c>
      <c r="B575" s="59">
        <v>5</v>
      </c>
      <c r="C575" s="39" t="s">
        <v>976</v>
      </c>
      <c r="D575" s="118">
        <v>849120048</v>
      </c>
      <c r="E575" s="85" t="s">
        <v>579</v>
      </c>
      <c r="F575" s="59">
        <v>2012</v>
      </c>
      <c r="G575" s="23" t="s">
        <v>33</v>
      </c>
      <c r="H575" s="60" t="str">
        <f t="shared" si="22"/>
        <v xml:space="preserve">   </v>
      </c>
      <c r="I575" s="60">
        <f t="shared" si="23"/>
        <v>41640</v>
      </c>
    </row>
    <row r="576" spans="1:9" s="2" customFormat="1" hidden="1" x14ac:dyDescent="0.25">
      <c r="A576" s="19">
        <v>548</v>
      </c>
      <c r="B576" s="59">
        <v>6</v>
      </c>
      <c r="C576" s="39" t="s">
        <v>633</v>
      </c>
      <c r="D576" s="118">
        <v>849120062</v>
      </c>
      <c r="E576" s="85" t="s">
        <v>579</v>
      </c>
      <c r="F576" s="59">
        <v>2012</v>
      </c>
      <c r="G576" s="23" t="s">
        <v>33</v>
      </c>
      <c r="H576" s="60" t="str">
        <f t="shared" si="22"/>
        <v xml:space="preserve">   </v>
      </c>
      <c r="I576" s="60">
        <f t="shared" si="23"/>
        <v>41640</v>
      </c>
    </row>
    <row r="577" spans="1:9" s="2" customFormat="1" hidden="1" x14ac:dyDescent="0.25">
      <c r="A577" s="19">
        <v>549</v>
      </c>
      <c r="B577" s="59">
        <v>7</v>
      </c>
      <c r="C577" s="39" t="s">
        <v>978</v>
      </c>
      <c r="D577" s="118">
        <v>849120065</v>
      </c>
      <c r="E577" s="85" t="s">
        <v>579</v>
      </c>
      <c r="F577" s="59">
        <v>2012</v>
      </c>
      <c r="G577" s="23" t="s">
        <v>33</v>
      </c>
      <c r="H577" s="60" t="str">
        <f t="shared" si="22"/>
        <v xml:space="preserve">   </v>
      </c>
      <c r="I577" s="60">
        <f t="shared" si="23"/>
        <v>41640</v>
      </c>
    </row>
    <row r="578" spans="1:9" s="2" customFormat="1" hidden="1" x14ac:dyDescent="0.25">
      <c r="A578" s="19">
        <v>550</v>
      </c>
      <c r="B578" s="59">
        <v>8</v>
      </c>
      <c r="C578" s="39" t="s">
        <v>980</v>
      </c>
      <c r="D578" s="118">
        <v>849120068</v>
      </c>
      <c r="E578" s="85" t="s">
        <v>579</v>
      </c>
      <c r="F578" s="59">
        <v>2012</v>
      </c>
      <c r="G578" s="23" t="s">
        <v>33</v>
      </c>
      <c r="H578" s="60" t="str">
        <f t="shared" si="22"/>
        <v xml:space="preserve">   </v>
      </c>
      <c r="I578" s="60">
        <f t="shared" si="23"/>
        <v>41640</v>
      </c>
    </row>
    <row r="579" spans="1:9" s="2" customFormat="1" hidden="1" x14ac:dyDescent="0.25">
      <c r="A579" s="19">
        <v>551</v>
      </c>
      <c r="B579" s="59">
        <v>9</v>
      </c>
      <c r="C579" s="39" t="s">
        <v>981</v>
      </c>
      <c r="D579" s="118">
        <v>849120059</v>
      </c>
      <c r="E579" s="85" t="s">
        <v>579</v>
      </c>
      <c r="F579" s="59">
        <v>2012</v>
      </c>
      <c r="G579" s="23" t="s">
        <v>33</v>
      </c>
      <c r="H579" s="60" t="str">
        <f t="shared" si="22"/>
        <v xml:space="preserve">   </v>
      </c>
      <c r="I579" s="60">
        <f t="shared" si="23"/>
        <v>41640</v>
      </c>
    </row>
    <row r="580" spans="1:9" s="2" customFormat="1" hidden="1" x14ac:dyDescent="0.25">
      <c r="A580" s="19">
        <v>552</v>
      </c>
      <c r="B580" s="59">
        <v>10</v>
      </c>
      <c r="C580" s="39" t="s">
        <v>984</v>
      </c>
      <c r="D580" s="118">
        <v>849120047</v>
      </c>
      <c r="E580" s="85" t="s">
        <v>579</v>
      </c>
      <c r="F580" s="59">
        <v>2012</v>
      </c>
      <c r="G580" s="23" t="s">
        <v>33</v>
      </c>
      <c r="H580" s="60" t="str">
        <f t="shared" si="22"/>
        <v xml:space="preserve">   </v>
      </c>
      <c r="I580" s="60">
        <f t="shared" si="23"/>
        <v>41640</v>
      </c>
    </row>
    <row r="581" spans="1:9" s="2" customFormat="1" hidden="1" x14ac:dyDescent="0.25">
      <c r="A581" s="19">
        <v>553</v>
      </c>
      <c r="B581" s="59">
        <v>11</v>
      </c>
      <c r="C581" s="39" t="s">
        <v>985</v>
      </c>
      <c r="D581" s="118">
        <v>849120098</v>
      </c>
      <c r="E581" s="85" t="s">
        <v>579</v>
      </c>
      <c r="F581" s="59">
        <v>2012</v>
      </c>
      <c r="G581" s="23"/>
      <c r="H581" s="60" t="str">
        <f t="shared" si="22"/>
        <v xml:space="preserve">   </v>
      </c>
      <c r="I581" s="60">
        <f t="shared" si="23"/>
        <v>41640</v>
      </c>
    </row>
    <row r="582" spans="1:9" s="2" customFormat="1" hidden="1" x14ac:dyDescent="0.25">
      <c r="A582" s="19">
        <v>554</v>
      </c>
      <c r="B582" s="59">
        <v>12</v>
      </c>
      <c r="C582" s="39" t="s">
        <v>986</v>
      </c>
      <c r="D582" s="118">
        <v>849120064</v>
      </c>
      <c r="E582" s="85" t="s">
        <v>579</v>
      </c>
      <c r="F582" s="59">
        <v>2012</v>
      </c>
      <c r="G582" s="23" t="s">
        <v>33</v>
      </c>
      <c r="H582" s="60" t="str">
        <f t="shared" si="22"/>
        <v xml:space="preserve">   </v>
      </c>
      <c r="I582" s="60">
        <f t="shared" si="23"/>
        <v>41640</v>
      </c>
    </row>
    <row r="583" spans="1:9" s="2" customFormat="1" hidden="1" x14ac:dyDescent="0.25">
      <c r="A583" s="19">
        <v>555</v>
      </c>
      <c r="B583" s="59">
        <v>13</v>
      </c>
      <c r="C583" s="39" t="s">
        <v>987</v>
      </c>
      <c r="D583" s="118">
        <v>849120067</v>
      </c>
      <c r="E583" s="85" t="s">
        <v>579</v>
      </c>
      <c r="F583" s="59">
        <v>2012</v>
      </c>
      <c r="G583" s="23" t="s">
        <v>33</v>
      </c>
      <c r="H583" s="60" t="str">
        <f t="shared" si="22"/>
        <v xml:space="preserve">   </v>
      </c>
      <c r="I583" s="60">
        <f t="shared" si="23"/>
        <v>41640</v>
      </c>
    </row>
    <row r="584" spans="1:9" s="2" customFormat="1" hidden="1" x14ac:dyDescent="0.25">
      <c r="A584" s="19">
        <v>556</v>
      </c>
      <c r="B584" s="59">
        <v>14</v>
      </c>
      <c r="C584" s="39" t="s">
        <v>988</v>
      </c>
      <c r="D584" s="118">
        <v>849120052</v>
      </c>
      <c r="E584" s="85" t="s">
        <v>579</v>
      </c>
      <c r="F584" s="59">
        <v>2012</v>
      </c>
      <c r="G584" s="23" t="s">
        <v>33</v>
      </c>
      <c r="H584" s="60" t="str">
        <f t="shared" si="22"/>
        <v xml:space="preserve">   </v>
      </c>
      <c r="I584" s="60">
        <f t="shared" si="23"/>
        <v>41640</v>
      </c>
    </row>
    <row r="585" spans="1:9" s="2" customFormat="1" hidden="1" x14ac:dyDescent="0.25">
      <c r="A585" s="19">
        <v>557</v>
      </c>
      <c r="B585" s="59">
        <v>15</v>
      </c>
      <c r="C585" s="39" t="s">
        <v>989</v>
      </c>
      <c r="D585" s="118">
        <v>849120061</v>
      </c>
      <c r="E585" s="85" t="s">
        <v>579</v>
      </c>
      <c r="F585" s="59">
        <v>2012</v>
      </c>
      <c r="G585" s="23" t="s">
        <v>33</v>
      </c>
      <c r="H585" s="60" t="str">
        <f t="shared" si="22"/>
        <v xml:space="preserve">   </v>
      </c>
      <c r="I585" s="60">
        <f t="shared" si="23"/>
        <v>41640</v>
      </c>
    </row>
    <row r="586" spans="1:9" s="2" customFormat="1" hidden="1" x14ac:dyDescent="0.25">
      <c r="A586" s="19">
        <v>558</v>
      </c>
      <c r="B586" s="59">
        <v>16</v>
      </c>
      <c r="C586" s="39" t="s">
        <v>990</v>
      </c>
      <c r="D586" s="118">
        <v>849120054</v>
      </c>
      <c r="E586" s="85" t="s">
        <v>579</v>
      </c>
      <c r="F586" s="59">
        <v>2012</v>
      </c>
      <c r="G586" s="23" t="s">
        <v>33</v>
      </c>
      <c r="H586" s="60" t="str">
        <f t="shared" si="22"/>
        <v xml:space="preserve">   </v>
      </c>
      <c r="I586" s="60">
        <f t="shared" si="23"/>
        <v>41640</v>
      </c>
    </row>
    <row r="587" spans="1:9" s="2" customFormat="1" hidden="1" x14ac:dyDescent="0.25">
      <c r="A587" s="19">
        <v>559</v>
      </c>
      <c r="B587" s="59">
        <v>17</v>
      </c>
      <c r="C587" s="39" t="s">
        <v>992</v>
      </c>
      <c r="D587" s="118">
        <v>849120056</v>
      </c>
      <c r="E587" s="85" t="s">
        <v>579</v>
      </c>
      <c r="F587" s="59">
        <v>2012</v>
      </c>
      <c r="G587" s="23" t="s">
        <v>33</v>
      </c>
      <c r="H587" s="60" t="str">
        <f t="shared" si="22"/>
        <v xml:space="preserve">   </v>
      </c>
      <c r="I587" s="60">
        <f t="shared" si="23"/>
        <v>41640</v>
      </c>
    </row>
    <row r="588" spans="1:9" s="2" customFormat="1" hidden="1" x14ac:dyDescent="0.25">
      <c r="A588" s="19">
        <v>560</v>
      </c>
      <c r="B588" s="59">
        <v>18</v>
      </c>
      <c r="C588" s="39" t="s">
        <v>993</v>
      </c>
      <c r="D588" s="118">
        <v>849120063</v>
      </c>
      <c r="E588" s="85" t="s">
        <v>579</v>
      </c>
      <c r="F588" s="59">
        <v>2012</v>
      </c>
      <c r="G588" s="23" t="s">
        <v>33</v>
      </c>
      <c r="H588" s="60" t="str">
        <f t="shared" si="22"/>
        <v xml:space="preserve">   </v>
      </c>
      <c r="I588" s="60">
        <f t="shared" si="23"/>
        <v>41640</v>
      </c>
    </row>
    <row r="589" spans="1:9" s="2" customFormat="1" hidden="1" x14ac:dyDescent="0.25">
      <c r="A589" s="19">
        <v>561</v>
      </c>
      <c r="B589" s="59">
        <v>19</v>
      </c>
      <c r="C589" s="39" t="s">
        <v>994</v>
      </c>
      <c r="D589" s="118">
        <v>849120049</v>
      </c>
      <c r="E589" s="85" t="s">
        <v>579</v>
      </c>
      <c r="F589" s="59">
        <v>2012</v>
      </c>
      <c r="G589" s="23" t="s">
        <v>33</v>
      </c>
      <c r="H589" s="60" t="str">
        <f t="shared" si="22"/>
        <v xml:space="preserve">   </v>
      </c>
      <c r="I589" s="60">
        <f t="shared" si="23"/>
        <v>41640</v>
      </c>
    </row>
    <row r="590" spans="1:9" s="2" customFormat="1" hidden="1" x14ac:dyDescent="0.25">
      <c r="A590" s="19">
        <v>562</v>
      </c>
      <c r="B590" s="59">
        <v>20</v>
      </c>
      <c r="C590" s="39" t="s">
        <v>995</v>
      </c>
      <c r="D590" s="118">
        <v>849120051</v>
      </c>
      <c r="E590" s="85" t="s">
        <v>579</v>
      </c>
      <c r="F590" s="59">
        <v>2012</v>
      </c>
      <c r="G590" s="23" t="s">
        <v>33</v>
      </c>
      <c r="H590" s="60" t="str">
        <f t="shared" si="22"/>
        <v xml:space="preserve">   </v>
      </c>
      <c r="I590" s="60">
        <f t="shared" si="23"/>
        <v>41640</v>
      </c>
    </row>
    <row r="591" spans="1:9" s="2" customFormat="1" hidden="1" x14ac:dyDescent="0.25">
      <c r="A591" s="19">
        <v>563</v>
      </c>
      <c r="B591" s="59">
        <v>21</v>
      </c>
      <c r="C591" s="39" t="s">
        <v>996</v>
      </c>
      <c r="D591" s="118">
        <v>849120057</v>
      </c>
      <c r="E591" s="85" t="s">
        <v>579</v>
      </c>
      <c r="F591" s="59">
        <v>2012</v>
      </c>
      <c r="G591" s="23" t="s">
        <v>33</v>
      </c>
      <c r="H591" s="60" t="str">
        <f t="shared" si="22"/>
        <v xml:space="preserve">   </v>
      </c>
      <c r="I591" s="60">
        <f t="shared" si="23"/>
        <v>41640</v>
      </c>
    </row>
    <row r="592" spans="1:9" s="2" customFormat="1" hidden="1" x14ac:dyDescent="0.25">
      <c r="A592" s="19">
        <v>564</v>
      </c>
      <c r="B592" s="59">
        <v>22</v>
      </c>
      <c r="C592" s="39" t="s">
        <v>997</v>
      </c>
      <c r="D592" s="118">
        <v>849120053</v>
      </c>
      <c r="E592" s="85" t="s">
        <v>579</v>
      </c>
      <c r="F592" s="59">
        <v>2012</v>
      </c>
      <c r="G592" s="23" t="s">
        <v>33</v>
      </c>
      <c r="H592" s="60" t="str">
        <f t="shared" si="22"/>
        <v xml:space="preserve">   </v>
      </c>
      <c r="I592" s="60">
        <f t="shared" si="23"/>
        <v>41640</v>
      </c>
    </row>
    <row r="593" spans="1:20" s="2" customFormat="1" hidden="1" x14ac:dyDescent="0.25">
      <c r="A593" s="19">
        <v>565</v>
      </c>
      <c r="B593" s="59">
        <v>23</v>
      </c>
      <c r="C593" s="39" t="s">
        <v>998</v>
      </c>
      <c r="D593" s="118">
        <v>849120069</v>
      </c>
      <c r="E593" s="85" t="s">
        <v>579</v>
      </c>
      <c r="F593" s="59">
        <v>2012</v>
      </c>
      <c r="G593" s="23" t="s">
        <v>33</v>
      </c>
      <c r="H593" s="60" t="str">
        <f t="shared" si="22"/>
        <v xml:space="preserve">   </v>
      </c>
      <c r="I593" s="60">
        <f t="shared" si="23"/>
        <v>41640</v>
      </c>
    </row>
    <row r="594" spans="1:20" s="2" customFormat="1" hidden="1" x14ac:dyDescent="0.25">
      <c r="A594" s="19">
        <v>566</v>
      </c>
      <c r="B594" s="59">
        <v>24</v>
      </c>
      <c r="C594" s="39" t="s">
        <v>999</v>
      </c>
      <c r="D594" s="118">
        <v>849120050</v>
      </c>
      <c r="E594" s="85" t="s">
        <v>579</v>
      </c>
      <c r="F594" s="59">
        <v>2012</v>
      </c>
      <c r="G594" s="23" t="s">
        <v>33</v>
      </c>
      <c r="H594" s="60" t="str">
        <f t="shared" si="22"/>
        <v xml:space="preserve">   </v>
      </c>
      <c r="I594" s="60">
        <f t="shared" si="23"/>
        <v>41640</v>
      </c>
    </row>
    <row r="595" spans="1:20" s="2" customFormat="1" hidden="1" x14ac:dyDescent="0.25">
      <c r="A595" s="107"/>
      <c r="B595" s="120"/>
      <c r="C595" s="121"/>
      <c r="D595" s="122"/>
      <c r="E595" s="123"/>
      <c r="F595" s="120" t="s">
        <v>61</v>
      </c>
      <c r="G595" s="123"/>
      <c r="H595" s="124" t="str">
        <f t="shared" si="22"/>
        <v xml:space="preserve">   </v>
      </c>
      <c r="I595" s="124" t="str">
        <f t="shared" si="23"/>
        <v xml:space="preserve">   </v>
      </c>
    </row>
    <row r="596" spans="1:20" s="2" customFormat="1" hidden="1" x14ac:dyDescent="0.25">
      <c r="A596" s="125" t="s">
        <v>1000</v>
      </c>
      <c r="B596" s="126"/>
      <c r="C596" s="127"/>
      <c r="D596" s="128" t="s">
        <v>1001</v>
      </c>
      <c r="E596" s="129"/>
      <c r="F596" s="130" t="s">
        <v>61</v>
      </c>
      <c r="G596" s="129"/>
      <c r="H596" s="131" t="str">
        <f t="shared" si="22"/>
        <v xml:space="preserve">   </v>
      </c>
      <c r="I596" s="131" t="str">
        <f t="shared" si="23"/>
        <v xml:space="preserve">   </v>
      </c>
    </row>
    <row r="597" spans="1:20" s="2" customFormat="1" hidden="1" x14ac:dyDescent="0.25">
      <c r="A597" s="132">
        <v>570</v>
      </c>
      <c r="B597" s="59">
        <v>1</v>
      </c>
      <c r="C597" s="39" t="s">
        <v>1002</v>
      </c>
      <c r="D597" s="70">
        <v>849120087</v>
      </c>
      <c r="E597" s="23" t="s">
        <v>1003</v>
      </c>
      <c r="F597" s="59">
        <v>2012</v>
      </c>
      <c r="G597" s="23" t="s">
        <v>33</v>
      </c>
      <c r="H597" s="60" t="str">
        <f t="shared" si="22"/>
        <v xml:space="preserve">   </v>
      </c>
      <c r="I597" s="60">
        <f t="shared" si="23"/>
        <v>41640</v>
      </c>
    </row>
    <row r="598" spans="1:20" s="2" customFormat="1" hidden="1" x14ac:dyDescent="0.25">
      <c r="A598" s="132">
        <v>571</v>
      </c>
      <c r="B598" s="59">
        <v>2</v>
      </c>
      <c r="C598" s="39" t="s">
        <v>1007</v>
      </c>
      <c r="D598" s="70">
        <v>849120079</v>
      </c>
      <c r="E598" s="23" t="s">
        <v>1003</v>
      </c>
      <c r="F598" s="59">
        <v>2012</v>
      </c>
      <c r="G598" s="23" t="s">
        <v>33</v>
      </c>
      <c r="H598" s="60" t="str">
        <f t="shared" si="22"/>
        <v xml:space="preserve">   </v>
      </c>
      <c r="I598" s="60">
        <f t="shared" si="23"/>
        <v>41640</v>
      </c>
    </row>
    <row r="599" spans="1:20" s="2" customFormat="1" hidden="1" x14ac:dyDescent="0.25">
      <c r="A599" s="132">
        <v>572</v>
      </c>
      <c r="B599" s="59">
        <v>3</v>
      </c>
      <c r="C599" s="39" t="s">
        <v>1009</v>
      </c>
      <c r="D599" s="40">
        <v>849120076</v>
      </c>
      <c r="E599" s="23" t="s">
        <v>1003</v>
      </c>
      <c r="F599" s="59">
        <v>2012</v>
      </c>
      <c r="G599" s="23"/>
      <c r="H599" s="60" t="str">
        <f t="shared" si="22"/>
        <v xml:space="preserve">   </v>
      </c>
      <c r="I599" s="60">
        <f t="shared" si="23"/>
        <v>42504</v>
      </c>
    </row>
    <row r="600" spans="1:20" s="2" customFormat="1" hidden="1" x14ac:dyDescent="0.25">
      <c r="A600" s="132">
        <v>573</v>
      </c>
      <c r="B600" s="59">
        <v>4</v>
      </c>
      <c r="C600" s="39" t="s">
        <v>859</v>
      </c>
      <c r="D600" s="70">
        <v>849120086</v>
      </c>
      <c r="E600" s="23" t="s">
        <v>1003</v>
      </c>
      <c r="F600" s="59">
        <v>2012</v>
      </c>
      <c r="G600" s="23" t="s">
        <v>33</v>
      </c>
      <c r="H600" s="60" t="str">
        <f t="shared" si="22"/>
        <v xml:space="preserve">   </v>
      </c>
      <c r="I600" s="60">
        <f t="shared" si="23"/>
        <v>41640</v>
      </c>
    </row>
    <row r="601" spans="1:20" s="2" customFormat="1" hidden="1" x14ac:dyDescent="0.25">
      <c r="A601" s="132">
        <v>574</v>
      </c>
      <c r="B601" s="59">
        <v>5</v>
      </c>
      <c r="C601" s="39" t="s">
        <v>1013</v>
      </c>
      <c r="D601" s="70">
        <v>849120075</v>
      </c>
      <c r="E601" s="23" t="s">
        <v>1003</v>
      </c>
      <c r="F601" s="59">
        <v>2012</v>
      </c>
      <c r="G601" s="23" t="s">
        <v>33</v>
      </c>
      <c r="H601" s="60" t="str">
        <f t="shared" si="22"/>
        <v xml:space="preserve">   </v>
      </c>
      <c r="I601" s="60">
        <f t="shared" si="23"/>
        <v>41640</v>
      </c>
    </row>
    <row r="602" spans="1:20" s="2" customFormat="1" hidden="1" x14ac:dyDescent="0.25">
      <c r="A602" s="132">
        <v>575</v>
      </c>
      <c r="B602" s="59">
        <v>6</v>
      </c>
      <c r="C602" s="39" t="s">
        <v>1014</v>
      </c>
      <c r="D602" s="70">
        <v>849120089</v>
      </c>
      <c r="E602" s="23" t="s">
        <v>1003</v>
      </c>
      <c r="F602" s="59">
        <v>2012</v>
      </c>
      <c r="G602" s="23" t="s">
        <v>33</v>
      </c>
      <c r="H602" s="60" t="str">
        <f t="shared" si="22"/>
        <v xml:space="preserve">   </v>
      </c>
      <c r="I602" s="60">
        <f t="shared" si="23"/>
        <v>41640</v>
      </c>
    </row>
    <row r="603" spans="1:20" hidden="1" x14ac:dyDescent="0.25">
      <c r="T603"/>
    </row>
    <row r="604" spans="1:20" s="2" customFormat="1" hidden="1" x14ac:dyDescent="0.25">
      <c r="A604" s="132">
        <v>576</v>
      </c>
      <c r="B604" s="67">
        <v>7</v>
      </c>
      <c r="C604" s="43" t="s">
        <v>1015</v>
      </c>
      <c r="D604" s="44"/>
      <c r="E604" s="45"/>
      <c r="F604" s="67"/>
      <c r="G604" s="45"/>
      <c r="H604" s="68" t="str">
        <f t="shared" ref="H604:H620" si="24">IFERROR(VLOOKUP(D604,Tlus,3,FALSE),"   ")</f>
        <v xml:space="preserve">   </v>
      </c>
      <c r="I604" s="68" t="str">
        <f t="shared" ref="I604:I620" si="25">IFERROR(VLOOKUP(D604,Wis,4,FALSE),"   ")</f>
        <v xml:space="preserve">   </v>
      </c>
    </row>
    <row r="605" spans="1:20" s="2" customFormat="1" hidden="1" x14ac:dyDescent="0.25">
      <c r="A605" s="132">
        <v>577</v>
      </c>
      <c r="B605" s="67">
        <v>8</v>
      </c>
      <c r="C605" s="43" t="s">
        <v>1017</v>
      </c>
      <c r="D605" s="44"/>
      <c r="E605" s="45"/>
      <c r="F605" s="67"/>
      <c r="G605" s="45"/>
      <c r="H605" s="68" t="str">
        <f t="shared" si="24"/>
        <v xml:space="preserve">   </v>
      </c>
      <c r="I605" s="68" t="str">
        <f t="shared" si="25"/>
        <v xml:space="preserve">   </v>
      </c>
    </row>
    <row r="606" spans="1:20" s="2" customFormat="1" hidden="1" x14ac:dyDescent="0.25">
      <c r="A606" s="132">
        <v>578</v>
      </c>
      <c r="B606" s="67">
        <v>9</v>
      </c>
      <c r="C606" s="43" t="s">
        <v>1019</v>
      </c>
      <c r="D606" s="44"/>
      <c r="E606" s="45"/>
      <c r="F606" s="67"/>
      <c r="G606" s="45"/>
      <c r="H606" s="68" t="str">
        <f t="shared" si="24"/>
        <v xml:space="preserve">   </v>
      </c>
      <c r="I606" s="68" t="str">
        <f t="shared" si="25"/>
        <v xml:space="preserve">   </v>
      </c>
    </row>
    <row r="607" spans="1:20" s="2" customFormat="1" hidden="1" x14ac:dyDescent="0.25">
      <c r="A607" s="132">
        <v>579</v>
      </c>
      <c r="B607" s="59">
        <v>11</v>
      </c>
      <c r="C607" s="39" t="s">
        <v>1021</v>
      </c>
      <c r="D607" s="40"/>
      <c r="E607" s="23" t="s">
        <v>1003</v>
      </c>
      <c r="F607" s="59"/>
      <c r="G607" s="23"/>
      <c r="H607" s="60" t="str">
        <f t="shared" si="24"/>
        <v xml:space="preserve">   </v>
      </c>
      <c r="I607" s="60" t="str">
        <f t="shared" si="25"/>
        <v xml:space="preserve">   </v>
      </c>
    </row>
    <row r="608" spans="1:20" s="2" customFormat="1" hidden="1" x14ac:dyDescent="0.25">
      <c r="A608" s="132">
        <v>580</v>
      </c>
      <c r="B608" s="59">
        <v>12</v>
      </c>
      <c r="C608" s="39" t="s">
        <v>1022</v>
      </c>
      <c r="D608" s="40"/>
      <c r="E608" s="23" t="s">
        <v>1003</v>
      </c>
      <c r="F608" s="59"/>
      <c r="G608" s="23"/>
      <c r="H608" s="60" t="str">
        <f t="shared" si="24"/>
        <v xml:space="preserve">   </v>
      </c>
      <c r="I608" s="60" t="str">
        <f t="shared" si="25"/>
        <v xml:space="preserve">   </v>
      </c>
    </row>
    <row r="609" spans="1:20" s="2" customFormat="1" hidden="1" x14ac:dyDescent="0.25">
      <c r="A609" s="132">
        <v>581</v>
      </c>
      <c r="B609" s="59">
        <v>13</v>
      </c>
      <c r="C609" s="39" t="s">
        <v>1024</v>
      </c>
      <c r="D609" s="70">
        <v>849120084</v>
      </c>
      <c r="E609" s="23" t="s">
        <v>1003</v>
      </c>
      <c r="F609" s="59"/>
      <c r="G609" s="23" t="s">
        <v>33</v>
      </c>
      <c r="H609" s="60" t="str">
        <f t="shared" si="24"/>
        <v xml:space="preserve">   </v>
      </c>
      <c r="I609" s="60">
        <f t="shared" si="25"/>
        <v>41640</v>
      </c>
    </row>
    <row r="610" spans="1:20" s="2" customFormat="1" hidden="1" x14ac:dyDescent="0.25">
      <c r="A610" s="20">
        <v>582</v>
      </c>
      <c r="B610" s="59">
        <v>14</v>
      </c>
      <c r="C610" s="39" t="s">
        <v>1026</v>
      </c>
      <c r="D610" s="70">
        <v>849120082</v>
      </c>
      <c r="E610" s="23" t="s">
        <v>1003</v>
      </c>
      <c r="F610" s="59"/>
      <c r="G610" s="23" t="s">
        <v>33</v>
      </c>
      <c r="H610" s="60" t="str">
        <f t="shared" si="24"/>
        <v xml:space="preserve">   </v>
      </c>
      <c r="I610" s="60">
        <f t="shared" si="25"/>
        <v>41640</v>
      </c>
    </row>
    <row r="611" spans="1:20" s="2" customFormat="1" hidden="1" x14ac:dyDescent="0.25">
      <c r="A611" s="20">
        <v>583</v>
      </c>
      <c r="B611" s="59">
        <v>15</v>
      </c>
      <c r="C611" s="39" t="s">
        <v>1028</v>
      </c>
      <c r="D611" s="70">
        <v>849120090</v>
      </c>
      <c r="E611" s="23" t="s">
        <v>1003</v>
      </c>
      <c r="F611" s="59"/>
      <c r="G611" s="23" t="s">
        <v>33</v>
      </c>
      <c r="H611" s="60" t="str">
        <f t="shared" si="24"/>
        <v xml:space="preserve">   </v>
      </c>
      <c r="I611" s="60">
        <f t="shared" si="25"/>
        <v>41640</v>
      </c>
    </row>
    <row r="612" spans="1:20" s="2" customFormat="1" hidden="1" x14ac:dyDescent="0.25">
      <c r="A612" s="20">
        <v>584</v>
      </c>
      <c r="B612" s="59">
        <v>16</v>
      </c>
      <c r="C612" s="39" t="s">
        <v>1030</v>
      </c>
      <c r="D612" s="70">
        <v>849120080</v>
      </c>
      <c r="E612" s="23" t="s">
        <v>1003</v>
      </c>
      <c r="F612" s="59"/>
      <c r="G612" s="23" t="s">
        <v>33</v>
      </c>
      <c r="H612" s="60" t="str">
        <f t="shared" si="24"/>
        <v xml:space="preserve">   </v>
      </c>
      <c r="I612" s="60">
        <f t="shared" si="25"/>
        <v>41640</v>
      </c>
    </row>
    <row r="613" spans="1:20" s="2" customFormat="1" hidden="1" x14ac:dyDescent="0.25">
      <c r="A613" s="20">
        <v>585</v>
      </c>
      <c r="B613" s="59">
        <v>17</v>
      </c>
      <c r="C613" s="39" t="s">
        <v>1032</v>
      </c>
      <c r="D613" s="70">
        <v>849120073</v>
      </c>
      <c r="E613" s="23" t="s">
        <v>1003</v>
      </c>
      <c r="F613" s="59"/>
      <c r="G613" s="23" t="s">
        <v>33</v>
      </c>
      <c r="H613" s="60" t="str">
        <f t="shared" si="24"/>
        <v xml:space="preserve">   </v>
      </c>
      <c r="I613" s="60">
        <f t="shared" si="25"/>
        <v>41640</v>
      </c>
    </row>
    <row r="614" spans="1:20" s="2" customFormat="1" hidden="1" x14ac:dyDescent="0.25">
      <c r="A614" s="20">
        <v>586</v>
      </c>
      <c r="B614" s="59">
        <v>18</v>
      </c>
      <c r="C614" s="39" t="s">
        <v>1034</v>
      </c>
      <c r="D614" s="70">
        <v>849120083</v>
      </c>
      <c r="E614" s="23" t="s">
        <v>1003</v>
      </c>
      <c r="F614" s="59"/>
      <c r="G614" s="23" t="s">
        <v>33</v>
      </c>
      <c r="H614" s="60" t="str">
        <f t="shared" si="24"/>
        <v xml:space="preserve">   </v>
      </c>
      <c r="I614" s="60">
        <f t="shared" si="25"/>
        <v>41640</v>
      </c>
    </row>
    <row r="615" spans="1:20" s="2" customFormat="1" hidden="1" x14ac:dyDescent="0.25">
      <c r="A615" s="20">
        <v>587</v>
      </c>
      <c r="B615" s="59">
        <v>19</v>
      </c>
      <c r="C615" s="39" t="s">
        <v>1036</v>
      </c>
      <c r="D615" s="40"/>
      <c r="E615" s="23" t="s">
        <v>1003</v>
      </c>
      <c r="F615" s="59"/>
      <c r="G615" s="23" t="s">
        <v>33</v>
      </c>
      <c r="H615" s="60" t="str">
        <f t="shared" si="24"/>
        <v xml:space="preserve">   </v>
      </c>
      <c r="I615" s="60" t="str">
        <f t="shared" si="25"/>
        <v xml:space="preserve">   </v>
      </c>
    </row>
    <row r="616" spans="1:20" s="2" customFormat="1" hidden="1" x14ac:dyDescent="0.25">
      <c r="A616" s="20">
        <v>588</v>
      </c>
      <c r="B616" s="59">
        <v>20</v>
      </c>
      <c r="C616" s="39" t="s">
        <v>1037</v>
      </c>
      <c r="D616" s="40"/>
      <c r="E616" s="23" t="s">
        <v>1003</v>
      </c>
      <c r="F616" s="59"/>
      <c r="G616" s="23" t="s">
        <v>33</v>
      </c>
      <c r="H616" s="60" t="str">
        <f t="shared" si="24"/>
        <v xml:space="preserve">   </v>
      </c>
      <c r="I616" s="60" t="str">
        <f t="shared" si="25"/>
        <v xml:space="preserve">   </v>
      </c>
    </row>
    <row r="617" spans="1:20" s="2" customFormat="1" hidden="1" x14ac:dyDescent="0.25">
      <c r="A617" s="20">
        <v>589</v>
      </c>
      <c r="B617" s="59">
        <v>21</v>
      </c>
      <c r="C617" s="39" t="s">
        <v>1039</v>
      </c>
      <c r="D617" s="70">
        <v>849120071</v>
      </c>
      <c r="E617" s="23" t="s">
        <v>1003</v>
      </c>
      <c r="F617" s="59"/>
      <c r="G617" s="23" t="s">
        <v>33</v>
      </c>
      <c r="H617" s="60" t="str">
        <f t="shared" si="24"/>
        <v xml:space="preserve">   </v>
      </c>
      <c r="I617" s="60">
        <f t="shared" si="25"/>
        <v>42143</v>
      </c>
    </row>
    <row r="618" spans="1:20" s="2" customFormat="1" hidden="1" x14ac:dyDescent="0.25">
      <c r="A618" s="20">
        <v>590</v>
      </c>
      <c r="B618" s="59">
        <v>22</v>
      </c>
      <c r="C618" s="39" t="s">
        <v>1041</v>
      </c>
      <c r="D618" s="70">
        <v>849120082</v>
      </c>
      <c r="E618" s="23" t="s">
        <v>1003</v>
      </c>
      <c r="F618" s="59"/>
      <c r="G618" s="23" t="s">
        <v>33</v>
      </c>
      <c r="H618" s="60" t="str">
        <f t="shared" si="24"/>
        <v xml:space="preserve">   </v>
      </c>
      <c r="I618" s="60">
        <f t="shared" si="25"/>
        <v>41640</v>
      </c>
    </row>
    <row r="619" spans="1:20" s="2" customFormat="1" hidden="1" x14ac:dyDescent="0.25">
      <c r="A619" s="20">
        <v>591</v>
      </c>
      <c r="B619" s="59">
        <v>23</v>
      </c>
      <c r="C619" s="39" t="s">
        <v>1042</v>
      </c>
      <c r="D619" s="70">
        <v>849120094</v>
      </c>
      <c r="E619" s="23" t="s">
        <v>1003</v>
      </c>
      <c r="F619" s="59"/>
      <c r="G619" s="23" t="s">
        <v>33</v>
      </c>
      <c r="H619" s="60" t="str">
        <f t="shared" si="24"/>
        <v xml:space="preserve">   </v>
      </c>
      <c r="I619" s="60">
        <f t="shared" si="25"/>
        <v>41640</v>
      </c>
    </row>
    <row r="620" spans="1:20" s="2" customFormat="1" hidden="1" x14ac:dyDescent="0.25">
      <c r="A620" s="20">
        <v>592</v>
      </c>
      <c r="B620" s="59">
        <v>24</v>
      </c>
      <c r="C620" s="39" t="s">
        <v>1043</v>
      </c>
      <c r="D620" s="70">
        <v>849120077</v>
      </c>
      <c r="E620" s="23" t="s">
        <v>1003</v>
      </c>
      <c r="F620" s="59"/>
      <c r="G620" s="23" t="s">
        <v>33</v>
      </c>
      <c r="H620" s="60">
        <f t="shared" si="24"/>
        <v>42873</v>
      </c>
      <c r="I620" s="60">
        <f t="shared" si="25"/>
        <v>43064</v>
      </c>
    </row>
    <row r="621" spans="1:20" hidden="1" x14ac:dyDescent="0.25">
      <c r="T621"/>
    </row>
    <row r="622" spans="1:20" s="2" customFormat="1" hidden="1" x14ac:dyDescent="0.25">
      <c r="A622" s="133" t="s">
        <v>1045</v>
      </c>
      <c r="B622" s="134"/>
      <c r="C622" s="135" t="s">
        <v>1046</v>
      </c>
      <c r="D622" s="136"/>
      <c r="E622" s="137" t="s">
        <v>61</v>
      </c>
      <c r="F622" s="138" t="s">
        <v>61</v>
      </c>
      <c r="G622" s="135" t="s">
        <v>1047</v>
      </c>
      <c r="H622" s="139"/>
      <c r="I622" s="139"/>
    </row>
    <row r="623" spans="1:20" s="2" customFormat="1" hidden="1" x14ac:dyDescent="0.25">
      <c r="A623" s="140" t="s">
        <v>1048</v>
      </c>
      <c r="B623" s="141"/>
      <c r="C623" s="142"/>
      <c r="D623" s="143"/>
      <c r="E623" s="144" t="s">
        <v>527</v>
      </c>
      <c r="F623" s="145" t="s">
        <v>61</v>
      </c>
      <c r="G623" s="146">
        <v>3000000</v>
      </c>
      <c r="H623" s="147"/>
      <c r="I623" s="147"/>
    </row>
    <row r="624" spans="1:20" s="2" customFormat="1" hidden="1" x14ac:dyDescent="0.25">
      <c r="A624" s="148">
        <v>593</v>
      </c>
      <c r="B624" s="149">
        <v>1</v>
      </c>
      <c r="C624" s="150" t="s">
        <v>1069</v>
      </c>
      <c r="D624" s="151">
        <v>849113019</v>
      </c>
      <c r="E624" s="152" t="s">
        <v>1070</v>
      </c>
      <c r="F624" s="153">
        <v>2013</v>
      </c>
      <c r="G624" s="154" t="s">
        <v>33</v>
      </c>
      <c r="H624" s="155">
        <f t="shared" ref="H624:H645" si="26">IFERROR(VLOOKUP(D624,Tlus,3,FALSE),"   ")</f>
        <v>42898</v>
      </c>
      <c r="I624" s="163">
        <f t="shared" ref="I624:I645" si="27">IFERROR(VLOOKUP(D624,Wis,4,FALSE),"   ")</f>
        <v>43064</v>
      </c>
    </row>
    <row r="625" spans="1:9" s="2" customFormat="1" hidden="1" x14ac:dyDescent="0.25">
      <c r="A625" s="156">
        <v>594</v>
      </c>
      <c r="B625" s="157">
        <v>2</v>
      </c>
      <c r="C625" s="158" t="s">
        <v>1071</v>
      </c>
      <c r="D625" s="159">
        <v>849113020</v>
      </c>
      <c r="E625" s="160" t="s">
        <v>1070</v>
      </c>
      <c r="F625" s="161">
        <v>2013</v>
      </c>
      <c r="G625" s="162" t="s">
        <v>33</v>
      </c>
      <c r="H625" s="163" t="str">
        <f t="shared" si="26"/>
        <v xml:space="preserve">   </v>
      </c>
      <c r="I625" s="163">
        <f t="shared" si="27"/>
        <v>42329</v>
      </c>
    </row>
    <row r="626" spans="1:9" s="2" customFormat="1" hidden="1" x14ac:dyDescent="0.25">
      <c r="A626" s="156">
        <v>595</v>
      </c>
      <c r="B626" s="157">
        <v>3</v>
      </c>
      <c r="C626" s="158" t="s">
        <v>1072</v>
      </c>
      <c r="D626" s="159">
        <v>849113021</v>
      </c>
      <c r="E626" s="160" t="s">
        <v>1070</v>
      </c>
      <c r="F626" s="161">
        <v>2013</v>
      </c>
      <c r="G626" s="162" t="s">
        <v>33</v>
      </c>
      <c r="H626" s="163" t="str">
        <f t="shared" si="26"/>
        <v xml:space="preserve">   </v>
      </c>
      <c r="I626" s="163">
        <f t="shared" si="27"/>
        <v>42504</v>
      </c>
    </row>
    <row r="627" spans="1:9" s="2" customFormat="1" hidden="1" x14ac:dyDescent="0.25">
      <c r="A627" s="156">
        <v>596</v>
      </c>
      <c r="B627" s="157">
        <v>4</v>
      </c>
      <c r="C627" s="158" t="s">
        <v>1073</v>
      </c>
      <c r="D627" s="159">
        <v>849113022</v>
      </c>
      <c r="E627" s="160" t="s">
        <v>1070</v>
      </c>
      <c r="F627" s="161">
        <v>2013</v>
      </c>
      <c r="G627" s="162" t="s">
        <v>33</v>
      </c>
      <c r="H627" s="163" t="str">
        <f t="shared" si="26"/>
        <v xml:space="preserve">   </v>
      </c>
      <c r="I627" s="163">
        <f t="shared" si="27"/>
        <v>42329</v>
      </c>
    </row>
    <row r="628" spans="1:9" s="2" customFormat="1" hidden="1" x14ac:dyDescent="0.25">
      <c r="A628" s="156">
        <v>597</v>
      </c>
      <c r="B628" s="157">
        <v>5</v>
      </c>
      <c r="C628" s="158" t="s">
        <v>1074</v>
      </c>
      <c r="D628" s="159">
        <v>849113035</v>
      </c>
      <c r="E628" s="160" t="s">
        <v>1070</v>
      </c>
      <c r="F628" s="161">
        <v>2013</v>
      </c>
      <c r="G628" s="162" t="s">
        <v>33</v>
      </c>
      <c r="H628" s="163" t="str">
        <f t="shared" si="26"/>
        <v xml:space="preserve">   </v>
      </c>
      <c r="I628" s="163">
        <f t="shared" si="27"/>
        <v>42329</v>
      </c>
    </row>
    <row r="629" spans="1:9" s="2" customFormat="1" hidden="1" x14ac:dyDescent="0.25">
      <c r="A629" s="156">
        <v>598</v>
      </c>
      <c r="B629" s="157">
        <v>6</v>
      </c>
      <c r="C629" s="158" t="s">
        <v>1075</v>
      </c>
      <c r="D629" s="159">
        <v>849113024</v>
      </c>
      <c r="E629" s="160" t="s">
        <v>1070</v>
      </c>
      <c r="F629" s="161">
        <v>2013</v>
      </c>
      <c r="G629" s="162" t="s">
        <v>33</v>
      </c>
      <c r="H629" s="163">
        <f t="shared" si="26"/>
        <v>42693</v>
      </c>
      <c r="I629" s="163">
        <f t="shared" si="27"/>
        <v>42693</v>
      </c>
    </row>
    <row r="630" spans="1:9" s="2" customFormat="1" hidden="1" x14ac:dyDescent="0.25">
      <c r="A630" s="164">
        <v>599</v>
      </c>
      <c r="B630" s="165">
        <v>7</v>
      </c>
      <c r="C630" s="166" t="s">
        <v>1076</v>
      </c>
      <c r="D630" s="167">
        <v>849113026</v>
      </c>
      <c r="E630" s="168" t="s">
        <v>1070</v>
      </c>
      <c r="F630" s="169">
        <v>2013</v>
      </c>
      <c r="G630" s="170" t="s">
        <v>1077</v>
      </c>
      <c r="H630" s="171" t="str">
        <f t="shared" si="26"/>
        <v xml:space="preserve">   </v>
      </c>
      <c r="I630" s="171" t="str">
        <f t="shared" si="27"/>
        <v xml:space="preserve">   </v>
      </c>
    </row>
    <row r="631" spans="1:9" s="2" customFormat="1" hidden="1" x14ac:dyDescent="0.25">
      <c r="A631" s="172">
        <v>600</v>
      </c>
      <c r="B631" s="157">
        <v>8</v>
      </c>
      <c r="C631" s="158" t="s">
        <v>1079</v>
      </c>
      <c r="D631" s="159">
        <v>849113036</v>
      </c>
      <c r="E631" s="160" t="s">
        <v>1070</v>
      </c>
      <c r="F631" s="161">
        <v>2013</v>
      </c>
      <c r="G631" s="160" t="s">
        <v>33</v>
      </c>
      <c r="H631" s="163">
        <f t="shared" si="26"/>
        <v>42838</v>
      </c>
      <c r="I631" s="163">
        <f t="shared" si="27"/>
        <v>43750</v>
      </c>
    </row>
    <row r="632" spans="1:9" s="2" customFormat="1" hidden="1" x14ac:dyDescent="0.25">
      <c r="A632" s="172">
        <v>601</v>
      </c>
      <c r="B632" s="157">
        <v>9</v>
      </c>
      <c r="C632" s="158" t="s">
        <v>1081</v>
      </c>
      <c r="D632" s="159">
        <v>849113012</v>
      </c>
      <c r="E632" s="160" t="s">
        <v>1070</v>
      </c>
      <c r="F632" s="161">
        <v>2013</v>
      </c>
      <c r="G632" s="160" t="s">
        <v>33</v>
      </c>
      <c r="H632" s="163" t="str">
        <f t="shared" si="26"/>
        <v xml:space="preserve">   </v>
      </c>
      <c r="I632" s="163">
        <f t="shared" si="27"/>
        <v>42329</v>
      </c>
    </row>
    <row r="633" spans="1:9" s="2" customFormat="1" hidden="1" x14ac:dyDescent="0.25">
      <c r="A633" s="172">
        <v>602</v>
      </c>
      <c r="B633" s="157">
        <v>10</v>
      </c>
      <c r="C633" s="158" t="s">
        <v>1082</v>
      </c>
      <c r="D633" s="159">
        <v>849113006</v>
      </c>
      <c r="E633" s="160" t="s">
        <v>1070</v>
      </c>
      <c r="F633" s="161">
        <v>2013</v>
      </c>
      <c r="G633" s="160" t="s">
        <v>33</v>
      </c>
      <c r="H633" s="163" t="str">
        <f t="shared" si="26"/>
        <v xml:space="preserve">   </v>
      </c>
      <c r="I633" s="163">
        <f t="shared" si="27"/>
        <v>42329</v>
      </c>
    </row>
    <row r="634" spans="1:9" s="2" customFormat="1" hidden="1" x14ac:dyDescent="0.25">
      <c r="A634" s="172">
        <v>603</v>
      </c>
      <c r="B634" s="157">
        <v>11</v>
      </c>
      <c r="C634" s="158" t="s">
        <v>1083</v>
      </c>
      <c r="D634" s="159">
        <v>849113005</v>
      </c>
      <c r="E634" s="160" t="s">
        <v>1070</v>
      </c>
      <c r="F634" s="161">
        <v>2013</v>
      </c>
      <c r="G634" s="160" t="s">
        <v>33</v>
      </c>
      <c r="H634" s="163">
        <f t="shared" si="26"/>
        <v>42326</v>
      </c>
      <c r="I634" s="163">
        <f t="shared" si="27"/>
        <v>42329</v>
      </c>
    </row>
    <row r="635" spans="1:9" s="2" customFormat="1" hidden="1" x14ac:dyDescent="0.25">
      <c r="A635" s="172">
        <v>604</v>
      </c>
      <c r="B635" s="157">
        <v>12</v>
      </c>
      <c r="C635" s="158" t="s">
        <v>1084</v>
      </c>
      <c r="D635" s="159">
        <v>849113011</v>
      </c>
      <c r="E635" s="160" t="s">
        <v>1070</v>
      </c>
      <c r="F635" s="161">
        <v>2013</v>
      </c>
      <c r="G635" s="160" t="s">
        <v>33</v>
      </c>
      <c r="H635" s="163" t="str">
        <f t="shared" si="26"/>
        <v xml:space="preserve">   </v>
      </c>
      <c r="I635" s="163">
        <f t="shared" si="27"/>
        <v>42329</v>
      </c>
    </row>
    <row r="636" spans="1:9" s="2" customFormat="1" hidden="1" x14ac:dyDescent="0.25">
      <c r="A636" s="172">
        <v>605</v>
      </c>
      <c r="B636" s="157">
        <v>13</v>
      </c>
      <c r="C636" s="158" t="s">
        <v>1085</v>
      </c>
      <c r="D636" s="159">
        <v>849113017</v>
      </c>
      <c r="E636" s="160" t="s">
        <v>1070</v>
      </c>
      <c r="F636" s="161">
        <v>2013</v>
      </c>
      <c r="G636" s="160" t="s">
        <v>33</v>
      </c>
      <c r="H636" s="163" t="str">
        <f t="shared" si="26"/>
        <v xml:space="preserve">   </v>
      </c>
      <c r="I636" s="163">
        <f t="shared" si="27"/>
        <v>42504</v>
      </c>
    </row>
    <row r="637" spans="1:9" s="2" customFormat="1" hidden="1" x14ac:dyDescent="0.25">
      <c r="A637" s="172">
        <v>606</v>
      </c>
      <c r="B637" s="157">
        <v>14</v>
      </c>
      <c r="C637" s="158" t="s">
        <v>1086</v>
      </c>
      <c r="D637" s="159">
        <v>849113002</v>
      </c>
      <c r="E637" s="160" t="s">
        <v>1070</v>
      </c>
      <c r="F637" s="161">
        <v>2013</v>
      </c>
      <c r="G637" s="160" t="s">
        <v>33</v>
      </c>
      <c r="H637" s="163" t="str">
        <f t="shared" si="26"/>
        <v xml:space="preserve">   </v>
      </c>
      <c r="I637" s="163">
        <f t="shared" si="27"/>
        <v>42329</v>
      </c>
    </row>
    <row r="638" spans="1:9" s="2" customFormat="1" hidden="1" x14ac:dyDescent="0.25">
      <c r="A638" s="164">
        <v>607</v>
      </c>
      <c r="B638" s="165">
        <v>15</v>
      </c>
      <c r="C638" s="173" t="s">
        <v>1087</v>
      </c>
      <c r="D638" s="174">
        <v>849113010</v>
      </c>
      <c r="E638" s="168" t="s">
        <v>1070</v>
      </c>
      <c r="F638" s="175">
        <v>2013</v>
      </c>
      <c r="G638" s="170" t="s">
        <v>1077</v>
      </c>
      <c r="H638" s="171" t="str">
        <f t="shared" si="26"/>
        <v xml:space="preserve">   </v>
      </c>
      <c r="I638" s="171" t="str">
        <f t="shared" si="27"/>
        <v xml:space="preserve">   </v>
      </c>
    </row>
    <row r="639" spans="1:9" s="2" customFormat="1" hidden="1" x14ac:dyDescent="0.25">
      <c r="A639" s="156">
        <v>608</v>
      </c>
      <c r="B639" s="157">
        <v>17</v>
      </c>
      <c r="C639" s="158" t="s">
        <v>1088</v>
      </c>
      <c r="D639" s="159">
        <v>849113014</v>
      </c>
      <c r="E639" s="160" t="s">
        <v>1070</v>
      </c>
      <c r="F639" s="161">
        <v>2013</v>
      </c>
      <c r="G639" s="162" t="s">
        <v>33</v>
      </c>
      <c r="H639" s="163" t="str">
        <f t="shared" si="26"/>
        <v xml:space="preserve">   </v>
      </c>
      <c r="I639" s="163">
        <f t="shared" si="27"/>
        <v>42329</v>
      </c>
    </row>
    <row r="640" spans="1:9" s="2" customFormat="1" hidden="1" x14ac:dyDescent="0.25">
      <c r="A640" s="156">
        <v>609</v>
      </c>
      <c r="B640" s="157">
        <v>19</v>
      </c>
      <c r="C640" s="158" t="s">
        <v>1089</v>
      </c>
      <c r="D640" s="159">
        <v>849113001</v>
      </c>
      <c r="E640" s="160" t="s">
        <v>1070</v>
      </c>
      <c r="F640" s="161">
        <v>2013</v>
      </c>
      <c r="G640" s="162" t="s">
        <v>33</v>
      </c>
      <c r="H640" s="163" t="str">
        <f t="shared" si="26"/>
        <v xml:space="preserve">   </v>
      </c>
      <c r="I640" s="163">
        <f t="shared" si="27"/>
        <v>42329</v>
      </c>
    </row>
    <row r="641" spans="1:9" s="2" customFormat="1" hidden="1" x14ac:dyDescent="0.25">
      <c r="A641" s="156">
        <v>610</v>
      </c>
      <c r="B641" s="157">
        <v>20</v>
      </c>
      <c r="C641" s="158" t="s">
        <v>1090</v>
      </c>
      <c r="D641" s="159">
        <v>849113018</v>
      </c>
      <c r="E641" s="160" t="s">
        <v>1070</v>
      </c>
      <c r="F641" s="161">
        <v>2013</v>
      </c>
      <c r="G641" s="162" t="s">
        <v>33</v>
      </c>
      <c r="H641" s="163" t="str">
        <f t="shared" si="26"/>
        <v xml:space="preserve">   </v>
      </c>
      <c r="I641" s="163">
        <f t="shared" si="27"/>
        <v>42329</v>
      </c>
    </row>
    <row r="642" spans="1:9" s="2" customFormat="1" hidden="1" x14ac:dyDescent="0.25">
      <c r="A642" s="164">
        <v>611</v>
      </c>
      <c r="B642" s="165">
        <v>21</v>
      </c>
      <c r="C642" s="166" t="s">
        <v>1091</v>
      </c>
      <c r="D642" s="174">
        <v>849113007</v>
      </c>
      <c r="E642" s="168" t="s">
        <v>1070</v>
      </c>
      <c r="F642" s="169">
        <v>2013</v>
      </c>
      <c r="G642" s="170" t="s">
        <v>1077</v>
      </c>
      <c r="H642" s="171" t="str">
        <f t="shared" si="26"/>
        <v xml:space="preserve">   </v>
      </c>
      <c r="I642" s="171" t="str">
        <f t="shared" si="27"/>
        <v xml:space="preserve">   </v>
      </c>
    </row>
    <row r="643" spans="1:9" s="2" customFormat="1" hidden="1" x14ac:dyDescent="0.25">
      <c r="A643" s="156">
        <v>612</v>
      </c>
      <c r="B643" s="157">
        <v>22</v>
      </c>
      <c r="C643" s="158" t="s">
        <v>1092</v>
      </c>
      <c r="D643" s="159">
        <v>849113013</v>
      </c>
      <c r="E643" s="160" t="s">
        <v>1070</v>
      </c>
      <c r="F643" s="161">
        <v>2013</v>
      </c>
      <c r="G643" s="162" t="s">
        <v>33</v>
      </c>
      <c r="H643" s="163" t="str">
        <f t="shared" si="26"/>
        <v xml:space="preserve">   </v>
      </c>
      <c r="I643" s="163">
        <f t="shared" si="27"/>
        <v>42329</v>
      </c>
    </row>
    <row r="644" spans="1:9" s="2" customFormat="1" hidden="1" x14ac:dyDescent="0.25">
      <c r="A644" s="156">
        <v>613</v>
      </c>
      <c r="B644" s="176">
        <v>23</v>
      </c>
      <c r="C644" s="177" t="s">
        <v>1093</v>
      </c>
      <c r="D644" s="178">
        <v>849113008</v>
      </c>
      <c r="E644" s="179" t="s">
        <v>1070</v>
      </c>
      <c r="F644" s="161">
        <v>2013</v>
      </c>
      <c r="G644" s="162" t="s">
        <v>33</v>
      </c>
      <c r="H644" s="163">
        <f t="shared" si="26"/>
        <v>43370</v>
      </c>
      <c r="I644" s="163">
        <f t="shared" si="27"/>
        <v>43587</v>
      </c>
    </row>
    <row r="645" spans="1:9" s="2" customFormat="1" hidden="1" x14ac:dyDescent="0.25">
      <c r="A645" s="180">
        <v>614</v>
      </c>
      <c r="B645" s="181">
        <v>24</v>
      </c>
      <c r="C645" s="182" t="s">
        <v>1094</v>
      </c>
      <c r="D645" s="183">
        <v>849113003</v>
      </c>
      <c r="E645" s="184" t="s">
        <v>1070</v>
      </c>
      <c r="F645" s="185">
        <v>2013</v>
      </c>
      <c r="G645" s="186" t="s">
        <v>33</v>
      </c>
      <c r="H645" s="163" t="str">
        <f t="shared" si="26"/>
        <v xml:space="preserve">   </v>
      </c>
      <c r="I645" s="163">
        <f t="shared" si="27"/>
        <v>42329</v>
      </c>
    </row>
    <row r="646" spans="1:9" s="4" customFormat="1" hidden="1" x14ac:dyDescent="0.25">
      <c r="A646" s="187"/>
      <c r="B646" s="188"/>
      <c r="C646" s="189"/>
      <c r="D646" s="190"/>
      <c r="E646" s="191" t="s">
        <v>61</v>
      </c>
      <c r="F646" s="192" t="s">
        <v>61</v>
      </c>
      <c r="G646" s="192" t="s">
        <v>61</v>
      </c>
      <c r="H646" s="193"/>
      <c r="I646" s="193"/>
    </row>
    <row r="647" spans="1:9" s="2" customFormat="1" hidden="1" x14ac:dyDescent="0.25">
      <c r="A647" s="194" t="s">
        <v>1095</v>
      </c>
      <c r="B647" s="195"/>
      <c r="C647" s="196"/>
      <c r="D647" s="197"/>
      <c r="E647" s="198" t="s">
        <v>1096</v>
      </c>
      <c r="F647" s="199" t="s">
        <v>1096</v>
      </c>
      <c r="G647" s="146">
        <v>3000000</v>
      </c>
      <c r="H647" s="147"/>
      <c r="I647" s="147"/>
    </row>
    <row r="648" spans="1:9" s="2" customFormat="1" hidden="1" x14ac:dyDescent="0.25">
      <c r="A648" s="200">
        <v>615</v>
      </c>
      <c r="B648" s="149">
        <v>1</v>
      </c>
      <c r="C648" s="201" t="s">
        <v>1097</v>
      </c>
      <c r="D648" s="151">
        <v>839130002</v>
      </c>
      <c r="E648" s="202" t="s">
        <v>848</v>
      </c>
      <c r="F648" s="203">
        <v>2013</v>
      </c>
      <c r="G648" s="204" t="s">
        <v>33</v>
      </c>
      <c r="H648" s="205">
        <f t="shared" ref="H648:H657" si="28">IFERROR(VLOOKUP(D648,Tlus,3,FALSE),"   ")</f>
        <v>43300</v>
      </c>
      <c r="I648" s="205">
        <f t="shared" ref="I648:I657" si="29">IFERROR(VLOOKUP(D648,Wis,4,FALSE),"   ")</f>
        <v>43440</v>
      </c>
    </row>
    <row r="649" spans="1:9" s="2" customFormat="1" hidden="1" x14ac:dyDescent="0.25">
      <c r="A649" s="164">
        <v>616</v>
      </c>
      <c r="B649" s="165">
        <v>2</v>
      </c>
      <c r="C649" s="206" t="s">
        <v>1098</v>
      </c>
      <c r="D649" s="174">
        <v>839130006</v>
      </c>
      <c r="E649" s="207" t="s">
        <v>848</v>
      </c>
      <c r="F649" s="208">
        <v>2013</v>
      </c>
      <c r="G649" s="209" t="s">
        <v>1077</v>
      </c>
      <c r="H649" s="210" t="str">
        <f t="shared" si="28"/>
        <v xml:space="preserve">   </v>
      </c>
      <c r="I649" s="210" t="str">
        <f t="shared" si="29"/>
        <v xml:space="preserve">   </v>
      </c>
    </row>
    <row r="650" spans="1:9" s="2" customFormat="1" hidden="1" x14ac:dyDescent="0.25">
      <c r="A650" s="156">
        <v>617</v>
      </c>
      <c r="B650" s="156">
        <v>3</v>
      </c>
      <c r="C650" s="211" t="s">
        <v>1100</v>
      </c>
      <c r="D650" s="212">
        <v>839130007</v>
      </c>
      <c r="E650" s="160" t="s">
        <v>848</v>
      </c>
      <c r="F650" s="213">
        <v>2013</v>
      </c>
      <c r="G650" s="162" t="s">
        <v>33</v>
      </c>
      <c r="H650" s="163" t="str">
        <f t="shared" si="28"/>
        <v xml:space="preserve">   </v>
      </c>
      <c r="I650" s="163">
        <f t="shared" si="29"/>
        <v>42504</v>
      </c>
    </row>
    <row r="651" spans="1:9" s="2" customFormat="1" hidden="1" x14ac:dyDescent="0.25">
      <c r="A651" s="164">
        <v>618</v>
      </c>
      <c r="B651" s="165">
        <v>4</v>
      </c>
      <c r="C651" s="166" t="s">
        <v>709</v>
      </c>
      <c r="D651" s="174">
        <v>839130005</v>
      </c>
      <c r="E651" s="168" t="s">
        <v>848</v>
      </c>
      <c r="F651" s="169">
        <v>2013</v>
      </c>
      <c r="G651" s="214" t="s">
        <v>1077</v>
      </c>
      <c r="H651" s="215" t="str">
        <f t="shared" si="28"/>
        <v xml:space="preserve">   </v>
      </c>
      <c r="I651" s="215" t="str">
        <f t="shared" si="29"/>
        <v xml:space="preserve">   </v>
      </c>
    </row>
    <row r="652" spans="1:9" s="2" customFormat="1" hidden="1" x14ac:dyDescent="0.25">
      <c r="A652" s="164">
        <v>619</v>
      </c>
      <c r="B652" s="165">
        <v>5</v>
      </c>
      <c r="C652" s="166" t="s">
        <v>1101</v>
      </c>
      <c r="D652" s="174">
        <v>839130010</v>
      </c>
      <c r="E652" s="168" t="s">
        <v>848</v>
      </c>
      <c r="F652" s="169">
        <v>2013</v>
      </c>
      <c r="G652" s="214" t="s">
        <v>1077</v>
      </c>
      <c r="H652" s="215" t="str">
        <f t="shared" si="28"/>
        <v xml:space="preserve">   </v>
      </c>
      <c r="I652" s="215" t="str">
        <f t="shared" si="29"/>
        <v xml:space="preserve">   </v>
      </c>
    </row>
    <row r="653" spans="1:9" s="2" customFormat="1" hidden="1" x14ac:dyDescent="0.25">
      <c r="A653" s="164">
        <v>620</v>
      </c>
      <c r="B653" s="165">
        <v>6</v>
      </c>
      <c r="C653" s="166" t="s">
        <v>1102</v>
      </c>
      <c r="D653" s="174">
        <v>839130001</v>
      </c>
      <c r="E653" s="168" t="s">
        <v>848</v>
      </c>
      <c r="F653" s="169">
        <v>2013</v>
      </c>
      <c r="G653" s="214" t="s">
        <v>1077</v>
      </c>
      <c r="H653" s="215" t="str">
        <f t="shared" si="28"/>
        <v xml:space="preserve">   </v>
      </c>
      <c r="I653" s="215" t="str">
        <f t="shared" si="29"/>
        <v xml:space="preserve">   </v>
      </c>
    </row>
    <row r="654" spans="1:9" s="2" customFormat="1" hidden="1" x14ac:dyDescent="0.25">
      <c r="A654" s="164">
        <v>621</v>
      </c>
      <c r="B654" s="165">
        <v>7</v>
      </c>
      <c r="C654" s="166" t="s">
        <v>1103</v>
      </c>
      <c r="D654" s="174">
        <v>839130004</v>
      </c>
      <c r="E654" s="168" t="s">
        <v>848</v>
      </c>
      <c r="F654" s="169">
        <v>2013</v>
      </c>
      <c r="G654" s="214" t="s">
        <v>1077</v>
      </c>
      <c r="H654" s="215" t="str">
        <f t="shared" si="28"/>
        <v xml:space="preserve">   </v>
      </c>
      <c r="I654" s="215" t="str">
        <f t="shared" si="29"/>
        <v xml:space="preserve">   </v>
      </c>
    </row>
    <row r="655" spans="1:9" s="2" customFormat="1" hidden="1" x14ac:dyDescent="0.25">
      <c r="A655" s="164">
        <v>622</v>
      </c>
      <c r="B655" s="165">
        <v>8</v>
      </c>
      <c r="C655" s="166" t="s">
        <v>1104</v>
      </c>
      <c r="D655" s="174">
        <v>839130008</v>
      </c>
      <c r="E655" s="168" t="s">
        <v>848</v>
      </c>
      <c r="F655" s="169">
        <v>2013</v>
      </c>
      <c r="G655" s="214" t="s">
        <v>1077</v>
      </c>
      <c r="H655" s="215" t="str">
        <f t="shared" si="28"/>
        <v xml:space="preserve">   </v>
      </c>
      <c r="I655" s="215" t="str">
        <f t="shared" si="29"/>
        <v xml:space="preserve">   </v>
      </c>
    </row>
    <row r="656" spans="1:9" s="2" customFormat="1" hidden="1" x14ac:dyDescent="0.25">
      <c r="A656" s="156">
        <v>623</v>
      </c>
      <c r="B656" s="157">
        <v>9</v>
      </c>
      <c r="C656" s="158" t="s">
        <v>1105</v>
      </c>
      <c r="D656" s="159">
        <v>839130009</v>
      </c>
      <c r="E656" s="160" t="s">
        <v>848</v>
      </c>
      <c r="F656" s="161">
        <v>2013</v>
      </c>
      <c r="G656" s="162" t="s">
        <v>33</v>
      </c>
      <c r="H656" s="163" t="str">
        <f t="shared" si="28"/>
        <v xml:space="preserve">   </v>
      </c>
      <c r="I656" s="163">
        <f t="shared" si="29"/>
        <v>42504</v>
      </c>
    </row>
    <row r="657" spans="1:9" s="2" customFormat="1" hidden="1" x14ac:dyDescent="0.25">
      <c r="A657" s="216">
        <v>624</v>
      </c>
      <c r="B657" s="217">
        <v>10</v>
      </c>
      <c r="C657" s="218" t="s">
        <v>1106</v>
      </c>
      <c r="D657" s="219">
        <v>839130011</v>
      </c>
      <c r="E657" s="220" t="s">
        <v>848</v>
      </c>
      <c r="F657" s="221">
        <v>2013</v>
      </c>
      <c r="G657" s="170" t="s">
        <v>1077</v>
      </c>
      <c r="H657" s="222" t="str">
        <f t="shared" si="28"/>
        <v xml:space="preserve">   </v>
      </c>
      <c r="I657" s="222" t="str">
        <f t="shared" si="29"/>
        <v xml:space="preserve">   </v>
      </c>
    </row>
    <row r="658" spans="1:9" s="2" customFormat="1" hidden="1" x14ac:dyDescent="0.25">
      <c r="A658" s="223"/>
      <c r="B658" s="224"/>
      <c r="C658" s="225"/>
      <c r="D658" s="226"/>
      <c r="E658" s="227" t="s">
        <v>61</v>
      </c>
      <c r="F658" s="228" t="s">
        <v>61</v>
      </c>
      <c r="G658" s="192" t="s">
        <v>61</v>
      </c>
      <c r="H658" s="226"/>
      <c r="I658" s="226"/>
    </row>
    <row r="659" spans="1:9" s="2" customFormat="1" hidden="1" x14ac:dyDescent="0.25">
      <c r="A659" s="194" t="s">
        <v>1108</v>
      </c>
      <c r="B659" s="229"/>
      <c r="C659" s="230"/>
      <c r="D659" s="231"/>
      <c r="E659" s="198" t="s">
        <v>1096</v>
      </c>
      <c r="F659" s="199" t="s">
        <v>1096</v>
      </c>
      <c r="G659" s="146">
        <v>3000000</v>
      </c>
      <c r="H659" s="232"/>
      <c r="I659" s="232"/>
    </row>
    <row r="660" spans="1:9" s="2" customFormat="1" hidden="1" x14ac:dyDescent="0.25">
      <c r="A660" s="148">
        <v>625</v>
      </c>
      <c r="B660" s="149">
        <v>8</v>
      </c>
      <c r="C660" s="150" t="s">
        <v>1109</v>
      </c>
      <c r="D660" s="151">
        <v>849213001</v>
      </c>
      <c r="E660" s="152" t="s">
        <v>1110</v>
      </c>
      <c r="F660" s="153">
        <v>2013</v>
      </c>
      <c r="G660" s="154" t="s">
        <v>33</v>
      </c>
      <c r="H660" s="163" t="str">
        <f t="shared" ref="H660:H666" si="30">IFERROR(VLOOKUP(D660,Tlus,3,FALSE),"   ")</f>
        <v xml:space="preserve">   </v>
      </c>
      <c r="I660" s="163">
        <f t="shared" ref="I660:I666" si="31">IFERROR(VLOOKUP(D660,Wis,4,FALSE),"   ")</f>
        <v>42329</v>
      </c>
    </row>
    <row r="661" spans="1:9" s="2" customFormat="1" hidden="1" x14ac:dyDescent="0.25">
      <c r="A661" s="156">
        <v>626</v>
      </c>
      <c r="B661" s="157">
        <v>9</v>
      </c>
      <c r="C661" s="158" t="s">
        <v>1111</v>
      </c>
      <c r="D661" s="159">
        <v>849213002</v>
      </c>
      <c r="E661" s="179" t="s">
        <v>1110</v>
      </c>
      <c r="F661" s="161">
        <v>2013</v>
      </c>
      <c r="G661" s="162" t="s">
        <v>33</v>
      </c>
      <c r="H661" s="163">
        <f t="shared" si="30"/>
        <v>43370</v>
      </c>
      <c r="I661" s="163">
        <f t="shared" si="31"/>
        <v>43440</v>
      </c>
    </row>
    <row r="662" spans="1:9" s="2" customFormat="1" hidden="1" x14ac:dyDescent="0.25">
      <c r="A662" s="156">
        <v>627</v>
      </c>
      <c r="B662" s="157">
        <v>4</v>
      </c>
      <c r="C662" s="158" t="s">
        <v>1113</v>
      </c>
      <c r="D662" s="159">
        <v>849213003</v>
      </c>
      <c r="E662" s="160" t="s">
        <v>1110</v>
      </c>
      <c r="F662" s="161">
        <v>2013</v>
      </c>
      <c r="G662" s="162" t="s">
        <v>33</v>
      </c>
      <c r="H662" s="163" t="str">
        <f t="shared" si="30"/>
        <v xml:space="preserve">   </v>
      </c>
      <c r="I662" s="163">
        <f t="shared" si="31"/>
        <v>42329</v>
      </c>
    </row>
    <row r="663" spans="1:9" s="2" customFormat="1" hidden="1" x14ac:dyDescent="0.25">
      <c r="A663" s="156">
        <v>628</v>
      </c>
      <c r="B663" s="157">
        <v>3</v>
      </c>
      <c r="C663" s="158" t="s">
        <v>1114</v>
      </c>
      <c r="D663" s="159">
        <v>849213004</v>
      </c>
      <c r="E663" s="160" t="s">
        <v>1110</v>
      </c>
      <c r="F663" s="161">
        <v>2013</v>
      </c>
      <c r="G663" s="162" t="s">
        <v>33</v>
      </c>
      <c r="H663" s="163" t="str">
        <f t="shared" si="30"/>
        <v xml:space="preserve">   </v>
      </c>
      <c r="I663" s="163">
        <f t="shared" si="31"/>
        <v>42329</v>
      </c>
    </row>
    <row r="664" spans="1:9" s="2" customFormat="1" hidden="1" x14ac:dyDescent="0.25">
      <c r="A664" s="156">
        <v>629</v>
      </c>
      <c r="B664" s="157">
        <v>6</v>
      </c>
      <c r="C664" s="233" t="s">
        <v>1115</v>
      </c>
      <c r="D664" s="159">
        <v>849213009</v>
      </c>
      <c r="E664" s="160" t="s">
        <v>1110</v>
      </c>
      <c r="F664" s="161">
        <v>2013</v>
      </c>
      <c r="G664" s="162" t="s">
        <v>33</v>
      </c>
      <c r="H664" s="163">
        <f t="shared" si="30"/>
        <v>42936</v>
      </c>
      <c r="I664" s="163">
        <f t="shared" si="31"/>
        <v>43064</v>
      </c>
    </row>
    <row r="665" spans="1:9" s="2" customFormat="1" hidden="1" x14ac:dyDescent="0.25">
      <c r="A665" s="156">
        <v>630</v>
      </c>
      <c r="B665" s="157">
        <v>1</v>
      </c>
      <c r="C665" s="158" t="s">
        <v>1116</v>
      </c>
      <c r="D665" s="159">
        <v>849213006</v>
      </c>
      <c r="E665" s="179" t="s">
        <v>1110</v>
      </c>
      <c r="F665" s="161">
        <v>2013</v>
      </c>
      <c r="G665" s="162" t="s">
        <v>33</v>
      </c>
      <c r="H665" s="163">
        <f t="shared" si="30"/>
        <v>43301</v>
      </c>
      <c r="I665" s="163">
        <f t="shared" si="31"/>
        <v>43440</v>
      </c>
    </row>
    <row r="666" spans="1:9" s="2" customFormat="1" hidden="1" x14ac:dyDescent="0.25">
      <c r="A666" s="156">
        <v>631</v>
      </c>
      <c r="B666" s="157">
        <v>10</v>
      </c>
      <c r="C666" s="158" t="s">
        <v>1117</v>
      </c>
      <c r="D666" s="159">
        <v>849213007</v>
      </c>
      <c r="E666" s="160" t="s">
        <v>1110</v>
      </c>
      <c r="F666" s="161">
        <v>2013</v>
      </c>
      <c r="G666" s="162" t="s">
        <v>33</v>
      </c>
      <c r="H666" s="163">
        <f t="shared" si="30"/>
        <v>43026</v>
      </c>
      <c r="I666" s="163">
        <f t="shared" si="31"/>
        <v>43064</v>
      </c>
    </row>
    <row r="667" spans="1:9" s="2" customFormat="1" hidden="1" x14ac:dyDescent="0.25">
      <c r="A667" s="234">
        <v>632</v>
      </c>
      <c r="B667" s="235">
        <v>2</v>
      </c>
      <c r="C667" s="233" t="s">
        <v>1118</v>
      </c>
      <c r="D667" s="236">
        <v>849213008</v>
      </c>
      <c r="E667" s="237" t="s">
        <v>1110</v>
      </c>
      <c r="F667" s="238">
        <v>2013</v>
      </c>
      <c r="G667" s="214" t="s">
        <v>1077</v>
      </c>
      <c r="H667" s="239"/>
      <c r="I667" s="239"/>
    </row>
    <row r="668" spans="1:9" s="2" customFormat="1" hidden="1" x14ac:dyDescent="0.25">
      <c r="A668" s="156">
        <v>633</v>
      </c>
      <c r="B668" s="157">
        <v>5</v>
      </c>
      <c r="C668" s="158" t="s">
        <v>1119</v>
      </c>
      <c r="D668" s="159">
        <v>849213010</v>
      </c>
      <c r="E668" s="160" t="s">
        <v>1110</v>
      </c>
      <c r="F668" s="161">
        <v>2013</v>
      </c>
      <c r="G668" s="162" t="s">
        <v>33</v>
      </c>
      <c r="H668" s="163" t="str">
        <f>IFERROR(VLOOKUP(D668,Tlus,3,FALSE),"   ")</f>
        <v xml:space="preserve">   </v>
      </c>
      <c r="I668" s="163">
        <f>IFERROR(VLOOKUP(D668,Wis,4,FALSE),"   ")</f>
        <v>42329</v>
      </c>
    </row>
    <row r="669" spans="1:9" s="2" customFormat="1" hidden="1" x14ac:dyDescent="0.25">
      <c r="A669" s="240">
        <v>634</v>
      </c>
      <c r="B669" s="241">
        <v>7</v>
      </c>
      <c r="C669" s="242" t="s">
        <v>1120</v>
      </c>
      <c r="D669" s="243">
        <v>849213011</v>
      </c>
      <c r="E669" s="244" t="s">
        <v>1110</v>
      </c>
      <c r="F669" s="245">
        <v>2013</v>
      </c>
      <c r="G669" s="170" t="s">
        <v>1077</v>
      </c>
      <c r="H669" s="246"/>
      <c r="I669" s="246"/>
    </row>
    <row r="670" spans="1:9" s="4" customFormat="1" hidden="1" x14ac:dyDescent="0.25">
      <c r="A670" s="187"/>
      <c r="B670" s="188"/>
      <c r="C670" s="247"/>
      <c r="D670" s="190"/>
      <c r="E670" s="248" t="s">
        <v>1121</v>
      </c>
      <c r="F670" s="192" t="s">
        <v>61</v>
      </c>
      <c r="G670" s="192" t="s">
        <v>61</v>
      </c>
      <c r="H670" s="193"/>
      <c r="I670" s="193"/>
    </row>
    <row r="671" spans="1:9" s="2" customFormat="1" hidden="1" x14ac:dyDescent="0.25">
      <c r="A671" s="249" t="s">
        <v>1122</v>
      </c>
      <c r="B671" s="250"/>
      <c r="C671" s="251"/>
      <c r="D671" s="252"/>
      <c r="E671" s="198" t="s">
        <v>1096</v>
      </c>
      <c r="F671" s="199" t="s">
        <v>1096</v>
      </c>
      <c r="G671" s="146">
        <v>3000000</v>
      </c>
      <c r="H671" s="232"/>
      <c r="I671" s="232"/>
    </row>
    <row r="672" spans="1:9" s="2" customFormat="1" hidden="1" x14ac:dyDescent="0.25">
      <c r="A672" s="148">
        <v>635</v>
      </c>
      <c r="B672" s="149">
        <v>1</v>
      </c>
      <c r="C672" s="150" t="s">
        <v>1123</v>
      </c>
      <c r="D672" s="151">
        <v>849113004</v>
      </c>
      <c r="E672" s="152" t="s">
        <v>1070</v>
      </c>
      <c r="F672" s="153">
        <v>2013</v>
      </c>
      <c r="G672" s="154" t="s">
        <v>33</v>
      </c>
      <c r="H672" s="155" t="str">
        <f t="shared" ref="H672:H689" si="32">IFERROR(VLOOKUP(D672,Tlus,3,FALSE),"   ")</f>
        <v xml:space="preserve">   </v>
      </c>
      <c r="I672" s="155">
        <f t="shared" ref="I672:I689" si="33">IFERROR(VLOOKUP(D672,Wis,4,FALSE),"   ")</f>
        <v>42329</v>
      </c>
    </row>
    <row r="673" spans="1:9" s="2" customFormat="1" hidden="1" x14ac:dyDescent="0.25">
      <c r="A673" s="156">
        <v>636</v>
      </c>
      <c r="B673" s="157">
        <v>2</v>
      </c>
      <c r="C673" s="158" t="s">
        <v>1124</v>
      </c>
      <c r="D673" s="159">
        <v>849113009</v>
      </c>
      <c r="E673" s="160" t="s">
        <v>1070</v>
      </c>
      <c r="F673" s="161">
        <v>2013</v>
      </c>
      <c r="G673" s="162" t="s">
        <v>33</v>
      </c>
      <c r="H673" s="163" t="str">
        <f t="shared" si="32"/>
        <v xml:space="preserve">   </v>
      </c>
      <c r="I673" s="163">
        <f t="shared" si="33"/>
        <v>42504</v>
      </c>
    </row>
    <row r="674" spans="1:9" s="2" customFormat="1" hidden="1" x14ac:dyDescent="0.25">
      <c r="A674" s="156">
        <v>637</v>
      </c>
      <c r="B674" s="157">
        <v>3</v>
      </c>
      <c r="C674" s="158" t="s">
        <v>1125</v>
      </c>
      <c r="D674" s="159">
        <v>849113025</v>
      </c>
      <c r="E674" s="160" t="s">
        <v>1070</v>
      </c>
      <c r="F674" s="161">
        <v>2013</v>
      </c>
      <c r="G674" s="162" t="s">
        <v>33</v>
      </c>
      <c r="H674" s="163" t="str">
        <f t="shared" si="32"/>
        <v xml:space="preserve">   </v>
      </c>
      <c r="I674" s="163">
        <f t="shared" si="33"/>
        <v>42329</v>
      </c>
    </row>
    <row r="675" spans="1:9" s="2" customFormat="1" hidden="1" x14ac:dyDescent="0.25">
      <c r="A675" s="156">
        <v>638</v>
      </c>
      <c r="B675" s="157">
        <v>4</v>
      </c>
      <c r="C675" s="158" t="s">
        <v>1126</v>
      </c>
      <c r="D675" s="159">
        <v>849113027</v>
      </c>
      <c r="E675" s="160" t="s">
        <v>1070</v>
      </c>
      <c r="F675" s="161">
        <v>2013</v>
      </c>
      <c r="G675" s="162" t="s">
        <v>33</v>
      </c>
      <c r="H675" s="163" t="str">
        <f t="shared" si="32"/>
        <v xml:space="preserve">   </v>
      </c>
      <c r="I675" s="163">
        <f t="shared" si="33"/>
        <v>42504</v>
      </c>
    </row>
    <row r="676" spans="1:9" s="2" customFormat="1" hidden="1" x14ac:dyDescent="0.25">
      <c r="A676" s="156">
        <v>639</v>
      </c>
      <c r="B676" s="157">
        <v>5</v>
      </c>
      <c r="C676" s="158" t="s">
        <v>1127</v>
      </c>
      <c r="D676" s="159">
        <v>849113028</v>
      </c>
      <c r="E676" s="160" t="s">
        <v>1070</v>
      </c>
      <c r="F676" s="161">
        <v>2013</v>
      </c>
      <c r="G676" s="162" t="s">
        <v>33</v>
      </c>
      <c r="H676" s="163" t="str">
        <f t="shared" si="32"/>
        <v xml:space="preserve">   </v>
      </c>
      <c r="I676" s="163">
        <f t="shared" si="33"/>
        <v>42504</v>
      </c>
    </row>
    <row r="677" spans="1:9" s="2" customFormat="1" hidden="1" x14ac:dyDescent="0.25">
      <c r="A677" s="156">
        <v>640</v>
      </c>
      <c r="B677" s="157">
        <v>6</v>
      </c>
      <c r="C677" s="158" t="s">
        <v>1128</v>
      </c>
      <c r="D677" s="159">
        <v>849113029</v>
      </c>
      <c r="E677" s="160" t="s">
        <v>1070</v>
      </c>
      <c r="F677" s="161">
        <v>2013</v>
      </c>
      <c r="G677" s="162" t="s">
        <v>33</v>
      </c>
      <c r="H677" s="163" t="str">
        <f t="shared" si="32"/>
        <v xml:space="preserve">   </v>
      </c>
      <c r="I677" s="163">
        <f t="shared" si="33"/>
        <v>42329</v>
      </c>
    </row>
    <row r="678" spans="1:9" s="2" customFormat="1" hidden="1" x14ac:dyDescent="0.25">
      <c r="A678" s="156">
        <v>641</v>
      </c>
      <c r="B678" s="157">
        <v>7</v>
      </c>
      <c r="C678" s="158" t="s">
        <v>1129</v>
      </c>
      <c r="D678" s="159">
        <v>849113030</v>
      </c>
      <c r="E678" s="160" t="s">
        <v>1070</v>
      </c>
      <c r="F678" s="161">
        <v>2013</v>
      </c>
      <c r="G678" s="162" t="s">
        <v>33</v>
      </c>
      <c r="H678" s="163" t="str">
        <f t="shared" si="32"/>
        <v xml:space="preserve">   </v>
      </c>
      <c r="I678" s="163">
        <f t="shared" si="33"/>
        <v>42329</v>
      </c>
    </row>
    <row r="679" spans="1:9" s="2" customFormat="1" hidden="1" x14ac:dyDescent="0.25">
      <c r="A679" s="164">
        <v>642</v>
      </c>
      <c r="B679" s="253">
        <v>8</v>
      </c>
      <c r="C679" s="166" t="s">
        <v>1130</v>
      </c>
      <c r="D679" s="174">
        <v>849113031</v>
      </c>
      <c r="E679" s="168" t="s">
        <v>1070</v>
      </c>
      <c r="F679" s="169">
        <v>2013</v>
      </c>
      <c r="G679" s="170" t="s">
        <v>1077</v>
      </c>
      <c r="H679" s="215" t="str">
        <f t="shared" si="32"/>
        <v xml:space="preserve">   </v>
      </c>
      <c r="I679" s="215" t="str">
        <f t="shared" si="33"/>
        <v xml:space="preserve">   </v>
      </c>
    </row>
    <row r="680" spans="1:9" s="2" customFormat="1" hidden="1" x14ac:dyDescent="0.25">
      <c r="A680" s="156">
        <v>643</v>
      </c>
      <c r="B680" s="157">
        <v>9</v>
      </c>
      <c r="C680" s="158" t="s">
        <v>1132</v>
      </c>
      <c r="D680" s="159">
        <v>849113032</v>
      </c>
      <c r="E680" s="160" t="s">
        <v>1070</v>
      </c>
      <c r="F680" s="161">
        <v>2013</v>
      </c>
      <c r="G680" s="162" t="s">
        <v>33</v>
      </c>
      <c r="H680" s="163" t="str">
        <f t="shared" si="32"/>
        <v xml:space="preserve">   </v>
      </c>
      <c r="I680" s="163">
        <f t="shared" si="33"/>
        <v>42329</v>
      </c>
    </row>
    <row r="681" spans="1:9" s="2" customFormat="1" hidden="1" x14ac:dyDescent="0.25">
      <c r="A681" s="156">
        <v>644</v>
      </c>
      <c r="B681" s="157">
        <v>10</v>
      </c>
      <c r="C681" s="158" t="s">
        <v>1133</v>
      </c>
      <c r="D681" s="159">
        <v>849113034</v>
      </c>
      <c r="E681" s="160" t="s">
        <v>1070</v>
      </c>
      <c r="F681" s="161">
        <v>2013</v>
      </c>
      <c r="G681" s="162" t="s">
        <v>33</v>
      </c>
      <c r="H681" s="254" t="str">
        <f t="shared" si="32"/>
        <v xml:space="preserve">   </v>
      </c>
      <c r="I681" s="254" t="str">
        <f t="shared" si="33"/>
        <v xml:space="preserve">   </v>
      </c>
    </row>
    <row r="682" spans="1:9" s="2" customFormat="1" hidden="1" x14ac:dyDescent="0.25">
      <c r="A682" s="164">
        <v>645</v>
      </c>
      <c r="B682" s="253">
        <v>11</v>
      </c>
      <c r="C682" s="166" t="s">
        <v>1134</v>
      </c>
      <c r="D682" s="174">
        <v>849113037</v>
      </c>
      <c r="E682" s="168" t="s">
        <v>1070</v>
      </c>
      <c r="F682" s="169">
        <v>2013</v>
      </c>
      <c r="G682" s="170" t="s">
        <v>1077</v>
      </c>
      <c r="H682" s="215" t="str">
        <f t="shared" si="32"/>
        <v xml:space="preserve">   </v>
      </c>
      <c r="I682" s="215" t="str">
        <f t="shared" si="33"/>
        <v xml:space="preserve">   </v>
      </c>
    </row>
    <row r="683" spans="1:9" s="2" customFormat="1" hidden="1" x14ac:dyDescent="0.25">
      <c r="A683" s="156">
        <v>646</v>
      </c>
      <c r="B683" s="157">
        <v>12</v>
      </c>
      <c r="C683" s="158" t="s">
        <v>1135</v>
      </c>
      <c r="D683" s="159">
        <v>849113038</v>
      </c>
      <c r="E683" s="160" t="s">
        <v>1070</v>
      </c>
      <c r="F683" s="161">
        <v>2013</v>
      </c>
      <c r="G683" s="162" t="s">
        <v>33</v>
      </c>
      <c r="H683" s="163" t="str">
        <f t="shared" si="32"/>
        <v xml:space="preserve">   </v>
      </c>
      <c r="I683" s="163">
        <f t="shared" si="33"/>
        <v>42329</v>
      </c>
    </row>
    <row r="684" spans="1:9" s="2" customFormat="1" hidden="1" x14ac:dyDescent="0.25">
      <c r="A684" s="156">
        <v>647</v>
      </c>
      <c r="B684" s="157">
        <v>13</v>
      </c>
      <c r="C684" s="158" t="s">
        <v>1136</v>
      </c>
      <c r="D684" s="159">
        <v>849113039</v>
      </c>
      <c r="E684" s="160" t="s">
        <v>1070</v>
      </c>
      <c r="F684" s="161">
        <v>2013</v>
      </c>
      <c r="G684" s="162" t="s">
        <v>33</v>
      </c>
      <c r="H684" s="163" t="str">
        <f t="shared" si="32"/>
        <v xml:space="preserve">   </v>
      </c>
      <c r="I684" s="163">
        <f t="shared" si="33"/>
        <v>42329</v>
      </c>
    </row>
    <row r="685" spans="1:9" s="2" customFormat="1" hidden="1" x14ac:dyDescent="0.25">
      <c r="A685" s="156">
        <v>648</v>
      </c>
      <c r="B685" s="157">
        <v>14</v>
      </c>
      <c r="C685" s="158" t="s">
        <v>1137</v>
      </c>
      <c r="D685" s="159">
        <v>849113040</v>
      </c>
      <c r="E685" s="160" t="s">
        <v>1070</v>
      </c>
      <c r="F685" s="161">
        <v>2013</v>
      </c>
      <c r="G685" s="162" t="s">
        <v>33</v>
      </c>
      <c r="H685" s="163">
        <f t="shared" si="32"/>
        <v>42732</v>
      </c>
      <c r="I685" s="163">
        <f t="shared" si="33"/>
        <v>42861</v>
      </c>
    </row>
    <row r="686" spans="1:9" s="2" customFormat="1" hidden="1" x14ac:dyDescent="0.25">
      <c r="A686" s="156">
        <v>649</v>
      </c>
      <c r="B686" s="157">
        <v>15</v>
      </c>
      <c r="C686" s="158" t="s">
        <v>1138</v>
      </c>
      <c r="D686" s="159">
        <v>849113041</v>
      </c>
      <c r="E686" s="160" t="s">
        <v>1070</v>
      </c>
      <c r="F686" s="161">
        <v>2013</v>
      </c>
      <c r="G686" s="162" t="s">
        <v>33</v>
      </c>
      <c r="H686" s="163" t="str">
        <f t="shared" si="32"/>
        <v xml:space="preserve">   </v>
      </c>
      <c r="I686" s="163">
        <f t="shared" si="33"/>
        <v>42329</v>
      </c>
    </row>
    <row r="687" spans="1:9" s="2" customFormat="1" hidden="1" x14ac:dyDescent="0.25">
      <c r="A687" s="156">
        <v>650</v>
      </c>
      <c r="B687" s="157">
        <v>16</v>
      </c>
      <c r="C687" s="158" t="s">
        <v>356</v>
      </c>
      <c r="D687" s="159">
        <v>849113042</v>
      </c>
      <c r="E687" s="160" t="s">
        <v>1070</v>
      </c>
      <c r="F687" s="161">
        <v>2013</v>
      </c>
      <c r="G687" s="162" t="s">
        <v>33</v>
      </c>
      <c r="H687" s="163" t="str">
        <f t="shared" si="32"/>
        <v xml:space="preserve">   </v>
      </c>
      <c r="I687" s="163">
        <f t="shared" si="33"/>
        <v>42329</v>
      </c>
    </row>
    <row r="688" spans="1:9" s="2" customFormat="1" hidden="1" x14ac:dyDescent="0.25">
      <c r="A688" s="156">
        <v>651</v>
      </c>
      <c r="B688" s="157">
        <v>17</v>
      </c>
      <c r="C688" s="158" t="s">
        <v>1139</v>
      </c>
      <c r="D688" s="159">
        <v>849113043</v>
      </c>
      <c r="E688" s="160" t="s">
        <v>1070</v>
      </c>
      <c r="F688" s="161">
        <v>2013</v>
      </c>
      <c r="G688" s="162" t="s">
        <v>33</v>
      </c>
      <c r="H688" s="163" t="str">
        <f t="shared" si="32"/>
        <v xml:space="preserve">   </v>
      </c>
      <c r="I688" s="163">
        <f t="shared" si="33"/>
        <v>42329</v>
      </c>
    </row>
    <row r="689" spans="1:9" s="2" customFormat="1" hidden="1" x14ac:dyDescent="0.25">
      <c r="A689" s="240">
        <v>652</v>
      </c>
      <c r="B689" s="255">
        <v>18</v>
      </c>
      <c r="C689" s="256" t="s">
        <v>1140</v>
      </c>
      <c r="D689" s="257">
        <v>849113044</v>
      </c>
      <c r="E689" s="244" t="s">
        <v>1070</v>
      </c>
      <c r="F689" s="258">
        <v>2013</v>
      </c>
      <c r="G689" s="170" t="s">
        <v>1077</v>
      </c>
      <c r="H689" s="246" t="str">
        <f t="shared" si="32"/>
        <v xml:space="preserve">   </v>
      </c>
      <c r="I689" s="246" t="str">
        <f t="shared" si="33"/>
        <v xml:space="preserve">   </v>
      </c>
    </row>
    <row r="690" spans="1:9" s="4" customFormat="1" hidden="1" x14ac:dyDescent="0.25">
      <c r="A690" s="187"/>
      <c r="B690" s="188"/>
      <c r="C690" s="189"/>
      <c r="D690" s="190"/>
      <c r="E690" s="191" t="s">
        <v>61</v>
      </c>
      <c r="F690" s="192" t="s">
        <v>61</v>
      </c>
      <c r="G690" s="192" t="s">
        <v>61</v>
      </c>
      <c r="H690" s="193"/>
      <c r="I690" s="193"/>
    </row>
    <row r="691" spans="1:9" s="2" customFormat="1" hidden="1" x14ac:dyDescent="0.25">
      <c r="A691" s="194" t="s">
        <v>1122</v>
      </c>
      <c r="B691" s="259"/>
      <c r="C691" s="260"/>
      <c r="D691" s="261"/>
      <c r="E691" s="198" t="s">
        <v>1096</v>
      </c>
      <c r="F691" s="199" t="s">
        <v>1096</v>
      </c>
      <c r="G691" s="146">
        <v>3000000</v>
      </c>
      <c r="H691" s="232" t="str">
        <f t="shared" ref="H691:H716" si="34">IFERROR(VLOOKUP(D691,Tlus,3,FALSE),"   ")</f>
        <v xml:space="preserve">   </v>
      </c>
      <c r="I691" s="232" t="str">
        <f t="shared" ref="I691:I716" si="35">IFERROR(VLOOKUP(D691,Wis,4,FALSE),"   ")</f>
        <v xml:space="preserve">   </v>
      </c>
    </row>
    <row r="692" spans="1:9" s="2" customFormat="1" hidden="1" x14ac:dyDescent="0.25">
      <c r="A692" s="200">
        <v>653</v>
      </c>
      <c r="B692" s="262">
        <v>1</v>
      </c>
      <c r="C692" s="150" t="s">
        <v>1142</v>
      </c>
      <c r="D692" s="151">
        <v>849113052</v>
      </c>
      <c r="E692" s="152" t="s">
        <v>1070</v>
      </c>
      <c r="F692" s="153" t="s">
        <v>1143</v>
      </c>
      <c r="G692" s="154" t="s">
        <v>33</v>
      </c>
      <c r="H692" s="163" t="str">
        <f t="shared" si="34"/>
        <v xml:space="preserve">   </v>
      </c>
      <c r="I692" s="155">
        <f t="shared" si="35"/>
        <v>42504</v>
      </c>
    </row>
    <row r="693" spans="1:9" s="2" customFormat="1" hidden="1" x14ac:dyDescent="0.25">
      <c r="A693" s="156">
        <v>654</v>
      </c>
      <c r="B693" s="157">
        <v>2</v>
      </c>
      <c r="C693" s="158" t="s">
        <v>1144</v>
      </c>
      <c r="D693" s="159">
        <v>849113053</v>
      </c>
      <c r="E693" s="160" t="s">
        <v>1070</v>
      </c>
      <c r="F693" s="161" t="s">
        <v>1143</v>
      </c>
      <c r="G693" s="162" t="s">
        <v>33</v>
      </c>
      <c r="H693" s="163">
        <f t="shared" si="34"/>
        <v>42693</v>
      </c>
      <c r="I693" s="163">
        <f t="shared" si="35"/>
        <v>42693</v>
      </c>
    </row>
    <row r="694" spans="1:9" s="2" customFormat="1" hidden="1" x14ac:dyDescent="0.25">
      <c r="A694" s="156">
        <v>655</v>
      </c>
      <c r="B694" s="157">
        <v>3</v>
      </c>
      <c r="C694" s="158" t="s">
        <v>1145</v>
      </c>
      <c r="D694" s="159">
        <v>849113056</v>
      </c>
      <c r="E694" s="160" t="s">
        <v>1070</v>
      </c>
      <c r="F694" s="161" t="s">
        <v>1143</v>
      </c>
      <c r="G694" s="162" t="s">
        <v>33</v>
      </c>
      <c r="H694" s="163">
        <f t="shared" si="34"/>
        <v>42693</v>
      </c>
      <c r="I694" s="163">
        <f t="shared" si="35"/>
        <v>42693</v>
      </c>
    </row>
    <row r="695" spans="1:9" s="2" customFormat="1" hidden="1" x14ac:dyDescent="0.25">
      <c r="A695" s="164">
        <v>656</v>
      </c>
      <c r="B695" s="253">
        <v>4</v>
      </c>
      <c r="C695" s="173" t="s">
        <v>1147</v>
      </c>
      <c r="D695" s="263">
        <v>849113060</v>
      </c>
      <c r="E695" s="264" t="s">
        <v>1070</v>
      </c>
      <c r="F695" s="175" t="s">
        <v>1143</v>
      </c>
      <c r="G695" s="170" t="s">
        <v>1077</v>
      </c>
      <c r="H695" s="265" t="str">
        <f t="shared" si="34"/>
        <v xml:space="preserve">   </v>
      </c>
      <c r="I695" s="265" t="str">
        <f t="shared" si="35"/>
        <v xml:space="preserve">   </v>
      </c>
    </row>
    <row r="696" spans="1:9" s="2" customFormat="1" hidden="1" x14ac:dyDescent="0.25">
      <c r="A696" s="156">
        <v>657</v>
      </c>
      <c r="B696" s="157">
        <v>5</v>
      </c>
      <c r="C696" s="158" t="s">
        <v>1148</v>
      </c>
      <c r="D696" s="159">
        <v>849113048</v>
      </c>
      <c r="E696" s="160" t="s">
        <v>1070</v>
      </c>
      <c r="F696" s="161" t="s">
        <v>1143</v>
      </c>
      <c r="G696" s="162" t="s">
        <v>33</v>
      </c>
      <c r="H696" s="163">
        <f t="shared" si="34"/>
        <v>42693</v>
      </c>
      <c r="I696" s="163">
        <f t="shared" si="35"/>
        <v>42693</v>
      </c>
    </row>
    <row r="697" spans="1:9" s="2" customFormat="1" hidden="1" x14ac:dyDescent="0.25">
      <c r="A697" s="164">
        <v>658</v>
      </c>
      <c r="B697" s="253">
        <v>6</v>
      </c>
      <c r="C697" s="173" t="s">
        <v>1149</v>
      </c>
      <c r="D697" s="263">
        <v>849113050</v>
      </c>
      <c r="E697" s="264" t="s">
        <v>1070</v>
      </c>
      <c r="F697" s="175" t="s">
        <v>1143</v>
      </c>
      <c r="G697" s="170" t="s">
        <v>1077</v>
      </c>
      <c r="H697" s="265" t="str">
        <f t="shared" si="34"/>
        <v xml:space="preserve">   </v>
      </c>
      <c r="I697" s="265" t="str">
        <f t="shared" si="35"/>
        <v xml:space="preserve">   </v>
      </c>
    </row>
    <row r="698" spans="1:9" s="2" customFormat="1" hidden="1" x14ac:dyDescent="0.25">
      <c r="A698" s="156">
        <v>659</v>
      </c>
      <c r="B698" s="157">
        <v>7</v>
      </c>
      <c r="C698" s="158" t="s">
        <v>1150</v>
      </c>
      <c r="D698" s="159">
        <v>849113083</v>
      </c>
      <c r="E698" s="160" t="s">
        <v>1070</v>
      </c>
      <c r="F698" s="161" t="s">
        <v>1143</v>
      </c>
      <c r="G698" s="162" t="s">
        <v>33</v>
      </c>
      <c r="H698" s="163">
        <f t="shared" si="34"/>
        <v>42693</v>
      </c>
      <c r="I698" s="163">
        <f t="shared" si="35"/>
        <v>42693</v>
      </c>
    </row>
    <row r="699" spans="1:9" s="2" customFormat="1" hidden="1" x14ac:dyDescent="0.25">
      <c r="A699" s="156">
        <v>660</v>
      </c>
      <c r="B699" s="157">
        <v>8</v>
      </c>
      <c r="C699" s="158" t="s">
        <v>1151</v>
      </c>
      <c r="D699" s="159">
        <v>849113057</v>
      </c>
      <c r="E699" s="160" t="s">
        <v>1070</v>
      </c>
      <c r="F699" s="161" t="s">
        <v>1143</v>
      </c>
      <c r="G699" s="162" t="s">
        <v>33</v>
      </c>
      <c r="H699" s="163">
        <f t="shared" si="34"/>
        <v>42693</v>
      </c>
      <c r="I699" s="163">
        <f t="shared" si="35"/>
        <v>42693</v>
      </c>
    </row>
    <row r="700" spans="1:9" s="2" customFormat="1" hidden="1" x14ac:dyDescent="0.25">
      <c r="A700" s="156">
        <v>661</v>
      </c>
      <c r="B700" s="157">
        <v>9</v>
      </c>
      <c r="C700" s="158" t="s">
        <v>1152</v>
      </c>
      <c r="D700" s="159">
        <v>849113055</v>
      </c>
      <c r="E700" s="160" t="s">
        <v>1070</v>
      </c>
      <c r="F700" s="161" t="s">
        <v>1143</v>
      </c>
      <c r="G700" s="162" t="s">
        <v>33</v>
      </c>
      <c r="H700" s="163">
        <f t="shared" si="34"/>
        <v>42693</v>
      </c>
      <c r="I700" s="163">
        <f t="shared" si="35"/>
        <v>42693</v>
      </c>
    </row>
    <row r="701" spans="1:9" s="2" customFormat="1" hidden="1" x14ac:dyDescent="0.25">
      <c r="A701" s="156">
        <v>662</v>
      </c>
      <c r="B701" s="157">
        <v>10</v>
      </c>
      <c r="C701" s="158" t="s">
        <v>1153</v>
      </c>
      <c r="D701" s="159">
        <v>849113046</v>
      </c>
      <c r="E701" s="160" t="s">
        <v>1070</v>
      </c>
      <c r="F701" s="161" t="s">
        <v>1143</v>
      </c>
      <c r="G701" s="162" t="s">
        <v>33</v>
      </c>
      <c r="H701" s="163">
        <f t="shared" si="34"/>
        <v>42693</v>
      </c>
      <c r="I701" s="163">
        <f t="shared" si="35"/>
        <v>42693</v>
      </c>
    </row>
    <row r="702" spans="1:9" s="2" customFormat="1" hidden="1" x14ac:dyDescent="0.25">
      <c r="A702" s="156">
        <v>663</v>
      </c>
      <c r="B702" s="176">
        <v>11</v>
      </c>
      <c r="C702" s="177" t="s">
        <v>1154</v>
      </c>
      <c r="D702" s="178">
        <v>849113086</v>
      </c>
      <c r="E702" s="179" t="s">
        <v>1070</v>
      </c>
      <c r="F702" s="161" t="s">
        <v>1143</v>
      </c>
      <c r="G702" s="162" t="s">
        <v>33</v>
      </c>
      <c r="H702" s="163">
        <f t="shared" si="34"/>
        <v>43481</v>
      </c>
      <c r="I702" s="266">
        <f t="shared" si="35"/>
        <v>44168</v>
      </c>
    </row>
    <row r="703" spans="1:9" s="2" customFormat="1" hidden="1" x14ac:dyDescent="0.25">
      <c r="A703" s="156">
        <v>664</v>
      </c>
      <c r="B703" s="157">
        <v>12</v>
      </c>
      <c r="C703" s="158" t="s">
        <v>1155</v>
      </c>
      <c r="D703" s="159">
        <v>849113059</v>
      </c>
      <c r="E703" s="160" t="s">
        <v>1070</v>
      </c>
      <c r="F703" s="161" t="s">
        <v>1143</v>
      </c>
      <c r="G703" s="162" t="s">
        <v>33</v>
      </c>
      <c r="H703" s="163">
        <f t="shared" si="34"/>
        <v>42693</v>
      </c>
      <c r="I703" s="163">
        <f t="shared" si="35"/>
        <v>42693</v>
      </c>
    </row>
    <row r="704" spans="1:9" s="2" customFormat="1" hidden="1" x14ac:dyDescent="0.25">
      <c r="A704" s="156">
        <v>665</v>
      </c>
      <c r="B704" s="157">
        <v>13</v>
      </c>
      <c r="C704" s="158" t="s">
        <v>1156</v>
      </c>
      <c r="D704" s="159">
        <v>849113085</v>
      </c>
      <c r="E704" s="160" t="s">
        <v>1070</v>
      </c>
      <c r="F704" s="161" t="s">
        <v>1143</v>
      </c>
      <c r="G704" s="162" t="s">
        <v>33</v>
      </c>
      <c r="H704" s="163">
        <f t="shared" si="34"/>
        <v>42693</v>
      </c>
      <c r="I704" s="163">
        <f t="shared" si="35"/>
        <v>42693</v>
      </c>
    </row>
    <row r="705" spans="1:9" s="2" customFormat="1" hidden="1" x14ac:dyDescent="0.25">
      <c r="A705" s="156">
        <v>666</v>
      </c>
      <c r="B705" s="157">
        <v>14</v>
      </c>
      <c r="C705" s="158" t="s">
        <v>1157</v>
      </c>
      <c r="D705" s="159">
        <v>849113066</v>
      </c>
      <c r="E705" s="160" t="s">
        <v>1070</v>
      </c>
      <c r="F705" s="161" t="s">
        <v>1143</v>
      </c>
      <c r="G705" s="162" t="s">
        <v>33</v>
      </c>
      <c r="H705" s="163">
        <f t="shared" si="34"/>
        <v>42693</v>
      </c>
      <c r="I705" s="163">
        <f t="shared" si="35"/>
        <v>42693</v>
      </c>
    </row>
    <row r="706" spans="1:9" s="2" customFormat="1" hidden="1" x14ac:dyDescent="0.25">
      <c r="A706" s="164">
        <v>667</v>
      </c>
      <c r="B706" s="253">
        <v>15</v>
      </c>
      <c r="C706" s="173" t="s">
        <v>1159</v>
      </c>
      <c r="D706" s="263">
        <v>849113045</v>
      </c>
      <c r="E706" s="264" t="s">
        <v>1070</v>
      </c>
      <c r="F706" s="175" t="s">
        <v>1143</v>
      </c>
      <c r="G706" s="170" t="s">
        <v>1077</v>
      </c>
      <c r="H706" s="265" t="str">
        <f t="shared" si="34"/>
        <v xml:space="preserve">   </v>
      </c>
      <c r="I706" s="265" t="str">
        <f t="shared" si="35"/>
        <v xml:space="preserve">   </v>
      </c>
    </row>
    <row r="707" spans="1:9" s="2" customFormat="1" hidden="1" x14ac:dyDescent="0.25">
      <c r="A707" s="156">
        <v>668</v>
      </c>
      <c r="B707" s="157">
        <v>16</v>
      </c>
      <c r="C707" s="158" t="s">
        <v>1160</v>
      </c>
      <c r="D707" s="159">
        <v>849113047</v>
      </c>
      <c r="E707" s="179" t="s">
        <v>1070</v>
      </c>
      <c r="F707" s="161" t="s">
        <v>1143</v>
      </c>
      <c r="G707" s="162" t="s">
        <v>33</v>
      </c>
      <c r="H707" s="163">
        <f t="shared" si="34"/>
        <v>43509</v>
      </c>
      <c r="I707" s="287" t="str">
        <f t="shared" si="35"/>
        <v xml:space="preserve">   </v>
      </c>
    </row>
    <row r="708" spans="1:9" s="2" customFormat="1" hidden="1" x14ac:dyDescent="0.25">
      <c r="A708" s="234">
        <v>669</v>
      </c>
      <c r="B708" s="235">
        <v>17</v>
      </c>
      <c r="C708" s="233" t="s">
        <v>1161</v>
      </c>
      <c r="D708" s="236">
        <v>849113054</v>
      </c>
      <c r="E708" s="237" t="s">
        <v>1070</v>
      </c>
      <c r="F708" s="238" t="s">
        <v>1143</v>
      </c>
      <c r="G708" s="214" t="s">
        <v>1077</v>
      </c>
      <c r="H708" s="239" t="str">
        <f t="shared" si="34"/>
        <v xml:space="preserve">   </v>
      </c>
      <c r="I708" s="239" t="str">
        <f t="shared" si="35"/>
        <v xml:space="preserve">   </v>
      </c>
    </row>
    <row r="709" spans="1:9" s="2" customFormat="1" hidden="1" x14ac:dyDescent="0.25">
      <c r="A709" s="164">
        <v>670</v>
      </c>
      <c r="B709" s="253">
        <v>18</v>
      </c>
      <c r="C709" s="173" t="s">
        <v>1163</v>
      </c>
      <c r="D709" s="263">
        <v>849113084</v>
      </c>
      <c r="E709" s="264" t="s">
        <v>1070</v>
      </c>
      <c r="F709" s="175" t="s">
        <v>1143</v>
      </c>
      <c r="G709" s="170" t="s">
        <v>1077</v>
      </c>
      <c r="H709" s="265" t="str">
        <f t="shared" si="34"/>
        <v xml:space="preserve">   </v>
      </c>
      <c r="I709" s="265" t="str">
        <f t="shared" si="35"/>
        <v xml:space="preserve">   </v>
      </c>
    </row>
    <row r="710" spans="1:9" s="2" customFormat="1" hidden="1" x14ac:dyDescent="0.25">
      <c r="A710" s="164">
        <v>671</v>
      </c>
      <c r="B710" s="253">
        <v>19</v>
      </c>
      <c r="C710" s="173" t="s">
        <v>1164</v>
      </c>
      <c r="D710" s="263">
        <v>849113049</v>
      </c>
      <c r="E710" s="264" t="s">
        <v>1070</v>
      </c>
      <c r="F710" s="175" t="s">
        <v>1143</v>
      </c>
      <c r="G710" s="170" t="s">
        <v>1077</v>
      </c>
      <c r="H710" s="265" t="str">
        <f t="shared" si="34"/>
        <v xml:space="preserve">   </v>
      </c>
      <c r="I710" s="265" t="str">
        <f t="shared" si="35"/>
        <v xml:space="preserve">   </v>
      </c>
    </row>
    <row r="711" spans="1:9" s="2" customFormat="1" hidden="1" x14ac:dyDescent="0.25">
      <c r="A711" s="164">
        <v>672</v>
      </c>
      <c r="B711" s="253">
        <v>20</v>
      </c>
      <c r="C711" s="173" t="s">
        <v>1165</v>
      </c>
      <c r="D711" s="263">
        <v>849113065</v>
      </c>
      <c r="E711" s="264" t="s">
        <v>1070</v>
      </c>
      <c r="F711" s="175" t="s">
        <v>1143</v>
      </c>
      <c r="G711" s="170" t="s">
        <v>1077</v>
      </c>
      <c r="H711" s="265" t="str">
        <f t="shared" si="34"/>
        <v xml:space="preserve">   </v>
      </c>
      <c r="I711" s="265" t="str">
        <f t="shared" si="35"/>
        <v xml:space="preserve">   </v>
      </c>
    </row>
    <row r="712" spans="1:9" s="2" customFormat="1" hidden="1" x14ac:dyDescent="0.25">
      <c r="A712" s="234">
        <v>673</v>
      </c>
      <c r="B712" s="235">
        <v>21</v>
      </c>
      <c r="C712" s="233" t="s">
        <v>1167</v>
      </c>
      <c r="D712" s="236">
        <v>849113063</v>
      </c>
      <c r="E712" s="237" t="s">
        <v>1070</v>
      </c>
      <c r="F712" s="238" t="s">
        <v>1143</v>
      </c>
      <c r="G712" s="214" t="s">
        <v>1077</v>
      </c>
      <c r="H712" s="239" t="str">
        <f t="shared" si="34"/>
        <v xml:space="preserve">   </v>
      </c>
      <c r="I712" s="239" t="str">
        <f t="shared" si="35"/>
        <v xml:space="preserve">   </v>
      </c>
    </row>
    <row r="713" spans="1:9" s="2" customFormat="1" hidden="1" x14ac:dyDescent="0.25">
      <c r="A713" s="156">
        <v>674</v>
      </c>
      <c r="B713" s="157">
        <v>22</v>
      </c>
      <c r="C713" s="158" t="s">
        <v>1169</v>
      </c>
      <c r="D713" s="159">
        <v>849113061</v>
      </c>
      <c r="E713" s="160" t="s">
        <v>1070</v>
      </c>
      <c r="F713" s="161" t="s">
        <v>1143</v>
      </c>
      <c r="G713" s="162" t="s">
        <v>33</v>
      </c>
      <c r="H713" s="163">
        <f t="shared" si="34"/>
        <v>42684</v>
      </c>
      <c r="I713" s="163">
        <f t="shared" si="35"/>
        <v>42861</v>
      </c>
    </row>
    <row r="714" spans="1:9" s="2" customFormat="1" hidden="1" x14ac:dyDescent="0.25">
      <c r="A714" s="156">
        <v>675</v>
      </c>
      <c r="B714" s="157">
        <v>23</v>
      </c>
      <c r="C714" s="158" t="s">
        <v>1170</v>
      </c>
      <c r="D714" s="159">
        <v>849113067</v>
      </c>
      <c r="E714" s="160" t="s">
        <v>1070</v>
      </c>
      <c r="F714" s="161" t="s">
        <v>1143</v>
      </c>
      <c r="G714" s="162" t="s">
        <v>33</v>
      </c>
      <c r="H714" s="163">
        <f t="shared" si="34"/>
        <v>42693</v>
      </c>
      <c r="I714" s="163">
        <f t="shared" si="35"/>
        <v>42693</v>
      </c>
    </row>
    <row r="715" spans="1:9" s="2" customFormat="1" hidden="1" x14ac:dyDescent="0.25">
      <c r="A715" s="164">
        <v>676</v>
      </c>
      <c r="B715" s="253">
        <v>24</v>
      </c>
      <c r="C715" s="173" t="s">
        <v>1171</v>
      </c>
      <c r="D715" s="263">
        <v>849113064</v>
      </c>
      <c r="E715" s="264" t="s">
        <v>1070</v>
      </c>
      <c r="F715" s="175" t="s">
        <v>1143</v>
      </c>
      <c r="G715" s="170" t="s">
        <v>1077</v>
      </c>
      <c r="H715" s="265" t="str">
        <f t="shared" si="34"/>
        <v xml:space="preserve">   </v>
      </c>
      <c r="I715" s="265" t="str">
        <f t="shared" si="35"/>
        <v xml:space="preserve">   </v>
      </c>
    </row>
    <row r="716" spans="1:9" s="2" customFormat="1" hidden="1" x14ac:dyDescent="0.25">
      <c r="A716" s="180">
        <v>677</v>
      </c>
      <c r="B716" s="181">
        <v>25</v>
      </c>
      <c r="C716" s="182" t="s">
        <v>1172</v>
      </c>
      <c r="D716" s="183">
        <v>849113092</v>
      </c>
      <c r="E716" s="184" t="s">
        <v>1070</v>
      </c>
      <c r="F716" s="185" t="s">
        <v>1143</v>
      </c>
      <c r="G716" s="186" t="s">
        <v>33</v>
      </c>
      <c r="H716" s="163">
        <f t="shared" si="34"/>
        <v>42874</v>
      </c>
      <c r="I716" s="284">
        <f t="shared" si="35"/>
        <v>43064</v>
      </c>
    </row>
    <row r="717" spans="1:9" s="4" customFormat="1" hidden="1" x14ac:dyDescent="0.25">
      <c r="A717" s="187"/>
      <c r="B717" s="267"/>
      <c r="C717" s="268"/>
      <c r="D717" s="269"/>
      <c r="E717" s="270" t="s">
        <v>61</v>
      </c>
      <c r="F717" s="267" t="s">
        <v>61</v>
      </c>
      <c r="G717" s="192" t="s">
        <v>61</v>
      </c>
      <c r="H717" s="193"/>
      <c r="I717" s="193"/>
    </row>
    <row r="718" spans="1:9" s="2" customFormat="1" hidden="1" x14ac:dyDescent="0.25">
      <c r="A718" s="194" t="s">
        <v>1173</v>
      </c>
      <c r="B718" s="259"/>
      <c r="C718" s="271"/>
      <c r="D718" s="252"/>
      <c r="E718" s="198" t="s">
        <v>1096</v>
      </c>
      <c r="F718" s="199" t="s">
        <v>1096</v>
      </c>
      <c r="G718" s="146">
        <v>3000000</v>
      </c>
      <c r="H718" s="232" t="str">
        <f t="shared" ref="H718:H736" si="36">IFERROR(VLOOKUP(D718,Tlus,3,FALSE),"   ")</f>
        <v xml:space="preserve">   </v>
      </c>
      <c r="I718" s="232" t="str">
        <f t="shared" ref="I718:I736" si="37">IFERROR(VLOOKUP(D718,Wis,4,FALSE),"   ")</f>
        <v xml:space="preserve">   </v>
      </c>
    </row>
    <row r="719" spans="1:9" s="2" customFormat="1" hidden="1" x14ac:dyDescent="0.25">
      <c r="A719" s="200">
        <v>678</v>
      </c>
      <c r="B719" s="262">
        <v>1</v>
      </c>
      <c r="C719" s="150" t="s">
        <v>1174</v>
      </c>
      <c r="D719" s="151">
        <v>849113080</v>
      </c>
      <c r="E719" s="152" t="s">
        <v>1070</v>
      </c>
      <c r="F719" s="153">
        <v>2013</v>
      </c>
      <c r="G719" s="154" t="s">
        <v>33</v>
      </c>
      <c r="H719" s="163" t="str">
        <f t="shared" si="36"/>
        <v xml:space="preserve">   </v>
      </c>
      <c r="I719" s="155">
        <f t="shared" si="37"/>
        <v>42504</v>
      </c>
    </row>
    <row r="720" spans="1:9" s="2" customFormat="1" hidden="1" x14ac:dyDescent="0.25">
      <c r="A720" s="156">
        <v>679</v>
      </c>
      <c r="B720" s="157">
        <v>2</v>
      </c>
      <c r="C720" s="158" t="s">
        <v>1175</v>
      </c>
      <c r="D720" s="159">
        <v>849113082</v>
      </c>
      <c r="E720" s="160" t="s">
        <v>1070</v>
      </c>
      <c r="F720" s="161">
        <v>2013</v>
      </c>
      <c r="G720" s="162" t="s">
        <v>33</v>
      </c>
      <c r="H720" s="163">
        <f t="shared" si="36"/>
        <v>42693</v>
      </c>
      <c r="I720" s="163">
        <f t="shared" si="37"/>
        <v>42693</v>
      </c>
    </row>
    <row r="721" spans="1:9" s="2" customFormat="1" hidden="1" x14ac:dyDescent="0.25">
      <c r="A721" s="156">
        <v>680</v>
      </c>
      <c r="B721" s="157">
        <v>3</v>
      </c>
      <c r="C721" s="158" t="s">
        <v>1177</v>
      </c>
      <c r="D721" s="159">
        <v>849113081</v>
      </c>
      <c r="E721" s="160" t="s">
        <v>1070</v>
      </c>
      <c r="F721" s="161">
        <v>2013</v>
      </c>
      <c r="G721" s="162" t="s">
        <v>33</v>
      </c>
      <c r="H721" s="163">
        <f t="shared" si="36"/>
        <v>42693</v>
      </c>
      <c r="I721" s="163">
        <f t="shared" si="37"/>
        <v>42693</v>
      </c>
    </row>
    <row r="722" spans="1:9" s="2" customFormat="1" hidden="1" x14ac:dyDescent="0.25">
      <c r="A722" s="164">
        <v>681</v>
      </c>
      <c r="B722" s="253">
        <v>4</v>
      </c>
      <c r="C722" s="173" t="s">
        <v>1178</v>
      </c>
      <c r="D722" s="263">
        <v>849113072</v>
      </c>
      <c r="E722" s="264" t="s">
        <v>1070</v>
      </c>
      <c r="F722" s="175">
        <v>2013</v>
      </c>
      <c r="G722" s="170" t="s">
        <v>1077</v>
      </c>
      <c r="H722" s="215" t="str">
        <f t="shared" si="36"/>
        <v xml:space="preserve">   </v>
      </c>
      <c r="I722" s="215" t="str">
        <f t="shared" si="37"/>
        <v xml:space="preserve">   </v>
      </c>
    </row>
    <row r="723" spans="1:9" s="2" customFormat="1" hidden="1" x14ac:dyDescent="0.25">
      <c r="A723" s="234">
        <v>682</v>
      </c>
      <c r="B723" s="235">
        <v>5</v>
      </c>
      <c r="C723" s="233" t="s">
        <v>1179</v>
      </c>
      <c r="D723" s="236">
        <v>849113075</v>
      </c>
      <c r="E723" s="237" t="s">
        <v>1070</v>
      </c>
      <c r="F723" s="238">
        <v>2013</v>
      </c>
      <c r="G723" s="214" t="s">
        <v>1077</v>
      </c>
      <c r="H723" s="239" t="str">
        <f t="shared" si="36"/>
        <v xml:space="preserve">   </v>
      </c>
      <c r="I723" s="239" t="str">
        <f t="shared" si="37"/>
        <v xml:space="preserve">   </v>
      </c>
    </row>
    <row r="724" spans="1:9" s="2" customFormat="1" hidden="1" x14ac:dyDescent="0.25">
      <c r="A724" s="156">
        <v>683</v>
      </c>
      <c r="B724" s="157">
        <v>6</v>
      </c>
      <c r="C724" s="158" t="s">
        <v>1180</v>
      </c>
      <c r="D724" s="159">
        <v>849113078</v>
      </c>
      <c r="E724" s="179" t="s">
        <v>1070</v>
      </c>
      <c r="F724" s="161">
        <v>2013</v>
      </c>
      <c r="G724" s="272" t="s">
        <v>33</v>
      </c>
      <c r="H724" s="273" t="str">
        <f t="shared" si="36"/>
        <v xml:space="preserve">   </v>
      </c>
      <c r="I724" s="273" t="str">
        <f t="shared" si="37"/>
        <v xml:space="preserve">   </v>
      </c>
    </row>
    <row r="725" spans="1:9" s="2" customFormat="1" hidden="1" x14ac:dyDescent="0.25">
      <c r="A725" s="234">
        <v>684</v>
      </c>
      <c r="B725" s="235">
        <v>7</v>
      </c>
      <c r="C725" s="233" t="s">
        <v>1181</v>
      </c>
      <c r="D725" s="236">
        <v>849113073</v>
      </c>
      <c r="E725" s="237" t="s">
        <v>1070</v>
      </c>
      <c r="F725" s="238">
        <v>2013</v>
      </c>
      <c r="G725" s="214" t="s">
        <v>1077</v>
      </c>
      <c r="H725" s="239" t="str">
        <f t="shared" si="36"/>
        <v xml:space="preserve">   </v>
      </c>
      <c r="I725" s="239" t="str">
        <f t="shared" si="37"/>
        <v xml:space="preserve">   </v>
      </c>
    </row>
    <row r="726" spans="1:9" s="2" customFormat="1" hidden="1" x14ac:dyDescent="0.25">
      <c r="A726" s="156">
        <v>685</v>
      </c>
      <c r="B726" s="157">
        <v>8</v>
      </c>
      <c r="C726" s="158" t="s">
        <v>1182</v>
      </c>
      <c r="D726" s="159">
        <v>849113069</v>
      </c>
      <c r="E726" s="179" t="s">
        <v>1070</v>
      </c>
      <c r="F726" s="161">
        <v>2013</v>
      </c>
      <c r="G726" s="272" t="s">
        <v>33</v>
      </c>
      <c r="H726" s="163">
        <f t="shared" si="36"/>
        <v>43467</v>
      </c>
      <c r="I726" s="163">
        <f t="shared" si="37"/>
        <v>43587</v>
      </c>
    </row>
    <row r="727" spans="1:9" s="2" customFormat="1" hidden="1" x14ac:dyDescent="0.25">
      <c r="A727" s="156">
        <v>686</v>
      </c>
      <c r="B727" s="157">
        <v>9</v>
      </c>
      <c r="C727" s="158" t="s">
        <v>1183</v>
      </c>
      <c r="D727" s="159">
        <v>849113071</v>
      </c>
      <c r="E727" s="160" t="s">
        <v>1070</v>
      </c>
      <c r="F727" s="161">
        <v>2013</v>
      </c>
      <c r="G727" s="162" t="s">
        <v>33</v>
      </c>
      <c r="H727" s="163">
        <f t="shared" si="36"/>
        <v>43055</v>
      </c>
      <c r="I727" s="163">
        <f t="shared" si="37"/>
        <v>43218</v>
      </c>
    </row>
    <row r="728" spans="1:9" s="2" customFormat="1" hidden="1" x14ac:dyDescent="0.25">
      <c r="A728" s="234">
        <v>687</v>
      </c>
      <c r="B728" s="235">
        <v>10</v>
      </c>
      <c r="C728" s="233" t="s">
        <v>1184</v>
      </c>
      <c r="D728" s="236">
        <v>849113079</v>
      </c>
      <c r="E728" s="237" t="s">
        <v>1070</v>
      </c>
      <c r="F728" s="238">
        <v>2013</v>
      </c>
      <c r="G728" s="214" t="s">
        <v>1077</v>
      </c>
      <c r="H728" s="239" t="str">
        <f t="shared" si="36"/>
        <v xml:space="preserve">   </v>
      </c>
      <c r="I728" s="239" t="str">
        <f t="shared" si="37"/>
        <v xml:space="preserve">   </v>
      </c>
    </row>
    <row r="729" spans="1:9" s="2" customFormat="1" hidden="1" x14ac:dyDescent="0.25">
      <c r="A729" s="156">
        <v>688</v>
      </c>
      <c r="B729" s="157">
        <v>11</v>
      </c>
      <c r="C729" s="158" t="s">
        <v>1185</v>
      </c>
      <c r="D729" s="159">
        <v>849113074</v>
      </c>
      <c r="E729" s="160" t="s">
        <v>1070</v>
      </c>
      <c r="F729" s="161">
        <v>2013</v>
      </c>
      <c r="G729" s="162" t="s">
        <v>33</v>
      </c>
      <c r="H729" s="163">
        <f t="shared" si="36"/>
        <v>42693</v>
      </c>
      <c r="I729" s="163">
        <f t="shared" si="37"/>
        <v>42693</v>
      </c>
    </row>
    <row r="730" spans="1:9" s="2" customFormat="1" hidden="1" x14ac:dyDescent="0.25">
      <c r="A730" s="156">
        <v>689</v>
      </c>
      <c r="B730" s="157">
        <v>12</v>
      </c>
      <c r="C730" s="158" t="s">
        <v>1186</v>
      </c>
      <c r="D730" s="159">
        <v>849113077</v>
      </c>
      <c r="E730" s="160" t="s">
        <v>1070</v>
      </c>
      <c r="F730" s="161">
        <v>2013</v>
      </c>
      <c r="G730" s="162" t="s">
        <v>33</v>
      </c>
      <c r="H730" s="163">
        <f t="shared" si="36"/>
        <v>42767</v>
      </c>
      <c r="I730" s="163">
        <f t="shared" si="37"/>
        <v>42861</v>
      </c>
    </row>
    <row r="731" spans="1:9" s="2" customFormat="1" hidden="1" x14ac:dyDescent="0.25">
      <c r="A731" s="156">
        <v>690</v>
      </c>
      <c r="B731" s="157">
        <v>13</v>
      </c>
      <c r="C731" s="158" t="s">
        <v>1187</v>
      </c>
      <c r="D731" s="159">
        <v>849113076</v>
      </c>
      <c r="E731" s="160" t="s">
        <v>1070</v>
      </c>
      <c r="F731" s="161">
        <v>2013</v>
      </c>
      <c r="G731" s="162" t="s">
        <v>33</v>
      </c>
      <c r="H731" s="163">
        <f t="shared" si="36"/>
        <v>42663</v>
      </c>
      <c r="I731" s="163">
        <f t="shared" si="37"/>
        <v>42861</v>
      </c>
    </row>
    <row r="732" spans="1:9" s="2" customFormat="1" hidden="1" x14ac:dyDescent="0.25">
      <c r="A732" s="156">
        <v>691</v>
      </c>
      <c r="B732" s="157">
        <v>14</v>
      </c>
      <c r="C732" s="158" t="s">
        <v>1188</v>
      </c>
      <c r="D732" s="159">
        <v>849113070</v>
      </c>
      <c r="E732" s="179" t="s">
        <v>1070</v>
      </c>
      <c r="F732" s="161">
        <v>2013</v>
      </c>
      <c r="G732" s="162" t="s">
        <v>33</v>
      </c>
      <c r="H732" s="163">
        <f t="shared" si="36"/>
        <v>43486</v>
      </c>
      <c r="I732" s="273" t="str">
        <f t="shared" si="37"/>
        <v xml:space="preserve">   </v>
      </c>
    </row>
    <row r="733" spans="1:9" s="2" customFormat="1" hidden="1" x14ac:dyDescent="0.25">
      <c r="A733" s="156">
        <v>692</v>
      </c>
      <c r="B733" s="157">
        <v>15</v>
      </c>
      <c r="C733" s="158" t="s">
        <v>1189</v>
      </c>
      <c r="D733" s="159">
        <v>849113087</v>
      </c>
      <c r="E733" s="160" t="s">
        <v>1070</v>
      </c>
      <c r="F733" s="161">
        <v>2013</v>
      </c>
      <c r="G733" s="162" t="s">
        <v>33</v>
      </c>
      <c r="H733" s="163">
        <f t="shared" si="36"/>
        <v>42693</v>
      </c>
      <c r="I733" s="163">
        <f t="shared" si="37"/>
        <v>42693</v>
      </c>
    </row>
    <row r="734" spans="1:9" s="2" customFormat="1" hidden="1" x14ac:dyDescent="0.25">
      <c r="A734" s="164">
        <v>693</v>
      </c>
      <c r="B734" s="253">
        <v>16</v>
      </c>
      <c r="C734" s="173" t="s">
        <v>1190</v>
      </c>
      <c r="D734" s="263">
        <v>849113089</v>
      </c>
      <c r="E734" s="264" t="s">
        <v>1070</v>
      </c>
      <c r="F734" s="175">
        <v>2013</v>
      </c>
      <c r="G734" s="170" t="s">
        <v>1077</v>
      </c>
      <c r="H734" s="215" t="str">
        <f t="shared" si="36"/>
        <v xml:space="preserve">   </v>
      </c>
      <c r="I734" s="215" t="str">
        <f t="shared" si="37"/>
        <v xml:space="preserve">   </v>
      </c>
    </row>
    <row r="735" spans="1:9" s="2" customFormat="1" hidden="1" x14ac:dyDescent="0.25">
      <c r="A735" s="164">
        <v>694</v>
      </c>
      <c r="B735" s="253">
        <v>17</v>
      </c>
      <c r="C735" s="173" t="s">
        <v>1191</v>
      </c>
      <c r="D735" s="263">
        <v>849113091</v>
      </c>
      <c r="E735" s="264" t="s">
        <v>1070</v>
      </c>
      <c r="F735" s="175">
        <v>2013</v>
      </c>
      <c r="G735" s="170" t="s">
        <v>1077</v>
      </c>
      <c r="H735" s="215" t="str">
        <f t="shared" si="36"/>
        <v xml:space="preserve">   </v>
      </c>
      <c r="I735" s="215" t="str">
        <f t="shared" si="37"/>
        <v xml:space="preserve">   </v>
      </c>
    </row>
    <row r="736" spans="1:9" s="2" customFormat="1" hidden="1" x14ac:dyDescent="0.25">
      <c r="A736" s="180">
        <v>695</v>
      </c>
      <c r="B736" s="181">
        <v>18</v>
      </c>
      <c r="C736" s="182" t="s">
        <v>1192</v>
      </c>
      <c r="D736" s="183">
        <v>849113090</v>
      </c>
      <c r="E736" s="184" t="s">
        <v>1070</v>
      </c>
      <c r="F736" s="185">
        <v>2013</v>
      </c>
      <c r="G736" s="186" t="s">
        <v>33</v>
      </c>
      <c r="H736" s="163">
        <f t="shared" si="36"/>
        <v>42693</v>
      </c>
      <c r="I736" s="284">
        <f t="shared" si="37"/>
        <v>42693</v>
      </c>
    </row>
    <row r="737" spans="1:9" s="4" customFormat="1" hidden="1" x14ac:dyDescent="0.25">
      <c r="A737" s="187"/>
      <c r="B737" s="267"/>
      <c r="C737" s="268"/>
      <c r="D737" s="269"/>
      <c r="E737" s="270" t="s">
        <v>61</v>
      </c>
      <c r="F737" s="267" t="s">
        <v>61</v>
      </c>
      <c r="G737" s="192" t="s">
        <v>61</v>
      </c>
      <c r="H737" s="193"/>
      <c r="I737" s="193"/>
    </row>
    <row r="738" spans="1:9" s="2" customFormat="1" hidden="1" x14ac:dyDescent="0.25">
      <c r="A738" s="194" t="s">
        <v>1193</v>
      </c>
      <c r="B738" s="259"/>
      <c r="C738" s="271"/>
      <c r="D738" s="274"/>
      <c r="E738" s="198" t="s">
        <v>1096</v>
      </c>
      <c r="F738" s="199" t="s">
        <v>1096</v>
      </c>
      <c r="G738" s="146">
        <v>3000000</v>
      </c>
      <c r="H738" s="232" t="str">
        <f t="shared" ref="H738:H758" si="38">IFERROR(VLOOKUP(D738,Tlus,3,FALSE),"   ")</f>
        <v xml:space="preserve">   </v>
      </c>
      <c r="I738" s="232" t="str">
        <f t="shared" ref="I738:I758" si="39">IFERROR(VLOOKUP(D738,Wis,4,FALSE),"   ")</f>
        <v xml:space="preserve">   </v>
      </c>
    </row>
    <row r="739" spans="1:9" s="2" customFormat="1" hidden="1" x14ac:dyDescent="0.25">
      <c r="A739" s="200">
        <v>696</v>
      </c>
      <c r="B739" s="262">
        <v>1</v>
      </c>
      <c r="C739" s="150" t="s">
        <v>1194</v>
      </c>
      <c r="D739" s="151">
        <v>839134006</v>
      </c>
      <c r="E739" s="152" t="s">
        <v>1195</v>
      </c>
      <c r="F739" s="153">
        <v>2013</v>
      </c>
      <c r="G739" s="154" t="s">
        <v>33</v>
      </c>
      <c r="H739" s="155" t="str">
        <f t="shared" si="38"/>
        <v xml:space="preserve">   </v>
      </c>
      <c r="I739" s="155">
        <f t="shared" si="39"/>
        <v>42504</v>
      </c>
    </row>
    <row r="740" spans="1:9" s="2" customFormat="1" hidden="1" x14ac:dyDescent="0.25">
      <c r="A740" s="156">
        <v>697</v>
      </c>
      <c r="B740" s="157">
        <v>2</v>
      </c>
      <c r="C740" s="158" t="s">
        <v>1197</v>
      </c>
      <c r="D740" s="159">
        <v>839134018</v>
      </c>
      <c r="E740" s="160" t="s">
        <v>1195</v>
      </c>
      <c r="F740" s="161">
        <v>2013</v>
      </c>
      <c r="G740" s="162" t="s">
        <v>33</v>
      </c>
      <c r="H740" s="163" t="str">
        <f t="shared" si="38"/>
        <v xml:space="preserve">   </v>
      </c>
      <c r="I740" s="163">
        <f t="shared" si="39"/>
        <v>42504</v>
      </c>
    </row>
    <row r="741" spans="1:9" s="2" customFormat="1" hidden="1" x14ac:dyDescent="0.25">
      <c r="A741" s="156">
        <v>698</v>
      </c>
      <c r="B741" s="157">
        <v>3</v>
      </c>
      <c r="C741" s="158" t="s">
        <v>1198</v>
      </c>
      <c r="D741" s="159">
        <v>839134017</v>
      </c>
      <c r="E741" s="160" t="s">
        <v>1195</v>
      </c>
      <c r="F741" s="161">
        <v>2013</v>
      </c>
      <c r="G741" s="162" t="s">
        <v>33</v>
      </c>
      <c r="H741" s="163" t="str">
        <f t="shared" si="38"/>
        <v xml:space="preserve">   </v>
      </c>
      <c r="I741" s="163">
        <f t="shared" si="39"/>
        <v>42504</v>
      </c>
    </row>
    <row r="742" spans="1:9" s="2" customFormat="1" hidden="1" x14ac:dyDescent="0.25">
      <c r="A742" s="156">
        <v>699</v>
      </c>
      <c r="B742" s="157">
        <v>4</v>
      </c>
      <c r="C742" s="158" t="s">
        <v>1199</v>
      </c>
      <c r="D742" s="159">
        <v>839134007</v>
      </c>
      <c r="E742" s="160" t="s">
        <v>1195</v>
      </c>
      <c r="F742" s="161">
        <v>2013</v>
      </c>
      <c r="G742" s="162" t="s">
        <v>33</v>
      </c>
      <c r="H742" s="163">
        <f t="shared" si="38"/>
        <v>42693</v>
      </c>
      <c r="I742" s="163">
        <f t="shared" si="39"/>
        <v>42693</v>
      </c>
    </row>
    <row r="743" spans="1:9" s="2" customFormat="1" hidden="1" x14ac:dyDescent="0.25">
      <c r="A743" s="156">
        <v>700</v>
      </c>
      <c r="B743" s="157">
        <v>5</v>
      </c>
      <c r="C743" s="177" t="s">
        <v>1200</v>
      </c>
      <c r="D743" s="159">
        <v>839134012</v>
      </c>
      <c r="E743" s="275" t="s">
        <v>1195</v>
      </c>
      <c r="F743" s="161">
        <v>2013</v>
      </c>
      <c r="G743" s="162" t="s">
        <v>33</v>
      </c>
      <c r="H743" s="163">
        <f t="shared" si="38"/>
        <v>43488</v>
      </c>
      <c r="I743" s="163">
        <f t="shared" si="39"/>
        <v>43587</v>
      </c>
    </row>
    <row r="744" spans="1:9" s="2" customFormat="1" hidden="1" x14ac:dyDescent="0.25">
      <c r="A744" s="156">
        <v>701</v>
      </c>
      <c r="B744" s="157">
        <v>6</v>
      </c>
      <c r="C744" s="158" t="s">
        <v>1201</v>
      </c>
      <c r="D744" s="159">
        <v>839134015</v>
      </c>
      <c r="E744" s="160" t="s">
        <v>1195</v>
      </c>
      <c r="F744" s="161">
        <v>2013</v>
      </c>
      <c r="G744" s="162" t="s">
        <v>33</v>
      </c>
      <c r="H744" s="163" t="str">
        <f t="shared" si="38"/>
        <v xml:space="preserve">   </v>
      </c>
      <c r="I744" s="163">
        <f t="shared" si="39"/>
        <v>42504</v>
      </c>
    </row>
    <row r="745" spans="1:9" s="2" customFormat="1" hidden="1" x14ac:dyDescent="0.25">
      <c r="A745" s="180">
        <v>702</v>
      </c>
      <c r="B745" s="181">
        <v>7</v>
      </c>
      <c r="C745" s="182" t="s">
        <v>1202</v>
      </c>
      <c r="D745" s="183">
        <v>839134011</v>
      </c>
      <c r="E745" s="184" t="s">
        <v>1195</v>
      </c>
      <c r="F745" s="185">
        <v>2013</v>
      </c>
      <c r="G745" s="186" t="s">
        <v>33</v>
      </c>
      <c r="H745" s="163" t="str">
        <f t="shared" si="38"/>
        <v xml:space="preserve">   </v>
      </c>
      <c r="I745" s="163">
        <f t="shared" si="39"/>
        <v>42504</v>
      </c>
    </row>
    <row r="746" spans="1:9" s="4" customFormat="1" hidden="1" x14ac:dyDescent="0.25">
      <c r="A746" s="276"/>
      <c r="B746" s="276"/>
      <c r="C746" s="268"/>
      <c r="D746" s="269"/>
      <c r="E746" s="270" t="s">
        <v>61</v>
      </c>
      <c r="F746" s="267" t="s">
        <v>61</v>
      </c>
      <c r="G746" s="192" t="s">
        <v>61</v>
      </c>
      <c r="H746" s="277" t="str">
        <f t="shared" si="38"/>
        <v xml:space="preserve">   </v>
      </c>
      <c r="I746" s="277" t="str">
        <f t="shared" si="39"/>
        <v xml:space="preserve">   </v>
      </c>
    </row>
    <row r="747" spans="1:9" s="2" customFormat="1" hidden="1" x14ac:dyDescent="0.25">
      <c r="A747" s="278" t="s">
        <v>1203</v>
      </c>
      <c r="B747" s="259"/>
      <c r="C747" s="251"/>
      <c r="D747" s="274"/>
      <c r="E747" s="198" t="s">
        <v>1096</v>
      </c>
      <c r="F747" s="199" t="s">
        <v>1096</v>
      </c>
      <c r="G747" s="146">
        <v>3000000</v>
      </c>
      <c r="H747" s="232" t="str">
        <f t="shared" si="38"/>
        <v xml:space="preserve">   </v>
      </c>
      <c r="I747" s="232" t="str">
        <f t="shared" si="39"/>
        <v xml:space="preserve">   </v>
      </c>
    </row>
    <row r="748" spans="1:9" s="2" customFormat="1" hidden="1" x14ac:dyDescent="0.25">
      <c r="A748" s="200">
        <v>703</v>
      </c>
      <c r="B748" s="262">
        <v>1</v>
      </c>
      <c r="C748" s="150" t="s">
        <v>1204</v>
      </c>
      <c r="D748" s="151">
        <v>839134002</v>
      </c>
      <c r="E748" s="152" t="s">
        <v>1195</v>
      </c>
      <c r="F748" s="153" t="s">
        <v>1143</v>
      </c>
      <c r="G748" s="154" t="s">
        <v>33</v>
      </c>
      <c r="H748" s="155" t="str">
        <f t="shared" si="38"/>
        <v xml:space="preserve">   </v>
      </c>
      <c r="I748" s="155">
        <f t="shared" si="39"/>
        <v>42504</v>
      </c>
    </row>
    <row r="749" spans="1:9" s="2" customFormat="1" hidden="1" x14ac:dyDescent="0.25">
      <c r="A749" s="156">
        <v>704</v>
      </c>
      <c r="B749" s="157">
        <v>2</v>
      </c>
      <c r="C749" s="158" t="s">
        <v>1205</v>
      </c>
      <c r="D749" s="159">
        <v>839134016</v>
      </c>
      <c r="E749" s="160" t="s">
        <v>1195</v>
      </c>
      <c r="F749" s="161" t="s">
        <v>1143</v>
      </c>
      <c r="G749" s="162" t="s">
        <v>33</v>
      </c>
      <c r="H749" s="163">
        <f t="shared" si="38"/>
        <v>42984</v>
      </c>
      <c r="I749" s="163">
        <f t="shared" si="39"/>
        <v>43064</v>
      </c>
    </row>
    <row r="750" spans="1:9" s="2" customFormat="1" hidden="1" x14ac:dyDescent="0.25">
      <c r="A750" s="156">
        <v>705</v>
      </c>
      <c r="B750" s="157">
        <v>3</v>
      </c>
      <c r="C750" s="158" t="s">
        <v>1206</v>
      </c>
      <c r="D750" s="159">
        <v>839134013</v>
      </c>
      <c r="E750" s="160" t="s">
        <v>1195</v>
      </c>
      <c r="F750" s="161" t="s">
        <v>1143</v>
      </c>
      <c r="G750" s="162" t="s">
        <v>33</v>
      </c>
      <c r="H750" s="163" t="str">
        <f t="shared" si="38"/>
        <v xml:space="preserve">   </v>
      </c>
      <c r="I750" s="163">
        <f t="shared" si="39"/>
        <v>42504</v>
      </c>
    </row>
    <row r="751" spans="1:9" s="2" customFormat="1" hidden="1" x14ac:dyDescent="0.25">
      <c r="A751" s="156">
        <v>706</v>
      </c>
      <c r="B751" s="157">
        <v>4</v>
      </c>
      <c r="C751" s="158" t="s">
        <v>1207</v>
      </c>
      <c r="D751" s="159">
        <v>839134009</v>
      </c>
      <c r="E751" s="160" t="s">
        <v>1195</v>
      </c>
      <c r="F751" s="161" t="s">
        <v>1143</v>
      </c>
      <c r="G751" s="162" t="s">
        <v>33</v>
      </c>
      <c r="H751" s="163">
        <f t="shared" si="38"/>
        <v>42970</v>
      </c>
      <c r="I751" s="163">
        <f t="shared" si="39"/>
        <v>43064</v>
      </c>
    </row>
    <row r="752" spans="1:9" s="2" customFormat="1" hidden="1" x14ac:dyDescent="0.25">
      <c r="A752" s="156">
        <v>707</v>
      </c>
      <c r="B752" s="157">
        <v>5</v>
      </c>
      <c r="C752" s="158" t="s">
        <v>1208</v>
      </c>
      <c r="D752" s="159">
        <v>839134010</v>
      </c>
      <c r="E752" s="160" t="s">
        <v>1195</v>
      </c>
      <c r="F752" s="161" t="s">
        <v>1143</v>
      </c>
      <c r="G752" s="162" t="s">
        <v>33</v>
      </c>
      <c r="H752" s="163">
        <f t="shared" si="38"/>
        <v>42768</v>
      </c>
      <c r="I752" s="163">
        <f t="shared" si="39"/>
        <v>42861</v>
      </c>
    </row>
    <row r="753" spans="1:9" s="2" customFormat="1" hidden="1" x14ac:dyDescent="0.25">
      <c r="A753" s="164">
        <v>708</v>
      </c>
      <c r="B753" s="235">
        <v>6</v>
      </c>
      <c r="C753" s="233" t="s">
        <v>1209</v>
      </c>
      <c r="D753" s="236">
        <v>839134008</v>
      </c>
      <c r="E753" s="237" t="s">
        <v>1195</v>
      </c>
      <c r="F753" s="238" t="s">
        <v>1143</v>
      </c>
      <c r="G753" s="214" t="s">
        <v>1077</v>
      </c>
      <c r="H753" s="239" t="str">
        <f t="shared" si="38"/>
        <v xml:space="preserve">   </v>
      </c>
      <c r="I753" s="239" t="str">
        <f t="shared" si="39"/>
        <v xml:space="preserve">   </v>
      </c>
    </row>
    <row r="754" spans="1:9" s="2" customFormat="1" hidden="1" x14ac:dyDescent="0.25">
      <c r="A754" s="156">
        <v>709</v>
      </c>
      <c r="B754" s="157">
        <v>7</v>
      </c>
      <c r="C754" s="158" t="s">
        <v>1210</v>
      </c>
      <c r="D754" s="159">
        <v>839134014</v>
      </c>
      <c r="E754" s="160" t="s">
        <v>1195</v>
      </c>
      <c r="F754" s="161" t="s">
        <v>1143</v>
      </c>
      <c r="G754" s="162" t="s">
        <v>33</v>
      </c>
      <c r="H754" s="163">
        <f t="shared" si="38"/>
        <v>42693</v>
      </c>
      <c r="I754" s="163">
        <f t="shared" si="39"/>
        <v>42693</v>
      </c>
    </row>
    <row r="755" spans="1:9" s="2" customFormat="1" hidden="1" x14ac:dyDescent="0.25">
      <c r="A755" s="156">
        <v>710</v>
      </c>
      <c r="B755" s="157">
        <v>8</v>
      </c>
      <c r="C755" s="158" t="s">
        <v>1211</v>
      </c>
      <c r="D755" s="159">
        <v>839134001</v>
      </c>
      <c r="E755" s="160" t="s">
        <v>1195</v>
      </c>
      <c r="F755" s="161" t="s">
        <v>1143</v>
      </c>
      <c r="G755" s="162" t="s">
        <v>33</v>
      </c>
      <c r="H755" s="163" t="str">
        <f t="shared" si="38"/>
        <v xml:space="preserve">   </v>
      </c>
      <c r="I755" s="163">
        <f t="shared" si="39"/>
        <v>42504</v>
      </c>
    </row>
    <row r="756" spans="1:9" s="2" customFormat="1" hidden="1" x14ac:dyDescent="0.25">
      <c r="A756" s="164">
        <v>711</v>
      </c>
      <c r="B756" s="253">
        <v>9</v>
      </c>
      <c r="C756" s="173" t="s">
        <v>1212</v>
      </c>
      <c r="D756" s="263">
        <v>839134003</v>
      </c>
      <c r="E756" s="279" t="s">
        <v>1195</v>
      </c>
      <c r="F756" s="280" t="s">
        <v>1143</v>
      </c>
      <c r="G756" s="170" t="s">
        <v>1077</v>
      </c>
      <c r="H756" s="265" t="str">
        <f t="shared" si="38"/>
        <v xml:space="preserve">   </v>
      </c>
      <c r="I756" s="265" t="str">
        <f t="shared" si="39"/>
        <v xml:space="preserve">   </v>
      </c>
    </row>
    <row r="757" spans="1:9" s="2" customFormat="1" hidden="1" x14ac:dyDescent="0.25">
      <c r="A757" s="164">
        <v>712</v>
      </c>
      <c r="B757" s="281">
        <v>10</v>
      </c>
      <c r="C757" s="282" t="s">
        <v>1213</v>
      </c>
      <c r="D757" s="167">
        <v>839134005</v>
      </c>
      <c r="E757" s="279" t="s">
        <v>1195</v>
      </c>
      <c r="F757" s="280" t="s">
        <v>1143</v>
      </c>
      <c r="G757" s="170" t="s">
        <v>1077</v>
      </c>
      <c r="H757" s="283" t="str">
        <f t="shared" si="38"/>
        <v xml:space="preserve">   </v>
      </c>
      <c r="I757" s="283" t="str">
        <f t="shared" si="39"/>
        <v xml:space="preserve">   </v>
      </c>
    </row>
    <row r="758" spans="1:9" s="2" customFormat="1" hidden="1" x14ac:dyDescent="0.25">
      <c r="A758" s="180">
        <v>713</v>
      </c>
      <c r="B758" s="181">
        <v>11</v>
      </c>
      <c r="C758" s="182" t="s">
        <v>823</v>
      </c>
      <c r="D758" s="183">
        <v>839134019</v>
      </c>
      <c r="E758" s="184" t="s">
        <v>1195</v>
      </c>
      <c r="F758" s="185" t="s">
        <v>1143</v>
      </c>
      <c r="G758" s="186" t="s">
        <v>33</v>
      </c>
      <c r="H758" s="284">
        <f t="shared" si="38"/>
        <v>42693</v>
      </c>
      <c r="I758" s="284">
        <f t="shared" si="39"/>
        <v>42693</v>
      </c>
    </row>
    <row r="759" spans="1:9" s="4" customFormat="1" hidden="1" x14ac:dyDescent="0.25">
      <c r="A759" s="187"/>
      <c r="B759" s="267"/>
      <c r="C759" s="268"/>
      <c r="D759" s="269"/>
      <c r="E759" s="270" t="s">
        <v>61</v>
      </c>
      <c r="F759" s="267" t="s">
        <v>61</v>
      </c>
      <c r="G759" s="192" t="s">
        <v>61</v>
      </c>
      <c r="H759" s="193"/>
      <c r="I759" s="193"/>
    </row>
    <row r="760" spans="1:9" s="2" customFormat="1" hidden="1" x14ac:dyDescent="0.25">
      <c r="A760" s="194" t="s">
        <v>1215</v>
      </c>
      <c r="B760" s="285"/>
      <c r="C760" s="286"/>
      <c r="D760" s="274"/>
      <c r="E760" s="198" t="s">
        <v>1096</v>
      </c>
      <c r="F760" s="199" t="s">
        <v>1096</v>
      </c>
      <c r="G760" s="146">
        <v>3000000</v>
      </c>
      <c r="H760" s="232" t="str">
        <f t="shared" ref="H760:H770" si="40">IFERROR(VLOOKUP(D760,Tlus,3,FALSE),"   ")</f>
        <v xml:space="preserve">   </v>
      </c>
      <c r="I760" s="232" t="str">
        <f t="shared" ref="I760:I770" si="41">IFERROR(VLOOKUP(D760,Wis,4,FALSE),"   ")</f>
        <v xml:space="preserve">   </v>
      </c>
    </row>
    <row r="761" spans="1:9" s="2" customFormat="1" hidden="1" x14ac:dyDescent="0.25">
      <c r="A761" s="200">
        <v>714</v>
      </c>
      <c r="B761" s="262">
        <v>1</v>
      </c>
      <c r="C761" s="150" t="s">
        <v>1216</v>
      </c>
      <c r="D761" s="151">
        <v>839131002</v>
      </c>
      <c r="E761" s="152" t="s">
        <v>848</v>
      </c>
      <c r="F761" s="153" t="s">
        <v>1143</v>
      </c>
      <c r="G761" s="154" t="s">
        <v>33</v>
      </c>
      <c r="H761" s="155" t="str">
        <f t="shared" si="40"/>
        <v xml:space="preserve">   </v>
      </c>
      <c r="I761" s="155">
        <f t="shared" si="41"/>
        <v>42504</v>
      </c>
    </row>
    <row r="762" spans="1:9" s="2" customFormat="1" hidden="1" x14ac:dyDescent="0.25">
      <c r="A762" s="156">
        <v>715</v>
      </c>
      <c r="B762" s="157">
        <v>2</v>
      </c>
      <c r="C762" s="158" t="s">
        <v>1217</v>
      </c>
      <c r="D762" s="159">
        <v>839131003</v>
      </c>
      <c r="E762" s="160" t="s">
        <v>848</v>
      </c>
      <c r="F762" s="161" t="s">
        <v>1143</v>
      </c>
      <c r="G762" s="162" t="s">
        <v>33</v>
      </c>
      <c r="H762" s="163">
        <f t="shared" si="40"/>
        <v>43034</v>
      </c>
      <c r="I762" s="163">
        <f t="shared" si="41"/>
        <v>43218</v>
      </c>
    </row>
    <row r="763" spans="1:9" s="2" customFormat="1" hidden="1" x14ac:dyDescent="0.25">
      <c r="A763" s="164">
        <v>716</v>
      </c>
      <c r="B763" s="253">
        <v>3</v>
      </c>
      <c r="C763" s="173" t="s">
        <v>1218</v>
      </c>
      <c r="D763" s="263">
        <v>839131004</v>
      </c>
      <c r="E763" s="168" t="s">
        <v>848</v>
      </c>
      <c r="F763" s="175" t="s">
        <v>1143</v>
      </c>
      <c r="G763" s="170" t="s">
        <v>1077</v>
      </c>
      <c r="H763" s="265" t="str">
        <f t="shared" si="40"/>
        <v xml:space="preserve">   </v>
      </c>
      <c r="I763" s="265" t="str">
        <f t="shared" si="41"/>
        <v xml:space="preserve">   </v>
      </c>
    </row>
    <row r="764" spans="1:9" s="2" customFormat="1" hidden="1" x14ac:dyDescent="0.25">
      <c r="A764" s="164">
        <v>717</v>
      </c>
      <c r="B764" s="253">
        <v>4</v>
      </c>
      <c r="C764" s="173" t="s">
        <v>1220</v>
      </c>
      <c r="D764" s="263">
        <v>839131005</v>
      </c>
      <c r="E764" s="168" t="s">
        <v>848</v>
      </c>
      <c r="F764" s="175" t="s">
        <v>1143</v>
      </c>
      <c r="G764" s="170" t="s">
        <v>1077</v>
      </c>
      <c r="H764" s="265" t="str">
        <f t="shared" si="40"/>
        <v xml:space="preserve">   </v>
      </c>
      <c r="I764" s="265" t="str">
        <f t="shared" si="41"/>
        <v xml:space="preserve">   </v>
      </c>
    </row>
    <row r="765" spans="1:9" s="2" customFormat="1" hidden="1" x14ac:dyDescent="0.25">
      <c r="A765" s="156">
        <v>718</v>
      </c>
      <c r="B765" s="157">
        <v>5</v>
      </c>
      <c r="C765" s="158" t="s">
        <v>1221</v>
      </c>
      <c r="D765" s="159">
        <v>839131006</v>
      </c>
      <c r="E765" s="160" t="s">
        <v>848</v>
      </c>
      <c r="F765" s="161" t="s">
        <v>1143</v>
      </c>
      <c r="G765" s="162" t="s">
        <v>33</v>
      </c>
      <c r="H765" s="163" t="str">
        <f t="shared" si="40"/>
        <v xml:space="preserve">   </v>
      </c>
      <c r="I765" s="163">
        <f t="shared" si="41"/>
        <v>42504</v>
      </c>
    </row>
    <row r="766" spans="1:9" s="2" customFormat="1" hidden="1" x14ac:dyDescent="0.25">
      <c r="A766" s="234">
        <v>719</v>
      </c>
      <c r="B766" s="235">
        <v>6</v>
      </c>
      <c r="C766" s="233" t="s">
        <v>1223</v>
      </c>
      <c r="D766" s="236">
        <v>839131008</v>
      </c>
      <c r="E766" s="237" t="s">
        <v>848</v>
      </c>
      <c r="F766" s="238" t="s">
        <v>1143</v>
      </c>
      <c r="G766" s="214" t="s">
        <v>1077</v>
      </c>
      <c r="H766" s="239" t="str">
        <f t="shared" si="40"/>
        <v xml:space="preserve">   </v>
      </c>
      <c r="I766" s="239" t="str">
        <f t="shared" si="41"/>
        <v xml:space="preserve">   </v>
      </c>
    </row>
    <row r="767" spans="1:9" s="2" customFormat="1" hidden="1" x14ac:dyDescent="0.25">
      <c r="A767" s="156">
        <v>720</v>
      </c>
      <c r="B767" s="157">
        <v>7</v>
      </c>
      <c r="C767" s="158" t="s">
        <v>1224</v>
      </c>
      <c r="D767" s="159">
        <v>839131009</v>
      </c>
      <c r="E767" s="160" t="s">
        <v>848</v>
      </c>
      <c r="F767" s="161" t="s">
        <v>1143</v>
      </c>
      <c r="G767" s="162" t="s">
        <v>33</v>
      </c>
      <c r="H767" s="163" t="str">
        <f t="shared" si="40"/>
        <v xml:space="preserve">   </v>
      </c>
      <c r="I767" s="163">
        <f t="shared" si="41"/>
        <v>42504</v>
      </c>
    </row>
    <row r="768" spans="1:9" s="2" customFormat="1" hidden="1" x14ac:dyDescent="0.25">
      <c r="A768" s="156">
        <v>721</v>
      </c>
      <c r="B768" s="157">
        <v>8</v>
      </c>
      <c r="C768" s="158" t="s">
        <v>1225</v>
      </c>
      <c r="D768" s="159">
        <v>839131011</v>
      </c>
      <c r="E768" s="160" t="s">
        <v>848</v>
      </c>
      <c r="F768" s="161" t="s">
        <v>1143</v>
      </c>
      <c r="G768" s="162" t="s">
        <v>33</v>
      </c>
      <c r="H768" s="163" t="str">
        <f t="shared" si="40"/>
        <v xml:space="preserve">   </v>
      </c>
      <c r="I768" s="163">
        <f t="shared" si="41"/>
        <v>42504</v>
      </c>
    </row>
    <row r="769" spans="1:9" s="2" customFormat="1" hidden="1" x14ac:dyDescent="0.25">
      <c r="A769" s="156">
        <v>722</v>
      </c>
      <c r="B769" s="157">
        <v>9</v>
      </c>
      <c r="C769" s="158" t="s">
        <v>1226</v>
      </c>
      <c r="D769" s="159">
        <v>839131012</v>
      </c>
      <c r="E769" s="160" t="s">
        <v>848</v>
      </c>
      <c r="F769" s="161" t="s">
        <v>1143</v>
      </c>
      <c r="G769" s="162" t="s">
        <v>33</v>
      </c>
      <c r="H769" s="163">
        <f t="shared" si="40"/>
        <v>42767</v>
      </c>
      <c r="I769" s="163">
        <f t="shared" si="41"/>
        <v>42861</v>
      </c>
    </row>
    <row r="770" spans="1:9" s="2" customFormat="1" hidden="1" x14ac:dyDescent="0.25">
      <c r="A770" s="180">
        <v>723</v>
      </c>
      <c r="B770" s="181">
        <v>10</v>
      </c>
      <c r="C770" s="182" t="s">
        <v>1227</v>
      </c>
      <c r="D770" s="183">
        <v>839131013</v>
      </c>
      <c r="E770" s="184" t="s">
        <v>848</v>
      </c>
      <c r="F770" s="185" t="s">
        <v>1143</v>
      </c>
      <c r="G770" s="288" t="s">
        <v>33</v>
      </c>
      <c r="H770" s="284">
        <f t="shared" si="40"/>
        <v>42693</v>
      </c>
      <c r="I770" s="284">
        <f t="shared" si="41"/>
        <v>42693</v>
      </c>
    </row>
    <row r="771" spans="1:9" s="6" customFormat="1" hidden="1" x14ac:dyDescent="0.25">
      <c r="E771" s="289"/>
      <c r="F771" s="6" t="s">
        <v>61</v>
      </c>
      <c r="G771" s="192" t="s">
        <v>61</v>
      </c>
    </row>
    <row r="772" spans="1:9" s="4" customFormat="1" hidden="1" x14ac:dyDescent="0.25">
      <c r="A772" s="290" t="s">
        <v>1228</v>
      </c>
      <c r="B772" s="276"/>
      <c r="C772" s="268"/>
      <c r="D772" s="269"/>
      <c r="E772" s="270" t="s">
        <v>61</v>
      </c>
      <c r="F772" s="267" t="s">
        <v>61</v>
      </c>
      <c r="G772" s="192" t="s">
        <v>61</v>
      </c>
      <c r="H772" s="193"/>
      <c r="I772" s="193"/>
    </row>
    <row r="773" spans="1:9" s="2" customFormat="1" hidden="1" x14ac:dyDescent="0.25">
      <c r="A773" s="278" t="s">
        <v>1229</v>
      </c>
      <c r="B773" s="291"/>
      <c r="C773" s="292"/>
      <c r="D773" s="293"/>
      <c r="E773" s="198" t="s">
        <v>1096</v>
      </c>
      <c r="F773" s="199" t="s">
        <v>1096</v>
      </c>
      <c r="G773" s="146">
        <v>3000000</v>
      </c>
      <c r="H773" s="232" t="str">
        <f t="shared" ref="H773:H792" si="42">IFERROR(VLOOKUP(D773,Tlus,3,FALSE),"   ")</f>
        <v xml:space="preserve">   </v>
      </c>
      <c r="I773" s="232" t="str">
        <f t="shared" ref="I773:I792" si="43">IFERROR(VLOOKUP(D773,Wis,4,FALSE),"   ")</f>
        <v xml:space="preserve">   </v>
      </c>
    </row>
    <row r="774" spans="1:9" s="2" customFormat="1" hidden="1" x14ac:dyDescent="0.25">
      <c r="A774" s="294">
        <v>724</v>
      </c>
      <c r="B774" s="295">
        <v>1</v>
      </c>
      <c r="C774" s="296" t="s">
        <v>1230</v>
      </c>
      <c r="D774" s="297">
        <v>849114009</v>
      </c>
      <c r="E774" s="298" t="s">
        <v>1070</v>
      </c>
      <c r="F774" s="299">
        <v>2014</v>
      </c>
      <c r="G774" s="214" t="s">
        <v>1077</v>
      </c>
      <c r="H774" s="300" t="str">
        <f t="shared" si="42"/>
        <v xml:space="preserve">   </v>
      </c>
      <c r="I774" s="300" t="str">
        <f t="shared" si="43"/>
        <v xml:space="preserve">   </v>
      </c>
    </row>
    <row r="775" spans="1:9" s="2" customFormat="1" hidden="1" x14ac:dyDescent="0.25">
      <c r="A775" s="156">
        <v>725</v>
      </c>
      <c r="B775" s="157">
        <v>2</v>
      </c>
      <c r="C775" s="158" t="s">
        <v>1232</v>
      </c>
      <c r="D775" s="159">
        <v>849114035</v>
      </c>
      <c r="E775" s="179" t="s">
        <v>1070</v>
      </c>
      <c r="F775" s="161">
        <v>2014</v>
      </c>
      <c r="G775" s="162" t="s">
        <v>33</v>
      </c>
      <c r="H775" s="163">
        <f t="shared" si="42"/>
        <v>42998</v>
      </c>
      <c r="I775" s="163">
        <f t="shared" si="43"/>
        <v>43440</v>
      </c>
    </row>
    <row r="776" spans="1:9" s="2" customFormat="1" hidden="1" x14ac:dyDescent="0.25">
      <c r="A776" s="156">
        <v>726</v>
      </c>
      <c r="B776" s="157">
        <v>3</v>
      </c>
      <c r="C776" s="158" t="s">
        <v>1234</v>
      </c>
      <c r="D776" s="159">
        <v>849114010</v>
      </c>
      <c r="E776" s="160" t="s">
        <v>1070</v>
      </c>
      <c r="F776" s="161">
        <v>2014</v>
      </c>
      <c r="G776" s="162" t="s">
        <v>33</v>
      </c>
      <c r="H776" s="163">
        <f t="shared" si="42"/>
        <v>42693</v>
      </c>
      <c r="I776" s="163">
        <f t="shared" si="43"/>
        <v>42693</v>
      </c>
    </row>
    <row r="777" spans="1:9" s="2" customFormat="1" hidden="1" x14ac:dyDescent="0.25">
      <c r="A777" s="156">
        <v>727</v>
      </c>
      <c r="B777" s="157">
        <v>4</v>
      </c>
      <c r="C777" s="158" t="s">
        <v>1235</v>
      </c>
      <c r="D777" s="159">
        <v>849114012</v>
      </c>
      <c r="E777" s="160" t="s">
        <v>1070</v>
      </c>
      <c r="F777" s="161">
        <v>2014</v>
      </c>
      <c r="G777" s="162" t="s">
        <v>33</v>
      </c>
      <c r="H777" s="163">
        <f t="shared" si="42"/>
        <v>42755</v>
      </c>
      <c r="I777" s="163">
        <f t="shared" si="43"/>
        <v>42861</v>
      </c>
    </row>
    <row r="778" spans="1:9" s="2" customFormat="1" hidden="1" x14ac:dyDescent="0.25">
      <c r="A778" s="156">
        <v>728</v>
      </c>
      <c r="B778" s="157">
        <v>5</v>
      </c>
      <c r="C778" s="158" t="s">
        <v>908</v>
      </c>
      <c r="D778" s="159">
        <v>849114011</v>
      </c>
      <c r="E778" s="160" t="s">
        <v>1070</v>
      </c>
      <c r="F778" s="161">
        <v>2014</v>
      </c>
      <c r="G778" s="162" t="s">
        <v>33</v>
      </c>
      <c r="H778" s="163">
        <f t="shared" si="42"/>
        <v>42693</v>
      </c>
      <c r="I778" s="163">
        <f t="shared" si="43"/>
        <v>42693</v>
      </c>
    </row>
    <row r="779" spans="1:9" s="2" customFormat="1" hidden="1" x14ac:dyDescent="0.25">
      <c r="A779" s="156">
        <v>729</v>
      </c>
      <c r="B779" s="157">
        <v>6</v>
      </c>
      <c r="C779" s="158" t="s">
        <v>1236</v>
      </c>
      <c r="D779" s="159">
        <v>849114006</v>
      </c>
      <c r="E779" s="160" t="s">
        <v>1070</v>
      </c>
      <c r="F779" s="161">
        <v>2014</v>
      </c>
      <c r="G779" s="162" t="s">
        <v>33</v>
      </c>
      <c r="H779" s="163">
        <f t="shared" si="42"/>
        <v>42755</v>
      </c>
      <c r="I779" s="163">
        <f t="shared" si="43"/>
        <v>42861</v>
      </c>
    </row>
    <row r="780" spans="1:9" s="2" customFormat="1" hidden="1" x14ac:dyDescent="0.25">
      <c r="A780" s="156">
        <v>730</v>
      </c>
      <c r="B780" s="157">
        <v>7</v>
      </c>
      <c r="C780" s="158" t="s">
        <v>1237</v>
      </c>
      <c r="D780" s="159">
        <v>849114003</v>
      </c>
      <c r="E780" s="179" t="s">
        <v>1070</v>
      </c>
      <c r="F780" s="161">
        <v>2014</v>
      </c>
      <c r="G780" s="162" t="s">
        <v>33</v>
      </c>
      <c r="H780" s="163">
        <f t="shared" si="42"/>
        <v>43327</v>
      </c>
      <c r="I780" s="163">
        <f t="shared" si="43"/>
        <v>43440</v>
      </c>
    </row>
    <row r="781" spans="1:9" s="2" customFormat="1" hidden="1" x14ac:dyDescent="0.25">
      <c r="A781" s="156">
        <v>731</v>
      </c>
      <c r="B781" s="157">
        <v>8</v>
      </c>
      <c r="C781" s="158" t="s">
        <v>1238</v>
      </c>
      <c r="D781" s="159">
        <v>849114005</v>
      </c>
      <c r="E781" s="179" t="s">
        <v>1070</v>
      </c>
      <c r="F781" s="161">
        <v>2014</v>
      </c>
      <c r="G781" s="162" t="s">
        <v>33</v>
      </c>
      <c r="H781" s="163">
        <f t="shared" si="42"/>
        <v>43283</v>
      </c>
      <c r="I781" s="163">
        <f t="shared" si="43"/>
        <v>43440</v>
      </c>
    </row>
    <row r="782" spans="1:9" s="2" customFormat="1" hidden="1" x14ac:dyDescent="0.25">
      <c r="A782" s="156">
        <v>732</v>
      </c>
      <c r="B782" s="157">
        <v>9</v>
      </c>
      <c r="C782" s="158" t="s">
        <v>1239</v>
      </c>
      <c r="D782" s="159">
        <v>849114008</v>
      </c>
      <c r="E782" s="160" t="s">
        <v>1070</v>
      </c>
      <c r="F782" s="161">
        <v>2014</v>
      </c>
      <c r="G782" s="162" t="s">
        <v>33</v>
      </c>
      <c r="H782" s="163">
        <f t="shared" si="42"/>
        <v>42692</v>
      </c>
      <c r="I782" s="163">
        <f t="shared" si="43"/>
        <v>42861</v>
      </c>
    </row>
    <row r="783" spans="1:9" s="2" customFormat="1" hidden="1" x14ac:dyDescent="0.25">
      <c r="A783" s="156">
        <v>733</v>
      </c>
      <c r="B783" s="157">
        <v>10</v>
      </c>
      <c r="C783" s="158" t="s">
        <v>1240</v>
      </c>
      <c r="D783" s="159">
        <v>849114007</v>
      </c>
      <c r="E783" s="160" t="s">
        <v>1070</v>
      </c>
      <c r="F783" s="161">
        <v>2014</v>
      </c>
      <c r="G783" s="162" t="s">
        <v>33</v>
      </c>
      <c r="H783" s="163">
        <f t="shared" si="42"/>
        <v>42698</v>
      </c>
      <c r="I783" s="163">
        <f t="shared" si="43"/>
        <v>42861</v>
      </c>
    </row>
    <row r="784" spans="1:9" s="2" customFormat="1" hidden="1" x14ac:dyDescent="0.25">
      <c r="A784" s="156">
        <v>734</v>
      </c>
      <c r="B784" s="157">
        <v>11</v>
      </c>
      <c r="C784" s="158" t="s">
        <v>1241</v>
      </c>
      <c r="D784" s="159">
        <v>849114037</v>
      </c>
      <c r="E784" s="160" t="s">
        <v>1242</v>
      </c>
      <c r="F784" s="161">
        <v>2014</v>
      </c>
      <c r="G784" s="162" t="s">
        <v>33</v>
      </c>
      <c r="H784" s="163">
        <f t="shared" si="42"/>
        <v>43076</v>
      </c>
      <c r="I784" s="163">
        <f t="shared" si="43"/>
        <v>43218</v>
      </c>
    </row>
    <row r="785" spans="1:9" s="2" customFormat="1" hidden="1" x14ac:dyDescent="0.25">
      <c r="A785" s="164">
        <v>735</v>
      </c>
      <c r="B785" s="235">
        <v>12</v>
      </c>
      <c r="C785" s="301" t="s">
        <v>1243</v>
      </c>
      <c r="D785" s="302">
        <v>849114043</v>
      </c>
      <c r="E785" s="298" t="s">
        <v>1070</v>
      </c>
      <c r="F785" s="299">
        <v>2014</v>
      </c>
      <c r="G785" s="214" t="s">
        <v>1077</v>
      </c>
      <c r="H785" s="303" t="str">
        <f t="shared" si="42"/>
        <v xml:space="preserve">   </v>
      </c>
      <c r="I785" s="303" t="str">
        <f t="shared" si="43"/>
        <v xml:space="preserve">   </v>
      </c>
    </row>
    <row r="786" spans="1:9" s="2" customFormat="1" hidden="1" x14ac:dyDescent="0.25">
      <c r="A786" s="156">
        <v>736</v>
      </c>
      <c r="B786" s="157">
        <v>13</v>
      </c>
      <c r="C786" s="158" t="s">
        <v>1244</v>
      </c>
      <c r="D786" s="159">
        <v>849114018</v>
      </c>
      <c r="E786" s="160" t="s">
        <v>1070</v>
      </c>
      <c r="F786" s="161">
        <v>2014</v>
      </c>
      <c r="G786" s="162" t="s">
        <v>33</v>
      </c>
      <c r="H786" s="163">
        <f t="shared" si="42"/>
        <v>42690</v>
      </c>
      <c r="I786" s="163">
        <f t="shared" si="43"/>
        <v>42861</v>
      </c>
    </row>
    <row r="787" spans="1:9" s="2" customFormat="1" hidden="1" x14ac:dyDescent="0.25">
      <c r="A787" s="164">
        <v>737</v>
      </c>
      <c r="B787" s="235">
        <v>14</v>
      </c>
      <c r="C787" s="301" t="s">
        <v>1245</v>
      </c>
      <c r="D787" s="304">
        <v>849114004</v>
      </c>
      <c r="E787" s="298" t="s">
        <v>1070</v>
      </c>
      <c r="F787" s="299">
        <v>2014</v>
      </c>
      <c r="G787" s="214" t="s">
        <v>1077</v>
      </c>
      <c r="H787" s="303" t="str">
        <f t="shared" si="42"/>
        <v xml:space="preserve">   </v>
      </c>
      <c r="I787" s="303" t="str">
        <f t="shared" si="43"/>
        <v xml:space="preserve">   </v>
      </c>
    </row>
    <row r="788" spans="1:9" s="2" customFormat="1" hidden="1" x14ac:dyDescent="0.25">
      <c r="A788" s="156">
        <v>738</v>
      </c>
      <c r="B788" s="157">
        <v>15</v>
      </c>
      <c r="C788" s="158" t="s">
        <v>1246</v>
      </c>
      <c r="D788" s="159">
        <v>849114001</v>
      </c>
      <c r="E788" s="160" t="s">
        <v>1070</v>
      </c>
      <c r="F788" s="161">
        <v>2014</v>
      </c>
      <c r="G788" s="162" t="s">
        <v>33</v>
      </c>
      <c r="H788" s="163">
        <f t="shared" si="42"/>
        <v>42693</v>
      </c>
      <c r="I788" s="163">
        <f t="shared" si="43"/>
        <v>42693</v>
      </c>
    </row>
    <row r="789" spans="1:9" s="2" customFormat="1" hidden="1" x14ac:dyDescent="0.25">
      <c r="A789" s="156">
        <v>739</v>
      </c>
      <c r="B789" s="157">
        <v>16</v>
      </c>
      <c r="C789" s="158" t="s">
        <v>1247</v>
      </c>
      <c r="D789" s="159">
        <v>849114002</v>
      </c>
      <c r="E789" s="160" t="s">
        <v>1070</v>
      </c>
      <c r="F789" s="161">
        <v>2014</v>
      </c>
      <c r="G789" s="162" t="s">
        <v>33</v>
      </c>
      <c r="H789" s="163">
        <f t="shared" si="42"/>
        <v>42864</v>
      </c>
      <c r="I789" s="163">
        <f t="shared" si="43"/>
        <v>43064</v>
      </c>
    </row>
    <row r="790" spans="1:9" s="2" customFormat="1" hidden="1" x14ac:dyDescent="0.25">
      <c r="A790" s="164">
        <v>740</v>
      </c>
      <c r="B790" s="165">
        <v>17</v>
      </c>
      <c r="C790" s="166" t="s">
        <v>1248</v>
      </c>
      <c r="D790" s="174">
        <v>849114026</v>
      </c>
      <c r="E790" s="168" t="s">
        <v>1070</v>
      </c>
      <c r="F790" s="169">
        <v>2014</v>
      </c>
      <c r="G790" s="170" t="s">
        <v>1077</v>
      </c>
      <c r="H790" s="265" t="str">
        <f t="shared" si="42"/>
        <v xml:space="preserve">   </v>
      </c>
      <c r="I790" s="265" t="str">
        <f t="shared" si="43"/>
        <v xml:space="preserve">   </v>
      </c>
    </row>
    <row r="791" spans="1:9" s="2" customFormat="1" hidden="1" x14ac:dyDescent="0.25">
      <c r="A791" s="164">
        <v>741</v>
      </c>
      <c r="B791" s="305">
        <v>18</v>
      </c>
      <c r="C791" s="301" t="s">
        <v>1249</v>
      </c>
      <c r="D791" s="304">
        <v>849114020</v>
      </c>
      <c r="E791" s="298" t="s">
        <v>1070</v>
      </c>
      <c r="F791" s="299">
        <v>2014</v>
      </c>
      <c r="G791" s="214" t="s">
        <v>1077</v>
      </c>
      <c r="H791" s="303" t="str">
        <f t="shared" si="42"/>
        <v xml:space="preserve">   </v>
      </c>
      <c r="I791" s="303" t="str">
        <f t="shared" si="43"/>
        <v xml:space="preserve">   </v>
      </c>
    </row>
    <row r="792" spans="1:9" s="2" customFormat="1" hidden="1" x14ac:dyDescent="0.25">
      <c r="A792" s="216">
        <v>2000</v>
      </c>
      <c r="B792" s="306">
        <v>18</v>
      </c>
      <c r="C792" s="182" t="s">
        <v>1250</v>
      </c>
      <c r="D792" s="307">
        <v>849114025</v>
      </c>
      <c r="E792" s="308" t="s">
        <v>1070</v>
      </c>
      <c r="F792" s="309">
        <v>2014</v>
      </c>
      <c r="G792" s="162" t="s">
        <v>33</v>
      </c>
      <c r="H792" s="163">
        <f t="shared" si="42"/>
        <v>43454</v>
      </c>
      <c r="I792" s="163">
        <f t="shared" si="43"/>
        <v>43587</v>
      </c>
    </row>
    <row r="793" spans="1:9" s="4" customFormat="1" hidden="1" x14ac:dyDescent="0.25">
      <c r="A793" s="187"/>
      <c r="B793" s="188"/>
      <c r="C793" s="189"/>
      <c r="D793" s="190"/>
      <c r="E793" s="191"/>
      <c r="F793" s="192" t="s">
        <v>61</v>
      </c>
      <c r="G793" s="192" t="s">
        <v>61</v>
      </c>
      <c r="H793" s="193"/>
      <c r="I793" s="193"/>
    </row>
    <row r="794" spans="1:9" s="2" customFormat="1" hidden="1" x14ac:dyDescent="0.25">
      <c r="A794" s="194" t="s">
        <v>1251</v>
      </c>
      <c r="B794" s="310"/>
      <c r="C794" s="251"/>
      <c r="D794" s="252"/>
      <c r="E794" s="198" t="s">
        <v>1096</v>
      </c>
      <c r="F794" s="199" t="s">
        <v>1096</v>
      </c>
      <c r="G794" s="146">
        <v>3000000</v>
      </c>
      <c r="H794" s="232" t="str">
        <f t="shared" ref="H794:H810" si="44">IFERROR(VLOOKUP(D794,Tlus,3,FALSE),"   ")</f>
        <v xml:space="preserve">   </v>
      </c>
      <c r="I794" s="232" t="str">
        <f t="shared" ref="I794:I810" si="45">IFERROR(VLOOKUP(D794,Wis,4,FALSE),"   ")</f>
        <v xml:space="preserve">   </v>
      </c>
    </row>
    <row r="795" spans="1:9" s="2" customFormat="1" hidden="1" x14ac:dyDescent="0.25">
      <c r="A795" s="200">
        <v>742</v>
      </c>
      <c r="B795" s="262">
        <v>1</v>
      </c>
      <c r="C795" s="150" t="s">
        <v>1252</v>
      </c>
      <c r="D795" s="151">
        <v>849214001</v>
      </c>
      <c r="E795" s="311" t="s">
        <v>1110</v>
      </c>
      <c r="F795" s="153">
        <v>2014</v>
      </c>
      <c r="G795" s="154" t="s">
        <v>33</v>
      </c>
      <c r="H795" s="312" t="str">
        <f t="shared" si="44"/>
        <v xml:space="preserve">   </v>
      </c>
      <c r="I795" s="312" t="str">
        <f t="shared" si="45"/>
        <v xml:space="preserve">   </v>
      </c>
    </row>
    <row r="796" spans="1:9" s="2" customFormat="1" hidden="1" x14ac:dyDescent="0.25">
      <c r="A796" s="156">
        <v>743</v>
      </c>
      <c r="B796" s="157">
        <v>2</v>
      </c>
      <c r="C796" s="158" t="s">
        <v>1253</v>
      </c>
      <c r="D796" s="159">
        <v>849214002</v>
      </c>
      <c r="E796" s="160" t="s">
        <v>1110</v>
      </c>
      <c r="F796" s="161">
        <v>2014</v>
      </c>
      <c r="G796" s="162" t="s">
        <v>33</v>
      </c>
      <c r="H796" s="163">
        <f t="shared" si="44"/>
        <v>42693</v>
      </c>
      <c r="I796" s="163">
        <f t="shared" si="45"/>
        <v>42693</v>
      </c>
    </row>
    <row r="797" spans="1:9" s="2" customFormat="1" hidden="1" x14ac:dyDescent="0.25">
      <c r="A797" s="156">
        <v>744</v>
      </c>
      <c r="B797" s="157">
        <v>3</v>
      </c>
      <c r="C797" s="158" t="s">
        <v>1254</v>
      </c>
      <c r="D797" s="159">
        <v>849214003</v>
      </c>
      <c r="E797" s="160" t="s">
        <v>1110</v>
      </c>
      <c r="F797" s="161">
        <v>2014</v>
      </c>
      <c r="G797" s="162" t="s">
        <v>33</v>
      </c>
      <c r="H797" s="163">
        <f t="shared" si="44"/>
        <v>42693</v>
      </c>
      <c r="I797" s="163">
        <f t="shared" si="45"/>
        <v>42693</v>
      </c>
    </row>
    <row r="798" spans="1:9" s="2" customFormat="1" hidden="1" x14ac:dyDescent="0.25">
      <c r="A798" s="234">
        <v>745</v>
      </c>
      <c r="B798" s="235">
        <v>4</v>
      </c>
      <c r="C798" s="313" t="s">
        <v>1255</v>
      </c>
      <c r="D798" s="314">
        <v>849214004</v>
      </c>
      <c r="E798" s="237" t="s">
        <v>1110</v>
      </c>
      <c r="F798" s="315">
        <v>2014</v>
      </c>
      <c r="G798" s="214" t="s">
        <v>1077</v>
      </c>
      <c r="H798" s="239" t="str">
        <f t="shared" si="44"/>
        <v xml:space="preserve">   </v>
      </c>
      <c r="I798" s="239" t="str">
        <f t="shared" si="45"/>
        <v xml:space="preserve">   </v>
      </c>
    </row>
    <row r="799" spans="1:9" s="2" customFormat="1" hidden="1" x14ac:dyDescent="0.25">
      <c r="A799" s="156">
        <v>746</v>
      </c>
      <c r="B799" s="157">
        <v>5</v>
      </c>
      <c r="C799" s="158" t="s">
        <v>1256</v>
      </c>
      <c r="D799" s="159">
        <v>849214005</v>
      </c>
      <c r="E799" s="160" t="s">
        <v>1110</v>
      </c>
      <c r="F799" s="161">
        <v>2014</v>
      </c>
      <c r="G799" s="162" t="s">
        <v>33</v>
      </c>
      <c r="H799" s="163">
        <f t="shared" si="44"/>
        <v>43027</v>
      </c>
      <c r="I799" s="163">
        <f t="shared" si="45"/>
        <v>43064</v>
      </c>
    </row>
    <row r="800" spans="1:9" s="2" customFormat="1" hidden="1" x14ac:dyDescent="0.25">
      <c r="A800" s="156">
        <v>747</v>
      </c>
      <c r="B800" s="157">
        <v>6</v>
      </c>
      <c r="C800" s="158" t="s">
        <v>1257</v>
      </c>
      <c r="D800" s="159">
        <v>849214006</v>
      </c>
      <c r="E800" s="179" t="s">
        <v>1110</v>
      </c>
      <c r="F800" s="161">
        <v>2014</v>
      </c>
      <c r="G800" s="162" t="s">
        <v>33</v>
      </c>
      <c r="H800" s="163">
        <f t="shared" si="44"/>
        <v>43377</v>
      </c>
      <c r="I800" s="163">
        <f t="shared" si="45"/>
        <v>43440</v>
      </c>
    </row>
    <row r="801" spans="1:9" s="2" customFormat="1" hidden="1" x14ac:dyDescent="0.25">
      <c r="A801" s="156">
        <v>748</v>
      </c>
      <c r="B801" s="157">
        <v>7</v>
      </c>
      <c r="C801" s="158" t="s">
        <v>1258</v>
      </c>
      <c r="D801" s="159">
        <v>849214007</v>
      </c>
      <c r="E801" s="160" t="s">
        <v>1110</v>
      </c>
      <c r="F801" s="161">
        <v>2014</v>
      </c>
      <c r="G801" s="162" t="s">
        <v>33</v>
      </c>
      <c r="H801" s="163">
        <f t="shared" si="44"/>
        <v>42693</v>
      </c>
      <c r="I801" s="163">
        <f t="shared" si="45"/>
        <v>42693</v>
      </c>
    </row>
    <row r="802" spans="1:9" s="2" customFormat="1" hidden="1" x14ac:dyDescent="0.25">
      <c r="A802" s="156">
        <v>749</v>
      </c>
      <c r="B802" s="157">
        <v>8</v>
      </c>
      <c r="C802" s="158" t="s">
        <v>1259</v>
      </c>
      <c r="D802" s="159">
        <v>849214008</v>
      </c>
      <c r="E802" s="160" t="s">
        <v>1110</v>
      </c>
      <c r="F802" s="161">
        <v>2014</v>
      </c>
      <c r="G802" s="162" t="s">
        <v>33</v>
      </c>
      <c r="H802" s="163">
        <f t="shared" si="44"/>
        <v>42884</v>
      </c>
      <c r="I802" s="163">
        <f t="shared" si="45"/>
        <v>43064</v>
      </c>
    </row>
    <row r="803" spans="1:9" s="2" customFormat="1" hidden="1" x14ac:dyDescent="0.25">
      <c r="A803" s="316">
        <v>750</v>
      </c>
      <c r="B803" s="176">
        <v>9</v>
      </c>
      <c r="C803" s="177" t="s">
        <v>1260</v>
      </c>
      <c r="D803" s="178">
        <v>849214009</v>
      </c>
      <c r="E803" s="275" t="s">
        <v>1110</v>
      </c>
      <c r="F803" s="317">
        <v>2014</v>
      </c>
      <c r="G803" s="162" t="s">
        <v>33</v>
      </c>
      <c r="H803" s="163">
        <f t="shared" si="44"/>
        <v>43613</v>
      </c>
      <c r="I803" s="273" t="str">
        <f t="shared" si="45"/>
        <v xml:space="preserve">   </v>
      </c>
    </row>
    <row r="804" spans="1:9" s="2" customFormat="1" hidden="1" x14ac:dyDescent="0.25">
      <c r="A804" s="156">
        <v>751</v>
      </c>
      <c r="B804" s="157">
        <v>10</v>
      </c>
      <c r="C804" s="158" t="s">
        <v>1261</v>
      </c>
      <c r="D804" s="159">
        <v>849214010</v>
      </c>
      <c r="E804" s="160" t="s">
        <v>1110</v>
      </c>
      <c r="F804" s="161">
        <v>2014</v>
      </c>
      <c r="G804" s="162" t="s">
        <v>33</v>
      </c>
      <c r="H804" s="163">
        <f t="shared" si="44"/>
        <v>42753</v>
      </c>
      <c r="I804" s="163">
        <f t="shared" si="45"/>
        <v>42861</v>
      </c>
    </row>
    <row r="805" spans="1:9" s="2" customFormat="1" hidden="1" x14ac:dyDescent="0.25">
      <c r="A805" s="156">
        <v>752</v>
      </c>
      <c r="B805" s="157">
        <v>11</v>
      </c>
      <c r="C805" s="158" t="s">
        <v>1263</v>
      </c>
      <c r="D805" s="159">
        <v>849214011</v>
      </c>
      <c r="E805" s="160" t="s">
        <v>1110</v>
      </c>
      <c r="F805" s="161">
        <v>2014</v>
      </c>
      <c r="G805" s="162" t="s">
        <v>33</v>
      </c>
      <c r="H805" s="163">
        <f t="shared" si="44"/>
        <v>42814</v>
      </c>
      <c r="I805" s="163">
        <f t="shared" si="45"/>
        <v>42861</v>
      </c>
    </row>
    <row r="806" spans="1:9" s="2" customFormat="1" hidden="1" x14ac:dyDescent="0.25">
      <c r="A806" s="156">
        <v>753</v>
      </c>
      <c r="B806" s="157">
        <v>12</v>
      </c>
      <c r="C806" s="158" t="s">
        <v>1264</v>
      </c>
      <c r="D806" s="159">
        <v>849214012</v>
      </c>
      <c r="E806" s="160" t="s">
        <v>1110</v>
      </c>
      <c r="F806" s="161">
        <v>2014</v>
      </c>
      <c r="G806" s="162" t="s">
        <v>33</v>
      </c>
      <c r="H806" s="163">
        <f t="shared" si="44"/>
        <v>42835</v>
      </c>
      <c r="I806" s="163">
        <f t="shared" si="45"/>
        <v>43064</v>
      </c>
    </row>
    <row r="807" spans="1:9" s="2" customFormat="1" hidden="1" x14ac:dyDescent="0.25">
      <c r="A807" s="156">
        <v>754</v>
      </c>
      <c r="B807" s="157">
        <v>13</v>
      </c>
      <c r="C807" s="158" t="s">
        <v>1265</v>
      </c>
      <c r="D807" s="159">
        <v>849214013</v>
      </c>
      <c r="E807" s="160" t="s">
        <v>1110</v>
      </c>
      <c r="F807" s="161">
        <v>2014</v>
      </c>
      <c r="G807" s="162" t="s">
        <v>33</v>
      </c>
      <c r="H807" s="163">
        <f t="shared" si="44"/>
        <v>42852</v>
      </c>
      <c r="I807" s="163">
        <f t="shared" si="45"/>
        <v>43064</v>
      </c>
    </row>
    <row r="808" spans="1:9" s="2" customFormat="1" hidden="1" x14ac:dyDescent="0.25">
      <c r="A808" s="156">
        <v>755</v>
      </c>
      <c r="B808" s="157">
        <v>14</v>
      </c>
      <c r="C808" s="158" t="s">
        <v>1266</v>
      </c>
      <c r="D808" s="159">
        <v>849214014</v>
      </c>
      <c r="E808" s="160" t="s">
        <v>1110</v>
      </c>
      <c r="F808" s="161">
        <v>2014</v>
      </c>
      <c r="G808" s="162" t="s">
        <v>33</v>
      </c>
      <c r="H808" s="163">
        <f t="shared" si="44"/>
        <v>42753</v>
      </c>
      <c r="I808" s="163">
        <f t="shared" si="45"/>
        <v>42861</v>
      </c>
    </row>
    <row r="809" spans="1:9" s="2" customFormat="1" hidden="1" x14ac:dyDescent="0.25">
      <c r="A809" s="156">
        <v>756</v>
      </c>
      <c r="B809" s="157">
        <v>15</v>
      </c>
      <c r="C809" s="158" t="s">
        <v>1267</v>
      </c>
      <c r="D809" s="159">
        <v>849214015</v>
      </c>
      <c r="E809" s="179" t="s">
        <v>1110</v>
      </c>
      <c r="F809" s="161">
        <v>2014</v>
      </c>
      <c r="G809" s="162" t="s">
        <v>33</v>
      </c>
      <c r="H809" s="163">
        <f t="shared" si="44"/>
        <v>43656</v>
      </c>
      <c r="I809" s="287" t="str">
        <f t="shared" si="45"/>
        <v xml:space="preserve">   </v>
      </c>
    </row>
    <row r="810" spans="1:9" s="2" customFormat="1" hidden="1" x14ac:dyDescent="0.25">
      <c r="A810" s="240">
        <v>757</v>
      </c>
      <c r="B810" s="241">
        <v>16</v>
      </c>
      <c r="C810" s="318" t="s">
        <v>1269</v>
      </c>
      <c r="D810" s="243">
        <v>849214016</v>
      </c>
      <c r="E810" s="244" t="s">
        <v>61</v>
      </c>
      <c r="F810" s="245" t="s">
        <v>61</v>
      </c>
      <c r="G810" s="170" t="s">
        <v>1077</v>
      </c>
      <c r="H810" s="246" t="str">
        <f t="shared" si="44"/>
        <v xml:space="preserve">   </v>
      </c>
      <c r="I810" s="246" t="str">
        <f t="shared" si="45"/>
        <v xml:space="preserve">   </v>
      </c>
    </row>
    <row r="811" spans="1:9" s="4" customFormat="1" hidden="1" x14ac:dyDescent="0.25">
      <c r="A811" s="290"/>
      <c r="B811" s="187"/>
      <c r="C811" s="187"/>
      <c r="D811" s="319"/>
      <c r="E811" s="191" t="s">
        <v>61</v>
      </c>
      <c r="F811" s="320" t="s">
        <v>61</v>
      </c>
      <c r="G811" s="192" t="s">
        <v>61</v>
      </c>
      <c r="H811" s="193"/>
      <c r="I811" s="193"/>
    </row>
    <row r="812" spans="1:9" s="2" customFormat="1" hidden="1" x14ac:dyDescent="0.25">
      <c r="A812" s="321" t="s">
        <v>1270</v>
      </c>
      <c r="B812" s="310"/>
      <c r="C812" s="251"/>
      <c r="D812" s="252"/>
      <c r="E812" s="198" t="s">
        <v>1096</v>
      </c>
      <c r="F812" s="199" t="s">
        <v>1096</v>
      </c>
      <c r="G812" s="146">
        <v>3000000</v>
      </c>
      <c r="H812" s="232" t="str">
        <f t="shared" ref="H812:H843" si="46">IFERROR(VLOOKUP(D812,Tlus,3,FALSE),"   ")</f>
        <v xml:space="preserve">   </v>
      </c>
      <c r="I812" s="232" t="str">
        <f t="shared" ref="I812:I843" si="47">IFERROR(VLOOKUP(D812,Wis,4,FALSE),"   ")</f>
        <v xml:space="preserve">   </v>
      </c>
    </row>
    <row r="813" spans="1:9" s="2" customFormat="1" hidden="1" x14ac:dyDescent="0.25">
      <c r="A813" s="322">
        <v>758</v>
      </c>
      <c r="B813" s="323">
        <v>1</v>
      </c>
      <c r="C813" s="324" t="s">
        <v>1271</v>
      </c>
      <c r="D813" s="325">
        <v>849114023</v>
      </c>
      <c r="E813" s="326" t="s">
        <v>1070</v>
      </c>
      <c r="F813" s="327">
        <v>2014</v>
      </c>
      <c r="G813" s="170" t="s">
        <v>1077</v>
      </c>
      <c r="H813" s="328" t="str">
        <f t="shared" si="46"/>
        <v xml:space="preserve">   </v>
      </c>
      <c r="I813" s="328" t="str">
        <f t="shared" si="47"/>
        <v xml:space="preserve">   </v>
      </c>
    </row>
    <row r="814" spans="1:9" s="2" customFormat="1" hidden="1" x14ac:dyDescent="0.25">
      <c r="A814" s="156">
        <v>759</v>
      </c>
      <c r="B814" s="157">
        <v>2</v>
      </c>
      <c r="C814" s="158" t="s">
        <v>1272</v>
      </c>
      <c r="D814" s="159">
        <v>849114022</v>
      </c>
      <c r="E814" s="179" t="s">
        <v>1070</v>
      </c>
      <c r="F814" s="161">
        <v>2014</v>
      </c>
      <c r="G814" s="162" t="s">
        <v>33</v>
      </c>
      <c r="H814" s="163">
        <f t="shared" si="46"/>
        <v>43460</v>
      </c>
      <c r="I814" s="163">
        <f t="shared" si="47"/>
        <v>43587</v>
      </c>
    </row>
    <row r="815" spans="1:9" s="2" customFormat="1" hidden="1" x14ac:dyDescent="0.25">
      <c r="A815" s="164">
        <v>760</v>
      </c>
      <c r="B815" s="253">
        <v>3</v>
      </c>
      <c r="C815" s="173" t="s">
        <v>1273</v>
      </c>
      <c r="D815" s="263">
        <v>849114017</v>
      </c>
      <c r="E815" s="264" t="s">
        <v>1070</v>
      </c>
      <c r="F815" s="175">
        <v>2014</v>
      </c>
      <c r="G815" s="170" t="s">
        <v>1077</v>
      </c>
      <c r="H815" s="265" t="str">
        <f t="shared" si="46"/>
        <v xml:space="preserve">   </v>
      </c>
      <c r="I815" s="265" t="str">
        <f t="shared" si="47"/>
        <v xml:space="preserve">   </v>
      </c>
    </row>
    <row r="816" spans="1:9" s="2" customFormat="1" hidden="1" x14ac:dyDescent="0.25">
      <c r="A816" s="234">
        <v>761</v>
      </c>
      <c r="B816" s="235">
        <v>4</v>
      </c>
      <c r="C816" s="233" t="s">
        <v>1274</v>
      </c>
      <c r="D816" s="236">
        <v>849114028</v>
      </c>
      <c r="E816" s="237" t="s">
        <v>1070</v>
      </c>
      <c r="F816" s="238">
        <v>2014</v>
      </c>
      <c r="G816" s="214" t="s">
        <v>1077</v>
      </c>
      <c r="H816" s="239" t="str">
        <f t="shared" si="46"/>
        <v xml:space="preserve">   </v>
      </c>
      <c r="I816" s="239" t="str">
        <f t="shared" si="47"/>
        <v xml:space="preserve">   </v>
      </c>
    </row>
    <row r="817" spans="1:9" s="2" customFormat="1" hidden="1" x14ac:dyDescent="0.25">
      <c r="A817" s="234">
        <v>762</v>
      </c>
      <c r="B817" s="235">
        <v>5</v>
      </c>
      <c r="C817" s="233" t="s">
        <v>1275</v>
      </c>
      <c r="D817" s="236">
        <v>849114024</v>
      </c>
      <c r="E817" s="237" t="s">
        <v>1070</v>
      </c>
      <c r="F817" s="238">
        <v>2014</v>
      </c>
      <c r="G817" s="214" t="s">
        <v>1077</v>
      </c>
      <c r="H817" s="239" t="str">
        <f t="shared" si="46"/>
        <v xml:space="preserve">   </v>
      </c>
      <c r="I817" s="239" t="str">
        <f t="shared" si="47"/>
        <v xml:space="preserve">   </v>
      </c>
    </row>
    <row r="818" spans="1:9" s="2" customFormat="1" hidden="1" x14ac:dyDescent="0.25">
      <c r="A818" s="156">
        <v>763</v>
      </c>
      <c r="B818" s="157">
        <v>6</v>
      </c>
      <c r="C818" s="158" t="s">
        <v>1276</v>
      </c>
      <c r="D818" s="159">
        <v>849114038</v>
      </c>
      <c r="E818" s="160" t="s">
        <v>1070</v>
      </c>
      <c r="F818" s="161">
        <v>2014</v>
      </c>
      <c r="G818" s="162" t="s">
        <v>33</v>
      </c>
      <c r="H818" s="163">
        <f t="shared" si="46"/>
        <v>43090</v>
      </c>
      <c r="I818" s="163">
        <f t="shared" si="47"/>
        <v>43218</v>
      </c>
    </row>
    <row r="819" spans="1:9" s="2" customFormat="1" hidden="1" x14ac:dyDescent="0.25">
      <c r="A819" s="156">
        <v>764</v>
      </c>
      <c r="B819" s="157">
        <v>5</v>
      </c>
      <c r="C819" s="158" t="s">
        <v>1278</v>
      </c>
      <c r="D819" s="159">
        <v>849114040</v>
      </c>
      <c r="E819" s="160" t="s">
        <v>1070</v>
      </c>
      <c r="F819" s="161">
        <v>2014</v>
      </c>
      <c r="G819" s="162" t="s">
        <v>33</v>
      </c>
      <c r="H819" s="163">
        <f t="shared" si="46"/>
        <v>42725</v>
      </c>
      <c r="I819" s="163">
        <f t="shared" si="47"/>
        <v>42861</v>
      </c>
    </row>
    <row r="820" spans="1:9" s="2" customFormat="1" hidden="1" x14ac:dyDescent="0.25">
      <c r="A820" s="164">
        <v>765</v>
      </c>
      <c r="B820" s="253">
        <v>8</v>
      </c>
      <c r="C820" s="173" t="s">
        <v>1279</v>
      </c>
      <c r="D820" s="263">
        <v>849114019</v>
      </c>
      <c r="E820" s="264" t="s">
        <v>1070</v>
      </c>
      <c r="F820" s="175">
        <v>2014</v>
      </c>
      <c r="G820" s="170" t="s">
        <v>1077</v>
      </c>
      <c r="H820" s="265" t="str">
        <f t="shared" si="46"/>
        <v xml:space="preserve">   </v>
      </c>
      <c r="I820" s="265" t="str">
        <f t="shared" si="47"/>
        <v xml:space="preserve">   </v>
      </c>
    </row>
    <row r="821" spans="1:9" s="2" customFormat="1" hidden="1" x14ac:dyDescent="0.25">
      <c r="A821" s="156">
        <v>766</v>
      </c>
      <c r="B821" s="157">
        <v>9</v>
      </c>
      <c r="C821" s="158" t="s">
        <v>1280</v>
      </c>
      <c r="D821" s="159">
        <v>849114041</v>
      </c>
      <c r="E821" s="179" t="s">
        <v>1070</v>
      </c>
      <c r="F821" s="161">
        <v>2014</v>
      </c>
      <c r="G821" s="162" t="s">
        <v>33</v>
      </c>
      <c r="H821" s="163">
        <f t="shared" si="46"/>
        <v>43222</v>
      </c>
      <c r="I821" s="163">
        <f t="shared" si="47"/>
        <v>43440</v>
      </c>
    </row>
    <row r="822" spans="1:9" s="2" customFormat="1" hidden="1" x14ac:dyDescent="0.25">
      <c r="A822" s="156">
        <v>767</v>
      </c>
      <c r="B822" s="157">
        <v>10</v>
      </c>
      <c r="C822" s="158" t="s">
        <v>1281</v>
      </c>
      <c r="D822" s="159">
        <v>849114039</v>
      </c>
      <c r="E822" s="160" t="s">
        <v>1070</v>
      </c>
      <c r="F822" s="161">
        <v>2014</v>
      </c>
      <c r="G822" s="162" t="s">
        <v>33</v>
      </c>
      <c r="H822" s="163">
        <f t="shared" si="46"/>
        <v>42831</v>
      </c>
      <c r="I822" s="163">
        <f t="shared" si="47"/>
        <v>43064</v>
      </c>
    </row>
    <row r="823" spans="1:9" s="2" customFormat="1" hidden="1" x14ac:dyDescent="0.25">
      <c r="A823" s="156">
        <v>768</v>
      </c>
      <c r="B823" s="157">
        <v>11</v>
      </c>
      <c r="C823" s="158" t="s">
        <v>1282</v>
      </c>
      <c r="D823" s="159">
        <v>849114015</v>
      </c>
      <c r="E823" s="160" t="s">
        <v>1070</v>
      </c>
      <c r="F823" s="161">
        <v>2014</v>
      </c>
      <c r="G823" s="162" t="s">
        <v>33</v>
      </c>
      <c r="H823" s="163">
        <f t="shared" si="46"/>
        <v>42817</v>
      </c>
      <c r="I823" s="163">
        <f t="shared" si="47"/>
        <v>42861</v>
      </c>
    </row>
    <row r="824" spans="1:9" s="2" customFormat="1" hidden="1" x14ac:dyDescent="0.25">
      <c r="A824" s="164">
        <v>769</v>
      </c>
      <c r="B824" s="253">
        <v>12</v>
      </c>
      <c r="C824" s="173" t="s">
        <v>1283</v>
      </c>
      <c r="D824" s="263">
        <v>849114016</v>
      </c>
      <c r="E824" s="264" t="s">
        <v>1070</v>
      </c>
      <c r="F824" s="175">
        <v>2014</v>
      </c>
      <c r="G824" s="170" t="s">
        <v>1077</v>
      </c>
      <c r="H824" s="265" t="str">
        <f t="shared" si="46"/>
        <v xml:space="preserve">   </v>
      </c>
      <c r="I824" s="265" t="str">
        <f t="shared" si="47"/>
        <v xml:space="preserve">   </v>
      </c>
    </row>
    <row r="825" spans="1:9" s="2" customFormat="1" hidden="1" x14ac:dyDescent="0.25">
      <c r="A825" s="164">
        <v>770</v>
      </c>
      <c r="B825" s="253">
        <v>13</v>
      </c>
      <c r="C825" s="166" t="s">
        <v>1284</v>
      </c>
      <c r="D825" s="174">
        <v>849114021</v>
      </c>
      <c r="E825" s="168" t="s">
        <v>1070</v>
      </c>
      <c r="F825" s="169">
        <v>2014</v>
      </c>
      <c r="G825" s="170" t="s">
        <v>1077</v>
      </c>
      <c r="H825" s="265" t="str">
        <f t="shared" si="46"/>
        <v xml:space="preserve">   </v>
      </c>
      <c r="I825" s="265" t="str">
        <f t="shared" si="47"/>
        <v xml:space="preserve">   </v>
      </c>
    </row>
    <row r="826" spans="1:9" s="2" customFormat="1" hidden="1" x14ac:dyDescent="0.25">
      <c r="A826" s="156">
        <v>771</v>
      </c>
      <c r="B826" s="157">
        <v>14</v>
      </c>
      <c r="C826" s="158" t="s">
        <v>1285</v>
      </c>
      <c r="D826" s="159">
        <v>849114013</v>
      </c>
      <c r="E826" s="179" t="s">
        <v>1070</v>
      </c>
      <c r="F826" s="161">
        <v>2014</v>
      </c>
      <c r="G826" s="162" t="s">
        <v>33</v>
      </c>
      <c r="H826" s="163">
        <f t="shared" si="46"/>
        <v>43371</v>
      </c>
      <c r="I826" s="163">
        <f t="shared" si="47"/>
        <v>43440</v>
      </c>
    </row>
    <row r="827" spans="1:9" s="2" customFormat="1" hidden="1" x14ac:dyDescent="0.25">
      <c r="A827" s="234">
        <v>772</v>
      </c>
      <c r="B827" s="235">
        <v>15</v>
      </c>
      <c r="C827" s="233" t="s">
        <v>1286</v>
      </c>
      <c r="D827" s="236">
        <v>849114014</v>
      </c>
      <c r="E827" s="237" t="s">
        <v>1070</v>
      </c>
      <c r="F827" s="238">
        <v>2014</v>
      </c>
      <c r="G827" s="214" t="s">
        <v>1077</v>
      </c>
      <c r="H827" s="239" t="str">
        <f t="shared" si="46"/>
        <v xml:space="preserve">   </v>
      </c>
      <c r="I827" s="239" t="str">
        <f t="shared" si="47"/>
        <v xml:space="preserve">   </v>
      </c>
    </row>
    <row r="828" spans="1:9" s="2" customFormat="1" hidden="1" x14ac:dyDescent="0.25">
      <c r="A828" s="234">
        <v>773</v>
      </c>
      <c r="B828" s="235">
        <v>16</v>
      </c>
      <c r="C828" s="233" t="s">
        <v>1287</v>
      </c>
      <c r="D828" s="236">
        <v>849114042</v>
      </c>
      <c r="E828" s="329" t="s">
        <v>1070</v>
      </c>
      <c r="F828" s="330">
        <v>2014</v>
      </c>
      <c r="G828" s="214" t="s">
        <v>1077</v>
      </c>
      <c r="H828" s="239" t="str">
        <f t="shared" si="46"/>
        <v xml:space="preserve">   </v>
      </c>
      <c r="I828" s="239" t="str">
        <f t="shared" si="47"/>
        <v xml:space="preserve">   </v>
      </c>
    </row>
    <row r="829" spans="1:9" s="2" customFormat="1" hidden="1" x14ac:dyDescent="0.25">
      <c r="A829" s="156">
        <v>774</v>
      </c>
      <c r="B829" s="157">
        <v>17</v>
      </c>
      <c r="C829" s="158" t="s">
        <v>1288</v>
      </c>
      <c r="D829" s="159">
        <v>849114033</v>
      </c>
      <c r="E829" s="179" t="s">
        <v>1070</v>
      </c>
      <c r="F829" s="161">
        <v>2014</v>
      </c>
      <c r="G829" s="162" t="s">
        <v>33</v>
      </c>
      <c r="H829" s="163">
        <f t="shared" si="46"/>
        <v>43285</v>
      </c>
      <c r="I829" s="287">
        <f t="shared" si="47"/>
        <v>43440</v>
      </c>
    </row>
    <row r="830" spans="1:9" s="2" customFormat="1" hidden="1" x14ac:dyDescent="0.25">
      <c r="A830" s="156">
        <v>775</v>
      </c>
      <c r="B830" s="157">
        <v>18</v>
      </c>
      <c r="C830" s="158" t="s">
        <v>1289</v>
      </c>
      <c r="D830" s="159">
        <v>849114029</v>
      </c>
      <c r="E830" s="179" t="s">
        <v>1070</v>
      </c>
      <c r="F830" s="161">
        <v>2014</v>
      </c>
      <c r="G830" s="162" t="s">
        <v>33</v>
      </c>
      <c r="H830" s="163" t="str">
        <f t="shared" si="46"/>
        <v xml:space="preserve">   </v>
      </c>
      <c r="I830" s="287" t="str">
        <f t="shared" si="47"/>
        <v xml:space="preserve">   </v>
      </c>
    </row>
    <row r="831" spans="1:9" s="2" customFormat="1" hidden="1" x14ac:dyDescent="0.25">
      <c r="A831" s="156">
        <v>776</v>
      </c>
      <c r="B831" s="157">
        <v>19</v>
      </c>
      <c r="C831" s="158" t="s">
        <v>1290</v>
      </c>
      <c r="D831" s="159">
        <v>849114031</v>
      </c>
      <c r="E831" s="160" t="s">
        <v>1070</v>
      </c>
      <c r="F831" s="161">
        <v>2014</v>
      </c>
      <c r="G831" s="162" t="s">
        <v>33</v>
      </c>
      <c r="H831" s="163">
        <f t="shared" si="46"/>
        <v>42759</v>
      </c>
      <c r="I831" s="163">
        <f t="shared" si="47"/>
        <v>42861</v>
      </c>
    </row>
    <row r="832" spans="1:9" s="2" customFormat="1" hidden="1" x14ac:dyDescent="0.25">
      <c r="A832" s="156">
        <v>777</v>
      </c>
      <c r="B832" s="157">
        <v>20</v>
      </c>
      <c r="C832" s="158" t="s">
        <v>1291</v>
      </c>
      <c r="D832" s="159">
        <v>849114032</v>
      </c>
      <c r="E832" s="160" t="s">
        <v>1070</v>
      </c>
      <c r="F832" s="161">
        <v>2014</v>
      </c>
      <c r="G832" s="162" t="s">
        <v>33</v>
      </c>
      <c r="H832" s="163">
        <f t="shared" si="46"/>
        <v>43020</v>
      </c>
      <c r="I832" s="163">
        <f t="shared" si="47"/>
        <v>43064</v>
      </c>
    </row>
    <row r="833" spans="1:9" s="2" customFormat="1" hidden="1" x14ac:dyDescent="0.25">
      <c r="A833" s="156">
        <v>778</v>
      </c>
      <c r="B833" s="157">
        <v>21</v>
      </c>
      <c r="C833" s="158" t="s">
        <v>1292</v>
      </c>
      <c r="D833" s="159">
        <v>849114030</v>
      </c>
      <c r="E833" s="160" t="s">
        <v>1070</v>
      </c>
      <c r="F833" s="161">
        <v>2014</v>
      </c>
      <c r="G833" s="162" t="s">
        <v>33</v>
      </c>
      <c r="H833" s="163">
        <f t="shared" si="46"/>
        <v>42693</v>
      </c>
      <c r="I833" s="163">
        <f t="shared" si="47"/>
        <v>42693</v>
      </c>
    </row>
    <row r="834" spans="1:9" s="2" customFormat="1" hidden="1" x14ac:dyDescent="0.25">
      <c r="A834" s="180">
        <v>779</v>
      </c>
      <c r="B834" s="181">
        <v>22</v>
      </c>
      <c r="C834" s="182" t="s">
        <v>1293</v>
      </c>
      <c r="D834" s="183">
        <v>849114036</v>
      </c>
      <c r="E834" s="184" t="s">
        <v>1070</v>
      </c>
      <c r="F834" s="185">
        <v>2014</v>
      </c>
      <c r="G834" s="186" t="s">
        <v>33</v>
      </c>
      <c r="H834" s="163">
        <f t="shared" si="46"/>
        <v>43042</v>
      </c>
      <c r="I834" s="284">
        <f t="shared" si="47"/>
        <v>43218</v>
      </c>
    </row>
    <row r="835" spans="1:9" s="4" customFormat="1" hidden="1" x14ac:dyDescent="0.25">
      <c r="A835" s="187"/>
      <c r="B835" s="276"/>
      <c r="C835" s="268"/>
      <c r="D835" s="269"/>
      <c r="E835" s="270" t="s">
        <v>61</v>
      </c>
      <c r="F835" s="267" t="s">
        <v>61</v>
      </c>
      <c r="G835" s="192" t="s">
        <v>61</v>
      </c>
      <c r="H835" s="193" t="str">
        <f t="shared" si="46"/>
        <v xml:space="preserve">   </v>
      </c>
      <c r="I835" s="193" t="str">
        <f t="shared" si="47"/>
        <v xml:space="preserve">   </v>
      </c>
    </row>
    <row r="836" spans="1:9" s="2" customFormat="1" hidden="1" x14ac:dyDescent="0.25">
      <c r="A836" s="194" t="s">
        <v>1294</v>
      </c>
      <c r="B836" s="310"/>
      <c r="C836" s="251"/>
      <c r="D836" s="261"/>
      <c r="E836" s="198" t="s">
        <v>1096</v>
      </c>
      <c r="F836" s="199" t="s">
        <v>1096</v>
      </c>
      <c r="G836" s="146">
        <v>3000000</v>
      </c>
      <c r="H836" s="232" t="str">
        <f t="shared" si="46"/>
        <v xml:space="preserve">   </v>
      </c>
      <c r="I836" s="232" t="str">
        <f t="shared" si="47"/>
        <v xml:space="preserve">   </v>
      </c>
    </row>
    <row r="837" spans="1:9" s="2" customFormat="1" hidden="1" x14ac:dyDescent="0.25">
      <c r="A837" s="200">
        <v>780</v>
      </c>
      <c r="B837" s="262">
        <v>1</v>
      </c>
      <c r="C837" s="150" t="s">
        <v>384</v>
      </c>
      <c r="D837" s="151">
        <v>839114001</v>
      </c>
      <c r="E837" s="311" t="s">
        <v>848</v>
      </c>
      <c r="F837" s="153">
        <v>2014</v>
      </c>
      <c r="G837" s="154" t="s">
        <v>33</v>
      </c>
      <c r="H837" s="163">
        <f t="shared" si="46"/>
        <v>43440</v>
      </c>
      <c r="I837" s="312" t="str">
        <f t="shared" si="47"/>
        <v xml:space="preserve">   </v>
      </c>
    </row>
    <row r="838" spans="1:9" s="2" customFormat="1" hidden="1" x14ac:dyDescent="0.25">
      <c r="A838" s="164">
        <v>781</v>
      </c>
      <c r="B838" s="165">
        <v>2</v>
      </c>
      <c r="C838" s="166" t="s">
        <v>1295</v>
      </c>
      <c r="D838" s="174">
        <v>839114003</v>
      </c>
      <c r="E838" s="168" t="s">
        <v>848</v>
      </c>
      <c r="F838" s="169">
        <v>2014</v>
      </c>
      <c r="G838" s="214" t="s">
        <v>1077</v>
      </c>
      <c r="H838" s="265" t="str">
        <f t="shared" si="46"/>
        <v xml:space="preserve">   </v>
      </c>
      <c r="I838" s="265" t="str">
        <f t="shared" si="47"/>
        <v xml:space="preserve">   </v>
      </c>
    </row>
    <row r="839" spans="1:9" s="2" customFormat="1" hidden="1" x14ac:dyDescent="0.25">
      <c r="A839" s="156">
        <v>782</v>
      </c>
      <c r="B839" s="157">
        <v>3</v>
      </c>
      <c r="C839" s="158" t="s">
        <v>1296</v>
      </c>
      <c r="D839" s="159">
        <v>839114007</v>
      </c>
      <c r="E839" s="160" t="s">
        <v>848</v>
      </c>
      <c r="F839" s="161">
        <v>2014</v>
      </c>
      <c r="G839" s="162" t="s">
        <v>33</v>
      </c>
      <c r="H839" s="163" t="str">
        <f t="shared" si="46"/>
        <v xml:space="preserve">   </v>
      </c>
      <c r="I839" s="163">
        <f t="shared" si="47"/>
        <v>42504</v>
      </c>
    </row>
    <row r="840" spans="1:9" s="2" customFormat="1" hidden="1" x14ac:dyDescent="0.25">
      <c r="A840" s="156">
        <v>783</v>
      </c>
      <c r="B840" s="157">
        <v>4</v>
      </c>
      <c r="C840" s="158" t="s">
        <v>1297</v>
      </c>
      <c r="D840" s="159">
        <v>839114006</v>
      </c>
      <c r="E840" s="160" t="s">
        <v>848</v>
      </c>
      <c r="F840" s="161">
        <v>2014</v>
      </c>
      <c r="G840" s="162" t="s">
        <v>33</v>
      </c>
      <c r="H840" s="163">
        <f t="shared" si="46"/>
        <v>42900</v>
      </c>
      <c r="I840" s="163">
        <f t="shared" si="47"/>
        <v>43440</v>
      </c>
    </row>
    <row r="841" spans="1:9" s="2" customFormat="1" hidden="1" x14ac:dyDescent="0.25">
      <c r="A841" s="156">
        <v>784</v>
      </c>
      <c r="B841" s="157">
        <v>5</v>
      </c>
      <c r="C841" s="158" t="s">
        <v>1298</v>
      </c>
      <c r="D841" s="159">
        <v>839114009</v>
      </c>
      <c r="E841" s="179" t="s">
        <v>848</v>
      </c>
      <c r="F841" s="161">
        <v>2014</v>
      </c>
      <c r="G841" s="162" t="s">
        <v>33</v>
      </c>
      <c r="H841" s="163">
        <f t="shared" si="46"/>
        <v>43440</v>
      </c>
      <c r="I841" s="163" t="str">
        <f t="shared" si="47"/>
        <v xml:space="preserve">   </v>
      </c>
    </row>
    <row r="842" spans="1:9" s="2" customFormat="1" hidden="1" x14ac:dyDescent="0.25">
      <c r="A842" s="156">
        <v>785</v>
      </c>
      <c r="B842" s="157">
        <v>6</v>
      </c>
      <c r="C842" s="158" t="s">
        <v>1299</v>
      </c>
      <c r="D842" s="159">
        <v>839114005</v>
      </c>
      <c r="E842" s="179" t="s">
        <v>848</v>
      </c>
      <c r="F842" s="161">
        <v>2014</v>
      </c>
      <c r="G842" s="162" t="s">
        <v>33</v>
      </c>
      <c r="H842" s="163">
        <f t="shared" si="46"/>
        <v>43441</v>
      </c>
      <c r="I842" s="163" t="str">
        <f t="shared" si="47"/>
        <v xml:space="preserve">   </v>
      </c>
    </row>
    <row r="843" spans="1:9" s="2" customFormat="1" hidden="1" x14ac:dyDescent="0.25">
      <c r="A843" s="156">
        <v>786</v>
      </c>
      <c r="B843" s="157">
        <v>7</v>
      </c>
      <c r="C843" s="158" t="s">
        <v>1300</v>
      </c>
      <c r="D843" s="159">
        <v>839114008</v>
      </c>
      <c r="E843" s="179" t="s">
        <v>848</v>
      </c>
      <c r="F843" s="161">
        <v>2014</v>
      </c>
      <c r="G843" s="162" t="s">
        <v>33</v>
      </c>
      <c r="H843" s="163">
        <f t="shared" si="46"/>
        <v>43314</v>
      </c>
      <c r="I843" s="163">
        <f t="shared" si="47"/>
        <v>43440</v>
      </c>
    </row>
    <row r="844" spans="1:9" s="2" customFormat="1" hidden="1" x14ac:dyDescent="0.25">
      <c r="A844" s="164">
        <v>787</v>
      </c>
      <c r="B844" s="165">
        <v>8</v>
      </c>
      <c r="C844" s="173" t="s">
        <v>1301</v>
      </c>
      <c r="D844" s="263">
        <v>839114010</v>
      </c>
      <c r="E844" s="264" t="s">
        <v>848</v>
      </c>
      <c r="F844" s="175">
        <v>2014</v>
      </c>
      <c r="G844" s="214" t="s">
        <v>1077</v>
      </c>
      <c r="H844" s="265" t="str">
        <f t="shared" ref="H844:H865" si="48">IFERROR(VLOOKUP(D844,Tlus,3,FALSE),"   ")</f>
        <v xml:space="preserve">   </v>
      </c>
      <c r="I844" s="265" t="str">
        <f t="shared" ref="I844:I865" si="49">IFERROR(VLOOKUP(D844,Wis,4,FALSE),"   ")</f>
        <v xml:space="preserve">   </v>
      </c>
    </row>
    <row r="845" spans="1:9" s="2" customFormat="1" hidden="1" x14ac:dyDescent="0.25">
      <c r="A845" s="164">
        <v>788</v>
      </c>
      <c r="B845" s="253">
        <v>9</v>
      </c>
      <c r="C845" s="173" t="s">
        <v>1302</v>
      </c>
      <c r="D845" s="263">
        <v>839114002</v>
      </c>
      <c r="E845" s="264" t="s">
        <v>848</v>
      </c>
      <c r="F845" s="175">
        <v>2014</v>
      </c>
      <c r="G845" s="214" t="s">
        <v>1077</v>
      </c>
      <c r="H845" s="265" t="str">
        <f t="shared" si="48"/>
        <v xml:space="preserve">   </v>
      </c>
      <c r="I845" s="265" t="str">
        <f t="shared" si="49"/>
        <v xml:space="preserve">   </v>
      </c>
    </row>
    <row r="846" spans="1:9" s="2" customFormat="1" hidden="1" x14ac:dyDescent="0.25">
      <c r="A846" s="164">
        <v>789</v>
      </c>
      <c r="B846" s="165">
        <v>10</v>
      </c>
      <c r="C846" s="173" t="s">
        <v>1303</v>
      </c>
      <c r="D846" s="263">
        <v>839114011</v>
      </c>
      <c r="E846" s="264" t="s">
        <v>848</v>
      </c>
      <c r="F846" s="175">
        <v>2014</v>
      </c>
      <c r="G846" s="214" t="s">
        <v>1077</v>
      </c>
      <c r="H846" s="265" t="str">
        <f t="shared" si="48"/>
        <v xml:space="preserve">   </v>
      </c>
      <c r="I846" s="265" t="str">
        <f t="shared" si="49"/>
        <v xml:space="preserve">   </v>
      </c>
    </row>
    <row r="847" spans="1:9" s="2" customFormat="1" hidden="1" x14ac:dyDescent="0.25">
      <c r="A847" s="156">
        <v>790</v>
      </c>
      <c r="B847" s="157">
        <v>11</v>
      </c>
      <c r="C847" s="158" t="s">
        <v>1304</v>
      </c>
      <c r="D847" s="159">
        <v>839114013</v>
      </c>
      <c r="E847" s="160" t="s">
        <v>848</v>
      </c>
      <c r="F847" s="161">
        <v>2014</v>
      </c>
      <c r="G847" s="162" t="s">
        <v>33</v>
      </c>
      <c r="H847" s="163">
        <f t="shared" si="48"/>
        <v>42733</v>
      </c>
      <c r="I847" s="163">
        <f t="shared" si="49"/>
        <v>42861</v>
      </c>
    </row>
    <row r="848" spans="1:9" s="2" customFormat="1" hidden="1" x14ac:dyDescent="0.25">
      <c r="A848" s="180">
        <v>791</v>
      </c>
      <c r="B848" s="181">
        <v>12</v>
      </c>
      <c r="C848" s="182" t="s">
        <v>1305</v>
      </c>
      <c r="D848" s="183">
        <v>839114014</v>
      </c>
      <c r="E848" s="184" t="s">
        <v>848</v>
      </c>
      <c r="F848" s="185">
        <v>2014</v>
      </c>
      <c r="G848" s="186" t="s">
        <v>33</v>
      </c>
      <c r="H848" s="284">
        <f t="shared" si="48"/>
        <v>42732</v>
      </c>
      <c r="I848" s="284">
        <f t="shared" si="49"/>
        <v>42861</v>
      </c>
    </row>
    <row r="849" spans="1:9" s="4" customFormat="1" hidden="1" x14ac:dyDescent="0.25">
      <c r="A849" s="331"/>
      <c r="B849" s="332"/>
      <c r="C849" s="333"/>
      <c r="D849" s="334"/>
      <c r="E849" s="335" t="s">
        <v>1121</v>
      </c>
      <c r="F849" s="336" t="s">
        <v>61</v>
      </c>
      <c r="G849" s="192" t="s">
        <v>61</v>
      </c>
      <c r="H849" s="193" t="str">
        <f t="shared" si="48"/>
        <v xml:space="preserve">   </v>
      </c>
      <c r="I849" s="193" t="str">
        <f t="shared" si="49"/>
        <v xml:space="preserve">   </v>
      </c>
    </row>
    <row r="850" spans="1:9" s="2" customFormat="1" hidden="1" x14ac:dyDescent="0.25">
      <c r="A850" s="194" t="s">
        <v>1306</v>
      </c>
      <c r="B850" s="337"/>
      <c r="C850" s="142"/>
      <c r="D850" s="261"/>
      <c r="E850" s="198" t="s">
        <v>1096</v>
      </c>
      <c r="F850" s="199" t="s">
        <v>1096</v>
      </c>
      <c r="G850" s="146">
        <v>3000000</v>
      </c>
      <c r="H850" s="232" t="str">
        <f t="shared" si="48"/>
        <v xml:space="preserve">   </v>
      </c>
      <c r="I850" s="232" t="str">
        <f t="shared" si="49"/>
        <v xml:space="preserve">   </v>
      </c>
    </row>
    <row r="851" spans="1:9" s="2" customFormat="1" hidden="1" x14ac:dyDescent="0.25">
      <c r="A851" s="200">
        <v>792</v>
      </c>
      <c r="B851" s="262">
        <v>1</v>
      </c>
      <c r="C851" s="150" t="s">
        <v>1307</v>
      </c>
      <c r="D851" s="151">
        <v>839214001</v>
      </c>
      <c r="E851" s="311" t="s">
        <v>1195</v>
      </c>
      <c r="F851" s="153">
        <v>2014</v>
      </c>
      <c r="G851" s="154" t="s">
        <v>33</v>
      </c>
      <c r="H851" s="155">
        <f t="shared" si="48"/>
        <v>43201</v>
      </c>
      <c r="I851" s="155">
        <f t="shared" si="49"/>
        <v>43351</v>
      </c>
    </row>
    <row r="852" spans="1:9" s="2" customFormat="1" hidden="1" x14ac:dyDescent="0.25">
      <c r="A852" s="156">
        <v>793</v>
      </c>
      <c r="B852" s="157">
        <v>2</v>
      </c>
      <c r="C852" s="158" t="s">
        <v>1308</v>
      </c>
      <c r="D852" s="159">
        <v>839214002</v>
      </c>
      <c r="E852" s="160" t="s">
        <v>1195</v>
      </c>
      <c r="F852" s="161">
        <v>2014</v>
      </c>
      <c r="G852" s="162" t="s">
        <v>33</v>
      </c>
      <c r="H852" s="163">
        <f t="shared" si="48"/>
        <v>42824</v>
      </c>
      <c r="I852" s="163">
        <f t="shared" si="49"/>
        <v>42861</v>
      </c>
    </row>
    <row r="853" spans="1:9" s="2" customFormat="1" hidden="1" x14ac:dyDescent="0.25">
      <c r="A853" s="156">
        <v>794</v>
      </c>
      <c r="B853" s="157">
        <v>3</v>
      </c>
      <c r="C853" s="158" t="s">
        <v>1309</v>
      </c>
      <c r="D853" s="159">
        <v>839214003</v>
      </c>
      <c r="E853" s="160" t="s">
        <v>1195</v>
      </c>
      <c r="F853" s="161">
        <v>2014</v>
      </c>
      <c r="G853" s="162" t="s">
        <v>33</v>
      </c>
      <c r="H853" s="163">
        <f t="shared" si="48"/>
        <v>42663</v>
      </c>
      <c r="I853" s="163">
        <f t="shared" si="49"/>
        <v>42861</v>
      </c>
    </row>
    <row r="854" spans="1:9" s="2" customFormat="1" hidden="1" x14ac:dyDescent="0.25">
      <c r="A854" s="156">
        <v>795</v>
      </c>
      <c r="B854" s="157">
        <v>4</v>
      </c>
      <c r="C854" s="158" t="s">
        <v>1310</v>
      </c>
      <c r="D854" s="159">
        <v>839214004</v>
      </c>
      <c r="E854" s="160" t="s">
        <v>1195</v>
      </c>
      <c r="F854" s="161">
        <v>2014</v>
      </c>
      <c r="G854" s="162" t="s">
        <v>33</v>
      </c>
      <c r="H854" s="163">
        <f t="shared" si="48"/>
        <v>42693</v>
      </c>
      <c r="I854" s="163">
        <f t="shared" si="49"/>
        <v>42693</v>
      </c>
    </row>
    <row r="855" spans="1:9" s="2" customFormat="1" hidden="1" x14ac:dyDescent="0.25">
      <c r="A855" s="234">
        <v>796</v>
      </c>
      <c r="B855" s="235">
        <v>5</v>
      </c>
      <c r="C855" s="233" t="s">
        <v>1311</v>
      </c>
      <c r="D855" s="236">
        <v>839214005</v>
      </c>
      <c r="E855" s="237" t="s">
        <v>1195</v>
      </c>
      <c r="F855" s="238">
        <v>2014</v>
      </c>
      <c r="G855" s="214" t="s">
        <v>1077</v>
      </c>
      <c r="H855" s="239" t="str">
        <f t="shared" si="48"/>
        <v xml:space="preserve">   </v>
      </c>
      <c r="I855" s="239" t="str">
        <f t="shared" si="49"/>
        <v xml:space="preserve">   </v>
      </c>
    </row>
    <row r="856" spans="1:9" s="2" customFormat="1" hidden="1" x14ac:dyDescent="0.25">
      <c r="A856" s="156">
        <v>797</v>
      </c>
      <c r="B856" s="157">
        <v>6</v>
      </c>
      <c r="C856" s="158" t="s">
        <v>1312</v>
      </c>
      <c r="D856" s="159">
        <v>839214006</v>
      </c>
      <c r="E856" s="160" t="s">
        <v>1195</v>
      </c>
      <c r="F856" s="161">
        <v>2014</v>
      </c>
      <c r="G856" s="162" t="s">
        <v>33</v>
      </c>
      <c r="H856" s="163">
        <f t="shared" si="48"/>
        <v>42829</v>
      </c>
      <c r="I856" s="163">
        <f t="shared" si="49"/>
        <v>42861</v>
      </c>
    </row>
    <row r="857" spans="1:9" s="2" customFormat="1" hidden="1" x14ac:dyDescent="0.25">
      <c r="A857" s="156">
        <v>798</v>
      </c>
      <c r="B857" s="157">
        <v>7</v>
      </c>
      <c r="C857" s="158" t="s">
        <v>1313</v>
      </c>
      <c r="D857" s="159">
        <v>839214007</v>
      </c>
      <c r="E857" s="160" t="s">
        <v>1195</v>
      </c>
      <c r="F857" s="161">
        <v>2014</v>
      </c>
      <c r="G857" s="162" t="s">
        <v>33</v>
      </c>
      <c r="H857" s="163">
        <f t="shared" si="48"/>
        <v>42661</v>
      </c>
      <c r="I857" s="163">
        <f t="shared" si="49"/>
        <v>42861</v>
      </c>
    </row>
    <row r="858" spans="1:9" s="2" customFormat="1" hidden="1" x14ac:dyDescent="0.25">
      <c r="A858" s="156">
        <v>799</v>
      </c>
      <c r="B858" s="157">
        <v>8</v>
      </c>
      <c r="C858" s="158" t="s">
        <v>1314</v>
      </c>
      <c r="D858" s="159">
        <v>839214008</v>
      </c>
      <c r="E858" s="160" t="s">
        <v>1195</v>
      </c>
      <c r="F858" s="161">
        <v>2014</v>
      </c>
      <c r="G858" s="162" t="s">
        <v>33</v>
      </c>
      <c r="H858" s="163">
        <f t="shared" si="48"/>
        <v>42693</v>
      </c>
      <c r="I858" s="163">
        <f t="shared" si="49"/>
        <v>42693</v>
      </c>
    </row>
    <row r="859" spans="1:9" s="2" customFormat="1" hidden="1" x14ac:dyDescent="0.25">
      <c r="A859" s="164">
        <v>800</v>
      </c>
      <c r="B859" s="253">
        <v>9</v>
      </c>
      <c r="C859" s="173" t="s">
        <v>1315</v>
      </c>
      <c r="D859" s="263">
        <v>839214009</v>
      </c>
      <c r="E859" s="264" t="s">
        <v>1195</v>
      </c>
      <c r="F859" s="175">
        <v>2014</v>
      </c>
      <c r="G859" s="214" t="s">
        <v>1077</v>
      </c>
      <c r="H859" s="265" t="str">
        <f t="shared" si="48"/>
        <v xml:space="preserve">   </v>
      </c>
      <c r="I859" s="265" t="str">
        <f t="shared" si="49"/>
        <v xml:space="preserve">   </v>
      </c>
    </row>
    <row r="860" spans="1:9" s="2" customFormat="1" hidden="1" x14ac:dyDescent="0.25">
      <c r="A860" s="156">
        <v>801</v>
      </c>
      <c r="B860" s="157">
        <v>10</v>
      </c>
      <c r="C860" s="158" t="s">
        <v>1316</v>
      </c>
      <c r="D860" s="159">
        <v>839214010</v>
      </c>
      <c r="E860" s="160" t="s">
        <v>1195</v>
      </c>
      <c r="F860" s="161">
        <v>2014</v>
      </c>
      <c r="G860" s="162" t="s">
        <v>33</v>
      </c>
      <c r="H860" s="163">
        <f t="shared" si="48"/>
        <v>42824</v>
      </c>
      <c r="I860" s="163">
        <f t="shared" si="49"/>
        <v>42861</v>
      </c>
    </row>
    <row r="861" spans="1:9" s="2" customFormat="1" hidden="1" x14ac:dyDescent="0.25">
      <c r="A861" s="156">
        <v>802</v>
      </c>
      <c r="B861" s="157">
        <v>11</v>
      </c>
      <c r="C861" s="158" t="s">
        <v>1317</v>
      </c>
      <c r="D861" s="159">
        <v>839214011</v>
      </c>
      <c r="E861" s="160" t="s">
        <v>1195</v>
      </c>
      <c r="F861" s="161">
        <v>2014</v>
      </c>
      <c r="G861" s="162" t="s">
        <v>33</v>
      </c>
      <c r="H861" s="163">
        <f t="shared" si="48"/>
        <v>42661</v>
      </c>
      <c r="I861" s="163">
        <f t="shared" si="49"/>
        <v>42861</v>
      </c>
    </row>
    <row r="862" spans="1:9" s="2" customFormat="1" hidden="1" x14ac:dyDescent="0.25">
      <c r="A862" s="156">
        <v>803</v>
      </c>
      <c r="B862" s="157">
        <v>12</v>
      </c>
      <c r="C862" s="158" t="s">
        <v>1318</v>
      </c>
      <c r="D862" s="159">
        <v>839214012</v>
      </c>
      <c r="E862" s="179" t="s">
        <v>1195</v>
      </c>
      <c r="F862" s="161">
        <v>2014</v>
      </c>
      <c r="G862" s="162" t="s">
        <v>33</v>
      </c>
      <c r="H862" s="163">
        <f t="shared" si="48"/>
        <v>43299</v>
      </c>
      <c r="I862" s="163">
        <f t="shared" si="49"/>
        <v>43351</v>
      </c>
    </row>
    <row r="863" spans="1:9" s="2" customFormat="1" hidden="1" x14ac:dyDescent="0.25">
      <c r="A863" s="164">
        <v>804</v>
      </c>
      <c r="B863" s="253">
        <v>13</v>
      </c>
      <c r="C863" s="173" t="s">
        <v>1319</v>
      </c>
      <c r="D863" s="263">
        <v>839214013</v>
      </c>
      <c r="E863" s="264" t="s">
        <v>1195</v>
      </c>
      <c r="F863" s="175">
        <v>2014</v>
      </c>
      <c r="G863" s="214" t="s">
        <v>1077</v>
      </c>
      <c r="H863" s="265" t="str">
        <f t="shared" si="48"/>
        <v xml:space="preserve">   </v>
      </c>
      <c r="I863" s="265" t="str">
        <f t="shared" si="49"/>
        <v xml:space="preserve">   </v>
      </c>
    </row>
    <row r="864" spans="1:9" s="2" customFormat="1" hidden="1" x14ac:dyDescent="0.25">
      <c r="A864" s="156">
        <v>805</v>
      </c>
      <c r="B864" s="157">
        <v>14</v>
      </c>
      <c r="C864" s="158" t="s">
        <v>1320</v>
      </c>
      <c r="D864" s="159">
        <v>839214014</v>
      </c>
      <c r="E864" s="160" t="s">
        <v>1195</v>
      </c>
      <c r="F864" s="161">
        <v>2014</v>
      </c>
      <c r="G864" s="162" t="s">
        <v>33</v>
      </c>
      <c r="H864" s="163">
        <f t="shared" si="48"/>
        <v>42693</v>
      </c>
      <c r="I864" s="163">
        <f t="shared" si="49"/>
        <v>42693</v>
      </c>
    </row>
    <row r="865" spans="1:9" s="2" customFormat="1" hidden="1" x14ac:dyDescent="0.25">
      <c r="A865" s="180">
        <v>806</v>
      </c>
      <c r="B865" s="181">
        <v>15</v>
      </c>
      <c r="C865" s="182" t="s">
        <v>1321</v>
      </c>
      <c r="D865" s="183">
        <v>839214015</v>
      </c>
      <c r="E865" s="184" t="s">
        <v>1195</v>
      </c>
      <c r="F865" s="185">
        <v>2014</v>
      </c>
      <c r="G865" s="186" t="s">
        <v>33</v>
      </c>
      <c r="H865" s="284">
        <f t="shared" si="48"/>
        <v>42693</v>
      </c>
      <c r="I865" s="284">
        <f t="shared" si="49"/>
        <v>42693</v>
      </c>
    </row>
    <row r="866" spans="1:9" s="2" customFormat="1" x14ac:dyDescent="0.25">
      <c r="A866" s="338"/>
      <c r="B866" s="338"/>
      <c r="C866" s="338"/>
      <c r="D866" s="338"/>
      <c r="E866" s="338"/>
      <c r="F866" s="338" t="s">
        <v>61</v>
      </c>
      <c r="G866" s="338"/>
      <c r="H866" s="338"/>
      <c r="I866" s="338"/>
    </row>
    <row r="867" spans="1:9" s="4" customFormat="1" x14ac:dyDescent="0.25">
      <c r="A867" s="290" t="s">
        <v>1322</v>
      </c>
      <c r="B867" s="290"/>
      <c r="C867" s="189" t="s">
        <v>1323</v>
      </c>
      <c r="D867" s="190"/>
      <c r="E867" s="191" t="s">
        <v>61</v>
      </c>
      <c r="F867" s="192" t="s">
        <v>61</v>
      </c>
      <c r="G867" s="192" t="s">
        <v>61</v>
      </c>
      <c r="H867" s="193" t="str">
        <f t="shared" ref="H867:H898" si="50">IFERROR(VLOOKUP(D867,Tlus,3,FALSE),"   ")</f>
        <v xml:space="preserve">   </v>
      </c>
      <c r="I867" s="193" t="str">
        <f t="shared" ref="I867:I898" si="51">IFERROR(VLOOKUP(D867,Wis,4,FALSE),"   ")</f>
        <v xml:space="preserve">   </v>
      </c>
    </row>
    <row r="868" spans="1:9" s="2" customFormat="1" x14ac:dyDescent="0.25">
      <c r="A868" s="194" t="s">
        <v>1324</v>
      </c>
      <c r="B868" s="259"/>
      <c r="C868" s="339"/>
      <c r="D868" s="340"/>
      <c r="E868" s="198" t="s">
        <v>1096</v>
      </c>
      <c r="F868" s="199" t="s">
        <v>1096</v>
      </c>
      <c r="G868" s="146">
        <v>3000000</v>
      </c>
      <c r="H868" s="147" t="str">
        <f t="shared" si="50"/>
        <v xml:space="preserve">   </v>
      </c>
      <c r="I868" s="147" t="str">
        <f t="shared" si="51"/>
        <v xml:space="preserve">   </v>
      </c>
    </row>
    <row r="869" spans="1:9" s="2" customFormat="1" x14ac:dyDescent="0.25">
      <c r="A869" s="200">
        <v>807</v>
      </c>
      <c r="B869" s="341">
        <v>1</v>
      </c>
      <c r="C869" s="150" t="s">
        <v>1327</v>
      </c>
      <c r="D869" s="151">
        <v>849315001</v>
      </c>
      <c r="E869" s="152" t="s">
        <v>1328</v>
      </c>
      <c r="F869" s="153">
        <v>2015</v>
      </c>
      <c r="G869" s="342" t="s">
        <v>33</v>
      </c>
      <c r="H869" s="163">
        <f t="shared" si="50"/>
        <v>43098</v>
      </c>
      <c r="I869" s="163">
        <f t="shared" si="51"/>
        <v>43218</v>
      </c>
    </row>
    <row r="870" spans="1:9" s="2" customFormat="1" x14ac:dyDescent="0.25">
      <c r="A870" s="156">
        <v>808</v>
      </c>
      <c r="B870" s="172">
        <v>2</v>
      </c>
      <c r="C870" s="158" t="s">
        <v>1330</v>
      </c>
      <c r="D870" s="159">
        <v>849315003</v>
      </c>
      <c r="E870" s="160" t="s">
        <v>1328</v>
      </c>
      <c r="F870" s="161">
        <v>2015</v>
      </c>
      <c r="G870" s="162" t="s">
        <v>33</v>
      </c>
      <c r="H870" s="163">
        <f t="shared" si="50"/>
        <v>43031</v>
      </c>
      <c r="I870" s="163">
        <f t="shared" si="51"/>
        <v>43064</v>
      </c>
    </row>
    <row r="871" spans="1:9" s="2" customFormat="1" x14ac:dyDescent="0.25">
      <c r="A871" s="156">
        <v>809</v>
      </c>
      <c r="B871" s="172">
        <v>3</v>
      </c>
      <c r="C871" s="158" t="s">
        <v>1332</v>
      </c>
      <c r="D871" s="159">
        <v>849315004</v>
      </c>
      <c r="E871" s="160" t="s">
        <v>1328</v>
      </c>
      <c r="F871" s="161">
        <v>2015</v>
      </c>
      <c r="G871" s="162" t="s">
        <v>33</v>
      </c>
      <c r="H871" s="163">
        <f t="shared" si="50"/>
        <v>43076</v>
      </c>
      <c r="I871" s="163">
        <f t="shared" si="51"/>
        <v>43218</v>
      </c>
    </row>
    <row r="872" spans="1:9" s="2" customFormat="1" x14ac:dyDescent="0.25">
      <c r="A872" s="164">
        <v>810</v>
      </c>
      <c r="B872" s="343">
        <v>4</v>
      </c>
      <c r="C872" s="173" t="s">
        <v>1333</v>
      </c>
      <c r="D872" s="263">
        <v>849315005</v>
      </c>
      <c r="E872" s="264" t="s">
        <v>1328</v>
      </c>
      <c r="F872" s="175">
        <v>2015</v>
      </c>
      <c r="G872" s="214" t="s">
        <v>1077</v>
      </c>
      <c r="H872" s="265" t="str">
        <f t="shared" si="50"/>
        <v xml:space="preserve">   </v>
      </c>
      <c r="I872" s="265" t="str">
        <f t="shared" si="51"/>
        <v xml:space="preserve">   </v>
      </c>
    </row>
    <row r="873" spans="1:9" s="2" customFormat="1" x14ac:dyDescent="0.25">
      <c r="A873" s="156">
        <v>811</v>
      </c>
      <c r="B873" s="172">
        <v>5</v>
      </c>
      <c r="C873" s="158" t="s">
        <v>1335</v>
      </c>
      <c r="D873" s="159">
        <v>849315006</v>
      </c>
      <c r="E873" s="160" t="s">
        <v>1328</v>
      </c>
      <c r="F873" s="161">
        <v>2015</v>
      </c>
      <c r="G873" s="342" t="s">
        <v>33</v>
      </c>
      <c r="H873" s="163">
        <f t="shared" si="50"/>
        <v>43117</v>
      </c>
      <c r="I873" s="163">
        <f t="shared" si="51"/>
        <v>43218</v>
      </c>
    </row>
    <row r="874" spans="1:9" s="2" customFormat="1" x14ac:dyDescent="0.25">
      <c r="A874" s="156">
        <v>812</v>
      </c>
      <c r="B874" s="172">
        <v>6</v>
      </c>
      <c r="C874" s="158" t="s">
        <v>1336</v>
      </c>
      <c r="D874" s="159">
        <v>849315007</v>
      </c>
      <c r="E874" s="160" t="s">
        <v>1328</v>
      </c>
      <c r="F874" s="161">
        <v>2015</v>
      </c>
      <c r="G874" s="162" t="s">
        <v>33</v>
      </c>
      <c r="H874" s="163">
        <f t="shared" si="50"/>
        <v>42943</v>
      </c>
      <c r="I874" s="163">
        <f t="shared" si="51"/>
        <v>43064</v>
      </c>
    </row>
    <row r="875" spans="1:9" s="2" customFormat="1" x14ac:dyDescent="0.25">
      <c r="A875" s="156">
        <v>813</v>
      </c>
      <c r="B875" s="172">
        <v>7</v>
      </c>
      <c r="C875" s="158" t="s">
        <v>1337</v>
      </c>
      <c r="D875" s="159">
        <v>849315008</v>
      </c>
      <c r="E875" s="160" t="s">
        <v>1328</v>
      </c>
      <c r="F875" s="161">
        <v>2015</v>
      </c>
      <c r="G875" s="162" t="s">
        <v>33</v>
      </c>
      <c r="H875" s="163">
        <f t="shared" si="50"/>
        <v>43104</v>
      </c>
      <c r="I875" s="163">
        <f t="shared" si="51"/>
        <v>43218</v>
      </c>
    </row>
    <row r="876" spans="1:9" s="2" customFormat="1" x14ac:dyDescent="0.25">
      <c r="A876" s="156">
        <v>814</v>
      </c>
      <c r="B876" s="344">
        <v>8</v>
      </c>
      <c r="C876" s="177" t="s">
        <v>1338</v>
      </c>
      <c r="D876" s="178">
        <v>849315009</v>
      </c>
      <c r="E876" s="160" t="s">
        <v>1328</v>
      </c>
      <c r="F876" s="161">
        <v>2015</v>
      </c>
      <c r="G876" s="272" t="s">
        <v>33</v>
      </c>
      <c r="H876" s="163">
        <f t="shared" si="50"/>
        <v>43454</v>
      </c>
      <c r="I876" s="163">
        <f t="shared" si="51"/>
        <v>43587</v>
      </c>
    </row>
    <row r="877" spans="1:9" s="2" customFormat="1" x14ac:dyDescent="0.25">
      <c r="A877" s="156">
        <v>815</v>
      </c>
      <c r="B877" s="172">
        <v>9</v>
      </c>
      <c r="C877" s="158" t="s">
        <v>1339</v>
      </c>
      <c r="D877" s="159">
        <v>849315010</v>
      </c>
      <c r="E877" s="160" t="s">
        <v>1328</v>
      </c>
      <c r="F877" s="161">
        <v>2015</v>
      </c>
      <c r="G877" s="162" t="s">
        <v>33</v>
      </c>
      <c r="H877" s="163">
        <f t="shared" si="50"/>
        <v>43104</v>
      </c>
      <c r="I877" s="163">
        <f t="shared" si="51"/>
        <v>43218</v>
      </c>
    </row>
    <row r="878" spans="1:9" s="2" customFormat="1" x14ac:dyDescent="0.25">
      <c r="A878" s="156">
        <v>816</v>
      </c>
      <c r="B878" s="172">
        <v>10</v>
      </c>
      <c r="C878" s="158" t="s">
        <v>1340</v>
      </c>
      <c r="D878" s="159">
        <v>849315011</v>
      </c>
      <c r="E878" s="160" t="s">
        <v>1328</v>
      </c>
      <c r="F878" s="161">
        <v>2015</v>
      </c>
      <c r="G878" s="162" t="s">
        <v>33</v>
      </c>
      <c r="H878" s="163">
        <f t="shared" si="50"/>
        <v>43202</v>
      </c>
      <c r="I878" s="163">
        <f t="shared" si="51"/>
        <v>43440</v>
      </c>
    </row>
    <row r="879" spans="1:9" s="2" customFormat="1" x14ac:dyDescent="0.25">
      <c r="A879" s="164">
        <v>817</v>
      </c>
      <c r="B879" s="345">
        <v>11</v>
      </c>
      <c r="C879" s="166" t="s">
        <v>1341</v>
      </c>
      <c r="D879" s="174">
        <v>849315012</v>
      </c>
      <c r="E879" s="168" t="s">
        <v>1328</v>
      </c>
      <c r="F879" s="169">
        <v>2015</v>
      </c>
      <c r="G879" s="214" t="s">
        <v>1077</v>
      </c>
      <c r="H879" s="265" t="str">
        <f t="shared" si="50"/>
        <v xml:space="preserve">   </v>
      </c>
      <c r="I879" s="265" t="str">
        <f t="shared" si="51"/>
        <v xml:space="preserve">   </v>
      </c>
    </row>
    <row r="880" spans="1:9" s="2" customFormat="1" x14ac:dyDescent="0.25">
      <c r="A880" s="156">
        <v>818</v>
      </c>
      <c r="B880" s="172">
        <v>12</v>
      </c>
      <c r="C880" s="158" t="s">
        <v>1342</v>
      </c>
      <c r="D880" s="159">
        <v>849315013</v>
      </c>
      <c r="E880" s="160" t="s">
        <v>1328</v>
      </c>
      <c r="F880" s="161">
        <v>2015</v>
      </c>
      <c r="G880" s="162" t="s">
        <v>33</v>
      </c>
      <c r="H880" s="163">
        <f t="shared" si="50"/>
        <v>43087</v>
      </c>
      <c r="I880" s="163">
        <f t="shared" si="51"/>
        <v>43218</v>
      </c>
    </row>
    <row r="881" spans="1:9" s="2" customFormat="1" x14ac:dyDescent="0.25">
      <c r="A881" s="156">
        <v>819</v>
      </c>
      <c r="B881" s="344">
        <v>13</v>
      </c>
      <c r="C881" s="177" t="s">
        <v>1343</v>
      </c>
      <c r="D881" s="178">
        <v>849315014</v>
      </c>
      <c r="E881" s="346" t="s">
        <v>1328</v>
      </c>
      <c r="F881" s="317">
        <v>2015</v>
      </c>
      <c r="G881" s="162" t="s">
        <v>33</v>
      </c>
      <c r="H881" s="163">
        <f t="shared" si="50"/>
        <v>43686</v>
      </c>
      <c r="I881" s="163">
        <f t="shared" si="51"/>
        <v>43750</v>
      </c>
    </row>
    <row r="882" spans="1:9" s="2" customFormat="1" x14ac:dyDescent="0.25">
      <c r="A882" s="164">
        <v>820</v>
      </c>
      <c r="B882" s="345">
        <v>14</v>
      </c>
      <c r="C882" s="166" t="s">
        <v>1344</v>
      </c>
      <c r="D882" s="174">
        <v>849315015</v>
      </c>
      <c r="E882" s="168" t="s">
        <v>1328</v>
      </c>
      <c r="F882" s="169">
        <v>2015</v>
      </c>
      <c r="G882" s="214" t="s">
        <v>1077</v>
      </c>
      <c r="H882" s="265" t="str">
        <f t="shared" si="50"/>
        <v xml:space="preserve">   </v>
      </c>
      <c r="I882" s="265" t="str">
        <f t="shared" si="51"/>
        <v xml:space="preserve">   </v>
      </c>
    </row>
    <row r="883" spans="1:9" s="2" customFormat="1" x14ac:dyDescent="0.25">
      <c r="A883" s="156">
        <v>821</v>
      </c>
      <c r="B883" s="172">
        <v>15</v>
      </c>
      <c r="C883" s="158" t="s">
        <v>1345</v>
      </c>
      <c r="D883" s="159">
        <v>849315016</v>
      </c>
      <c r="E883" s="160" t="s">
        <v>1328</v>
      </c>
      <c r="F883" s="161">
        <v>2015</v>
      </c>
      <c r="G883" s="162" t="s">
        <v>33</v>
      </c>
      <c r="H883" s="163">
        <f t="shared" si="50"/>
        <v>43291</v>
      </c>
      <c r="I883" s="163">
        <f t="shared" si="51"/>
        <v>43440</v>
      </c>
    </row>
    <row r="884" spans="1:9" s="2" customFormat="1" x14ac:dyDescent="0.25">
      <c r="A884" s="164">
        <v>822</v>
      </c>
      <c r="B884" s="343">
        <v>16</v>
      </c>
      <c r="C884" s="173" t="s">
        <v>1346</v>
      </c>
      <c r="D884" s="263">
        <v>849315030</v>
      </c>
      <c r="E884" s="264" t="s">
        <v>1328</v>
      </c>
      <c r="F884" s="175">
        <v>2015</v>
      </c>
      <c r="G884" s="214" t="s">
        <v>1077</v>
      </c>
      <c r="H884" s="265" t="str">
        <f t="shared" si="50"/>
        <v xml:space="preserve">   </v>
      </c>
      <c r="I884" s="265" t="str">
        <f t="shared" si="51"/>
        <v xml:space="preserve">   </v>
      </c>
    </row>
    <row r="885" spans="1:9" s="2" customFormat="1" x14ac:dyDescent="0.25">
      <c r="A885" s="164">
        <v>823</v>
      </c>
      <c r="B885" s="343">
        <v>17</v>
      </c>
      <c r="C885" s="173" t="s">
        <v>1347</v>
      </c>
      <c r="D885" s="263">
        <v>849315031</v>
      </c>
      <c r="E885" s="264" t="s">
        <v>1328</v>
      </c>
      <c r="F885" s="175">
        <v>2015</v>
      </c>
      <c r="G885" s="214" t="s">
        <v>1077</v>
      </c>
      <c r="H885" s="265" t="str">
        <f t="shared" si="50"/>
        <v xml:space="preserve">   </v>
      </c>
      <c r="I885" s="265" t="str">
        <f t="shared" si="51"/>
        <v xml:space="preserve">   </v>
      </c>
    </row>
    <row r="886" spans="1:9" s="2" customFormat="1" x14ac:dyDescent="0.25">
      <c r="A886" s="156">
        <v>824</v>
      </c>
      <c r="B886" s="172">
        <v>18</v>
      </c>
      <c r="C886" s="158" t="s">
        <v>1348</v>
      </c>
      <c r="D886" s="159">
        <v>849315032</v>
      </c>
      <c r="E886" s="160" t="s">
        <v>1328</v>
      </c>
      <c r="F886" s="161">
        <v>2015</v>
      </c>
      <c r="G886" s="162" t="s">
        <v>33</v>
      </c>
      <c r="H886" s="163">
        <f t="shared" si="50"/>
        <v>43258</v>
      </c>
      <c r="I886" s="163">
        <f t="shared" si="51"/>
        <v>43440</v>
      </c>
    </row>
    <row r="887" spans="1:9" s="2" customFormat="1" x14ac:dyDescent="0.25">
      <c r="A887" s="156">
        <v>825</v>
      </c>
      <c r="B887" s="344">
        <v>19</v>
      </c>
      <c r="C887" s="177" t="s">
        <v>1349</v>
      </c>
      <c r="D887" s="178">
        <v>849315033</v>
      </c>
      <c r="E887" s="346" t="s">
        <v>1328</v>
      </c>
      <c r="F887" s="317">
        <v>2015</v>
      </c>
      <c r="G887" s="162" t="s">
        <v>33</v>
      </c>
      <c r="H887" s="163">
        <f t="shared" si="50"/>
        <v>43650</v>
      </c>
      <c r="I887" s="163">
        <f t="shared" si="51"/>
        <v>43750</v>
      </c>
    </row>
    <row r="888" spans="1:9" s="2" customFormat="1" x14ac:dyDescent="0.25">
      <c r="A888" s="156">
        <v>826</v>
      </c>
      <c r="B888" s="344">
        <v>20</v>
      </c>
      <c r="C888" s="177" t="s">
        <v>1350</v>
      </c>
      <c r="D888" s="178">
        <v>849315017</v>
      </c>
      <c r="E888" s="346" t="s">
        <v>1328</v>
      </c>
      <c r="F888" s="317">
        <v>2015</v>
      </c>
      <c r="G888" s="162" t="s">
        <v>33</v>
      </c>
      <c r="H888" s="163">
        <f t="shared" si="50"/>
        <v>43654</v>
      </c>
      <c r="I888" s="266" t="str">
        <f t="shared" si="51"/>
        <v xml:space="preserve">   </v>
      </c>
    </row>
    <row r="889" spans="1:9" s="2" customFormat="1" x14ac:dyDescent="0.25">
      <c r="A889" s="156">
        <v>827</v>
      </c>
      <c r="B889" s="172">
        <v>21</v>
      </c>
      <c r="C889" s="158" t="s">
        <v>1351</v>
      </c>
      <c r="D889" s="159">
        <v>849315018</v>
      </c>
      <c r="E889" s="160" t="s">
        <v>1328</v>
      </c>
      <c r="F889" s="161">
        <v>2015</v>
      </c>
      <c r="G889" s="162" t="s">
        <v>33</v>
      </c>
      <c r="H889" s="163">
        <f t="shared" si="50"/>
        <v>42943</v>
      </c>
      <c r="I889" s="163">
        <f t="shared" si="51"/>
        <v>43064</v>
      </c>
    </row>
    <row r="890" spans="1:9" s="2" customFormat="1" x14ac:dyDescent="0.25">
      <c r="A890" s="172">
        <v>828</v>
      </c>
      <c r="B890" s="172">
        <v>22</v>
      </c>
      <c r="C890" s="158" t="s">
        <v>1352</v>
      </c>
      <c r="D890" s="159">
        <v>849315019</v>
      </c>
      <c r="E890" s="160" t="s">
        <v>1328</v>
      </c>
      <c r="F890" s="161">
        <v>2015</v>
      </c>
      <c r="G890" s="162" t="s">
        <v>33</v>
      </c>
      <c r="H890" s="163">
        <f t="shared" si="50"/>
        <v>43103</v>
      </c>
      <c r="I890" s="163">
        <f t="shared" si="51"/>
        <v>43218</v>
      </c>
    </row>
    <row r="891" spans="1:9" s="2" customFormat="1" x14ac:dyDescent="0.25">
      <c r="A891" s="156">
        <v>829</v>
      </c>
      <c r="B891" s="344">
        <v>23</v>
      </c>
      <c r="C891" s="177" t="s">
        <v>974</v>
      </c>
      <c r="D891" s="178">
        <v>849315035</v>
      </c>
      <c r="E891" s="346" t="s">
        <v>1328</v>
      </c>
      <c r="F891" s="317">
        <v>2015</v>
      </c>
      <c r="G891" s="162" t="s">
        <v>33</v>
      </c>
      <c r="H891" s="163">
        <f t="shared" si="50"/>
        <v>43550</v>
      </c>
      <c r="I891" s="163">
        <f t="shared" si="51"/>
        <v>43750</v>
      </c>
    </row>
    <row r="892" spans="1:9" s="2" customFormat="1" x14ac:dyDescent="0.25">
      <c r="A892" s="156">
        <v>830</v>
      </c>
      <c r="B892" s="172">
        <v>24</v>
      </c>
      <c r="C892" s="158" t="s">
        <v>1353</v>
      </c>
      <c r="D892" s="159">
        <v>849315020</v>
      </c>
      <c r="E892" s="160" t="s">
        <v>1328</v>
      </c>
      <c r="F892" s="161">
        <v>2015</v>
      </c>
      <c r="G892" s="162" t="s">
        <v>33</v>
      </c>
      <c r="H892" s="163">
        <f t="shared" si="50"/>
        <v>43034</v>
      </c>
      <c r="I892" s="163">
        <f t="shared" si="51"/>
        <v>43064</v>
      </c>
    </row>
    <row r="893" spans="1:9" s="2" customFormat="1" x14ac:dyDescent="0.25">
      <c r="A893" s="156">
        <v>831</v>
      </c>
      <c r="B893" s="344">
        <v>25</v>
      </c>
      <c r="C893" s="177" t="s">
        <v>1354</v>
      </c>
      <c r="D893" s="178">
        <v>849315037</v>
      </c>
      <c r="E893" s="160" t="s">
        <v>1328</v>
      </c>
      <c r="F893" s="161">
        <v>2015</v>
      </c>
      <c r="G893" s="272" t="s">
        <v>33</v>
      </c>
      <c r="H893" s="163">
        <f t="shared" si="50"/>
        <v>43612</v>
      </c>
      <c r="I893" s="163">
        <f t="shared" si="51"/>
        <v>43705</v>
      </c>
    </row>
    <row r="894" spans="1:9" s="2" customFormat="1" x14ac:dyDescent="0.25">
      <c r="A894" s="156">
        <v>832</v>
      </c>
      <c r="B894" s="172">
        <v>26</v>
      </c>
      <c r="C894" s="158" t="s">
        <v>1355</v>
      </c>
      <c r="D894" s="159">
        <v>849315021</v>
      </c>
      <c r="E894" s="160" t="s">
        <v>1328</v>
      </c>
      <c r="F894" s="161">
        <v>2015</v>
      </c>
      <c r="G894" s="162" t="s">
        <v>33</v>
      </c>
      <c r="H894" s="163">
        <f t="shared" si="50"/>
        <v>43024</v>
      </c>
      <c r="I894" s="163">
        <f t="shared" si="51"/>
        <v>43064</v>
      </c>
    </row>
    <row r="895" spans="1:9" s="2" customFormat="1" x14ac:dyDescent="0.25">
      <c r="A895" s="234">
        <v>833</v>
      </c>
      <c r="B895" s="347">
        <v>27</v>
      </c>
      <c r="C895" s="313" t="s">
        <v>1356</v>
      </c>
      <c r="D895" s="314">
        <v>849315022</v>
      </c>
      <c r="E895" s="237" t="s">
        <v>1328</v>
      </c>
      <c r="F895" s="315">
        <v>2015</v>
      </c>
      <c r="G895" s="214" t="s">
        <v>1077</v>
      </c>
      <c r="H895" s="239" t="str">
        <f t="shared" si="50"/>
        <v xml:space="preserve">   </v>
      </c>
      <c r="I895" s="239" t="str">
        <f t="shared" si="51"/>
        <v xml:space="preserve">   </v>
      </c>
    </row>
    <row r="896" spans="1:9" s="2" customFormat="1" x14ac:dyDescent="0.25">
      <c r="A896" s="156">
        <v>834</v>
      </c>
      <c r="B896" s="172">
        <v>28</v>
      </c>
      <c r="C896" s="158" t="s">
        <v>1357</v>
      </c>
      <c r="D896" s="159">
        <v>849315023</v>
      </c>
      <c r="E896" s="160" t="s">
        <v>1328</v>
      </c>
      <c r="F896" s="161">
        <v>2015</v>
      </c>
      <c r="G896" s="162" t="s">
        <v>33</v>
      </c>
      <c r="H896" s="163">
        <f t="shared" si="50"/>
        <v>43651</v>
      </c>
      <c r="I896" s="163">
        <f t="shared" si="51"/>
        <v>43750</v>
      </c>
    </row>
    <row r="897" spans="1:9" s="2" customFormat="1" x14ac:dyDescent="0.25">
      <c r="A897" s="156">
        <v>835</v>
      </c>
      <c r="B897" s="172">
        <v>29</v>
      </c>
      <c r="C897" s="158" t="s">
        <v>1358</v>
      </c>
      <c r="D897" s="159">
        <v>849315024</v>
      </c>
      <c r="E897" s="160" t="s">
        <v>1328</v>
      </c>
      <c r="F897" s="161">
        <v>2015</v>
      </c>
      <c r="G897" s="162" t="s">
        <v>33</v>
      </c>
      <c r="H897" s="163">
        <f t="shared" si="50"/>
        <v>43024</v>
      </c>
      <c r="I897" s="163">
        <f t="shared" si="51"/>
        <v>43064</v>
      </c>
    </row>
    <row r="898" spans="1:9" s="2" customFormat="1" x14ac:dyDescent="0.25">
      <c r="A898" s="156">
        <v>836</v>
      </c>
      <c r="B898" s="172">
        <v>30</v>
      </c>
      <c r="C898" s="158" t="s">
        <v>1359</v>
      </c>
      <c r="D898" s="159">
        <v>849315025</v>
      </c>
      <c r="E898" s="160" t="s">
        <v>1328</v>
      </c>
      <c r="F898" s="161">
        <v>2015</v>
      </c>
      <c r="G898" s="162" t="s">
        <v>33</v>
      </c>
      <c r="H898" s="163">
        <f t="shared" si="50"/>
        <v>43287</v>
      </c>
      <c r="I898" s="163">
        <f t="shared" si="51"/>
        <v>43351</v>
      </c>
    </row>
    <row r="899" spans="1:9" s="2" customFormat="1" x14ac:dyDescent="0.25">
      <c r="A899" s="234">
        <v>837</v>
      </c>
      <c r="B899" s="347">
        <v>31</v>
      </c>
      <c r="C899" s="233" t="s">
        <v>1360</v>
      </c>
      <c r="D899" s="236">
        <v>849315026</v>
      </c>
      <c r="E899" s="237" t="s">
        <v>1328</v>
      </c>
      <c r="F899" s="238">
        <v>2015</v>
      </c>
      <c r="G899" s="214" t="s">
        <v>1077</v>
      </c>
      <c r="H899" s="239" t="str">
        <f t="shared" ref="H899:H930" si="52">IFERROR(VLOOKUP(D899,Tlus,3,FALSE),"   ")</f>
        <v xml:space="preserve">   </v>
      </c>
      <c r="I899" s="239" t="str">
        <f t="shared" ref="I899:I930" si="53">IFERROR(VLOOKUP(D899,Wis,4,FALSE),"   ")</f>
        <v xml:space="preserve">   </v>
      </c>
    </row>
    <row r="900" spans="1:9" s="2" customFormat="1" x14ac:dyDescent="0.25">
      <c r="A900" s="156">
        <v>838</v>
      </c>
      <c r="B900" s="172">
        <v>32</v>
      </c>
      <c r="C900" s="158" t="s">
        <v>1361</v>
      </c>
      <c r="D900" s="159">
        <v>849315027</v>
      </c>
      <c r="E900" s="160" t="s">
        <v>1328</v>
      </c>
      <c r="F900" s="161">
        <v>2015</v>
      </c>
      <c r="G900" s="162" t="s">
        <v>33</v>
      </c>
      <c r="H900" s="163">
        <f t="shared" si="52"/>
        <v>43369</v>
      </c>
      <c r="I900" s="163">
        <f t="shared" si="53"/>
        <v>43440</v>
      </c>
    </row>
    <row r="901" spans="1:9" s="2" customFormat="1" x14ac:dyDescent="0.25">
      <c r="A901" s="156">
        <v>839</v>
      </c>
      <c r="B901" s="172">
        <v>33</v>
      </c>
      <c r="C901" s="158" t="s">
        <v>1362</v>
      </c>
      <c r="D901" s="159">
        <v>849315036</v>
      </c>
      <c r="E901" s="160" t="s">
        <v>1328</v>
      </c>
      <c r="F901" s="161">
        <v>2015</v>
      </c>
      <c r="G901" s="162" t="s">
        <v>33</v>
      </c>
      <c r="H901" s="163">
        <f t="shared" si="52"/>
        <v>43312</v>
      </c>
      <c r="I901" s="163">
        <f t="shared" si="53"/>
        <v>43440</v>
      </c>
    </row>
    <row r="902" spans="1:9" s="2" customFormat="1" x14ac:dyDescent="0.25">
      <c r="A902" s="156">
        <v>840</v>
      </c>
      <c r="B902" s="172">
        <v>34</v>
      </c>
      <c r="C902" s="158" t="s">
        <v>1363</v>
      </c>
      <c r="D902" s="174">
        <v>849315028</v>
      </c>
      <c r="E902" s="160" t="s">
        <v>1328</v>
      </c>
      <c r="F902" s="161">
        <v>2015</v>
      </c>
      <c r="G902" s="162" t="s">
        <v>33</v>
      </c>
      <c r="H902" s="163">
        <f t="shared" si="52"/>
        <v>43034</v>
      </c>
      <c r="I902" s="163">
        <f t="shared" si="53"/>
        <v>43218</v>
      </c>
    </row>
    <row r="903" spans="1:9" s="2" customFormat="1" x14ac:dyDescent="0.25">
      <c r="A903" s="156">
        <v>841</v>
      </c>
      <c r="B903" s="172">
        <v>35</v>
      </c>
      <c r="C903" s="158" t="s">
        <v>1364</v>
      </c>
      <c r="D903" s="159">
        <v>849315029</v>
      </c>
      <c r="E903" s="160" t="s">
        <v>1328</v>
      </c>
      <c r="F903" s="161">
        <v>2015</v>
      </c>
      <c r="G903" s="162" t="s">
        <v>33</v>
      </c>
      <c r="H903" s="163">
        <f t="shared" si="52"/>
        <v>43203</v>
      </c>
      <c r="I903" s="163">
        <f t="shared" si="53"/>
        <v>43440</v>
      </c>
    </row>
    <row r="904" spans="1:9" s="2" customFormat="1" x14ac:dyDescent="0.25">
      <c r="A904" s="180">
        <v>842</v>
      </c>
      <c r="B904" s="348">
        <v>36</v>
      </c>
      <c r="C904" s="182" t="s">
        <v>1365</v>
      </c>
      <c r="D904" s="183">
        <v>849315034</v>
      </c>
      <c r="E904" s="184" t="s">
        <v>1328</v>
      </c>
      <c r="F904" s="185">
        <v>2015</v>
      </c>
      <c r="G904" s="186" t="s">
        <v>33</v>
      </c>
      <c r="H904" s="284">
        <f t="shared" si="52"/>
        <v>43110</v>
      </c>
      <c r="I904" s="284">
        <f t="shared" si="53"/>
        <v>43218</v>
      </c>
    </row>
    <row r="905" spans="1:9" s="4" customFormat="1" x14ac:dyDescent="0.25">
      <c r="A905" s="349"/>
      <c r="B905" s="350"/>
      <c r="C905" s="187"/>
      <c r="D905" s="351"/>
      <c r="E905" s="352" t="s">
        <v>61</v>
      </c>
      <c r="F905" s="353" t="s">
        <v>61</v>
      </c>
      <c r="G905" s="192" t="s">
        <v>61</v>
      </c>
      <c r="H905" s="193" t="str">
        <f t="shared" si="52"/>
        <v xml:space="preserve">   </v>
      </c>
      <c r="I905" s="193" t="str">
        <f t="shared" si="53"/>
        <v xml:space="preserve">   </v>
      </c>
    </row>
    <row r="906" spans="1:9" s="2" customFormat="1" x14ac:dyDescent="0.25">
      <c r="A906" s="194" t="s">
        <v>1366</v>
      </c>
      <c r="B906" s="250"/>
      <c r="C906" s="354"/>
      <c r="D906" s="274"/>
      <c r="E906" s="198" t="s">
        <v>1096</v>
      </c>
      <c r="F906" s="199" t="s">
        <v>1096</v>
      </c>
      <c r="G906" s="146">
        <v>3000000</v>
      </c>
      <c r="H906" s="232" t="str">
        <f t="shared" si="52"/>
        <v xml:space="preserve">   </v>
      </c>
      <c r="I906" s="232" t="str">
        <f t="shared" si="53"/>
        <v xml:space="preserve">   </v>
      </c>
    </row>
    <row r="907" spans="1:9" s="2" customFormat="1" x14ac:dyDescent="0.25">
      <c r="A907" s="200">
        <v>843</v>
      </c>
      <c r="B907" s="355">
        <v>1</v>
      </c>
      <c r="C907" s="356" t="s">
        <v>1367</v>
      </c>
      <c r="D907" s="357">
        <v>849215001</v>
      </c>
      <c r="E907" s="358" t="s">
        <v>1110</v>
      </c>
      <c r="F907" s="359">
        <v>2015</v>
      </c>
      <c r="G907" s="162" t="s">
        <v>33</v>
      </c>
      <c r="H907" s="163">
        <f t="shared" si="52"/>
        <v>43650</v>
      </c>
      <c r="I907" s="163">
        <f t="shared" si="53"/>
        <v>43750</v>
      </c>
    </row>
    <row r="908" spans="1:9" s="2" customFormat="1" x14ac:dyDescent="0.25">
      <c r="A908" s="156">
        <v>844</v>
      </c>
      <c r="B908" s="344">
        <v>2</v>
      </c>
      <c r="C908" s="177" t="s">
        <v>1369</v>
      </c>
      <c r="D908" s="174">
        <v>849215002</v>
      </c>
      <c r="E908" s="346" t="s">
        <v>1110</v>
      </c>
      <c r="F908" s="317">
        <v>2015</v>
      </c>
      <c r="G908" s="162" t="s">
        <v>33</v>
      </c>
      <c r="H908" s="163">
        <f t="shared" si="52"/>
        <v>43832</v>
      </c>
      <c r="I908" s="265">
        <f t="shared" si="53"/>
        <v>44168</v>
      </c>
    </row>
    <row r="909" spans="1:9" s="2" customFormat="1" x14ac:dyDescent="0.25">
      <c r="A909" s="156">
        <v>845</v>
      </c>
      <c r="B909" s="172">
        <v>3</v>
      </c>
      <c r="C909" s="158" t="s">
        <v>1371</v>
      </c>
      <c r="D909" s="159">
        <v>849215003</v>
      </c>
      <c r="E909" s="160" t="s">
        <v>1110</v>
      </c>
      <c r="F909" s="161">
        <v>2015</v>
      </c>
      <c r="G909" s="162" t="s">
        <v>33</v>
      </c>
      <c r="H909" s="163">
        <f t="shared" si="52"/>
        <v>43244</v>
      </c>
      <c r="I909" s="163">
        <f t="shared" si="53"/>
        <v>43440</v>
      </c>
    </row>
    <row r="910" spans="1:9" s="2" customFormat="1" x14ac:dyDescent="0.25">
      <c r="A910" s="164">
        <v>846</v>
      </c>
      <c r="B910" s="345">
        <v>4</v>
      </c>
      <c r="C910" s="166" t="s">
        <v>1372</v>
      </c>
      <c r="D910" s="174">
        <v>849215004</v>
      </c>
      <c r="E910" s="168" t="s">
        <v>1110</v>
      </c>
      <c r="F910" s="169">
        <v>2015</v>
      </c>
      <c r="G910" s="360" t="s">
        <v>1483</v>
      </c>
      <c r="H910" s="265" t="str">
        <f t="shared" si="52"/>
        <v xml:space="preserve">   </v>
      </c>
      <c r="I910" s="265" t="str">
        <f t="shared" si="53"/>
        <v xml:space="preserve">   </v>
      </c>
    </row>
    <row r="911" spans="1:9" s="2" customFormat="1" x14ac:dyDescent="0.25">
      <c r="A911" s="156">
        <v>847</v>
      </c>
      <c r="B911" s="172">
        <v>6</v>
      </c>
      <c r="C911" s="158" t="s">
        <v>1373</v>
      </c>
      <c r="D911" s="159">
        <v>849215005</v>
      </c>
      <c r="E911" s="160" t="s">
        <v>1110</v>
      </c>
      <c r="F911" s="161">
        <v>2015</v>
      </c>
      <c r="G911" s="162" t="s">
        <v>33</v>
      </c>
      <c r="H911" s="163">
        <f t="shared" si="52"/>
        <v>43082</v>
      </c>
      <c r="I911" s="163">
        <f t="shared" si="53"/>
        <v>43440</v>
      </c>
    </row>
    <row r="912" spans="1:9" s="2" customFormat="1" x14ac:dyDescent="0.25">
      <c r="A912" s="164">
        <v>848</v>
      </c>
      <c r="B912" s="345">
        <v>8</v>
      </c>
      <c r="C912" s="166" t="s">
        <v>1374</v>
      </c>
      <c r="D912" s="174">
        <v>849215006</v>
      </c>
      <c r="E912" s="168" t="s">
        <v>1110</v>
      </c>
      <c r="F912" s="169">
        <v>2015</v>
      </c>
      <c r="G912" s="214" t="s">
        <v>1077</v>
      </c>
      <c r="H912" s="265" t="str">
        <f t="shared" si="52"/>
        <v xml:space="preserve">   </v>
      </c>
      <c r="I912" s="265" t="str">
        <f t="shared" si="53"/>
        <v xml:space="preserve">   </v>
      </c>
    </row>
    <row r="913" spans="1:9" s="2" customFormat="1" x14ac:dyDescent="0.25">
      <c r="A913" s="156">
        <v>849</v>
      </c>
      <c r="B913" s="344">
        <v>9</v>
      </c>
      <c r="C913" s="177" t="s">
        <v>1375</v>
      </c>
      <c r="D913" s="178">
        <v>849215007</v>
      </c>
      <c r="E913" s="346" t="s">
        <v>1110</v>
      </c>
      <c r="F913" s="317">
        <v>2015</v>
      </c>
      <c r="G913" s="272" t="s">
        <v>33</v>
      </c>
      <c r="H913" s="163">
        <f t="shared" si="52"/>
        <v>43613</v>
      </c>
      <c r="I913" s="163">
        <f t="shared" si="53"/>
        <v>43705</v>
      </c>
    </row>
    <row r="914" spans="1:9" s="2" customFormat="1" x14ac:dyDescent="0.25">
      <c r="A914" s="156">
        <v>850</v>
      </c>
      <c r="B914" s="344">
        <v>10</v>
      </c>
      <c r="C914" s="177" t="s">
        <v>1377</v>
      </c>
      <c r="D914" s="178">
        <v>849215008</v>
      </c>
      <c r="E914" s="346" t="s">
        <v>1110</v>
      </c>
      <c r="F914" s="317">
        <v>2015</v>
      </c>
      <c r="G914" s="272" t="s">
        <v>33</v>
      </c>
      <c r="H914" s="163">
        <f t="shared" si="52"/>
        <v>43481</v>
      </c>
      <c r="I914" s="163">
        <f t="shared" si="53"/>
        <v>43705</v>
      </c>
    </row>
    <row r="915" spans="1:9" s="2" customFormat="1" x14ac:dyDescent="0.25">
      <c r="A915" s="164">
        <v>851</v>
      </c>
      <c r="B915" s="345">
        <v>11</v>
      </c>
      <c r="C915" s="166" t="s">
        <v>1378</v>
      </c>
      <c r="D915" s="174">
        <v>849215009</v>
      </c>
      <c r="E915" s="168" t="s">
        <v>1110</v>
      </c>
      <c r="F915" s="169">
        <v>2015</v>
      </c>
      <c r="G915" s="214" t="s">
        <v>1077</v>
      </c>
      <c r="H915" s="265" t="str">
        <f t="shared" si="52"/>
        <v xml:space="preserve">   </v>
      </c>
      <c r="I915" s="265" t="str">
        <f t="shared" si="53"/>
        <v xml:space="preserve">   </v>
      </c>
    </row>
    <row r="916" spans="1:9" s="2" customFormat="1" x14ac:dyDescent="0.25">
      <c r="A916" s="216">
        <v>852</v>
      </c>
      <c r="B916" s="361">
        <v>12</v>
      </c>
      <c r="C916" s="362" t="s">
        <v>1379</v>
      </c>
      <c r="D916" s="219">
        <v>849215010</v>
      </c>
      <c r="E916" s="220" t="s">
        <v>1110</v>
      </c>
      <c r="F916" s="363">
        <v>2015</v>
      </c>
      <c r="G916" s="214" t="s">
        <v>1077</v>
      </c>
      <c r="H916" s="364" t="str">
        <f t="shared" si="52"/>
        <v xml:space="preserve">   </v>
      </c>
      <c r="I916" s="364" t="str">
        <f t="shared" si="53"/>
        <v xml:space="preserve">   </v>
      </c>
    </row>
    <row r="917" spans="1:9" s="4" customFormat="1" x14ac:dyDescent="0.25">
      <c r="A917" s="187"/>
      <c r="B917" s="192"/>
      <c r="C917" s="189"/>
      <c r="D917" s="190"/>
      <c r="E917" s="191" t="s">
        <v>61</v>
      </c>
      <c r="F917" s="192" t="s">
        <v>61</v>
      </c>
      <c r="G917" s="192" t="s">
        <v>61</v>
      </c>
      <c r="H917" s="193" t="str">
        <f t="shared" si="52"/>
        <v xml:space="preserve">   </v>
      </c>
      <c r="I917" s="193" t="str">
        <f t="shared" si="53"/>
        <v xml:space="preserve">   </v>
      </c>
    </row>
    <row r="918" spans="1:9" s="2" customFormat="1" x14ac:dyDescent="0.25">
      <c r="A918" s="365" t="s">
        <v>1380</v>
      </c>
      <c r="B918" s="365"/>
      <c r="C918" s="365"/>
      <c r="D918" s="366"/>
      <c r="E918" s="198" t="s">
        <v>1096</v>
      </c>
      <c r="F918" s="199" t="s">
        <v>1096</v>
      </c>
      <c r="G918" s="146">
        <v>3000000</v>
      </c>
      <c r="H918" s="147" t="str">
        <f t="shared" si="52"/>
        <v xml:space="preserve">   </v>
      </c>
      <c r="I918" s="147" t="str">
        <f t="shared" si="53"/>
        <v xml:space="preserve">   </v>
      </c>
    </row>
    <row r="919" spans="1:9" s="2" customFormat="1" x14ac:dyDescent="0.25">
      <c r="A919" s="148">
        <v>853</v>
      </c>
      <c r="B919" s="367">
        <v>1</v>
      </c>
      <c r="C919" s="150" t="s">
        <v>1381</v>
      </c>
      <c r="D919" s="151">
        <v>849115001</v>
      </c>
      <c r="E919" s="152" t="s">
        <v>1070</v>
      </c>
      <c r="F919" s="153">
        <v>2015</v>
      </c>
      <c r="G919" s="342" t="s">
        <v>33</v>
      </c>
      <c r="H919" s="163">
        <f t="shared" si="52"/>
        <v>43405</v>
      </c>
      <c r="I919" s="163">
        <f t="shared" si="53"/>
        <v>43587</v>
      </c>
    </row>
    <row r="920" spans="1:9" s="2" customFormat="1" x14ac:dyDescent="0.25">
      <c r="A920" s="156">
        <v>854</v>
      </c>
      <c r="B920" s="172">
        <v>2</v>
      </c>
      <c r="C920" s="158" t="s">
        <v>1383</v>
      </c>
      <c r="D920" s="159">
        <v>849115002</v>
      </c>
      <c r="E920" s="160" t="s">
        <v>1070</v>
      </c>
      <c r="F920" s="161">
        <v>2015</v>
      </c>
      <c r="G920" s="162" t="s">
        <v>33</v>
      </c>
      <c r="H920" s="163">
        <f t="shared" si="52"/>
        <v>43084</v>
      </c>
      <c r="I920" s="163">
        <f t="shared" si="53"/>
        <v>43218</v>
      </c>
    </row>
    <row r="921" spans="1:9" s="2" customFormat="1" x14ac:dyDescent="0.25">
      <c r="A921" s="156">
        <v>855</v>
      </c>
      <c r="B921" s="172">
        <v>3</v>
      </c>
      <c r="C921" s="158" t="s">
        <v>1384</v>
      </c>
      <c r="D921" s="159">
        <v>849115003</v>
      </c>
      <c r="E921" s="160" t="s">
        <v>1070</v>
      </c>
      <c r="F921" s="161">
        <v>2015</v>
      </c>
      <c r="G921" s="162" t="s">
        <v>33</v>
      </c>
      <c r="H921" s="163">
        <f t="shared" si="52"/>
        <v>43034</v>
      </c>
      <c r="I921" s="163">
        <f t="shared" si="53"/>
        <v>43064</v>
      </c>
    </row>
    <row r="922" spans="1:9" s="2" customFormat="1" x14ac:dyDescent="0.25">
      <c r="A922" s="164">
        <v>856</v>
      </c>
      <c r="B922" s="345">
        <v>4</v>
      </c>
      <c r="C922" s="166" t="s">
        <v>1385</v>
      </c>
      <c r="D922" s="174">
        <v>849115004</v>
      </c>
      <c r="E922" s="168" t="s">
        <v>1070</v>
      </c>
      <c r="F922" s="169">
        <v>2015</v>
      </c>
      <c r="G922" s="214" t="s">
        <v>1077</v>
      </c>
      <c r="H922" s="265" t="str">
        <f t="shared" si="52"/>
        <v xml:space="preserve">   </v>
      </c>
      <c r="I922" s="265" t="str">
        <f t="shared" si="53"/>
        <v xml:space="preserve">   </v>
      </c>
    </row>
    <row r="923" spans="1:9" s="2" customFormat="1" x14ac:dyDescent="0.25">
      <c r="A923" s="156">
        <v>857</v>
      </c>
      <c r="B923" s="172">
        <v>5</v>
      </c>
      <c r="C923" s="158" t="s">
        <v>1386</v>
      </c>
      <c r="D923" s="159">
        <v>849115005</v>
      </c>
      <c r="E923" s="160" t="s">
        <v>1070</v>
      </c>
      <c r="F923" s="161">
        <v>2015</v>
      </c>
      <c r="G923" s="162" t="s">
        <v>33</v>
      </c>
      <c r="H923" s="163">
        <f t="shared" si="52"/>
        <v>43103</v>
      </c>
      <c r="I923" s="163">
        <f t="shared" si="53"/>
        <v>43218</v>
      </c>
    </row>
    <row r="924" spans="1:9" s="2" customFormat="1" x14ac:dyDescent="0.25">
      <c r="A924" s="156">
        <v>858</v>
      </c>
      <c r="B924" s="172">
        <v>6</v>
      </c>
      <c r="C924" s="158" t="s">
        <v>1387</v>
      </c>
      <c r="D924" s="159">
        <v>849115006</v>
      </c>
      <c r="E924" s="160" t="s">
        <v>1070</v>
      </c>
      <c r="F924" s="161">
        <v>2015</v>
      </c>
      <c r="G924" s="162" t="s">
        <v>33</v>
      </c>
      <c r="H924" s="163">
        <f t="shared" si="52"/>
        <v>43104</v>
      </c>
      <c r="I924" s="163">
        <f t="shared" si="53"/>
        <v>43218</v>
      </c>
    </row>
    <row r="925" spans="1:9" s="2" customFormat="1" x14ac:dyDescent="0.25">
      <c r="A925" s="156">
        <v>859</v>
      </c>
      <c r="B925" s="172">
        <v>7</v>
      </c>
      <c r="C925" s="158" t="s">
        <v>606</v>
      </c>
      <c r="D925" s="159">
        <v>849115007</v>
      </c>
      <c r="E925" s="160" t="s">
        <v>1070</v>
      </c>
      <c r="F925" s="161">
        <v>2015</v>
      </c>
      <c r="G925" s="162" t="s">
        <v>33</v>
      </c>
      <c r="H925" s="163">
        <f t="shared" si="52"/>
        <v>43248</v>
      </c>
      <c r="I925" s="163">
        <f t="shared" si="53"/>
        <v>43440</v>
      </c>
    </row>
    <row r="926" spans="1:9" s="2" customFormat="1" x14ac:dyDescent="0.25">
      <c r="A926" s="156">
        <v>860</v>
      </c>
      <c r="B926" s="172">
        <v>8</v>
      </c>
      <c r="C926" s="158" t="s">
        <v>1388</v>
      </c>
      <c r="D926" s="159">
        <v>849115008</v>
      </c>
      <c r="E926" s="160" t="s">
        <v>1070</v>
      </c>
      <c r="F926" s="161">
        <v>2015</v>
      </c>
      <c r="G926" s="162" t="s">
        <v>33</v>
      </c>
      <c r="H926" s="163">
        <f t="shared" si="52"/>
        <v>43388</v>
      </c>
      <c r="I926" s="163">
        <f t="shared" si="53"/>
        <v>43440</v>
      </c>
    </row>
    <row r="927" spans="1:9" s="2" customFormat="1" x14ac:dyDescent="0.25">
      <c r="A927" s="156">
        <v>861</v>
      </c>
      <c r="B927" s="172">
        <v>9</v>
      </c>
      <c r="C927" s="158" t="s">
        <v>1389</v>
      </c>
      <c r="D927" s="159">
        <v>849115024</v>
      </c>
      <c r="E927" s="160" t="s">
        <v>1070</v>
      </c>
      <c r="F927" s="161">
        <v>2015</v>
      </c>
      <c r="G927" s="162" t="s">
        <v>33</v>
      </c>
      <c r="H927" s="163">
        <f t="shared" si="52"/>
        <v>43398</v>
      </c>
      <c r="I927" s="163">
        <f t="shared" si="53"/>
        <v>43440</v>
      </c>
    </row>
    <row r="928" spans="1:9" s="2" customFormat="1" x14ac:dyDescent="0.25">
      <c r="A928" s="156">
        <v>862</v>
      </c>
      <c r="B928" s="172">
        <v>10</v>
      </c>
      <c r="C928" s="158" t="s">
        <v>1390</v>
      </c>
      <c r="D928" s="159">
        <v>849115018</v>
      </c>
      <c r="E928" s="160" t="s">
        <v>1070</v>
      </c>
      <c r="F928" s="161">
        <v>2015</v>
      </c>
      <c r="G928" s="162" t="s">
        <v>33</v>
      </c>
      <c r="H928" s="163">
        <f t="shared" si="52"/>
        <v>43062</v>
      </c>
      <c r="I928" s="163">
        <f t="shared" si="53"/>
        <v>43218</v>
      </c>
    </row>
    <row r="929" spans="1:9" s="2" customFormat="1" x14ac:dyDescent="0.25">
      <c r="A929" s="156">
        <v>863</v>
      </c>
      <c r="B929" s="172">
        <v>11</v>
      </c>
      <c r="C929" s="158" t="s">
        <v>1391</v>
      </c>
      <c r="D929" s="159">
        <v>849115009</v>
      </c>
      <c r="E929" s="160" t="s">
        <v>1070</v>
      </c>
      <c r="F929" s="161">
        <v>2015</v>
      </c>
      <c r="G929" s="162" t="s">
        <v>33</v>
      </c>
      <c r="H929" s="163">
        <f t="shared" si="52"/>
        <v>43076</v>
      </c>
      <c r="I929" s="163">
        <f t="shared" si="53"/>
        <v>43218</v>
      </c>
    </row>
    <row r="930" spans="1:9" s="2" customFormat="1" x14ac:dyDescent="0.25">
      <c r="A930" s="156">
        <v>864</v>
      </c>
      <c r="B930" s="172">
        <v>12</v>
      </c>
      <c r="C930" s="158" t="s">
        <v>1392</v>
      </c>
      <c r="D930" s="159">
        <v>849115021</v>
      </c>
      <c r="E930" s="160" t="s">
        <v>1070</v>
      </c>
      <c r="F930" s="161">
        <v>2015</v>
      </c>
      <c r="G930" s="162" t="s">
        <v>33</v>
      </c>
      <c r="H930" s="163">
        <f t="shared" si="52"/>
        <v>43248</v>
      </c>
      <c r="I930" s="163">
        <f t="shared" si="53"/>
        <v>43440</v>
      </c>
    </row>
    <row r="931" spans="1:9" s="2" customFormat="1" x14ac:dyDescent="0.25">
      <c r="A931" s="164">
        <v>865</v>
      </c>
      <c r="B931" s="347">
        <v>13</v>
      </c>
      <c r="C931" s="233" t="s">
        <v>1393</v>
      </c>
      <c r="D931" s="236">
        <v>849115022</v>
      </c>
      <c r="E931" s="237" t="s">
        <v>1070</v>
      </c>
      <c r="F931" s="238">
        <v>2015</v>
      </c>
      <c r="G931" s="214" t="s">
        <v>1077</v>
      </c>
      <c r="H931" s="303" t="str">
        <f t="shared" ref="H931:H962" si="54">IFERROR(VLOOKUP(D931,Tlus,3,FALSE),"   ")</f>
        <v xml:space="preserve">   </v>
      </c>
      <c r="I931" s="303" t="str">
        <f t="shared" ref="I931:I962" si="55">IFERROR(VLOOKUP(D931,Wis,4,FALSE),"   ")</f>
        <v xml:space="preserve">   </v>
      </c>
    </row>
    <row r="932" spans="1:9" s="2" customFormat="1" x14ac:dyDescent="0.25">
      <c r="A932" s="156">
        <v>866</v>
      </c>
      <c r="B932" s="344">
        <v>14</v>
      </c>
      <c r="C932" s="177" t="s">
        <v>1394</v>
      </c>
      <c r="D932" s="178">
        <v>849115010</v>
      </c>
      <c r="E932" s="346" t="s">
        <v>1070</v>
      </c>
      <c r="F932" s="317">
        <v>2015</v>
      </c>
      <c r="G932" s="162" t="s">
        <v>33</v>
      </c>
      <c r="H932" s="163">
        <f t="shared" si="54"/>
        <v>43675</v>
      </c>
      <c r="I932" s="163">
        <f t="shared" si="55"/>
        <v>43750</v>
      </c>
    </row>
    <row r="933" spans="1:9" s="2" customFormat="1" x14ac:dyDescent="0.25">
      <c r="A933" s="164">
        <v>867</v>
      </c>
      <c r="B933" s="345">
        <v>15</v>
      </c>
      <c r="C933" s="166" t="s">
        <v>1395</v>
      </c>
      <c r="D933" s="174">
        <v>849115011</v>
      </c>
      <c r="E933" s="168" t="s">
        <v>1070</v>
      </c>
      <c r="F933" s="169">
        <v>2015</v>
      </c>
      <c r="G933" s="214" t="s">
        <v>1077</v>
      </c>
      <c r="H933" s="265" t="str">
        <f t="shared" si="54"/>
        <v xml:space="preserve">   </v>
      </c>
      <c r="I933" s="265" t="str">
        <f t="shared" si="55"/>
        <v xml:space="preserve">   </v>
      </c>
    </row>
    <row r="934" spans="1:9" s="2" customFormat="1" x14ac:dyDescent="0.25">
      <c r="A934" s="164">
        <v>868</v>
      </c>
      <c r="B934" s="345">
        <v>16</v>
      </c>
      <c r="C934" s="166" t="s">
        <v>1396</v>
      </c>
      <c r="D934" s="174">
        <v>849115012</v>
      </c>
      <c r="E934" s="168" t="s">
        <v>1070</v>
      </c>
      <c r="F934" s="169">
        <v>2015</v>
      </c>
      <c r="G934" s="214" t="s">
        <v>1077</v>
      </c>
      <c r="H934" s="265" t="str">
        <f t="shared" si="54"/>
        <v xml:space="preserve">   </v>
      </c>
      <c r="I934" s="265" t="str">
        <f t="shared" si="55"/>
        <v xml:space="preserve">   </v>
      </c>
    </row>
    <row r="935" spans="1:9" s="2" customFormat="1" x14ac:dyDescent="0.25">
      <c r="A935" s="164">
        <v>869</v>
      </c>
      <c r="B935" s="343">
        <v>17</v>
      </c>
      <c r="C935" s="173" t="s">
        <v>1397</v>
      </c>
      <c r="D935" s="263">
        <v>849115013</v>
      </c>
      <c r="E935" s="264" t="s">
        <v>1070</v>
      </c>
      <c r="F935" s="175">
        <v>2015</v>
      </c>
      <c r="G935" s="214" t="s">
        <v>1077</v>
      </c>
      <c r="H935" s="265" t="str">
        <f t="shared" si="54"/>
        <v xml:space="preserve">   </v>
      </c>
      <c r="I935" s="265" t="str">
        <f t="shared" si="55"/>
        <v xml:space="preserve">   </v>
      </c>
    </row>
    <row r="936" spans="1:9" s="2" customFormat="1" x14ac:dyDescent="0.25">
      <c r="A936" s="156">
        <v>870</v>
      </c>
      <c r="B936" s="344">
        <v>18</v>
      </c>
      <c r="C936" s="177" t="s">
        <v>1398</v>
      </c>
      <c r="D936" s="178">
        <v>849115014</v>
      </c>
      <c r="E936" s="346" t="s">
        <v>1070</v>
      </c>
      <c r="F936" s="317">
        <v>2015</v>
      </c>
      <c r="G936" s="272" t="s">
        <v>33</v>
      </c>
      <c r="H936" s="163">
        <f t="shared" si="54"/>
        <v>43482</v>
      </c>
      <c r="I936" s="163">
        <f t="shared" si="55"/>
        <v>43587</v>
      </c>
    </row>
    <row r="937" spans="1:9" s="2" customFormat="1" x14ac:dyDescent="0.25">
      <c r="A937" s="156">
        <v>871</v>
      </c>
      <c r="B937" s="172">
        <v>19</v>
      </c>
      <c r="C937" s="177" t="s">
        <v>1399</v>
      </c>
      <c r="D937" s="178">
        <v>849115015</v>
      </c>
      <c r="E937" s="346" t="s">
        <v>1070</v>
      </c>
      <c r="F937" s="317">
        <v>2015</v>
      </c>
      <c r="G937" s="272" t="s">
        <v>33</v>
      </c>
      <c r="H937" s="163">
        <f t="shared" si="54"/>
        <v>43480</v>
      </c>
      <c r="I937" s="163">
        <f t="shared" si="55"/>
        <v>43587</v>
      </c>
    </row>
    <row r="938" spans="1:9" s="2" customFormat="1" x14ac:dyDescent="0.25">
      <c r="A938" s="164">
        <v>872</v>
      </c>
      <c r="B938" s="345">
        <v>20</v>
      </c>
      <c r="C938" s="166" t="s">
        <v>1400</v>
      </c>
      <c r="D938" s="174">
        <v>849115016</v>
      </c>
      <c r="E938" s="168" t="s">
        <v>1070</v>
      </c>
      <c r="F938" s="169">
        <v>2015</v>
      </c>
      <c r="G938" s="214" t="s">
        <v>1077</v>
      </c>
      <c r="H938" s="265" t="str">
        <f t="shared" si="54"/>
        <v xml:space="preserve">   </v>
      </c>
      <c r="I938" s="265" t="str">
        <f t="shared" si="55"/>
        <v xml:space="preserve">   </v>
      </c>
    </row>
    <row r="939" spans="1:9" s="2" customFormat="1" x14ac:dyDescent="0.25">
      <c r="A939" s="156">
        <v>873</v>
      </c>
      <c r="B939" s="172">
        <v>21</v>
      </c>
      <c r="C939" s="158" t="s">
        <v>1401</v>
      </c>
      <c r="D939" s="159">
        <v>849115017</v>
      </c>
      <c r="E939" s="160" t="s">
        <v>1070</v>
      </c>
      <c r="F939" s="161">
        <v>2015</v>
      </c>
      <c r="G939" s="162" t="s">
        <v>33</v>
      </c>
      <c r="H939" s="163">
        <f t="shared" si="54"/>
        <v>43020</v>
      </c>
      <c r="I939" s="163">
        <f t="shared" si="55"/>
        <v>43064</v>
      </c>
    </row>
    <row r="940" spans="1:9" s="2" customFormat="1" x14ac:dyDescent="0.25">
      <c r="A940" s="156">
        <v>874</v>
      </c>
      <c r="B940" s="172">
        <v>22</v>
      </c>
      <c r="C940" s="177" t="s">
        <v>1403</v>
      </c>
      <c r="D940" s="159">
        <v>849115019</v>
      </c>
      <c r="E940" s="346" t="s">
        <v>1070</v>
      </c>
      <c r="F940" s="317">
        <v>2015</v>
      </c>
      <c r="G940" s="162" t="s">
        <v>33</v>
      </c>
      <c r="H940" s="163">
        <f t="shared" si="54"/>
        <v>43643</v>
      </c>
      <c r="I940" s="163">
        <f t="shared" si="55"/>
        <v>43818</v>
      </c>
    </row>
    <row r="941" spans="1:9" s="2" customFormat="1" x14ac:dyDescent="0.25">
      <c r="A941" s="240">
        <v>875</v>
      </c>
      <c r="B941" s="368">
        <v>23</v>
      </c>
      <c r="C941" s="318" t="s">
        <v>1404</v>
      </c>
      <c r="D941" s="243">
        <v>849115023</v>
      </c>
      <c r="E941" s="244" t="s">
        <v>61</v>
      </c>
      <c r="F941" s="245" t="s">
        <v>61</v>
      </c>
      <c r="G941" s="170" t="s">
        <v>1077</v>
      </c>
      <c r="H941" s="246" t="str">
        <f t="shared" si="54"/>
        <v xml:space="preserve">   </v>
      </c>
      <c r="I941" s="246" t="str">
        <f t="shared" si="55"/>
        <v xml:space="preserve">   </v>
      </c>
    </row>
    <row r="942" spans="1:9" s="4" customFormat="1" x14ac:dyDescent="0.25">
      <c r="A942" s="187"/>
      <c r="B942" s="267"/>
      <c r="C942" s="268"/>
      <c r="D942" s="269"/>
      <c r="E942" s="270" t="s">
        <v>61</v>
      </c>
      <c r="F942" s="267" t="s">
        <v>61</v>
      </c>
      <c r="G942" s="192" t="s">
        <v>61</v>
      </c>
      <c r="H942" s="193" t="str">
        <f t="shared" si="54"/>
        <v xml:space="preserve">   </v>
      </c>
      <c r="I942" s="193" t="str">
        <f t="shared" si="55"/>
        <v xml:space="preserve">   </v>
      </c>
    </row>
    <row r="943" spans="1:9" s="2" customFormat="1" x14ac:dyDescent="0.25">
      <c r="A943" s="369" t="s">
        <v>1405</v>
      </c>
      <c r="B943" s="140"/>
      <c r="C943" s="339"/>
      <c r="D943" s="370"/>
      <c r="E943" s="198" t="s">
        <v>1096</v>
      </c>
      <c r="F943" s="199" t="s">
        <v>1096</v>
      </c>
      <c r="G943" s="146">
        <v>3000000</v>
      </c>
      <c r="H943" s="371" t="str">
        <f t="shared" si="54"/>
        <v xml:space="preserve">   </v>
      </c>
      <c r="I943" s="371" t="str">
        <f t="shared" si="55"/>
        <v xml:space="preserve">   </v>
      </c>
    </row>
    <row r="944" spans="1:9" s="2" customFormat="1" x14ac:dyDescent="0.25">
      <c r="A944" s="148">
        <v>876</v>
      </c>
      <c r="B944" s="367">
        <v>1</v>
      </c>
      <c r="C944" s="150" t="s">
        <v>1406</v>
      </c>
      <c r="D944" s="151">
        <v>839215001</v>
      </c>
      <c r="E944" s="152" t="s">
        <v>1195</v>
      </c>
      <c r="F944" s="153">
        <v>2015</v>
      </c>
      <c r="G944" s="154" t="s">
        <v>33</v>
      </c>
      <c r="H944" s="155">
        <f t="shared" si="54"/>
        <v>42978</v>
      </c>
      <c r="I944" s="155">
        <f t="shared" si="55"/>
        <v>43064</v>
      </c>
    </row>
    <row r="945" spans="1:9" s="2" customFormat="1" x14ac:dyDescent="0.25">
      <c r="A945" s="164">
        <v>877</v>
      </c>
      <c r="B945" s="345">
        <v>2</v>
      </c>
      <c r="C945" s="166" t="s">
        <v>1407</v>
      </c>
      <c r="D945" s="174">
        <v>839215002</v>
      </c>
      <c r="E945" s="168" t="s">
        <v>1195</v>
      </c>
      <c r="F945" s="169">
        <v>2015</v>
      </c>
      <c r="G945" s="360" t="s">
        <v>1483</v>
      </c>
      <c r="H945" s="265" t="str">
        <f t="shared" si="54"/>
        <v xml:space="preserve">   </v>
      </c>
      <c r="I945" s="265" t="str">
        <f t="shared" si="55"/>
        <v xml:space="preserve">   </v>
      </c>
    </row>
    <row r="946" spans="1:9" s="2" customFormat="1" x14ac:dyDescent="0.25">
      <c r="A946" s="156">
        <v>878</v>
      </c>
      <c r="B946" s="172">
        <v>3</v>
      </c>
      <c r="C946" s="158" t="s">
        <v>1409</v>
      </c>
      <c r="D946" s="159">
        <v>839215003</v>
      </c>
      <c r="E946" s="160" t="s">
        <v>1195</v>
      </c>
      <c r="F946" s="161">
        <v>2015</v>
      </c>
      <c r="G946" s="162" t="s">
        <v>33</v>
      </c>
      <c r="H946" s="163">
        <f t="shared" si="54"/>
        <v>43047</v>
      </c>
      <c r="I946" s="163">
        <f t="shared" si="55"/>
        <v>43218</v>
      </c>
    </row>
    <row r="947" spans="1:9" s="2" customFormat="1" x14ac:dyDescent="0.25">
      <c r="A947" s="156">
        <v>879</v>
      </c>
      <c r="B947" s="172">
        <v>4</v>
      </c>
      <c r="C947" s="158" t="s">
        <v>1411</v>
      </c>
      <c r="D947" s="159">
        <v>839215004</v>
      </c>
      <c r="E947" s="160" t="s">
        <v>1195</v>
      </c>
      <c r="F947" s="161">
        <v>2015</v>
      </c>
      <c r="G947" s="162" t="s">
        <v>33</v>
      </c>
      <c r="H947" s="163">
        <f t="shared" si="54"/>
        <v>42940</v>
      </c>
      <c r="I947" s="163">
        <f t="shared" si="55"/>
        <v>43064</v>
      </c>
    </row>
    <row r="948" spans="1:9" s="2" customFormat="1" x14ac:dyDescent="0.25">
      <c r="A948" s="156">
        <v>880</v>
      </c>
      <c r="B948" s="172">
        <v>5</v>
      </c>
      <c r="C948" s="158" t="s">
        <v>1412</v>
      </c>
      <c r="D948" s="159">
        <v>839215005</v>
      </c>
      <c r="E948" s="160" t="s">
        <v>1195</v>
      </c>
      <c r="F948" s="161">
        <v>2015</v>
      </c>
      <c r="G948" s="162" t="s">
        <v>33</v>
      </c>
      <c r="H948" s="163">
        <f t="shared" si="54"/>
        <v>42768</v>
      </c>
      <c r="I948" s="163">
        <f t="shared" si="55"/>
        <v>42861</v>
      </c>
    </row>
    <row r="949" spans="1:9" s="2" customFormat="1" x14ac:dyDescent="0.25">
      <c r="A949" s="156">
        <v>881</v>
      </c>
      <c r="B949" s="172">
        <v>6</v>
      </c>
      <c r="C949" s="158" t="s">
        <v>1413</v>
      </c>
      <c r="D949" s="159">
        <v>839215006</v>
      </c>
      <c r="E949" s="160" t="s">
        <v>1195</v>
      </c>
      <c r="F949" s="161">
        <v>2015</v>
      </c>
      <c r="G949" s="162" t="s">
        <v>33</v>
      </c>
      <c r="H949" s="163">
        <f t="shared" si="54"/>
        <v>43020</v>
      </c>
      <c r="I949" s="163">
        <f t="shared" si="55"/>
        <v>43064</v>
      </c>
    </row>
    <row r="950" spans="1:9" s="2" customFormat="1" x14ac:dyDescent="0.25">
      <c r="A950" s="156">
        <v>882</v>
      </c>
      <c r="B950" s="344">
        <v>7</v>
      </c>
      <c r="C950" s="177" t="s">
        <v>1414</v>
      </c>
      <c r="D950" s="178">
        <v>839215007</v>
      </c>
      <c r="E950" s="346" t="s">
        <v>1195</v>
      </c>
      <c r="F950" s="317">
        <v>2015</v>
      </c>
      <c r="G950" s="162" t="s">
        <v>33</v>
      </c>
      <c r="H950" s="163">
        <f t="shared" si="54"/>
        <v>42421</v>
      </c>
      <c r="I950" s="163">
        <f t="shared" si="55"/>
        <v>42861</v>
      </c>
    </row>
    <row r="951" spans="1:9" s="2" customFormat="1" x14ac:dyDescent="0.25">
      <c r="A951" s="156">
        <v>883</v>
      </c>
      <c r="B951" s="343">
        <v>8</v>
      </c>
      <c r="C951" s="173" t="s">
        <v>1415</v>
      </c>
      <c r="D951" s="263">
        <v>839215008</v>
      </c>
      <c r="E951" s="168" t="s">
        <v>1195</v>
      </c>
      <c r="F951" s="169">
        <v>2015</v>
      </c>
      <c r="G951" s="360" t="s">
        <v>1483</v>
      </c>
      <c r="H951" s="265" t="str">
        <f t="shared" si="54"/>
        <v xml:space="preserve">   </v>
      </c>
      <c r="I951" s="265" t="str">
        <f t="shared" si="55"/>
        <v xml:space="preserve">   </v>
      </c>
    </row>
    <row r="952" spans="1:9" s="2" customFormat="1" x14ac:dyDescent="0.25">
      <c r="A952" s="156">
        <v>884</v>
      </c>
      <c r="B952" s="172">
        <v>9</v>
      </c>
      <c r="C952" s="158" t="s">
        <v>1416</v>
      </c>
      <c r="D952" s="159">
        <v>839215009</v>
      </c>
      <c r="E952" s="160" t="s">
        <v>1195</v>
      </c>
      <c r="F952" s="161">
        <v>2015</v>
      </c>
      <c r="G952" s="162" t="s">
        <v>33</v>
      </c>
      <c r="H952" s="163">
        <f t="shared" si="54"/>
        <v>43291</v>
      </c>
      <c r="I952" s="163">
        <f t="shared" si="55"/>
        <v>43351</v>
      </c>
    </row>
    <row r="953" spans="1:9" s="2" customFormat="1" x14ac:dyDescent="0.25">
      <c r="A953" s="234">
        <v>885</v>
      </c>
      <c r="B953" s="347">
        <v>10</v>
      </c>
      <c r="C953" s="233" t="s">
        <v>1417</v>
      </c>
      <c r="D953" s="236">
        <v>839215010</v>
      </c>
      <c r="E953" s="237" t="s">
        <v>1195</v>
      </c>
      <c r="F953" s="238">
        <v>2015</v>
      </c>
      <c r="G953" s="214" t="s">
        <v>1077</v>
      </c>
      <c r="H953" s="239" t="str">
        <f t="shared" si="54"/>
        <v xml:space="preserve">   </v>
      </c>
      <c r="I953" s="239" t="str">
        <f t="shared" si="55"/>
        <v xml:space="preserve">   </v>
      </c>
    </row>
    <row r="954" spans="1:9" s="2" customFormat="1" x14ac:dyDescent="0.25">
      <c r="A954" s="156">
        <v>886</v>
      </c>
      <c r="B954" s="172">
        <v>11</v>
      </c>
      <c r="C954" s="158" t="s">
        <v>1418</v>
      </c>
      <c r="D954" s="159">
        <v>839215011</v>
      </c>
      <c r="E954" s="160" t="s">
        <v>1195</v>
      </c>
      <c r="F954" s="161">
        <v>2015</v>
      </c>
      <c r="G954" s="162" t="s">
        <v>33</v>
      </c>
      <c r="H954" s="163">
        <f t="shared" si="54"/>
        <v>43047</v>
      </c>
      <c r="I954" s="163">
        <f t="shared" si="55"/>
        <v>43218</v>
      </c>
    </row>
    <row r="955" spans="1:9" s="2" customFormat="1" x14ac:dyDescent="0.25">
      <c r="A955" s="234">
        <v>887</v>
      </c>
      <c r="B955" s="347">
        <v>12</v>
      </c>
      <c r="C955" s="233" t="s">
        <v>1419</v>
      </c>
      <c r="D955" s="236">
        <v>839215012</v>
      </c>
      <c r="E955" s="237" t="s">
        <v>1195</v>
      </c>
      <c r="F955" s="238">
        <v>2015</v>
      </c>
      <c r="G955" s="214" t="s">
        <v>1077</v>
      </c>
      <c r="H955" s="239" t="str">
        <f t="shared" si="54"/>
        <v xml:space="preserve">   </v>
      </c>
      <c r="I955" s="239" t="str">
        <f t="shared" si="55"/>
        <v xml:space="preserve">   </v>
      </c>
    </row>
    <row r="956" spans="1:9" s="2" customFormat="1" x14ac:dyDescent="0.25">
      <c r="A956" s="180">
        <v>888</v>
      </c>
      <c r="B956" s="348">
        <v>13</v>
      </c>
      <c r="C956" s="182" t="s">
        <v>1420</v>
      </c>
      <c r="D956" s="183">
        <v>839215013</v>
      </c>
      <c r="E956" s="184" t="s">
        <v>1195</v>
      </c>
      <c r="F956" s="185">
        <v>2015</v>
      </c>
      <c r="G956" s="186" t="s">
        <v>33</v>
      </c>
      <c r="H956" s="284">
        <f t="shared" si="54"/>
        <v>42815</v>
      </c>
      <c r="I956" s="284">
        <f t="shared" si="55"/>
        <v>42861</v>
      </c>
    </row>
    <row r="957" spans="1:9" s="4" customFormat="1" x14ac:dyDescent="0.25">
      <c r="A957" s="187"/>
      <c r="B957" s="267"/>
      <c r="C957" s="268"/>
      <c r="D957" s="269"/>
      <c r="E957" s="270" t="s">
        <v>61</v>
      </c>
      <c r="F957" s="267" t="s">
        <v>61</v>
      </c>
      <c r="G957" s="192" t="s">
        <v>61</v>
      </c>
      <c r="H957" s="193" t="str">
        <f t="shared" si="54"/>
        <v xml:space="preserve">   </v>
      </c>
      <c r="I957" s="193" t="str">
        <f t="shared" si="55"/>
        <v xml:space="preserve">   </v>
      </c>
    </row>
    <row r="958" spans="1:9" s="2" customFormat="1" x14ac:dyDescent="0.25">
      <c r="A958" s="194" t="s">
        <v>1422</v>
      </c>
      <c r="B958" s="372"/>
      <c r="C958" s="373"/>
      <c r="D958" s="366"/>
      <c r="E958" s="198" t="s">
        <v>1096</v>
      </c>
      <c r="F958" s="199" t="s">
        <v>1096</v>
      </c>
      <c r="G958" s="146">
        <v>3000000</v>
      </c>
      <c r="H958" s="147" t="str">
        <f t="shared" si="54"/>
        <v xml:space="preserve">   </v>
      </c>
      <c r="I958" s="147" t="str">
        <f t="shared" si="55"/>
        <v xml:space="preserve">   </v>
      </c>
    </row>
    <row r="959" spans="1:9" s="2" customFormat="1" x14ac:dyDescent="0.25">
      <c r="A959" s="148">
        <v>889</v>
      </c>
      <c r="B959" s="367">
        <v>1</v>
      </c>
      <c r="C959" s="150" t="s">
        <v>1423</v>
      </c>
      <c r="D959" s="151">
        <v>839115001</v>
      </c>
      <c r="E959" s="152" t="s">
        <v>848</v>
      </c>
      <c r="F959" s="153">
        <v>2015</v>
      </c>
      <c r="G959" s="154" t="s">
        <v>33</v>
      </c>
      <c r="H959" s="155">
        <f t="shared" si="54"/>
        <v>42943</v>
      </c>
      <c r="I959" s="155">
        <f t="shared" si="55"/>
        <v>43064</v>
      </c>
    </row>
    <row r="960" spans="1:9" s="2" customFormat="1" x14ac:dyDescent="0.25">
      <c r="A960" s="156">
        <v>890</v>
      </c>
      <c r="B960" s="172">
        <v>2</v>
      </c>
      <c r="C960" s="158" t="s">
        <v>1424</v>
      </c>
      <c r="D960" s="159">
        <v>839115002</v>
      </c>
      <c r="E960" s="160" t="s">
        <v>848</v>
      </c>
      <c r="F960" s="161">
        <v>2015</v>
      </c>
      <c r="G960" s="162" t="s">
        <v>33</v>
      </c>
      <c r="H960" s="163">
        <f t="shared" si="54"/>
        <v>43061</v>
      </c>
      <c r="I960" s="163">
        <f t="shared" si="55"/>
        <v>43218</v>
      </c>
    </row>
    <row r="961" spans="1:9" s="2" customFormat="1" x14ac:dyDescent="0.25">
      <c r="A961" s="156">
        <v>891</v>
      </c>
      <c r="B961" s="344">
        <v>3</v>
      </c>
      <c r="C961" s="177" t="s">
        <v>1425</v>
      </c>
      <c r="D961" s="374">
        <v>839115003</v>
      </c>
      <c r="E961" s="346" t="s">
        <v>848</v>
      </c>
      <c r="F961" s="317">
        <v>2015</v>
      </c>
      <c r="G961" s="162" t="s">
        <v>33</v>
      </c>
      <c r="H961" s="163">
        <f t="shared" si="54"/>
        <v>43991</v>
      </c>
      <c r="I961" s="273">
        <f t="shared" si="55"/>
        <v>44186</v>
      </c>
    </row>
    <row r="962" spans="1:9" s="2" customFormat="1" x14ac:dyDescent="0.25">
      <c r="A962" s="234">
        <v>892</v>
      </c>
      <c r="B962" s="347">
        <v>4</v>
      </c>
      <c r="C962" s="233" t="s">
        <v>1426</v>
      </c>
      <c r="D962" s="236">
        <v>839115014</v>
      </c>
      <c r="E962" s="237" t="s">
        <v>848</v>
      </c>
      <c r="F962" s="238">
        <v>2015</v>
      </c>
      <c r="G962" s="214" t="s">
        <v>1077</v>
      </c>
      <c r="H962" s="239" t="str">
        <f t="shared" si="54"/>
        <v xml:space="preserve">   </v>
      </c>
      <c r="I962" s="239" t="str">
        <f t="shared" si="55"/>
        <v xml:space="preserve">   </v>
      </c>
    </row>
    <row r="963" spans="1:9" s="2" customFormat="1" x14ac:dyDescent="0.25">
      <c r="A963" s="156">
        <v>893</v>
      </c>
      <c r="B963" s="172">
        <v>5</v>
      </c>
      <c r="C963" s="158" t="s">
        <v>1427</v>
      </c>
      <c r="D963" s="159">
        <v>839115004</v>
      </c>
      <c r="E963" s="160" t="s">
        <v>848</v>
      </c>
      <c r="F963" s="161">
        <v>2015</v>
      </c>
      <c r="G963" s="162" t="s">
        <v>33</v>
      </c>
      <c r="H963" s="163">
        <f t="shared" ref="H963:H994" si="56">IFERROR(VLOOKUP(D963,Tlus,3,FALSE),"   ")</f>
        <v>42811</v>
      </c>
      <c r="I963" s="163">
        <f t="shared" ref="I963:I994" si="57">IFERROR(VLOOKUP(D963,Wis,4,FALSE),"   ")</f>
        <v>42861</v>
      </c>
    </row>
    <row r="964" spans="1:9" s="2" customFormat="1" x14ac:dyDescent="0.25">
      <c r="A964" s="156">
        <v>894</v>
      </c>
      <c r="B964" s="172">
        <v>6</v>
      </c>
      <c r="C964" s="158" t="s">
        <v>1428</v>
      </c>
      <c r="D964" s="159">
        <v>839115005</v>
      </c>
      <c r="E964" s="160" t="s">
        <v>848</v>
      </c>
      <c r="F964" s="161">
        <v>2015</v>
      </c>
      <c r="G964" s="162" t="s">
        <v>33</v>
      </c>
      <c r="H964" s="163">
        <f t="shared" si="56"/>
        <v>42949</v>
      </c>
      <c r="I964" s="163">
        <f t="shared" si="57"/>
        <v>43064</v>
      </c>
    </row>
    <row r="965" spans="1:9" s="2" customFormat="1" x14ac:dyDescent="0.25">
      <c r="A965" s="156">
        <v>895</v>
      </c>
      <c r="B965" s="172">
        <v>7</v>
      </c>
      <c r="C965" s="158" t="s">
        <v>1429</v>
      </c>
      <c r="D965" s="159">
        <v>839115006</v>
      </c>
      <c r="E965" s="160" t="s">
        <v>848</v>
      </c>
      <c r="F965" s="161">
        <v>2015</v>
      </c>
      <c r="G965" s="162" t="s">
        <v>33</v>
      </c>
      <c r="H965" s="163">
        <f t="shared" si="56"/>
        <v>43251</v>
      </c>
      <c r="I965" s="163">
        <f t="shared" si="57"/>
        <v>43351</v>
      </c>
    </row>
    <row r="966" spans="1:9" s="2" customFormat="1" x14ac:dyDescent="0.25">
      <c r="A966" s="156">
        <v>896</v>
      </c>
      <c r="B966" s="172">
        <v>8</v>
      </c>
      <c r="C966" s="158" t="s">
        <v>1430</v>
      </c>
      <c r="D966" s="159">
        <v>839115007</v>
      </c>
      <c r="E966" s="160" t="s">
        <v>848</v>
      </c>
      <c r="F966" s="161">
        <v>2015</v>
      </c>
      <c r="G966" s="162" t="s">
        <v>33</v>
      </c>
      <c r="H966" s="163">
        <f t="shared" si="56"/>
        <v>43672</v>
      </c>
      <c r="I966" s="163">
        <f t="shared" si="57"/>
        <v>43750</v>
      </c>
    </row>
    <row r="967" spans="1:9" s="2" customFormat="1" x14ac:dyDescent="0.25">
      <c r="A967" s="156">
        <v>897</v>
      </c>
      <c r="B967" s="172">
        <v>9</v>
      </c>
      <c r="C967" s="158" t="s">
        <v>1431</v>
      </c>
      <c r="D967" s="159">
        <v>839115008</v>
      </c>
      <c r="E967" s="160" t="s">
        <v>848</v>
      </c>
      <c r="F967" s="161">
        <v>2015</v>
      </c>
      <c r="G967" s="162" t="s">
        <v>33</v>
      </c>
      <c r="H967" s="163">
        <f t="shared" si="56"/>
        <v>42984</v>
      </c>
      <c r="I967" s="163">
        <f t="shared" si="57"/>
        <v>43064</v>
      </c>
    </row>
    <row r="968" spans="1:9" s="2" customFormat="1" x14ac:dyDescent="0.25">
      <c r="A968" s="156">
        <v>898</v>
      </c>
      <c r="B968" s="172">
        <v>10</v>
      </c>
      <c r="C968" s="158" t="s">
        <v>1433</v>
      </c>
      <c r="D968" s="159">
        <v>839115009</v>
      </c>
      <c r="E968" s="160" t="s">
        <v>848</v>
      </c>
      <c r="F968" s="161">
        <v>2015</v>
      </c>
      <c r="G968" s="162" t="s">
        <v>33</v>
      </c>
      <c r="H968" s="163">
        <f t="shared" si="56"/>
        <v>43109</v>
      </c>
      <c r="I968" s="163">
        <f t="shared" si="57"/>
        <v>43218</v>
      </c>
    </row>
    <row r="969" spans="1:9" s="2" customFormat="1" x14ac:dyDescent="0.25">
      <c r="A969" s="156">
        <v>899</v>
      </c>
      <c r="B969" s="172">
        <v>11</v>
      </c>
      <c r="C969" s="158" t="s">
        <v>1434</v>
      </c>
      <c r="D969" s="159">
        <v>839115010</v>
      </c>
      <c r="E969" s="160" t="s">
        <v>848</v>
      </c>
      <c r="F969" s="161">
        <v>2015</v>
      </c>
      <c r="G969" s="162" t="s">
        <v>33</v>
      </c>
      <c r="H969" s="163">
        <f t="shared" si="56"/>
        <v>42935</v>
      </c>
      <c r="I969" s="163">
        <f t="shared" si="57"/>
        <v>43064</v>
      </c>
    </row>
    <row r="970" spans="1:9" s="2" customFormat="1" x14ac:dyDescent="0.25">
      <c r="A970" s="156">
        <v>900</v>
      </c>
      <c r="B970" s="172">
        <v>12</v>
      </c>
      <c r="C970" s="177" t="s">
        <v>1435</v>
      </c>
      <c r="D970" s="178">
        <v>839115011</v>
      </c>
      <c r="E970" s="346" t="s">
        <v>848</v>
      </c>
      <c r="F970" s="317">
        <v>2015</v>
      </c>
      <c r="G970" s="162" t="s">
        <v>33</v>
      </c>
      <c r="H970" s="163">
        <f t="shared" si="56"/>
        <v>43678</v>
      </c>
      <c r="I970" s="163">
        <f t="shared" si="57"/>
        <v>43818</v>
      </c>
    </row>
    <row r="971" spans="1:9" s="2" customFormat="1" x14ac:dyDescent="0.25">
      <c r="A971" s="156">
        <v>901</v>
      </c>
      <c r="B971" s="172">
        <v>13</v>
      </c>
      <c r="C971" s="158" t="s">
        <v>1437</v>
      </c>
      <c r="D971" s="159">
        <v>839115012</v>
      </c>
      <c r="E971" s="160" t="s">
        <v>848</v>
      </c>
      <c r="F971" s="161">
        <v>2015</v>
      </c>
      <c r="G971" s="162" t="s">
        <v>33</v>
      </c>
      <c r="H971" s="163">
        <f t="shared" si="56"/>
        <v>42943</v>
      </c>
      <c r="I971" s="163">
        <f t="shared" si="57"/>
        <v>43064</v>
      </c>
    </row>
    <row r="972" spans="1:9" s="2" customFormat="1" x14ac:dyDescent="0.25">
      <c r="A972" s="240">
        <v>902</v>
      </c>
      <c r="B972" s="368">
        <v>14</v>
      </c>
      <c r="C972" s="318" t="s">
        <v>1438</v>
      </c>
      <c r="D972" s="243">
        <v>839115013</v>
      </c>
      <c r="E972" s="244" t="s">
        <v>61</v>
      </c>
      <c r="F972" s="245" t="s">
        <v>61</v>
      </c>
      <c r="G972" s="170" t="s">
        <v>1077</v>
      </c>
      <c r="H972" s="246" t="str">
        <f t="shared" si="56"/>
        <v xml:space="preserve">   </v>
      </c>
      <c r="I972" s="246" t="str">
        <f t="shared" si="57"/>
        <v xml:space="preserve">   </v>
      </c>
    </row>
    <row r="973" spans="1:9" s="4" customFormat="1" x14ac:dyDescent="0.25">
      <c r="A973" s="276"/>
      <c r="B973" s="276"/>
      <c r="C973" s="268"/>
      <c r="D973" s="269"/>
      <c r="E973" s="270" t="s">
        <v>61</v>
      </c>
      <c r="F973" s="267" t="s">
        <v>61</v>
      </c>
      <c r="G973" s="192" t="s">
        <v>61</v>
      </c>
      <c r="H973" s="193" t="str">
        <f t="shared" si="56"/>
        <v xml:space="preserve">   </v>
      </c>
      <c r="I973" s="193" t="str">
        <f t="shared" si="57"/>
        <v xml:space="preserve">   </v>
      </c>
    </row>
    <row r="974" spans="1:9" s="2" customFormat="1" x14ac:dyDescent="0.25">
      <c r="A974" s="194" t="s">
        <v>1439</v>
      </c>
      <c r="B974" s="375"/>
      <c r="C974" s="373"/>
      <c r="D974" s="370"/>
      <c r="E974" s="198" t="s">
        <v>1096</v>
      </c>
      <c r="F974" s="199" t="s">
        <v>1096</v>
      </c>
      <c r="G974" s="146">
        <v>3000000</v>
      </c>
      <c r="H974" s="371" t="str">
        <f t="shared" si="56"/>
        <v xml:space="preserve">   </v>
      </c>
      <c r="I974" s="371" t="str">
        <f t="shared" si="57"/>
        <v xml:space="preserve">   </v>
      </c>
    </row>
    <row r="975" spans="1:9" s="2" customFormat="1" x14ac:dyDescent="0.25">
      <c r="A975" s="200">
        <v>903</v>
      </c>
      <c r="B975" s="376">
        <v>1</v>
      </c>
      <c r="C975" s="356" t="s">
        <v>1440</v>
      </c>
      <c r="D975" s="151">
        <v>829115001</v>
      </c>
      <c r="E975" s="311" t="s">
        <v>1441</v>
      </c>
      <c r="F975" s="153">
        <v>2015</v>
      </c>
      <c r="G975" s="342" t="s">
        <v>33</v>
      </c>
      <c r="H975" s="163">
        <f t="shared" si="56"/>
        <v>43682</v>
      </c>
      <c r="I975" s="163">
        <f t="shared" si="57"/>
        <v>43818</v>
      </c>
    </row>
    <row r="976" spans="1:9" s="2" customFormat="1" x14ac:dyDescent="0.25">
      <c r="A976" s="156">
        <v>904</v>
      </c>
      <c r="B976" s="176">
        <v>2</v>
      </c>
      <c r="C976" s="177" t="s">
        <v>1442</v>
      </c>
      <c r="D976" s="178">
        <v>829115002</v>
      </c>
      <c r="E976" s="179" t="s">
        <v>1441</v>
      </c>
      <c r="F976" s="161">
        <v>2015</v>
      </c>
      <c r="G976" s="162" t="s">
        <v>33</v>
      </c>
      <c r="H976" s="163">
        <f t="shared" si="56"/>
        <v>43677</v>
      </c>
      <c r="I976" s="163">
        <f t="shared" si="57"/>
        <v>43818</v>
      </c>
    </row>
    <row r="977" spans="1:9" s="2" customFormat="1" x14ac:dyDescent="0.25">
      <c r="A977" s="156">
        <v>905</v>
      </c>
      <c r="B977" s="157">
        <v>3</v>
      </c>
      <c r="C977" s="158" t="s">
        <v>1443</v>
      </c>
      <c r="D977" s="159">
        <v>829115003</v>
      </c>
      <c r="E977" s="160" t="s">
        <v>1441</v>
      </c>
      <c r="F977" s="161">
        <v>2015</v>
      </c>
      <c r="G977" s="162" t="s">
        <v>33</v>
      </c>
      <c r="H977" s="163">
        <f t="shared" si="56"/>
        <v>43104</v>
      </c>
      <c r="I977" s="163">
        <f t="shared" si="57"/>
        <v>43218</v>
      </c>
    </row>
    <row r="978" spans="1:9" s="2" customFormat="1" x14ac:dyDescent="0.25">
      <c r="A978" s="164">
        <v>906</v>
      </c>
      <c r="B978" s="165">
        <v>4</v>
      </c>
      <c r="C978" s="166" t="s">
        <v>1444</v>
      </c>
      <c r="D978" s="174">
        <v>829115004</v>
      </c>
      <c r="E978" s="279" t="s">
        <v>1441</v>
      </c>
      <c r="F978" s="280">
        <v>2015</v>
      </c>
      <c r="G978" s="214" t="s">
        <v>1077</v>
      </c>
      <c r="H978" s="265" t="str">
        <f t="shared" si="56"/>
        <v xml:space="preserve">   </v>
      </c>
      <c r="I978" s="265" t="str">
        <f t="shared" si="57"/>
        <v xml:space="preserve">   </v>
      </c>
    </row>
    <row r="979" spans="1:9" s="2" customFormat="1" x14ac:dyDescent="0.25">
      <c r="A979" s="156">
        <v>907</v>
      </c>
      <c r="B979" s="176">
        <v>5</v>
      </c>
      <c r="C979" s="177" t="s">
        <v>1446</v>
      </c>
      <c r="D979" s="178">
        <v>829115005</v>
      </c>
      <c r="E979" s="275" t="s">
        <v>1441</v>
      </c>
      <c r="F979" s="317">
        <v>2015</v>
      </c>
      <c r="G979" s="162" t="s">
        <v>33</v>
      </c>
      <c r="H979" s="163">
        <f t="shared" si="56"/>
        <v>43573</v>
      </c>
      <c r="I979" s="163">
        <f t="shared" si="57"/>
        <v>43818</v>
      </c>
    </row>
    <row r="980" spans="1:9" s="2" customFormat="1" x14ac:dyDescent="0.25">
      <c r="A980" s="156">
        <v>908</v>
      </c>
      <c r="B980" s="176">
        <v>6</v>
      </c>
      <c r="C980" s="177" t="s">
        <v>1447</v>
      </c>
      <c r="D980" s="178">
        <v>829115011</v>
      </c>
      <c r="E980" s="179" t="s">
        <v>1441</v>
      </c>
      <c r="F980" s="161">
        <v>2015</v>
      </c>
      <c r="G980" s="162" t="s">
        <v>33</v>
      </c>
      <c r="H980" s="163">
        <f t="shared" si="56"/>
        <v>43677</v>
      </c>
      <c r="I980" s="163">
        <f t="shared" si="57"/>
        <v>43818</v>
      </c>
    </row>
    <row r="981" spans="1:9" s="2" customFormat="1" x14ac:dyDescent="0.25">
      <c r="A981" s="156">
        <v>909</v>
      </c>
      <c r="B981" s="176">
        <v>6</v>
      </c>
      <c r="C981" s="177" t="s">
        <v>1448</v>
      </c>
      <c r="D981" s="159">
        <v>829115006</v>
      </c>
      <c r="E981" s="346" t="s">
        <v>1441</v>
      </c>
      <c r="F981" s="317">
        <v>2015</v>
      </c>
      <c r="G981" s="162" t="s">
        <v>33</v>
      </c>
      <c r="H981" s="163">
        <f t="shared" si="56"/>
        <v>43566</v>
      </c>
      <c r="I981" s="163">
        <f t="shared" si="57"/>
        <v>43818</v>
      </c>
    </row>
    <row r="982" spans="1:9" s="2" customFormat="1" x14ac:dyDescent="0.25">
      <c r="A982" s="156">
        <v>910</v>
      </c>
      <c r="B982" s="176">
        <v>8</v>
      </c>
      <c r="C982" s="177" t="s">
        <v>1449</v>
      </c>
      <c r="D982" s="159">
        <v>829115007</v>
      </c>
      <c r="E982" s="275" t="s">
        <v>1441</v>
      </c>
      <c r="F982" s="317">
        <v>2015</v>
      </c>
      <c r="G982" s="162" t="s">
        <v>33</v>
      </c>
      <c r="H982" s="163">
        <f t="shared" si="56"/>
        <v>43573</v>
      </c>
      <c r="I982" s="163">
        <f t="shared" si="57"/>
        <v>43818</v>
      </c>
    </row>
    <row r="983" spans="1:9" s="2" customFormat="1" x14ac:dyDescent="0.25">
      <c r="A983" s="156">
        <v>911</v>
      </c>
      <c r="B983" s="176">
        <v>9</v>
      </c>
      <c r="C983" s="177" t="s">
        <v>1450</v>
      </c>
      <c r="D983" s="178">
        <v>829115008</v>
      </c>
      <c r="E983" s="179" t="s">
        <v>1441</v>
      </c>
      <c r="F983" s="161">
        <v>2015</v>
      </c>
      <c r="G983" s="162" t="s">
        <v>33</v>
      </c>
      <c r="H983" s="163">
        <f t="shared" si="56"/>
        <v>43682</v>
      </c>
      <c r="I983" s="163" t="str">
        <f t="shared" si="57"/>
        <v xml:space="preserve">   </v>
      </c>
    </row>
    <row r="984" spans="1:9" s="2" customFormat="1" x14ac:dyDescent="0.25">
      <c r="A984" s="156">
        <v>912</v>
      </c>
      <c r="B984" s="176">
        <v>10</v>
      </c>
      <c r="C984" s="177" t="s">
        <v>1452</v>
      </c>
      <c r="D984" s="178">
        <v>829115009</v>
      </c>
      <c r="E984" s="179" t="s">
        <v>1441</v>
      </c>
      <c r="F984" s="161">
        <v>2015</v>
      </c>
      <c r="G984" s="162" t="s">
        <v>33</v>
      </c>
      <c r="H984" s="163">
        <f t="shared" si="56"/>
        <v>43677</v>
      </c>
      <c r="I984" s="163">
        <f t="shared" si="57"/>
        <v>44058</v>
      </c>
    </row>
    <row r="985" spans="1:9" s="2" customFormat="1" x14ac:dyDescent="0.25">
      <c r="A985" s="164">
        <v>913</v>
      </c>
      <c r="B985" s="165">
        <v>11</v>
      </c>
      <c r="C985" s="173" t="s">
        <v>1453</v>
      </c>
      <c r="D985" s="263">
        <v>829115010</v>
      </c>
      <c r="E985" s="377" t="s">
        <v>1441</v>
      </c>
      <c r="F985" s="280">
        <v>2015</v>
      </c>
      <c r="G985" s="214" t="s">
        <v>1077</v>
      </c>
      <c r="H985" s="265" t="str">
        <f t="shared" si="56"/>
        <v xml:space="preserve">   </v>
      </c>
      <c r="I985" s="265" t="str">
        <f t="shared" si="57"/>
        <v xml:space="preserve">   </v>
      </c>
    </row>
    <row r="986" spans="1:9" s="2" customFormat="1" x14ac:dyDescent="0.25">
      <c r="A986" s="216">
        <v>914</v>
      </c>
      <c r="B986" s="217">
        <v>12</v>
      </c>
      <c r="C986" s="362" t="s">
        <v>1454</v>
      </c>
      <c r="D986" s="219">
        <v>829115012</v>
      </c>
      <c r="E986" s="378" t="s">
        <v>1441</v>
      </c>
      <c r="F986" s="379">
        <v>2015</v>
      </c>
      <c r="G986" s="214" t="s">
        <v>1077</v>
      </c>
      <c r="H986" s="364" t="str">
        <f t="shared" si="56"/>
        <v xml:space="preserve">   </v>
      </c>
      <c r="I986" s="364" t="str">
        <f t="shared" si="57"/>
        <v xml:space="preserve">   </v>
      </c>
    </row>
    <row r="987" spans="1:9" s="4" customFormat="1" x14ac:dyDescent="0.25">
      <c r="A987" s="350"/>
      <c r="B987" s="350"/>
      <c r="C987" s="187"/>
      <c r="D987" s="351"/>
      <c r="E987" s="352" t="s">
        <v>61</v>
      </c>
      <c r="F987" s="353" t="s">
        <v>61</v>
      </c>
      <c r="G987" s="192" t="s">
        <v>61</v>
      </c>
      <c r="H987" s="193" t="str">
        <f t="shared" si="56"/>
        <v xml:space="preserve">   </v>
      </c>
      <c r="I987" s="193" t="str">
        <f t="shared" si="57"/>
        <v xml:space="preserve">   </v>
      </c>
    </row>
    <row r="988" spans="1:9" s="2" customFormat="1" x14ac:dyDescent="0.25">
      <c r="A988" s="194" t="s">
        <v>1455</v>
      </c>
      <c r="B988" s="375"/>
      <c r="C988" s="373"/>
      <c r="D988" s="370"/>
      <c r="E988" s="198" t="s">
        <v>1096</v>
      </c>
      <c r="F988" s="199" t="s">
        <v>1096</v>
      </c>
      <c r="G988" s="146">
        <v>3000000</v>
      </c>
      <c r="H988" s="371" t="str">
        <f t="shared" si="56"/>
        <v xml:space="preserve">   </v>
      </c>
      <c r="I988" s="371" t="str">
        <f t="shared" si="57"/>
        <v xml:space="preserve">   </v>
      </c>
    </row>
    <row r="989" spans="1:9" s="2" customFormat="1" x14ac:dyDescent="0.25">
      <c r="A989" s="380">
        <v>915</v>
      </c>
      <c r="B989" s="381">
        <v>1</v>
      </c>
      <c r="C989" s="356" t="s">
        <v>1456</v>
      </c>
      <c r="D989" s="357">
        <v>849415001</v>
      </c>
      <c r="E989" s="382" t="s">
        <v>1457</v>
      </c>
      <c r="F989" s="359">
        <v>2015</v>
      </c>
      <c r="G989" s="272" t="s">
        <v>33</v>
      </c>
      <c r="H989" s="163">
        <f t="shared" si="56"/>
        <v>43678</v>
      </c>
      <c r="I989" s="163">
        <f t="shared" si="57"/>
        <v>43750</v>
      </c>
    </row>
    <row r="990" spans="1:9" s="2" customFormat="1" x14ac:dyDescent="0.25">
      <c r="A990" s="316">
        <v>916</v>
      </c>
      <c r="B990" s="344">
        <v>2</v>
      </c>
      <c r="C990" s="177" t="s">
        <v>1458</v>
      </c>
      <c r="D990" s="178">
        <v>849415002</v>
      </c>
      <c r="E990" s="275" t="s">
        <v>1457</v>
      </c>
      <c r="F990" s="317">
        <v>2015</v>
      </c>
      <c r="G990" s="272" t="s">
        <v>33</v>
      </c>
      <c r="H990" s="163">
        <f t="shared" si="56"/>
        <v>43483</v>
      </c>
      <c r="I990" s="163">
        <f t="shared" si="57"/>
        <v>43587</v>
      </c>
    </row>
    <row r="991" spans="1:9" s="2" customFormat="1" x14ac:dyDescent="0.25">
      <c r="A991" s="156">
        <v>917</v>
      </c>
      <c r="B991" s="172">
        <v>3</v>
      </c>
      <c r="C991" s="158" t="s">
        <v>1459</v>
      </c>
      <c r="D991" s="159">
        <v>849415003</v>
      </c>
      <c r="E991" s="179" t="s">
        <v>1457</v>
      </c>
      <c r="F991" s="161">
        <v>2015</v>
      </c>
      <c r="G991" s="162" t="s">
        <v>33</v>
      </c>
      <c r="H991" s="163">
        <f t="shared" si="56"/>
        <v>43306</v>
      </c>
      <c r="I991" s="163">
        <f t="shared" si="57"/>
        <v>43440</v>
      </c>
    </row>
    <row r="992" spans="1:9" s="2" customFormat="1" x14ac:dyDescent="0.25">
      <c r="A992" s="156">
        <v>918</v>
      </c>
      <c r="B992" s="172">
        <v>4</v>
      </c>
      <c r="C992" s="158" t="s">
        <v>1460</v>
      </c>
      <c r="D992" s="159">
        <v>849415004</v>
      </c>
      <c r="E992" s="160" t="s">
        <v>1457</v>
      </c>
      <c r="F992" s="161">
        <v>2015</v>
      </c>
      <c r="G992" s="162" t="s">
        <v>33</v>
      </c>
      <c r="H992" s="163">
        <f t="shared" si="56"/>
        <v>43006</v>
      </c>
      <c r="I992" s="163">
        <f t="shared" si="57"/>
        <v>43064</v>
      </c>
    </row>
    <row r="993" spans="1:9" s="2" customFormat="1" x14ac:dyDescent="0.25">
      <c r="A993" s="180">
        <v>919</v>
      </c>
      <c r="B993" s="348">
        <v>5</v>
      </c>
      <c r="C993" s="182" t="s">
        <v>1461</v>
      </c>
      <c r="D993" s="183">
        <v>849415005</v>
      </c>
      <c r="E993" s="184" t="s">
        <v>1457</v>
      </c>
      <c r="F993" s="185">
        <v>2015</v>
      </c>
      <c r="G993" s="186" t="s">
        <v>33</v>
      </c>
      <c r="H993" s="284">
        <f t="shared" si="56"/>
        <v>43073</v>
      </c>
      <c r="I993" s="284">
        <f t="shared" si="57"/>
        <v>43218</v>
      </c>
    </row>
    <row r="994" spans="1:9" s="2" customFormat="1" x14ac:dyDescent="0.25">
      <c r="A994" s="383"/>
      <c r="B994" s="223"/>
      <c r="C994" s="384"/>
      <c r="D994" s="385"/>
      <c r="E994" s="386" t="s">
        <v>61</v>
      </c>
      <c r="F994" s="387" t="s">
        <v>61</v>
      </c>
      <c r="G994" s="192" t="s">
        <v>61</v>
      </c>
      <c r="H994" s="36" t="str">
        <f t="shared" si="56"/>
        <v xml:space="preserve">   </v>
      </c>
      <c r="I994" s="36" t="str">
        <f t="shared" si="57"/>
        <v xml:space="preserve">   </v>
      </c>
    </row>
    <row r="995" spans="1:9" s="2" customFormat="1" x14ac:dyDescent="0.25">
      <c r="A995" s="388" t="s">
        <v>1462</v>
      </c>
      <c r="B995" s="389"/>
      <c r="C995" s="390"/>
      <c r="D995" s="391"/>
      <c r="E995" s="392" t="s">
        <v>1096</v>
      </c>
      <c r="F995" s="393" t="s">
        <v>1096</v>
      </c>
      <c r="G995" s="394">
        <v>6000000</v>
      </c>
      <c r="H995" s="371" t="str">
        <f t="shared" ref="H995:H1021" si="58">IFERROR(VLOOKUP(D995,Tlus,3,FALSE),"   ")</f>
        <v xml:space="preserve">   </v>
      </c>
      <c r="I995" s="371" t="str">
        <f t="shared" ref="I995:I1021" si="59">IFERROR(VLOOKUP(D995,Wis,4,FALSE),"   ")</f>
        <v xml:space="preserve">   </v>
      </c>
    </row>
    <row r="996" spans="1:9" s="2" customFormat="1" x14ac:dyDescent="0.25">
      <c r="A996" s="148">
        <v>920</v>
      </c>
      <c r="B996" s="395">
        <v>1</v>
      </c>
      <c r="C996" s="396" t="s">
        <v>1476</v>
      </c>
      <c r="D996" s="151">
        <v>841915001</v>
      </c>
      <c r="E996" s="311" t="s">
        <v>1477</v>
      </c>
      <c r="F996" s="397">
        <v>2015</v>
      </c>
      <c r="G996" s="398" t="s">
        <v>33</v>
      </c>
      <c r="H996" s="163">
        <f t="shared" si="58"/>
        <v>43603</v>
      </c>
      <c r="I996" s="163">
        <f t="shared" si="59"/>
        <v>43705</v>
      </c>
    </row>
    <row r="997" spans="1:9" s="2" customFormat="1" x14ac:dyDescent="0.25">
      <c r="A997" s="234">
        <v>921</v>
      </c>
      <c r="B997" s="399">
        <v>2</v>
      </c>
      <c r="C997" s="313" t="s">
        <v>1478</v>
      </c>
      <c r="D997" s="314">
        <v>841915002</v>
      </c>
      <c r="E997" s="237" t="s">
        <v>1477</v>
      </c>
      <c r="F997" s="315">
        <v>2015</v>
      </c>
      <c r="G997" s="214" t="s">
        <v>1077</v>
      </c>
      <c r="H997" s="239" t="str">
        <f t="shared" si="58"/>
        <v xml:space="preserve">   </v>
      </c>
      <c r="I997" s="239" t="str">
        <f t="shared" si="59"/>
        <v xml:space="preserve">   </v>
      </c>
    </row>
    <row r="998" spans="1:9" s="2" customFormat="1" x14ac:dyDescent="0.25">
      <c r="A998" s="164">
        <v>922</v>
      </c>
      <c r="B998" s="400">
        <v>3</v>
      </c>
      <c r="C998" s="401" t="s">
        <v>1479</v>
      </c>
      <c r="D998" s="174">
        <v>841915003</v>
      </c>
      <c r="E998" s="402" t="s">
        <v>1477</v>
      </c>
      <c r="F998" s="403">
        <v>2015</v>
      </c>
      <c r="G998" s="404" t="s">
        <v>28</v>
      </c>
      <c r="H998" s="265" t="str">
        <f t="shared" si="58"/>
        <v xml:space="preserve">   </v>
      </c>
      <c r="I998" s="265" t="str">
        <f t="shared" si="59"/>
        <v xml:space="preserve">   </v>
      </c>
    </row>
    <row r="999" spans="1:9" s="2" customFormat="1" x14ac:dyDescent="0.25">
      <c r="A999" s="164">
        <v>923</v>
      </c>
      <c r="B999" s="400">
        <v>4</v>
      </c>
      <c r="C999" s="401" t="s">
        <v>1480</v>
      </c>
      <c r="D999" s="405">
        <v>841915004</v>
      </c>
      <c r="E999" s="402" t="s">
        <v>1477</v>
      </c>
      <c r="F999" s="403">
        <v>2015</v>
      </c>
      <c r="G999" s="360" t="s">
        <v>1483</v>
      </c>
      <c r="H999" s="265" t="str">
        <f t="shared" si="58"/>
        <v xml:space="preserve">   </v>
      </c>
      <c r="I999" s="265" t="str">
        <f t="shared" si="59"/>
        <v xml:space="preserve">   </v>
      </c>
    </row>
    <row r="1000" spans="1:9" s="2" customFormat="1" x14ac:dyDescent="0.25">
      <c r="A1000" s="156">
        <v>924</v>
      </c>
      <c r="B1000" s="406">
        <v>5</v>
      </c>
      <c r="C1000" s="211" t="s">
        <v>1481</v>
      </c>
      <c r="D1000" s="178">
        <v>841915005</v>
      </c>
      <c r="E1000" s="179" t="s">
        <v>1477</v>
      </c>
      <c r="F1000" s="213">
        <v>2015</v>
      </c>
      <c r="G1000" s="398" t="s">
        <v>33</v>
      </c>
      <c r="H1000" s="163">
        <f t="shared" si="58"/>
        <v>43602</v>
      </c>
      <c r="I1000" s="163">
        <f t="shared" si="59"/>
        <v>43750</v>
      </c>
    </row>
    <row r="1001" spans="1:9" s="2" customFormat="1" x14ac:dyDescent="0.25">
      <c r="A1001" s="164">
        <v>925</v>
      </c>
      <c r="B1001" s="400">
        <v>6</v>
      </c>
      <c r="C1001" s="401" t="s">
        <v>1482</v>
      </c>
      <c r="D1001" s="174">
        <v>841915006</v>
      </c>
      <c r="E1001" s="407" t="s">
        <v>1477</v>
      </c>
      <c r="F1001" s="403">
        <v>2015</v>
      </c>
      <c r="G1001" s="360" t="s">
        <v>1483</v>
      </c>
      <c r="H1001" s="408" t="str">
        <f t="shared" si="58"/>
        <v xml:space="preserve">   </v>
      </c>
      <c r="I1001" s="408" t="str">
        <f t="shared" si="59"/>
        <v xml:space="preserve">   </v>
      </c>
    </row>
    <row r="1002" spans="1:9" s="2" customFormat="1" x14ac:dyDescent="0.25">
      <c r="A1002" s="156">
        <v>926</v>
      </c>
      <c r="B1002" s="406">
        <v>7</v>
      </c>
      <c r="C1002" s="211" t="s">
        <v>1484</v>
      </c>
      <c r="D1002" s="178">
        <v>841915007</v>
      </c>
      <c r="E1002" s="179" t="s">
        <v>1477</v>
      </c>
      <c r="F1002" s="213">
        <v>2015</v>
      </c>
      <c r="G1002" s="272" t="s">
        <v>33</v>
      </c>
      <c r="H1002" s="163">
        <f t="shared" si="58"/>
        <v>43734</v>
      </c>
      <c r="I1002" s="163">
        <f t="shared" si="59"/>
        <v>43818</v>
      </c>
    </row>
    <row r="1003" spans="1:9" s="2" customFormat="1" x14ac:dyDescent="0.25">
      <c r="A1003" s="164">
        <v>927</v>
      </c>
      <c r="B1003" s="400">
        <v>8</v>
      </c>
      <c r="C1003" s="401" t="s">
        <v>1485</v>
      </c>
      <c r="D1003" s="174">
        <v>841915008</v>
      </c>
      <c r="E1003" s="407" t="s">
        <v>1477</v>
      </c>
      <c r="F1003" s="403">
        <v>2015</v>
      </c>
      <c r="G1003" s="404" t="s">
        <v>28</v>
      </c>
      <c r="H1003" s="408" t="str">
        <f t="shared" si="58"/>
        <v xml:space="preserve">   </v>
      </c>
      <c r="I1003" s="408" t="str">
        <f t="shared" si="59"/>
        <v xml:space="preserve">   </v>
      </c>
    </row>
    <row r="1004" spans="1:9" s="2" customFormat="1" x14ac:dyDescent="0.25">
      <c r="A1004" s="156">
        <v>928</v>
      </c>
      <c r="B1004" s="406">
        <v>9</v>
      </c>
      <c r="C1004" s="211" t="s">
        <v>1486</v>
      </c>
      <c r="D1004" s="174">
        <v>841915009</v>
      </c>
      <c r="E1004" s="407" t="s">
        <v>1477</v>
      </c>
      <c r="F1004" s="403">
        <v>2015</v>
      </c>
      <c r="G1004" s="398" t="s">
        <v>33</v>
      </c>
      <c r="H1004" s="284">
        <f t="shared" si="58"/>
        <v>43543</v>
      </c>
      <c r="I1004" s="284">
        <f t="shared" si="59"/>
        <v>43587</v>
      </c>
    </row>
    <row r="1005" spans="1:9" s="2" customFormat="1" x14ac:dyDescent="0.25">
      <c r="A1005" s="234">
        <v>929</v>
      </c>
      <c r="B1005" s="399">
        <v>10</v>
      </c>
      <c r="C1005" s="313" t="s">
        <v>1487</v>
      </c>
      <c r="D1005" s="236">
        <v>841915010</v>
      </c>
      <c r="E1005" s="237" t="s">
        <v>1477</v>
      </c>
      <c r="F1005" s="315">
        <v>2015</v>
      </c>
      <c r="G1005" s="214" t="s">
        <v>1077</v>
      </c>
      <c r="H1005" s="239" t="str">
        <f t="shared" si="58"/>
        <v xml:space="preserve">   </v>
      </c>
      <c r="I1005" s="239" t="str">
        <f t="shared" si="59"/>
        <v xml:space="preserve">   </v>
      </c>
    </row>
    <row r="1006" spans="1:9" s="2" customFormat="1" x14ac:dyDescent="0.25">
      <c r="A1006" s="164">
        <v>930</v>
      </c>
      <c r="B1006" s="400">
        <v>11</v>
      </c>
      <c r="C1006" s="401" t="s">
        <v>1488</v>
      </c>
      <c r="D1006" s="263">
        <v>841915011</v>
      </c>
      <c r="E1006" s="402" t="s">
        <v>1477</v>
      </c>
      <c r="F1006" s="403">
        <v>2015</v>
      </c>
      <c r="G1006" s="360" t="s">
        <v>1483</v>
      </c>
      <c r="H1006" s="265">
        <f t="shared" si="58"/>
        <v>44062</v>
      </c>
      <c r="I1006" s="265">
        <f t="shared" si="59"/>
        <v>44186</v>
      </c>
    </row>
    <row r="1007" spans="1:9" s="2" customFormat="1" x14ac:dyDescent="0.25">
      <c r="A1007" s="164">
        <v>931</v>
      </c>
      <c r="B1007" s="400">
        <v>12</v>
      </c>
      <c r="C1007" s="401" t="s">
        <v>1489</v>
      </c>
      <c r="D1007" s="174">
        <v>841915013</v>
      </c>
      <c r="E1007" s="402" t="s">
        <v>1477</v>
      </c>
      <c r="F1007" s="403">
        <v>2015</v>
      </c>
      <c r="G1007" s="404" t="s">
        <v>28</v>
      </c>
      <c r="H1007" s="265">
        <f t="shared" si="58"/>
        <v>43978</v>
      </c>
      <c r="I1007" s="265">
        <f t="shared" si="59"/>
        <v>44058</v>
      </c>
    </row>
    <row r="1008" spans="1:9" s="2" customFormat="1" x14ac:dyDescent="0.25">
      <c r="A1008" s="164">
        <v>932</v>
      </c>
      <c r="B1008" s="400">
        <v>13</v>
      </c>
      <c r="C1008" s="401" t="s">
        <v>1490</v>
      </c>
      <c r="D1008" s="174">
        <v>841915014</v>
      </c>
      <c r="E1008" s="402" t="s">
        <v>1477</v>
      </c>
      <c r="F1008" s="403">
        <v>2015</v>
      </c>
      <c r="G1008" s="360" t="s">
        <v>1483</v>
      </c>
      <c r="H1008" s="265" t="str">
        <f t="shared" si="58"/>
        <v xml:space="preserve">   </v>
      </c>
      <c r="I1008" s="265" t="str">
        <f t="shared" si="59"/>
        <v xml:space="preserve">   </v>
      </c>
    </row>
    <row r="1009" spans="1:9" s="2" customFormat="1" x14ac:dyDescent="0.25">
      <c r="A1009" s="164">
        <v>933</v>
      </c>
      <c r="B1009" s="400">
        <v>14</v>
      </c>
      <c r="C1009" s="401" t="s">
        <v>1491</v>
      </c>
      <c r="D1009" s="263">
        <v>841915015</v>
      </c>
      <c r="E1009" s="402" t="s">
        <v>1477</v>
      </c>
      <c r="F1009" s="403">
        <v>2015</v>
      </c>
      <c r="G1009" s="404" t="s">
        <v>28</v>
      </c>
      <c r="H1009" s="265" t="str">
        <f t="shared" si="58"/>
        <v xml:space="preserve">   </v>
      </c>
      <c r="I1009" s="265" t="str">
        <f t="shared" si="59"/>
        <v xml:space="preserve">   </v>
      </c>
    </row>
    <row r="1010" spans="1:9" s="2" customFormat="1" x14ac:dyDescent="0.25">
      <c r="A1010" s="164">
        <v>934</v>
      </c>
      <c r="B1010" s="400">
        <v>15</v>
      </c>
      <c r="C1010" s="401" t="s">
        <v>1492</v>
      </c>
      <c r="D1010" s="174">
        <v>841915016</v>
      </c>
      <c r="E1010" s="402" t="s">
        <v>1477</v>
      </c>
      <c r="F1010" s="403">
        <v>2015</v>
      </c>
      <c r="G1010" s="360" t="s">
        <v>1483</v>
      </c>
      <c r="H1010" s="265">
        <f t="shared" si="58"/>
        <v>43956</v>
      </c>
      <c r="I1010" s="265">
        <f t="shared" si="59"/>
        <v>44058</v>
      </c>
    </row>
    <row r="1011" spans="1:9" s="2" customFormat="1" x14ac:dyDescent="0.25">
      <c r="A1011" s="164">
        <v>935</v>
      </c>
      <c r="B1011" s="400">
        <v>16</v>
      </c>
      <c r="C1011" s="401" t="s">
        <v>1493</v>
      </c>
      <c r="D1011" s="174">
        <v>841915018</v>
      </c>
      <c r="E1011" s="402" t="s">
        <v>1477</v>
      </c>
      <c r="F1011" s="403">
        <v>2015</v>
      </c>
      <c r="G1011" s="404" t="s">
        <v>28</v>
      </c>
      <c r="H1011" s="265" t="str">
        <f t="shared" si="58"/>
        <v xml:space="preserve">   </v>
      </c>
      <c r="I1011" s="265" t="str">
        <f t="shared" si="59"/>
        <v xml:space="preserve">   </v>
      </c>
    </row>
    <row r="1012" spans="1:9" s="2" customFormat="1" x14ac:dyDescent="0.25">
      <c r="A1012" s="164">
        <v>936</v>
      </c>
      <c r="B1012" s="400">
        <v>17</v>
      </c>
      <c r="C1012" s="401" t="s">
        <v>1494</v>
      </c>
      <c r="D1012" s="174">
        <v>841915019</v>
      </c>
      <c r="E1012" s="402" t="s">
        <v>1477</v>
      </c>
      <c r="F1012" s="403">
        <v>2015</v>
      </c>
      <c r="G1012" s="404" t="s">
        <v>28</v>
      </c>
      <c r="H1012" s="265" t="str">
        <f t="shared" si="58"/>
        <v xml:space="preserve">   </v>
      </c>
      <c r="I1012" s="265" t="str">
        <f t="shared" si="59"/>
        <v xml:space="preserve">   </v>
      </c>
    </row>
    <row r="1013" spans="1:9" s="2" customFormat="1" x14ac:dyDescent="0.25">
      <c r="A1013" s="164">
        <v>937</v>
      </c>
      <c r="B1013" s="400">
        <v>18</v>
      </c>
      <c r="C1013" s="401" t="s">
        <v>1495</v>
      </c>
      <c r="D1013" s="174">
        <v>841915020</v>
      </c>
      <c r="E1013" s="402" t="s">
        <v>1477</v>
      </c>
      <c r="F1013" s="403">
        <v>2015</v>
      </c>
      <c r="G1013" s="360" t="s">
        <v>1483</v>
      </c>
      <c r="H1013" s="265" t="str">
        <f t="shared" si="58"/>
        <v xml:space="preserve">   </v>
      </c>
      <c r="I1013" s="265" t="str">
        <f t="shared" si="59"/>
        <v xml:space="preserve">   </v>
      </c>
    </row>
    <row r="1014" spans="1:9" s="2" customFormat="1" x14ac:dyDescent="0.25">
      <c r="A1014" s="164">
        <v>938</v>
      </c>
      <c r="B1014" s="400">
        <v>19</v>
      </c>
      <c r="C1014" s="401" t="s">
        <v>1496</v>
      </c>
      <c r="D1014" s="174">
        <v>841915021</v>
      </c>
      <c r="E1014" s="402" t="s">
        <v>1477</v>
      </c>
      <c r="F1014" s="403">
        <v>2015</v>
      </c>
      <c r="G1014" s="404" t="s">
        <v>28</v>
      </c>
      <c r="H1014" s="265" t="str">
        <f t="shared" si="58"/>
        <v xml:space="preserve">   </v>
      </c>
      <c r="I1014" s="265" t="str">
        <f t="shared" si="59"/>
        <v xml:space="preserve">   </v>
      </c>
    </row>
    <row r="1015" spans="1:9" s="2" customFormat="1" x14ac:dyDescent="0.25">
      <c r="A1015" s="164">
        <v>939</v>
      </c>
      <c r="B1015" s="400">
        <v>20</v>
      </c>
      <c r="C1015" s="401" t="s">
        <v>1497</v>
      </c>
      <c r="D1015" s="174">
        <v>841915022</v>
      </c>
      <c r="E1015" s="402" t="s">
        <v>1477</v>
      </c>
      <c r="F1015" s="403">
        <v>2015</v>
      </c>
      <c r="G1015" s="404" t="s">
        <v>28</v>
      </c>
      <c r="H1015" s="265" t="str">
        <f t="shared" si="58"/>
        <v xml:space="preserve">   </v>
      </c>
      <c r="I1015" s="265" t="str">
        <f t="shared" si="59"/>
        <v xml:space="preserve">   </v>
      </c>
    </row>
    <row r="1016" spans="1:9" s="2" customFormat="1" x14ac:dyDescent="0.25">
      <c r="A1016" s="164">
        <v>940</v>
      </c>
      <c r="B1016" s="400">
        <v>21</v>
      </c>
      <c r="C1016" s="401" t="s">
        <v>1498</v>
      </c>
      <c r="D1016" s="174">
        <v>841915023</v>
      </c>
      <c r="E1016" s="402" t="s">
        <v>1477</v>
      </c>
      <c r="F1016" s="403">
        <v>2015</v>
      </c>
      <c r="G1016" s="404" t="s">
        <v>28</v>
      </c>
      <c r="H1016" s="265" t="str">
        <f t="shared" si="58"/>
        <v xml:space="preserve">   </v>
      </c>
      <c r="I1016" s="265" t="str">
        <f t="shared" si="59"/>
        <v xml:space="preserve">   </v>
      </c>
    </row>
    <row r="1017" spans="1:9" s="2" customFormat="1" x14ac:dyDescent="0.25">
      <c r="A1017" s="234">
        <v>941</v>
      </c>
      <c r="B1017" s="399">
        <v>22</v>
      </c>
      <c r="C1017" s="313" t="s">
        <v>1499</v>
      </c>
      <c r="D1017" s="236">
        <v>841915024</v>
      </c>
      <c r="E1017" s="237" t="s">
        <v>1477</v>
      </c>
      <c r="F1017" s="315">
        <v>2015</v>
      </c>
      <c r="G1017" s="214" t="s">
        <v>1077</v>
      </c>
      <c r="H1017" s="239" t="str">
        <f t="shared" si="58"/>
        <v xml:space="preserve">   </v>
      </c>
      <c r="I1017" s="239" t="str">
        <f t="shared" si="59"/>
        <v xml:space="preserve">   </v>
      </c>
    </row>
    <row r="1018" spans="1:9" s="2" customFormat="1" x14ac:dyDescent="0.25">
      <c r="A1018" s="164">
        <v>942</v>
      </c>
      <c r="B1018" s="400">
        <v>23</v>
      </c>
      <c r="C1018" s="401" t="s">
        <v>1500</v>
      </c>
      <c r="D1018" s="174">
        <v>841915026</v>
      </c>
      <c r="E1018" s="402" t="s">
        <v>1477</v>
      </c>
      <c r="F1018" s="403">
        <v>2015</v>
      </c>
      <c r="G1018" s="404" t="s">
        <v>28</v>
      </c>
      <c r="H1018" s="265" t="str">
        <f t="shared" si="58"/>
        <v xml:space="preserve">   </v>
      </c>
      <c r="I1018" s="265" t="str">
        <f t="shared" si="59"/>
        <v xml:space="preserve">   </v>
      </c>
    </row>
    <row r="1019" spans="1:9" s="2" customFormat="1" x14ac:dyDescent="0.25">
      <c r="A1019" s="164">
        <v>943</v>
      </c>
      <c r="B1019" s="400">
        <v>24</v>
      </c>
      <c r="C1019" s="401" t="s">
        <v>1501</v>
      </c>
      <c r="D1019" s="174">
        <v>841915028</v>
      </c>
      <c r="E1019" s="402" t="s">
        <v>1477</v>
      </c>
      <c r="F1019" s="403">
        <v>2015</v>
      </c>
      <c r="G1019" s="404" t="s">
        <v>28</v>
      </c>
      <c r="H1019" s="265" t="str">
        <f t="shared" si="58"/>
        <v xml:space="preserve">   </v>
      </c>
      <c r="I1019" s="265" t="str">
        <f t="shared" si="59"/>
        <v xml:space="preserve">   </v>
      </c>
    </row>
    <row r="1020" spans="1:9" s="2" customFormat="1" x14ac:dyDescent="0.25">
      <c r="A1020" s="164">
        <v>944</v>
      </c>
      <c r="B1020" s="400">
        <v>25</v>
      </c>
      <c r="C1020" s="401" t="s">
        <v>1502</v>
      </c>
      <c r="D1020" s="174">
        <v>841915029</v>
      </c>
      <c r="E1020" s="402" t="s">
        <v>1477</v>
      </c>
      <c r="F1020" s="403">
        <v>2015</v>
      </c>
      <c r="G1020" s="404" t="s">
        <v>28</v>
      </c>
      <c r="H1020" s="265" t="str">
        <f t="shared" si="58"/>
        <v xml:space="preserve">   </v>
      </c>
      <c r="I1020" s="265" t="str">
        <f t="shared" si="59"/>
        <v xml:space="preserve">   </v>
      </c>
    </row>
    <row r="1021" spans="1:9" s="2" customFormat="1" x14ac:dyDescent="0.25">
      <c r="A1021" s="216">
        <v>945</v>
      </c>
      <c r="B1021" s="409">
        <v>26</v>
      </c>
      <c r="C1021" s="410" t="s">
        <v>1503</v>
      </c>
      <c r="D1021" s="219">
        <v>841915030</v>
      </c>
      <c r="E1021" s="411" t="s">
        <v>1477</v>
      </c>
      <c r="F1021" s="412">
        <v>2015</v>
      </c>
      <c r="G1021" s="413" t="s">
        <v>1483</v>
      </c>
      <c r="H1021" s="364">
        <f t="shared" si="58"/>
        <v>44056</v>
      </c>
      <c r="I1021" s="364" t="str">
        <f t="shared" si="59"/>
        <v xml:space="preserve">   </v>
      </c>
    </row>
    <row r="1022" spans="1:9" s="2" customFormat="1" x14ac:dyDescent="0.25">
      <c r="A1022" s="414"/>
      <c r="B1022" s="414"/>
      <c r="C1022" s="414"/>
      <c r="D1022" s="414"/>
      <c r="E1022" s="414"/>
      <c r="F1022" s="414" t="s">
        <v>61</v>
      </c>
      <c r="G1022" s="414"/>
      <c r="H1022" s="414"/>
      <c r="I1022" s="414"/>
    </row>
    <row r="1023" spans="1:9" s="2" customFormat="1" x14ac:dyDescent="0.25">
      <c r="A1023" s="415" t="s">
        <v>1504</v>
      </c>
      <c r="B1023" s="388"/>
      <c r="C1023" s="416"/>
      <c r="D1023" s="417"/>
      <c r="E1023" s="418" t="s">
        <v>1096</v>
      </c>
      <c r="F1023" s="419" t="s">
        <v>1096</v>
      </c>
      <c r="G1023" s="420">
        <v>6000000</v>
      </c>
      <c r="H1023" s="421" t="str">
        <f t="shared" ref="H1023:H1086" si="60">IFERROR(VLOOKUP(D1023,Tlus,3,FALSE),"   ")</f>
        <v xml:space="preserve">   </v>
      </c>
      <c r="I1023" s="421" t="str">
        <f t="shared" ref="I1023:I1086" si="61">IFERROR(VLOOKUP(D1023,Wis,4,FALSE),"   ")</f>
        <v xml:space="preserve">   </v>
      </c>
    </row>
    <row r="1024" spans="1:9" s="2" customFormat="1" x14ac:dyDescent="0.25">
      <c r="A1024" s="322">
        <v>946</v>
      </c>
      <c r="B1024" s="422">
        <v>27</v>
      </c>
      <c r="C1024" s="423" t="s">
        <v>1505</v>
      </c>
      <c r="D1024" s="424">
        <v>841915031</v>
      </c>
      <c r="E1024" s="425" t="s">
        <v>1506</v>
      </c>
      <c r="F1024" s="426">
        <v>2015</v>
      </c>
      <c r="G1024" s="398" t="s">
        <v>33</v>
      </c>
      <c r="H1024" s="163">
        <f t="shared" si="60"/>
        <v>43516</v>
      </c>
      <c r="I1024" s="163">
        <f t="shared" si="61"/>
        <v>43587</v>
      </c>
    </row>
    <row r="1025" spans="1:9" s="2" customFormat="1" x14ac:dyDescent="0.25">
      <c r="A1025" s="164">
        <v>947</v>
      </c>
      <c r="B1025" s="427">
        <v>28</v>
      </c>
      <c r="C1025" s="428" t="s">
        <v>1508</v>
      </c>
      <c r="D1025" s="174">
        <v>841915038</v>
      </c>
      <c r="E1025" s="402" t="s">
        <v>1506</v>
      </c>
      <c r="F1025" s="429">
        <v>2015</v>
      </c>
      <c r="G1025" s="360" t="s">
        <v>1483</v>
      </c>
      <c r="H1025" s="265">
        <f t="shared" si="60"/>
        <v>43942</v>
      </c>
      <c r="I1025" s="265">
        <f t="shared" si="61"/>
        <v>44058</v>
      </c>
    </row>
    <row r="1026" spans="1:9" s="2" customFormat="1" x14ac:dyDescent="0.25">
      <c r="A1026" s="164">
        <v>948</v>
      </c>
      <c r="B1026" s="427">
        <v>29</v>
      </c>
      <c r="C1026" s="430" t="s">
        <v>1509</v>
      </c>
      <c r="D1026" s="174">
        <v>841915032</v>
      </c>
      <c r="E1026" s="402" t="s">
        <v>1506</v>
      </c>
      <c r="F1026" s="429">
        <v>2015</v>
      </c>
      <c r="G1026" s="398" t="s">
        <v>33</v>
      </c>
      <c r="H1026" s="163">
        <f t="shared" si="60"/>
        <v>43902</v>
      </c>
      <c r="I1026" s="265">
        <f t="shared" si="61"/>
        <v>44058</v>
      </c>
    </row>
    <row r="1027" spans="1:9" s="2" customFormat="1" x14ac:dyDescent="0.25">
      <c r="A1027" s="164">
        <v>949</v>
      </c>
      <c r="B1027" s="427">
        <v>30</v>
      </c>
      <c r="C1027" s="211" t="s">
        <v>1512</v>
      </c>
      <c r="D1027" s="174">
        <v>841915033</v>
      </c>
      <c r="E1027" s="402" t="s">
        <v>1506</v>
      </c>
      <c r="F1027" s="403">
        <v>2015</v>
      </c>
      <c r="G1027" s="398" t="s">
        <v>33</v>
      </c>
      <c r="H1027" s="163">
        <f t="shared" si="60"/>
        <v>43903</v>
      </c>
      <c r="I1027" s="265" t="str">
        <f t="shared" si="61"/>
        <v xml:space="preserve">   </v>
      </c>
    </row>
    <row r="1028" spans="1:9" s="2" customFormat="1" x14ac:dyDescent="0.25">
      <c r="A1028" s="164">
        <v>950</v>
      </c>
      <c r="B1028" s="427">
        <v>31</v>
      </c>
      <c r="C1028" s="401" t="s">
        <v>1513</v>
      </c>
      <c r="D1028" s="174">
        <v>841915034</v>
      </c>
      <c r="E1028" s="402" t="s">
        <v>1506</v>
      </c>
      <c r="F1028" s="403">
        <v>2015</v>
      </c>
      <c r="G1028" s="360" t="s">
        <v>1483</v>
      </c>
      <c r="H1028" s="265">
        <f t="shared" si="60"/>
        <v>44118</v>
      </c>
      <c r="I1028" s="265" t="str">
        <f t="shared" si="61"/>
        <v xml:space="preserve">   </v>
      </c>
    </row>
    <row r="1029" spans="1:9" s="2" customFormat="1" x14ac:dyDescent="0.25">
      <c r="A1029" s="164">
        <v>951</v>
      </c>
      <c r="B1029" s="427">
        <v>32</v>
      </c>
      <c r="C1029" s="211" t="s">
        <v>1514</v>
      </c>
      <c r="D1029" s="174">
        <v>841915035</v>
      </c>
      <c r="E1029" s="402" t="s">
        <v>1506</v>
      </c>
      <c r="F1029" s="403">
        <v>2015</v>
      </c>
      <c r="G1029" s="272" t="s">
        <v>33</v>
      </c>
      <c r="H1029" s="163">
        <f t="shared" si="60"/>
        <v>43516</v>
      </c>
      <c r="I1029" s="163">
        <f t="shared" si="61"/>
        <v>43587</v>
      </c>
    </row>
    <row r="1030" spans="1:9" s="2" customFormat="1" x14ac:dyDescent="0.25">
      <c r="A1030" s="164">
        <v>952</v>
      </c>
      <c r="B1030" s="427">
        <v>33</v>
      </c>
      <c r="C1030" s="401" t="s">
        <v>1515</v>
      </c>
      <c r="D1030" s="174">
        <v>841915036</v>
      </c>
      <c r="E1030" s="402" t="s">
        <v>1506</v>
      </c>
      <c r="F1030" s="403">
        <v>2015</v>
      </c>
      <c r="G1030" s="360" t="s">
        <v>1483</v>
      </c>
      <c r="H1030" s="265" t="str">
        <f t="shared" si="60"/>
        <v xml:space="preserve">   </v>
      </c>
      <c r="I1030" s="265" t="str">
        <f t="shared" si="61"/>
        <v xml:space="preserve">   </v>
      </c>
    </row>
    <row r="1031" spans="1:9" s="2" customFormat="1" x14ac:dyDescent="0.25">
      <c r="A1031" s="164">
        <v>953</v>
      </c>
      <c r="B1031" s="427">
        <v>34</v>
      </c>
      <c r="C1031" s="401" t="s">
        <v>1516</v>
      </c>
      <c r="D1031" s="174">
        <v>841915037</v>
      </c>
      <c r="E1031" s="402" t="s">
        <v>1506</v>
      </c>
      <c r="F1031" s="403">
        <v>2015</v>
      </c>
      <c r="G1031" s="360" t="s">
        <v>1483</v>
      </c>
      <c r="H1031" s="265">
        <f t="shared" si="60"/>
        <v>43980</v>
      </c>
      <c r="I1031" s="265">
        <f t="shared" si="61"/>
        <v>44058</v>
      </c>
    </row>
    <row r="1032" spans="1:9" s="2" customFormat="1" x14ac:dyDescent="0.25">
      <c r="A1032" s="164">
        <v>954</v>
      </c>
      <c r="B1032" s="427">
        <v>35</v>
      </c>
      <c r="C1032" s="401" t="s">
        <v>1517</v>
      </c>
      <c r="D1032" s="174">
        <v>841915039</v>
      </c>
      <c r="E1032" s="402" t="s">
        <v>1506</v>
      </c>
      <c r="F1032" s="403">
        <v>2015</v>
      </c>
      <c r="G1032" s="404" t="s">
        <v>28</v>
      </c>
      <c r="H1032" s="265" t="str">
        <f t="shared" si="60"/>
        <v xml:space="preserve">   </v>
      </c>
      <c r="I1032" s="265" t="str">
        <f t="shared" si="61"/>
        <v xml:space="preserve">   </v>
      </c>
    </row>
    <row r="1033" spans="1:9" s="2" customFormat="1" x14ac:dyDescent="0.25">
      <c r="A1033" s="164">
        <v>955</v>
      </c>
      <c r="B1033" s="427">
        <v>36</v>
      </c>
      <c r="C1033" s="211" t="s">
        <v>1518</v>
      </c>
      <c r="D1033" s="174">
        <v>841915040</v>
      </c>
      <c r="E1033" s="402" t="s">
        <v>1506</v>
      </c>
      <c r="F1033" s="403">
        <v>2015</v>
      </c>
      <c r="G1033" s="272" t="s">
        <v>33</v>
      </c>
      <c r="H1033" s="163">
        <f t="shared" si="60"/>
        <v>43602</v>
      </c>
      <c r="I1033" s="163">
        <f t="shared" si="61"/>
        <v>43750</v>
      </c>
    </row>
    <row r="1034" spans="1:9" s="2" customFormat="1" x14ac:dyDescent="0.25">
      <c r="A1034" s="164">
        <v>956</v>
      </c>
      <c r="B1034" s="427">
        <v>37</v>
      </c>
      <c r="C1034" s="401" t="s">
        <v>1519</v>
      </c>
      <c r="D1034" s="174">
        <v>841915027</v>
      </c>
      <c r="E1034" s="402" t="s">
        <v>1506</v>
      </c>
      <c r="F1034" s="403">
        <v>2015</v>
      </c>
      <c r="G1034" s="360" t="s">
        <v>1483</v>
      </c>
      <c r="H1034" s="265" t="str">
        <f t="shared" si="60"/>
        <v xml:space="preserve">   </v>
      </c>
      <c r="I1034" s="265" t="str">
        <f t="shared" si="61"/>
        <v xml:space="preserve">   </v>
      </c>
    </row>
    <row r="1035" spans="1:9" s="2" customFormat="1" x14ac:dyDescent="0.25">
      <c r="A1035" s="164">
        <v>957</v>
      </c>
      <c r="B1035" s="427">
        <v>38</v>
      </c>
      <c r="C1035" s="401" t="s">
        <v>1520</v>
      </c>
      <c r="D1035" s="263">
        <v>841915025</v>
      </c>
      <c r="E1035" s="402" t="s">
        <v>1506</v>
      </c>
      <c r="F1035" s="403">
        <v>2015</v>
      </c>
      <c r="G1035" s="360" t="s">
        <v>1483</v>
      </c>
      <c r="H1035" s="265">
        <f t="shared" si="60"/>
        <v>44042</v>
      </c>
      <c r="I1035" s="265" t="str">
        <f t="shared" si="61"/>
        <v xml:space="preserve">   </v>
      </c>
    </row>
    <row r="1036" spans="1:9" s="2" customFormat="1" x14ac:dyDescent="0.25">
      <c r="A1036" s="216">
        <v>958</v>
      </c>
      <c r="B1036" s="431">
        <v>39</v>
      </c>
      <c r="C1036" s="432" t="s">
        <v>1522</v>
      </c>
      <c r="D1036" s="219">
        <v>841915012</v>
      </c>
      <c r="E1036" s="411" t="s">
        <v>1506</v>
      </c>
      <c r="F1036" s="433">
        <v>2015</v>
      </c>
      <c r="G1036" s="404" t="s">
        <v>28</v>
      </c>
      <c r="H1036" s="364" t="str">
        <f t="shared" si="60"/>
        <v xml:space="preserve">   </v>
      </c>
      <c r="I1036" s="364" t="str">
        <f t="shared" si="61"/>
        <v xml:space="preserve">   </v>
      </c>
    </row>
    <row r="1037" spans="1:9" s="2" customFormat="1" x14ac:dyDescent="0.25">
      <c r="A1037" s="223"/>
      <c r="B1037" s="434"/>
      <c r="C1037" s="435"/>
      <c r="D1037" s="436"/>
      <c r="E1037" s="437" t="s">
        <v>61</v>
      </c>
      <c r="F1037" s="438" t="s">
        <v>61</v>
      </c>
      <c r="G1037" s="192" t="s">
        <v>61</v>
      </c>
      <c r="H1037" s="439" t="str">
        <f t="shared" si="60"/>
        <v xml:space="preserve">   </v>
      </c>
      <c r="I1037" s="439" t="str">
        <f t="shared" si="61"/>
        <v xml:space="preserve">   </v>
      </c>
    </row>
    <row r="1038" spans="1:9" s="2" customFormat="1" x14ac:dyDescent="0.25">
      <c r="A1038" s="440" t="s">
        <v>1523</v>
      </c>
      <c r="B1038" s="434"/>
      <c r="C1038" s="435"/>
      <c r="D1038" s="436"/>
      <c r="E1038" s="437" t="s">
        <v>61</v>
      </c>
      <c r="F1038" s="438" t="s">
        <v>61</v>
      </c>
      <c r="G1038" s="192" t="s">
        <v>61</v>
      </c>
      <c r="H1038" s="36" t="str">
        <f t="shared" si="60"/>
        <v xml:space="preserve">   </v>
      </c>
      <c r="I1038" s="36" t="str">
        <f t="shared" si="61"/>
        <v xml:space="preserve">   </v>
      </c>
    </row>
    <row r="1039" spans="1:9" s="2" customFormat="1" x14ac:dyDescent="0.25">
      <c r="A1039" s="365" t="s">
        <v>1524</v>
      </c>
      <c r="B1039" s="365"/>
      <c r="C1039" s="365"/>
      <c r="D1039" s="366"/>
      <c r="E1039" s="198" t="s">
        <v>1096</v>
      </c>
      <c r="F1039" s="199" t="s">
        <v>1096</v>
      </c>
      <c r="G1039" s="146">
        <v>3000000</v>
      </c>
      <c r="H1039" s="147" t="str">
        <f t="shared" si="60"/>
        <v xml:space="preserve">   </v>
      </c>
      <c r="I1039" s="147" t="str">
        <f t="shared" si="61"/>
        <v xml:space="preserve">   </v>
      </c>
    </row>
    <row r="1040" spans="1:9" s="2" customFormat="1" x14ac:dyDescent="0.25">
      <c r="A1040" s="148">
        <v>959</v>
      </c>
      <c r="B1040" s="367">
        <v>1</v>
      </c>
      <c r="C1040" s="150" t="s">
        <v>1525</v>
      </c>
      <c r="D1040" s="151">
        <v>849216001</v>
      </c>
      <c r="E1040" s="311" t="s">
        <v>1110</v>
      </c>
      <c r="F1040" s="153">
        <v>2016</v>
      </c>
      <c r="G1040" s="162" t="s">
        <v>33</v>
      </c>
      <c r="H1040" s="163">
        <f t="shared" si="60"/>
        <v>43502</v>
      </c>
      <c r="I1040" s="163">
        <f t="shared" si="61"/>
        <v>43587</v>
      </c>
    </row>
    <row r="1041" spans="1:9" s="2" customFormat="1" x14ac:dyDescent="0.25">
      <c r="A1041" s="156">
        <v>960</v>
      </c>
      <c r="B1041" s="172">
        <v>2</v>
      </c>
      <c r="C1041" s="158" t="s">
        <v>1526</v>
      </c>
      <c r="D1041" s="159">
        <v>849216002</v>
      </c>
      <c r="E1041" s="179" t="s">
        <v>1110</v>
      </c>
      <c r="F1041" s="161">
        <v>2016</v>
      </c>
      <c r="G1041" s="162" t="s">
        <v>33</v>
      </c>
      <c r="H1041" s="163">
        <f t="shared" si="60"/>
        <v>43290</v>
      </c>
      <c r="I1041" s="163">
        <f t="shared" si="61"/>
        <v>43351</v>
      </c>
    </row>
    <row r="1042" spans="1:9" s="2" customFormat="1" x14ac:dyDescent="0.25">
      <c r="A1042" s="156">
        <v>961</v>
      </c>
      <c r="B1042" s="172">
        <v>3</v>
      </c>
      <c r="C1042" s="158" t="s">
        <v>1527</v>
      </c>
      <c r="D1042" s="159">
        <v>849216003</v>
      </c>
      <c r="E1042" s="179" t="s">
        <v>1110</v>
      </c>
      <c r="F1042" s="161">
        <v>2016</v>
      </c>
      <c r="G1042" s="162" t="s">
        <v>33</v>
      </c>
      <c r="H1042" s="163">
        <f t="shared" si="60"/>
        <v>43251</v>
      </c>
      <c r="I1042" s="163">
        <f t="shared" si="61"/>
        <v>43351</v>
      </c>
    </row>
    <row r="1043" spans="1:9" s="2" customFormat="1" x14ac:dyDescent="0.25">
      <c r="A1043" s="156">
        <v>962</v>
      </c>
      <c r="B1043" s="172">
        <v>4</v>
      </c>
      <c r="C1043" s="158" t="s">
        <v>1528</v>
      </c>
      <c r="D1043" s="159">
        <v>849216004</v>
      </c>
      <c r="E1043" s="179" t="s">
        <v>1110</v>
      </c>
      <c r="F1043" s="161">
        <v>2016</v>
      </c>
      <c r="G1043" s="162" t="s">
        <v>33</v>
      </c>
      <c r="H1043" s="163">
        <f t="shared" si="60"/>
        <v>43286</v>
      </c>
      <c r="I1043" s="163">
        <f t="shared" si="61"/>
        <v>43440</v>
      </c>
    </row>
    <row r="1044" spans="1:9" s="2" customFormat="1" x14ac:dyDescent="0.25">
      <c r="A1044" s="156">
        <v>963</v>
      </c>
      <c r="B1044" s="172">
        <v>5</v>
      </c>
      <c r="C1044" s="211" t="s">
        <v>1529</v>
      </c>
      <c r="D1044" s="159">
        <v>849216006</v>
      </c>
      <c r="E1044" s="179" t="s">
        <v>1110</v>
      </c>
      <c r="F1044" s="161">
        <v>2016</v>
      </c>
      <c r="G1044" s="162" t="s">
        <v>33</v>
      </c>
      <c r="H1044" s="163">
        <f t="shared" si="60"/>
        <v>43285</v>
      </c>
      <c r="I1044" s="163">
        <f t="shared" si="61"/>
        <v>43351</v>
      </c>
    </row>
    <row r="1045" spans="1:9" s="2" customFormat="1" x14ac:dyDescent="0.25">
      <c r="A1045" s="156">
        <v>964</v>
      </c>
      <c r="B1045" s="172">
        <v>6</v>
      </c>
      <c r="C1045" s="211" t="s">
        <v>1530</v>
      </c>
      <c r="D1045" s="159">
        <v>849216007</v>
      </c>
      <c r="E1045" s="179" t="s">
        <v>1110</v>
      </c>
      <c r="F1045" s="161">
        <v>2016</v>
      </c>
      <c r="G1045" s="272" t="s">
        <v>33</v>
      </c>
      <c r="H1045" s="163">
        <f t="shared" si="60"/>
        <v>43651</v>
      </c>
      <c r="I1045" s="163">
        <f t="shared" si="61"/>
        <v>43750</v>
      </c>
    </row>
    <row r="1046" spans="1:9" s="2" customFormat="1" x14ac:dyDescent="0.25">
      <c r="A1046" s="156">
        <v>965</v>
      </c>
      <c r="B1046" s="172">
        <v>7</v>
      </c>
      <c r="C1046" s="211" t="s">
        <v>1531</v>
      </c>
      <c r="D1046" s="159">
        <v>849216008</v>
      </c>
      <c r="E1046" s="179" t="s">
        <v>1110</v>
      </c>
      <c r="F1046" s="161">
        <v>2016</v>
      </c>
      <c r="G1046" s="162" t="s">
        <v>33</v>
      </c>
      <c r="H1046" s="163">
        <f t="shared" si="60"/>
        <v>43308</v>
      </c>
      <c r="I1046" s="163">
        <f t="shared" si="61"/>
        <v>43440</v>
      </c>
    </row>
    <row r="1047" spans="1:9" s="2" customFormat="1" x14ac:dyDescent="0.25">
      <c r="A1047" s="156">
        <v>966</v>
      </c>
      <c r="B1047" s="172">
        <v>8</v>
      </c>
      <c r="C1047" s="211" t="s">
        <v>1532</v>
      </c>
      <c r="D1047" s="159">
        <v>849216009</v>
      </c>
      <c r="E1047" s="179" t="s">
        <v>1110</v>
      </c>
      <c r="F1047" s="161">
        <v>2016</v>
      </c>
      <c r="G1047" s="162" t="s">
        <v>33</v>
      </c>
      <c r="H1047" s="163">
        <f t="shared" si="60"/>
        <v>43294</v>
      </c>
      <c r="I1047" s="163">
        <f t="shared" si="61"/>
        <v>43440</v>
      </c>
    </row>
    <row r="1048" spans="1:9" s="2" customFormat="1" x14ac:dyDescent="0.25">
      <c r="A1048" s="156">
        <v>967</v>
      </c>
      <c r="B1048" s="172">
        <v>9</v>
      </c>
      <c r="C1048" s="211" t="s">
        <v>1533</v>
      </c>
      <c r="D1048" s="159">
        <v>849216010</v>
      </c>
      <c r="E1048" s="179" t="s">
        <v>1110</v>
      </c>
      <c r="F1048" s="161">
        <v>2016</v>
      </c>
      <c r="G1048" s="162" t="s">
        <v>33</v>
      </c>
      <c r="H1048" s="163">
        <f t="shared" si="60"/>
        <v>43480</v>
      </c>
      <c r="I1048" s="163">
        <f t="shared" si="61"/>
        <v>43587</v>
      </c>
    </row>
    <row r="1049" spans="1:9" s="2" customFormat="1" x14ac:dyDescent="0.25">
      <c r="A1049" s="164">
        <v>968</v>
      </c>
      <c r="B1049" s="343">
        <v>10</v>
      </c>
      <c r="C1049" s="401" t="s">
        <v>1534</v>
      </c>
      <c r="D1049" s="263">
        <v>849216011</v>
      </c>
      <c r="E1049" s="441" t="s">
        <v>1110</v>
      </c>
      <c r="F1049" s="175">
        <v>2016</v>
      </c>
      <c r="G1049" s="404" t="s">
        <v>28</v>
      </c>
      <c r="H1049" s="265" t="str">
        <f t="shared" si="60"/>
        <v xml:space="preserve">   </v>
      </c>
      <c r="I1049" s="265" t="str">
        <f t="shared" si="61"/>
        <v xml:space="preserve">   </v>
      </c>
    </row>
    <row r="1050" spans="1:9" s="2" customFormat="1" x14ac:dyDescent="0.25">
      <c r="A1050" s="156">
        <v>969</v>
      </c>
      <c r="B1050" s="172">
        <v>11</v>
      </c>
      <c r="C1050" s="211" t="s">
        <v>1535</v>
      </c>
      <c r="D1050" s="159">
        <v>849216012</v>
      </c>
      <c r="E1050" s="179" t="s">
        <v>1110</v>
      </c>
      <c r="F1050" s="161">
        <v>2016</v>
      </c>
      <c r="G1050" s="272" t="s">
        <v>33</v>
      </c>
      <c r="H1050" s="163">
        <f t="shared" si="60"/>
        <v>43467</v>
      </c>
      <c r="I1050" s="163">
        <f t="shared" si="61"/>
        <v>43587</v>
      </c>
    </row>
    <row r="1051" spans="1:9" s="2" customFormat="1" x14ac:dyDescent="0.25">
      <c r="A1051" s="164">
        <v>970</v>
      </c>
      <c r="B1051" s="343">
        <v>12</v>
      </c>
      <c r="C1051" s="173" t="s">
        <v>1480</v>
      </c>
      <c r="D1051" s="263">
        <v>849216013</v>
      </c>
      <c r="E1051" s="441" t="s">
        <v>1110</v>
      </c>
      <c r="F1051" s="175">
        <v>2016</v>
      </c>
      <c r="G1051" s="360" t="s">
        <v>1483</v>
      </c>
      <c r="H1051" s="265" t="str">
        <f t="shared" si="60"/>
        <v xml:space="preserve">   </v>
      </c>
      <c r="I1051" s="265" t="str">
        <f t="shared" si="61"/>
        <v xml:space="preserve">   </v>
      </c>
    </row>
    <row r="1052" spans="1:9" s="2" customFormat="1" x14ac:dyDescent="0.25">
      <c r="A1052" s="164">
        <v>971</v>
      </c>
      <c r="B1052" s="343">
        <v>13</v>
      </c>
      <c r="C1052" s="173" t="s">
        <v>1536</v>
      </c>
      <c r="D1052" s="263">
        <v>849216014</v>
      </c>
      <c r="E1052" s="441" t="s">
        <v>1110</v>
      </c>
      <c r="F1052" s="175">
        <v>2016</v>
      </c>
      <c r="G1052" s="360" t="s">
        <v>1483</v>
      </c>
      <c r="H1052" s="265" t="str">
        <f t="shared" si="60"/>
        <v xml:space="preserve">   </v>
      </c>
      <c r="I1052" s="265" t="str">
        <f t="shared" si="61"/>
        <v xml:space="preserve">   </v>
      </c>
    </row>
    <row r="1053" spans="1:9" s="2" customFormat="1" x14ac:dyDescent="0.25">
      <c r="A1053" s="156">
        <v>972</v>
      </c>
      <c r="B1053" s="172">
        <v>14</v>
      </c>
      <c r="C1053" s="158" t="s">
        <v>1537</v>
      </c>
      <c r="D1053" s="159">
        <v>849216015</v>
      </c>
      <c r="E1053" s="179" t="s">
        <v>1110</v>
      </c>
      <c r="F1053" s="161">
        <v>2016</v>
      </c>
      <c r="G1053" s="162" t="s">
        <v>33</v>
      </c>
      <c r="H1053" s="163">
        <f t="shared" si="60"/>
        <v>43369</v>
      </c>
      <c r="I1053" s="163">
        <f t="shared" si="61"/>
        <v>43440</v>
      </c>
    </row>
    <row r="1054" spans="1:9" s="2" customFormat="1" x14ac:dyDescent="0.25">
      <c r="A1054" s="164">
        <v>973</v>
      </c>
      <c r="B1054" s="343">
        <v>15</v>
      </c>
      <c r="C1054" s="173" t="s">
        <v>1538</v>
      </c>
      <c r="D1054" s="263">
        <v>849216016</v>
      </c>
      <c r="E1054" s="441" t="s">
        <v>1110</v>
      </c>
      <c r="F1054" s="175">
        <v>2016</v>
      </c>
      <c r="G1054" s="404" t="s">
        <v>28</v>
      </c>
      <c r="H1054" s="265" t="str">
        <f t="shared" si="60"/>
        <v xml:space="preserve">   </v>
      </c>
      <c r="I1054" s="265" t="str">
        <f t="shared" si="61"/>
        <v xml:space="preserve">   </v>
      </c>
    </row>
    <row r="1055" spans="1:9" s="2" customFormat="1" x14ac:dyDescent="0.25">
      <c r="A1055" s="156">
        <v>974</v>
      </c>
      <c r="B1055" s="172">
        <v>16</v>
      </c>
      <c r="C1055" s="177" t="s">
        <v>1539</v>
      </c>
      <c r="D1055" s="159">
        <v>849216017</v>
      </c>
      <c r="E1055" s="179" t="s">
        <v>1110</v>
      </c>
      <c r="F1055" s="161">
        <v>2016</v>
      </c>
      <c r="G1055" s="162" t="s">
        <v>33</v>
      </c>
      <c r="H1055" s="163">
        <f t="shared" si="60"/>
        <v>43654</v>
      </c>
      <c r="I1055" s="163">
        <f t="shared" si="61"/>
        <v>43818</v>
      </c>
    </row>
    <row r="1056" spans="1:9" s="2" customFormat="1" x14ac:dyDescent="0.25">
      <c r="A1056" s="164">
        <v>975</v>
      </c>
      <c r="B1056" s="343">
        <v>17</v>
      </c>
      <c r="C1056" s="442" t="s">
        <v>1541</v>
      </c>
      <c r="D1056" s="443">
        <v>849216018</v>
      </c>
      <c r="E1056" s="444" t="s">
        <v>1110</v>
      </c>
      <c r="F1056" s="445">
        <v>2016</v>
      </c>
      <c r="G1056" s="404" t="s">
        <v>28</v>
      </c>
      <c r="H1056" s="446" t="str">
        <f t="shared" si="60"/>
        <v xml:space="preserve">   </v>
      </c>
      <c r="I1056" s="446" t="str">
        <f t="shared" si="61"/>
        <v xml:space="preserve">   </v>
      </c>
    </row>
    <row r="1057" spans="1:9" s="2" customFormat="1" x14ac:dyDescent="0.25">
      <c r="A1057" s="164">
        <v>976</v>
      </c>
      <c r="B1057" s="343">
        <v>18</v>
      </c>
      <c r="C1057" s="173" t="s">
        <v>1544</v>
      </c>
      <c r="D1057" s="263">
        <v>849216019</v>
      </c>
      <c r="E1057" s="441" t="s">
        <v>1110</v>
      </c>
      <c r="F1057" s="175">
        <v>2016</v>
      </c>
      <c r="G1057" s="404" t="s">
        <v>28</v>
      </c>
      <c r="H1057" s="265" t="str">
        <f t="shared" si="60"/>
        <v xml:space="preserve">   </v>
      </c>
      <c r="I1057" s="265" t="str">
        <f t="shared" si="61"/>
        <v xml:space="preserve">   </v>
      </c>
    </row>
    <row r="1058" spans="1:9" s="2" customFormat="1" x14ac:dyDescent="0.25">
      <c r="A1058" s="180">
        <v>977</v>
      </c>
      <c r="B1058" s="348">
        <v>19</v>
      </c>
      <c r="C1058" s="182" t="s">
        <v>1545</v>
      </c>
      <c r="D1058" s="183">
        <v>849216020</v>
      </c>
      <c r="E1058" s="184" t="s">
        <v>1110</v>
      </c>
      <c r="F1058" s="185">
        <v>2016</v>
      </c>
      <c r="G1058" s="186" t="s">
        <v>33</v>
      </c>
      <c r="H1058" s="284">
        <f t="shared" si="60"/>
        <v>43259</v>
      </c>
      <c r="I1058" s="284">
        <f t="shared" si="61"/>
        <v>43440</v>
      </c>
    </row>
    <row r="1059" spans="1:9" s="2" customFormat="1" x14ac:dyDescent="0.25">
      <c r="A1059" s="223"/>
      <c r="B1059" s="224"/>
      <c r="C1059" s="225"/>
      <c r="D1059" s="447"/>
      <c r="E1059" s="227" t="s">
        <v>61</v>
      </c>
      <c r="F1059" s="228" t="s">
        <v>61</v>
      </c>
      <c r="G1059" s="192" t="s">
        <v>61</v>
      </c>
      <c r="H1059" s="36" t="str">
        <f t="shared" si="60"/>
        <v xml:space="preserve">   </v>
      </c>
      <c r="I1059" s="36" t="str">
        <f t="shared" si="61"/>
        <v xml:space="preserve">   </v>
      </c>
    </row>
    <row r="1060" spans="1:9" s="2" customFormat="1" x14ac:dyDescent="0.25">
      <c r="A1060" s="365" t="s">
        <v>1546</v>
      </c>
      <c r="B1060" s="365"/>
      <c r="C1060" s="365"/>
      <c r="D1060" s="366"/>
      <c r="E1060" s="198" t="s">
        <v>1096</v>
      </c>
      <c r="F1060" s="199" t="s">
        <v>1096</v>
      </c>
      <c r="G1060" s="146">
        <v>3000000</v>
      </c>
      <c r="H1060" s="147" t="str">
        <f t="shared" si="60"/>
        <v xml:space="preserve">   </v>
      </c>
      <c r="I1060" s="147" t="str">
        <f t="shared" si="61"/>
        <v xml:space="preserve">   </v>
      </c>
    </row>
    <row r="1061" spans="1:9" s="2" customFormat="1" x14ac:dyDescent="0.25">
      <c r="A1061" s="148">
        <v>978</v>
      </c>
      <c r="B1061" s="395">
        <v>1</v>
      </c>
      <c r="C1061" s="396" t="s">
        <v>1547</v>
      </c>
      <c r="D1061" s="151">
        <v>839216001</v>
      </c>
      <c r="E1061" s="311" t="s">
        <v>1195</v>
      </c>
      <c r="F1061" s="397">
        <v>2016</v>
      </c>
      <c r="G1061" s="342" t="s">
        <v>33</v>
      </c>
      <c r="H1061" s="163">
        <f t="shared" si="60"/>
        <v>43336</v>
      </c>
      <c r="I1061" s="163">
        <f t="shared" si="61"/>
        <v>43440</v>
      </c>
    </row>
    <row r="1062" spans="1:9" s="2" customFormat="1" x14ac:dyDescent="0.25">
      <c r="A1062" s="156">
        <v>979</v>
      </c>
      <c r="B1062" s="406">
        <v>2</v>
      </c>
      <c r="C1062" s="211" t="s">
        <v>1548</v>
      </c>
      <c r="D1062" s="178">
        <v>839216002</v>
      </c>
      <c r="E1062" s="275" t="s">
        <v>1195</v>
      </c>
      <c r="F1062" s="213">
        <v>2016</v>
      </c>
      <c r="G1062" s="162" t="s">
        <v>33</v>
      </c>
      <c r="H1062" s="163">
        <f t="shared" si="60"/>
        <v>43609</v>
      </c>
      <c r="I1062" s="163">
        <f t="shared" si="61"/>
        <v>43750</v>
      </c>
    </row>
    <row r="1063" spans="1:9" s="2" customFormat="1" x14ac:dyDescent="0.25">
      <c r="A1063" s="156">
        <v>980</v>
      </c>
      <c r="B1063" s="406">
        <v>3</v>
      </c>
      <c r="C1063" s="211" t="s">
        <v>1549</v>
      </c>
      <c r="D1063" s="159">
        <v>839216003</v>
      </c>
      <c r="E1063" s="179" t="s">
        <v>1195</v>
      </c>
      <c r="F1063" s="213">
        <v>2016</v>
      </c>
      <c r="G1063" s="162" t="s">
        <v>33</v>
      </c>
      <c r="H1063" s="163">
        <f t="shared" si="60"/>
        <v>43361</v>
      </c>
      <c r="I1063" s="163">
        <f t="shared" si="61"/>
        <v>43440</v>
      </c>
    </row>
    <row r="1064" spans="1:9" s="2" customFormat="1" x14ac:dyDescent="0.25">
      <c r="A1064" s="164">
        <v>981</v>
      </c>
      <c r="B1064" s="448">
        <v>4</v>
      </c>
      <c r="C1064" s="173" t="s">
        <v>1550</v>
      </c>
      <c r="D1064" s="174">
        <v>839216004</v>
      </c>
      <c r="E1064" s="449" t="s">
        <v>1195</v>
      </c>
      <c r="F1064" s="450">
        <v>2016</v>
      </c>
      <c r="G1064" s="360" t="s">
        <v>1483</v>
      </c>
      <c r="H1064" s="265">
        <f t="shared" si="60"/>
        <v>44019</v>
      </c>
      <c r="I1064" s="265">
        <f t="shared" si="61"/>
        <v>44168</v>
      </c>
    </row>
    <row r="1065" spans="1:9" s="2" customFormat="1" x14ac:dyDescent="0.25">
      <c r="A1065" s="164">
        <v>982</v>
      </c>
      <c r="B1065" s="400">
        <v>5</v>
      </c>
      <c r="C1065" s="401" t="s">
        <v>1551</v>
      </c>
      <c r="D1065" s="174">
        <v>839216005</v>
      </c>
      <c r="E1065" s="449" t="s">
        <v>1195</v>
      </c>
      <c r="F1065" s="450">
        <v>2016</v>
      </c>
      <c r="G1065" s="360" t="s">
        <v>1483</v>
      </c>
      <c r="H1065" s="265">
        <f t="shared" si="60"/>
        <v>44096</v>
      </c>
      <c r="I1065" s="265">
        <f t="shared" si="61"/>
        <v>44186</v>
      </c>
    </row>
    <row r="1066" spans="1:9" s="2" customFormat="1" x14ac:dyDescent="0.25">
      <c r="A1066" s="164">
        <v>983</v>
      </c>
      <c r="B1066" s="448">
        <v>6</v>
      </c>
      <c r="C1066" s="401" t="s">
        <v>1552</v>
      </c>
      <c r="D1066" s="174">
        <v>839216006</v>
      </c>
      <c r="E1066" s="449" t="s">
        <v>1195</v>
      </c>
      <c r="F1066" s="450">
        <v>2016</v>
      </c>
      <c r="G1066" s="404" t="s">
        <v>28</v>
      </c>
      <c r="H1066" s="265" t="str">
        <f t="shared" si="60"/>
        <v xml:space="preserve">   </v>
      </c>
      <c r="I1066" s="265" t="str">
        <f t="shared" si="61"/>
        <v xml:space="preserve">   </v>
      </c>
    </row>
    <row r="1067" spans="1:9" s="2" customFormat="1" x14ac:dyDescent="0.25">
      <c r="A1067" s="164">
        <v>984</v>
      </c>
      <c r="B1067" s="400">
        <v>7</v>
      </c>
      <c r="C1067" s="401" t="s">
        <v>1553</v>
      </c>
      <c r="D1067" s="174">
        <v>839216007</v>
      </c>
      <c r="E1067" s="449" t="s">
        <v>1195</v>
      </c>
      <c r="F1067" s="450">
        <v>2016</v>
      </c>
      <c r="G1067" s="404" t="s">
        <v>28</v>
      </c>
      <c r="H1067" s="265" t="str">
        <f t="shared" si="60"/>
        <v xml:space="preserve">   </v>
      </c>
      <c r="I1067" s="265" t="str">
        <f t="shared" si="61"/>
        <v xml:space="preserve">   </v>
      </c>
    </row>
    <row r="1068" spans="1:9" s="2" customFormat="1" x14ac:dyDescent="0.25">
      <c r="A1068" s="164">
        <v>985</v>
      </c>
      <c r="B1068" s="448">
        <v>8</v>
      </c>
      <c r="C1068" s="401" t="s">
        <v>1554</v>
      </c>
      <c r="D1068" s="263">
        <v>839216008</v>
      </c>
      <c r="E1068" s="449" t="s">
        <v>1195</v>
      </c>
      <c r="F1068" s="450">
        <v>2016</v>
      </c>
      <c r="G1068" s="162" t="s">
        <v>33</v>
      </c>
      <c r="H1068" s="163" t="str">
        <f t="shared" si="60"/>
        <v xml:space="preserve">   </v>
      </c>
      <c r="I1068" s="163" t="str">
        <f t="shared" si="61"/>
        <v xml:space="preserve">   </v>
      </c>
    </row>
    <row r="1069" spans="1:9" s="2" customFormat="1" x14ac:dyDescent="0.25">
      <c r="A1069" s="164">
        <v>986</v>
      </c>
      <c r="B1069" s="400">
        <v>9</v>
      </c>
      <c r="C1069" s="401" t="s">
        <v>1555</v>
      </c>
      <c r="D1069" s="263">
        <v>839216009</v>
      </c>
      <c r="E1069" s="441" t="s">
        <v>1195</v>
      </c>
      <c r="F1069" s="450">
        <v>2016</v>
      </c>
      <c r="G1069" s="360" t="s">
        <v>1483</v>
      </c>
      <c r="H1069" s="265" t="str">
        <f t="shared" si="60"/>
        <v xml:space="preserve">   </v>
      </c>
      <c r="I1069" s="265" t="str">
        <f t="shared" si="61"/>
        <v xml:space="preserve">   </v>
      </c>
    </row>
    <row r="1070" spans="1:9" s="2" customFormat="1" x14ac:dyDescent="0.25">
      <c r="A1070" s="164">
        <v>987</v>
      </c>
      <c r="B1070" s="448">
        <v>10</v>
      </c>
      <c r="C1070" s="401" t="s">
        <v>1556</v>
      </c>
      <c r="D1070" s="263">
        <v>839216010</v>
      </c>
      <c r="E1070" s="441" t="s">
        <v>1195</v>
      </c>
      <c r="F1070" s="450">
        <v>2016</v>
      </c>
      <c r="G1070" s="360" t="s">
        <v>1483</v>
      </c>
      <c r="H1070" s="265">
        <f t="shared" si="60"/>
        <v>43899</v>
      </c>
      <c r="I1070" s="265">
        <f t="shared" si="61"/>
        <v>44058</v>
      </c>
    </row>
    <row r="1071" spans="1:9" s="2" customFormat="1" x14ac:dyDescent="0.25">
      <c r="A1071" s="156">
        <v>988</v>
      </c>
      <c r="B1071" s="406">
        <v>11</v>
      </c>
      <c r="C1071" s="211" t="s">
        <v>1557</v>
      </c>
      <c r="D1071" s="159">
        <v>839216011</v>
      </c>
      <c r="E1071" s="179" t="s">
        <v>1195</v>
      </c>
      <c r="F1071" s="213">
        <v>2016</v>
      </c>
      <c r="G1071" s="162" t="s">
        <v>33</v>
      </c>
      <c r="H1071" s="163">
        <f t="shared" si="60"/>
        <v>43361</v>
      </c>
      <c r="I1071" s="163">
        <f t="shared" si="61"/>
        <v>43440</v>
      </c>
    </row>
    <row r="1072" spans="1:9" s="2" customFormat="1" x14ac:dyDescent="0.25">
      <c r="A1072" s="164">
        <v>989</v>
      </c>
      <c r="B1072" s="448">
        <v>12</v>
      </c>
      <c r="C1072" s="401" t="s">
        <v>1558</v>
      </c>
      <c r="D1072" s="263">
        <v>839216012</v>
      </c>
      <c r="E1072" s="449" t="s">
        <v>1195</v>
      </c>
      <c r="F1072" s="450">
        <v>2016</v>
      </c>
      <c r="G1072" s="404" t="s">
        <v>28</v>
      </c>
      <c r="H1072" s="265" t="str">
        <f t="shared" si="60"/>
        <v xml:space="preserve">   </v>
      </c>
      <c r="I1072" s="265" t="str">
        <f t="shared" si="61"/>
        <v xml:space="preserve">   </v>
      </c>
    </row>
    <row r="1073" spans="1:9" s="2" customFormat="1" x14ac:dyDescent="0.25">
      <c r="A1073" s="156">
        <v>990</v>
      </c>
      <c r="B1073" s="406">
        <v>13</v>
      </c>
      <c r="C1073" s="211" t="s">
        <v>1559</v>
      </c>
      <c r="D1073" s="159">
        <v>839216013</v>
      </c>
      <c r="E1073" s="179" t="s">
        <v>1195</v>
      </c>
      <c r="F1073" s="213">
        <v>2016</v>
      </c>
      <c r="G1073" s="162" t="s">
        <v>33</v>
      </c>
      <c r="H1073" s="163">
        <f t="shared" si="60"/>
        <v>43285</v>
      </c>
      <c r="I1073" s="163">
        <f t="shared" si="61"/>
        <v>43351</v>
      </c>
    </row>
    <row r="1074" spans="1:9" s="2" customFormat="1" x14ac:dyDescent="0.25">
      <c r="A1074" s="164">
        <v>991</v>
      </c>
      <c r="B1074" s="156">
        <v>14</v>
      </c>
      <c r="C1074" s="211" t="s">
        <v>1560</v>
      </c>
      <c r="D1074" s="159">
        <v>839216014</v>
      </c>
      <c r="E1074" s="179" t="s">
        <v>1195</v>
      </c>
      <c r="F1074" s="213">
        <v>2016</v>
      </c>
      <c r="G1074" s="162" t="s">
        <v>33</v>
      </c>
      <c r="H1074" s="163">
        <f t="shared" si="60"/>
        <v>43775</v>
      </c>
      <c r="I1074" s="163" t="str">
        <f t="shared" si="61"/>
        <v xml:space="preserve">   </v>
      </c>
    </row>
    <row r="1075" spans="1:9" s="2" customFormat="1" x14ac:dyDescent="0.25">
      <c r="A1075" s="156">
        <v>992</v>
      </c>
      <c r="B1075" s="406">
        <v>15</v>
      </c>
      <c r="C1075" s="211" t="s">
        <v>1561</v>
      </c>
      <c r="D1075" s="159">
        <v>839216015</v>
      </c>
      <c r="E1075" s="179" t="s">
        <v>1195</v>
      </c>
      <c r="F1075" s="213">
        <v>2016</v>
      </c>
      <c r="G1075" s="162" t="s">
        <v>33</v>
      </c>
      <c r="H1075" s="163">
        <f t="shared" si="60"/>
        <v>43410</v>
      </c>
      <c r="I1075" s="163">
        <f t="shared" si="61"/>
        <v>43440</v>
      </c>
    </row>
    <row r="1076" spans="1:9" s="2" customFormat="1" x14ac:dyDescent="0.25">
      <c r="A1076" s="156">
        <v>993</v>
      </c>
      <c r="B1076" s="156">
        <v>16</v>
      </c>
      <c r="C1076" s="158" t="s">
        <v>1562</v>
      </c>
      <c r="D1076" s="159">
        <v>839216016</v>
      </c>
      <c r="E1076" s="179" t="s">
        <v>1195</v>
      </c>
      <c r="F1076" s="161">
        <v>2016</v>
      </c>
      <c r="G1076" s="162" t="s">
        <v>33</v>
      </c>
      <c r="H1076" s="163">
        <f t="shared" si="60"/>
        <v>43291</v>
      </c>
      <c r="I1076" s="163">
        <f t="shared" si="61"/>
        <v>43351</v>
      </c>
    </row>
    <row r="1077" spans="1:9" s="2" customFormat="1" x14ac:dyDescent="0.25">
      <c r="A1077" s="156">
        <v>994</v>
      </c>
      <c r="B1077" s="406">
        <v>17</v>
      </c>
      <c r="C1077" s="158" t="s">
        <v>1564</v>
      </c>
      <c r="D1077" s="159">
        <v>839216017</v>
      </c>
      <c r="E1077" s="179" t="s">
        <v>1195</v>
      </c>
      <c r="F1077" s="161">
        <v>2016</v>
      </c>
      <c r="G1077" s="162" t="s">
        <v>33</v>
      </c>
      <c r="H1077" s="163">
        <f t="shared" si="60"/>
        <v>43342</v>
      </c>
      <c r="I1077" s="163">
        <f t="shared" si="61"/>
        <v>43440</v>
      </c>
    </row>
    <row r="1078" spans="1:9" s="2" customFormat="1" x14ac:dyDescent="0.25">
      <c r="A1078" s="164">
        <v>995</v>
      </c>
      <c r="B1078" s="448">
        <v>18</v>
      </c>
      <c r="C1078" s="173" t="s">
        <v>1565</v>
      </c>
      <c r="D1078" s="263">
        <v>839216018</v>
      </c>
      <c r="E1078" s="168" t="s">
        <v>1195</v>
      </c>
      <c r="F1078" s="450">
        <v>2016</v>
      </c>
      <c r="G1078" s="404" t="s">
        <v>28</v>
      </c>
      <c r="H1078" s="265" t="str">
        <f t="shared" si="60"/>
        <v xml:space="preserve">   </v>
      </c>
      <c r="I1078" s="265" t="str">
        <f t="shared" si="61"/>
        <v xml:space="preserve">   </v>
      </c>
    </row>
    <row r="1079" spans="1:9" s="2" customFormat="1" x14ac:dyDescent="0.25">
      <c r="A1079" s="156">
        <v>996</v>
      </c>
      <c r="B1079" s="406">
        <v>19</v>
      </c>
      <c r="C1079" s="158" t="s">
        <v>1566</v>
      </c>
      <c r="D1079" s="159">
        <v>839216019</v>
      </c>
      <c r="E1079" s="275" t="s">
        <v>1195</v>
      </c>
      <c r="F1079" s="213">
        <v>2016</v>
      </c>
      <c r="G1079" s="162" t="s">
        <v>33</v>
      </c>
      <c r="H1079" s="163">
        <f t="shared" si="60"/>
        <v>43389</v>
      </c>
      <c r="I1079" s="163">
        <f t="shared" si="61"/>
        <v>43587</v>
      </c>
    </row>
    <row r="1080" spans="1:9" s="2" customFormat="1" x14ac:dyDescent="0.25">
      <c r="A1080" s="156">
        <v>997</v>
      </c>
      <c r="B1080" s="156">
        <v>20</v>
      </c>
      <c r="C1080" s="158" t="s">
        <v>1567</v>
      </c>
      <c r="D1080" s="159">
        <v>839216020</v>
      </c>
      <c r="E1080" s="160" t="s">
        <v>1195</v>
      </c>
      <c r="F1080" s="161">
        <v>2016</v>
      </c>
      <c r="G1080" s="162" t="s">
        <v>33</v>
      </c>
      <c r="H1080" s="163">
        <f t="shared" si="60"/>
        <v>43175</v>
      </c>
      <c r="I1080" s="163">
        <f t="shared" si="61"/>
        <v>43218</v>
      </c>
    </row>
    <row r="1081" spans="1:9" s="2" customFormat="1" x14ac:dyDescent="0.25">
      <c r="A1081" s="156">
        <v>998</v>
      </c>
      <c r="B1081" s="406">
        <v>21</v>
      </c>
      <c r="C1081" s="158" t="s">
        <v>1568</v>
      </c>
      <c r="D1081" s="159">
        <v>839216021</v>
      </c>
      <c r="E1081" s="275" t="s">
        <v>1195</v>
      </c>
      <c r="F1081" s="213">
        <v>2016</v>
      </c>
      <c r="G1081" s="162" t="s">
        <v>33</v>
      </c>
      <c r="H1081" s="163">
        <f t="shared" si="60"/>
        <v>43648</v>
      </c>
      <c r="I1081" s="163">
        <f t="shared" si="61"/>
        <v>43750</v>
      </c>
    </row>
    <row r="1082" spans="1:9" s="2" customFormat="1" x14ac:dyDescent="0.25">
      <c r="A1082" s="164">
        <v>999</v>
      </c>
      <c r="B1082" s="448">
        <v>22</v>
      </c>
      <c r="C1082" s="173" t="s">
        <v>1569</v>
      </c>
      <c r="D1082" s="263">
        <v>839216022</v>
      </c>
      <c r="E1082" s="449" t="s">
        <v>1195</v>
      </c>
      <c r="F1082" s="450">
        <v>2016</v>
      </c>
      <c r="G1082" s="404" t="s">
        <v>28</v>
      </c>
      <c r="H1082" s="265" t="str">
        <f t="shared" si="60"/>
        <v xml:space="preserve">   </v>
      </c>
      <c r="I1082" s="265" t="str">
        <f t="shared" si="61"/>
        <v xml:space="preserve">   </v>
      </c>
    </row>
    <row r="1083" spans="1:9" s="2" customFormat="1" x14ac:dyDescent="0.25">
      <c r="A1083" s="156">
        <v>1000</v>
      </c>
      <c r="B1083" s="406">
        <v>23</v>
      </c>
      <c r="C1083" s="158" t="s">
        <v>1570</v>
      </c>
      <c r="D1083" s="263">
        <v>839216023</v>
      </c>
      <c r="E1083" s="275" t="s">
        <v>1195</v>
      </c>
      <c r="F1083" s="213">
        <v>2016</v>
      </c>
      <c r="G1083" s="162" t="s">
        <v>33</v>
      </c>
      <c r="H1083" s="163">
        <f t="shared" si="60"/>
        <v>43475</v>
      </c>
      <c r="I1083" s="265">
        <f t="shared" si="61"/>
        <v>44058</v>
      </c>
    </row>
    <row r="1084" spans="1:9" s="2" customFormat="1" x14ac:dyDescent="0.25">
      <c r="A1084" s="164">
        <v>1001</v>
      </c>
      <c r="B1084" s="448">
        <v>24</v>
      </c>
      <c r="C1084" s="173" t="s">
        <v>1571</v>
      </c>
      <c r="D1084" s="263">
        <v>839216024</v>
      </c>
      <c r="E1084" s="168" t="s">
        <v>1195</v>
      </c>
      <c r="F1084" s="450">
        <v>2016</v>
      </c>
      <c r="G1084" s="404" t="s">
        <v>28</v>
      </c>
      <c r="H1084" s="265" t="str">
        <f t="shared" si="60"/>
        <v xml:space="preserve">   </v>
      </c>
      <c r="I1084" s="265" t="str">
        <f t="shared" si="61"/>
        <v xml:space="preserve">   </v>
      </c>
    </row>
    <row r="1085" spans="1:9" s="2" customFormat="1" x14ac:dyDescent="0.25">
      <c r="A1085" s="156">
        <v>1002</v>
      </c>
      <c r="B1085" s="406">
        <v>25</v>
      </c>
      <c r="C1085" s="158" t="s">
        <v>1572</v>
      </c>
      <c r="D1085" s="159">
        <v>839216025</v>
      </c>
      <c r="E1085" s="179" t="s">
        <v>1195</v>
      </c>
      <c r="F1085" s="161">
        <v>2016</v>
      </c>
      <c r="G1085" s="162" t="s">
        <v>33</v>
      </c>
      <c r="H1085" s="163">
        <f t="shared" si="60"/>
        <v>43375</v>
      </c>
      <c r="I1085" s="163">
        <f t="shared" si="61"/>
        <v>43440</v>
      </c>
    </row>
    <row r="1086" spans="1:9" s="2" customFormat="1" x14ac:dyDescent="0.25">
      <c r="A1086" s="234">
        <v>1003</v>
      </c>
      <c r="B1086" s="234">
        <v>26</v>
      </c>
      <c r="C1086" s="233" t="s">
        <v>1573</v>
      </c>
      <c r="D1086" s="236">
        <v>839216026</v>
      </c>
      <c r="E1086" s="298" t="s">
        <v>1195</v>
      </c>
      <c r="F1086" s="315">
        <v>2016</v>
      </c>
      <c r="G1086" s="170" t="s">
        <v>1077</v>
      </c>
      <c r="H1086" s="303" t="str">
        <f t="shared" si="60"/>
        <v xml:space="preserve">   </v>
      </c>
      <c r="I1086" s="303" t="str">
        <f t="shared" si="61"/>
        <v xml:space="preserve">   </v>
      </c>
    </row>
    <row r="1087" spans="1:9" s="2" customFormat="1" x14ac:dyDescent="0.25">
      <c r="A1087" s="216">
        <v>1004</v>
      </c>
      <c r="B1087" s="409">
        <v>27</v>
      </c>
      <c r="C1087" s="451" t="s">
        <v>1574</v>
      </c>
      <c r="D1087" s="452">
        <v>839216027</v>
      </c>
      <c r="E1087" s="220" t="s">
        <v>1195</v>
      </c>
      <c r="F1087" s="453">
        <v>2016</v>
      </c>
      <c r="G1087" s="404" t="s">
        <v>28</v>
      </c>
      <c r="H1087" s="364" t="str">
        <f t="shared" ref="H1087:H1150" si="62">IFERROR(VLOOKUP(D1087,Tlus,3,FALSE),"   ")</f>
        <v xml:space="preserve">   </v>
      </c>
      <c r="I1087" s="364" t="str">
        <f t="shared" ref="I1087:I1150" si="63">IFERROR(VLOOKUP(D1087,Wis,4,FALSE),"   ")</f>
        <v xml:space="preserve">   </v>
      </c>
    </row>
    <row r="1088" spans="1:9" s="4" customFormat="1" x14ac:dyDescent="0.25">
      <c r="A1088" s="187"/>
      <c r="B1088" s="454"/>
      <c r="C1088" s="268"/>
      <c r="D1088" s="455"/>
      <c r="E1088" s="270" t="s">
        <v>61</v>
      </c>
      <c r="F1088" s="267" t="s">
        <v>61</v>
      </c>
      <c r="G1088" s="192" t="s">
        <v>61</v>
      </c>
      <c r="H1088" s="193" t="str">
        <f t="shared" si="62"/>
        <v xml:space="preserve">   </v>
      </c>
      <c r="I1088" s="193" t="str">
        <f t="shared" si="63"/>
        <v xml:space="preserve">   </v>
      </c>
    </row>
    <row r="1089" spans="1:9" s="2" customFormat="1" x14ac:dyDescent="0.25">
      <c r="A1089" s="456" t="s">
        <v>1575</v>
      </c>
      <c r="B1089" s="456"/>
      <c r="C1089" s="456"/>
      <c r="D1089" s="366"/>
      <c r="E1089" s="198" t="s">
        <v>1096</v>
      </c>
      <c r="F1089" s="199" t="s">
        <v>1096</v>
      </c>
      <c r="G1089" s="146">
        <v>3000000</v>
      </c>
      <c r="H1089" s="147" t="str">
        <f t="shared" si="62"/>
        <v xml:space="preserve">   </v>
      </c>
      <c r="I1089" s="147" t="str">
        <f t="shared" si="63"/>
        <v xml:space="preserve">   </v>
      </c>
    </row>
    <row r="1090" spans="1:9" s="2" customFormat="1" x14ac:dyDescent="0.25">
      <c r="A1090" s="457">
        <v>1005</v>
      </c>
      <c r="B1090" s="458">
        <v>1</v>
      </c>
      <c r="C1090" s="459" t="s">
        <v>1576</v>
      </c>
      <c r="D1090" s="424">
        <v>839116001</v>
      </c>
      <c r="E1090" s="449" t="s">
        <v>848</v>
      </c>
      <c r="F1090" s="450">
        <v>2016</v>
      </c>
      <c r="G1090" s="360" t="s">
        <v>1483</v>
      </c>
      <c r="H1090" s="408" t="str">
        <f t="shared" si="62"/>
        <v xml:space="preserve">   </v>
      </c>
      <c r="I1090" s="408" t="str">
        <f t="shared" si="63"/>
        <v xml:space="preserve">   </v>
      </c>
    </row>
    <row r="1091" spans="1:9" s="2" customFormat="1" x14ac:dyDescent="0.25">
      <c r="A1091" s="156">
        <v>1006</v>
      </c>
      <c r="B1091" s="172">
        <v>2</v>
      </c>
      <c r="C1091" s="211" t="s">
        <v>1577</v>
      </c>
      <c r="D1091" s="159">
        <v>839116002</v>
      </c>
      <c r="E1091" s="179" t="s">
        <v>848</v>
      </c>
      <c r="F1091" s="213">
        <v>2016</v>
      </c>
      <c r="G1091" s="162" t="s">
        <v>33</v>
      </c>
      <c r="H1091" s="163">
        <f t="shared" si="62"/>
        <v>43245</v>
      </c>
      <c r="I1091" s="163">
        <f t="shared" si="63"/>
        <v>43351</v>
      </c>
    </row>
    <row r="1092" spans="1:9" s="2" customFormat="1" x14ac:dyDescent="0.25">
      <c r="A1092" s="164">
        <v>1007</v>
      </c>
      <c r="B1092" s="345">
        <v>3</v>
      </c>
      <c r="C1092" s="401" t="s">
        <v>1578</v>
      </c>
      <c r="D1092" s="174">
        <v>839116003</v>
      </c>
      <c r="E1092" s="168" t="s">
        <v>848</v>
      </c>
      <c r="F1092" s="450">
        <v>2016</v>
      </c>
      <c r="G1092" s="404" t="s">
        <v>28</v>
      </c>
      <c r="H1092" s="265" t="str">
        <f t="shared" si="62"/>
        <v xml:space="preserve">   </v>
      </c>
      <c r="I1092" s="265" t="str">
        <f t="shared" si="63"/>
        <v xml:space="preserve">   </v>
      </c>
    </row>
    <row r="1093" spans="1:9" s="2" customFormat="1" x14ac:dyDescent="0.25">
      <c r="A1093" s="164">
        <v>1008</v>
      </c>
      <c r="B1093" s="345">
        <v>4</v>
      </c>
      <c r="C1093" s="401" t="s">
        <v>1579</v>
      </c>
      <c r="D1093" s="263">
        <v>839116004</v>
      </c>
      <c r="E1093" s="449" t="s">
        <v>848</v>
      </c>
      <c r="F1093" s="450">
        <v>2016</v>
      </c>
      <c r="G1093" s="360" t="s">
        <v>1483</v>
      </c>
      <c r="H1093" s="265">
        <f t="shared" si="62"/>
        <v>44016</v>
      </c>
      <c r="I1093" s="265">
        <f t="shared" si="63"/>
        <v>44186</v>
      </c>
    </row>
    <row r="1094" spans="1:9" s="2" customFormat="1" x14ac:dyDescent="0.25">
      <c r="A1094" s="156">
        <v>1009</v>
      </c>
      <c r="B1094" s="344">
        <v>5</v>
      </c>
      <c r="C1094" s="211" t="s">
        <v>1580</v>
      </c>
      <c r="D1094" s="178">
        <v>839116005</v>
      </c>
      <c r="E1094" s="275" t="s">
        <v>848</v>
      </c>
      <c r="F1094" s="213">
        <v>2016</v>
      </c>
      <c r="G1094" s="272" t="s">
        <v>33</v>
      </c>
      <c r="H1094" s="163">
        <f t="shared" si="62"/>
        <v>43762</v>
      </c>
      <c r="I1094" s="163">
        <f t="shared" si="63"/>
        <v>43818</v>
      </c>
    </row>
    <row r="1095" spans="1:9" s="2" customFormat="1" x14ac:dyDescent="0.25">
      <c r="A1095" s="156">
        <v>1010</v>
      </c>
      <c r="B1095" s="344">
        <v>6</v>
      </c>
      <c r="C1095" s="211" t="s">
        <v>1582</v>
      </c>
      <c r="D1095" s="178">
        <v>839116006</v>
      </c>
      <c r="E1095" s="275" t="s">
        <v>848</v>
      </c>
      <c r="F1095" s="213">
        <v>2016</v>
      </c>
      <c r="G1095" s="272" t="s">
        <v>33</v>
      </c>
      <c r="H1095" s="163">
        <f t="shared" si="62"/>
        <v>43412</v>
      </c>
      <c r="I1095" s="163">
        <f t="shared" si="63"/>
        <v>43705</v>
      </c>
    </row>
    <row r="1096" spans="1:9" s="2" customFormat="1" x14ac:dyDescent="0.25">
      <c r="A1096" s="156">
        <v>1011</v>
      </c>
      <c r="B1096" s="344">
        <v>7</v>
      </c>
      <c r="C1096" s="211" t="s">
        <v>1583</v>
      </c>
      <c r="D1096" s="178">
        <v>839116007</v>
      </c>
      <c r="E1096" s="179" t="s">
        <v>848</v>
      </c>
      <c r="F1096" s="213">
        <v>2016</v>
      </c>
      <c r="G1096" s="272" t="s">
        <v>33</v>
      </c>
      <c r="H1096" s="163">
        <f t="shared" si="62"/>
        <v>43670</v>
      </c>
      <c r="I1096" s="163">
        <f t="shared" si="63"/>
        <v>43750</v>
      </c>
    </row>
    <row r="1097" spans="1:9" s="2" customFormat="1" x14ac:dyDescent="0.25">
      <c r="A1097" s="164">
        <v>1012</v>
      </c>
      <c r="B1097" s="345">
        <v>8</v>
      </c>
      <c r="C1097" s="401" t="s">
        <v>1584</v>
      </c>
      <c r="D1097" s="174">
        <v>839116008</v>
      </c>
      <c r="E1097" s="449" t="s">
        <v>848</v>
      </c>
      <c r="F1097" s="450">
        <v>2016</v>
      </c>
      <c r="G1097" s="404" t="s">
        <v>28</v>
      </c>
      <c r="H1097" s="265" t="str">
        <f t="shared" si="62"/>
        <v xml:space="preserve">   </v>
      </c>
      <c r="I1097" s="265" t="str">
        <f t="shared" si="63"/>
        <v xml:space="preserve">   </v>
      </c>
    </row>
    <row r="1098" spans="1:9" s="2" customFormat="1" x14ac:dyDescent="0.25">
      <c r="A1098" s="156">
        <v>1013</v>
      </c>
      <c r="B1098" s="344">
        <v>9</v>
      </c>
      <c r="C1098" s="211" t="s">
        <v>1585</v>
      </c>
      <c r="D1098" s="178">
        <v>839116009</v>
      </c>
      <c r="E1098" s="179" t="s">
        <v>848</v>
      </c>
      <c r="F1098" s="213">
        <v>2016</v>
      </c>
      <c r="G1098" s="272" t="s">
        <v>33</v>
      </c>
      <c r="H1098" s="163">
        <f t="shared" si="62"/>
        <v>43656</v>
      </c>
      <c r="I1098" s="163">
        <f t="shared" si="63"/>
        <v>43705</v>
      </c>
    </row>
    <row r="1099" spans="1:9" s="2" customFormat="1" x14ac:dyDescent="0.25">
      <c r="A1099" s="164">
        <v>1014</v>
      </c>
      <c r="B1099" s="345">
        <v>10</v>
      </c>
      <c r="C1099" s="401" t="s">
        <v>1586</v>
      </c>
      <c r="D1099" s="174">
        <v>839116010</v>
      </c>
      <c r="E1099" s="168" t="s">
        <v>848</v>
      </c>
      <c r="F1099" s="450">
        <v>2016</v>
      </c>
      <c r="G1099" s="404" t="s">
        <v>28</v>
      </c>
      <c r="H1099" s="265" t="str">
        <f t="shared" si="62"/>
        <v xml:space="preserve">   </v>
      </c>
      <c r="I1099" s="265" t="str">
        <f t="shared" si="63"/>
        <v xml:space="preserve">   </v>
      </c>
    </row>
    <row r="1100" spans="1:9" s="2" customFormat="1" x14ac:dyDescent="0.25">
      <c r="A1100" s="156">
        <v>1015</v>
      </c>
      <c r="B1100" s="344">
        <v>11</v>
      </c>
      <c r="C1100" s="211" t="s">
        <v>1587</v>
      </c>
      <c r="D1100" s="174">
        <v>839116011</v>
      </c>
      <c r="E1100" s="275" t="s">
        <v>848</v>
      </c>
      <c r="F1100" s="213">
        <v>2016</v>
      </c>
      <c r="G1100" s="162" t="s">
        <v>33</v>
      </c>
      <c r="H1100" s="163">
        <f t="shared" si="62"/>
        <v>43845</v>
      </c>
      <c r="I1100" s="163">
        <f t="shared" si="63"/>
        <v>44058</v>
      </c>
    </row>
    <row r="1101" spans="1:9" s="2" customFormat="1" x14ac:dyDescent="0.25">
      <c r="A1101" s="156">
        <v>1016</v>
      </c>
      <c r="B1101" s="172">
        <v>12</v>
      </c>
      <c r="C1101" s="158" t="s">
        <v>1588</v>
      </c>
      <c r="D1101" s="159">
        <v>839116012</v>
      </c>
      <c r="E1101" s="179" t="s">
        <v>848</v>
      </c>
      <c r="F1101" s="161">
        <v>2016</v>
      </c>
      <c r="G1101" s="162" t="s">
        <v>33</v>
      </c>
      <c r="H1101" s="163">
        <f t="shared" si="62"/>
        <v>43405</v>
      </c>
      <c r="I1101" s="163">
        <f t="shared" si="63"/>
        <v>43750</v>
      </c>
    </row>
    <row r="1102" spans="1:9" s="2" customFormat="1" x14ac:dyDescent="0.25">
      <c r="A1102" s="164">
        <v>1017</v>
      </c>
      <c r="B1102" s="345">
        <v>13</v>
      </c>
      <c r="C1102" s="173" t="s">
        <v>1589</v>
      </c>
      <c r="D1102" s="174">
        <v>839116013</v>
      </c>
      <c r="E1102" s="168" t="s">
        <v>848</v>
      </c>
      <c r="F1102" s="450">
        <v>2016</v>
      </c>
      <c r="G1102" s="360" t="s">
        <v>1483</v>
      </c>
      <c r="H1102" s="265">
        <f t="shared" si="62"/>
        <v>44033</v>
      </c>
      <c r="I1102" s="265" t="str">
        <f t="shared" si="63"/>
        <v xml:space="preserve">   </v>
      </c>
    </row>
    <row r="1103" spans="1:9" s="2" customFormat="1" x14ac:dyDescent="0.25">
      <c r="A1103" s="164">
        <v>1018</v>
      </c>
      <c r="B1103" s="345">
        <v>14</v>
      </c>
      <c r="C1103" s="166" t="s">
        <v>1590</v>
      </c>
      <c r="D1103" s="174">
        <v>839116014</v>
      </c>
      <c r="E1103" s="168" t="s">
        <v>848</v>
      </c>
      <c r="F1103" s="450">
        <v>2016</v>
      </c>
      <c r="G1103" s="404" t="s">
        <v>28</v>
      </c>
      <c r="H1103" s="265" t="str">
        <f t="shared" si="62"/>
        <v xml:space="preserve">   </v>
      </c>
      <c r="I1103" s="265" t="str">
        <f t="shared" si="63"/>
        <v xml:space="preserve">   </v>
      </c>
    </row>
    <row r="1104" spans="1:9" s="2" customFormat="1" x14ac:dyDescent="0.25">
      <c r="A1104" s="156">
        <v>1019</v>
      </c>
      <c r="B1104" s="344">
        <v>15</v>
      </c>
      <c r="C1104" s="177" t="s">
        <v>1591</v>
      </c>
      <c r="D1104" s="178">
        <v>839116015</v>
      </c>
      <c r="E1104" s="275" t="s">
        <v>848</v>
      </c>
      <c r="F1104" s="213">
        <v>2016</v>
      </c>
      <c r="G1104" s="162" t="s">
        <v>33</v>
      </c>
      <c r="H1104" s="163">
        <f t="shared" si="62"/>
        <v>43732</v>
      </c>
      <c r="I1104" s="163">
        <f t="shared" si="63"/>
        <v>43818</v>
      </c>
    </row>
    <row r="1105" spans="1:9" s="2" customFormat="1" x14ac:dyDescent="0.25">
      <c r="A1105" s="164">
        <v>1020</v>
      </c>
      <c r="B1105" s="345">
        <v>16</v>
      </c>
      <c r="C1105" s="166" t="s">
        <v>1592</v>
      </c>
      <c r="D1105" s="174">
        <v>839116016</v>
      </c>
      <c r="E1105" s="449" t="s">
        <v>848</v>
      </c>
      <c r="F1105" s="450">
        <v>2016</v>
      </c>
      <c r="G1105" s="360" t="s">
        <v>1483</v>
      </c>
      <c r="H1105" s="265">
        <f t="shared" si="62"/>
        <v>44095</v>
      </c>
      <c r="I1105" s="265" t="str">
        <f t="shared" si="63"/>
        <v xml:space="preserve">   </v>
      </c>
    </row>
    <row r="1106" spans="1:9" s="2" customFormat="1" x14ac:dyDescent="0.25">
      <c r="A1106" s="156">
        <v>1021</v>
      </c>
      <c r="B1106" s="172">
        <v>17</v>
      </c>
      <c r="C1106" s="158" t="s">
        <v>1593</v>
      </c>
      <c r="D1106" s="159">
        <v>839116017</v>
      </c>
      <c r="E1106" s="179" t="s">
        <v>848</v>
      </c>
      <c r="F1106" s="161">
        <v>2016</v>
      </c>
      <c r="G1106" s="162" t="s">
        <v>33</v>
      </c>
      <c r="H1106" s="163">
        <f t="shared" si="62"/>
        <v>43307</v>
      </c>
      <c r="I1106" s="163">
        <f t="shared" si="63"/>
        <v>43440</v>
      </c>
    </row>
    <row r="1107" spans="1:9" s="2" customFormat="1" x14ac:dyDescent="0.25">
      <c r="A1107" s="156">
        <v>1022</v>
      </c>
      <c r="B1107" s="172">
        <v>18</v>
      </c>
      <c r="C1107" s="158" t="s">
        <v>1594</v>
      </c>
      <c r="D1107" s="159">
        <v>839116018</v>
      </c>
      <c r="E1107" s="179" t="s">
        <v>848</v>
      </c>
      <c r="F1107" s="161">
        <v>2016</v>
      </c>
      <c r="G1107" s="162" t="s">
        <v>33</v>
      </c>
      <c r="H1107" s="163">
        <f t="shared" si="62"/>
        <v>43314</v>
      </c>
      <c r="I1107" s="163">
        <f t="shared" si="63"/>
        <v>43440</v>
      </c>
    </row>
    <row r="1108" spans="1:9" s="2" customFormat="1" x14ac:dyDescent="0.25">
      <c r="A1108" s="156">
        <v>1023</v>
      </c>
      <c r="B1108" s="344">
        <v>19</v>
      </c>
      <c r="C1108" s="158" t="s">
        <v>1595</v>
      </c>
      <c r="D1108" s="178">
        <v>839116019</v>
      </c>
      <c r="E1108" s="275" t="s">
        <v>848</v>
      </c>
      <c r="F1108" s="161">
        <v>2016</v>
      </c>
      <c r="G1108" s="162" t="s">
        <v>33</v>
      </c>
      <c r="H1108" s="163">
        <f t="shared" si="62"/>
        <v>43678</v>
      </c>
      <c r="I1108" s="163">
        <f t="shared" si="63"/>
        <v>44058</v>
      </c>
    </row>
    <row r="1109" spans="1:9" s="2" customFormat="1" x14ac:dyDescent="0.25">
      <c r="A1109" s="156">
        <v>1024</v>
      </c>
      <c r="B1109" s="344">
        <v>20</v>
      </c>
      <c r="C1109" s="158" t="s">
        <v>1596</v>
      </c>
      <c r="D1109" s="178">
        <v>839116020</v>
      </c>
      <c r="E1109" s="179" t="s">
        <v>848</v>
      </c>
      <c r="F1109" s="161">
        <v>2016</v>
      </c>
      <c r="G1109" s="272" t="s">
        <v>33</v>
      </c>
      <c r="H1109" s="163">
        <f t="shared" si="62"/>
        <v>43670</v>
      </c>
      <c r="I1109" s="163">
        <f t="shared" si="63"/>
        <v>43750</v>
      </c>
    </row>
    <row r="1110" spans="1:9" s="2" customFormat="1" x14ac:dyDescent="0.25">
      <c r="A1110" s="164">
        <v>1025</v>
      </c>
      <c r="B1110" s="345">
        <v>21</v>
      </c>
      <c r="C1110" s="173" t="s">
        <v>1597</v>
      </c>
      <c r="D1110" s="174">
        <v>839116021</v>
      </c>
      <c r="E1110" s="449" t="s">
        <v>848</v>
      </c>
      <c r="F1110" s="450">
        <v>2016</v>
      </c>
      <c r="G1110" s="272" t="s">
        <v>33</v>
      </c>
      <c r="H1110" s="163">
        <f t="shared" si="62"/>
        <v>43832</v>
      </c>
      <c r="I1110" s="163">
        <f t="shared" si="63"/>
        <v>44058</v>
      </c>
    </row>
    <row r="1111" spans="1:9" s="2" customFormat="1" x14ac:dyDescent="0.25">
      <c r="A1111" s="216">
        <v>1026</v>
      </c>
      <c r="B1111" s="361">
        <v>22</v>
      </c>
      <c r="C1111" s="218" t="s">
        <v>1598</v>
      </c>
      <c r="D1111" s="452">
        <v>839116022</v>
      </c>
      <c r="E1111" s="460" t="s">
        <v>848</v>
      </c>
      <c r="F1111" s="453">
        <v>2016</v>
      </c>
      <c r="G1111" s="404" t="s">
        <v>28</v>
      </c>
      <c r="H1111" s="364" t="str">
        <f t="shared" si="62"/>
        <v xml:space="preserve">   </v>
      </c>
      <c r="I1111" s="364" t="str">
        <f t="shared" si="63"/>
        <v xml:space="preserve">   </v>
      </c>
    </row>
    <row r="1112" spans="1:9" s="4" customFormat="1" x14ac:dyDescent="0.25">
      <c r="A1112" s="187"/>
      <c r="B1112" s="188"/>
      <c r="C1112" s="189"/>
      <c r="D1112" s="455"/>
      <c r="E1112" s="191" t="s">
        <v>61</v>
      </c>
      <c r="F1112" s="192" t="s">
        <v>61</v>
      </c>
      <c r="G1112" s="192" t="s">
        <v>61</v>
      </c>
      <c r="H1112" s="193" t="str">
        <f t="shared" si="62"/>
        <v xml:space="preserve">   </v>
      </c>
      <c r="I1112" s="193" t="str">
        <f t="shared" si="63"/>
        <v xml:space="preserve">   </v>
      </c>
    </row>
    <row r="1113" spans="1:9" s="2" customFormat="1" x14ac:dyDescent="0.25">
      <c r="A1113" s="365" t="s">
        <v>1599</v>
      </c>
      <c r="B1113" s="365"/>
      <c r="C1113" s="365"/>
      <c r="D1113" s="366"/>
      <c r="E1113" s="198" t="s">
        <v>1096</v>
      </c>
      <c r="F1113" s="199" t="s">
        <v>1096</v>
      </c>
      <c r="G1113" s="146">
        <v>3000000</v>
      </c>
      <c r="H1113" s="147" t="str">
        <f t="shared" si="62"/>
        <v xml:space="preserve">   </v>
      </c>
      <c r="I1113" s="147" t="str">
        <f t="shared" si="63"/>
        <v xml:space="preserve">   </v>
      </c>
    </row>
    <row r="1114" spans="1:9" s="2" customFormat="1" x14ac:dyDescent="0.25">
      <c r="A1114" s="148">
        <v>1027</v>
      </c>
      <c r="B1114" s="367">
        <v>1</v>
      </c>
      <c r="C1114" s="461" t="s">
        <v>1600</v>
      </c>
      <c r="D1114" s="462">
        <v>829116001</v>
      </c>
      <c r="E1114" s="311" t="s">
        <v>1441</v>
      </c>
      <c r="F1114" s="153">
        <v>2016</v>
      </c>
      <c r="G1114" s="342" t="s">
        <v>33</v>
      </c>
      <c r="H1114" s="163">
        <f t="shared" si="62"/>
        <v>43294</v>
      </c>
      <c r="I1114" s="163">
        <f t="shared" si="63"/>
        <v>43587</v>
      </c>
    </row>
    <row r="1115" spans="1:9" s="2" customFormat="1" x14ac:dyDescent="0.25">
      <c r="A1115" s="164">
        <v>1028</v>
      </c>
      <c r="B1115" s="343">
        <v>2</v>
      </c>
      <c r="C1115" s="463" t="s">
        <v>1601</v>
      </c>
      <c r="D1115" s="464">
        <v>829116002</v>
      </c>
      <c r="E1115" s="264" t="s">
        <v>1441</v>
      </c>
      <c r="F1115" s="175">
        <v>2016</v>
      </c>
      <c r="G1115" s="360" t="s">
        <v>1483</v>
      </c>
      <c r="H1115" s="265" t="str">
        <f t="shared" si="62"/>
        <v xml:space="preserve">   </v>
      </c>
      <c r="I1115" s="265" t="str">
        <f t="shared" si="63"/>
        <v xml:space="preserve">   </v>
      </c>
    </row>
    <row r="1116" spans="1:9" s="2" customFormat="1" x14ac:dyDescent="0.25">
      <c r="A1116" s="156">
        <v>1029</v>
      </c>
      <c r="B1116" s="172">
        <v>3</v>
      </c>
      <c r="C1116" s="465" t="s">
        <v>1602</v>
      </c>
      <c r="D1116" s="466">
        <v>829116003</v>
      </c>
      <c r="E1116" s="179" t="s">
        <v>1441</v>
      </c>
      <c r="F1116" s="161">
        <v>2016</v>
      </c>
      <c r="G1116" s="342" t="s">
        <v>33</v>
      </c>
      <c r="H1116" s="163">
        <f t="shared" si="62"/>
        <v>43529</v>
      </c>
      <c r="I1116" s="163">
        <f t="shared" si="63"/>
        <v>43818</v>
      </c>
    </row>
    <row r="1117" spans="1:9" s="2" customFormat="1" x14ac:dyDescent="0.25">
      <c r="A1117" s="164">
        <v>1030</v>
      </c>
      <c r="B1117" s="343">
        <v>4</v>
      </c>
      <c r="C1117" s="463" t="s">
        <v>1603</v>
      </c>
      <c r="D1117" s="464">
        <v>829116004</v>
      </c>
      <c r="E1117" s="441" t="s">
        <v>1441</v>
      </c>
      <c r="F1117" s="175">
        <v>2016</v>
      </c>
      <c r="G1117" s="404" t="s">
        <v>28</v>
      </c>
      <c r="H1117" s="265" t="str">
        <f t="shared" si="62"/>
        <v xml:space="preserve">   </v>
      </c>
      <c r="I1117" s="265" t="str">
        <f t="shared" si="63"/>
        <v xml:space="preserve">   </v>
      </c>
    </row>
    <row r="1118" spans="1:9" s="2" customFormat="1" x14ac:dyDescent="0.25">
      <c r="A1118" s="164">
        <v>1031</v>
      </c>
      <c r="B1118" s="343">
        <v>5</v>
      </c>
      <c r="C1118" s="463" t="s">
        <v>1604</v>
      </c>
      <c r="D1118" s="464">
        <v>829116005</v>
      </c>
      <c r="E1118" s="441" t="s">
        <v>1441</v>
      </c>
      <c r="F1118" s="175">
        <v>2016</v>
      </c>
      <c r="G1118" s="360" t="s">
        <v>1483</v>
      </c>
      <c r="H1118" s="265" t="str">
        <f t="shared" si="62"/>
        <v xml:space="preserve">   </v>
      </c>
      <c r="I1118" s="265" t="str">
        <f t="shared" si="63"/>
        <v xml:space="preserve">   </v>
      </c>
    </row>
    <row r="1119" spans="1:9" s="2" customFormat="1" x14ac:dyDescent="0.25">
      <c r="A1119" s="164">
        <v>1032</v>
      </c>
      <c r="B1119" s="345">
        <v>6</v>
      </c>
      <c r="C1119" s="467" t="s">
        <v>1605</v>
      </c>
      <c r="D1119" s="468">
        <v>829116006</v>
      </c>
      <c r="E1119" s="264" t="s">
        <v>1441</v>
      </c>
      <c r="F1119" s="175">
        <v>2016</v>
      </c>
      <c r="G1119" s="360" t="s">
        <v>1483</v>
      </c>
      <c r="H1119" s="265">
        <f t="shared" si="62"/>
        <v>43964</v>
      </c>
      <c r="I1119" s="265">
        <f t="shared" si="63"/>
        <v>44168</v>
      </c>
    </row>
    <row r="1120" spans="1:9" s="2" customFormat="1" x14ac:dyDescent="0.25">
      <c r="A1120" s="240">
        <v>1033</v>
      </c>
      <c r="B1120" s="368">
        <v>7</v>
      </c>
      <c r="C1120" s="469" t="s">
        <v>1608</v>
      </c>
      <c r="D1120" s="470">
        <v>829116007</v>
      </c>
      <c r="E1120" s="244" t="s">
        <v>61</v>
      </c>
      <c r="F1120" s="245" t="s">
        <v>61</v>
      </c>
      <c r="G1120" s="170" t="s">
        <v>1077</v>
      </c>
      <c r="H1120" s="246" t="str">
        <f t="shared" si="62"/>
        <v xml:space="preserve">   </v>
      </c>
      <c r="I1120" s="246" t="str">
        <f t="shared" si="63"/>
        <v xml:space="preserve">   </v>
      </c>
    </row>
    <row r="1121" spans="1:9" s="2" customFormat="1" x14ac:dyDescent="0.25">
      <c r="A1121" s="223"/>
      <c r="B1121" s="224"/>
      <c r="C1121" s="225"/>
      <c r="D1121" s="471"/>
      <c r="E1121" s="227" t="s">
        <v>61</v>
      </c>
      <c r="F1121" s="228" t="s">
        <v>61</v>
      </c>
      <c r="G1121" s="192" t="s">
        <v>61</v>
      </c>
      <c r="H1121" s="36" t="str">
        <f t="shared" si="62"/>
        <v xml:space="preserve">   </v>
      </c>
      <c r="I1121" s="36" t="str">
        <f t="shared" si="63"/>
        <v xml:space="preserve">   </v>
      </c>
    </row>
    <row r="1122" spans="1:9" s="2" customFormat="1" x14ac:dyDescent="0.25">
      <c r="A1122" s="365" t="s">
        <v>1610</v>
      </c>
      <c r="B1122" s="365"/>
      <c r="C1122" s="365"/>
      <c r="D1122" s="366"/>
      <c r="E1122" s="198" t="s">
        <v>1096</v>
      </c>
      <c r="F1122" s="199" t="s">
        <v>1096</v>
      </c>
      <c r="G1122" s="146">
        <v>3000000</v>
      </c>
      <c r="H1122" s="147" t="str">
        <f t="shared" si="62"/>
        <v xml:space="preserve">   </v>
      </c>
      <c r="I1122" s="147" t="str">
        <f t="shared" si="63"/>
        <v xml:space="preserve">   </v>
      </c>
    </row>
    <row r="1123" spans="1:9" s="2" customFormat="1" x14ac:dyDescent="0.25">
      <c r="A1123" s="148">
        <v>1034</v>
      </c>
      <c r="B1123" s="472">
        <v>1</v>
      </c>
      <c r="C1123" s="473" t="s">
        <v>1611</v>
      </c>
      <c r="D1123" s="474">
        <v>849316001</v>
      </c>
      <c r="E1123" s="311" t="s">
        <v>1328</v>
      </c>
      <c r="F1123" s="153">
        <v>2016</v>
      </c>
      <c r="G1123" s="342" t="s">
        <v>33</v>
      </c>
      <c r="H1123" s="163">
        <f t="shared" si="62"/>
        <v>43292</v>
      </c>
      <c r="I1123" s="163">
        <f t="shared" si="63"/>
        <v>43351</v>
      </c>
    </row>
    <row r="1124" spans="1:9" s="2" customFormat="1" x14ac:dyDescent="0.25">
      <c r="A1124" s="164">
        <v>1035</v>
      </c>
      <c r="B1124" s="475">
        <v>2</v>
      </c>
      <c r="C1124" s="476" t="s">
        <v>1612</v>
      </c>
      <c r="D1124" s="477">
        <v>849316002</v>
      </c>
      <c r="E1124" s="441" t="s">
        <v>1328</v>
      </c>
      <c r="F1124" s="175">
        <v>2016</v>
      </c>
      <c r="G1124" s="404" t="s">
        <v>28</v>
      </c>
      <c r="H1124" s="265">
        <f t="shared" si="62"/>
        <v>44093</v>
      </c>
      <c r="I1124" s="265">
        <f t="shared" si="63"/>
        <v>44186</v>
      </c>
    </row>
    <row r="1125" spans="1:9" s="2" customFormat="1" x14ac:dyDescent="0.25">
      <c r="A1125" s="164">
        <v>1036</v>
      </c>
      <c r="B1125" s="475">
        <v>3</v>
      </c>
      <c r="C1125" s="476" t="s">
        <v>1613</v>
      </c>
      <c r="D1125" s="477">
        <v>849316003</v>
      </c>
      <c r="E1125" s="441" t="s">
        <v>1328</v>
      </c>
      <c r="F1125" s="175">
        <v>2016</v>
      </c>
      <c r="G1125" s="360" t="s">
        <v>1483</v>
      </c>
      <c r="H1125" s="265">
        <f t="shared" si="62"/>
        <v>43894</v>
      </c>
      <c r="I1125" s="265">
        <f t="shared" si="63"/>
        <v>44168</v>
      </c>
    </row>
    <row r="1126" spans="1:9" s="2" customFormat="1" x14ac:dyDescent="0.25">
      <c r="A1126" s="156">
        <v>1037</v>
      </c>
      <c r="B1126" s="478">
        <v>4</v>
      </c>
      <c r="C1126" s="479" t="s">
        <v>1614</v>
      </c>
      <c r="D1126" s="477">
        <v>849316004</v>
      </c>
      <c r="E1126" s="179" t="s">
        <v>1328</v>
      </c>
      <c r="F1126" s="161">
        <v>2016</v>
      </c>
      <c r="G1126" s="162" t="s">
        <v>33</v>
      </c>
      <c r="H1126" s="163">
        <f t="shared" si="62"/>
        <v>43844</v>
      </c>
      <c r="I1126" s="265">
        <f t="shared" si="63"/>
        <v>44168</v>
      </c>
    </row>
    <row r="1127" spans="1:9" s="2" customFormat="1" x14ac:dyDescent="0.25">
      <c r="A1127" s="156">
        <v>1038</v>
      </c>
      <c r="B1127" s="478">
        <v>5</v>
      </c>
      <c r="C1127" s="479" t="s">
        <v>1615</v>
      </c>
      <c r="D1127" s="480">
        <v>849316005</v>
      </c>
      <c r="E1127" s="179" t="s">
        <v>1328</v>
      </c>
      <c r="F1127" s="161">
        <v>2016</v>
      </c>
      <c r="G1127" s="162" t="s">
        <v>33</v>
      </c>
      <c r="H1127" s="163">
        <f t="shared" si="62"/>
        <v>43651</v>
      </c>
      <c r="I1127" s="163">
        <f t="shared" si="63"/>
        <v>43705</v>
      </c>
    </row>
    <row r="1128" spans="1:9" s="2" customFormat="1" x14ac:dyDescent="0.25">
      <c r="A1128" s="156">
        <v>1039</v>
      </c>
      <c r="B1128" s="478">
        <v>6</v>
      </c>
      <c r="C1128" s="479" t="s">
        <v>1616</v>
      </c>
      <c r="D1128" s="480">
        <v>849316006</v>
      </c>
      <c r="E1128" s="179" t="s">
        <v>1328</v>
      </c>
      <c r="F1128" s="161">
        <v>2016</v>
      </c>
      <c r="G1128" s="162" t="s">
        <v>33</v>
      </c>
      <c r="H1128" s="163">
        <f t="shared" si="62"/>
        <v>43307</v>
      </c>
      <c r="I1128" s="163">
        <f t="shared" si="63"/>
        <v>43440</v>
      </c>
    </row>
    <row r="1129" spans="1:9" s="2" customFormat="1" x14ac:dyDescent="0.25">
      <c r="A1129" s="164">
        <v>1040</v>
      </c>
      <c r="B1129" s="475">
        <v>7</v>
      </c>
      <c r="C1129" s="481" t="s">
        <v>1617</v>
      </c>
      <c r="D1129" s="482">
        <v>849316007</v>
      </c>
      <c r="E1129" s="237" t="s">
        <v>1328</v>
      </c>
      <c r="F1129" s="238">
        <v>2016</v>
      </c>
      <c r="G1129" s="214" t="s">
        <v>1077</v>
      </c>
      <c r="H1129" s="239" t="str">
        <f t="shared" si="62"/>
        <v xml:space="preserve">   </v>
      </c>
      <c r="I1129" s="239" t="str">
        <f t="shared" si="63"/>
        <v xml:space="preserve">   </v>
      </c>
    </row>
    <row r="1130" spans="1:9" s="2" customFormat="1" x14ac:dyDescent="0.25">
      <c r="A1130" s="156">
        <v>1041</v>
      </c>
      <c r="B1130" s="478">
        <v>8</v>
      </c>
      <c r="C1130" s="479" t="s">
        <v>1618</v>
      </c>
      <c r="D1130" s="480">
        <v>849316008</v>
      </c>
      <c r="E1130" s="179" t="s">
        <v>1328</v>
      </c>
      <c r="F1130" s="161">
        <v>2016</v>
      </c>
      <c r="G1130" s="162" t="s">
        <v>33</v>
      </c>
      <c r="H1130" s="163">
        <f t="shared" si="62"/>
        <v>43511</v>
      </c>
      <c r="I1130" s="163">
        <f t="shared" si="63"/>
        <v>43587</v>
      </c>
    </row>
    <row r="1131" spans="1:9" s="2" customFormat="1" x14ac:dyDescent="0.25">
      <c r="A1131" s="156">
        <v>1042</v>
      </c>
      <c r="B1131" s="478">
        <v>9</v>
      </c>
      <c r="C1131" s="479" t="s">
        <v>1619</v>
      </c>
      <c r="D1131" s="480">
        <v>849316009</v>
      </c>
      <c r="E1131" s="179" t="s">
        <v>1328</v>
      </c>
      <c r="F1131" s="161">
        <v>2016</v>
      </c>
      <c r="G1131" s="162" t="s">
        <v>33</v>
      </c>
      <c r="H1131" s="163">
        <f t="shared" si="62"/>
        <v>43307</v>
      </c>
      <c r="I1131" s="163">
        <f t="shared" si="63"/>
        <v>43440</v>
      </c>
    </row>
    <row r="1132" spans="1:9" s="2" customFormat="1" x14ac:dyDescent="0.25">
      <c r="A1132" s="156">
        <v>1043</v>
      </c>
      <c r="B1132" s="478">
        <v>10</v>
      </c>
      <c r="C1132" s="479" t="s">
        <v>1620</v>
      </c>
      <c r="D1132" s="480">
        <v>849316010</v>
      </c>
      <c r="E1132" s="179" t="s">
        <v>1328</v>
      </c>
      <c r="F1132" s="161">
        <v>2016</v>
      </c>
      <c r="G1132" s="162" t="s">
        <v>33</v>
      </c>
      <c r="H1132" s="163">
        <f t="shared" si="62"/>
        <v>43657</v>
      </c>
      <c r="I1132" s="163">
        <f t="shared" si="63"/>
        <v>43750</v>
      </c>
    </row>
    <row r="1133" spans="1:9" s="2" customFormat="1" x14ac:dyDescent="0.25">
      <c r="A1133" s="164">
        <v>1044</v>
      </c>
      <c r="B1133" s="475">
        <v>11</v>
      </c>
      <c r="C1133" s="476" t="s">
        <v>1621</v>
      </c>
      <c r="D1133" s="477">
        <v>849316011</v>
      </c>
      <c r="E1133" s="441" t="s">
        <v>1328</v>
      </c>
      <c r="F1133" s="175">
        <v>2016</v>
      </c>
      <c r="G1133" s="162" t="s">
        <v>33</v>
      </c>
      <c r="H1133" s="163">
        <f t="shared" si="62"/>
        <v>43825</v>
      </c>
      <c r="I1133" s="163">
        <f t="shared" si="63"/>
        <v>44168</v>
      </c>
    </row>
    <row r="1134" spans="1:9" s="2" customFormat="1" x14ac:dyDescent="0.25">
      <c r="A1134" s="156">
        <v>1045</v>
      </c>
      <c r="B1134" s="478">
        <v>12</v>
      </c>
      <c r="C1134" s="479" t="s">
        <v>1622</v>
      </c>
      <c r="D1134" s="480">
        <v>849316012</v>
      </c>
      <c r="E1134" s="179" t="s">
        <v>1328</v>
      </c>
      <c r="F1134" s="161">
        <v>2016</v>
      </c>
      <c r="G1134" s="162" t="s">
        <v>33</v>
      </c>
      <c r="H1134" s="163">
        <f t="shared" si="62"/>
        <v>43649</v>
      </c>
      <c r="I1134" s="163">
        <f t="shared" si="63"/>
        <v>43750</v>
      </c>
    </row>
    <row r="1135" spans="1:9" s="2" customFormat="1" x14ac:dyDescent="0.25">
      <c r="A1135" s="156">
        <v>1046</v>
      </c>
      <c r="B1135" s="478">
        <v>13</v>
      </c>
      <c r="C1135" s="479" t="s">
        <v>1623</v>
      </c>
      <c r="D1135" s="480">
        <v>849316013</v>
      </c>
      <c r="E1135" s="179" t="s">
        <v>1328</v>
      </c>
      <c r="F1135" s="161">
        <v>2016</v>
      </c>
      <c r="G1135" s="162" t="s">
        <v>33</v>
      </c>
      <c r="H1135" s="163">
        <f t="shared" si="62"/>
        <v>43497</v>
      </c>
      <c r="I1135" s="163">
        <f t="shared" si="63"/>
        <v>43587</v>
      </c>
    </row>
    <row r="1136" spans="1:9" s="2" customFormat="1" x14ac:dyDescent="0.25">
      <c r="A1136" s="156">
        <v>1047</v>
      </c>
      <c r="B1136" s="478">
        <v>14</v>
      </c>
      <c r="C1136" s="479" t="s">
        <v>1624</v>
      </c>
      <c r="D1136" s="480">
        <v>849316014</v>
      </c>
      <c r="E1136" s="179" t="s">
        <v>1328</v>
      </c>
      <c r="F1136" s="161">
        <v>2016</v>
      </c>
      <c r="G1136" s="162" t="s">
        <v>33</v>
      </c>
      <c r="H1136" s="163">
        <f t="shared" si="62"/>
        <v>43236</v>
      </c>
      <c r="I1136" s="163">
        <f t="shared" si="63"/>
        <v>43351</v>
      </c>
    </row>
    <row r="1137" spans="1:9" s="2" customFormat="1" x14ac:dyDescent="0.25">
      <c r="A1137" s="156">
        <v>1048</v>
      </c>
      <c r="B1137" s="478">
        <v>15</v>
      </c>
      <c r="C1137" s="479" t="s">
        <v>1625</v>
      </c>
      <c r="D1137" s="477">
        <v>849316015</v>
      </c>
      <c r="E1137" s="179" t="s">
        <v>1328</v>
      </c>
      <c r="F1137" s="161">
        <v>2016</v>
      </c>
      <c r="G1137" s="162" t="s">
        <v>33</v>
      </c>
      <c r="H1137" s="163">
        <f t="shared" si="62"/>
        <v>43881</v>
      </c>
      <c r="I1137" s="265">
        <f t="shared" si="63"/>
        <v>44058</v>
      </c>
    </row>
    <row r="1138" spans="1:9" s="2" customFormat="1" x14ac:dyDescent="0.25">
      <c r="A1138" s="156">
        <v>1049</v>
      </c>
      <c r="B1138" s="478">
        <v>16</v>
      </c>
      <c r="C1138" s="479" t="s">
        <v>1626</v>
      </c>
      <c r="D1138" s="480">
        <v>849316016</v>
      </c>
      <c r="E1138" s="179" t="s">
        <v>1328</v>
      </c>
      <c r="F1138" s="161">
        <v>2016</v>
      </c>
      <c r="G1138" s="162" t="s">
        <v>33</v>
      </c>
      <c r="H1138" s="163">
        <f t="shared" si="62"/>
        <v>43735</v>
      </c>
      <c r="I1138" s="163">
        <f t="shared" si="63"/>
        <v>43818</v>
      </c>
    </row>
    <row r="1139" spans="1:9" s="2" customFormat="1" x14ac:dyDescent="0.25">
      <c r="A1139" s="164">
        <v>1050</v>
      </c>
      <c r="B1139" s="475">
        <v>17</v>
      </c>
      <c r="C1139" s="476" t="s">
        <v>1627</v>
      </c>
      <c r="D1139" s="477">
        <v>849316017</v>
      </c>
      <c r="E1139" s="441" t="s">
        <v>1328</v>
      </c>
      <c r="F1139" s="175">
        <v>2016</v>
      </c>
      <c r="G1139" s="360" t="s">
        <v>1483</v>
      </c>
      <c r="H1139" s="265" t="str">
        <f t="shared" si="62"/>
        <v xml:space="preserve">   </v>
      </c>
      <c r="I1139" s="265" t="str">
        <f t="shared" si="63"/>
        <v xml:space="preserve">   </v>
      </c>
    </row>
    <row r="1140" spans="1:9" s="2" customFormat="1" x14ac:dyDescent="0.25">
      <c r="A1140" s="164">
        <v>1051</v>
      </c>
      <c r="B1140" s="475">
        <v>18</v>
      </c>
      <c r="C1140" s="476" t="s">
        <v>1628</v>
      </c>
      <c r="D1140" s="477">
        <v>849316018</v>
      </c>
      <c r="E1140" s="441" t="s">
        <v>1328</v>
      </c>
      <c r="F1140" s="175">
        <v>2016</v>
      </c>
      <c r="G1140" s="360" t="s">
        <v>1483</v>
      </c>
      <c r="H1140" s="265">
        <f t="shared" si="62"/>
        <v>44057</v>
      </c>
      <c r="I1140" s="265">
        <f t="shared" si="63"/>
        <v>44186</v>
      </c>
    </row>
    <row r="1141" spans="1:9" s="2" customFormat="1" x14ac:dyDescent="0.25">
      <c r="A1141" s="156">
        <v>1052</v>
      </c>
      <c r="B1141" s="478">
        <v>19</v>
      </c>
      <c r="C1141" s="479" t="s">
        <v>1629</v>
      </c>
      <c r="D1141" s="480">
        <v>849316019</v>
      </c>
      <c r="E1141" s="179" t="s">
        <v>1328</v>
      </c>
      <c r="F1141" s="161">
        <v>2016</v>
      </c>
      <c r="G1141" s="162" t="s">
        <v>33</v>
      </c>
      <c r="H1141" s="163">
        <f t="shared" si="62"/>
        <v>43313</v>
      </c>
      <c r="I1141" s="163">
        <f t="shared" si="63"/>
        <v>43440</v>
      </c>
    </row>
    <row r="1142" spans="1:9" s="2" customFormat="1" x14ac:dyDescent="0.25">
      <c r="A1142" s="164">
        <v>1053</v>
      </c>
      <c r="B1142" s="475">
        <v>20</v>
      </c>
      <c r="C1142" s="476" t="s">
        <v>1630</v>
      </c>
      <c r="D1142" s="477">
        <v>849316020</v>
      </c>
      <c r="E1142" s="441" t="s">
        <v>1328</v>
      </c>
      <c r="F1142" s="175">
        <v>2016</v>
      </c>
      <c r="G1142" s="404" t="s">
        <v>28</v>
      </c>
      <c r="H1142" s="265">
        <f t="shared" si="62"/>
        <v>44096</v>
      </c>
      <c r="I1142" s="265">
        <f t="shared" si="63"/>
        <v>44186</v>
      </c>
    </row>
    <row r="1143" spans="1:9" s="2" customFormat="1" x14ac:dyDescent="0.25">
      <c r="A1143" s="164">
        <v>1054</v>
      </c>
      <c r="B1143" s="475">
        <v>21</v>
      </c>
      <c r="C1143" s="476" t="s">
        <v>1632</v>
      </c>
      <c r="D1143" s="477">
        <v>849316021</v>
      </c>
      <c r="E1143" s="441" t="s">
        <v>1328</v>
      </c>
      <c r="F1143" s="175">
        <v>2016</v>
      </c>
      <c r="G1143" s="360" t="s">
        <v>1483</v>
      </c>
      <c r="H1143" s="265">
        <f t="shared" si="62"/>
        <v>44027</v>
      </c>
      <c r="I1143" s="265">
        <f t="shared" si="63"/>
        <v>44168</v>
      </c>
    </row>
    <row r="1144" spans="1:9" s="2" customFormat="1" x14ac:dyDescent="0.25">
      <c r="A1144" s="156">
        <v>1055</v>
      </c>
      <c r="B1144" s="478">
        <v>22</v>
      </c>
      <c r="C1144" s="479" t="s">
        <v>1633</v>
      </c>
      <c r="D1144" s="480">
        <v>849316022</v>
      </c>
      <c r="E1144" s="179" t="s">
        <v>1328</v>
      </c>
      <c r="F1144" s="161">
        <v>2016</v>
      </c>
      <c r="G1144" s="162" t="s">
        <v>33</v>
      </c>
      <c r="H1144" s="163">
        <f t="shared" si="62"/>
        <v>43481</v>
      </c>
      <c r="I1144" s="163">
        <f t="shared" si="63"/>
        <v>43587</v>
      </c>
    </row>
    <row r="1145" spans="1:9" s="2" customFormat="1" x14ac:dyDescent="0.25">
      <c r="A1145" s="156">
        <v>1056</v>
      </c>
      <c r="B1145" s="478">
        <v>23</v>
      </c>
      <c r="C1145" s="479" t="s">
        <v>1634</v>
      </c>
      <c r="D1145" s="480">
        <v>849316023</v>
      </c>
      <c r="E1145" s="179" t="s">
        <v>1328</v>
      </c>
      <c r="F1145" s="161">
        <v>2016</v>
      </c>
      <c r="G1145" s="272" t="s">
        <v>33</v>
      </c>
      <c r="H1145" s="163">
        <f t="shared" si="62"/>
        <v>43489</v>
      </c>
      <c r="I1145" s="163">
        <f t="shared" si="63"/>
        <v>43750</v>
      </c>
    </row>
    <row r="1146" spans="1:9" s="2" customFormat="1" x14ac:dyDescent="0.25">
      <c r="A1146" s="164">
        <v>1057</v>
      </c>
      <c r="B1146" s="475">
        <v>24</v>
      </c>
      <c r="C1146" s="476" t="s">
        <v>1635</v>
      </c>
      <c r="D1146" s="477">
        <v>849316024</v>
      </c>
      <c r="E1146" s="441" t="s">
        <v>1328</v>
      </c>
      <c r="F1146" s="175">
        <v>2016</v>
      </c>
      <c r="G1146" s="404" t="s">
        <v>28</v>
      </c>
      <c r="H1146" s="265" t="str">
        <f t="shared" si="62"/>
        <v xml:space="preserve">   </v>
      </c>
      <c r="I1146" s="265" t="str">
        <f t="shared" si="63"/>
        <v xml:space="preserve">   </v>
      </c>
    </row>
    <row r="1147" spans="1:9" s="2" customFormat="1" x14ac:dyDescent="0.25">
      <c r="A1147" s="164">
        <v>1058</v>
      </c>
      <c r="B1147" s="475">
        <v>25</v>
      </c>
      <c r="C1147" s="476" t="s">
        <v>1636</v>
      </c>
      <c r="D1147" s="477">
        <v>849316025</v>
      </c>
      <c r="E1147" s="441" t="s">
        <v>1328</v>
      </c>
      <c r="F1147" s="175">
        <v>2016</v>
      </c>
      <c r="G1147" s="404" t="s">
        <v>28</v>
      </c>
      <c r="H1147" s="265" t="str">
        <f t="shared" si="62"/>
        <v xml:space="preserve">   </v>
      </c>
      <c r="I1147" s="265" t="str">
        <f t="shared" si="63"/>
        <v xml:space="preserve">   </v>
      </c>
    </row>
    <row r="1148" spans="1:9" s="2" customFormat="1" x14ac:dyDescent="0.25">
      <c r="A1148" s="164">
        <v>1059</v>
      </c>
      <c r="B1148" s="475">
        <v>26</v>
      </c>
      <c r="C1148" s="476" t="s">
        <v>1637</v>
      </c>
      <c r="D1148" s="477">
        <v>849316026</v>
      </c>
      <c r="E1148" s="441" t="s">
        <v>1328</v>
      </c>
      <c r="F1148" s="175">
        <v>2016</v>
      </c>
      <c r="G1148" s="360" t="s">
        <v>1483</v>
      </c>
      <c r="H1148" s="265">
        <f t="shared" si="62"/>
        <v>44051</v>
      </c>
      <c r="I1148" s="265">
        <f t="shared" si="63"/>
        <v>44168</v>
      </c>
    </row>
    <row r="1149" spans="1:9" s="2" customFormat="1" x14ac:dyDescent="0.25">
      <c r="A1149" s="164">
        <v>1060</v>
      </c>
      <c r="B1149" s="475">
        <v>27</v>
      </c>
      <c r="C1149" s="476" t="s">
        <v>1638</v>
      </c>
      <c r="D1149" s="477">
        <v>849316027</v>
      </c>
      <c r="E1149" s="441" t="s">
        <v>1328</v>
      </c>
      <c r="F1149" s="175">
        <v>2016</v>
      </c>
      <c r="G1149" s="404" t="s">
        <v>28</v>
      </c>
      <c r="H1149" s="265" t="str">
        <f t="shared" si="62"/>
        <v xml:space="preserve">   </v>
      </c>
      <c r="I1149" s="265" t="str">
        <f t="shared" si="63"/>
        <v xml:space="preserve">   </v>
      </c>
    </row>
    <row r="1150" spans="1:9" s="2" customFormat="1" x14ac:dyDescent="0.25">
      <c r="A1150" s="156">
        <v>1061</v>
      </c>
      <c r="B1150" s="478">
        <v>28</v>
      </c>
      <c r="C1150" s="479" t="s">
        <v>1639</v>
      </c>
      <c r="D1150" s="480">
        <v>849316028</v>
      </c>
      <c r="E1150" s="179" t="s">
        <v>1328</v>
      </c>
      <c r="F1150" s="161">
        <v>2016</v>
      </c>
      <c r="G1150" s="272" t="s">
        <v>33</v>
      </c>
      <c r="H1150" s="163">
        <f t="shared" si="62"/>
        <v>43305</v>
      </c>
      <c r="I1150" s="163">
        <f t="shared" si="63"/>
        <v>43750</v>
      </c>
    </row>
    <row r="1151" spans="1:9" s="2" customFormat="1" x14ac:dyDescent="0.25">
      <c r="A1151" s="164">
        <v>1062</v>
      </c>
      <c r="B1151" s="475">
        <v>29</v>
      </c>
      <c r="C1151" s="476" t="s">
        <v>1640</v>
      </c>
      <c r="D1151" s="477">
        <v>849316029</v>
      </c>
      <c r="E1151" s="441" t="s">
        <v>1328</v>
      </c>
      <c r="F1151" s="175">
        <v>2016</v>
      </c>
      <c r="G1151" s="404" t="s">
        <v>28</v>
      </c>
      <c r="H1151" s="265" t="str">
        <f t="shared" ref="H1151:H1214" si="64">IFERROR(VLOOKUP(D1151,Tlus,3,FALSE),"   ")</f>
        <v xml:space="preserve">   </v>
      </c>
      <c r="I1151" s="265" t="str">
        <f t="shared" ref="I1151:I1214" si="65">IFERROR(VLOOKUP(D1151,Wis,4,FALSE),"   ")</f>
        <v xml:space="preserve">   </v>
      </c>
    </row>
    <row r="1152" spans="1:9" s="2" customFormat="1" x14ac:dyDescent="0.25">
      <c r="A1152" s="156">
        <v>1063</v>
      </c>
      <c r="B1152" s="478">
        <v>30</v>
      </c>
      <c r="C1152" s="479" t="s">
        <v>1641</v>
      </c>
      <c r="D1152" s="477">
        <v>849316030</v>
      </c>
      <c r="E1152" s="179" t="s">
        <v>1328</v>
      </c>
      <c r="F1152" s="161">
        <v>2016</v>
      </c>
      <c r="G1152" s="162" t="s">
        <v>33</v>
      </c>
      <c r="H1152" s="163">
        <f t="shared" si="64"/>
        <v>43837</v>
      </c>
      <c r="I1152" s="265">
        <f t="shared" si="65"/>
        <v>44186</v>
      </c>
    </row>
    <row r="1153" spans="1:9" s="2" customFormat="1" x14ac:dyDescent="0.25">
      <c r="A1153" s="164">
        <v>1064</v>
      </c>
      <c r="B1153" s="475">
        <v>31</v>
      </c>
      <c r="C1153" s="483" t="s">
        <v>1642</v>
      </c>
      <c r="D1153" s="484">
        <v>849316031</v>
      </c>
      <c r="E1153" s="444" t="s">
        <v>1328</v>
      </c>
      <c r="F1153" s="445">
        <v>2016</v>
      </c>
      <c r="G1153" s="404" t="s">
        <v>28</v>
      </c>
      <c r="H1153" s="446" t="str">
        <f t="shared" si="64"/>
        <v xml:space="preserve">   </v>
      </c>
      <c r="I1153" s="446" t="str">
        <f t="shared" si="65"/>
        <v xml:space="preserve">   </v>
      </c>
    </row>
    <row r="1154" spans="1:9" s="2" customFormat="1" x14ac:dyDescent="0.25">
      <c r="A1154" s="156">
        <v>1065</v>
      </c>
      <c r="B1154" s="478">
        <v>32</v>
      </c>
      <c r="C1154" s="479" t="s">
        <v>1643</v>
      </c>
      <c r="D1154" s="480">
        <v>849316032</v>
      </c>
      <c r="E1154" s="179" t="s">
        <v>1328</v>
      </c>
      <c r="F1154" s="161">
        <v>2016</v>
      </c>
      <c r="G1154" s="272" t="s">
        <v>33</v>
      </c>
      <c r="H1154" s="163">
        <f t="shared" si="64"/>
        <v>43306</v>
      </c>
      <c r="I1154" s="163">
        <f t="shared" si="65"/>
        <v>43587</v>
      </c>
    </row>
    <row r="1155" spans="1:9" s="2" customFormat="1" x14ac:dyDescent="0.25">
      <c r="A1155" s="164">
        <v>1066</v>
      </c>
      <c r="B1155" s="475">
        <v>33</v>
      </c>
      <c r="C1155" s="476" t="s">
        <v>1645</v>
      </c>
      <c r="D1155" s="477">
        <v>849316033</v>
      </c>
      <c r="E1155" s="441" t="s">
        <v>1328</v>
      </c>
      <c r="F1155" s="175">
        <v>2016</v>
      </c>
      <c r="G1155" s="360" t="s">
        <v>1483</v>
      </c>
      <c r="H1155" s="265">
        <f t="shared" si="64"/>
        <v>44028</v>
      </c>
      <c r="I1155" s="265" t="str">
        <f t="shared" si="65"/>
        <v xml:space="preserve">   </v>
      </c>
    </row>
    <row r="1156" spans="1:9" s="2" customFormat="1" x14ac:dyDescent="0.25">
      <c r="A1156" s="156">
        <v>1067</v>
      </c>
      <c r="B1156" s="478">
        <v>34</v>
      </c>
      <c r="C1156" s="479" t="s">
        <v>1646</v>
      </c>
      <c r="D1156" s="480">
        <v>849316034</v>
      </c>
      <c r="E1156" s="179" t="s">
        <v>1328</v>
      </c>
      <c r="F1156" s="161">
        <v>2016</v>
      </c>
      <c r="G1156" s="272" t="s">
        <v>33</v>
      </c>
      <c r="H1156" s="163">
        <f t="shared" si="64"/>
        <v>43719</v>
      </c>
      <c r="I1156" s="163">
        <f t="shared" si="65"/>
        <v>43818</v>
      </c>
    </row>
    <row r="1157" spans="1:9" s="2" customFormat="1" x14ac:dyDescent="0.25">
      <c r="A1157" s="164">
        <v>1068</v>
      </c>
      <c r="B1157" s="475">
        <v>35</v>
      </c>
      <c r="C1157" s="476" t="s">
        <v>1647</v>
      </c>
      <c r="D1157" s="477">
        <v>849316035</v>
      </c>
      <c r="E1157" s="441" t="s">
        <v>1328</v>
      </c>
      <c r="F1157" s="175">
        <v>2016</v>
      </c>
      <c r="G1157" s="360" t="s">
        <v>1483</v>
      </c>
      <c r="H1157" s="265">
        <f t="shared" si="64"/>
        <v>43997</v>
      </c>
      <c r="I1157" s="265">
        <f t="shared" si="65"/>
        <v>44186</v>
      </c>
    </row>
    <row r="1158" spans="1:9" s="2" customFormat="1" x14ac:dyDescent="0.25">
      <c r="A1158" s="156">
        <v>1069</v>
      </c>
      <c r="B1158" s="478">
        <v>36</v>
      </c>
      <c r="C1158" s="479" t="s">
        <v>1648</v>
      </c>
      <c r="D1158" s="480">
        <v>849316036</v>
      </c>
      <c r="E1158" s="179" t="s">
        <v>1328</v>
      </c>
      <c r="F1158" s="161">
        <v>2016</v>
      </c>
      <c r="G1158" s="162" t="s">
        <v>33</v>
      </c>
      <c r="H1158" s="163">
        <f t="shared" si="64"/>
        <v>43650</v>
      </c>
      <c r="I1158" s="163">
        <f t="shared" si="65"/>
        <v>43750</v>
      </c>
    </row>
    <row r="1159" spans="1:9" s="2" customFormat="1" x14ac:dyDescent="0.25">
      <c r="A1159" s="164">
        <v>1070</v>
      </c>
      <c r="B1159" s="475">
        <v>37</v>
      </c>
      <c r="C1159" s="476" t="s">
        <v>1649</v>
      </c>
      <c r="D1159" s="477">
        <v>849316037</v>
      </c>
      <c r="E1159" s="441" t="s">
        <v>1328</v>
      </c>
      <c r="F1159" s="175">
        <v>2016</v>
      </c>
      <c r="G1159" s="404" t="s">
        <v>28</v>
      </c>
      <c r="H1159" s="265" t="str">
        <f t="shared" si="64"/>
        <v xml:space="preserve">   </v>
      </c>
      <c r="I1159" s="265" t="str">
        <f t="shared" si="65"/>
        <v xml:space="preserve">   </v>
      </c>
    </row>
    <row r="1160" spans="1:9" s="2" customFormat="1" x14ac:dyDescent="0.25">
      <c r="A1160" s="164">
        <v>1071</v>
      </c>
      <c r="B1160" s="475">
        <v>38</v>
      </c>
      <c r="C1160" s="483" t="s">
        <v>1650</v>
      </c>
      <c r="D1160" s="484">
        <v>849316038</v>
      </c>
      <c r="E1160" s="444" t="s">
        <v>1328</v>
      </c>
      <c r="F1160" s="445">
        <v>2016</v>
      </c>
      <c r="G1160" s="404" t="s">
        <v>28</v>
      </c>
      <c r="H1160" s="446" t="str">
        <f t="shared" si="64"/>
        <v xml:space="preserve">   </v>
      </c>
      <c r="I1160" s="446" t="str">
        <f t="shared" si="65"/>
        <v xml:space="preserve">   </v>
      </c>
    </row>
    <row r="1161" spans="1:9" s="2" customFormat="1" x14ac:dyDescent="0.25">
      <c r="A1161" s="164">
        <v>1072</v>
      </c>
      <c r="B1161" s="475">
        <v>39</v>
      </c>
      <c r="C1161" s="476" t="s">
        <v>1651</v>
      </c>
      <c r="D1161" s="477">
        <v>849316039</v>
      </c>
      <c r="E1161" s="264" t="s">
        <v>1328</v>
      </c>
      <c r="F1161" s="175">
        <v>2016</v>
      </c>
      <c r="G1161" s="485" t="s">
        <v>1077</v>
      </c>
      <c r="H1161" s="265" t="str">
        <f t="shared" si="64"/>
        <v xml:space="preserve">   </v>
      </c>
      <c r="I1161" s="265" t="str">
        <f t="shared" si="65"/>
        <v xml:space="preserve">   </v>
      </c>
    </row>
    <row r="1162" spans="1:9" s="2" customFormat="1" x14ac:dyDescent="0.25">
      <c r="A1162" s="164">
        <v>1073</v>
      </c>
      <c r="B1162" s="475">
        <v>40</v>
      </c>
      <c r="C1162" s="476" t="s">
        <v>131</v>
      </c>
      <c r="D1162" s="477">
        <v>849316040</v>
      </c>
      <c r="E1162" s="441" t="s">
        <v>1328</v>
      </c>
      <c r="F1162" s="175">
        <v>2016</v>
      </c>
      <c r="G1162" s="404" t="s">
        <v>28</v>
      </c>
      <c r="H1162" s="265" t="str">
        <f t="shared" si="64"/>
        <v xml:space="preserve">   </v>
      </c>
      <c r="I1162" s="265" t="str">
        <f t="shared" si="65"/>
        <v xml:space="preserve">   </v>
      </c>
    </row>
    <row r="1163" spans="1:9" s="2" customFormat="1" x14ac:dyDescent="0.25">
      <c r="A1163" s="164">
        <v>1074</v>
      </c>
      <c r="B1163" s="475">
        <v>41</v>
      </c>
      <c r="C1163" s="476" t="s">
        <v>1653</v>
      </c>
      <c r="D1163" s="477">
        <v>849316041</v>
      </c>
      <c r="E1163" s="441" t="s">
        <v>1328</v>
      </c>
      <c r="F1163" s="175">
        <v>2016</v>
      </c>
      <c r="G1163" s="360" t="s">
        <v>1483</v>
      </c>
      <c r="H1163" s="265">
        <f t="shared" si="64"/>
        <v>44055</v>
      </c>
      <c r="I1163" s="265">
        <f t="shared" si="65"/>
        <v>44168</v>
      </c>
    </row>
    <row r="1164" spans="1:9" s="2" customFormat="1" x14ac:dyDescent="0.25">
      <c r="A1164" s="164">
        <v>1075</v>
      </c>
      <c r="B1164" s="478">
        <v>42</v>
      </c>
      <c r="C1164" s="479" t="s">
        <v>1654</v>
      </c>
      <c r="D1164" s="480">
        <v>849316042</v>
      </c>
      <c r="E1164" s="179" t="s">
        <v>1328</v>
      </c>
      <c r="F1164" s="161">
        <v>2016</v>
      </c>
      <c r="G1164" s="162" t="s">
        <v>33</v>
      </c>
      <c r="H1164" s="163">
        <f t="shared" si="64"/>
        <v>43312</v>
      </c>
      <c r="I1164" s="163">
        <f t="shared" si="65"/>
        <v>43440</v>
      </c>
    </row>
    <row r="1165" spans="1:9" s="2" customFormat="1" x14ac:dyDescent="0.25">
      <c r="A1165" s="164">
        <v>1076</v>
      </c>
      <c r="B1165" s="475">
        <v>43</v>
      </c>
      <c r="C1165" s="476" t="s">
        <v>1655</v>
      </c>
      <c r="D1165" s="477">
        <v>849316043</v>
      </c>
      <c r="E1165" s="441" t="s">
        <v>1328</v>
      </c>
      <c r="F1165" s="175">
        <v>2016</v>
      </c>
      <c r="G1165" s="404" t="s">
        <v>28</v>
      </c>
      <c r="H1165" s="265">
        <f t="shared" si="64"/>
        <v>44039</v>
      </c>
      <c r="I1165" s="265">
        <f t="shared" si="65"/>
        <v>44168</v>
      </c>
    </row>
    <row r="1166" spans="1:9" s="2" customFormat="1" x14ac:dyDescent="0.25">
      <c r="A1166" s="164">
        <v>1077</v>
      </c>
      <c r="B1166" s="475">
        <v>44</v>
      </c>
      <c r="C1166" s="476" t="s">
        <v>1656</v>
      </c>
      <c r="D1166" s="477">
        <v>849316044</v>
      </c>
      <c r="E1166" s="441" t="s">
        <v>1328</v>
      </c>
      <c r="F1166" s="175">
        <v>2016</v>
      </c>
      <c r="G1166" s="404" t="s">
        <v>28</v>
      </c>
      <c r="H1166" s="265" t="str">
        <f t="shared" si="64"/>
        <v xml:space="preserve">   </v>
      </c>
      <c r="I1166" s="265" t="str">
        <f t="shared" si="65"/>
        <v xml:space="preserve">   </v>
      </c>
    </row>
    <row r="1167" spans="1:9" s="2" customFormat="1" x14ac:dyDescent="0.25">
      <c r="A1167" s="164">
        <v>1078</v>
      </c>
      <c r="B1167" s="475">
        <v>45</v>
      </c>
      <c r="C1167" s="476" t="s">
        <v>1657</v>
      </c>
      <c r="D1167" s="477">
        <v>849316045</v>
      </c>
      <c r="E1167" s="441" t="s">
        <v>1328</v>
      </c>
      <c r="F1167" s="175">
        <v>2016</v>
      </c>
      <c r="G1167" s="404" t="s">
        <v>28</v>
      </c>
      <c r="H1167" s="265" t="str">
        <f t="shared" si="64"/>
        <v xml:space="preserve">   </v>
      </c>
      <c r="I1167" s="265" t="str">
        <f t="shared" si="65"/>
        <v xml:space="preserve">   </v>
      </c>
    </row>
    <row r="1168" spans="1:9" s="2" customFormat="1" x14ac:dyDescent="0.25">
      <c r="A1168" s="156">
        <v>1079</v>
      </c>
      <c r="B1168" s="478">
        <v>46</v>
      </c>
      <c r="C1168" s="479" t="s">
        <v>1658</v>
      </c>
      <c r="D1168" s="480">
        <v>849316046</v>
      </c>
      <c r="E1168" s="179" t="s">
        <v>1328</v>
      </c>
      <c r="F1168" s="161">
        <v>2016</v>
      </c>
      <c r="G1168" s="272" t="s">
        <v>33</v>
      </c>
      <c r="H1168" s="163">
        <f t="shared" si="64"/>
        <v>43244</v>
      </c>
      <c r="I1168" s="163">
        <f t="shared" si="65"/>
        <v>43750</v>
      </c>
    </row>
    <row r="1169" spans="1:9" s="2" customFormat="1" x14ac:dyDescent="0.25">
      <c r="A1169" s="156">
        <v>1080</v>
      </c>
      <c r="B1169" s="478">
        <v>47</v>
      </c>
      <c r="C1169" s="479" t="s">
        <v>1659</v>
      </c>
      <c r="D1169" s="480">
        <v>849316047</v>
      </c>
      <c r="E1169" s="179" t="s">
        <v>1328</v>
      </c>
      <c r="F1169" s="161">
        <v>2016</v>
      </c>
      <c r="G1169" s="162" t="s">
        <v>33</v>
      </c>
      <c r="H1169" s="163">
        <f t="shared" si="64"/>
        <v>43285</v>
      </c>
      <c r="I1169" s="163">
        <f t="shared" si="65"/>
        <v>43351</v>
      </c>
    </row>
    <row r="1170" spans="1:9" s="2" customFormat="1" x14ac:dyDescent="0.25">
      <c r="A1170" s="164">
        <v>1081</v>
      </c>
      <c r="B1170" s="475">
        <v>48</v>
      </c>
      <c r="C1170" s="476" t="s">
        <v>1660</v>
      </c>
      <c r="D1170" s="477">
        <v>849316048</v>
      </c>
      <c r="E1170" s="441" t="s">
        <v>1328</v>
      </c>
      <c r="F1170" s="175">
        <v>2016</v>
      </c>
      <c r="G1170" s="360" t="s">
        <v>1483</v>
      </c>
      <c r="H1170" s="265">
        <f t="shared" si="64"/>
        <v>44027</v>
      </c>
      <c r="I1170" s="265">
        <f t="shared" si="65"/>
        <v>44168</v>
      </c>
    </row>
    <row r="1171" spans="1:9" s="2" customFormat="1" x14ac:dyDescent="0.25">
      <c r="A1171" s="164">
        <v>1082</v>
      </c>
      <c r="B1171" s="475">
        <v>49</v>
      </c>
      <c r="C1171" s="476" t="s">
        <v>1661</v>
      </c>
      <c r="D1171" s="477">
        <v>849316049</v>
      </c>
      <c r="E1171" s="264" t="s">
        <v>1328</v>
      </c>
      <c r="F1171" s="175">
        <v>2016</v>
      </c>
      <c r="G1171" s="404" t="s">
        <v>28</v>
      </c>
      <c r="H1171" s="265" t="str">
        <f t="shared" si="64"/>
        <v xml:space="preserve">   </v>
      </c>
      <c r="I1171" s="265" t="str">
        <f t="shared" si="65"/>
        <v xml:space="preserve">   </v>
      </c>
    </row>
    <row r="1172" spans="1:9" s="2" customFormat="1" x14ac:dyDescent="0.25">
      <c r="A1172" s="216">
        <v>1083</v>
      </c>
      <c r="B1172" s="486">
        <v>50</v>
      </c>
      <c r="C1172" s="487" t="s">
        <v>1662</v>
      </c>
      <c r="D1172" s="488">
        <v>849316050</v>
      </c>
      <c r="E1172" s="489" t="s">
        <v>1328</v>
      </c>
      <c r="F1172" s="221">
        <v>2016</v>
      </c>
      <c r="G1172" s="490" t="s">
        <v>28</v>
      </c>
      <c r="H1172" s="364" t="str">
        <f t="shared" si="64"/>
        <v xml:space="preserve">   </v>
      </c>
      <c r="I1172" s="364" t="str">
        <f t="shared" si="65"/>
        <v xml:space="preserve">   </v>
      </c>
    </row>
    <row r="1173" spans="1:9" s="2" customFormat="1" x14ac:dyDescent="0.25">
      <c r="A1173" s="223"/>
      <c r="B1173" s="224"/>
      <c r="C1173" s="225"/>
      <c r="D1173" s="447"/>
      <c r="E1173" s="227" t="s">
        <v>61</v>
      </c>
      <c r="F1173" s="228" t="s">
        <v>61</v>
      </c>
      <c r="G1173" s="192" t="s">
        <v>61</v>
      </c>
      <c r="H1173" s="36" t="str">
        <f t="shared" si="64"/>
        <v xml:space="preserve">   </v>
      </c>
      <c r="I1173" s="36" t="str">
        <f t="shared" si="65"/>
        <v xml:space="preserve">   </v>
      </c>
    </row>
    <row r="1174" spans="1:9" s="2" customFormat="1" x14ac:dyDescent="0.25">
      <c r="A1174" s="491" t="s">
        <v>1663</v>
      </c>
      <c r="B1174" s="491"/>
      <c r="C1174" s="491"/>
      <c r="D1174" s="366"/>
      <c r="E1174" s="198" t="s">
        <v>1096</v>
      </c>
      <c r="F1174" s="199" t="s">
        <v>1096</v>
      </c>
      <c r="G1174" s="146">
        <v>3000000</v>
      </c>
      <c r="H1174" s="147" t="str">
        <f t="shared" si="64"/>
        <v xml:space="preserve">   </v>
      </c>
      <c r="I1174" s="147" t="str">
        <f t="shared" si="65"/>
        <v xml:space="preserve">   </v>
      </c>
    </row>
    <row r="1175" spans="1:9" s="2" customFormat="1" x14ac:dyDescent="0.25">
      <c r="A1175" s="148">
        <v>1084</v>
      </c>
      <c r="B1175" s="367">
        <v>1</v>
      </c>
      <c r="C1175" s="150" t="s">
        <v>1664</v>
      </c>
      <c r="D1175" s="151">
        <v>849416001</v>
      </c>
      <c r="E1175" s="311" t="s">
        <v>1665</v>
      </c>
      <c r="F1175" s="153">
        <v>2016</v>
      </c>
      <c r="G1175" s="342" t="s">
        <v>33</v>
      </c>
      <c r="H1175" s="163">
        <f t="shared" si="64"/>
        <v>43255</v>
      </c>
      <c r="I1175" s="163">
        <f t="shared" si="65"/>
        <v>43440</v>
      </c>
    </row>
    <row r="1176" spans="1:9" s="2" customFormat="1" x14ac:dyDescent="0.25">
      <c r="A1176" s="156">
        <v>1085</v>
      </c>
      <c r="B1176" s="344">
        <v>2</v>
      </c>
      <c r="C1176" s="158" t="s">
        <v>1666</v>
      </c>
      <c r="D1176" s="178">
        <v>849416002</v>
      </c>
      <c r="E1176" s="275" t="s">
        <v>1665</v>
      </c>
      <c r="F1176" s="161">
        <v>2016</v>
      </c>
      <c r="G1176" s="342" t="s">
        <v>33</v>
      </c>
      <c r="H1176" s="163">
        <f t="shared" si="64"/>
        <v>43633</v>
      </c>
      <c r="I1176" s="163">
        <f t="shared" si="65"/>
        <v>43705</v>
      </c>
    </row>
    <row r="1177" spans="1:9" s="2" customFormat="1" x14ac:dyDescent="0.25">
      <c r="A1177" s="156">
        <v>1086</v>
      </c>
      <c r="B1177" s="172">
        <v>3</v>
      </c>
      <c r="C1177" s="158" t="s">
        <v>1667</v>
      </c>
      <c r="D1177" s="159">
        <v>849416003</v>
      </c>
      <c r="E1177" s="179" t="s">
        <v>1665</v>
      </c>
      <c r="F1177" s="161">
        <v>2016</v>
      </c>
      <c r="G1177" s="162" t="s">
        <v>33</v>
      </c>
      <c r="H1177" s="163">
        <f t="shared" si="64"/>
        <v>43328</v>
      </c>
      <c r="I1177" s="163">
        <f t="shared" si="65"/>
        <v>43440</v>
      </c>
    </row>
    <row r="1178" spans="1:9" s="2" customFormat="1" x14ac:dyDescent="0.25">
      <c r="A1178" s="156">
        <v>1087</v>
      </c>
      <c r="B1178" s="344">
        <v>4</v>
      </c>
      <c r="C1178" s="158" t="s">
        <v>1668</v>
      </c>
      <c r="D1178" s="178">
        <v>849416004</v>
      </c>
      <c r="E1178" s="275" t="s">
        <v>1665</v>
      </c>
      <c r="F1178" s="161">
        <v>2016</v>
      </c>
      <c r="G1178" s="272" t="s">
        <v>33</v>
      </c>
      <c r="H1178" s="163">
        <f t="shared" si="64"/>
        <v>43423</v>
      </c>
      <c r="I1178" s="163">
        <f t="shared" si="65"/>
        <v>43587</v>
      </c>
    </row>
    <row r="1179" spans="1:9" s="2" customFormat="1" x14ac:dyDescent="0.25">
      <c r="A1179" s="164">
        <v>1088</v>
      </c>
      <c r="B1179" s="345">
        <v>5</v>
      </c>
      <c r="C1179" s="173" t="s">
        <v>1669</v>
      </c>
      <c r="D1179" s="174">
        <v>849416005</v>
      </c>
      <c r="E1179" s="449" t="s">
        <v>1665</v>
      </c>
      <c r="F1179" s="175">
        <v>2016</v>
      </c>
      <c r="G1179" s="272" t="s">
        <v>33</v>
      </c>
      <c r="H1179" s="163">
        <f t="shared" si="64"/>
        <v>43840</v>
      </c>
      <c r="I1179" s="265">
        <f t="shared" si="65"/>
        <v>44058</v>
      </c>
    </row>
    <row r="1180" spans="1:9" s="2" customFormat="1" x14ac:dyDescent="0.25">
      <c r="A1180" s="156">
        <v>1089</v>
      </c>
      <c r="B1180" s="172">
        <v>6</v>
      </c>
      <c r="C1180" s="158" t="s">
        <v>1670</v>
      </c>
      <c r="D1180" s="159">
        <v>849416006</v>
      </c>
      <c r="E1180" s="179" t="s">
        <v>1665</v>
      </c>
      <c r="F1180" s="161">
        <v>2016</v>
      </c>
      <c r="G1180" s="162" t="s">
        <v>33</v>
      </c>
      <c r="H1180" s="163">
        <f t="shared" si="64"/>
        <v>43327</v>
      </c>
      <c r="I1180" s="163">
        <f t="shared" si="65"/>
        <v>43440</v>
      </c>
    </row>
    <row r="1181" spans="1:9" s="2" customFormat="1" x14ac:dyDescent="0.25">
      <c r="A1181" s="164">
        <v>1090</v>
      </c>
      <c r="B1181" s="345">
        <v>7</v>
      </c>
      <c r="C1181" s="173" t="s">
        <v>1671</v>
      </c>
      <c r="D1181" s="174">
        <v>849416007</v>
      </c>
      <c r="E1181" s="449" t="s">
        <v>1665</v>
      </c>
      <c r="F1181" s="175">
        <v>2016</v>
      </c>
      <c r="G1181" s="404" t="s">
        <v>28</v>
      </c>
      <c r="H1181" s="265" t="str">
        <f t="shared" si="64"/>
        <v xml:space="preserve">   </v>
      </c>
      <c r="I1181" s="265" t="str">
        <f t="shared" si="65"/>
        <v xml:space="preserve">   </v>
      </c>
    </row>
    <row r="1182" spans="1:9" s="2" customFormat="1" x14ac:dyDescent="0.25">
      <c r="A1182" s="156">
        <v>1091</v>
      </c>
      <c r="B1182" s="344">
        <v>8</v>
      </c>
      <c r="C1182" s="158" t="s">
        <v>1672</v>
      </c>
      <c r="D1182" s="178">
        <v>849416008</v>
      </c>
      <c r="E1182" s="275" t="s">
        <v>1665</v>
      </c>
      <c r="F1182" s="161">
        <v>2016</v>
      </c>
      <c r="G1182" s="162" t="s">
        <v>33</v>
      </c>
      <c r="H1182" s="163">
        <f t="shared" si="64"/>
        <v>43649</v>
      </c>
      <c r="I1182" s="163">
        <f t="shared" si="65"/>
        <v>43750</v>
      </c>
    </row>
    <row r="1183" spans="1:9" s="2" customFormat="1" x14ac:dyDescent="0.25">
      <c r="A1183" s="164">
        <v>1092</v>
      </c>
      <c r="B1183" s="345">
        <v>9</v>
      </c>
      <c r="C1183" s="166" t="s">
        <v>1673</v>
      </c>
      <c r="D1183" s="174">
        <v>849416009</v>
      </c>
      <c r="E1183" s="168" t="s">
        <v>1665</v>
      </c>
      <c r="F1183" s="175">
        <v>2016</v>
      </c>
      <c r="G1183" s="404" t="s">
        <v>28</v>
      </c>
      <c r="H1183" s="265" t="str">
        <f t="shared" si="64"/>
        <v xml:space="preserve">   </v>
      </c>
      <c r="I1183" s="265" t="str">
        <f t="shared" si="65"/>
        <v xml:space="preserve">   </v>
      </c>
    </row>
    <row r="1184" spans="1:9" s="2" customFormat="1" x14ac:dyDescent="0.25">
      <c r="A1184" s="156">
        <v>1093</v>
      </c>
      <c r="B1184" s="344">
        <v>10</v>
      </c>
      <c r="C1184" s="177" t="s">
        <v>1674</v>
      </c>
      <c r="D1184" s="178">
        <v>849416010</v>
      </c>
      <c r="E1184" s="275" t="s">
        <v>1665</v>
      </c>
      <c r="F1184" s="161">
        <v>2016</v>
      </c>
      <c r="G1184" s="162" t="s">
        <v>33</v>
      </c>
      <c r="H1184" s="163">
        <f t="shared" si="64"/>
        <v>43607</v>
      </c>
      <c r="I1184" s="163">
        <f t="shared" si="65"/>
        <v>43705</v>
      </c>
    </row>
    <row r="1185" spans="1:9" s="2" customFormat="1" x14ac:dyDescent="0.25">
      <c r="A1185" s="164">
        <v>1094</v>
      </c>
      <c r="B1185" s="345">
        <v>11</v>
      </c>
      <c r="C1185" s="166" t="s">
        <v>1675</v>
      </c>
      <c r="D1185" s="174">
        <v>849416011</v>
      </c>
      <c r="E1185" s="449" t="s">
        <v>1665</v>
      </c>
      <c r="F1185" s="175">
        <v>2016</v>
      </c>
      <c r="G1185" s="360" t="s">
        <v>1483</v>
      </c>
      <c r="H1185" s="265">
        <f t="shared" si="64"/>
        <v>44106</v>
      </c>
      <c r="I1185" s="265" t="str">
        <f t="shared" si="65"/>
        <v xml:space="preserve">   </v>
      </c>
    </row>
    <row r="1186" spans="1:9" s="2" customFormat="1" x14ac:dyDescent="0.25">
      <c r="A1186" s="164">
        <v>1095</v>
      </c>
      <c r="B1186" s="492">
        <v>12</v>
      </c>
      <c r="C1186" s="493" t="s">
        <v>1676</v>
      </c>
      <c r="D1186" s="494">
        <v>849416012</v>
      </c>
      <c r="E1186" s="329" t="s">
        <v>1665</v>
      </c>
      <c r="F1186" s="330">
        <v>2016</v>
      </c>
      <c r="G1186" s="485" t="s">
        <v>1077</v>
      </c>
      <c r="H1186" s="495" t="str">
        <f t="shared" si="64"/>
        <v xml:space="preserve">   </v>
      </c>
      <c r="I1186" s="495" t="str">
        <f t="shared" si="65"/>
        <v xml:space="preserve">   </v>
      </c>
    </row>
    <row r="1187" spans="1:9" s="2" customFormat="1" x14ac:dyDescent="0.25">
      <c r="A1187" s="164">
        <v>1096</v>
      </c>
      <c r="B1187" s="345">
        <v>13</v>
      </c>
      <c r="C1187" s="166" t="s">
        <v>1642</v>
      </c>
      <c r="D1187" s="174">
        <v>849416013</v>
      </c>
      <c r="E1187" s="449" t="s">
        <v>1665</v>
      </c>
      <c r="F1187" s="175">
        <v>2016</v>
      </c>
      <c r="G1187" s="360" t="s">
        <v>1483</v>
      </c>
      <c r="H1187" s="265">
        <f t="shared" si="64"/>
        <v>44106</v>
      </c>
      <c r="I1187" s="265" t="str">
        <f t="shared" si="65"/>
        <v xml:space="preserve">   </v>
      </c>
    </row>
    <row r="1188" spans="1:9" s="2" customFormat="1" x14ac:dyDescent="0.25">
      <c r="A1188" s="164">
        <v>1097</v>
      </c>
      <c r="B1188" s="345">
        <v>14</v>
      </c>
      <c r="C1188" s="166" t="s">
        <v>1677</v>
      </c>
      <c r="D1188" s="174">
        <v>849416014</v>
      </c>
      <c r="E1188" s="449" t="s">
        <v>1665</v>
      </c>
      <c r="F1188" s="175">
        <v>2016</v>
      </c>
      <c r="G1188" s="360" t="s">
        <v>1483</v>
      </c>
      <c r="H1188" s="265">
        <f t="shared" si="64"/>
        <v>44020</v>
      </c>
      <c r="I1188" s="265" t="str">
        <f t="shared" si="65"/>
        <v xml:space="preserve">   </v>
      </c>
    </row>
    <row r="1189" spans="1:9" s="2" customFormat="1" x14ac:dyDescent="0.25">
      <c r="A1189" s="164">
        <v>1098</v>
      </c>
      <c r="B1189" s="345">
        <v>15</v>
      </c>
      <c r="C1189" s="166" t="s">
        <v>1678</v>
      </c>
      <c r="D1189" s="174">
        <v>849416015</v>
      </c>
      <c r="E1189" s="449" t="s">
        <v>1665</v>
      </c>
      <c r="F1189" s="175">
        <v>2016</v>
      </c>
      <c r="G1189" s="360" t="s">
        <v>1483</v>
      </c>
      <c r="H1189" s="265">
        <f t="shared" si="64"/>
        <v>43985</v>
      </c>
      <c r="I1189" s="265">
        <f t="shared" si="65"/>
        <v>44186</v>
      </c>
    </row>
    <row r="1190" spans="1:9" s="2" customFormat="1" x14ac:dyDescent="0.25">
      <c r="A1190" s="216">
        <v>1099</v>
      </c>
      <c r="B1190" s="361">
        <v>16</v>
      </c>
      <c r="C1190" s="218" t="s">
        <v>1679</v>
      </c>
      <c r="D1190" s="452">
        <v>849416016</v>
      </c>
      <c r="E1190" s="460" t="s">
        <v>1665</v>
      </c>
      <c r="F1190" s="221">
        <v>2016</v>
      </c>
      <c r="G1190" s="413" t="s">
        <v>1483</v>
      </c>
      <c r="H1190" s="364">
        <f t="shared" si="64"/>
        <v>43970</v>
      </c>
      <c r="I1190" s="364">
        <f t="shared" si="65"/>
        <v>44058</v>
      </c>
    </row>
    <row r="1191" spans="1:9" s="2" customFormat="1" x14ac:dyDescent="0.25">
      <c r="A1191" s="223"/>
      <c r="B1191" s="224"/>
      <c r="C1191" s="225"/>
      <c r="D1191" s="471"/>
      <c r="E1191" s="227" t="s">
        <v>61</v>
      </c>
      <c r="F1191" s="228" t="s">
        <v>61</v>
      </c>
      <c r="G1191" s="192" t="s">
        <v>61</v>
      </c>
      <c r="H1191" s="36" t="str">
        <f t="shared" si="64"/>
        <v xml:space="preserve">   </v>
      </c>
      <c r="I1191" s="36" t="str">
        <f t="shared" si="65"/>
        <v xml:space="preserve">   </v>
      </c>
    </row>
    <row r="1192" spans="1:9" s="2" customFormat="1" x14ac:dyDescent="0.25">
      <c r="A1192" s="365" t="s">
        <v>1680</v>
      </c>
      <c r="B1192" s="365"/>
      <c r="C1192" s="365"/>
      <c r="D1192" s="366"/>
      <c r="E1192" s="198" t="s">
        <v>1096</v>
      </c>
      <c r="F1192" s="199" t="s">
        <v>1096</v>
      </c>
      <c r="G1192" s="146">
        <v>3000000</v>
      </c>
      <c r="H1192" s="147" t="str">
        <f t="shared" si="64"/>
        <v xml:space="preserve">   </v>
      </c>
      <c r="I1192" s="147" t="str">
        <f t="shared" si="65"/>
        <v xml:space="preserve">   </v>
      </c>
    </row>
    <row r="1193" spans="1:9" s="2" customFormat="1" x14ac:dyDescent="0.25">
      <c r="A1193" s="148">
        <v>1100</v>
      </c>
      <c r="B1193" s="367">
        <v>1</v>
      </c>
      <c r="C1193" s="150" t="s">
        <v>1681</v>
      </c>
      <c r="D1193" s="151">
        <v>849116001</v>
      </c>
      <c r="E1193" s="311" t="s">
        <v>1070</v>
      </c>
      <c r="F1193" s="153">
        <v>2016</v>
      </c>
      <c r="G1193" s="342" t="s">
        <v>33</v>
      </c>
      <c r="H1193" s="163">
        <f t="shared" si="64"/>
        <v>43286</v>
      </c>
      <c r="I1193" s="163">
        <f t="shared" si="65"/>
        <v>43351</v>
      </c>
    </row>
    <row r="1194" spans="1:9" s="2" customFormat="1" x14ac:dyDescent="0.25">
      <c r="A1194" s="156">
        <v>1101</v>
      </c>
      <c r="B1194" s="172">
        <v>2</v>
      </c>
      <c r="C1194" s="158" t="s">
        <v>1682</v>
      </c>
      <c r="D1194" s="159">
        <v>849116002</v>
      </c>
      <c r="E1194" s="179" t="s">
        <v>1070</v>
      </c>
      <c r="F1194" s="161">
        <v>2016</v>
      </c>
      <c r="G1194" s="162" t="s">
        <v>33</v>
      </c>
      <c r="H1194" s="163">
        <f t="shared" si="64"/>
        <v>43391</v>
      </c>
      <c r="I1194" s="163">
        <f t="shared" si="65"/>
        <v>43440</v>
      </c>
    </row>
    <row r="1195" spans="1:9" s="2" customFormat="1" x14ac:dyDescent="0.25">
      <c r="A1195" s="164">
        <v>1102</v>
      </c>
      <c r="B1195" s="343">
        <v>3</v>
      </c>
      <c r="C1195" s="173" t="s">
        <v>1683</v>
      </c>
      <c r="D1195" s="263">
        <v>849116003</v>
      </c>
      <c r="E1195" s="441" t="s">
        <v>1070</v>
      </c>
      <c r="F1195" s="175">
        <v>2016</v>
      </c>
      <c r="G1195" s="404" t="s">
        <v>28</v>
      </c>
      <c r="H1195" s="265" t="str">
        <f t="shared" si="64"/>
        <v xml:space="preserve">   </v>
      </c>
      <c r="I1195" s="265" t="str">
        <f t="shared" si="65"/>
        <v xml:space="preserve">   </v>
      </c>
    </row>
    <row r="1196" spans="1:9" s="2" customFormat="1" x14ac:dyDescent="0.25">
      <c r="A1196" s="156">
        <v>1103</v>
      </c>
      <c r="B1196" s="172">
        <v>4</v>
      </c>
      <c r="C1196" s="158" t="s">
        <v>1684</v>
      </c>
      <c r="D1196" s="159">
        <v>849116004</v>
      </c>
      <c r="E1196" s="179" t="s">
        <v>1070</v>
      </c>
      <c r="F1196" s="161">
        <v>2016</v>
      </c>
      <c r="G1196" s="162" t="s">
        <v>33</v>
      </c>
      <c r="H1196" s="163">
        <f t="shared" si="64"/>
        <v>43391</v>
      </c>
      <c r="I1196" s="163">
        <f t="shared" si="65"/>
        <v>43440</v>
      </c>
    </row>
    <row r="1197" spans="1:9" s="2" customFormat="1" x14ac:dyDescent="0.25">
      <c r="A1197" s="164">
        <v>1104</v>
      </c>
      <c r="B1197" s="343">
        <v>5</v>
      </c>
      <c r="C1197" s="173" t="s">
        <v>1685</v>
      </c>
      <c r="D1197" s="263">
        <v>849116005</v>
      </c>
      <c r="E1197" s="449" t="s">
        <v>1070</v>
      </c>
      <c r="F1197" s="169">
        <v>2016</v>
      </c>
      <c r="G1197" s="404" t="s">
        <v>28</v>
      </c>
      <c r="H1197" s="265" t="str">
        <f t="shared" si="64"/>
        <v xml:space="preserve">   </v>
      </c>
      <c r="I1197" s="265" t="str">
        <f t="shared" si="65"/>
        <v xml:space="preserve">   </v>
      </c>
    </row>
    <row r="1198" spans="1:9" s="2" customFormat="1" x14ac:dyDescent="0.25">
      <c r="A1198" s="156">
        <v>1105</v>
      </c>
      <c r="B1198" s="172">
        <v>6</v>
      </c>
      <c r="C1198" s="158" t="s">
        <v>1686</v>
      </c>
      <c r="D1198" s="159">
        <v>849116006</v>
      </c>
      <c r="E1198" s="275" t="s">
        <v>1070</v>
      </c>
      <c r="F1198" s="317">
        <v>2016</v>
      </c>
      <c r="G1198" s="272" t="s">
        <v>33</v>
      </c>
      <c r="H1198" s="163">
        <f t="shared" si="64"/>
        <v>43489</v>
      </c>
      <c r="I1198" s="163">
        <f t="shared" si="65"/>
        <v>43587</v>
      </c>
    </row>
    <row r="1199" spans="1:9" s="2" customFormat="1" x14ac:dyDescent="0.25">
      <c r="A1199" s="234">
        <v>1106</v>
      </c>
      <c r="B1199" s="347">
        <v>7</v>
      </c>
      <c r="C1199" s="233" t="s">
        <v>1687</v>
      </c>
      <c r="D1199" s="236">
        <v>849116007</v>
      </c>
      <c r="E1199" s="298" t="s">
        <v>1070</v>
      </c>
      <c r="F1199" s="299">
        <v>2016</v>
      </c>
      <c r="G1199" s="496" t="s">
        <v>28</v>
      </c>
      <c r="H1199" s="303" t="str">
        <f t="shared" si="64"/>
        <v xml:space="preserve">   </v>
      </c>
      <c r="I1199" s="303" t="str">
        <f t="shared" si="65"/>
        <v xml:space="preserve">   </v>
      </c>
    </row>
    <row r="1200" spans="1:9" s="2" customFormat="1" x14ac:dyDescent="0.25">
      <c r="A1200" s="156">
        <v>1107</v>
      </c>
      <c r="B1200" s="172">
        <v>8</v>
      </c>
      <c r="C1200" s="158" t="s">
        <v>1688</v>
      </c>
      <c r="D1200" s="159">
        <v>849116008</v>
      </c>
      <c r="E1200" s="179" t="s">
        <v>1070</v>
      </c>
      <c r="F1200" s="161">
        <v>2016</v>
      </c>
      <c r="G1200" s="162" t="s">
        <v>33</v>
      </c>
      <c r="H1200" s="163">
        <f t="shared" si="64"/>
        <v>43391</v>
      </c>
      <c r="I1200" s="163">
        <f t="shared" si="65"/>
        <v>43440</v>
      </c>
    </row>
    <row r="1201" spans="1:9" s="2" customFormat="1" x14ac:dyDescent="0.25">
      <c r="A1201" s="164">
        <v>1108</v>
      </c>
      <c r="B1201" s="343">
        <v>9</v>
      </c>
      <c r="C1201" s="173" t="s">
        <v>1689</v>
      </c>
      <c r="D1201" s="263">
        <v>849116009</v>
      </c>
      <c r="E1201" s="449" t="s">
        <v>1070</v>
      </c>
      <c r="F1201" s="169">
        <v>2016</v>
      </c>
      <c r="G1201" s="360" t="s">
        <v>1483</v>
      </c>
      <c r="H1201" s="265">
        <f t="shared" si="64"/>
        <v>43991</v>
      </c>
      <c r="I1201" s="265" t="str">
        <f t="shared" si="65"/>
        <v xml:space="preserve">   </v>
      </c>
    </row>
    <row r="1202" spans="1:9" s="2" customFormat="1" x14ac:dyDescent="0.25">
      <c r="A1202" s="156">
        <v>1109</v>
      </c>
      <c r="B1202" s="172">
        <v>10</v>
      </c>
      <c r="C1202" s="158" t="s">
        <v>1690</v>
      </c>
      <c r="D1202" s="159">
        <v>849116010</v>
      </c>
      <c r="E1202" s="275" t="s">
        <v>1070</v>
      </c>
      <c r="F1202" s="317">
        <v>2016</v>
      </c>
      <c r="G1202" s="162" t="s">
        <v>33</v>
      </c>
      <c r="H1202" s="163">
        <f t="shared" si="64"/>
        <v>43635</v>
      </c>
      <c r="I1202" s="163">
        <f t="shared" si="65"/>
        <v>43705</v>
      </c>
    </row>
    <row r="1203" spans="1:9" s="2" customFormat="1" x14ac:dyDescent="0.25">
      <c r="A1203" s="164">
        <v>1110</v>
      </c>
      <c r="B1203" s="343">
        <v>11</v>
      </c>
      <c r="C1203" s="173" t="s">
        <v>1691</v>
      </c>
      <c r="D1203" s="263">
        <v>849116011</v>
      </c>
      <c r="E1203" s="449" t="s">
        <v>1070</v>
      </c>
      <c r="F1203" s="169">
        <v>2016</v>
      </c>
      <c r="G1203" s="360" t="s">
        <v>1483</v>
      </c>
      <c r="H1203" s="163">
        <f t="shared" si="64"/>
        <v>43845</v>
      </c>
      <c r="I1203" s="265">
        <f t="shared" si="65"/>
        <v>44186</v>
      </c>
    </row>
    <row r="1204" spans="1:9" s="2" customFormat="1" x14ac:dyDescent="0.25">
      <c r="A1204" s="156">
        <v>1111</v>
      </c>
      <c r="B1204" s="172">
        <v>12</v>
      </c>
      <c r="C1204" s="158" t="s">
        <v>1692</v>
      </c>
      <c r="D1204" s="159">
        <v>849116012</v>
      </c>
      <c r="E1204" s="275" t="s">
        <v>1070</v>
      </c>
      <c r="F1204" s="317">
        <v>2016</v>
      </c>
      <c r="G1204" s="272" t="s">
        <v>33</v>
      </c>
      <c r="H1204" s="163">
        <f t="shared" si="64"/>
        <v>43635</v>
      </c>
      <c r="I1204" s="163">
        <f t="shared" si="65"/>
        <v>43705</v>
      </c>
    </row>
    <row r="1205" spans="1:9" s="2" customFormat="1" x14ac:dyDescent="0.25">
      <c r="A1205" s="234">
        <v>1112</v>
      </c>
      <c r="B1205" s="347">
        <v>13</v>
      </c>
      <c r="C1205" s="233" t="s">
        <v>1693</v>
      </c>
      <c r="D1205" s="236">
        <v>849116013</v>
      </c>
      <c r="E1205" s="298" t="s">
        <v>1070</v>
      </c>
      <c r="F1205" s="299">
        <v>2016</v>
      </c>
      <c r="G1205" s="496" t="s">
        <v>28</v>
      </c>
      <c r="H1205" s="303" t="str">
        <f t="shared" si="64"/>
        <v xml:space="preserve">   </v>
      </c>
      <c r="I1205" s="303" t="str">
        <f t="shared" si="65"/>
        <v xml:space="preserve">   </v>
      </c>
    </row>
    <row r="1206" spans="1:9" s="2" customFormat="1" x14ac:dyDescent="0.25">
      <c r="A1206" s="164">
        <v>1113</v>
      </c>
      <c r="B1206" s="343">
        <v>14</v>
      </c>
      <c r="C1206" s="173" t="s">
        <v>1694</v>
      </c>
      <c r="D1206" s="263">
        <v>849116014</v>
      </c>
      <c r="E1206" s="168" t="s">
        <v>1070</v>
      </c>
      <c r="F1206" s="169">
        <v>2016</v>
      </c>
      <c r="G1206" s="404" t="s">
        <v>28</v>
      </c>
      <c r="H1206" s="265" t="str">
        <f t="shared" si="64"/>
        <v xml:space="preserve">   </v>
      </c>
      <c r="I1206" s="265" t="str">
        <f t="shared" si="65"/>
        <v xml:space="preserve">   </v>
      </c>
    </row>
    <row r="1207" spans="1:9" s="2" customFormat="1" x14ac:dyDescent="0.25">
      <c r="A1207" s="164">
        <v>1114</v>
      </c>
      <c r="B1207" s="343">
        <v>15</v>
      </c>
      <c r="C1207" s="173" t="s">
        <v>1695</v>
      </c>
      <c r="D1207" s="263">
        <v>849116015</v>
      </c>
      <c r="E1207" s="168" t="s">
        <v>1070</v>
      </c>
      <c r="F1207" s="169">
        <v>2016</v>
      </c>
      <c r="G1207" s="404" t="s">
        <v>28</v>
      </c>
      <c r="H1207" s="265" t="str">
        <f t="shared" si="64"/>
        <v xml:space="preserve">   </v>
      </c>
      <c r="I1207" s="265" t="str">
        <f t="shared" si="65"/>
        <v xml:space="preserve">   </v>
      </c>
    </row>
    <row r="1208" spans="1:9" s="2" customFormat="1" x14ac:dyDescent="0.25">
      <c r="A1208" s="156">
        <v>1115</v>
      </c>
      <c r="B1208" s="172">
        <v>16</v>
      </c>
      <c r="C1208" s="158" t="s">
        <v>1696</v>
      </c>
      <c r="D1208" s="159">
        <v>849116016</v>
      </c>
      <c r="E1208" s="275" t="s">
        <v>1070</v>
      </c>
      <c r="F1208" s="317">
        <v>2016</v>
      </c>
      <c r="G1208" s="272" t="s">
        <v>33</v>
      </c>
      <c r="H1208" s="163">
        <f t="shared" si="64"/>
        <v>43563</v>
      </c>
      <c r="I1208" s="163">
        <f t="shared" si="65"/>
        <v>43587</v>
      </c>
    </row>
    <row r="1209" spans="1:9" s="2" customFormat="1" x14ac:dyDescent="0.25">
      <c r="A1209" s="164">
        <v>1116</v>
      </c>
      <c r="B1209" s="343">
        <v>17</v>
      </c>
      <c r="C1209" s="173" t="s">
        <v>1697</v>
      </c>
      <c r="D1209" s="263">
        <v>849116017</v>
      </c>
      <c r="E1209" s="449" t="s">
        <v>1070</v>
      </c>
      <c r="F1209" s="169">
        <v>2016</v>
      </c>
      <c r="G1209" s="404" t="s">
        <v>28</v>
      </c>
      <c r="H1209" s="265" t="str">
        <f t="shared" si="64"/>
        <v xml:space="preserve">   </v>
      </c>
      <c r="I1209" s="265" t="str">
        <f t="shared" si="65"/>
        <v xml:space="preserve">   </v>
      </c>
    </row>
    <row r="1210" spans="1:9" s="2" customFormat="1" x14ac:dyDescent="0.25">
      <c r="A1210" s="164">
        <v>1117</v>
      </c>
      <c r="B1210" s="343">
        <v>18</v>
      </c>
      <c r="C1210" s="173" t="s">
        <v>1698</v>
      </c>
      <c r="D1210" s="263">
        <v>849116018</v>
      </c>
      <c r="E1210" s="449" t="s">
        <v>1070</v>
      </c>
      <c r="F1210" s="169">
        <v>2016</v>
      </c>
      <c r="G1210" s="404" t="s">
        <v>28</v>
      </c>
      <c r="H1210" s="265" t="str">
        <f t="shared" si="64"/>
        <v xml:space="preserve">   </v>
      </c>
      <c r="I1210" s="265" t="str">
        <f t="shared" si="65"/>
        <v xml:space="preserve">   </v>
      </c>
    </row>
    <row r="1211" spans="1:9" s="2" customFormat="1" x14ac:dyDescent="0.25">
      <c r="A1211" s="156">
        <v>1118</v>
      </c>
      <c r="B1211" s="172">
        <v>19</v>
      </c>
      <c r="C1211" s="158" t="s">
        <v>1699</v>
      </c>
      <c r="D1211" s="159">
        <v>849116019</v>
      </c>
      <c r="E1211" s="275" t="s">
        <v>1070</v>
      </c>
      <c r="F1211" s="317">
        <v>2016</v>
      </c>
      <c r="G1211" s="272" t="s">
        <v>33</v>
      </c>
      <c r="H1211" s="163">
        <f t="shared" si="64"/>
        <v>43482</v>
      </c>
      <c r="I1211" s="163">
        <f t="shared" si="65"/>
        <v>43587</v>
      </c>
    </row>
    <row r="1212" spans="1:9" s="2" customFormat="1" x14ac:dyDescent="0.25">
      <c r="A1212" s="156">
        <v>1119</v>
      </c>
      <c r="B1212" s="172">
        <v>20</v>
      </c>
      <c r="C1212" s="158" t="s">
        <v>1700</v>
      </c>
      <c r="D1212" s="159">
        <v>849116020</v>
      </c>
      <c r="E1212" s="275" t="s">
        <v>1070</v>
      </c>
      <c r="F1212" s="317">
        <v>2016</v>
      </c>
      <c r="G1212" s="272" t="s">
        <v>33</v>
      </c>
      <c r="H1212" s="163">
        <f t="shared" si="64"/>
        <v>43481</v>
      </c>
      <c r="I1212" s="163">
        <f t="shared" si="65"/>
        <v>43587</v>
      </c>
    </row>
    <row r="1213" spans="1:9" s="2" customFormat="1" x14ac:dyDescent="0.25">
      <c r="A1213" s="156">
        <v>1120</v>
      </c>
      <c r="B1213" s="172">
        <v>21</v>
      </c>
      <c r="C1213" s="158" t="s">
        <v>1702</v>
      </c>
      <c r="D1213" s="159">
        <v>849116021</v>
      </c>
      <c r="E1213" s="179" t="s">
        <v>1070</v>
      </c>
      <c r="F1213" s="161">
        <v>2016</v>
      </c>
      <c r="G1213" s="162" t="s">
        <v>33</v>
      </c>
      <c r="H1213" s="163">
        <f t="shared" si="64"/>
        <v>43300</v>
      </c>
      <c r="I1213" s="163">
        <f t="shared" si="65"/>
        <v>43351</v>
      </c>
    </row>
    <row r="1214" spans="1:9" s="2" customFormat="1" x14ac:dyDescent="0.25">
      <c r="A1214" s="164">
        <v>1121</v>
      </c>
      <c r="B1214" s="343">
        <v>22</v>
      </c>
      <c r="C1214" s="173" t="s">
        <v>1703</v>
      </c>
      <c r="D1214" s="263">
        <v>849116022</v>
      </c>
      <c r="E1214" s="449" t="s">
        <v>1070</v>
      </c>
      <c r="F1214" s="169">
        <v>2016</v>
      </c>
      <c r="G1214" s="360" t="s">
        <v>1483</v>
      </c>
      <c r="H1214" s="265" t="str">
        <f t="shared" si="64"/>
        <v xml:space="preserve">   </v>
      </c>
      <c r="I1214" s="265" t="str">
        <f t="shared" si="65"/>
        <v xml:space="preserve">   </v>
      </c>
    </row>
    <row r="1215" spans="1:9" s="2" customFormat="1" x14ac:dyDescent="0.25">
      <c r="A1215" s="164">
        <v>1122</v>
      </c>
      <c r="B1215" s="343">
        <v>23</v>
      </c>
      <c r="C1215" s="173" t="s">
        <v>1704</v>
      </c>
      <c r="D1215" s="263">
        <v>849116023</v>
      </c>
      <c r="E1215" s="168" t="s">
        <v>1070</v>
      </c>
      <c r="F1215" s="169">
        <v>2016</v>
      </c>
      <c r="G1215" s="404" t="s">
        <v>28</v>
      </c>
      <c r="H1215" s="265" t="str">
        <f t="shared" ref="H1215:H1278" si="66">IFERROR(VLOOKUP(D1215,Tlus,3,FALSE),"   ")</f>
        <v xml:space="preserve">   </v>
      </c>
      <c r="I1215" s="265" t="str">
        <f t="shared" ref="I1215:I1278" si="67">IFERROR(VLOOKUP(D1215,Wis,4,FALSE),"   ")</f>
        <v xml:space="preserve">   </v>
      </c>
    </row>
    <row r="1216" spans="1:9" s="2" customFormat="1" x14ac:dyDescent="0.25">
      <c r="A1216" s="156">
        <v>1123</v>
      </c>
      <c r="B1216" s="172">
        <v>24</v>
      </c>
      <c r="C1216" s="158" t="s">
        <v>1705</v>
      </c>
      <c r="D1216" s="159">
        <v>849116024</v>
      </c>
      <c r="E1216" s="275" t="s">
        <v>1070</v>
      </c>
      <c r="F1216" s="317">
        <v>2016</v>
      </c>
      <c r="G1216" s="162" t="s">
        <v>33</v>
      </c>
      <c r="H1216" s="163">
        <f t="shared" si="66"/>
        <v>43489</v>
      </c>
      <c r="I1216" s="163">
        <f t="shared" si="67"/>
        <v>43587</v>
      </c>
    </row>
    <row r="1217" spans="1:9" s="2" customFormat="1" x14ac:dyDescent="0.25">
      <c r="A1217" s="164">
        <v>1124</v>
      </c>
      <c r="B1217" s="343">
        <v>25</v>
      </c>
      <c r="C1217" s="173" t="s">
        <v>1706</v>
      </c>
      <c r="D1217" s="263">
        <v>849116025</v>
      </c>
      <c r="E1217" s="449" t="s">
        <v>1070</v>
      </c>
      <c r="F1217" s="169">
        <v>2016</v>
      </c>
      <c r="G1217" s="404" t="s">
        <v>28</v>
      </c>
      <c r="H1217" s="265" t="str">
        <f t="shared" si="66"/>
        <v xml:space="preserve">   </v>
      </c>
      <c r="I1217" s="265" t="str">
        <f t="shared" si="67"/>
        <v xml:space="preserve">   </v>
      </c>
    </row>
    <row r="1218" spans="1:9" s="2" customFormat="1" x14ac:dyDescent="0.25">
      <c r="A1218" s="156">
        <v>1125</v>
      </c>
      <c r="B1218" s="172">
        <v>26</v>
      </c>
      <c r="C1218" s="158" t="s">
        <v>1707</v>
      </c>
      <c r="D1218" s="263">
        <v>849116026</v>
      </c>
      <c r="E1218" s="275" t="s">
        <v>1070</v>
      </c>
      <c r="F1218" s="317">
        <v>2016</v>
      </c>
      <c r="G1218" s="162" t="s">
        <v>33</v>
      </c>
      <c r="H1218" s="163">
        <f t="shared" si="66"/>
        <v>43805</v>
      </c>
      <c r="I1218" s="163">
        <f t="shared" si="67"/>
        <v>44058</v>
      </c>
    </row>
    <row r="1219" spans="1:9" s="2" customFormat="1" x14ac:dyDescent="0.25">
      <c r="A1219" s="164">
        <v>1126</v>
      </c>
      <c r="B1219" s="343">
        <v>27</v>
      </c>
      <c r="C1219" s="173" t="s">
        <v>1708</v>
      </c>
      <c r="D1219" s="263">
        <v>849116027</v>
      </c>
      <c r="E1219" s="449" t="s">
        <v>1070</v>
      </c>
      <c r="F1219" s="169">
        <v>2016</v>
      </c>
      <c r="G1219" s="404" t="s">
        <v>28</v>
      </c>
      <c r="H1219" s="265" t="str">
        <f t="shared" si="66"/>
        <v xml:space="preserve">   </v>
      </c>
      <c r="I1219" s="265" t="str">
        <f t="shared" si="67"/>
        <v xml:space="preserve">   </v>
      </c>
    </row>
    <row r="1220" spans="1:9" s="2" customFormat="1" x14ac:dyDescent="0.25">
      <c r="A1220" s="164">
        <v>1127</v>
      </c>
      <c r="B1220" s="343">
        <v>28</v>
      </c>
      <c r="C1220" s="173" t="s">
        <v>1709</v>
      </c>
      <c r="D1220" s="263">
        <v>849116028</v>
      </c>
      <c r="E1220" s="449" t="s">
        <v>1070</v>
      </c>
      <c r="F1220" s="169">
        <v>2016</v>
      </c>
      <c r="G1220" s="360" t="s">
        <v>1483</v>
      </c>
      <c r="H1220" s="265">
        <f t="shared" si="66"/>
        <v>44083</v>
      </c>
      <c r="I1220" s="265">
        <f t="shared" si="67"/>
        <v>44186</v>
      </c>
    </row>
    <row r="1221" spans="1:9" s="2" customFormat="1" x14ac:dyDescent="0.25">
      <c r="A1221" s="164">
        <v>1128</v>
      </c>
      <c r="B1221" s="343">
        <v>29</v>
      </c>
      <c r="C1221" s="173" t="s">
        <v>1710</v>
      </c>
      <c r="D1221" s="263">
        <v>849116029</v>
      </c>
      <c r="E1221" s="449" t="s">
        <v>1070</v>
      </c>
      <c r="F1221" s="169">
        <v>2016</v>
      </c>
      <c r="G1221" s="360" t="s">
        <v>1483</v>
      </c>
      <c r="H1221" s="265">
        <f t="shared" si="66"/>
        <v>44083</v>
      </c>
      <c r="I1221" s="265">
        <f t="shared" si="67"/>
        <v>44186</v>
      </c>
    </row>
    <row r="1222" spans="1:9" s="2" customFormat="1" x14ac:dyDescent="0.25">
      <c r="A1222" s="164">
        <v>1129</v>
      </c>
      <c r="B1222" s="343">
        <v>30</v>
      </c>
      <c r="C1222" s="173" t="s">
        <v>158</v>
      </c>
      <c r="D1222" s="263">
        <v>849116030</v>
      </c>
      <c r="E1222" s="168" t="s">
        <v>1070</v>
      </c>
      <c r="F1222" s="169">
        <v>2016</v>
      </c>
      <c r="G1222" s="404" t="s">
        <v>28</v>
      </c>
      <c r="H1222" s="265" t="str">
        <f t="shared" si="66"/>
        <v xml:space="preserve">   </v>
      </c>
      <c r="I1222" s="265" t="str">
        <f t="shared" si="67"/>
        <v xml:space="preserve">   </v>
      </c>
    </row>
    <row r="1223" spans="1:9" s="2" customFormat="1" x14ac:dyDescent="0.25">
      <c r="A1223" s="164">
        <v>1130</v>
      </c>
      <c r="B1223" s="343">
        <v>31</v>
      </c>
      <c r="C1223" s="173" t="s">
        <v>1711</v>
      </c>
      <c r="D1223" s="263">
        <v>849116031</v>
      </c>
      <c r="E1223" s="449" t="s">
        <v>1070</v>
      </c>
      <c r="F1223" s="169">
        <v>2016</v>
      </c>
      <c r="G1223" s="404" t="s">
        <v>28</v>
      </c>
      <c r="H1223" s="265" t="str">
        <f t="shared" si="66"/>
        <v xml:space="preserve">   </v>
      </c>
      <c r="I1223" s="265" t="str">
        <f t="shared" si="67"/>
        <v xml:space="preserve">   </v>
      </c>
    </row>
    <row r="1224" spans="1:9" s="2" customFormat="1" x14ac:dyDescent="0.25">
      <c r="A1224" s="156">
        <v>1131</v>
      </c>
      <c r="B1224" s="172">
        <v>32</v>
      </c>
      <c r="C1224" s="158" t="s">
        <v>1712</v>
      </c>
      <c r="D1224" s="159">
        <v>849116032</v>
      </c>
      <c r="E1224" s="275" t="s">
        <v>1070</v>
      </c>
      <c r="F1224" s="317">
        <v>2016</v>
      </c>
      <c r="G1224" s="272" t="s">
        <v>33</v>
      </c>
      <c r="H1224" s="163">
        <f t="shared" si="66"/>
        <v>43635</v>
      </c>
      <c r="I1224" s="163">
        <f t="shared" si="67"/>
        <v>43705</v>
      </c>
    </row>
    <row r="1225" spans="1:9" s="2" customFormat="1" x14ac:dyDescent="0.25">
      <c r="A1225" s="156">
        <v>1132</v>
      </c>
      <c r="B1225" s="172">
        <v>33</v>
      </c>
      <c r="C1225" s="158" t="s">
        <v>1713</v>
      </c>
      <c r="D1225" s="159">
        <v>849116033</v>
      </c>
      <c r="E1225" s="179" t="s">
        <v>1070</v>
      </c>
      <c r="F1225" s="161">
        <v>2016</v>
      </c>
      <c r="G1225" s="272" t="s">
        <v>33</v>
      </c>
      <c r="H1225" s="163">
        <f t="shared" si="66"/>
        <v>43116</v>
      </c>
      <c r="I1225" s="163">
        <f t="shared" si="67"/>
        <v>43587</v>
      </c>
    </row>
    <row r="1226" spans="1:9" s="2" customFormat="1" x14ac:dyDescent="0.25">
      <c r="A1226" s="156">
        <v>1133</v>
      </c>
      <c r="B1226" s="172">
        <v>34</v>
      </c>
      <c r="C1226" s="158" t="s">
        <v>1714</v>
      </c>
      <c r="D1226" s="159">
        <v>849116034</v>
      </c>
      <c r="E1226" s="179" t="s">
        <v>1070</v>
      </c>
      <c r="F1226" s="161">
        <v>2016</v>
      </c>
      <c r="G1226" s="162" t="s">
        <v>33</v>
      </c>
      <c r="H1226" s="163">
        <f t="shared" si="66"/>
        <v>43475</v>
      </c>
      <c r="I1226" s="163">
        <f t="shared" si="67"/>
        <v>43587</v>
      </c>
    </row>
    <row r="1227" spans="1:9" s="2" customFormat="1" x14ac:dyDescent="0.25">
      <c r="A1227" s="234">
        <v>1134</v>
      </c>
      <c r="B1227" s="347">
        <v>35</v>
      </c>
      <c r="C1227" s="233" t="s">
        <v>1715</v>
      </c>
      <c r="D1227" s="236">
        <v>849116035</v>
      </c>
      <c r="E1227" s="237" t="s">
        <v>1070</v>
      </c>
      <c r="F1227" s="238">
        <v>2016</v>
      </c>
      <c r="G1227" s="214" t="s">
        <v>1077</v>
      </c>
      <c r="H1227" s="239" t="str">
        <f t="shared" si="66"/>
        <v xml:space="preserve">   </v>
      </c>
      <c r="I1227" s="239" t="str">
        <f t="shared" si="67"/>
        <v xml:space="preserve">   </v>
      </c>
    </row>
    <row r="1228" spans="1:9" s="2" customFormat="1" x14ac:dyDescent="0.25">
      <c r="A1228" s="156">
        <v>1135</v>
      </c>
      <c r="B1228" s="172">
        <v>36</v>
      </c>
      <c r="C1228" s="158" t="s">
        <v>1716</v>
      </c>
      <c r="D1228" s="159">
        <v>849116036</v>
      </c>
      <c r="E1228" s="179" t="s">
        <v>1070</v>
      </c>
      <c r="F1228" s="161">
        <v>2016</v>
      </c>
      <c r="G1228" s="162" t="s">
        <v>33</v>
      </c>
      <c r="H1228" s="163">
        <f t="shared" si="66"/>
        <v>43398</v>
      </c>
      <c r="I1228" s="163">
        <f t="shared" si="67"/>
        <v>43440</v>
      </c>
    </row>
    <row r="1229" spans="1:9" s="2" customFormat="1" x14ac:dyDescent="0.25">
      <c r="A1229" s="223"/>
      <c r="B1229" s="224"/>
      <c r="C1229" s="225"/>
      <c r="D1229" s="471"/>
      <c r="E1229" s="227" t="s">
        <v>61</v>
      </c>
      <c r="F1229" s="228" t="s">
        <v>61</v>
      </c>
      <c r="G1229" s="192" t="s">
        <v>61</v>
      </c>
      <c r="H1229" s="36" t="str">
        <f t="shared" si="66"/>
        <v xml:space="preserve">   </v>
      </c>
      <c r="I1229" s="36" t="str">
        <f t="shared" si="67"/>
        <v xml:space="preserve">   </v>
      </c>
    </row>
    <row r="1230" spans="1:9" s="2" customFormat="1" x14ac:dyDescent="0.25">
      <c r="A1230" s="497" t="s">
        <v>1717</v>
      </c>
      <c r="B1230" s="497"/>
      <c r="C1230" s="497"/>
      <c r="D1230" s="498"/>
      <c r="E1230" s="499" t="s">
        <v>1096</v>
      </c>
      <c r="F1230" s="500" t="s">
        <v>1096</v>
      </c>
      <c r="G1230" s="192" t="s">
        <v>61</v>
      </c>
      <c r="H1230" s="439" t="str">
        <f t="shared" si="66"/>
        <v xml:space="preserve">   </v>
      </c>
      <c r="I1230" s="439" t="str">
        <f t="shared" si="67"/>
        <v xml:space="preserve">   </v>
      </c>
    </row>
    <row r="1231" spans="1:9" s="2" customFormat="1" x14ac:dyDescent="0.25">
      <c r="A1231" s="457">
        <v>1136</v>
      </c>
      <c r="B1231" s="501">
        <v>1</v>
      </c>
      <c r="C1231" s="502" t="s">
        <v>1720</v>
      </c>
      <c r="D1231" s="503">
        <v>841916001</v>
      </c>
      <c r="E1231" s="504" t="s">
        <v>1506</v>
      </c>
      <c r="F1231" s="505">
        <v>2016</v>
      </c>
      <c r="G1231" s="506" t="s">
        <v>28</v>
      </c>
      <c r="H1231" s="507" t="str">
        <f t="shared" si="66"/>
        <v xml:space="preserve">   </v>
      </c>
      <c r="I1231" s="507" t="str">
        <f t="shared" si="67"/>
        <v xml:space="preserve">   </v>
      </c>
    </row>
    <row r="1232" spans="1:9" s="2" customFormat="1" x14ac:dyDescent="0.25">
      <c r="A1232" s="164">
        <v>1137</v>
      </c>
      <c r="B1232" s="508">
        <v>2</v>
      </c>
      <c r="C1232" s="509" t="s">
        <v>1721</v>
      </c>
      <c r="D1232" s="510">
        <v>841916002</v>
      </c>
      <c r="E1232" s="511" t="s">
        <v>1506</v>
      </c>
      <c r="F1232" s="512">
        <v>2016</v>
      </c>
      <c r="G1232" s="506" t="s">
        <v>28</v>
      </c>
      <c r="H1232" s="513" t="str">
        <f t="shared" si="66"/>
        <v xml:space="preserve">   </v>
      </c>
      <c r="I1232" s="513" t="str">
        <f t="shared" si="67"/>
        <v xml:space="preserve">   </v>
      </c>
    </row>
    <row r="1233" spans="1:9" s="2" customFormat="1" x14ac:dyDescent="0.25">
      <c r="A1233" s="164">
        <v>1138</v>
      </c>
      <c r="B1233" s="508">
        <v>3</v>
      </c>
      <c r="C1233" s="509" t="s">
        <v>1724</v>
      </c>
      <c r="D1233" s="510">
        <v>841916003</v>
      </c>
      <c r="E1233" s="511" t="s">
        <v>1506</v>
      </c>
      <c r="F1233" s="512">
        <v>2016</v>
      </c>
      <c r="G1233" s="506" t="s">
        <v>28</v>
      </c>
      <c r="H1233" s="513" t="str">
        <f t="shared" si="66"/>
        <v xml:space="preserve">   </v>
      </c>
      <c r="I1233" s="513" t="str">
        <f t="shared" si="67"/>
        <v xml:space="preserve">   </v>
      </c>
    </row>
    <row r="1234" spans="1:9" s="2" customFormat="1" x14ac:dyDescent="0.25">
      <c r="A1234" s="164">
        <v>1139</v>
      </c>
      <c r="B1234" s="508">
        <v>4</v>
      </c>
      <c r="C1234" s="509" t="s">
        <v>1725</v>
      </c>
      <c r="D1234" s="510">
        <v>841916004</v>
      </c>
      <c r="E1234" s="511" t="s">
        <v>1506</v>
      </c>
      <c r="F1234" s="512">
        <v>2016</v>
      </c>
      <c r="G1234" s="506" t="s">
        <v>28</v>
      </c>
      <c r="H1234" s="513" t="str">
        <f t="shared" si="66"/>
        <v xml:space="preserve">   </v>
      </c>
      <c r="I1234" s="513" t="str">
        <f t="shared" si="67"/>
        <v xml:space="preserve">   </v>
      </c>
    </row>
    <row r="1235" spans="1:9" s="2" customFormat="1" x14ac:dyDescent="0.25">
      <c r="A1235" s="164">
        <v>1140</v>
      </c>
      <c r="B1235" s="508">
        <v>5</v>
      </c>
      <c r="C1235" s="509" t="s">
        <v>1726</v>
      </c>
      <c r="D1235" s="510">
        <v>841916005</v>
      </c>
      <c r="E1235" s="511" t="s">
        <v>1506</v>
      </c>
      <c r="F1235" s="512">
        <v>2016</v>
      </c>
      <c r="G1235" s="514" t="s">
        <v>1483</v>
      </c>
      <c r="H1235" s="513" t="str">
        <f t="shared" si="66"/>
        <v xml:space="preserve">   </v>
      </c>
      <c r="I1235" s="513" t="str">
        <f t="shared" si="67"/>
        <v xml:space="preserve">   </v>
      </c>
    </row>
    <row r="1236" spans="1:9" s="2" customFormat="1" x14ac:dyDescent="0.25">
      <c r="A1236" s="164">
        <v>1141</v>
      </c>
      <c r="B1236" s="508">
        <v>6</v>
      </c>
      <c r="C1236" s="509" t="s">
        <v>1727</v>
      </c>
      <c r="D1236" s="510">
        <v>841916006</v>
      </c>
      <c r="E1236" s="511" t="s">
        <v>1506</v>
      </c>
      <c r="F1236" s="512">
        <v>2016</v>
      </c>
      <c r="G1236" s="506" t="s">
        <v>28</v>
      </c>
      <c r="H1236" s="513" t="str">
        <f t="shared" si="66"/>
        <v xml:space="preserve">   </v>
      </c>
      <c r="I1236" s="513" t="str">
        <f t="shared" si="67"/>
        <v xml:space="preserve">   </v>
      </c>
    </row>
    <row r="1237" spans="1:9" s="2" customFormat="1" x14ac:dyDescent="0.25">
      <c r="A1237" s="164">
        <v>1142</v>
      </c>
      <c r="B1237" s="508">
        <v>7</v>
      </c>
      <c r="C1237" s="509" t="s">
        <v>1728</v>
      </c>
      <c r="D1237" s="510">
        <v>841916007</v>
      </c>
      <c r="E1237" s="511" t="s">
        <v>1506</v>
      </c>
      <c r="F1237" s="512">
        <v>2016</v>
      </c>
      <c r="G1237" s="506" t="s">
        <v>28</v>
      </c>
      <c r="H1237" s="513" t="str">
        <f t="shared" si="66"/>
        <v xml:space="preserve">   </v>
      </c>
      <c r="I1237" s="513" t="str">
        <f t="shared" si="67"/>
        <v xml:space="preserve">   </v>
      </c>
    </row>
    <row r="1238" spans="1:9" s="2" customFormat="1" x14ac:dyDescent="0.25">
      <c r="A1238" s="164">
        <v>1143</v>
      </c>
      <c r="B1238" s="508">
        <v>8</v>
      </c>
      <c r="C1238" s="509" t="s">
        <v>1729</v>
      </c>
      <c r="D1238" s="510">
        <v>841916008</v>
      </c>
      <c r="E1238" s="511" t="s">
        <v>1506</v>
      </c>
      <c r="F1238" s="512">
        <v>2016</v>
      </c>
      <c r="G1238" s="506" t="s">
        <v>28</v>
      </c>
      <c r="H1238" s="513" t="str">
        <f t="shared" si="66"/>
        <v xml:space="preserve">   </v>
      </c>
      <c r="I1238" s="513" t="str">
        <f t="shared" si="67"/>
        <v xml:space="preserve">   </v>
      </c>
    </row>
    <row r="1239" spans="1:9" s="2" customFormat="1" x14ac:dyDescent="0.25">
      <c r="A1239" s="164">
        <v>1144</v>
      </c>
      <c r="B1239" s="508">
        <v>9</v>
      </c>
      <c r="C1239" s="509" t="s">
        <v>1730</v>
      </c>
      <c r="D1239" s="510">
        <v>841916009</v>
      </c>
      <c r="E1239" s="511" t="s">
        <v>1506</v>
      </c>
      <c r="F1239" s="512">
        <v>2016</v>
      </c>
      <c r="G1239" s="514" t="s">
        <v>1483</v>
      </c>
      <c r="H1239" s="513">
        <f t="shared" si="66"/>
        <v>43942</v>
      </c>
      <c r="I1239" s="513">
        <f t="shared" si="67"/>
        <v>44058</v>
      </c>
    </row>
    <row r="1240" spans="1:9" s="2" customFormat="1" x14ac:dyDescent="0.25">
      <c r="A1240" s="164">
        <v>1145</v>
      </c>
      <c r="B1240" s="508">
        <v>10</v>
      </c>
      <c r="C1240" s="509" t="s">
        <v>1731</v>
      </c>
      <c r="D1240" s="510">
        <v>841916010</v>
      </c>
      <c r="E1240" s="511" t="s">
        <v>1506</v>
      </c>
      <c r="F1240" s="512">
        <v>2016</v>
      </c>
      <c r="G1240" s="514" t="s">
        <v>1483</v>
      </c>
      <c r="H1240" s="513" t="str">
        <f t="shared" si="66"/>
        <v xml:space="preserve">   </v>
      </c>
      <c r="I1240" s="513" t="str">
        <f t="shared" si="67"/>
        <v xml:space="preserve">   </v>
      </c>
    </row>
    <row r="1241" spans="1:9" s="2" customFormat="1" x14ac:dyDescent="0.25">
      <c r="A1241" s="156">
        <v>1146</v>
      </c>
      <c r="B1241" s="515">
        <v>11</v>
      </c>
      <c r="C1241" s="516" t="s">
        <v>1732</v>
      </c>
      <c r="D1241" s="517">
        <v>841916011</v>
      </c>
      <c r="E1241" s="518" t="s">
        <v>1506</v>
      </c>
      <c r="F1241" s="519">
        <v>2016</v>
      </c>
      <c r="G1241" s="520" t="s">
        <v>33</v>
      </c>
      <c r="H1241" s="521">
        <f t="shared" si="66"/>
        <v>43734</v>
      </c>
      <c r="I1241" s="163">
        <f t="shared" si="67"/>
        <v>43818</v>
      </c>
    </row>
    <row r="1242" spans="1:9" s="2" customFormat="1" x14ac:dyDescent="0.25">
      <c r="A1242" s="164">
        <v>1147</v>
      </c>
      <c r="B1242" s="508">
        <v>12</v>
      </c>
      <c r="C1242" s="509" t="s">
        <v>1733</v>
      </c>
      <c r="D1242" s="510">
        <v>841916012</v>
      </c>
      <c r="E1242" s="511" t="s">
        <v>1506</v>
      </c>
      <c r="F1242" s="512">
        <v>2016</v>
      </c>
      <c r="G1242" s="514" t="s">
        <v>1483</v>
      </c>
      <c r="H1242" s="513">
        <f t="shared" si="66"/>
        <v>43943</v>
      </c>
      <c r="I1242" s="513" t="str">
        <f t="shared" si="67"/>
        <v xml:space="preserve">   </v>
      </c>
    </row>
    <row r="1243" spans="1:9" s="2" customFormat="1" x14ac:dyDescent="0.25">
      <c r="A1243" s="164">
        <v>1148</v>
      </c>
      <c r="B1243" s="508">
        <v>13</v>
      </c>
      <c r="C1243" s="509" t="s">
        <v>1735</v>
      </c>
      <c r="D1243" s="510">
        <v>841916013</v>
      </c>
      <c r="E1243" s="511" t="s">
        <v>1506</v>
      </c>
      <c r="F1243" s="512">
        <v>2016</v>
      </c>
      <c r="G1243" s="506" t="s">
        <v>28</v>
      </c>
      <c r="H1243" s="513" t="str">
        <f t="shared" si="66"/>
        <v xml:space="preserve">   </v>
      </c>
      <c r="I1243" s="513" t="str">
        <f t="shared" si="67"/>
        <v xml:space="preserve">   </v>
      </c>
    </row>
    <row r="1244" spans="1:9" s="2" customFormat="1" x14ac:dyDescent="0.25">
      <c r="A1244" s="164">
        <v>1149</v>
      </c>
      <c r="B1244" s="508">
        <v>14</v>
      </c>
      <c r="C1244" s="509" t="s">
        <v>1736</v>
      </c>
      <c r="D1244" s="510">
        <v>841916014</v>
      </c>
      <c r="E1244" s="511" t="s">
        <v>1506</v>
      </c>
      <c r="F1244" s="512">
        <v>2016</v>
      </c>
      <c r="G1244" s="514" t="s">
        <v>1483</v>
      </c>
      <c r="H1244" s="513" t="str">
        <f t="shared" si="66"/>
        <v xml:space="preserve">   </v>
      </c>
      <c r="I1244" s="513" t="str">
        <f t="shared" si="67"/>
        <v xml:space="preserve">   </v>
      </c>
    </row>
    <row r="1245" spans="1:9" s="2" customFormat="1" x14ac:dyDescent="0.25">
      <c r="A1245" s="216">
        <v>1150</v>
      </c>
      <c r="B1245" s="522">
        <v>15</v>
      </c>
      <c r="C1245" s="523" t="s">
        <v>1737</v>
      </c>
      <c r="D1245" s="524">
        <v>841916015</v>
      </c>
      <c r="E1245" s="525" t="s">
        <v>1506</v>
      </c>
      <c r="F1245" s="526">
        <v>2016</v>
      </c>
      <c r="G1245" s="514" t="s">
        <v>1483</v>
      </c>
      <c r="H1245" s="527">
        <f t="shared" si="66"/>
        <v>43979</v>
      </c>
      <c r="I1245" s="527">
        <f t="shared" si="67"/>
        <v>44168</v>
      </c>
    </row>
    <row r="1246" spans="1:9" s="2" customFormat="1" x14ac:dyDescent="0.25">
      <c r="A1246" s="528"/>
      <c r="B1246" s="528"/>
      <c r="C1246" s="529"/>
      <c r="D1246" s="530"/>
      <c r="E1246" s="529" t="s">
        <v>1121</v>
      </c>
      <c r="F1246" s="531" t="s">
        <v>61</v>
      </c>
      <c r="G1246" s="192" t="s">
        <v>61</v>
      </c>
      <c r="H1246" s="532" t="str">
        <f t="shared" si="66"/>
        <v xml:space="preserve">   </v>
      </c>
      <c r="I1246" s="532" t="str">
        <f t="shared" si="67"/>
        <v xml:space="preserve">   </v>
      </c>
    </row>
    <row r="1247" spans="1:9" s="2" customFormat="1" x14ac:dyDescent="0.25">
      <c r="A1247" s="533" t="s">
        <v>1738</v>
      </c>
      <c r="B1247" s="534"/>
      <c r="C1247" s="535"/>
      <c r="D1247" s="391"/>
      <c r="E1247" s="536" t="s">
        <v>1096</v>
      </c>
      <c r="F1247" s="537" t="s">
        <v>1096</v>
      </c>
      <c r="G1247" s="394">
        <v>6000000</v>
      </c>
      <c r="H1247" s="371" t="str">
        <f t="shared" si="66"/>
        <v xml:space="preserve">   </v>
      </c>
      <c r="I1247" s="371" t="str">
        <f t="shared" si="67"/>
        <v xml:space="preserve">   </v>
      </c>
    </row>
    <row r="1248" spans="1:9" s="2" customFormat="1" x14ac:dyDescent="0.25">
      <c r="A1248" s="322">
        <v>1151</v>
      </c>
      <c r="B1248" s="538">
        <v>16</v>
      </c>
      <c r="C1248" s="539" t="s">
        <v>1744</v>
      </c>
      <c r="D1248" s="540">
        <v>841916016</v>
      </c>
      <c r="E1248" s="541" t="s">
        <v>1477</v>
      </c>
      <c r="F1248" s="542">
        <v>2016</v>
      </c>
      <c r="G1248" s="360" t="s">
        <v>1483</v>
      </c>
      <c r="H1248" s="543" t="str">
        <f t="shared" si="66"/>
        <v xml:space="preserve">   </v>
      </c>
      <c r="I1248" s="543" t="str">
        <f t="shared" si="67"/>
        <v xml:space="preserve">   </v>
      </c>
    </row>
    <row r="1249" spans="1:9" s="2" customFormat="1" x14ac:dyDescent="0.25">
      <c r="A1249" s="164">
        <v>1152</v>
      </c>
      <c r="B1249" s="544">
        <v>17</v>
      </c>
      <c r="C1249" s="545" t="s">
        <v>1745</v>
      </c>
      <c r="D1249" s="546">
        <v>841916017</v>
      </c>
      <c r="E1249" s="547" t="s">
        <v>1477</v>
      </c>
      <c r="F1249" s="548">
        <v>2016</v>
      </c>
      <c r="G1249" s="214" t="s">
        <v>1077</v>
      </c>
      <c r="H1249" s="549" t="str">
        <f t="shared" si="66"/>
        <v xml:space="preserve">   </v>
      </c>
      <c r="I1249" s="549" t="str">
        <f t="shared" si="67"/>
        <v xml:space="preserve">   </v>
      </c>
    </row>
    <row r="1250" spans="1:9" s="2" customFormat="1" x14ac:dyDescent="0.25">
      <c r="A1250" s="164">
        <v>1153</v>
      </c>
      <c r="B1250" s="544">
        <v>18</v>
      </c>
      <c r="C1250" s="550" t="s">
        <v>1746</v>
      </c>
      <c r="D1250" s="510">
        <v>841916018</v>
      </c>
      <c r="E1250" s="551" t="s">
        <v>1477</v>
      </c>
      <c r="F1250" s="552">
        <v>2016</v>
      </c>
      <c r="G1250" s="360" t="s">
        <v>1483</v>
      </c>
      <c r="H1250" s="553" t="str">
        <f t="shared" si="66"/>
        <v xml:space="preserve">   </v>
      </c>
      <c r="I1250" s="553" t="str">
        <f t="shared" si="67"/>
        <v xml:space="preserve">   </v>
      </c>
    </row>
    <row r="1251" spans="1:9" s="2" customFormat="1" x14ac:dyDescent="0.25">
      <c r="A1251" s="164">
        <v>1154</v>
      </c>
      <c r="B1251" s="544">
        <v>19</v>
      </c>
      <c r="C1251" s="554" t="s">
        <v>1747</v>
      </c>
      <c r="D1251" s="546">
        <v>841916019</v>
      </c>
      <c r="E1251" s="555" t="s">
        <v>1477</v>
      </c>
      <c r="F1251" s="556">
        <v>2016</v>
      </c>
      <c r="G1251" s="404" t="s">
        <v>28</v>
      </c>
      <c r="H1251" s="549" t="str">
        <f t="shared" si="66"/>
        <v xml:space="preserve">   </v>
      </c>
      <c r="I1251" s="549" t="str">
        <f t="shared" si="67"/>
        <v xml:space="preserve">   </v>
      </c>
    </row>
    <row r="1252" spans="1:9" s="2" customFormat="1" x14ac:dyDescent="0.25">
      <c r="A1252" s="164">
        <v>1155</v>
      </c>
      <c r="B1252" s="544">
        <v>20</v>
      </c>
      <c r="C1252" s="557" t="s">
        <v>1748</v>
      </c>
      <c r="D1252" s="510">
        <v>841916020</v>
      </c>
      <c r="E1252" s="551" t="s">
        <v>1477</v>
      </c>
      <c r="F1252" s="552">
        <v>2016</v>
      </c>
      <c r="G1252" s="404" t="s">
        <v>28</v>
      </c>
      <c r="H1252" s="553" t="str">
        <f t="shared" si="66"/>
        <v xml:space="preserve">   </v>
      </c>
      <c r="I1252" s="553" t="str">
        <f t="shared" si="67"/>
        <v xml:space="preserve">   </v>
      </c>
    </row>
    <row r="1253" spans="1:9" s="2" customFormat="1" x14ac:dyDescent="0.25">
      <c r="A1253" s="164">
        <v>1156</v>
      </c>
      <c r="B1253" s="544">
        <v>21</v>
      </c>
      <c r="C1253" s="557" t="s">
        <v>1749</v>
      </c>
      <c r="D1253" s="510">
        <v>841916021</v>
      </c>
      <c r="E1253" s="551" t="s">
        <v>1477</v>
      </c>
      <c r="F1253" s="552">
        <v>2016</v>
      </c>
      <c r="G1253" s="360" t="s">
        <v>1483</v>
      </c>
      <c r="H1253" s="553" t="str">
        <f t="shared" si="66"/>
        <v xml:space="preserve">   </v>
      </c>
      <c r="I1253" s="553" t="str">
        <f t="shared" si="67"/>
        <v xml:space="preserve">   </v>
      </c>
    </row>
    <row r="1254" spans="1:9" s="2" customFormat="1" x14ac:dyDescent="0.25">
      <c r="A1254" s="216">
        <v>1157</v>
      </c>
      <c r="B1254" s="558">
        <v>22</v>
      </c>
      <c r="C1254" s="559" t="s">
        <v>1750</v>
      </c>
      <c r="D1254" s="560">
        <v>841916022</v>
      </c>
      <c r="E1254" s="561" t="s">
        <v>1477</v>
      </c>
      <c r="F1254" s="562">
        <v>2016</v>
      </c>
      <c r="G1254" s="214" t="s">
        <v>1077</v>
      </c>
      <c r="H1254" s="563" t="str">
        <f t="shared" si="66"/>
        <v xml:space="preserve">   </v>
      </c>
      <c r="I1254" s="563" t="str">
        <f t="shared" si="67"/>
        <v xml:space="preserve">   </v>
      </c>
    </row>
    <row r="1255" spans="1:9" s="2" customFormat="1" x14ac:dyDescent="0.25">
      <c r="A1255" s="440" t="s">
        <v>1751</v>
      </c>
      <c r="B1255" s="224"/>
      <c r="C1255" s="223"/>
      <c r="D1255" s="436"/>
      <c r="E1255" s="437" t="s">
        <v>61</v>
      </c>
      <c r="F1255" s="438" t="s">
        <v>61</v>
      </c>
      <c r="G1255" s="192" t="s">
        <v>61</v>
      </c>
      <c r="H1255" s="439" t="str">
        <f t="shared" si="66"/>
        <v xml:space="preserve">   </v>
      </c>
      <c r="I1255" s="439" t="str">
        <f t="shared" si="67"/>
        <v xml:space="preserve">   </v>
      </c>
    </row>
    <row r="1256" spans="1:9" s="2" customFormat="1" x14ac:dyDescent="0.25">
      <c r="A1256" s="564" t="s">
        <v>1752</v>
      </c>
      <c r="B1256" s="564"/>
      <c r="C1256" s="564"/>
      <c r="D1256" s="366"/>
      <c r="E1256" s="198" t="s">
        <v>1096</v>
      </c>
      <c r="F1256" s="199" t="s">
        <v>1096</v>
      </c>
      <c r="G1256" s="565">
        <v>3000000</v>
      </c>
      <c r="H1256" s="147" t="str">
        <f t="shared" si="66"/>
        <v xml:space="preserve">   </v>
      </c>
      <c r="I1256" s="147" t="str">
        <f t="shared" si="67"/>
        <v xml:space="preserve">   </v>
      </c>
    </row>
    <row r="1257" spans="1:9" s="2" customFormat="1" x14ac:dyDescent="0.25">
      <c r="A1257" s="457">
        <v>1158</v>
      </c>
      <c r="B1257" s="458">
        <v>1</v>
      </c>
      <c r="C1257" s="566" t="s">
        <v>1755</v>
      </c>
      <c r="D1257" s="503">
        <v>849317001</v>
      </c>
      <c r="E1257" s="567" t="s">
        <v>1328</v>
      </c>
      <c r="F1257" s="568">
        <v>2017</v>
      </c>
      <c r="G1257" s="569" t="s">
        <v>1483</v>
      </c>
      <c r="H1257" s="570" t="str">
        <f t="shared" si="66"/>
        <v xml:space="preserve">   </v>
      </c>
      <c r="I1257" s="570" t="str">
        <f t="shared" si="67"/>
        <v xml:space="preserve">   </v>
      </c>
    </row>
    <row r="1258" spans="1:9" s="2" customFormat="1" x14ac:dyDescent="0.25">
      <c r="A1258" s="164">
        <v>1159</v>
      </c>
      <c r="B1258" s="345">
        <v>2</v>
      </c>
      <c r="C1258" s="571" t="s">
        <v>1756</v>
      </c>
      <c r="D1258" s="510">
        <v>849317002</v>
      </c>
      <c r="E1258" s="572" t="s">
        <v>1328</v>
      </c>
      <c r="F1258" s="573">
        <v>2017</v>
      </c>
      <c r="G1258" s="272" t="s">
        <v>33</v>
      </c>
      <c r="H1258" s="163">
        <f t="shared" si="66"/>
        <v>43852</v>
      </c>
      <c r="I1258" s="574">
        <f t="shared" si="67"/>
        <v>44168</v>
      </c>
    </row>
    <row r="1259" spans="1:9" s="2" customFormat="1" x14ac:dyDescent="0.25">
      <c r="A1259" s="164">
        <v>1160</v>
      </c>
      <c r="B1259" s="345">
        <v>3</v>
      </c>
      <c r="C1259" s="571" t="s">
        <v>1757</v>
      </c>
      <c r="D1259" s="510">
        <v>849317003</v>
      </c>
      <c r="E1259" s="572" t="s">
        <v>1328</v>
      </c>
      <c r="F1259" s="573">
        <v>2017</v>
      </c>
      <c r="G1259" s="404" t="s">
        <v>28</v>
      </c>
      <c r="H1259" s="574" t="str">
        <f t="shared" si="66"/>
        <v xml:space="preserve">   </v>
      </c>
      <c r="I1259" s="574" t="str">
        <f t="shared" si="67"/>
        <v xml:space="preserve">   </v>
      </c>
    </row>
    <row r="1260" spans="1:9" s="2" customFormat="1" x14ac:dyDescent="0.25">
      <c r="A1260" s="164">
        <v>1161</v>
      </c>
      <c r="B1260" s="345">
        <v>4</v>
      </c>
      <c r="C1260" s="571" t="s">
        <v>1758</v>
      </c>
      <c r="D1260" s="510">
        <v>849317004</v>
      </c>
      <c r="E1260" s="572" t="s">
        <v>1328</v>
      </c>
      <c r="F1260" s="573">
        <v>2017</v>
      </c>
      <c r="G1260" s="360" t="s">
        <v>1483</v>
      </c>
      <c r="H1260" s="574" t="str">
        <f t="shared" si="66"/>
        <v xml:space="preserve">   </v>
      </c>
      <c r="I1260" s="574" t="str">
        <f t="shared" si="67"/>
        <v xml:space="preserve">   </v>
      </c>
    </row>
    <row r="1261" spans="1:9" s="2" customFormat="1" x14ac:dyDescent="0.25">
      <c r="A1261" s="156">
        <v>1162</v>
      </c>
      <c r="B1261" s="344">
        <v>5</v>
      </c>
      <c r="C1261" s="575" t="s">
        <v>1759</v>
      </c>
      <c r="D1261" s="517">
        <v>849317005</v>
      </c>
      <c r="E1261" s="576" t="s">
        <v>1328</v>
      </c>
      <c r="F1261" s="577">
        <v>2017</v>
      </c>
      <c r="G1261" s="272" t="s">
        <v>33</v>
      </c>
      <c r="H1261" s="163">
        <f t="shared" si="66"/>
        <v>43613</v>
      </c>
      <c r="I1261" s="163">
        <f t="shared" si="67"/>
        <v>43705</v>
      </c>
    </row>
    <row r="1262" spans="1:9" s="2" customFormat="1" x14ac:dyDescent="0.25">
      <c r="A1262" s="164">
        <v>1163</v>
      </c>
      <c r="B1262" s="345">
        <v>6</v>
      </c>
      <c r="C1262" s="571" t="s">
        <v>1760</v>
      </c>
      <c r="D1262" s="510">
        <v>849317006</v>
      </c>
      <c r="E1262" s="572" t="s">
        <v>1328</v>
      </c>
      <c r="F1262" s="573">
        <v>2017</v>
      </c>
      <c r="G1262" s="360" t="s">
        <v>1483</v>
      </c>
      <c r="H1262" s="574" t="str">
        <f t="shared" si="66"/>
        <v xml:space="preserve">   </v>
      </c>
      <c r="I1262" s="574" t="str">
        <f t="shared" si="67"/>
        <v xml:space="preserve">   </v>
      </c>
    </row>
    <row r="1263" spans="1:9" s="2" customFormat="1" x14ac:dyDescent="0.25">
      <c r="A1263" s="164">
        <v>1164</v>
      </c>
      <c r="B1263" s="345">
        <v>7</v>
      </c>
      <c r="C1263" s="571" t="s">
        <v>1761</v>
      </c>
      <c r="D1263" s="510">
        <v>849317007</v>
      </c>
      <c r="E1263" s="572" t="s">
        <v>1328</v>
      </c>
      <c r="F1263" s="573">
        <v>2018</v>
      </c>
      <c r="G1263" s="360" t="s">
        <v>1483</v>
      </c>
      <c r="H1263" s="574" t="str">
        <f t="shared" si="66"/>
        <v xml:space="preserve">   </v>
      </c>
      <c r="I1263" s="574" t="str">
        <f t="shared" si="67"/>
        <v xml:space="preserve">   </v>
      </c>
    </row>
    <row r="1264" spans="1:9" s="2" customFormat="1" x14ac:dyDescent="0.25">
      <c r="A1264" s="164">
        <v>1165</v>
      </c>
      <c r="B1264" s="345">
        <v>8</v>
      </c>
      <c r="C1264" s="571" t="s">
        <v>1762</v>
      </c>
      <c r="D1264" s="510">
        <v>849317008</v>
      </c>
      <c r="E1264" s="572" t="s">
        <v>1328</v>
      </c>
      <c r="F1264" s="573">
        <v>2019</v>
      </c>
      <c r="G1264" s="360" t="s">
        <v>1483</v>
      </c>
      <c r="H1264" s="574" t="str">
        <f t="shared" si="66"/>
        <v xml:space="preserve">   </v>
      </c>
      <c r="I1264" s="574" t="str">
        <f t="shared" si="67"/>
        <v xml:space="preserve">   </v>
      </c>
    </row>
    <row r="1265" spans="1:9" s="2" customFormat="1" x14ac:dyDescent="0.25">
      <c r="A1265" s="164">
        <v>1166</v>
      </c>
      <c r="B1265" s="345">
        <v>9</v>
      </c>
      <c r="C1265" s="571" t="s">
        <v>1763</v>
      </c>
      <c r="D1265" s="510">
        <v>849317009</v>
      </c>
      <c r="E1265" s="572" t="s">
        <v>1328</v>
      </c>
      <c r="F1265" s="573">
        <v>2017</v>
      </c>
      <c r="G1265" s="272" t="s">
        <v>33</v>
      </c>
      <c r="H1265" s="163">
        <f t="shared" si="66"/>
        <v>43819</v>
      </c>
      <c r="I1265" s="163">
        <f t="shared" si="67"/>
        <v>44058</v>
      </c>
    </row>
    <row r="1266" spans="1:9" s="2" customFormat="1" x14ac:dyDescent="0.25">
      <c r="A1266" s="164">
        <v>1167</v>
      </c>
      <c r="B1266" s="345">
        <v>10</v>
      </c>
      <c r="C1266" s="571" t="s">
        <v>1764</v>
      </c>
      <c r="D1266" s="510">
        <v>849317010</v>
      </c>
      <c r="E1266" s="572" t="s">
        <v>1328</v>
      </c>
      <c r="F1266" s="573">
        <v>2017</v>
      </c>
      <c r="G1266" s="360" t="s">
        <v>1483</v>
      </c>
      <c r="H1266" s="574" t="str">
        <f t="shared" si="66"/>
        <v xml:space="preserve">   </v>
      </c>
      <c r="I1266" s="574" t="str">
        <f t="shared" si="67"/>
        <v xml:space="preserve">   </v>
      </c>
    </row>
    <row r="1267" spans="1:9" s="2" customFormat="1" x14ac:dyDescent="0.25">
      <c r="A1267" s="164">
        <v>1168</v>
      </c>
      <c r="B1267" s="345">
        <v>11</v>
      </c>
      <c r="C1267" s="571" t="s">
        <v>1765</v>
      </c>
      <c r="D1267" s="510">
        <v>849317011</v>
      </c>
      <c r="E1267" s="578" t="s">
        <v>1328</v>
      </c>
      <c r="F1267" s="579">
        <v>2017</v>
      </c>
      <c r="G1267" s="360" t="s">
        <v>1483</v>
      </c>
      <c r="H1267" s="580">
        <f t="shared" si="66"/>
        <v>43944</v>
      </c>
      <c r="I1267" s="580">
        <f t="shared" si="67"/>
        <v>44058</v>
      </c>
    </row>
    <row r="1268" spans="1:9" s="2" customFormat="1" x14ac:dyDescent="0.25">
      <c r="A1268" s="164">
        <v>1169</v>
      </c>
      <c r="B1268" s="345">
        <v>12</v>
      </c>
      <c r="C1268" s="571" t="s">
        <v>1766</v>
      </c>
      <c r="D1268" s="510">
        <v>849317012</v>
      </c>
      <c r="E1268" s="578" t="s">
        <v>1328</v>
      </c>
      <c r="F1268" s="579">
        <v>2017</v>
      </c>
      <c r="G1268" s="581" t="s">
        <v>1833</v>
      </c>
      <c r="H1268" s="580" t="str">
        <f t="shared" si="66"/>
        <v xml:space="preserve">   </v>
      </c>
      <c r="I1268" s="580" t="str">
        <f t="shared" si="67"/>
        <v xml:space="preserve">   </v>
      </c>
    </row>
    <row r="1269" spans="1:9" s="2" customFormat="1" x14ac:dyDescent="0.25">
      <c r="A1269" s="164">
        <v>1170</v>
      </c>
      <c r="B1269" s="345">
        <v>13</v>
      </c>
      <c r="C1269" s="571" t="s">
        <v>1767</v>
      </c>
      <c r="D1269" s="510">
        <v>849317013</v>
      </c>
      <c r="E1269" s="578" t="s">
        <v>1328</v>
      </c>
      <c r="F1269" s="579">
        <v>2017</v>
      </c>
      <c r="G1269" s="404" t="s">
        <v>28</v>
      </c>
      <c r="H1269" s="580" t="str">
        <f t="shared" si="66"/>
        <v xml:space="preserve">   </v>
      </c>
      <c r="I1269" s="580" t="str">
        <f t="shared" si="67"/>
        <v xml:space="preserve">   </v>
      </c>
    </row>
    <row r="1270" spans="1:9" s="2" customFormat="1" x14ac:dyDescent="0.25">
      <c r="A1270" s="164">
        <v>1171</v>
      </c>
      <c r="B1270" s="345">
        <v>14</v>
      </c>
      <c r="C1270" s="571" t="s">
        <v>1768</v>
      </c>
      <c r="D1270" s="510">
        <v>849317014</v>
      </c>
      <c r="E1270" s="578" t="s">
        <v>1328</v>
      </c>
      <c r="F1270" s="579">
        <v>2017</v>
      </c>
      <c r="G1270" s="272" t="s">
        <v>33</v>
      </c>
      <c r="H1270" s="163">
        <f t="shared" si="66"/>
        <v>43836</v>
      </c>
      <c r="I1270" s="580">
        <f t="shared" si="67"/>
        <v>44058</v>
      </c>
    </row>
    <row r="1271" spans="1:9" s="2" customFormat="1" x14ac:dyDescent="0.25">
      <c r="A1271" s="164">
        <v>1172</v>
      </c>
      <c r="B1271" s="345">
        <v>15</v>
      </c>
      <c r="C1271" s="571" t="s">
        <v>1769</v>
      </c>
      <c r="D1271" s="510">
        <v>849317015</v>
      </c>
      <c r="E1271" s="578" t="s">
        <v>1328</v>
      </c>
      <c r="F1271" s="579">
        <v>2017</v>
      </c>
      <c r="G1271" s="404" t="s">
        <v>28</v>
      </c>
      <c r="H1271" s="580" t="str">
        <f t="shared" si="66"/>
        <v xml:space="preserve">   </v>
      </c>
      <c r="I1271" s="580" t="str">
        <f t="shared" si="67"/>
        <v xml:space="preserve">   </v>
      </c>
    </row>
    <row r="1272" spans="1:9" s="2" customFormat="1" x14ac:dyDescent="0.25">
      <c r="A1272" s="164">
        <v>1173</v>
      </c>
      <c r="B1272" s="345">
        <v>16</v>
      </c>
      <c r="C1272" s="571" t="s">
        <v>1770</v>
      </c>
      <c r="D1272" s="510">
        <v>849317016</v>
      </c>
      <c r="E1272" s="578" t="s">
        <v>1328</v>
      </c>
      <c r="F1272" s="579">
        <v>2017</v>
      </c>
      <c r="G1272" s="404" t="s">
        <v>28</v>
      </c>
      <c r="H1272" s="580" t="str">
        <f t="shared" si="66"/>
        <v xml:space="preserve">   </v>
      </c>
      <c r="I1272" s="580" t="str">
        <f t="shared" si="67"/>
        <v xml:space="preserve">   </v>
      </c>
    </row>
    <row r="1273" spans="1:9" s="2" customFormat="1" x14ac:dyDescent="0.25">
      <c r="A1273" s="164">
        <v>1174</v>
      </c>
      <c r="B1273" s="345">
        <v>17</v>
      </c>
      <c r="C1273" s="571" t="s">
        <v>1771</v>
      </c>
      <c r="D1273" s="510">
        <v>849317017</v>
      </c>
      <c r="E1273" s="578" t="s">
        <v>1328</v>
      </c>
      <c r="F1273" s="579">
        <v>2017</v>
      </c>
      <c r="G1273" s="360" t="s">
        <v>1483</v>
      </c>
      <c r="H1273" s="580" t="str">
        <f t="shared" si="66"/>
        <v xml:space="preserve">   </v>
      </c>
      <c r="I1273" s="580" t="str">
        <f t="shared" si="67"/>
        <v xml:space="preserve">   </v>
      </c>
    </row>
    <row r="1274" spans="1:9" s="2" customFormat="1" x14ac:dyDescent="0.25">
      <c r="A1274" s="164">
        <v>1175</v>
      </c>
      <c r="B1274" s="345">
        <v>18</v>
      </c>
      <c r="C1274" s="571" t="s">
        <v>1772</v>
      </c>
      <c r="D1274" s="510">
        <v>849317018</v>
      </c>
      <c r="E1274" s="578" t="s">
        <v>1328</v>
      </c>
      <c r="F1274" s="579">
        <v>2017</v>
      </c>
      <c r="G1274" s="360" t="s">
        <v>1483</v>
      </c>
      <c r="H1274" s="580" t="str">
        <f t="shared" si="66"/>
        <v xml:space="preserve">   </v>
      </c>
      <c r="I1274" s="580" t="str">
        <f t="shared" si="67"/>
        <v xml:space="preserve">   </v>
      </c>
    </row>
    <row r="1275" spans="1:9" s="2" customFormat="1" x14ac:dyDescent="0.25">
      <c r="A1275" s="164">
        <v>1176</v>
      </c>
      <c r="B1275" s="345">
        <v>19</v>
      </c>
      <c r="C1275" s="571" t="s">
        <v>1773</v>
      </c>
      <c r="D1275" s="510">
        <v>849317019</v>
      </c>
      <c r="E1275" s="578" t="s">
        <v>1328</v>
      </c>
      <c r="F1275" s="579">
        <v>2017</v>
      </c>
      <c r="G1275" s="404" t="s">
        <v>28</v>
      </c>
      <c r="H1275" s="580" t="str">
        <f t="shared" si="66"/>
        <v xml:space="preserve">   </v>
      </c>
      <c r="I1275" s="580" t="str">
        <f t="shared" si="67"/>
        <v xml:space="preserve">   </v>
      </c>
    </row>
    <row r="1276" spans="1:9" s="2" customFormat="1" x14ac:dyDescent="0.25">
      <c r="A1276" s="164">
        <v>1177</v>
      </c>
      <c r="B1276" s="345">
        <v>20</v>
      </c>
      <c r="C1276" s="571" t="s">
        <v>1774</v>
      </c>
      <c r="D1276" s="510">
        <v>849317020</v>
      </c>
      <c r="E1276" s="578" t="s">
        <v>1328</v>
      </c>
      <c r="F1276" s="579">
        <v>2017</v>
      </c>
      <c r="G1276" s="404" t="s">
        <v>28</v>
      </c>
      <c r="H1276" s="580" t="str">
        <f t="shared" si="66"/>
        <v xml:space="preserve">   </v>
      </c>
      <c r="I1276" s="580" t="str">
        <f t="shared" si="67"/>
        <v xml:space="preserve">   </v>
      </c>
    </row>
    <row r="1277" spans="1:9" s="2" customFormat="1" x14ac:dyDescent="0.25">
      <c r="A1277" s="164">
        <v>1178</v>
      </c>
      <c r="B1277" s="345">
        <v>21</v>
      </c>
      <c r="C1277" s="571" t="s">
        <v>1775</v>
      </c>
      <c r="D1277" s="510">
        <v>849317021</v>
      </c>
      <c r="E1277" s="578" t="s">
        <v>1328</v>
      </c>
      <c r="F1277" s="579">
        <v>2017</v>
      </c>
      <c r="G1277" s="360" t="s">
        <v>1483</v>
      </c>
      <c r="H1277" s="580" t="str">
        <f t="shared" si="66"/>
        <v xml:space="preserve">   </v>
      </c>
      <c r="I1277" s="580" t="str">
        <f t="shared" si="67"/>
        <v xml:space="preserve">   </v>
      </c>
    </row>
    <row r="1278" spans="1:9" s="2" customFormat="1" x14ac:dyDescent="0.25">
      <c r="A1278" s="164">
        <v>1179</v>
      </c>
      <c r="B1278" s="345">
        <v>22</v>
      </c>
      <c r="C1278" s="571" t="s">
        <v>1776</v>
      </c>
      <c r="D1278" s="510">
        <v>849317022</v>
      </c>
      <c r="E1278" s="578" t="s">
        <v>1328</v>
      </c>
      <c r="F1278" s="579">
        <v>2017</v>
      </c>
      <c r="G1278" s="360" t="s">
        <v>1483</v>
      </c>
      <c r="H1278" s="580" t="str">
        <f t="shared" si="66"/>
        <v xml:space="preserve">   </v>
      </c>
      <c r="I1278" s="580" t="str">
        <f t="shared" si="67"/>
        <v xml:space="preserve">   </v>
      </c>
    </row>
    <row r="1279" spans="1:9" s="2" customFormat="1" x14ac:dyDescent="0.25">
      <c r="A1279" s="156">
        <v>1180</v>
      </c>
      <c r="B1279" s="344">
        <v>23</v>
      </c>
      <c r="C1279" s="582" t="s">
        <v>1777</v>
      </c>
      <c r="D1279" s="583">
        <v>849317023</v>
      </c>
      <c r="E1279" s="179" t="s">
        <v>1328</v>
      </c>
      <c r="F1279" s="584">
        <v>2017</v>
      </c>
      <c r="G1279" s="162" t="s">
        <v>33</v>
      </c>
      <c r="H1279" s="163">
        <f t="shared" ref="H1279:H1342" si="68">IFERROR(VLOOKUP(D1279,Tlus,3,FALSE),"   ")</f>
        <v>43530</v>
      </c>
      <c r="I1279" s="163">
        <f t="shared" ref="I1279:I1342" si="69">IFERROR(VLOOKUP(D1279,Wis,4,FALSE),"   ")</f>
        <v>43587</v>
      </c>
    </row>
    <row r="1280" spans="1:9" s="2" customFormat="1" x14ac:dyDescent="0.25">
      <c r="A1280" s="164">
        <v>1181</v>
      </c>
      <c r="B1280" s="345">
        <v>24</v>
      </c>
      <c r="C1280" s="571" t="s">
        <v>1778</v>
      </c>
      <c r="D1280" s="510">
        <v>849317024</v>
      </c>
      <c r="E1280" s="585" t="s">
        <v>1328</v>
      </c>
      <c r="F1280" s="579">
        <v>2017</v>
      </c>
      <c r="G1280" s="360" t="s">
        <v>1483</v>
      </c>
      <c r="H1280" s="574" t="str">
        <f t="shared" si="68"/>
        <v xml:space="preserve">   </v>
      </c>
      <c r="I1280" s="574" t="str">
        <f t="shared" si="69"/>
        <v xml:space="preserve">   </v>
      </c>
    </row>
    <row r="1281" spans="1:9" s="2" customFormat="1" x14ac:dyDescent="0.25">
      <c r="A1281" s="234">
        <v>1182</v>
      </c>
      <c r="B1281" s="586">
        <v>25</v>
      </c>
      <c r="C1281" s="587" t="s">
        <v>1779</v>
      </c>
      <c r="D1281" s="588">
        <v>849317025</v>
      </c>
      <c r="E1281" s="589" t="s">
        <v>1328</v>
      </c>
      <c r="F1281" s="590">
        <v>2017</v>
      </c>
      <c r="G1281" s="591" t="s">
        <v>1483</v>
      </c>
      <c r="H1281" s="592" t="str">
        <f t="shared" si="68"/>
        <v xml:space="preserve">   </v>
      </c>
      <c r="I1281" s="592" t="str">
        <f t="shared" si="69"/>
        <v xml:space="preserve">   </v>
      </c>
    </row>
    <row r="1282" spans="1:9" s="2" customFormat="1" x14ac:dyDescent="0.25">
      <c r="A1282" s="164">
        <v>1183</v>
      </c>
      <c r="B1282" s="345">
        <v>26</v>
      </c>
      <c r="C1282" s="571" t="s">
        <v>1780</v>
      </c>
      <c r="D1282" s="510">
        <v>849317026</v>
      </c>
      <c r="E1282" s="578" t="s">
        <v>1328</v>
      </c>
      <c r="F1282" s="579">
        <v>2017</v>
      </c>
      <c r="G1282" s="360" t="s">
        <v>1483</v>
      </c>
      <c r="H1282" s="574" t="str">
        <f t="shared" si="68"/>
        <v xml:space="preserve">   </v>
      </c>
      <c r="I1282" s="574" t="str">
        <f t="shared" si="69"/>
        <v xml:space="preserve">   </v>
      </c>
    </row>
    <row r="1283" spans="1:9" s="2" customFormat="1" x14ac:dyDescent="0.25">
      <c r="A1283" s="156">
        <v>1184</v>
      </c>
      <c r="B1283" s="344">
        <v>27</v>
      </c>
      <c r="C1283" s="575" t="s">
        <v>1782</v>
      </c>
      <c r="D1283" s="517">
        <v>849317027</v>
      </c>
      <c r="E1283" s="593" t="s">
        <v>1328</v>
      </c>
      <c r="F1283" s="594">
        <v>2017</v>
      </c>
      <c r="G1283" s="272" t="s">
        <v>33</v>
      </c>
      <c r="H1283" s="163">
        <f t="shared" si="68"/>
        <v>43770</v>
      </c>
      <c r="I1283" s="163">
        <f t="shared" si="69"/>
        <v>43818</v>
      </c>
    </row>
    <row r="1284" spans="1:9" s="2" customFormat="1" x14ac:dyDescent="0.25">
      <c r="A1284" s="164">
        <v>1185</v>
      </c>
      <c r="B1284" s="345">
        <v>28</v>
      </c>
      <c r="C1284" s="571" t="s">
        <v>1783</v>
      </c>
      <c r="D1284" s="510">
        <v>849317028</v>
      </c>
      <c r="E1284" s="578" t="s">
        <v>1328</v>
      </c>
      <c r="F1284" s="579">
        <v>2017</v>
      </c>
      <c r="G1284" s="360" t="s">
        <v>1483</v>
      </c>
      <c r="H1284" s="574" t="str">
        <f t="shared" si="68"/>
        <v xml:space="preserve">   </v>
      </c>
      <c r="I1284" s="574" t="str">
        <f t="shared" si="69"/>
        <v xml:space="preserve">   </v>
      </c>
    </row>
    <row r="1285" spans="1:9" s="2" customFormat="1" x14ac:dyDescent="0.25">
      <c r="A1285" s="156">
        <v>1186</v>
      </c>
      <c r="B1285" s="344">
        <v>29</v>
      </c>
      <c r="C1285" s="575" t="s">
        <v>1784</v>
      </c>
      <c r="D1285" s="510">
        <v>849317029</v>
      </c>
      <c r="E1285" s="576" t="s">
        <v>1328</v>
      </c>
      <c r="F1285" s="577">
        <v>2017</v>
      </c>
      <c r="G1285" s="272" t="s">
        <v>33</v>
      </c>
      <c r="H1285" s="163">
        <f t="shared" si="68"/>
        <v>0</v>
      </c>
      <c r="I1285" s="574" t="str">
        <f t="shared" si="69"/>
        <v xml:space="preserve">   </v>
      </c>
    </row>
    <row r="1286" spans="1:9" s="2" customFormat="1" x14ac:dyDescent="0.25">
      <c r="A1286" s="164">
        <v>1187</v>
      </c>
      <c r="B1286" s="345">
        <v>30</v>
      </c>
      <c r="C1286" s="571" t="s">
        <v>1785</v>
      </c>
      <c r="D1286" s="510">
        <v>849317030</v>
      </c>
      <c r="E1286" s="572" t="s">
        <v>1328</v>
      </c>
      <c r="F1286" s="573">
        <v>2017</v>
      </c>
      <c r="G1286" s="360" t="s">
        <v>1483</v>
      </c>
      <c r="H1286" s="574">
        <f t="shared" si="68"/>
        <v>44090</v>
      </c>
      <c r="I1286" s="574">
        <f t="shared" si="69"/>
        <v>44186</v>
      </c>
    </row>
    <row r="1287" spans="1:9" s="2" customFormat="1" x14ac:dyDescent="0.25">
      <c r="A1287" s="164">
        <v>1188</v>
      </c>
      <c r="B1287" s="345">
        <v>31</v>
      </c>
      <c r="C1287" s="571" t="s">
        <v>1786</v>
      </c>
      <c r="D1287" s="510">
        <v>849317031</v>
      </c>
      <c r="E1287" s="572" t="s">
        <v>1328</v>
      </c>
      <c r="F1287" s="573">
        <v>2017</v>
      </c>
      <c r="G1287" s="360" t="s">
        <v>1483</v>
      </c>
      <c r="H1287" s="574" t="str">
        <f t="shared" si="68"/>
        <v xml:space="preserve">   </v>
      </c>
      <c r="I1287" s="574" t="str">
        <f t="shared" si="69"/>
        <v xml:space="preserve">   </v>
      </c>
    </row>
    <row r="1288" spans="1:9" s="2" customFormat="1" x14ac:dyDescent="0.25">
      <c r="A1288" s="156">
        <v>1189</v>
      </c>
      <c r="B1288" s="344">
        <v>32</v>
      </c>
      <c r="C1288" s="575" t="s">
        <v>1787</v>
      </c>
      <c r="D1288" s="517">
        <v>849317032</v>
      </c>
      <c r="E1288" s="576" t="s">
        <v>1328</v>
      </c>
      <c r="F1288" s="577">
        <v>2017</v>
      </c>
      <c r="G1288" s="272" t="s">
        <v>33</v>
      </c>
      <c r="H1288" s="163">
        <f t="shared" si="68"/>
        <v>43612</v>
      </c>
      <c r="I1288" s="163">
        <f t="shared" si="69"/>
        <v>43705</v>
      </c>
    </row>
    <row r="1289" spans="1:9" s="2" customFormat="1" x14ac:dyDescent="0.25">
      <c r="A1289" s="164">
        <v>1190</v>
      </c>
      <c r="B1289" s="345">
        <v>33</v>
      </c>
      <c r="C1289" s="571" t="s">
        <v>1788</v>
      </c>
      <c r="D1289" s="510">
        <v>849317033</v>
      </c>
      <c r="E1289" s="572" t="s">
        <v>1328</v>
      </c>
      <c r="F1289" s="573">
        <v>2017</v>
      </c>
      <c r="G1289" s="404" t="s">
        <v>28</v>
      </c>
      <c r="H1289" s="574">
        <f t="shared" si="68"/>
        <v>43851</v>
      </c>
      <c r="I1289" s="574">
        <f t="shared" si="69"/>
        <v>44168</v>
      </c>
    </row>
    <row r="1290" spans="1:9" s="2" customFormat="1" x14ac:dyDescent="0.25">
      <c r="A1290" s="164">
        <v>1191</v>
      </c>
      <c r="B1290" s="345">
        <v>34</v>
      </c>
      <c r="C1290" s="571" t="s">
        <v>1789</v>
      </c>
      <c r="D1290" s="510">
        <v>849317034</v>
      </c>
      <c r="E1290" s="572" t="s">
        <v>1328</v>
      </c>
      <c r="F1290" s="573">
        <v>2017</v>
      </c>
      <c r="G1290" s="360" t="s">
        <v>1483</v>
      </c>
      <c r="H1290" s="574" t="str">
        <f t="shared" si="68"/>
        <v xml:space="preserve">   </v>
      </c>
      <c r="I1290" s="574" t="str">
        <f t="shared" si="69"/>
        <v xml:space="preserve">   </v>
      </c>
    </row>
    <row r="1291" spans="1:9" s="2" customFormat="1" x14ac:dyDescent="0.25">
      <c r="A1291" s="156">
        <v>1192</v>
      </c>
      <c r="B1291" s="344">
        <v>35</v>
      </c>
      <c r="C1291" s="575" t="s">
        <v>1790</v>
      </c>
      <c r="D1291" s="510">
        <v>849317035</v>
      </c>
      <c r="E1291" s="576" t="s">
        <v>1328</v>
      </c>
      <c r="F1291" s="577">
        <v>2017</v>
      </c>
      <c r="G1291" s="162" t="s">
        <v>33</v>
      </c>
      <c r="H1291" s="163">
        <f t="shared" si="68"/>
        <v>43844</v>
      </c>
      <c r="I1291" s="163">
        <f t="shared" si="69"/>
        <v>44168</v>
      </c>
    </row>
    <row r="1292" spans="1:9" s="2" customFormat="1" x14ac:dyDescent="0.25">
      <c r="A1292" s="156">
        <v>1193</v>
      </c>
      <c r="B1292" s="344">
        <v>36</v>
      </c>
      <c r="C1292" s="575" t="s">
        <v>1791</v>
      </c>
      <c r="D1292" s="517">
        <v>849317036</v>
      </c>
      <c r="E1292" s="576" t="s">
        <v>1328</v>
      </c>
      <c r="F1292" s="577">
        <v>2017</v>
      </c>
      <c r="G1292" s="162" t="s">
        <v>33</v>
      </c>
      <c r="H1292" s="163">
        <f t="shared" si="68"/>
        <v>43649</v>
      </c>
      <c r="I1292" s="163">
        <f t="shared" si="69"/>
        <v>43750</v>
      </c>
    </row>
    <row r="1293" spans="1:9" s="2" customFormat="1" x14ac:dyDescent="0.25">
      <c r="A1293" s="156">
        <v>1194</v>
      </c>
      <c r="B1293" s="344">
        <v>37</v>
      </c>
      <c r="C1293" s="575" t="s">
        <v>1792</v>
      </c>
      <c r="D1293" s="517">
        <v>849317037</v>
      </c>
      <c r="E1293" s="576" t="s">
        <v>1328</v>
      </c>
      <c r="F1293" s="577">
        <v>2017</v>
      </c>
      <c r="G1293" s="162" t="s">
        <v>33</v>
      </c>
      <c r="H1293" s="163">
        <f t="shared" si="68"/>
        <v>43755</v>
      </c>
      <c r="I1293" s="163">
        <f t="shared" si="69"/>
        <v>43818</v>
      </c>
    </row>
    <row r="1294" spans="1:9" s="2" customFormat="1" x14ac:dyDescent="0.25">
      <c r="A1294" s="164">
        <v>1195</v>
      </c>
      <c r="B1294" s="345">
        <v>38</v>
      </c>
      <c r="C1294" s="571" t="s">
        <v>1793</v>
      </c>
      <c r="D1294" s="510">
        <v>849317038</v>
      </c>
      <c r="E1294" s="572" t="s">
        <v>1328</v>
      </c>
      <c r="F1294" s="573">
        <v>2017</v>
      </c>
      <c r="G1294" s="360" t="s">
        <v>1483</v>
      </c>
      <c r="H1294" s="574">
        <f t="shared" si="68"/>
        <v>43950</v>
      </c>
      <c r="I1294" s="574">
        <f t="shared" si="69"/>
        <v>44058</v>
      </c>
    </row>
    <row r="1295" spans="1:9" s="2" customFormat="1" x14ac:dyDescent="0.25">
      <c r="A1295" s="156">
        <v>1196</v>
      </c>
      <c r="B1295" s="344">
        <v>39</v>
      </c>
      <c r="C1295" s="575" t="s">
        <v>1794</v>
      </c>
      <c r="D1295" s="510">
        <v>849317039</v>
      </c>
      <c r="E1295" s="593" t="s">
        <v>1328</v>
      </c>
      <c r="F1295" s="594">
        <v>2017</v>
      </c>
      <c r="G1295" s="162" t="s">
        <v>33</v>
      </c>
      <c r="H1295" s="163">
        <f t="shared" si="68"/>
        <v>43838</v>
      </c>
      <c r="I1295" s="580">
        <f t="shared" si="69"/>
        <v>44058</v>
      </c>
    </row>
    <row r="1296" spans="1:9" s="2" customFormat="1" x14ac:dyDescent="0.25">
      <c r="A1296" s="164">
        <v>1197</v>
      </c>
      <c r="B1296" s="345">
        <v>40</v>
      </c>
      <c r="C1296" s="571" t="s">
        <v>1795</v>
      </c>
      <c r="D1296" s="510">
        <v>849317040</v>
      </c>
      <c r="E1296" s="578" t="s">
        <v>1328</v>
      </c>
      <c r="F1296" s="579">
        <v>2017</v>
      </c>
      <c r="G1296" s="404" t="s">
        <v>28</v>
      </c>
      <c r="H1296" s="580" t="str">
        <f t="shared" si="68"/>
        <v xml:space="preserve">   </v>
      </c>
      <c r="I1296" s="580" t="str">
        <f t="shared" si="69"/>
        <v xml:space="preserve">   </v>
      </c>
    </row>
    <row r="1297" spans="1:9" s="2" customFormat="1" x14ac:dyDescent="0.25">
      <c r="A1297" s="156">
        <v>1198</v>
      </c>
      <c r="B1297" s="344">
        <v>41</v>
      </c>
      <c r="C1297" s="575" t="s">
        <v>1796</v>
      </c>
      <c r="D1297" s="517">
        <v>849317041</v>
      </c>
      <c r="E1297" s="593" t="s">
        <v>1328</v>
      </c>
      <c r="F1297" s="594">
        <v>2017</v>
      </c>
      <c r="G1297" s="162" t="s">
        <v>33</v>
      </c>
      <c r="H1297" s="163">
        <f t="shared" si="68"/>
        <v>43550</v>
      </c>
      <c r="I1297" s="163">
        <f t="shared" si="69"/>
        <v>43587</v>
      </c>
    </row>
    <row r="1298" spans="1:9" s="2" customFormat="1" x14ac:dyDescent="0.25">
      <c r="A1298" s="156">
        <v>1199</v>
      </c>
      <c r="B1298" s="344">
        <v>42</v>
      </c>
      <c r="C1298" s="575" t="s">
        <v>1797</v>
      </c>
      <c r="D1298" s="510">
        <v>849317042</v>
      </c>
      <c r="E1298" s="593" t="s">
        <v>1328</v>
      </c>
      <c r="F1298" s="594">
        <v>2017</v>
      </c>
      <c r="G1298" s="162" t="s">
        <v>33</v>
      </c>
      <c r="H1298" s="163">
        <f t="shared" si="68"/>
        <v>43837</v>
      </c>
      <c r="I1298" s="580">
        <f t="shared" si="69"/>
        <v>44168</v>
      </c>
    </row>
    <row r="1299" spans="1:9" s="2" customFormat="1" x14ac:dyDescent="0.25">
      <c r="A1299" s="164">
        <v>1200</v>
      </c>
      <c r="B1299" s="345">
        <v>43</v>
      </c>
      <c r="C1299" s="571" t="s">
        <v>1798</v>
      </c>
      <c r="D1299" s="510">
        <v>849317043</v>
      </c>
      <c r="E1299" s="578" t="s">
        <v>1328</v>
      </c>
      <c r="F1299" s="579">
        <v>2017</v>
      </c>
      <c r="G1299" s="272" t="s">
        <v>33</v>
      </c>
      <c r="H1299" s="163">
        <f t="shared" si="68"/>
        <v>43822</v>
      </c>
      <c r="I1299" s="580">
        <f t="shared" si="69"/>
        <v>44058</v>
      </c>
    </row>
    <row r="1300" spans="1:9" s="2" customFormat="1" x14ac:dyDescent="0.25">
      <c r="A1300" s="156">
        <v>1201</v>
      </c>
      <c r="B1300" s="344">
        <v>44</v>
      </c>
      <c r="C1300" s="575" t="s">
        <v>1799</v>
      </c>
      <c r="D1300" s="517">
        <v>849317044</v>
      </c>
      <c r="E1300" s="593" t="s">
        <v>1328</v>
      </c>
      <c r="F1300" s="594">
        <v>2017</v>
      </c>
      <c r="G1300" s="272" t="s">
        <v>33</v>
      </c>
      <c r="H1300" s="163">
        <f t="shared" si="68"/>
        <v>43650</v>
      </c>
      <c r="I1300" s="163">
        <f t="shared" si="69"/>
        <v>43750</v>
      </c>
    </row>
    <row r="1301" spans="1:9" s="2" customFormat="1" x14ac:dyDescent="0.25">
      <c r="A1301" s="234">
        <v>1202</v>
      </c>
      <c r="B1301" s="586">
        <v>45</v>
      </c>
      <c r="C1301" s="595" t="s">
        <v>1800</v>
      </c>
      <c r="D1301" s="596">
        <v>849317045</v>
      </c>
      <c r="E1301" s="597" t="s">
        <v>1328</v>
      </c>
      <c r="F1301" s="598">
        <v>2017</v>
      </c>
      <c r="G1301" s="599" t="s">
        <v>1483</v>
      </c>
      <c r="H1301" s="600" t="str">
        <f t="shared" si="68"/>
        <v xml:space="preserve">   </v>
      </c>
      <c r="I1301" s="600" t="str">
        <f t="shared" si="69"/>
        <v xml:space="preserve">   </v>
      </c>
    </row>
    <row r="1302" spans="1:9" s="2" customFormat="1" x14ac:dyDescent="0.25">
      <c r="A1302" s="164">
        <v>1203</v>
      </c>
      <c r="B1302" s="345">
        <v>46</v>
      </c>
      <c r="C1302" s="571" t="s">
        <v>1801</v>
      </c>
      <c r="D1302" s="510">
        <v>849317046</v>
      </c>
      <c r="E1302" s="578" t="s">
        <v>1328</v>
      </c>
      <c r="F1302" s="579">
        <v>2016</v>
      </c>
      <c r="G1302" s="404" t="s">
        <v>28</v>
      </c>
      <c r="H1302" s="580">
        <f t="shared" si="68"/>
        <v>43935</v>
      </c>
      <c r="I1302" s="580">
        <f t="shared" si="69"/>
        <v>44168</v>
      </c>
    </row>
    <row r="1303" spans="1:9" s="2" customFormat="1" x14ac:dyDescent="0.25">
      <c r="A1303" s="156">
        <v>1204</v>
      </c>
      <c r="B1303" s="344">
        <v>47</v>
      </c>
      <c r="C1303" s="575" t="s">
        <v>1803</v>
      </c>
      <c r="D1303" s="517">
        <v>849317047</v>
      </c>
      <c r="E1303" s="593" t="s">
        <v>1328</v>
      </c>
      <c r="F1303" s="594">
        <v>2017</v>
      </c>
      <c r="G1303" s="272" t="s">
        <v>33</v>
      </c>
      <c r="H1303" s="163">
        <f t="shared" si="68"/>
        <v>43656</v>
      </c>
      <c r="I1303" s="163">
        <f t="shared" si="69"/>
        <v>43750</v>
      </c>
    </row>
    <row r="1304" spans="1:9" s="2" customFormat="1" x14ac:dyDescent="0.25">
      <c r="A1304" s="164">
        <v>1205</v>
      </c>
      <c r="B1304" s="345">
        <v>48</v>
      </c>
      <c r="C1304" s="571" t="s">
        <v>1804</v>
      </c>
      <c r="D1304" s="510">
        <v>849317048</v>
      </c>
      <c r="E1304" s="578" t="s">
        <v>1328</v>
      </c>
      <c r="F1304" s="579">
        <v>2017</v>
      </c>
      <c r="G1304" s="404" t="s">
        <v>28</v>
      </c>
      <c r="H1304" s="580" t="str">
        <f t="shared" si="68"/>
        <v xml:space="preserve">   </v>
      </c>
      <c r="I1304" s="580" t="str">
        <f t="shared" si="69"/>
        <v xml:space="preserve">   </v>
      </c>
    </row>
    <row r="1305" spans="1:9" s="2" customFormat="1" x14ac:dyDescent="0.25">
      <c r="A1305" s="156">
        <v>1206</v>
      </c>
      <c r="B1305" s="344">
        <v>49</v>
      </c>
      <c r="C1305" s="575" t="s">
        <v>1805</v>
      </c>
      <c r="D1305" s="510">
        <v>849317049</v>
      </c>
      <c r="E1305" s="593" t="s">
        <v>1328</v>
      </c>
      <c r="F1305" s="594">
        <v>2017</v>
      </c>
      <c r="G1305" s="272" t="s">
        <v>33</v>
      </c>
      <c r="H1305" s="163">
        <f t="shared" si="68"/>
        <v>43872</v>
      </c>
      <c r="I1305" s="580">
        <f t="shared" si="69"/>
        <v>44058</v>
      </c>
    </row>
    <row r="1306" spans="1:9" s="2" customFormat="1" x14ac:dyDescent="0.25">
      <c r="A1306" s="156">
        <v>1207</v>
      </c>
      <c r="B1306" s="344">
        <v>50</v>
      </c>
      <c r="C1306" s="575" t="s">
        <v>1806</v>
      </c>
      <c r="D1306" s="510">
        <v>849317050</v>
      </c>
      <c r="E1306" s="576" t="s">
        <v>1328</v>
      </c>
      <c r="F1306" s="577">
        <v>2017</v>
      </c>
      <c r="G1306" s="272" t="s">
        <v>33</v>
      </c>
      <c r="H1306" s="163">
        <f t="shared" si="68"/>
        <v>43843</v>
      </c>
      <c r="I1306" s="163">
        <f t="shared" si="69"/>
        <v>44058</v>
      </c>
    </row>
    <row r="1307" spans="1:9" s="2" customFormat="1" x14ac:dyDescent="0.25">
      <c r="A1307" s="164">
        <v>1208</v>
      </c>
      <c r="B1307" s="345">
        <v>51</v>
      </c>
      <c r="C1307" s="571" t="s">
        <v>1807</v>
      </c>
      <c r="D1307" s="510">
        <v>849317051</v>
      </c>
      <c r="E1307" s="572" t="s">
        <v>1328</v>
      </c>
      <c r="F1307" s="573">
        <v>2017</v>
      </c>
      <c r="G1307" s="360" t="s">
        <v>1483</v>
      </c>
      <c r="H1307" s="574" t="str">
        <f t="shared" si="68"/>
        <v xml:space="preserve">   </v>
      </c>
      <c r="I1307" s="574" t="str">
        <f t="shared" si="69"/>
        <v xml:space="preserve">   </v>
      </c>
    </row>
    <row r="1308" spans="1:9" s="2" customFormat="1" x14ac:dyDescent="0.25">
      <c r="A1308" s="156">
        <v>1209</v>
      </c>
      <c r="B1308" s="344">
        <v>52</v>
      </c>
      <c r="C1308" s="575" t="s">
        <v>1808</v>
      </c>
      <c r="D1308" s="510">
        <v>849317052</v>
      </c>
      <c r="E1308" s="576" t="s">
        <v>1328</v>
      </c>
      <c r="F1308" s="577">
        <v>2017</v>
      </c>
      <c r="G1308" s="272" t="s">
        <v>33</v>
      </c>
      <c r="H1308" s="163">
        <f t="shared" si="68"/>
        <v>43832</v>
      </c>
      <c r="I1308" s="163">
        <f t="shared" si="69"/>
        <v>44058</v>
      </c>
    </row>
    <row r="1309" spans="1:9" s="2" customFormat="1" x14ac:dyDescent="0.25">
      <c r="A1309" s="216">
        <v>1210</v>
      </c>
      <c r="B1309" s="361">
        <v>53</v>
      </c>
      <c r="C1309" s="601" t="s">
        <v>1809</v>
      </c>
      <c r="D1309" s="524">
        <v>849317053</v>
      </c>
      <c r="E1309" s="602" t="s">
        <v>1328</v>
      </c>
      <c r="F1309" s="603">
        <v>2017</v>
      </c>
      <c r="G1309" s="490" t="s">
        <v>28</v>
      </c>
      <c r="H1309" s="604" t="str">
        <f t="shared" si="68"/>
        <v xml:space="preserve">   </v>
      </c>
      <c r="I1309" s="604" t="str">
        <f t="shared" si="69"/>
        <v xml:space="preserve">   </v>
      </c>
    </row>
    <row r="1310" spans="1:9" s="2" customFormat="1" x14ac:dyDescent="0.25">
      <c r="A1310" s="223"/>
      <c r="B1310" s="228"/>
      <c r="C1310" s="605"/>
      <c r="D1310" s="471"/>
      <c r="E1310" s="227" t="s">
        <v>61</v>
      </c>
      <c r="F1310" s="606" t="s">
        <v>61</v>
      </c>
      <c r="G1310" s="192" t="s">
        <v>61</v>
      </c>
      <c r="H1310" s="439" t="str">
        <f t="shared" si="68"/>
        <v xml:space="preserve">   </v>
      </c>
      <c r="I1310" s="439" t="str">
        <f t="shared" si="69"/>
        <v xml:space="preserve">   </v>
      </c>
    </row>
    <row r="1311" spans="1:9" s="2" customFormat="1" x14ac:dyDescent="0.25">
      <c r="A1311" s="607" t="s">
        <v>1810</v>
      </c>
      <c r="B1311" s="607"/>
      <c r="C1311" s="607"/>
      <c r="D1311" s="366"/>
      <c r="E1311" s="198" t="s">
        <v>1096</v>
      </c>
      <c r="F1311" s="199" t="s">
        <v>1096</v>
      </c>
      <c r="G1311" s="146">
        <v>3000000</v>
      </c>
      <c r="H1311" s="147" t="str">
        <f t="shared" si="68"/>
        <v xml:space="preserve">   </v>
      </c>
      <c r="I1311" s="147" t="str">
        <f t="shared" si="69"/>
        <v xml:space="preserve">   </v>
      </c>
    </row>
    <row r="1312" spans="1:9" s="2" customFormat="1" x14ac:dyDescent="0.25">
      <c r="A1312" s="457">
        <v>1211</v>
      </c>
      <c r="B1312" s="608">
        <v>1</v>
      </c>
      <c r="C1312" s="609" t="s">
        <v>1811</v>
      </c>
      <c r="D1312" s="503">
        <v>849117001</v>
      </c>
      <c r="E1312" s="567" t="s">
        <v>1070</v>
      </c>
      <c r="F1312" s="610">
        <v>2017</v>
      </c>
      <c r="G1312" s="569" t="s">
        <v>1483</v>
      </c>
      <c r="H1312" s="570" t="str">
        <f t="shared" si="68"/>
        <v xml:space="preserve">   </v>
      </c>
      <c r="I1312" s="570" t="str">
        <f t="shared" si="69"/>
        <v xml:space="preserve">   </v>
      </c>
    </row>
    <row r="1313" spans="1:9" s="2" customFormat="1" x14ac:dyDescent="0.25">
      <c r="A1313" s="156">
        <v>1212</v>
      </c>
      <c r="B1313" s="176">
        <v>2</v>
      </c>
      <c r="C1313" s="575" t="s">
        <v>1812</v>
      </c>
      <c r="D1313" s="517">
        <v>849117002</v>
      </c>
      <c r="E1313" s="576" t="s">
        <v>1070</v>
      </c>
      <c r="F1313" s="611">
        <v>2017</v>
      </c>
      <c r="G1313" s="272" t="s">
        <v>33</v>
      </c>
      <c r="H1313" s="163">
        <f t="shared" si="68"/>
        <v>43593</v>
      </c>
      <c r="I1313" s="163">
        <f t="shared" si="69"/>
        <v>43705</v>
      </c>
    </row>
    <row r="1314" spans="1:9" s="2" customFormat="1" x14ac:dyDescent="0.25">
      <c r="A1314" s="164">
        <v>1213</v>
      </c>
      <c r="B1314" s="165">
        <v>3</v>
      </c>
      <c r="C1314" s="571" t="s">
        <v>1813</v>
      </c>
      <c r="D1314" s="510">
        <v>849117003</v>
      </c>
      <c r="E1314" s="572" t="s">
        <v>1070</v>
      </c>
      <c r="F1314" s="612">
        <v>2017</v>
      </c>
      <c r="G1314" s="360" t="s">
        <v>1483</v>
      </c>
      <c r="H1314" s="580" t="str">
        <f t="shared" si="68"/>
        <v xml:space="preserve">   </v>
      </c>
      <c r="I1314" s="574" t="str">
        <f t="shared" si="69"/>
        <v xml:space="preserve">   </v>
      </c>
    </row>
    <row r="1315" spans="1:9" s="2" customFormat="1" x14ac:dyDescent="0.25">
      <c r="A1315" s="164">
        <v>1214</v>
      </c>
      <c r="B1315" s="165">
        <v>4</v>
      </c>
      <c r="C1315" s="571" t="s">
        <v>1814</v>
      </c>
      <c r="D1315" s="510">
        <v>849117004</v>
      </c>
      <c r="E1315" s="572" t="s">
        <v>1070</v>
      </c>
      <c r="F1315" s="612">
        <v>2017</v>
      </c>
      <c r="G1315" s="272" t="s">
        <v>33</v>
      </c>
      <c r="H1315" s="163" t="str">
        <f t="shared" si="68"/>
        <v xml:space="preserve">   </v>
      </c>
      <c r="I1315" s="163" t="str">
        <f t="shared" si="69"/>
        <v xml:space="preserve">   </v>
      </c>
    </row>
    <row r="1316" spans="1:9" s="2" customFormat="1" x14ac:dyDescent="0.25">
      <c r="A1316" s="156">
        <v>1215</v>
      </c>
      <c r="B1316" s="176">
        <v>5</v>
      </c>
      <c r="C1316" s="575" t="s">
        <v>1815</v>
      </c>
      <c r="D1316" s="517">
        <v>849117005</v>
      </c>
      <c r="E1316" s="593" t="s">
        <v>1070</v>
      </c>
      <c r="F1316" s="613">
        <v>2017</v>
      </c>
      <c r="G1316" s="272" t="s">
        <v>33</v>
      </c>
      <c r="H1316" s="163">
        <f t="shared" si="68"/>
        <v>43594</v>
      </c>
      <c r="I1316" s="163">
        <f t="shared" si="69"/>
        <v>43705</v>
      </c>
    </row>
    <row r="1317" spans="1:9" s="2" customFormat="1" x14ac:dyDescent="0.25">
      <c r="A1317" s="164">
        <v>1216</v>
      </c>
      <c r="B1317" s="165">
        <v>6</v>
      </c>
      <c r="C1317" s="571" t="s">
        <v>1816</v>
      </c>
      <c r="D1317" s="510">
        <v>849117006</v>
      </c>
      <c r="E1317" s="578" t="s">
        <v>1070</v>
      </c>
      <c r="F1317" s="614">
        <v>2017</v>
      </c>
      <c r="G1317" s="360" t="s">
        <v>1483</v>
      </c>
      <c r="H1317" s="580">
        <f t="shared" si="68"/>
        <v>44084</v>
      </c>
      <c r="I1317" s="580" t="str">
        <f t="shared" si="69"/>
        <v xml:space="preserve">   </v>
      </c>
    </row>
    <row r="1318" spans="1:9" s="2" customFormat="1" x14ac:dyDescent="0.25">
      <c r="A1318" s="164">
        <v>1217</v>
      </c>
      <c r="B1318" s="165">
        <v>7</v>
      </c>
      <c r="C1318" s="571" t="s">
        <v>1817</v>
      </c>
      <c r="D1318" s="510">
        <v>849117007</v>
      </c>
      <c r="E1318" s="578" t="s">
        <v>1070</v>
      </c>
      <c r="F1318" s="614">
        <v>2017</v>
      </c>
      <c r="G1318" s="615" t="s">
        <v>1833</v>
      </c>
      <c r="H1318" s="580" t="str">
        <f t="shared" si="68"/>
        <v xml:space="preserve">   </v>
      </c>
      <c r="I1318" s="580" t="str">
        <f t="shared" si="69"/>
        <v xml:space="preserve">   </v>
      </c>
    </row>
    <row r="1319" spans="1:9" s="2" customFormat="1" x14ac:dyDescent="0.25">
      <c r="A1319" s="164">
        <v>1218</v>
      </c>
      <c r="B1319" s="165">
        <v>8</v>
      </c>
      <c r="C1319" s="571" t="s">
        <v>1819</v>
      </c>
      <c r="D1319" s="510">
        <v>849117008</v>
      </c>
      <c r="E1319" s="585" t="s">
        <v>1070</v>
      </c>
      <c r="F1319" s="614">
        <v>2017</v>
      </c>
      <c r="G1319" s="404" t="s">
        <v>28</v>
      </c>
      <c r="H1319" s="580" t="str">
        <f t="shared" si="68"/>
        <v xml:space="preserve">   </v>
      </c>
      <c r="I1319" s="580" t="str">
        <f t="shared" si="69"/>
        <v xml:space="preserve">   </v>
      </c>
    </row>
    <row r="1320" spans="1:9" s="2" customFormat="1" x14ac:dyDescent="0.25">
      <c r="A1320" s="164">
        <v>1219</v>
      </c>
      <c r="B1320" s="165">
        <v>9</v>
      </c>
      <c r="C1320" s="571" t="s">
        <v>1820</v>
      </c>
      <c r="D1320" s="510">
        <v>849117009</v>
      </c>
      <c r="E1320" s="578" t="s">
        <v>1070</v>
      </c>
      <c r="F1320" s="614">
        <v>2017</v>
      </c>
      <c r="G1320" s="360" t="s">
        <v>1483</v>
      </c>
      <c r="H1320" s="580" t="str">
        <f t="shared" si="68"/>
        <v xml:space="preserve">   </v>
      </c>
      <c r="I1320" s="580" t="str">
        <f t="shared" si="69"/>
        <v xml:space="preserve">   </v>
      </c>
    </row>
    <row r="1321" spans="1:9" s="2" customFormat="1" x14ac:dyDescent="0.25">
      <c r="A1321" s="164">
        <v>1220</v>
      </c>
      <c r="B1321" s="165">
        <v>10</v>
      </c>
      <c r="C1321" s="571" t="s">
        <v>1821</v>
      </c>
      <c r="D1321" s="510">
        <v>849117010</v>
      </c>
      <c r="E1321" s="572" t="s">
        <v>1070</v>
      </c>
      <c r="F1321" s="612">
        <v>2017</v>
      </c>
      <c r="G1321" s="404" t="s">
        <v>28</v>
      </c>
      <c r="H1321" s="574" t="str">
        <f t="shared" si="68"/>
        <v xml:space="preserve">   </v>
      </c>
      <c r="I1321" s="574" t="str">
        <f t="shared" si="69"/>
        <v xml:space="preserve">   </v>
      </c>
    </row>
    <row r="1322" spans="1:9" s="2" customFormat="1" x14ac:dyDescent="0.25">
      <c r="A1322" s="164">
        <v>1221</v>
      </c>
      <c r="B1322" s="165">
        <v>11</v>
      </c>
      <c r="C1322" s="571" t="s">
        <v>1822</v>
      </c>
      <c r="D1322" s="510">
        <v>849117011</v>
      </c>
      <c r="E1322" s="572" t="s">
        <v>1070</v>
      </c>
      <c r="F1322" s="612">
        <v>2017</v>
      </c>
      <c r="G1322" s="360" t="s">
        <v>1483</v>
      </c>
      <c r="H1322" s="574">
        <f t="shared" si="68"/>
        <v>43944</v>
      </c>
      <c r="I1322" s="574">
        <f t="shared" si="69"/>
        <v>44168</v>
      </c>
    </row>
    <row r="1323" spans="1:9" s="2" customFormat="1" x14ac:dyDescent="0.25">
      <c r="A1323" s="164">
        <v>1222</v>
      </c>
      <c r="B1323" s="165">
        <v>12</v>
      </c>
      <c r="C1323" s="571" t="s">
        <v>1823</v>
      </c>
      <c r="D1323" s="510">
        <v>849117012</v>
      </c>
      <c r="E1323" s="572" t="s">
        <v>1070</v>
      </c>
      <c r="F1323" s="612">
        <v>2017</v>
      </c>
      <c r="G1323" s="404" t="s">
        <v>28</v>
      </c>
      <c r="H1323" s="574" t="str">
        <f t="shared" si="68"/>
        <v xml:space="preserve">   </v>
      </c>
      <c r="I1323" s="574" t="str">
        <f t="shared" si="69"/>
        <v xml:space="preserve">   </v>
      </c>
    </row>
    <row r="1324" spans="1:9" s="2" customFormat="1" x14ac:dyDescent="0.25">
      <c r="A1324" s="164">
        <v>1223</v>
      </c>
      <c r="B1324" s="165">
        <v>13</v>
      </c>
      <c r="C1324" s="571" t="s">
        <v>1824</v>
      </c>
      <c r="D1324" s="510">
        <v>849117013</v>
      </c>
      <c r="E1324" s="572" t="s">
        <v>1070</v>
      </c>
      <c r="F1324" s="612">
        <v>2017</v>
      </c>
      <c r="G1324" s="404" t="s">
        <v>28</v>
      </c>
      <c r="H1324" s="574" t="str">
        <f t="shared" si="68"/>
        <v xml:space="preserve">   </v>
      </c>
      <c r="I1324" s="574" t="str">
        <f t="shared" si="69"/>
        <v xml:space="preserve">   </v>
      </c>
    </row>
    <row r="1325" spans="1:9" s="2" customFormat="1" x14ac:dyDescent="0.25">
      <c r="A1325" s="156">
        <v>1224</v>
      </c>
      <c r="B1325" s="176">
        <v>14</v>
      </c>
      <c r="C1325" s="575" t="s">
        <v>1825</v>
      </c>
      <c r="D1325" s="510">
        <v>849117014</v>
      </c>
      <c r="E1325" s="576" t="s">
        <v>1070</v>
      </c>
      <c r="F1325" s="611">
        <v>2017</v>
      </c>
      <c r="G1325" s="272" t="s">
        <v>33</v>
      </c>
      <c r="H1325" s="163">
        <f t="shared" si="68"/>
        <v>43837</v>
      </c>
      <c r="I1325" s="574">
        <f t="shared" si="69"/>
        <v>44058</v>
      </c>
    </row>
    <row r="1326" spans="1:9" s="2" customFormat="1" x14ac:dyDescent="0.25">
      <c r="A1326" s="164">
        <v>1225</v>
      </c>
      <c r="B1326" s="165">
        <v>15</v>
      </c>
      <c r="C1326" s="571" t="s">
        <v>1826</v>
      </c>
      <c r="D1326" s="510">
        <v>849117015</v>
      </c>
      <c r="E1326" s="572" t="s">
        <v>1070</v>
      </c>
      <c r="F1326" s="612">
        <v>2017</v>
      </c>
      <c r="G1326" s="404" t="s">
        <v>28</v>
      </c>
      <c r="H1326" s="574" t="str">
        <f t="shared" si="68"/>
        <v xml:space="preserve">   </v>
      </c>
      <c r="I1326" s="574" t="str">
        <f t="shared" si="69"/>
        <v xml:space="preserve">   </v>
      </c>
    </row>
    <row r="1327" spans="1:9" s="2" customFormat="1" x14ac:dyDescent="0.25">
      <c r="A1327" s="156">
        <v>1226</v>
      </c>
      <c r="B1327" s="176">
        <v>16</v>
      </c>
      <c r="C1327" s="575" t="s">
        <v>1827</v>
      </c>
      <c r="D1327" s="517">
        <v>849117016</v>
      </c>
      <c r="E1327" s="576" t="s">
        <v>1070</v>
      </c>
      <c r="F1327" s="611">
        <v>2017</v>
      </c>
      <c r="G1327" s="272" t="s">
        <v>33</v>
      </c>
      <c r="H1327" s="163">
        <f t="shared" si="68"/>
        <v>43592</v>
      </c>
      <c r="I1327" s="163">
        <f t="shared" si="69"/>
        <v>43705</v>
      </c>
    </row>
    <row r="1328" spans="1:9" s="2" customFormat="1" x14ac:dyDescent="0.25">
      <c r="A1328" s="156">
        <v>1227</v>
      </c>
      <c r="B1328" s="176">
        <v>17</v>
      </c>
      <c r="C1328" s="575" t="s">
        <v>1828</v>
      </c>
      <c r="D1328" s="510">
        <v>849117017</v>
      </c>
      <c r="E1328" s="576" t="s">
        <v>1070</v>
      </c>
      <c r="F1328" s="611">
        <v>2017</v>
      </c>
      <c r="G1328" s="272" t="s">
        <v>33</v>
      </c>
      <c r="H1328" s="163">
        <f t="shared" si="68"/>
        <v>43852</v>
      </c>
      <c r="I1328" s="163">
        <f t="shared" si="69"/>
        <v>44058</v>
      </c>
    </row>
    <row r="1329" spans="1:9" s="2" customFormat="1" x14ac:dyDescent="0.25">
      <c r="A1329" s="164">
        <v>1228</v>
      </c>
      <c r="B1329" s="165">
        <v>18</v>
      </c>
      <c r="C1329" s="571" t="s">
        <v>1829</v>
      </c>
      <c r="D1329" s="510">
        <v>849117018</v>
      </c>
      <c r="E1329" s="572" t="s">
        <v>1070</v>
      </c>
      <c r="F1329" s="612">
        <v>2017</v>
      </c>
      <c r="G1329" s="360" t="s">
        <v>1483</v>
      </c>
      <c r="H1329" s="574">
        <f t="shared" si="68"/>
        <v>44025</v>
      </c>
      <c r="I1329" s="574">
        <f t="shared" si="69"/>
        <v>44186</v>
      </c>
    </row>
    <row r="1330" spans="1:9" s="2" customFormat="1" x14ac:dyDescent="0.25">
      <c r="A1330" s="164">
        <v>1229</v>
      </c>
      <c r="B1330" s="165">
        <v>19</v>
      </c>
      <c r="C1330" s="571" t="s">
        <v>1830</v>
      </c>
      <c r="D1330" s="510">
        <v>849117019</v>
      </c>
      <c r="E1330" s="572" t="s">
        <v>1070</v>
      </c>
      <c r="F1330" s="612">
        <v>2017</v>
      </c>
      <c r="G1330" s="360" t="s">
        <v>1483</v>
      </c>
      <c r="H1330" s="574" t="str">
        <f t="shared" si="68"/>
        <v xml:space="preserve">   </v>
      </c>
      <c r="I1330" s="574" t="str">
        <f t="shared" si="69"/>
        <v xml:space="preserve">   </v>
      </c>
    </row>
    <row r="1331" spans="1:9" s="2" customFormat="1" x14ac:dyDescent="0.25">
      <c r="A1331" s="164">
        <v>1230</v>
      </c>
      <c r="B1331" s="165">
        <v>20</v>
      </c>
      <c r="C1331" s="571" t="s">
        <v>1831</v>
      </c>
      <c r="D1331" s="510">
        <v>849117020</v>
      </c>
      <c r="E1331" s="572" t="s">
        <v>1070</v>
      </c>
      <c r="F1331" s="612">
        <v>2017</v>
      </c>
      <c r="G1331" s="360" t="s">
        <v>1483</v>
      </c>
      <c r="H1331" s="574" t="str">
        <f t="shared" si="68"/>
        <v xml:space="preserve">   </v>
      </c>
      <c r="I1331" s="574" t="str">
        <f t="shared" si="69"/>
        <v xml:space="preserve">   </v>
      </c>
    </row>
    <row r="1332" spans="1:9" s="2" customFormat="1" x14ac:dyDescent="0.25">
      <c r="A1332" s="164">
        <v>1231</v>
      </c>
      <c r="B1332" s="165">
        <v>21</v>
      </c>
      <c r="C1332" s="571" t="s">
        <v>1832</v>
      </c>
      <c r="D1332" s="510">
        <v>849117021</v>
      </c>
      <c r="E1332" s="578" t="s">
        <v>1070</v>
      </c>
      <c r="F1332" s="614">
        <v>2017</v>
      </c>
      <c r="G1332" s="360" t="s">
        <v>1483</v>
      </c>
      <c r="H1332" s="574" t="str">
        <f t="shared" si="68"/>
        <v xml:space="preserve">   </v>
      </c>
      <c r="I1332" s="574" t="str">
        <f t="shared" si="69"/>
        <v xml:space="preserve">   </v>
      </c>
    </row>
    <row r="1333" spans="1:9" s="2" customFormat="1" x14ac:dyDescent="0.25">
      <c r="A1333" s="164">
        <v>1232</v>
      </c>
      <c r="B1333" s="165">
        <v>22</v>
      </c>
      <c r="C1333" s="571" t="s">
        <v>1834</v>
      </c>
      <c r="D1333" s="510">
        <v>849117022</v>
      </c>
      <c r="E1333" s="578" t="s">
        <v>1070</v>
      </c>
      <c r="F1333" s="614">
        <v>2017</v>
      </c>
      <c r="G1333" s="581" t="s">
        <v>1833</v>
      </c>
      <c r="H1333" s="574" t="str">
        <f t="shared" si="68"/>
        <v xml:space="preserve">   </v>
      </c>
      <c r="I1333" s="574" t="str">
        <f t="shared" si="69"/>
        <v xml:space="preserve">   </v>
      </c>
    </row>
    <row r="1334" spans="1:9" s="2" customFormat="1" x14ac:dyDescent="0.25">
      <c r="A1334" s="164">
        <v>1233</v>
      </c>
      <c r="B1334" s="165">
        <v>23</v>
      </c>
      <c r="C1334" s="571" t="s">
        <v>1835</v>
      </c>
      <c r="D1334" s="510">
        <v>849117023</v>
      </c>
      <c r="E1334" s="578" t="s">
        <v>1070</v>
      </c>
      <c r="F1334" s="614">
        <v>2017</v>
      </c>
      <c r="G1334" s="360" t="s">
        <v>1483</v>
      </c>
      <c r="H1334" s="574">
        <f t="shared" si="68"/>
        <v>44070</v>
      </c>
      <c r="I1334" s="574">
        <f t="shared" si="69"/>
        <v>44168</v>
      </c>
    </row>
    <row r="1335" spans="1:9" s="2" customFormat="1" x14ac:dyDescent="0.25">
      <c r="A1335" s="156">
        <v>1234</v>
      </c>
      <c r="B1335" s="176">
        <v>24</v>
      </c>
      <c r="C1335" s="575" t="s">
        <v>1836</v>
      </c>
      <c r="D1335" s="510">
        <v>849117024</v>
      </c>
      <c r="E1335" s="593" t="s">
        <v>1070</v>
      </c>
      <c r="F1335" s="613">
        <v>2017</v>
      </c>
      <c r="G1335" s="272" t="s">
        <v>33</v>
      </c>
      <c r="H1335" s="163">
        <f t="shared" si="68"/>
        <v>43847</v>
      </c>
      <c r="I1335" s="574">
        <f t="shared" si="69"/>
        <v>44058</v>
      </c>
    </row>
    <row r="1336" spans="1:9" s="2" customFormat="1" x14ac:dyDescent="0.25">
      <c r="A1336" s="164">
        <v>1235</v>
      </c>
      <c r="B1336" s="165">
        <v>25</v>
      </c>
      <c r="C1336" s="571" t="s">
        <v>1708</v>
      </c>
      <c r="D1336" s="510">
        <v>849117025</v>
      </c>
      <c r="E1336" s="578" t="s">
        <v>1070</v>
      </c>
      <c r="F1336" s="614">
        <v>2017</v>
      </c>
      <c r="G1336" s="404" t="s">
        <v>28</v>
      </c>
      <c r="H1336" s="574" t="str">
        <f t="shared" si="68"/>
        <v xml:space="preserve">   </v>
      </c>
      <c r="I1336" s="574" t="str">
        <f t="shared" si="69"/>
        <v xml:space="preserve">   </v>
      </c>
    </row>
    <row r="1337" spans="1:9" s="2" customFormat="1" x14ac:dyDescent="0.25">
      <c r="A1337" s="164">
        <v>1236</v>
      </c>
      <c r="B1337" s="165">
        <v>26</v>
      </c>
      <c r="C1337" s="571" t="s">
        <v>1838</v>
      </c>
      <c r="D1337" s="510">
        <v>849117026</v>
      </c>
      <c r="E1337" s="578" t="s">
        <v>1070</v>
      </c>
      <c r="F1337" s="614">
        <v>2017</v>
      </c>
      <c r="G1337" s="360" t="s">
        <v>1483</v>
      </c>
      <c r="H1337" s="574">
        <f t="shared" si="68"/>
        <v>44084</v>
      </c>
      <c r="I1337" s="574">
        <f t="shared" si="69"/>
        <v>44186</v>
      </c>
    </row>
    <row r="1338" spans="1:9" s="2" customFormat="1" x14ac:dyDescent="0.25">
      <c r="A1338" s="164">
        <v>1237</v>
      </c>
      <c r="B1338" s="165">
        <v>27</v>
      </c>
      <c r="C1338" s="571" t="s">
        <v>1839</v>
      </c>
      <c r="D1338" s="510">
        <v>849117027</v>
      </c>
      <c r="E1338" s="572" t="s">
        <v>1070</v>
      </c>
      <c r="F1338" s="612">
        <v>2017</v>
      </c>
      <c r="G1338" s="581" t="s">
        <v>1833</v>
      </c>
      <c r="H1338" s="574" t="str">
        <f t="shared" si="68"/>
        <v xml:space="preserve">   </v>
      </c>
      <c r="I1338" s="574" t="str">
        <f t="shared" si="69"/>
        <v xml:space="preserve">   </v>
      </c>
    </row>
    <row r="1339" spans="1:9" s="2" customFormat="1" x14ac:dyDescent="0.25">
      <c r="A1339" s="156">
        <v>1238</v>
      </c>
      <c r="B1339" s="176">
        <v>28</v>
      </c>
      <c r="C1339" s="575" t="s">
        <v>1840</v>
      </c>
      <c r="D1339" s="510">
        <v>849117028</v>
      </c>
      <c r="E1339" s="576" t="s">
        <v>1070</v>
      </c>
      <c r="F1339" s="611">
        <v>2017</v>
      </c>
      <c r="G1339" s="272" t="s">
        <v>33</v>
      </c>
      <c r="H1339" s="163">
        <f t="shared" si="68"/>
        <v>43818</v>
      </c>
      <c r="I1339" s="574">
        <f t="shared" si="69"/>
        <v>44058</v>
      </c>
    </row>
    <row r="1340" spans="1:9" s="2" customFormat="1" x14ac:dyDescent="0.25">
      <c r="A1340" s="164">
        <v>1239</v>
      </c>
      <c r="B1340" s="165">
        <v>29</v>
      </c>
      <c r="C1340" s="571" t="s">
        <v>1841</v>
      </c>
      <c r="D1340" s="510">
        <v>849117029</v>
      </c>
      <c r="E1340" s="572" t="s">
        <v>1070</v>
      </c>
      <c r="F1340" s="612">
        <v>2017</v>
      </c>
      <c r="G1340" s="404" t="s">
        <v>28</v>
      </c>
      <c r="H1340" s="574" t="str">
        <f t="shared" si="68"/>
        <v xml:space="preserve">   </v>
      </c>
      <c r="I1340" s="574" t="str">
        <f t="shared" si="69"/>
        <v xml:space="preserve">   </v>
      </c>
    </row>
    <row r="1341" spans="1:9" s="2" customFormat="1" x14ac:dyDescent="0.25">
      <c r="A1341" s="164">
        <v>1240</v>
      </c>
      <c r="B1341" s="165">
        <v>30</v>
      </c>
      <c r="C1341" s="571" t="s">
        <v>1843</v>
      </c>
      <c r="D1341" s="510">
        <v>849117030</v>
      </c>
      <c r="E1341" s="572" t="s">
        <v>1070</v>
      </c>
      <c r="F1341" s="612">
        <v>2017</v>
      </c>
      <c r="G1341" s="404" t="s">
        <v>28</v>
      </c>
      <c r="H1341" s="574" t="str">
        <f t="shared" si="68"/>
        <v xml:space="preserve">   </v>
      </c>
      <c r="I1341" s="574" t="str">
        <f t="shared" si="69"/>
        <v xml:space="preserve">   </v>
      </c>
    </row>
    <row r="1342" spans="1:9" s="2" customFormat="1" x14ac:dyDescent="0.25">
      <c r="A1342" s="164">
        <v>1241</v>
      </c>
      <c r="B1342" s="165">
        <v>31</v>
      </c>
      <c r="C1342" s="571" t="s">
        <v>1844</v>
      </c>
      <c r="D1342" s="510">
        <v>849117031</v>
      </c>
      <c r="E1342" s="572" t="s">
        <v>1070</v>
      </c>
      <c r="F1342" s="612">
        <v>2017</v>
      </c>
      <c r="G1342" s="360" t="s">
        <v>1483</v>
      </c>
      <c r="H1342" s="574" t="str">
        <f t="shared" si="68"/>
        <v xml:space="preserve">   </v>
      </c>
      <c r="I1342" s="574" t="str">
        <f t="shared" si="69"/>
        <v xml:space="preserve">   </v>
      </c>
    </row>
    <row r="1343" spans="1:9" s="2" customFormat="1" x14ac:dyDescent="0.25">
      <c r="A1343" s="164">
        <v>1242</v>
      </c>
      <c r="B1343" s="165">
        <v>32</v>
      </c>
      <c r="C1343" s="571" t="s">
        <v>1845</v>
      </c>
      <c r="D1343" s="510">
        <v>849117032</v>
      </c>
      <c r="E1343" s="572" t="s">
        <v>1070</v>
      </c>
      <c r="F1343" s="612">
        <v>2017</v>
      </c>
      <c r="G1343" s="360" t="s">
        <v>1483</v>
      </c>
      <c r="H1343" s="574">
        <f t="shared" ref="H1343:H1406" si="70">IFERROR(VLOOKUP(D1343,Tlus,3,FALSE),"   ")</f>
        <v>44152</v>
      </c>
      <c r="I1343" s="574" t="str">
        <f t="shared" ref="I1343:I1406" si="71">IFERROR(VLOOKUP(D1343,Wis,4,FALSE),"   ")</f>
        <v xml:space="preserve">   </v>
      </c>
    </row>
    <row r="1344" spans="1:9" s="2" customFormat="1" x14ac:dyDescent="0.25">
      <c r="A1344" s="156">
        <v>1243</v>
      </c>
      <c r="B1344" s="176">
        <v>33</v>
      </c>
      <c r="C1344" s="575" t="s">
        <v>1847</v>
      </c>
      <c r="D1344" s="517">
        <v>849117033</v>
      </c>
      <c r="E1344" s="576" t="s">
        <v>1070</v>
      </c>
      <c r="F1344" s="611">
        <v>2017</v>
      </c>
      <c r="G1344" s="272" t="s">
        <v>33</v>
      </c>
      <c r="H1344" s="163">
        <f t="shared" si="70"/>
        <v>43641</v>
      </c>
      <c r="I1344" s="163">
        <f t="shared" si="71"/>
        <v>43750</v>
      </c>
    </row>
    <row r="1345" spans="1:9" s="2" customFormat="1" x14ac:dyDescent="0.25">
      <c r="A1345" s="164">
        <v>1244</v>
      </c>
      <c r="B1345" s="165">
        <v>34</v>
      </c>
      <c r="C1345" s="571" t="s">
        <v>1848</v>
      </c>
      <c r="D1345" s="510">
        <v>849117034</v>
      </c>
      <c r="E1345" s="572" t="s">
        <v>1070</v>
      </c>
      <c r="F1345" s="612">
        <v>2017</v>
      </c>
      <c r="G1345" s="360" t="s">
        <v>1483</v>
      </c>
      <c r="H1345" s="574">
        <f t="shared" si="70"/>
        <v>43962</v>
      </c>
      <c r="I1345" s="574">
        <f t="shared" si="71"/>
        <v>44058</v>
      </c>
    </row>
    <row r="1346" spans="1:9" s="2" customFormat="1" x14ac:dyDescent="0.25">
      <c r="A1346" s="164">
        <v>1245</v>
      </c>
      <c r="B1346" s="165">
        <v>35</v>
      </c>
      <c r="C1346" s="571" t="s">
        <v>1849</v>
      </c>
      <c r="D1346" s="510">
        <v>849117035</v>
      </c>
      <c r="E1346" s="572" t="s">
        <v>1070</v>
      </c>
      <c r="F1346" s="612">
        <v>2017</v>
      </c>
      <c r="G1346" s="360" t="s">
        <v>1483</v>
      </c>
      <c r="H1346" s="574" t="str">
        <f t="shared" si="70"/>
        <v xml:space="preserve">   </v>
      </c>
      <c r="I1346" s="574" t="str">
        <f t="shared" si="71"/>
        <v xml:space="preserve">   </v>
      </c>
    </row>
    <row r="1347" spans="1:9" s="2" customFormat="1" x14ac:dyDescent="0.25">
      <c r="A1347" s="164">
        <v>1246</v>
      </c>
      <c r="B1347" s="165">
        <v>36</v>
      </c>
      <c r="C1347" s="571" t="s">
        <v>1850</v>
      </c>
      <c r="D1347" s="510">
        <v>849117036</v>
      </c>
      <c r="E1347" s="578" t="s">
        <v>1070</v>
      </c>
      <c r="F1347" s="614">
        <v>2017</v>
      </c>
      <c r="G1347" s="272" t="s">
        <v>33</v>
      </c>
      <c r="H1347" s="163">
        <f t="shared" si="70"/>
        <v>43873</v>
      </c>
      <c r="I1347" s="574">
        <f t="shared" si="71"/>
        <v>44058</v>
      </c>
    </row>
    <row r="1348" spans="1:9" s="2" customFormat="1" x14ac:dyDescent="0.25">
      <c r="A1348" s="156">
        <v>1247</v>
      </c>
      <c r="B1348" s="176">
        <v>37</v>
      </c>
      <c r="C1348" s="575" t="s">
        <v>1851</v>
      </c>
      <c r="D1348" s="510">
        <v>849117037</v>
      </c>
      <c r="E1348" s="593" t="s">
        <v>1070</v>
      </c>
      <c r="F1348" s="613">
        <v>2017</v>
      </c>
      <c r="G1348" s="272" t="s">
        <v>33</v>
      </c>
      <c r="H1348" s="163">
        <f t="shared" si="70"/>
        <v>43838</v>
      </c>
      <c r="I1348" s="574">
        <f t="shared" si="71"/>
        <v>44058</v>
      </c>
    </row>
    <row r="1349" spans="1:9" s="2" customFormat="1" x14ac:dyDescent="0.25">
      <c r="A1349" s="164">
        <v>1248</v>
      </c>
      <c r="B1349" s="165">
        <v>38</v>
      </c>
      <c r="C1349" s="571" t="s">
        <v>1852</v>
      </c>
      <c r="D1349" s="510">
        <v>849117038</v>
      </c>
      <c r="E1349" s="578" t="s">
        <v>1070</v>
      </c>
      <c r="F1349" s="614">
        <v>2017</v>
      </c>
      <c r="G1349" s="360" t="s">
        <v>1483</v>
      </c>
      <c r="H1349" s="574">
        <f t="shared" si="70"/>
        <v>44084</v>
      </c>
      <c r="I1349" s="574">
        <f t="shared" si="71"/>
        <v>44186</v>
      </c>
    </row>
    <row r="1350" spans="1:9" s="2" customFormat="1" x14ac:dyDescent="0.25">
      <c r="A1350" s="164">
        <v>1249</v>
      </c>
      <c r="B1350" s="165">
        <v>39</v>
      </c>
      <c r="C1350" s="571" t="s">
        <v>1853</v>
      </c>
      <c r="D1350" s="510">
        <v>849117039</v>
      </c>
      <c r="E1350" s="578" t="s">
        <v>1070</v>
      </c>
      <c r="F1350" s="614">
        <v>2017</v>
      </c>
      <c r="G1350" s="360" t="s">
        <v>1483</v>
      </c>
      <c r="H1350" s="574" t="str">
        <f t="shared" si="70"/>
        <v xml:space="preserve">   </v>
      </c>
      <c r="I1350" s="574" t="str">
        <f t="shared" si="71"/>
        <v xml:space="preserve">   </v>
      </c>
    </row>
    <row r="1351" spans="1:9" s="2" customFormat="1" x14ac:dyDescent="0.25">
      <c r="A1351" s="156">
        <v>1250</v>
      </c>
      <c r="B1351" s="176">
        <v>40</v>
      </c>
      <c r="C1351" s="575" t="s">
        <v>1854</v>
      </c>
      <c r="D1351" s="517">
        <v>849117040</v>
      </c>
      <c r="E1351" s="593" t="s">
        <v>1070</v>
      </c>
      <c r="F1351" s="613">
        <v>2017</v>
      </c>
      <c r="G1351" s="272" t="s">
        <v>33</v>
      </c>
      <c r="H1351" s="163">
        <f t="shared" si="70"/>
        <v>43649</v>
      </c>
      <c r="I1351" s="163">
        <f t="shared" si="71"/>
        <v>43750</v>
      </c>
    </row>
    <row r="1352" spans="1:9" s="2" customFormat="1" x14ac:dyDescent="0.25">
      <c r="A1352" s="164">
        <v>1251</v>
      </c>
      <c r="B1352" s="165">
        <v>41</v>
      </c>
      <c r="C1352" s="571" t="s">
        <v>1855</v>
      </c>
      <c r="D1352" s="510">
        <v>849117041</v>
      </c>
      <c r="E1352" s="578" t="s">
        <v>1070</v>
      </c>
      <c r="F1352" s="614">
        <v>2017</v>
      </c>
      <c r="G1352" s="404" t="s">
        <v>28</v>
      </c>
      <c r="H1352" s="574" t="str">
        <f t="shared" si="70"/>
        <v xml:space="preserve">   </v>
      </c>
      <c r="I1352" s="574" t="str">
        <f t="shared" si="71"/>
        <v xml:space="preserve">   </v>
      </c>
    </row>
    <row r="1353" spans="1:9" s="2" customFormat="1" x14ac:dyDescent="0.25">
      <c r="A1353" s="156">
        <v>1252</v>
      </c>
      <c r="B1353" s="176">
        <v>42</v>
      </c>
      <c r="C1353" s="575" t="s">
        <v>1856</v>
      </c>
      <c r="D1353" s="517">
        <v>849117042</v>
      </c>
      <c r="E1353" s="616" t="s">
        <v>1070</v>
      </c>
      <c r="F1353" s="611">
        <v>2017</v>
      </c>
      <c r="G1353" s="272" t="s">
        <v>33</v>
      </c>
      <c r="H1353" s="163">
        <f t="shared" si="70"/>
        <v>43678</v>
      </c>
      <c r="I1353" s="163">
        <f t="shared" si="71"/>
        <v>43750</v>
      </c>
    </row>
    <row r="1354" spans="1:9" s="2" customFormat="1" x14ac:dyDescent="0.25">
      <c r="A1354" s="164">
        <v>1253</v>
      </c>
      <c r="B1354" s="165">
        <v>43</v>
      </c>
      <c r="C1354" s="493" t="s">
        <v>1857</v>
      </c>
      <c r="D1354" s="617">
        <v>849117043</v>
      </c>
      <c r="E1354" s="329" t="s">
        <v>1070</v>
      </c>
      <c r="F1354" s="618">
        <v>2017</v>
      </c>
      <c r="G1354" s="329" t="s">
        <v>1077</v>
      </c>
      <c r="H1354" s="619" t="str">
        <f t="shared" si="70"/>
        <v xml:space="preserve">   </v>
      </c>
      <c r="I1354" s="619" t="str">
        <f t="shared" si="71"/>
        <v xml:space="preserve">   </v>
      </c>
    </row>
    <row r="1355" spans="1:9" s="2" customFormat="1" x14ac:dyDescent="0.25">
      <c r="A1355" s="156">
        <v>1254</v>
      </c>
      <c r="B1355" s="176">
        <v>44</v>
      </c>
      <c r="C1355" s="177" t="s">
        <v>1858</v>
      </c>
      <c r="D1355" s="517">
        <v>849117044</v>
      </c>
      <c r="E1355" s="576" t="s">
        <v>1070</v>
      </c>
      <c r="F1355" s="611">
        <v>2017</v>
      </c>
      <c r="G1355" s="272" t="s">
        <v>33</v>
      </c>
      <c r="H1355" s="163">
        <f t="shared" si="70"/>
        <v>43797</v>
      </c>
      <c r="I1355" s="163">
        <f t="shared" si="71"/>
        <v>43818</v>
      </c>
    </row>
    <row r="1356" spans="1:9" s="2" customFormat="1" x14ac:dyDescent="0.25">
      <c r="A1356" s="164">
        <v>1255</v>
      </c>
      <c r="B1356" s="165">
        <v>45</v>
      </c>
      <c r="C1356" s="571" t="s">
        <v>1859</v>
      </c>
      <c r="D1356" s="510">
        <v>849117045</v>
      </c>
      <c r="E1356" s="572" t="s">
        <v>1070</v>
      </c>
      <c r="F1356" s="612">
        <v>2017</v>
      </c>
      <c r="G1356" s="360" t="s">
        <v>1483</v>
      </c>
      <c r="H1356" s="574">
        <f t="shared" si="70"/>
        <v>44074</v>
      </c>
      <c r="I1356" s="574">
        <f t="shared" si="71"/>
        <v>44186</v>
      </c>
    </row>
    <row r="1357" spans="1:9" s="2" customFormat="1" x14ac:dyDescent="0.25">
      <c r="A1357" s="180">
        <v>1256</v>
      </c>
      <c r="B1357" s="306">
        <v>46</v>
      </c>
      <c r="C1357" s="620" t="s">
        <v>1860</v>
      </c>
      <c r="D1357" s="621">
        <v>849117046</v>
      </c>
      <c r="E1357" s="622" t="s">
        <v>1070</v>
      </c>
      <c r="F1357" s="623">
        <v>2017</v>
      </c>
      <c r="G1357" s="624" t="s">
        <v>33</v>
      </c>
      <c r="H1357" s="163">
        <f t="shared" si="70"/>
        <v>43594</v>
      </c>
      <c r="I1357" s="163">
        <f t="shared" si="71"/>
        <v>43705</v>
      </c>
    </row>
    <row r="1358" spans="1:9" s="2" customFormat="1" x14ac:dyDescent="0.25">
      <c r="A1358" s="383"/>
      <c r="B1358" s="383"/>
      <c r="C1358" s="605"/>
      <c r="D1358" s="471"/>
      <c r="E1358" s="227" t="s">
        <v>61</v>
      </c>
      <c r="F1358" s="387" t="s">
        <v>61</v>
      </c>
      <c r="G1358" s="192" t="s">
        <v>61</v>
      </c>
      <c r="H1358" s="36" t="str">
        <f t="shared" si="70"/>
        <v xml:space="preserve">   </v>
      </c>
      <c r="I1358" s="36" t="str">
        <f t="shared" si="71"/>
        <v xml:space="preserve">   </v>
      </c>
    </row>
    <row r="1359" spans="1:9" s="2" customFormat="1" x14ac:dyDescent="0.25">
      <c r="A1359" s="625" t="s">
        <v>1861</v>
      </c>
      <c r="B1359" s="625"/>
      <c r="C1359" s="625"/>
      <c r="D1359" s="366"/>
      <c r="E1359" s="198" t="s">
        <v>1096</v>
      </c>
      <c r="F1359" s="199" t="s">
        <v>1096</v>
      </c>
      <c r="G1359" s="146">
        <v>3000000</v>
      </c>
      <c r="H1359" s="147" t="str">
        <f t="shared" si="70"/>
        <v xml:space="preserve">   </v>
      </c>
      <c r="I1359" s="147" t="str">
        <f t="shared" si="71"/>
        <v xml:space="preserve">   </v>
      </c>
    </row>
    <row r="1360" spans="1:9" s="2" customFormat="1" x14ac:dyDescent="0.25">
      <c r="A1360" s="457">
        <v>1257</v>
      </c>
      <c r="B1360" s="608">
        <v>1</v>
      </c>
      <c r="C1360" s="609" t="s">
        <v>1862</v>
      </c>
      <c r="D1360" s="503">
        <v>839217001</v>
      </c>
      <c r="E1360" s="626" t="s">
        <v>1195</v>
      </c>
      <c r="F1360" s="627">
        <v>2017</v>
      </c>
      <c r="G1360" s="404" t="s">
        <v>28</v>
      </c>
      <c r="H1360" s="570" t="str">
        <f t="shared" si="70"/>
        <v xml:space="preserve">   </v>
      </c>
      <c r="I1360" s="570" t="str">
        <f t="shared" si="71"/>
        <v xml:space="preserve">   </v>
      </c>
    </row>
    <row r="1361" spans="1:9" s="2" customFormat="1" x14ac:dyDescent="0.25">
      <c r="A1361" s="164">
        <v>1258</v>
      </c>
      <c r="B1361" s="165">
        <v>2</v>
      </c>
      <c r="C1361" s="571" t="s">
        <v>1863</v>
      </c>
      <c r="D1361" s="510">
        <v>839217002</v>
      </c>
      <c r="E1361" s="578" t="s">
        <v>1195</v>
      </c>
      <c r="F1361" s="614">
        <v>2017</v>
      </c>
      <c r="G1361" s="404" t="s">
        <v>28</v>
      </c>
      <c r="H1361" s="580" t="str">
        <f t="shared" si="70"/>
        <v xml:space="preserve">   </v>
      </c>
      <c r="I1361" s="580" t="str">
        <f t="shared" si="71"/>
        <v xml:space="preserve">   </v>
      </c>
    </row>
    <row r="1362" spans="1:9" s="2" customFormat="1" x14ac:dyDescent="0.25">
      <c r="A1362" s="164">
        <v>1259</v>
      </c>
      <c r="B1362" s="165">
        <v>3</v>
      </c>
      <c r="C1362" s="166" t="s">
        <v>1864</v>
      </c>
      <c r="D1362" s="510">
        <v>839217003</v>
      </c>
      <c r="E1362" s="578" t="s">
        <v>1195</v>
      </c>
      <c r="F1362" s="614">
        <v>2017</v>
      </c>
      <c r="G1362" s="360" t="s">
        <v>1483</v>
      </c>
      <c r="H1362" s="580" t="str">
        <f t="shared" si="70"/>
        <v xml:space="preserve">   </v>
      </c>
      <c r="I1362" s="580" t="str">
        <f t="shared" si="71"/>
        <v xml:space="preserve">   </v>
      </c>
    </row>
    <row r="1363" spans="1:9" s="2" customFormat="1" x14ac:dyDescent="0.25">
      <c r="A1363" s="164">
        <v>1260</v>
      </c>
      <c r="B1363" s="165">
        <v>4</v>
      </c>
      <c r="C1363" s="571" t="s">
        <v>1865</v>
      </c>
      <c r="D1363" s="510">
        <v>839217004</v>
      </c>
      <c r="E1363" s="578" t="s">
        <v>1195</v>
      </c>
      <c r="F1363" s="614">
        <v>2017</v>
      </c>
      <c r="G1363" s="360" t="s">
        <v>1483</v>
      </c>
      <c r="H1363" s="580" t="str">
        <f t="shared" si="70"/>
        <v xml:space="preserve">   </v>
      </c>
      <c r="I1363" s="580" t="str">
        <f t="shared" si="71"/>
        <v xml:space="preserve">   </v>
      </c>
    </row>
    <row r="1364" spans="1:9" s="2" customFormat="1" x14ac:dyDescent="0.25">
      <c r="A1364" s="164">
        <v>1261</v>
      </c>
      <c r="B1364" s="165">
        <v>5</v>
      </c>
      <c r="C1364" s="571" t="s">
        <v>1866</v>
      </c>
      <c r="D1364" s="510">
        <v>839217005</v>
      </c>
      <c r="E1364" s="578" t="s">
        <v>1195</v>
      </c>
      <c r="F1364" s="614">
        <v>2017</v>
      </c>
      <c r="G1364" s="404" t="s">
        <v>28</v>
      </c>
      <c r="H1364" s="580" t="str">
        <f t="shared" si="70"/>
        <v xml:space="preserve">   </v>
      </c>
      <c r="I1364" s="580" t="str">
        <f t="shared" si="71"/>
        <v xml:space="preserve">   </v>
      </c>
    </row>
    <row r="1365" spans="1:9" s="2" customFormat="1" x14ac:dyDescent="0.25">
      <c r="A1365" s="164">
        <v>1262</v>
      </c>
      <c r="B1365" s="165">
        <v>6</v>
      </c>
      <c r="C1365" s="571" t="s">
        <v>1867</v>
      </c>
      <c r="D1365" s="510">
        <v>839217006</v>
      </c>
      <c r="E1365" s="578" t="s">
        <v>1195</v>
      </c>
      <c r="F1365" s="614">
        <v>2017</v>
      </c>
      <c r="G1365" s="360" t="s">
        <v>1483</v>
      </c>
      <c r="H1365" s="580">
        <f t="shared" si="70"/>
        <v>44053</v>
      </c>
      <c r="I1365" s="580">
        <f t="shared" si="71"/>
        <v>44168</v>
      </c>
    </row>
    <row r="1366" spans="1:9" s="2" customFormat="1" x14ac:dyDescent="0.25">
      <c r="A1366" s="156">
        <v>1263</v>
      </c>
      <c r="B1366" s="176">
        <v>7</v>
      </c>
      <c r="C1366" s="575" t="s">
        <v>1868</v>
      </c>
      <c r="D1366" s="517">
        <v>839217007</v>
      </c>
      <c r="E1366" s="593" t="s">
        <v>1195</v>
      </c>
      <c r="F1366" s="613">
        <v>2017</v>
      </c>
      <c r="G1366" s="272" t="s">
        <v>33</v>
      </c>
      <c r="H1366" s="163">
        <f t="shared" si="70"/>
        <v>43655</v>
      </c>
      <c r="I1366" s="163">
        <f t="shared" si="71"/>
        <v>43750</v>
      </c>
    </row>
    <row r="1367" spans="1:9" s="2" customFormat="1" x14ac:dyDescent="0.25">
      <c r="A1367" s="164">
        <v>1264</v>
      </c>
      <c r="B1367" s="165">
        <v>8</v>
      </c>
      <c r="C1367" s="571" t="s">
        <v>1869</v>
      </c>
      <c r="D1367" s="510">
        <v>839217008</v>
      </c>
      <c r="E1367" s="578" t="s">
        <v>1195</v>
      </c>
      <c r="F1367" s="614">
        <v>2017</v>
      </c>
      <c r="G1367" s="360" t="s">
        <v>1483</v>
      </c>
      <c r="H1367" s="580" t="str">
        <f t="shared" si="70"/>
        <v xml:space="preserve">   </v>
      </c>
      <c r="I1367" s="580" t="str">
        <f t="shared" si="71"/>
        <v xml:space="preserve">   </v>
      </c>
    </row>
    <row r="1368" spans="1:9" s="2" customFormat="1" x14ac:dyDescent="0.25">
      <c r="A1368" s="156">
        <v>1265</v>
      </c>
      <c r="B1368" s="176">
        <v>9</v>
      </c>
      <c r="C1368" s="575" t="s">
        <v>1870</v>
      </c>
      <c r="D1368" s="517">
        <v>839217009</v>
      </c>
      <c r="E1368" s="593" t="s">
        <v>1195</v>
      </c>
      <c r="F1368" s="613">
        <v>2017</v>
      </c>
      <c r="G1368" s="272" t="s">
        <v>33</v>
      </c>
      <c r="H1368" s="163">
        <f t="shared" si="70"/>
        <v>43839</v>
      </c>
      <c r="I1368" s="580">
        <f t="shared" si="71"/>
        <v>44058</v>
      </c>
    </row>
    <row r="1369" spans="1:9" s="2" customFormat="1" x14ac:dyDescent="0.25">
      <c r="A1369" s="164">
        <v>1266</v>
      </c>
      <c r="B1369" s="165">
        <v>10</v>
      </c>
      <c r="C1369" s="571" t="s">
        <v>1871</v>
      </c>
      <c r="D1369" s="510">
        <v>839217010</v>
      </c>
      <c r="E1369" s="585" t="s">
        <v>1195</v>
      </c>
      <c r="F1369" s="614">
        <v>2017</v>
      </c>
      <c r="G1369" s="404" t="s">
        <v>28</v>
      </c>
      <c r="H1369" s="580" t="str">
        <f t="shared" si="70"/>
        <v xml:space="preserve">   </v>
      </c>
      <c r="I1369" s="580" t="str">
        <f t="shared" si="71"/>
        <v xml:space="preserve">   </v>
      </c>
    </row>
    <row r="1370" spans="1:9" s="2" customFormat="1" x14ac:dyDescent="0.25">
      <c r="A1370" s="164">
        <v>1267</v>
      </c>
      <c r="B1370" s="165">
        <v>11</v>
      </c>
      <c r="C1370" s="571" t="s">
        <v>1872</v>
      </c>
      <c r="D1370" s="510">
        <v>839217011</v>
      </c>
      <c r="E1370" s="578" t="s">
        <v>1195</v>
      </c>
      <c r="F1370" s="614">
        <v>2017</v>
      </c>
      <c r="G1370" s="360" t="s">
        <v>1483</v>
      </c>
      <c r="H1370" s="580" t="str">
        <f t="shared" si="70"/>
        <v xml:space="preserve">   </v>
      </c>
      <c r="I1370" s="580" t="str">
        <f t="shared" si="71"/>
        <v xml:space="preserve">   </v>
      </c>
    </row>
    <row r="1371" spans="1:9" s="2" customFormat="1" x14ac:dyDescent="0.25">
      <c r="A1371" s="164">
        <v>1268</v>
      </c>
      <c r="B1371" s="165">
        <v>12</v>
      </c>
      <c r="C1371" s="571" t="s">
        <v>1873</v>
      </c>
      <c r="D1371" s="510">
        <v>839217012</v>
      </c>
      <c r="E1371" s="585" t="s">
        <v>1195</v>
      </c>
      <c r="F1371" s="614">
        <v>2017</v>
      </c>
      <c r="G1371" s="404" t="s">
        <v>28</v>
      </c>
      <c r="H1371" s="580" t="str">
        <f t="shared" si="70"/>
        <v xml:space="preserve">   </v>
      </c>
      <c r="I1371" s="580" t="str">
        <f t="shared" si="71"/>
        <v xml:space="preserve">   </v>
      </c>
    </row>
    <row r="1372" spans="1:9" s="2" customFormat="1" x14ac:dyDescent="0.25">
      <c r="A1372" s="164">
        <v>1269</v>
      </c>
      <c r="B1372" s="165">
        <v>13</v>
      </c>
      <c r="C1372" s="571" t="s">
        <v>1874</v>
      </c>
      <c r="D1372" s="510">
        <v>839217013</v>
      </c>
      <c r="E1372" s="585" t="s">
        <v>1195</v>
      </c>
      <c r="F1372" s="614">
        <v>2017</v>
      </c>
      <c r="G1372" s="404" t="s">
        <v>28</v>
      </c>
      <c r="H1372" s="580" t="str">
        <f t="shared" si="70"/>
        <v xml:space="preserve">   </v>
      </c>
      <c r="I1372" s="580" t="str">
        <f t="shared" si="71"/>
        <v xml:space="preserve">   </v>
      </c>
    </row>
    <row r="1373" spans="1:9" s="2" customFormat="1" x14ac:dyDescent="0.25">
      <c r="A1373" s="164">
        <v>1270</v>
      </c>
      <c r="B1373" s="165">
        <v>14</v>
      </c>
      <c r="C1373" s="571" t="s">
        <v>1875</v>
      </c>
      <c r="D1373" s="510">
        <v>839217014</v>
      </c>
      <c r="E1373" s="578" t="s">
        <v>1195</v>
      </c>
      <c r="F1373" s="614">
        <v>2017</v>
      </c>
      <c r="G1373" s="360" t="s">
        <v>1483</v>
      </c>
      <c r="H1373" s="580" t="str">
        <f t="shared" si="70"/>
        <v xml:space="preserve">   </v>
      </c>
      <c r="I1373" s="580" t="str">
        <f t="shared" si="71"/>
        <v xml:space="preserve">   </v>
      </c>
    </row>
    <row r="1374" spans="1:9" s="2" customFormat="1" x14ac:dyDescent="0.25">
      <c r="A1374" s="156">
        <v>1271</v>
      </c>
      <c r="B1374" s="176">
        <v>15</v>
      </c>
      <c r="C1374" s="575" t="s">
        <v>1876</v>
      </c>
      <c r="D1374" s="517">
        <v>839217015</v>
      </c>
      <c r="E1374" s="593" t="s">
        <v>1195</v>
      </c>
      <c r="F1374" s="613">
        <v>2017</v>
      </c>
      <c r="G1374" s="272" t="s">
        <v>33</v>
      </c>
      <c r="H1374" s="628">
        <f t="shared" si="70"/>
        <v>43635</v>
      </c>
      <c r="I1374" s="628">
        <f t="shared" si="71"/>
        <v>43705</v>
      </c>
    </row>
    <row r="1375" spans="1:9" s="2" customFormat="1" x14ac:dyDescent="0.25">
      <c r="A1375" s="164">
        <v>1272</v>
      </c>
      <c r="B1375" s="165">
        <v>16</v>
      </c>
      <c r="C1375" s="571" t="s">
        <v>1877</v>
      </c>
      <c r="D1375" s="510">
        <v>839217016</v>
      </c>
      <c r="E1375" s="578" t="s">
        <v>1195</v>
      </c>
      <c r="F1375" s="614">
        <v>2017</v>
      </c>
      <c r="G1375" s="404" t="s">
        <v>28</v>
      </c>
      <c r="H1375" s="580" t="str">
        <f t="shared" si="70"/>
        <v xml:space="preserve">   </v>
      </c>
      <c r="I1375" s="580" t="str">
        <f t="shared" si="71"/>
        <v xml:space="preserve">   </v>
      </c>
    </row>
    <row r="1376" spans="1:9" s="2" customFormat="1" x14ac:dyDescent="0.25">
      <c r="A1376" s="156">
        <v>1273</v>
      </c>
      <c r="B1376" s="176">
        <v>17</v>
      </c>
      <c r="C1376" s="575" t="s">
        <v>1878</v>
      </c>
      <c r="D1376" s="629">
        <v>839217017</v>
      </c>
      <c r="E1376" s="593" t="s">
        <v>1195</v>
      </c>
      <c r="F1376" s="613">
        <v>2017</v>
      </c>
      <c r="G1376" s="272" t="s">
        <v>33</v>
      </c>
      <c r="H1376" s="163">
        <f t="shared" si="70"/>
        <v>43837</v>
      </c>
      <c r="I1376" s="580">
        <f t="shared" si="71"/>
        <v>44058</v>
      </c>
    </row>
    <row r="1377" spans="1:9" s="2" customFormat="1" x14ac:dyDescent="0.25">
      <c r="A1377" s="156">
        <v>1274</v>
      </c>
      <c r="B1377" s="176">
        <v>18</v>
      </c>
      <c r="C1377" s="575" t="s">
        <v>1879</v>
      </c>
      <c r="D1377" s="517">
        <v>839217018</v>
      </c>
      <c r="E1377" s="593" t="s">
        <v>1195</v>
      </c>
      <c r="F1377" s="613">
        <v>2017</v>
      </c>
      <c r="G1377" s="272" t="s">
        <v>33</v>
      </c>
      <c r="H1377" s="628">
        <f t="shared" si="70"/>
        <v>43648</v>
      </c>
      <c r="I1377" s="628">
        <f t="shared" si="71"/>
        <v>43750</v>
      </c>
    </row>
    <row r="1378" spans="1:9" s="2" customFormat="1" x14ac:dyDescent="0.25">
      <c r="A1378" s="156">
        <v>1275</v>
      </c>
      <c r="B1378" s="176">
        <v>19</v>
      </c>
      <c r="C1378" s="575" t="s">
        <v>1880</v>
      </c>
      <c r="D1378" s="510">
        <v>839217019</v>
      </c>
      <c r="E1378" s="593" t="s">
        <v>1195</v>
      </c>
      <c r="F1378" s="613">
        <v>2017</v>
      </c>
      <c r="G1378" s="272" t="s">
        <v>33</v>
      </c>
      <c r="H1378" s="628">
        <f t="shared" si="70"/>
        <v>43840</v>
      </c>
      <c r="I1378" s="574">
        <f t="shared" si="71"/>
        <v>44168</v>
      </c>
    </row>
    <row r="1379" spans="1:9" s="2" customFormat="1" x14ac:dyDescent="0.25">
      <c r="A1379" s="156">
        <v>1276</v>
      </c>
      <c r="B1379" s="176">
        <v>20</v>
      </c>
      <c r="C1379" s="575" t="s">
        <v>1881</v>
      </c>
      <c r="D1379" s="517">
        <v>839217020</v>
      </c>
      <c r="E1379" s="593" t="s">
        <v>1195</v>
      </c>
      <c r="F1379" s="613">
        <v>2017</v>
      </c>
      <c r="G1379" s="272" t="s">
        <v>33</v>
      </c>
      <c r="H1379" s="628">
        <f t="shared" si="70"/>
        <v>43732</v>
      </c>
      <c r="I1379" s="628">
        <f t="shared" si="71"/>
        <v>43818</v>
      </c>
    </row>
    <row r="1380" spans="1:9" s="2" customFormat="1" x14ac:dyDescent="0.25">
      <c r="A1380" s="164">
        <v>1277</v>
      </c>
      <c r="B1380" s="165">
        <v>21</v>
      </c>
      <c r="C1380" s="571" t="s">
        <v>1882</v>
      </c>
      <c r="D1380" s="510">
        <v>839217021</v>
      </c>
      <c r="E1380" s="578" t="s">
        <v>1195</v>
      </c>
      <c r="F1380" s="614">
        <v>2017</v>
      </c>
      <c r="G1380" s="360" t="s">
        <v>1483</v>
      </c>
      <c r="H1380" s="574">
        <f t="shared" si="70"/>
        <v>44096</v>
      </c>
      <c r="I1380" s="574">
        <f t="shared" si="71"/>
        <v>44186</v>
      </c>
    </row>
    <row r="1381" spans="1:9" s="2" customFormat="1" x14ac:dyDescent="0.25">
      <c r="A1381" s="156">
        <v>1278</v>
      </c>
      <c r="B1381" s="176">
        <v>22</v>
      </c>
      <c r="C1381" s="575" t="s">
        <v>1883</v>
      </c>
      <c r="D1381" s="510">
        <v>839217022</v>
      </c>
      <c r="E1381" s="593" t="s">
        <v>1195</v>
      </c>
      <c r="F1381" s="613">
        <v>2017</v>
      </c>
      <c r="G1381" s="272" t="s">
        <v>33</v>
      </c>
      <c r="H1381" s="163">
        <f t="shared" si="70"/>
        <v>43838</v>
      </c>
      <c r="I1381" s="574">
        <f t="shared" si="71"/>
        <v>44168</v>
      </c>
    </row>
    <row r="1382" spans="1:9" s="2" customFormat="1" x14ac:dyDescent="0.25">
      <c r="A1382" s="164">
        <v>1279</v>
      </c>
      <c r="B1382" s="165">
        <v>23</v>
      </c>
      <c r="C1382" s="571" t="s">
        <v>1884</v>
      </c>
      <c r="D1382" s="510">
        <v>839217023</v>
      </c>
      <c r="E1382" s="578" t="s">
        <v>1195</v>
      </c>
      <c r="F1382" s="614">
        <v>2017</v>
      </c>
      <c r="G1382" s="404" t="s">
        <v>28</v>
      </c>
      <c r="H1382" s="574" t="str">
        <f t="shared" si="70"/>
        <v xml:space="preserve">   </v>
      </c>
      <c r="I1382" s="574" t="str">
        <f t="shared" si="71"/>
        <v xml:space="preserve">   </v>
      </c>
    </row>
    <row r="1383" spans="1:9" s="2" customFormat="1" x14ac:dyDescent="0.25">
      <c r="A1383" s="164">
        <v>1280</v>
      </c>
      <c r="B1383" s="165">
        <v>24</v>
      </c>
      <c r="C1383" s="571" t="s">
        <v>1885</v>
      </c>
      <c r="D1383" s="510">
        <v>839217024</v>
      </c>
      <c r="E1383" s="578" t="s">
        <v>1195</v>
      </c>
      <c r="F1383" s="614">
        <v>2017</v>
      </c>
      <c r="G1383" s="360" t="s">
        <v>1483</v>
      </c>
      <c r="H1383" s="574" t="str">
        <f t="shared" si="70"/>
        <v xml:space="preserve">   </v>
      </c>
      <c r="I1383" s="574" t="str">
        <f t="shared" si="71"/>
        <v xml:space="preserve">   </v>
      </c>
    </row>
    <row r="1384" spans="1:9" s="2" customFormat="1" x14ac:dyDescent="0.25">
      <c r="A1384" s="164">
        <v>1281</v>
      </c>
      <c r="B1384" s="165">
        <v>25</v>
      </c>
      <c r="C1384" s="571" t="s">
        <v>1887</v>
      </c>
      <c r="D1384" s="510">
        <v>839217025</v>
      </c>
      <c r="E1384" s="578" t="s">
        <v>1195</v>
      </c>
      <c r="F1384" s="614">
        <v>2018</v>
      </c>
      <c r="G1384" s="404" t="s">
        <v>28</v>
      </c>
      <c r="H1384" s="574" t="str">
        <f t="shared" si="70"/>
        <v xml:space="preserve">   </v>
      </c>
      <c r="I1384" s="574" t="str">
        <f t="shared" si="71"/>
        <v xml:space="preserve">   </v>
      </c>
    </row>
    <row r="1385" spans="1:9" s="2" customFormat="1" x14ac:dyDescent="0.25">
      <c r="A1385" s="164">
        <v>1282</v>
      </c>
      <c r="B1385" s="165">
        <v>26</v>
      </c>
      <c r="C1385" s="571" t="s">
        <v>1888</v>
      </c>
      <c r="D1385" s="510">
        <v>839217026</v>
      </c>
      <c r="E1385" s="578" t="s">
        <v>1195</v>
      </c>
      <c r="F1385" s="614">
        <v>2019</v>
      </c>
      <c r="G1385" s="404" t="s">
        <v>28</v>
      </c>
      <c r="H1385" s="574" t="str">
        <f t="shared" si="70"/>
        <v xml:space="preserve">   </v>
      </c>
      <c r="I1385" s="574" t="str">
        <f t="shared" si="71"/>
        <v xml:space="preserve">   </v>
      </c>
    </row>
    <row r="1386" spans="1:9" s="2" customFormat="1" x14ac:dyDescent="0.25">
      <c r="A1386" s="156">
        <v>1283</v>
      </c>
      <c r="B1386" s="176">
        <v>27</v>
      </c>
      <c r="C1386" s="575" t="s">
        <v>1889</v>
      </c>
      <c r="D1386" s="517">
        <v>839217027</v>
      </c>
      <c r="E1386" s="593" t="s">
        <v>1195</v>
      </c>
      <c r="F1386" s="613">
        <v>2017</v>
      </c>
      <c r="G1386" s="272" t="s">
        <v>33</v>
      </c>
      <c r="H1386" s="628">
        <f t="shared" si="70"/>
        <v>43498</v>
      </c>
      <c r="I1386" s="628">
        <f t="shared" si="71"/>
        <v>43587</v>
      </c>
    </row>
    <row r="1387" spans="1:9" s="2" customFormat="1" x14ac:dyDescent="0.25">
      <c r="A1387" s="164">
        <v>1284</v>
      </c>
      <c r="B1387" s="165">
        <v>28</v>
      </c>
      <c r="C1387" s="571" t="s">
        <v>1890</v>
      </c>
      <c r="D1387" s="510">
        <v>839217028</v>
      </c>
      <c r="E1387" s="585" t="s">
        <v>1195</v>
      </c>
      <c r="F1387" s="614">
        <v>2017</v>
      </c>
      <c r="G1387" s="404" t="s">
        <v>28</v>
      </c>
      <c r="H1387" s="574" t="str">
        <f t="shared" si="70"/>
        <v xml:space="preserve">   </v>
      </c>
      <c r="I1387" s="574" t="str">
        <f t="shared" si="71"/>
        <v xml:space="preserve">   </v>
      </c>
    </row>
    <row r="1388" spans="1:9" s="2" customFormat="1" x14ac:dyDescent="0.25">
      <c r="A1388" s="156">
        <v>1285</v>
      </c>
      <c r="B1388" s="176">
        <v>29</v>
      </c>
      <c r="C1388" s="582" t="s">
        <v>1891</v>
      </c>
      <c r="D1388" s="583">
        <v>839217029</v>
      </c>
      <c r="E1388" s="179" t="s">
        <v>1195</v>
      </c>
      <c r="F1388" s="584">
        <v>2017</v>
      </c>
      <c r="G1388" s="272" t="s">
        <v>33</v>
      </c>
      <c r="H1388" s="628">
        <f t="shared" si="70"/>
        <v>43636</v>
      </c>
      <c r="I1388" s="628">
        <f t="shared" si="71"/>
        <v>43705</v>
      </c>
    </row>
    <row r="1389" spans="1:9" s="2" customFormat="1" x14ac:dyDescent="0.25">
      <c r="A1389" s="156">
        <v>1286</v>
      </c>
      <c r="B1389" s="176">
        <v>30</v>
      </c>
      <c r="C1389" s="177" t="s">
        <v>1892</v>
      </c>
      <c r="D1389" s="517">
        <v>839217030</v>
      </c>
      <c r="E1389" s="593" t="s">
        <v>1195</v>
      </c>
      <c r="F1389" s="613">
        <v>2017</v>
      </c>
      <c r="G1389" s="272" t="s">
        <v>33</v>
      </c>
      <c r="H1389" s="628">
        <f t="shared" si="70"/>
        <v>43635</v>
      </c>
      <c r="I1389" s="628">
        <f t="shared" si="71"/>
        <v>43705</v>
      </c>
    </row>
    <row r="1390" spans="1:9" s="2" customFormat="1" x14ac:dyDescent="0.25">
      <c r="A1390" s="156">
        <v>1287</v>
      </c>
      <c r="B1390" s="176">
        <v>31</v>
      </c>
      <c r="C1390" s="575" t="s">
        <v>1893</v>
      </c>
      <c r="D1390" s="510">
        <v>839217031</v>
      </c>
      <c r="E1390" s="593" t="s">
        <v>1195</v>
      </c>
      <c r="F1390" s="613">
        <v>2017</v>
      </c>
      <c r="G1390" s="272" t="s">
        <v>33</v>
      </c>
      <c r="H1390" s="163">
        <f t="shared" si="70"/>
        <v>43838</v>
      </c>
      <c r="I1390" s="574">
        <f t="shared" si="71"/>
        <v>44058</v>
      </c>
    </row>
    <row r="1391" spans="1:9" s="2" customFormat="1" x14ac:dyDescent="0.25">
      <c r="A1391" s="156">
        <v>1288</v>
      </c>
      <c r="B1391" s="176">
        <v>32</v>
      </c>
      <c r="C1391" s="575" t="s">
        <v>1894</v>
      </c>
      <c r="D1391" s="510">
        <v>839217032</v>
      </c>
      <c r="E1391" s="593" t="s">
        <v>1195</v>
      </c>
      <c r="F1391" s="613">
        <v>2017</v>
      </c>
      <c r="G1391" s="272" t="s">
        <v>33</v>
      </c>
      <c r="H1391" s="163">
        <f t="shared" si="70"/>
        <v>43838</v>
      </c>
      <c r="I1391" s="574">
        <f t="shared" si="71"/>
        <v>44168</v>
      </c>
    </row>
    <row r="1392" spans="1:9" s="2" customFormat="1" x14ac:dyDescent="0.25">
      <c r="A1392" s="164">
        <v>1289</v>
      </c>
      <c r="B1392" s="165">
        <v>33</v>
      </c>
      <c r="C1392" s="571" t="s">
        <v>1895</v>
      </c>
      <c r="D1392" s="510">
        <v>839217033</v>
      </c>
      <c r="E1392" s="578" t="s">
        <v>1195</v>
      </c>
      <c r="F1392" s="614">
        <v>2017</v>
      </c>
      <c r="G1392" s="272" t="s">
        <v>33</v>
      </c>
      <c r="H1392" s="574">
        <f t="shared" si="70"/>
        <v>43795</v>
      </c>
      <c r="I1392" s="574">
        <f t="shared" si="71"/>
        <v>44058</v>
      </c>
    </row>
    <row r="1393" spans="1:9" s="2" customFormat="1" x14ac:dyDescent="0.25">
      <c r="A1393" s="164">
        <v>1290</v>
      </c>
      <c r="B1393" s="165">
        <v>34</v>
      </c>
      <c r="C1393" s="571" t="s">
        <v>1897</v>
      </c>
      <c r="D1393" s="510">
        <v>839217034</v>
      </c>
      <c r="E1393" s="578" t="s">
        <v>1195</v>
      </c>
      <c r="F1393" s="614">
        <v>2017</v>
      </c>
      <c r="G1393" s="404" t="s">
        <v>28</v>
      </c>
      <c r="H1393" s="574" t="str">
        <f t="shared" si="70"/>
        <v xml:space="preserve">   </v>
      </c>
      <c r="I1393" s="574" t="str">
        <f t="shared" si="71"/>
        <v xml:space="preserve">   </v>
      </c>
    </row>
    <row r="1394" spans="1:9" s="2" customFormat="1" x14ac:dyDescent="0.25">
      <c r="A1394" s="164">
        <v>1291</v>
      </c>
      <c r="B1394" s="165">
        <v>35</v>
      </c>
      <c r="C1394" s="571" t="s">
        <v>1898</v>
      </c>
      <c r="D1394" s="510">
        <v>839217035</v>
      </c>
      <c r="E1394" s="578" t="s">
        <v>1195</v>
      </c>
      <c r="F1394" s="614">
        <v>2017</v>
      </c>
      <c r="G1394" s="360" t="s">
        <v>1483</v>
      </c>
      <c r="H1394" s="574">
        <f t="shared" si="70"/>
        <v>43966</v>
      </c>
      <c r="I1394" s="574">
        <f t="shared" si="71"/>
        <v>44186</v>
      </c>
    </row>
    <row r="1395" spans="1:9" s="2" customFormat="1" x14ac:dyDescent="0.25">
      <c r="A1395" s="164">
        <v>1292</v>
      </c>
      <c r="B1395" s="165">
        <v>36</v>
      </c>
      <c r="C1395" s="571" t="s">
        <v>1899</v>
      </c>
      <c r="D1395" s="510">
        <v>839217036</v>
      </c>
      <c r="E1395" s="578" t="s">
        <v>1195</v>
      </c>
      <c r="F1395" s="614">
        <v>2017</v>
      </c>
      <c r="G1395" s="360" t="s">
        <v>1483</v>
      </c>
      <c r="H1395" s="574" t="str">
        <f t="shared" si="70"/>
        <v xml:space="preserve">   </v>
      </c>
      <c r="I1395" s="574" t="str">
        <f t="shared" si="71"/>
        <v xml:space="preserve">   </v>
      </c>
    </row>
    <row r="1396" spans="1:9" s="2" customFormat="1" x14ac:dyDescent="0.25">
      <c r="A1396" s="216">
        <v>1293</v>
      </c>
      <c r="B1396" s="217">
        <v>37</v>
      </c>
      <c r="C1396" s="601" t="s">
        <v>1900</v>
      </c>
      <c r="D1396" s="524">
        <v>839217037</v>
      </c>
      <c r="E1396" s="630" t="s">
        <v>1195</v>
      </c>
      <c r="F1396" s="631">
        <v>2017</v>
      </c>
      <c r="G1396" s="360" t="s">
        <v>1483</v>
      </c>
      <c r="H1396" s="604">
        <f t="shared" si="70"/>
        <v>44029</v>
      </c>
      <c r="I1396" s="604" t="str">
        <f t="shared" si="71"/>
        <v xml:space="preserve">   </v>
      </c>
    </row>
    <row r="1397" spans="1:9" s="2" customFormat="1" x14ac:dyDescent="0.25">
      <c r="A1397" s="223"/>
      <c r="B1397" s="228"/>
      <c r="C1397" s="605"/>
      <c r="D1397" s="471"/>
      <c r="E1397" s="227" t="s">
        <v>61</v>
      </c>
      <c r="F1397" s="387" t="s">
        <v>61</v>
      </c>
      <c r="G1397" s="192" t="s">
        <v>61</v>
      </c>
      <c r="H1397" s="439" t="str">
        <f t="shared" si="70"/>
        <v xml:space="preserve">   </v>
      </c>
      <c r="I1397" s="439" t="str">
        <f t="shared" si="71"/>
        <v xml:space="preserve">   </v>
      </c>
    </row>
    <row r="1398" spans="1:9" s="2" customFormat="1" x14ac:dyDescent="0.25">
      <c r="A1398" s="625" t="s">
        <v>1901</v>
      </c>
      <c r="B1398" s="625"/>
      <c r="C1398" s="632"/>
      <c r="D1398" s="366"/>
      <c r="E1398" s="198" t="s">
        <v>1096</v>
      </c>
      <c r="F1398" s="199" t="s">
        <v>1096</v>
      </c>
      <c r="G1398" s="146">
        <v>3000000</v>
      </c>
      <c r="H1398" s="147" t="str">
        <f t="shared" si="70"/>
        <v xml:space="preserve">   </v>
      </c>
      <c r="I1398" s="147" t="str">
        <f t="shared" si="71"/>
        <v xml:space="preserve">   </v>
      </c>
    </row>
    <row r="1399" spans="1:9" s="2" customFormat="1" x14ac:dyDescent="0.25">
      <c r="A1399" s="457">
        <v>1294</v>
      </c>
      <c r="B1399" s="633">
        <v>1</v>
      </c>
      <c r="C1399" s="609" t="s">
        <v>1902</v>
      </c>
      <c r="D1399" s="503">
        <v>849417001</v>
      </c>
      <c r="E1399" s="567" t="s">
        <v>1665</v>
      </c>
      <c r="F1399" s="610">
        <v>2017</v>
      </c>
      <c r="G1399" s="569" t="s">
        <v>1483</v>
      </c>
      <c r="H1399" s="570" t="str">
        <f t="shared" si="70"/>
        <v xml:space="preserve">   </v>
      </c>
      <c r="I1399" s="570" t="str">
        <f t="shared" si="71"/>
        <v xml:space="preserve">   </v>
      </c>
    </row>
    <row r="1400" spans="1:9" s="2" customFormat="1" x14ac:dyDescent="0.25">
      <c r="A1400" s="164">
        <v>1295</v>
      </c>
      <c r="B1400" s="634">
        <v>2</v>
      </c>
      <c r="C1400" s="571" t="s">
        <v>1903</v>
      </c>
      <c r="D1400" s="510">
        <v>849417002</v>
      </c>
      <c r="E1400" s="572" t="s">
        <v>1665</v>
      </c>
      <c r="F1400" s="612">
        <v>2017</v>
      </c>
      <c r="G1400" s="569" t="s">
        <v>1483</v>
      </c>
      <c r="H1400" s="574" t="str">
        <f t="shared" si="70"/>
        <v xml:space="preserve">   </v>
      </c>
      <c r="I1400" s="574" t="str">
        <f t="shared" si="71"/>
        <v xml:space="preserve">   </v>
      </c>
    </row>
    <row r="1401" spans="1:9" s="2" customFormat="1" x14ac:dyDescent="0.25">
      <c r="A1401" s="156">
        <v>1296</v>
      </c>
      <c r="B1401" s="635">
        <v>3</v>
      </c>
      <c r="C1401" s="575" t="s">
        <v>1904</v>
      </c>
      <c r="D1401" s="510">
        <v>849417003</v>
      </c>
      <c r="E1401" s="576" t="s">
        <v>1665</v>
      </c>
      <c r="F1401" s="611">
        <v>2017</v>
      </c>
      <c r="G1401" s="272" t="s">
        <v>33</v>
      </c>
      <c r="H1401" s="163">
        <f t="shared" si="70"/>
        <v>44192</v>
      </c>
      <c r="I1401" s="574">
        <f t="shared" si="71"/>
        <v>44168</v>
      </c>
    </row>
    <row r="1402" spans="1:9" s="2" customFormat="1" x14ac:dyDescent="0.25">
      <c r="A1402" s="164">
        <v>1297</v>
      </c>
      <c r="B1402" s="634">
        <v>4</v>
      </c>
      <c r="C1402" s="571" t="s">
        <v>1905</v>
      </c>
      <c r="D1402" s="510">
        <v>849417004</v>
      </c>
      <c r="E1402" s="572" t="s">
        <v>1665</v>
      </c>
      <c r="F1402" s="612">
        <v>2017</v>
      </c>
      <c r="G1402" s="581" t="s">
        <v>1833</v>
      </c>
      <c r="H1402" s="574" t="str">
        <f t="shared" si="70"/>
        <v xml:space="preserve">   </v>
      </c>
      <c r="I1402" s="574" t="str">
        <f t="shared" si="71"/>
        <v xml:space="preserve">   </v>
      </c>
    </row>
    <row r="1403" spans="1:9" s="2" customFormat="1" x14ac:dyDescent="0.25">
      <c r="A1403" s="156">
        <v>1298</v>
      </c>
      <c r="B1403" s="635">
        <v>5</v>
      </c>
      <c r="C1403" s="575" t="s">
        <v>1906</v>
      </c>
      <c r="D1403" s="510">
        <v>849417005</v>
      </c>
      <c r="E1403" s="576" t="s">
        <v>1665</v>
      </c>
      <c r="F1403" s="611">
        <v>2017</v>
      </c>
      <c r="G1403" s="272" t="s">
        <v>33</v>
      </c>
      <c r="H1403" s="163">
        <f t="shared" si="70"/>
        <v>43839</v>
      </c>
      <c r="I1403" s="574">
        <f t="shared" si="71"/>
        <v>44058</v>
      </c>
    </row>
    <row r="1404" spans="1:9" s="2" customFormat="1" x14ac:dyDescent="0.25">
      <c r="A1404" s="156">
        <v>1299</v>
      </c>
      <c r="B1404" s="635">
        <v>6</v>
      </c>
      <c r="C1404" s="575" t="s">
        <v>1907</v>
      </c>
      <c r="D1404" s="517">
        <v>849417006</v>
      </c>
      <c r="E1404" s="576" t="s">
        <v>1665</v>
      </c>
      <c r="F1404" s="611">
        <v>2017</v>
      </c>
      <c r="G1404" s="272" t="s">
        <v>33</v>
      </c>
      <c r="H1404" s="628">
        <f t="shared" si="70"/>
        <v>43658</v>
      </c>
      <c r="I1404" s="628">
        <f t="shared" si="71"/>
        <v>43750</v>
      </c>
    </row>
    <row r="1405" spans="1:9" s="2" customFormat="1" x14ac:dyDescent="0.25">
      <c r="A1405" s="156">
        <v>1300</v>
      </c>
      <c r="B1405" s="635">
        <v>7</v>
      </c>
      <c r="C1405" s="575" t="s">
        <v>1908</v>
      </c>
      <c r="D1405" s="517">
        <v>849417007</v>
      </c>
      <c r="E1405" s="576" t="s">
        <v>1665</v>
      </c>
      <c r="F1405" s="611">
        <v>2017</v>
      </c>
      <c r="G1405" s="272" t="s">
        <v>33</v>
      </c>
      <c r="H1405" s="628">
        <f t="shared" si="70"/>
        <v>43633</v>
      </c>
      <c r="I1405" s="628">
        <f t="shared" si="71"/>
        <v>43705</v>
      </c>
    </row>
    <row r="1406" spans="1:9" s="2" customFormat="1" x14ac:dyDescent="0.25">
      <c r="A1406" s="156">
        <v>1301</v>
      </c>
      <c r="B1406" s="635">
        <v>8</v>
      </c>
      <c r="C1406" s="177" t="s">
        <v>1909</v>
      </c>
      <c r="D1406" s="636">
        <v>849417008</v>
      </c>
      <c r="E1406" s="576" t="s">
        <v>1665</v>
      </c>
      <c r="F1406" s="611">
        <v>2017</v>
      </c>
      <c r="G1406" s="272" t="s">
        <v>33</v>
      </c>
      <c r="H1406" s="628">
        <f t="shared" si="70"/>
        <v>43633</v>
      </c>
      <c r="I1406" s="628">
        <f t="shared" si="71"/>
        <v>43705</v>
      </c>
    </row>
    <row r="1407" spans="1:9" s="2" customFormat="1" x14ac:dyDescent="0.25">
      <c r="A1407" s="156">
        <v>1302</v>
      </c>
      <c r="B1407" s="635">
        <v>9</v>
      </c>
      <c r="C1407" s="575" t="s">
        <v>1910</v>
      </c>
      <c r="D1407" s="517">
        <v>849417009</v>
      </c>
      <c r="E1407" s="576" t="s">
        <v>1665</v>
      </c>
      <c r="F1407" s="611">
        <v>2017</v>
      </c>
      <c r="G1407" s="272" t="s">
        <v>33</v>
      </c>
      <c r="H1407" s="163">
        <f t="shared" ref="H1407:H1470" si="72">IFERROR(VLOOKUP(D1407,Tlus,3,FALSE),"   ")</f>
        <v>43838</v>
      </c>
      <c r="I1407" s="574">
        <f t="shared" ref="I1407:I1470" si="73">IFERROR(VLOOKUP(D1407,Wis,4,FALSE),"   ")</f>
        <v>44058</v>
      </c>
    </row>
    <row r="1408" spans="1:9" s="2" customFormat="1" x14ac:dyDescent="0.25">
      <c r="A1408" s="156">
        <v>1303</v>
      </c>
      <c r="B1408" s="635">
        <v>10</v>
      </c>
      <c r="C1408" s="575" t="s">
        <v>1911</v>
      </c>
      <c r="D1408" s="517">
        <v>849417010</v>
      </c>
      <c r="E1408" s="576" t="s">
        <v>1665</v>
      </c>
      <c r="F1408" s="611">
        <v>2018</v>
      </c>
      <c r="G1408" s="272" t="s">
        <v>33</v>
      </c>
      <c r="H1408" s="628">
        <f t="shared" si="72"/>
        <v>43745</v>
      </c>
      <c r="I1408" s="628">
        <f t="shared" si="73"/>
        <v>43818</v>
      </c>
    </row>
    <row r="1409" spans="1:9" s="2" customFormat="1" x14ac:dyDescent="0.25">
      <c r="A1409" s="164">
        <v>1304</v>
      </c>
      <c r="B1409" s="634">
        <v>11</v>
      </c>
      <c r="C1409" s="571" t="s">
        <v>1912</v>
      </c>
      <c r="D1409" s="510">
        <v>849417011</v>
      </c>
      <c r="E1409" s="572" t="s">
        <v>1665</v>
      </c>
      <c r="F1409" s="612">
        <v>2017</v>
      </c>
      <c r="G1409" s="404" t="s">
        <v>28</v>
      </c>
      <c r="H1409" s="574" t="str">
        <f t="shared" si="72"/>
        <v xml:space="preserve">   </v>
      </c>
      <c r="I1409" s="574" t="str">
        <f t="shared" si="73"/>
        <v xml:space="preserve">   </v>
      </c>
    </row>
    <row r="1410" spans="1:9" s="2" customFormat="1" x14ac:dyDescent="0.25">
      <c r="A1410" s="164">
        <v>1305</v>
      </c>
      <c r="B1410" s="637">
        <v>12</v>
      </c>
      <c r="C1410" s="493" t="s">
        <v>1913</v>
      </c>
      <c r="D1410" s="617">
        <v>849417012</v>
      </c>
      <c r="E1410" s="329" t="s">
        <v>1665</v>
      </c>
      <c r="F1410" s="618">
        <v>2017</v>
      </c>
      <c r="G1410" s="329" t="s">
        <v>1077</v>
      </c>
      <c r="H1410" s="619" t="str">
        <f t="shared" si="72"/>
        <v xml:space="preserve">   </v>
      </c>
      <c r="I1410" s="619" t="str">
        <f t="shared" si="73"/>
        <v xml:space="preserve">   </v>
      </c>
    </row>
    <row r="1411" spans="1:9" s="2" customFormat="1" x14ac:dyDescent="0.25">
      <c r="A1411" s="164">
        <v>1306</v>
      </c>
      <c r="B1411" s="634">
        <v>13</v>
      </c>
      <c r="C1411" s="571" t="s">
        <v>1914</v>
      </c>
      <c r="D1411" s="510">
        <v>849417013</v>
      </c>
      <c r="E1411" s="572" t="s">
        <v>1665</v>
      </c>
      <c r="F1411" s="612">
        <v>2017</v>
      </c>
      <c r="G1411" s="581" t="s">
        <v>1833</v>
      </c>
      <c r="H1411" s="574" t="str">
        <f t="shared" si="72"/>
        <v xml:space="preserve">   </v>
      </c>
      <c r="I1411" s="574" t="str">
        <f t="shared" si="73"/>
        <v xml:space="preserve">   </v>
      </c>
    </row>
    <row r="1412" spans="1:9" s="2" customFormat="1" x14ac:dyDescent="0.25">
      <c r="A1412" s="156">
        <v>1307</v>
      </c>
      <c r="B1412" s="635">
        <v>14</v>
      </c>
      <c r="C1412" s="575" t="s">
        <v>1915</v>
      </c>
      <c r="D1412" s="510">
        <v>849417014</v>
      </c>
      <c r="E1412" s="576" t="s">
        <v>1665</v>
      </c>
      <c r="F1412" s="611">
        <v>2017</v>
      </c>
      <c r="G1412" s="272" t="s">
        <v>33</v>
      </c>
      <c r="H1412" s="163">
        <f t="shared" si="72"/>
        <v>43832</v>
      </c>
      <c r="I1412" s="574">
        <f t="shared" si="73"/>
        <v>44168</v>
      </c>
    </row>
    <row r="1413" spans="1:9" s="2" customFormat="1" x14ac:dyDescent="0.25">
      <c r="A1413" s="156">
        <v>1308</v>
      </c>
      <c r="B1413" s="635">
        <v>15</v>
      </c>
      <c r="C1413" s="575" t="s">
        <v>1916</v>
      </c>
      <c r="D1413" s="517">
        <v>849417015</v>
      </c>
      <c r="E1413" s="576" t="s">
        <v>1665</v>
      </c>
      <c r="F1413" s="611">
        <v>2017</v>
      </c>
      <c r="G1413" s="272" t="s">
        <v>33</v>
      </c>
      <c r="H1413" s="628">
        <f t="shared" si="72"/>
        <v>43684</v>
      </c>
      <c r="I1413" s="628">
        <f t="shared" si="73"/>
        <v>43750</v>
      </c>
    </row>
    <row r="1414" spans="1:9" s="2" customFormat="1" x14ac:dyDescent="0.25">
      <c r="A1414" s="164">
        <v>1309</v>
      </c>
      <c r="B1414" s="634">
        <v>16</v>
      </c>
      <c r="C1414" s="571" t="s">
        <v>1917</v>
      </c>
      <c r="D1414" s="510">
        <v>849417016</v>
      </c>
      <c r="E1414" s="572" t="s">
        <v>1665</v>
      </c>
      <c r="F1414" s="612">
        <v>2017</v>
      </c>
      <c r="G1414" s="272" t="s">
        <v>33</v>
      </c>
      <c r="H1414" s="163">
        <f t="shared" si="72"/>
        <v>43769</v>
      </c>
      <c r="I1414" s="574">
        <f t="shared" si="73"/>
        <v>44058</v>
      </c>
    </row>
    <row r="1415" spans="1:9" s="2" customFormat="1" x14ac:dyDescent="0.25">
      <c r="A1415" s="164">
        <v>1310</v>
      </c>
      <c r="B1415" s="634">
        <v>17</v>
      </c>
      <c r="C1415" s="571" t="s">
        <v>1918</v>
      </c>
      <c r="D1415" s="510">
        <v>849417017</v>
      </c>
      <c r="E1415" s="572" t="s">
        <v>1665</v>
      </c>
      <c r="F1415" s="612">
        <v>2017</v>
      </c>
      <c r="G1415" s="638" t="s">
        <v>1833</v>
      </c>
      <c r="H1415" s="574">
        <f t="shared" si="72"/>
        <v>44152</v>
      </c>
      <c r="I1415" s="574" t="str">
        <f t="shared" si="73"/>
        <v xml:space="preserve">   </v>
      </c>
    </row>
    <row r="1416" spans="1:9" s="2" customFormat="1" x14ac:dyDescent="0.25">
      <c r="A1416" s="156">
        <v>1311</v>
      </c>
      <c r="B1416" s="635">
        <v>18</v>
      </c>
      <c r="C1416" s="575" t="s">
        <v>1919</v>
      </c>
      <c r="D1416" s="517">
        <v>849417018</v>
      </c>
      <c r="E1416" s="576" t="s">
        <v>1665</v>
      </c>
      <c r="F1416" s="611">
        <v>2017</v>
      </c>
      <c r="G1416" s="272" t="s">
        <v>33</v>
      </c>
      <c r="H1416" s="628">
        <f t="shared" si="72"/>
        <v>43649</v>
      </c>
      <c r="I1416" s="628">
        <f t="shared" si="73"/>
        <v>43750</v>
      </c>
    </row>
    <row r="1417" spans="1:9" s="2" customFormat="1" x14ac:dyDescent="0.25">
      <c r="A1417" s="216">
        <v>1312</v>
      </c>
      <c r="B1417" s="639">
        <v>19</v>
      </c>
      <c r="C1417" s="601" t="s">
        <v>1920</v>
      </c>
      <c r="D1417" s="524">
        <v>849417019</v>
      </c>
      <c r="E1417" s="602" t="s">
        <v>1665</v>
      </c>
      <c r="F1417" s="640">
        <v>2017</v>
      </c>
      <c r="G1417" s="413" t="s">
        <v>1483</v>
      </c>
      <c r="H1417" s="604" t="str">
        <f t="shared" si="72"/>
        <v xml:space="preserve">   </v>
      </c>
      <c r="I1417" s="604" t="str">
        <f t="shared" si="73"/>
        <v xml:space="preserve">   </v>
      </c>
    </row>
    <row r="1418" spans="1:9" s="2" customFormat="1" x14ac:dyDescent="0.25">
      <c r="A1418" s="223"/>
      <c r="B1418" s="228"/>
      <c r="C1418" s="605"/>
      <c r="D1418" s="223"/>
      <c r="E1418" s="227" t="s">
        <v>61</v>
      </c>
      <c r="F1418" s="387" t="s">
        <v>61</v>
      </c>
      <c r="G1418" s="192" t="s">
        <v>61</v>
      </c>
      <c r="H1418" s="223" t="str">
        <f t="shared" si="72"/>
        <v xml:space="preserve">   </v>
      </c>
      <c r="I1418" s="223" t="str">
        <f t="shared" si="73"/>
        <v xml:space="preserve">   </v>
      </c>
    </row>
    <row r="1419" spans="1:9" s="2" customFormat="1" x14ac:dyDescent="0.25">
      <c r="A1419" s="625" t="s">
        <v>1923</v>
      </c>
      <c r="B1419" s="625"/>
      <c r="C1419" s="625"/>
      <c r="D1419" s="366"/>
      <c r="E1419" s="198" t="s">
        <v>1096</v>
      </c>
      <c r="F1419" s="199" t="s">
        <v>1096</v>
      </c>
      <c r="G1419" s="146">
        <v>3000000</v>
      </c>
      <c r="H1419" s="147" t="str">
        <f t="shared" si="72"/>
        <v xml:space="preserve">   </v>
      </c>
      <c r="I1419" s="147" t="str">
        <f t="shared" si="73"/>
        <v xml:space="preserve">   </v>
      </c>
    </row>
    <row r="1420" spans="1:9" s="2" customFormat="1" x14ac:dyDescent="0.25">
      <c r="A1420" s="457">
        <v>1313</v>
      </c>
      <c r="B1420" s="633">
        <v>1</v>
      </c>
      <c r="C1420" s="566" t="s">
        <v>1924</v>
      </c>
      <c r="D1420" s="503">
        <v>849217001</v>
      </c>
      <c r="E1420" s="567" t="s">
        <v>1110</v>
      </c>
      <c r="F1420" s="610">
        <v>2017</v>
      </c>
      <c r="G1420" s="272" t="s">
        <v>33</v>
      </c>
      <c r="H1420" s="163">
        <f t="shared" si="72"/>
        <v>43833</v>
      </c>
      <c r="I1420" s="163">
        <f t="shared" si="73"/>
        <v>44058</v>
      </c>
    </row>
    <row r="1421" spans="1:9" s="2" customFormat="1" x14ac:dyDescent="0.25">
      <c r="A1421" s="164">
        <v>1314</v>
      </c>
      <c r="B1421" s="634">
        <v>2</v>
      </c>
      <c r="C1421" s="571" t="s">
        <v>1925</v>
      </c>
      <c r="D1421" s="510">
        <v>849217002</v>
      </c>
      <c r="E1421" s="572" t="s">
        <v>1110</v>
      </c>
      <c r="F1421" s="612">
        <v>2017</v>
      </c>
      <c r="G1421" s="360" t="s">
        <v>1483</v>
      </c>
      <c r="H1421" s="574" t="str">
        <f t="shared" si="72"/>
        <v xml:space="preserve">   </v>
      </c>
      <c r="I1421" s="574" t="str">
        <f t="shared" si="73"/>
        <v xml:space="preserve">   </v>
      </c>
    </row>
    <row r="1422" spans="1:9" s="2" customFormat="1" x14ac:dyDescent="0.25">
      <c r="A1422" s="164">
        <v>1315</v>
      </c>
      <c r="B1422" s="634">
        <v>3</v>
      </c>
      <c r="C1422" s="571" t="s">
        <v>1926</v>
      </c>
      <c r="D1422" s="510">
        <v>849217003</v>
      </c>
      <c r="E1422" s="572" t="s">
        <v>1110</v>
      </c>
      <c r="F1422" s="612">
        <v>2017</v>
      </c>
      <c r="G1422" s="272" t="s">
        <v>33</v>
      </c>
      <c r="H1422" s="163">
        <f t="shared" si="72"/>
        <v>43811</v>
      </c>
      <c r="I1422" s="163">
        <f t="shared" si="73"/>
        <v>44058</v>
      </c>
    </row>
    <row r="1423" spans="1:9" s="2" customFormat="1" x14ac:dyDescent="0.25">
      <c r="A1423" s="164">
        <v>1316</v>
      </c>
      <c r="B1423" s="634">
        <v>4</v>
      </c>
      <c r="C1423" s="571" t="s">
        <v>1927</v>
      </c>
      <c r="D1423" s="510">
        <v>849217004</v>
      </c>
      <c r="E1423" s="572" t="s">
        <v>1110</v>
      </c>
      <c r="F1423" s="612">
        <v>2017</v>
      </c>
      <c r="G1423" s="360" t="s">
        <v>1483</v>
      </c>
      <c r="H1423" s="574" t="str">
        <f t="shared" si="72"/>
        <v xml:space="preserve">   </v>
      </c>
      <c r="I1423" s="574" t="str">
        <f t="shared" si="73"/>
        <v xml:space="preserve">   </v>
      </c>
    </row>
    <row r="1424" spans="1:9" s="2" customFormat="1" x14ac:dyDescent="0.25">
      <c r="A1424" s="156">
        <v>1317</v>
      </c>
      <c r="B1424" s="635">
        <v>5</v>
      </c>
      <c r="C1424" s="575" t="s">
        <v>1928</v>
      </c>
      <c r="D1424" s="517">
        <v>849217005</v>
      </c>
      <c r="E1424" s="576" t="s">
        <v>1110</v>
      </c>
      <c r="F1424" s="611">
        <v>2017</v>
      </c>
      <c r="G1424" s="272" t="s">
        <v>33</v>
      </c>
      <c r="H1424" s="628">
        <f t="shared" si="72"/>
        <v>43654</v>
      </c>
      <c r="I1424" s="628">
        <f t="shared" si="73"/>
        <v>43750</v>
      </c>
    </row>
    <row r="1425" spans="1:9" s="2" customFormat="1" x14ac:dyDescent="0.25">
      <c r="A1425" s="164">
        <v>1318</v>
      </c>
      <c r="B1425" s="634">
        <v>6</v>
      </c>
      <c r="C1425" s="571" t="s">
        <v>1929</v>
      </c>
      <c r="D1425" s="510">
        <v>849217006</v>
      </c>
      <c r="E1425" s="572" t="s">
        <v>1110</v>
      </c>
      <c r="F1425" s="612">
        <v>2017</v>
      </c>
      <c r="G1425" s="360" t="s">
        <v>1483</v>
      </c>
      <c r="H1425" s="574" t="str">
        <f t="shared" si="72"/>
        <v xml:space="preserve">   </v>
      </c>
      <c r="I1425" s="574" t="str">
        <f t="shared" si="73"/>
        <v xml:space="preserve">   </v>
      </c>
    </row>
    <row r="1426" spans="1:9" s="2" customFormat="1" x14ac:dyDescent="0.25">
      <c r="A1426" s="164">
        <v>1319</v>
      </c>
      <c r="B1426" s="634">
        <v>7</v>
      </c>
      <c r="C1426" s="571" t="s">
        <v>1930</v>
      </c>
      <c r="D1426" s="510">
        <v>849217007</v>
      </c>
      <c r="E1426" s="578" t="s">
        <v>1110</v>
      </c>
      <c r="F1426" s="614">
        <v>2017</v>
      </c>
      <c r="G1426" s="404" t="s">
        <v>28</v>
      </c>
      <c r="H1426" s="574" t="str">
        <f t="shared" si="72"/>
        <v xml:space="preserve">   </v>
      </c>
      <c r="I1426" s="574" t="str">
        <f t="shared" si="73"/>
        <v xml:space="preserve">   </v>
      </c>
    </row>
    <row r="1427" spans="1:9" s="2" customFormat="1" x14ac:dyDescent="0.25">
      <c r="A1427" s="156">
        <v>1320</v>
      </c>
      <c r="B1427" s="635">
        <v>8</v>
      </c>
      <c r="C1427" s="575" t="s">
        <v>1931</v>
      </c>
      <c r="D1427" s="517">
        <v>849217008</v>
      </c>
      <c r="E1427" s="593" t="s">
        <v>1110</v>
      </c>
      <c r="F1427" s="613">
        <v>2017</v>
      </c>
      <c r="G1427" s="272" t="s">
        <v>33</v>
      </c>
      <c r="H1427" s="628">
        <f t="shared" si="72"/>
        <v>43650</v>
      </c>
      <c r="I1427" s="628">
        <f t="shared" si="73"/>
        <v>43750</v>
      </c>
    </row>
    <row r="1428" spans="1:9" s="2" customFormat="1" x14ac:dyDescent="0.25">
      <c r="A1428" s="164">
        <v>1321</v>
      </c>
      <c r="B1428" s="634">
        <v>9</v>
      </c>
      <c r="C1428" s="571" t="s">
        <v>1932</v>
      </c>
      <c r="D1428" s="510">
        <v>849217009</v>
      </c>
      <c r="E1428" s="578" t="s">
        <v>1110</v>
      </c>
      <c r="F1428" s="614">
        <v>2017</v>
      </c>
      <c r="G1428" s="404" t="s">
        <v>28</v>
      </c>
      <c r="H1428" s="574" t="str">
        <f t="shared" si="72"/>
        <v xml:space="preserve">   </v>
      </c>
      <c r="I1428" s="574" t="str">
        <f t="shared" si="73"/>
        <v xml:space="preserve">   </v>
      </c>
    </row>
    <row r="1429" spans="1:9" s="2" customFormat="1" x14ac:dyDescent="0.25">
      <c r="A1429" s="164">
        <v>1322</v>
      </c>
      <c r="B1429" s="634">
        <v>10</v>
      </c>
      <c r="C1429" s="571" t="s">
        <v>1933</v>
      </c>
      <c r="D1429" s="510">
        <v>849217010</v>
      </c>
      <c r="E1429" s="578" t="s">
        <v>1110</v>
      </c>
      <c r="F1429" s="614">
        <v>2017</v>
      </c>
      <c r="G1429" s="360" t="s">
        <v>1483</v>
      </c>
      <c r="H1429" s="574">
        <f t="shared" si="72"/>
        <v>44061</v>
      </c>
      <c r="I1429" s="574" t="str">
        <f t="shared" si="73"/>
        <v xml:space="preserve">   </v>
      </c>
    </row>
    <row r="1430" spans="1:9" s="2" customFormat="1" x14ac:dyDescent="0.25">
      <c r="A1430" s="164">
        <v>1323</v>
      </c>
      <c r="B1430" s="634">
        <v>11</v>
      </c>
      <c r="C1430" s="571" t="s">
        <v>1934</v>
      </c>
      <c r="D1430" s="510">
        <v>849217011</v>
      </c>
      <c r="E1430" s="578" t="s">
        <v>1110</v>
      </c>
      <c r="F1430" s="614">
        <v>2017</v>
      </c>
      <c r="G1430" s="360" t="s">
        <v>1483</v>
      </c>
      <c r="H1430" s="574" t="str">
        <f t="shared" si="72"/>
        <v xml:space="preserve">   </v>
      </c>
      <c r="I1430" s="574" t="str">
        <f t="shared" si="73"/>
        <v xml:space="preserve">   </v>
      </c>
    </row>
    <row r="1431" spans="1:9" s="2" customFormat="1" x14ac:dyDescent="0.25">
      <c r="A1431" s="164">
        <v>1324</v>
      </c>
      <c r="B1431" s="634">
        <v>12</v>
      </c>
      <c r="C1431" s="571" t="s">
        <v>1936</v>
      </c>
      <c r="D1431" s="510">
        <v>849217012</v>
      </c>
      <c r="E1431" s="578" t="s">
        <v>1110</v>
      </c>
      <c r="F1431" s="614">
        <v>2017</v>
      </c>
      <c r="G1431" s="360" t="s">
        <v>1483</v>
      </c>
      <c r="H1431" s="574" t="str">
        <f t="shared" si="72"/>
        <v xml:space="preserve">   </v>
      </c>
      <c r="I1431" s="574" t="str">
        <f t="shared" si="73"/>
        <v xml:space="preserve">   </v>
      </c>
    </row>
    <row r="1432" spans="1:9" s="2" customFormat="1" x14ac:dyDescent="0.25">
      <c r="A1432" s="164">
        <v>1325</v>
      </c>
      <c r="B1432" s="634">
        <v>13</v>
      </c>
      <c r="C1432" s="571" t="s">
        <v>1937</v>
      </c>
      <c r="D1432" s="510">
        <v>849217013</v>
      </c>
      <c r="E1432" s="578" t="s">
        <v>1110</v>
      </c>
      <c r="F1432" s="614">
        <v>2018</v>
      </c>
      <c r="G1432" s="404" t="s">
        <v>28</v>
      </c>
      <c r="H1432" s="574" t="str">
        <f t="shared" si="72"/>
        <v xml:space="preserve">   </v>
      </c>
      <c r="I1432" s="574" t="str">
        <f t="shared" si="73"/>
        <v xml:space="preserve">   </v>
      </c>
    </row>
    <row r="1433" spans="1:9" s="2" customFormat="1" x14ac:dyDescent="0.25">
      <c r="A1433" s="164">
        <v>1326</v>
      </c>
      <c r="B1433" s="634">
        <v>14</v>
      </c>
      <c r="C1433" s="571" t="s">
        <v>1938</v>
      </c>
      <c r="D1433" s="510">
        <v>849217014</v>
      </c>
      <c r="E1433" s="578" t="s">
        <v>1110</v>
      </c>
      <c r="F1433" s="614">
        <v>2017</v>
      </c>
      <c r="G1433" s="272" t="s">
        <v>33</v>
      </c>
      <c r="H1433" s="163">
        <f t="shared" si="72"/>
        <v>43841</v>
      </c>
      <c r="I1433" s="163">
        <f t="shared" si="73"/>
        <v>44058</v>
      </c>
    </row>
    <row r="1434" spans="1:9" s="2" customFormat="1" x14ac:dyDescent="0.25">
      <c r="A1434" s="164">
        <v>1327</v>
      </c>
      <c r="B1434" s="634">
        <v>15</v>
      </c>
      <c r="C1434" s="571" t="s">
        <v>1939</v>
      </c>
      <c r="D1434" s="510">
        <v>849217015</v>
      </c>
      <c r="E1434" s="578" t="s">
        <v>1110</v>
      </c>
      <c r="F1434" s="614">
        <v>2017</v>
      </c>
      <c r="G1434" s="404" t="s">
        <v>28</v>
      </c>
      <c r="H1434" s="574" t="str">
        <f t="shared" si="72"/>
        <v xml:space="preserve">   </v>
      </c>
      <c r="I1434" s="574" t="str">
        <f t="shared" si="73"/>
        <v xml:space="preserve">   </v>
      </c>
    </row>
    <row r="1435" spans="1:9" s="2" customFormat="1" x14ac:dyDescent="0.25">
      <c r="A1435" s="164">
        <v>1328</v>
      </c>
      <c r="B1435" s="634">
        <v>16</v>
      </c>
      <c r="C1435" s="571" t="s">
        <v>1940</v>
      </c>
      <c r="D1435" s="510">
        <v>849217016</v>
      </c>
      <c r="E1435" s="578" t="s">
        <v>1110</v>
      </c>
      <c r="F1435" s="614">
        <v>2017</v>
      </c>
      <c r="G1435" s="404" t="s">
        <v>28</v>
      </c>
      <c r="H1435" s="574" t="str">
        <f t="shared" si="72"/>
        <v xml:space="preserve">   </v>
      </c>
      <c r="I1435" s="574" t="str">
        <f t="shared" si="73"/>
        <v xml:space="preserve">   </v>
      </c>
    </row>
    <row r="1436" spans="1:9" s="2" customFormat="1" x14ac:dyDescent="0.25">
      <c r="A1436" s="164">
        <v>1329</v>
      </c>
      <c r="B1436" s="634">
        <v>17</v>
      </c>
      <c r="C1436" s="166" t="s">
        <v>1941</v>
      </c>
      <c r="D1436" s="510">
        <v>849217017</v>
      </c>
      <c r="E1436" s="578" t="s">
        <v>1110</v>
      </c>
      <c r="F1436" s="614">
        <v>2017</v>
      </c>
      <c r="G1436" s="360" t="s">
        <v>1483</v>
      </c>
      <c r="H1436" s="574">
        <f t="shared" si="72"/>
        <v>44077</v>
      </c>
      <c r="I1436" s="574" t="str">
        <f t="shared" si="73"/>
        <v xml:space="preserve">   </v>
      </c>
    </row>
    <row r="1437" spans="1:9" s="2" customFormat="1" x14ac:dyDescent="0.25">
      <c r="A1437" s="164">
        <v>1330</v>
      </c>
      <c r="B1437" s="634">
        <v>18</v>
      </c>
      <c r="C1437" s="571" t="s">
        <v>1942</v>
      </c>
      <c r="D1437" s="510">
        <v>849217018</v>
      </c>
      <c r="E1437" s="572" t="s">
        <v>1110</v>
      </c>
      <c r="F1437" s="612">
        <v>2017</v>
      </c>
      <c r="G1437" s="360" t="s">
        <v>1483</v>
      </c>
      <c r="H1437" s="574" t="str">
        <f t="shared" si="72"/>
        <v xml:space="preserve">   </v>
      </c>
      <c r="I1437" s="574" t="str">
        <f t="shared" si="73"/>
        <v xml:space="preserve">   </v>
      </c>
    </row>
    <row r="1438" spans="1:9" s="2" customFormat="1" x14ac:dyDescent="0.25">
      <c r="A1438" s="164">
        <v>1331</v>
      </c>
      <c r="B1438" s="634">
        <v>19</v>
      </c>
      <c r="C1438" s="571" t="s">
        <v>1943</v>
      </c>
      <c r="D1438" s="510">
        <v>849217019</v>
      </c>
      <c r="E1438" s="572" t="s">
        <v>1110</v>
      </c>
      <c r="F1438" s="612">
        <v>2017</v>
      </c>
      <c r="G1438" s="272" t="s">
        <v>33</v>
      </c>
      <c r="H1438" s="163">
        <f t="shared" si="72"/>
        <v>43832</v>
      </c>
      <c r="I1438" s="163">
        <f t="shared" si="73"/>
        <v>44058</v>
      </c>
    </row>
    <row r="1439" spans="1:9" s="2" customFormat="1" x14ac:dyDescent="0.25">
      <c r="A1439" s="180">
        <v>1332</v>
      </c>
      <c r="B1439" s="641">
        <v>20</v>
      </c>
      <c r="C1439" s="642" t="s">
        <v>1944</v>
      </c>
      <c r="D1439" s="621">
        <v>849217020</v>
      </c>
      <c r="E1439" s="622" t="s">
        <v>1110</v>
      </c>
      <c r="F1439" s="623">
        <v>2017</v>
      </c>
      <c r="G1439" s="624" t="s">
        <v>33</v>
      </c>
      <c r="H1439" s="643">
        <f t="shared" si="72"/>
        <v>43571</v>
      </c>
      <c r="I1439" s="643">
        <f t="shared" si="73"/>
        <v>43750</v>
      </c>
    </row>
    <row r="1440" spans="1:9" s="2" customFormat="1" x14ac:dyDescent="0.25">
      <c r="A1440" s="223"/>
      <c r="B1440" s="228"/>
      <c r="C1440" s="605"/>
      <c r="D1440" s="223"/>
      <c r="E1440" s="135" t="s">
        <v>61</v>
      </c>
      <c r="F1440" s="606" t="s">
        <v>61</v>
      </c>
      <c r="G1440" s="192" t="s">
        <v>61</v>
      </c>
      <c r="H1440" s="223" t="str">
        <f t="shared" si="72"/>
        <v xml:space="preserve">   </v>
      </c>
      <c r="I1440" s="223" t="str">
        <f t="shared" si="73"/>
        <v xml:space="preserve">   </v>
      </c>
    </row>
    <row r="1441" spans="1:9" s="2" customFormat="1" x14ac:dyDescent="0.25">
      <c r="A1441" s="625" t="s">
        <v>1945</v>
      </c>
      <c r="B1441" s="625"/>
      <c r="C1441" s="625"/>
      <c r="D1441" s="366"/>
      <c r="E1441" s="198" t="s">
        <v>1096</v>
      </c>
      <c r="F1441" s="199" t="s">
        <v>1096</v>
      </c>
      <c r="G1441" s="146">
        <v>3000000</v>
      </c>
      <c r="H1441" s="147" t="str">
        <f t="shared" si="72"/>
        <v xml:space="preserve">   </v>
      </c>
      <c r="I1441" s="147" t="str">
        <f t="shared" si="73"/>
        <v xml:space="preserve">   </v>
      </c>
    </row>
    <row r="1442" spans="1:9" s="2" customFormat="1" x14ac:dyDescent="0.25">
      <c r="A1442" s="457">
        <v>1333</v>
      </c>
      <c r="B1442" s="608">
        <v>1</v>
      </c>
      <c r="C1442" s="609" t="s">
        <v>1946</v>
      </c>
      <c r="D1442" s="503">
        <v>839117001</v>
      </c>
      <c r="E1442" s="567" t="s">
        <v>848</v>
      </c>
      <c r="F1442" s="568">
        <v>2017</v>
      </c>
      <c r="G1442" s="272" t="s">
        <v>33</v>
      </c>
      <c r="H1442" s="628">
        <f t="shared" si="72"/>
        <v>43839</v>
      </c>
      <c r="I1442" s="628">
        <f t="shared" si="73"/>
        <v>44058</v>
      </c>
    </row>
    <row r="1443" spans="1:9" s="2" customFormat="1" x14ac:dyDescent="0.25">
      <c r="A1443" s="156">
        <v>1334</v>
      </c>
      <c r="B1443" s="176">
        <v>2</v>
      </c>
      <c r="C1443" s="575" t="s">
        <v>1947</v>
      </c>
      <c r="D1443" s="517">
        <v>839117002</v>
      </c>
      <c r="E1443" s="576" t="s">
        <v>848</v>
      </c>
      <c r="F1443" s="577">
        <v>2017</v>
      </c>
      <c r="G1443" s="272" t="s">
        <v>33</v>
      </c>
      <c r="H1443" s="628">
        <f t="shared" si="72"/>
        <v>43670</v>
      </c>
      <c r="I1443" s="628">
        <f t="shared" si="73"/>
        <v>43750</v>
      </c>
    </row>
    <row r="1444" spans="1:9" s="2" customFormat="1" x14ac:dyDescent="0.25">
      <c r="A1444" s="164">
        <v>1335</v>
      </c>
      <c r="B1444" s="165">
        <v>3</v>
      </c>
      <c r="C1444" s="571" t="s">
        <v>1948</v>
      </c>
      <c r="D1444" s="510">
        <v>839117003</v>
      </c>
      <c r="E1444" s="572" t="s">
        <v>848</v>
      </c>
      <c r="F1444" s="573">
        <v>2017</v>
      </c>
      <c r="G1444" s="360" t="s">
        <v>1483</v>
      </c>
      <c r="H1444" s="574" t="str">
        <f t="shared" si="72"/>
        <v xml:space="preserve">   </v>
      </c>
      <c r="I1444" s="574" t="str">
        <f t="shared" si="73"/>
        <v xml:space="preserve">   </v>
      </c>
    </row>
    <row r="1445" spans="1:9" s="2" customFormat="1" x14ac:dyDescent="0.25">
      <c r="A1445" s="164">
        <v>1336</v>
      </c>
      <c r="B1445" s="165">
        <v>4</v>
      </c>
      <c r="C1445" s="571" t="s">
        <v>1949</v>
      </c>
      <c r="D1445" s="510">
        <v>839117004</v>
      </c>
      <c r="E1445" s="572" t="s">
        <v>848</v>
      </c>
      <c r="F1445" s="573">
        <v>2017</v>
      </c>
      <c r="G1445" s="272" t="s">
        <v>33</v>
      </c>
      <c r="H1445" s="163">
        <f t="shared" si="72"/>
        <v>43837</v>
      </c>
      <c r="I1445" s="163">
        <f t="shared" si="73"/>
        <v>44058</v>
      </c>
    </row>
    <row r="1446" spans="1:9" s="2" customFormat="1" x14ac:dyDescent="0.25">
      <c r="A1446" s="156">
        <v>1337</v>
      </c>
      <c r="B1446" s="176">
        <v>5</v>
      </c>
      <c r="C1446" s="575" t="s">
        <v>1950</v>
      </c>
      <c r="D1446" s="517">
        <v>839117005</v>
      </c>
      <c r="E1446" s="576" t="s">
        <v>848</v>
      </c>
      <c r="F1446" s="577">
        <v>2017</v>
      </c>
      <c r="G1446" s="272" t="s">
        <v>33</v>
      </c>
      <c r="H1446" s="628">
        <f t="shared" si="72"/>
        <v>43692</v>
      </c>
      <c r="I1446" s="628">
        <f t="shared" si="73"/>
        <v>43750</v>
      </c>
    </row>
    <row r="1447" spans="1:9" s="2" customFormat="1" x14ac:dyDescent="0.25">
      <c r="A1447" s="164">
        <v>1338</v>
      </c>
      <c r="B1447" s="165">
        <v>6</v>
      </c>
      <c r="C1447" s="571" t="s">
        <v>1951</v>
      </c>
      <c r="D1447" s="510">
        <v>839117006</v>
      </c>
      <c r="E1447" s="578" t="s">
        <v>848</v>
      </c>
      <c r="F1447" s="579">
        <v>2017</v>
      </c>
      <c r="G1447" s="360" t="s">
        <v>1483</v>
      </c>
      <c r="H1447" s="580" t="str">
        <f t="shared" si="72"/>
        <v xml:space="preserve">   </v>
      </c>
      <c r="I1447" s="580" t="str">
        <f t="shared" si="73"/>
        <v xml:space="preserve">   </v>
      </c>
    </row>
    <row r="1448" spans="1:9" s="2" customFormat="1" x14ac:dyDescent="0.25">
      <c r="A1448" s="164">
        <v>1339</v>
      </c>
      <c r="B1448" s="165">
        <v>7</v>
      </c>
      <c r="C1448" s="571" t="s">
        <v>1952</v>
      </c>
      <c r="D1448" s="510">
        <v>839117007</v>
      </c>
      <c r="E1448" s="578" t="s">
        <v>848</v>
      </c>
      <c r="F1448" s="579">
        <v>2017</v>
      </c>
      <c r="G1448" s="404" t="s">
        <v>28</v>
      </c>
      <c r="H1448" s="580" t="str">
        <f t="shared" si="72"/>
        <v xml:space="preserve">   </v>
      </c>
      <c r="I1448" s="580" t="str">
        <f t="shared" si="73"/>
        <v xml:space="preserve">   </v>
      </c>
    </row>
    <row r="1449" spans="1:9" s="2" customFormat="1" x14ac:dyDescent="0.25">
      <c r="A1449" s="164">
        <v>1340</v>
      </c>
      <c r="B1449" s="165">
        <v>8</v>
      </c>
      <c r="C1449" s="166" t="s">
        <v>1954</v>
      </c>
      <c r="D1449" s="510">
        <v>839117008</v>
      </c>
      <c r="E1449" s="578" t="s">
        <v>848</v>
      </c>
      <c r="F1449" s="579">
        <v>2018</v>
      </c>
      <c r="G1449" s="360" t="s">
        <v>1483</v>
      </c>
      <c r="H1449" s="580" t="str">
        <f t="shared" si="72"/>
        <v xml:space="preserve">   </v>
      </c>
      <c r="I1449" s="580" t="str">
        <f t="shared" si="73"/>
        <v xml:space="preserve">   </v>
      </c>
    </row>
    <row r="1450" spans="1:9" s="2" customFormat="1" x14ac:dyDescent="0.25">
      <c r="A1450" s="164">
        <v>1341</v>
      </c>
      <c r="B1450" s="165">
        <v>9</v>
      </c>
      <c r="C1450" s="166" t="s">
        <v>1955</v>
      </c>
      <c r="D1450" s="510">
        <v>839117009</v>
      </c>
      <c r="E1450" s="578" t="s">
        <v>848</v>
      </c>
      <c r="F1450" s="579">
        <v>2017</v>
      </c>
      <c r="G1450" s="272" t="s">
        <v>33</v>
      </c>
      <c r="H1450" s="163">
        <f t="shared" si="72"/>
        <v>43836</v>
      </c>
      <c r="I1450" s="163">
        <f t="shared" si="73"/>
        <v>44058</v>
      </c>
    </row>
    <row r="1451" spans="1:9" s="2" customFormat="1" x14ac:dyDescent="0.25">
      <c r="A1451" s="164">
        <v>1342</v>
      </c>
      <c r="B1451" s="165">
        <v>10</v>
      </c>
      <c r="C1451" s="571" t="s">
        <v>1956</v>
      </c>
      <c r="D1451" s="510">
        <v>839117010</v>
      </c>
      <c r="E1451" s="585" t="s">
        <v>848</v>
      </c>
      <c r="F1451" s="579">
        <v>2017</v>
      </c>
      <c r="G1451" s="404" t="s">
        <v>28</v>
      </c>
      <c r="H1451" s="580" t="str">
        <f t="shared" si="72"/>
        <v xml:space="preserve">   </v>
      </c>
      <c r="I1451" s="580" t="str">
        <f t="shared" si="73"/>
        <v xml:space="preserve">   </v>
      </c>
    </row>
    <row r="1452" spans="1:9" s="2" customFormat="1" x14ac:dyDescent="0.25">
      <c r="A1452" s="156">
        <v>1343</v>
      </c>
      <c r="B1452" s="176">
        <v>11</v>
      </c>
      <c r="C1452" s="177" t="s">
        <v>1957</v>
      </c>
      <c r="D1452" s="517">
        <v>839117011</v>
      </c>
      <c r="E1452" s="593" t="s">
        <v>848</v>
      </c>
      <c r="F1452" s="594">
        <v>2017</v>
      </c>
      <c r="G1452" s="272" t="s">
        <v>33</v>
      </c>
      <c r="H1452" s="628">
        <f t="shared" si="72"/>
        <v>43670</v>
      </c>
      <c r="I1452" s="628">
        <f t="shared" si="73"/>
        <v>43750</v>
      </c>
    </row>
    <row r="1453" spans="1:9" s="2" customFormat="1" x14ac:dyDescent="0.25">
      <c r="A1453" s="156">
        <v>1344</v>
      </c>
      <c r="B1453" s="176">
        <v>12</v>
      </c>
      <c r="C1453" s="644" t="s">
        <v>1958</v>
      </c>
      <c r="D1453" s="510">
        <v>839117012</v>
      </c>
      <c r="E1453" s="593" t="s">
        <v>848</v>
      </c>
      <c r="F1453" s="594">
        <v>2017</v>
      </c>
      <c r="G1453" s="272" t="s">
        <v>33</v>
      </c>
      <c r="H1453" s="628">
        <f t="shared" si="72"/>
        <v>43837</v>
      </c>
      <c r="I1453" s="628" t="str">
        <f t="shared" si="73"/>
        <v xml:space="preserve">   </v>
      </c>
    </row>
    <row r="1454" spans="1:9" s="2" customFormat="1" x14ac:dyDescent="0.25">
      <c r="A1454" s="164">
        <v>1345</v>
      </c>
      <c r="B1454" s="165">
        <v>13</v>
      </c>
      <c r="C1454" s="571" t="s">
        <v>1959</v>
      </c>
      <c r="D1454" s="510">
        <v>839117013</v>
      </c>
      <c r="E1454" s="578" t="s">
        <v>848</v>
      </c>
      <c r="F1454" s="579">
        <v>2017</v>
      </c>
      <c r="G1454" s="360" t="s">
        <v>1483</v>
      </c>
      <c r="H1454" s="580">
        <f t="shared" si="72"/>
        <v>44093</v>
      </c>
      <c r="I1454" s="580">
        <f t="shared" si="73"/>
        <v>44186</v>
      </c>
    </row>
    <row r="1455" spans="1:9" s="2" customFormat="1" x14ac:dyDescent="0.25">
      <c r="A1455" s="216">
        <v>1346</v>
      </c>
      <c r="B1455" s="217">
        <v>14</v>
      </c>
      <c r="C1455" s="601" t="s">
        <v>1961</v>
      </c>
      <c r="D1455" s="524">
        <v>839117014</v>
      </c>
      <c r="E1455" s="630" t="s">
        <v>848</v>
      </c>
      <c r="F1455" s="645">
        <v>2017</v>
      </c>
      <c r="G1455" s="413" t="s">
        <v>1483</v>
      </c>
      <c r="H1455" s="646" t="str">
        <f t="shared" si="72"/>
        <v xml:space="preserve">   </v>
      </c>
      <c r="I1455" s="646" t="str">
        <f t="shared" si="73"/>
        <v xml:space="preserve">   </v>
      </c>
    </row>
    <row r="1456" spans="1:9" s="2" customFormat="1" x14ac:dyDescent="0.25">
      <c r="A1456" s="223"/>
      <c r="B1456" s="224"/>
      <c r="C1456" s="605"/>
      <c r="D1456" s="471"/>
      <c r="E1456" s="227" t="s">
        <v>61</v>
      </c>
      <c r="F1456" s="228" t="s">
        <v>61</v>
      </c>
      <c r="G1456" s="192" t="s">
        <v>61</v>
      </c>
      <c r="H1456" s="439" t="str">
        <f t="shared" si="72"/>
        <v xml:space="preserve">   </v>
      </c>
      <c r="I1456" s="439" t="str">
        <f t="shared" si="73"/>
        <v xml:space="preserve">   </v>
      </c>
    </row>
    <row r="1457" spans="1:9" s="2" customFormat="1" x14ac:dyDescent="0.25">
      <c r="A1457" s="647" t="s">
        <v>1962</v>
      </c>
      <c r="B1457" s="647"/>
      <c r="C1457" s="647"/>
      <c r="D1457" s="366"/>
      <c r="E1457" s="198" t="s">
        <v>1096</v>
      </c>
      <c r="F1457" s="199" t="s">
        <v>1096</v>
      </c>
      <c r="G1457" s="146">
        <v>3000000</v>
      </c>
      <c r="H1457" s="147" t="str">
        <f t="shared" si="72"/>
        <v xml:space="preserve">   </v>
      </c>
      <c r="I1457" s="147" t="str">
        <f t="shared" si="73"/>
        <v xml:space="preserve">   </v>
      </c>
    </row>
    <row r="1458" spans="1:9" s="2" customFormat="1" x14ac:dyDescent="0.25">
      <c r="A1458" s="457">
        <v>1347</v>
      </c>
      <c r="B1458" s="648">
        <v>1</v>
      </c>
      <c r="C1458" s="609" t="s">
        <v>1963</v>
      </c>
      <c r="D1458" s="503">
        <v>829117001</v>
      </c>
      <c r="E1458" s="649" t="s">
        <v>1441</v>
      </c>
      <c r="F1458" s="650">
        <v>2017</v>
      </c>
      <c r="G1458" s="404" t="s">
        <v>28</v>
      </c>
      <c r="H1458" s="651" t="str">
        <f t="shared" si="72"/>
        <v xml:space="preserve">   </v>
      </c>
      <c r="I1458" s="651" t="str">
        <f t="shared" si="73"/>
        <v xml:space="preserve">   </v>
      </c>
    </row>
    <row r="1459" spans="1:9" s="2" customFormat="1" x14ac:dyDescent="0.25">
      <c r="A1459" s="164">
        <v>1348</v>
      </c>
      <c r="B1459" s="652">
        <v>2</v>
      </c>
      <c r="C1459" s="571" t="s">
        <v>1964</v>
      </c>
      <c r="D1459" s="510">
        <v>829117002</v>
      </c>
      <c r="E1459" s="578" t="s">
        <v>1441</v>
      </c>
      <c r="F1459" s="579">
        <v>2017</v>
      </c>
      <c r="G1459" s="404" t="s">
        <v>28</v>
      </c>
      <c r="H1459" s="580" t="str">
        <f t="shared" si="72"/>
        <v xml:space="preserve">   </v>
      </c>
      <c r="I1459" s="580" t="str">
        <f t="shared" si="73"/>
        <v xml:space="preserve">   </v>
      </c>
    </row>
    <row r="1460" spans="1:9" s="2" customFormat="1" x14ac:dyDescent="0.25">
      <c r="A1460" s="164">
        <v>1349</v>
      </c>
      <c r="B1460" s="652">
        <v>3</v>
      </c>
      <c r="C1460" s="571" t="s">
        <v>1965</v>
      </c>
      <c r="D1460" s="510">
        <v>829117003</v>
      </c>
      <c r="E1460" s="578" t="s">
        <v>1441</v>
      </c>
      <c r="F1460" s="579">
        <v>2017</v>
      </c>
      <c r="G1460" s="272" t="s">
        <v>33</v>
      </c>
      <c r="H1460" s="628">
        <f t="shared" si="72"/>
        <v>43845</v>
      </c>
      <c r="I1460" s="580">
        <f t="shared" si="73"/>
        <v>44058</v>
      </c>
    </row>
    <row r="1461" spans="1:9" s="2" customFormat="1" x14ac:dyDescent="0.25">
      <c r="A1461" s="164">
        <v>1350</v>
      </c>
      <c r="B1461" s="652">
        <v>4</v>
      </c>
      <c r="C1461" s="571" t="s">
        <v>1966</v>
      </c>
      <c r="D1461" s="510">
        <v>829117004</v>
      </c>
      <c r="E1461" s="578" t="s">
        <v>1441</v>
      </c>
      <c r="F1461" s="579">
        <v>2017</v>
      </c>
      <c r="G1461" s="404" t="s">
        <v>28</v>
      </c>
      <c r="H1461" s="580">
        <f t="shared" si="72"/>
        <v>44040</v>
      </c>
      <c r="I1461" s="580">
        <f t="shared" si="73"/>
        <v>44186</v>
      </c>
    </row>
    <row r="1462" spans="1:9" s="2" customFormat="1" x14ac:dyDescent="0.25">
      <c r="A1462" s="164">
        <v>1351</v>
      </c>
      <c r="B1462" s="652">
        <v>5</v>
      </c>
      <c r="C1462" s="571" t="s">
        <v>1967</v>
      </c>
      <c r="D1462" s="510">
        <v>829117005</v>
      </c>
      <c r="E1462" s="578" t="s">
        <v>1441</v>
      </c>
      <c r="F1462" s="579">
        <v>2017</v>
      </c>
      <c r="G1462" s="360" t="s">
        <v>1483</v>
      </c>
      <c r="H1462" s="580">
        <f t="shared" si="72"/>
        <v>44053</v>
      </c>
      <c r="I1462" s="580" t="str">
        <f t="shared" si="73"/>
        <v xml:space="preserve">   </v>
      </c>
    </row>
    <row r="1463" spans="1:9" s="2" customFormat="1" x14ac:dyDescent="0.25">
      <c r="A1463" s="164">
        <v>1352</v>
      </c>
      <c r="B1463" s="652">
        <v>6</v>
      </c>
      <c r="C1463" s="571" t="s">
        <v>1968</v>
      </c>
      <c r="D1463" s="510">
        <v>829117006</v>
      </c>
      <c r="E1463" s="578" t="s">
        <v>1441</v>
      </c>
      <c r="F1463" s="579">
        <v>2017</v>
      </c>
      <c r="G1463" s="581" t="s">
        <v>1833</v>
      </c>
      <c r="H1463" s="580" t="str">
        <f t="shared" si="72"/>
        <v xml:space="preserve">   </v>
      </c>
      <c r="I1463" s="580" t="str">
        <f t="shared" si="73"/>
        <v xml:space="preserve">   </v>
      </c>
    </row>
    <row r="1464" spans="1:9" s="2" customFormat="1" x14ac:dyDescent="0.25">
      <c r="A1464" s="164">
        <v>1353</v>
      </c>
      <c r="B1464" s="652">
        <v>7</v>
      </c>
      <c r="C1464" s="571" t="s">
        <v>1969</v>
      </c>
      <c r="D1464" s="510">
        <v>829117007</v>
      </c>
      <c r="E1464" s="572" t="s">
        <v>1441</v>
      </c>
      <c r="F1464" s="573">
        <v>2017</v>
      </c>
      <c r="G1464" s="360" t="s">
        <v>1483</v>
      </c>
      <c r="H1464" s="580" t="str">
        <f t="shared" si="72"/>
        <v xml:space="preserve">   </v>
      </c>
      <c r="I1464" s="580" t="str">
        <f t="shared" si="73"/>
        <v xml:space="preserve">   </v>
      </c>
    </row>
    <row r="1465" spans="1:9" s="2" customFormat="1" x14ac:dyDescent="0.25">
      <c r="A1465" s="164">
        <v>1354</v>
      </c>
      <c r="B1465" s="652">
        <v>8</v>
      </c>
      <c r="C1465" s="571" t="s">
        <v>1970</v>
      </c>
      <c r="D1465" s="510">
        <v>829117008</v>
      </c>
      <c r="E1465" s="572" t="s">
        <v>1441</v>
      </c>
      <c r="F1465" s="573">
        <v>2017</v>
      </c>
      <c r="G1465" s="360" t="s">
        <v>1483</v>
      </c>
      <c r="H1465" s="574" t="str">
        <f t="shared" si="72"/>
        <v xml:space="preserve">   </v>
      </c>
      <c r="I1465" s="574" t="str">
        <f t="shared" si="73"/>
        <v xml:space="preserve">   </v>
      </c>
    </row>
    <row r="1466" spans="1:9" s="2" customFormat="1" x14ac:dyDescent="0.25">
      <c r="A1466" s="164">
        <v>1355</v>
      </c>
      <c r="B1466" s="652">
        <v>9</v>
      </c>
      <c r="C1466" s="571" t="s">
        <v>1971</v>
      </c>
      <c r="D1466" s="510">
        <v>829117009</v>
      </c>
      <c r="E1466" s="572" t="s">
        <v>1441</v>
      </c>
      <c r="F1466" s="573">
        <v>2017</v>
      </c>
      <c r="G1466" s="360" t="s">
        <v>1483</v>
      </c>
      <c r="H1466" s="574">
        <f t="shared" si="72"/>
        <v>43949</v>
      </c>
      <c r="I1466" s="574">
        <f t="shared" si="73"/>
        <v>44168</v>
      </c>
    </row>
    <row r="1467" spans="1:9" s="2" customFormat="1" x14ac:dyDescent="0.25">
      <c r="A1467" s="164">
        <v>1356</v>
      </c>
      <c r="B1467" s="652">
        <v>10</v>
      </c>
      <c r="C1467" s="571" t="s">
        <v>1972</v>
      </c>
      <c r="D1467" s="510">
        <v>829117010</v>
      </c>
      <c r="E1467" s="572" t="s">
        <v>1441</v>
      </c>
      <c r="F1467" s="573">
        <v>2017</v>
      </c>
      <c r="G1467" s="360" t="s">
        <v>1483</v>
      </c>
      <c r="H1467" s="574" t="str">
        <f t="shared" si="72"/>
        <v xml:space="preserve">   </v>
      </c>
      <c r="I1467" s="574" t="str">
        <f t="shared" si="73"/>
        <v xml:space="preserve">   </v>
      </c>
    </row>
    <row r="1468" spans="1:9" s="2" customFormat="1" x14ac:dyDescent="0.25">
      <c r="A1468" s="164">
        <v>1357</v>
      </c>
      <c r="B1468" s="652">
        <v>11</v>
      </c>
      <c r="C1468" s="571" t="s">
        <v>1973</v>
      </c>
      <c r="D1468" s="510">
        <v>829117011</v>
      </c>
      <c r="E1468" s="572" t="s">
        <v>1441</v>
      </c>
      <c r="F1468" s="573">
        <v>2017</v>
      </c>
      <c r="G1468" s="360" t="s">
        <v>1483</v>
      </c>
      <c r="H1468" s="574">
        <f t="shared" si="72"/>
        <v>43944</v>
      </c>
      <c r="I1468" s="574">
        <f t="shared" si="73"/>
        <v>44058</v>
      </c>
    </row>
    <row r="1469" spans="1:9" s="2" customFormat="1" x14ac:dyDescent="0.25">
      <c r="A1469" s="156">
        <v>1358</v>
      </c>
      <c r="B1469" s="653">
        <v>12</v>
      </c>
      <c r="C1469" s="575" t="s">
        <v>1974</v>
      </c>
      <c r="D1469" s="517">
        <v>829117012</v>
      </c>
      <c r="E1469" s="576" t="s">
        <v>1441</v>
      </c>
      <c r="F1469" s="577">
        <v>2017</v>
      </c>
      <c r="G1469" s="272" t="s">
        <v>33</v>
      </c>
      <c r="H1469" s="628">
        <f t="shared" si="72"/>
        <v>43580</v>
      </c>
      <c r="I1469" s="628">
        <f t="shared" si="73"/>
        <v>43705</v>
      </c>
    </row>
    <row r="1470" spans="1:9" s="2" customFormat="1" x14ac:dyDescent="0.25">
      <c r="A1470" s="164">
        <v>1359</v>
      </c>
      <c r="B1470" s="652">
        <v>13</v>
      </c>
      <c r="C1470" s="571" t="s">
        <v>1975</v>
      </c>
      <c r="D1470" s="510">
        <v>829117013</v>
      </c>
      <c r="E1470" s="572" t="s">
        <v>1441</v>
      </c>
      <c r="F1470" s="573">
        <v>2017</v>
      </c>
      <c r="G1470" s="360" t="s">
        <v>1483</v>
      </c>
      <c r="H1470" s="574">
        <f t="shared" si="72"/>
        <v>44018</v>
      </c>
      <c r="I1470" s="574">
        <f t="shared" si="73"/>
        <v>44168</v>
      </c>
    </row>
    <row r="1471" spans="1:9" s="2" customFormat="1" x14ac:dyDescent="0.25">
      <c r="A1471" s="216">
        <v>1360</v>
      </c>
      <c r="B1471" s="654">
        <v>14</v>
      </c>
      <c r="C1471" s="601" t="s">
        <v>1976</v>
      </c>
      <c r="D1471" s="524">
        <v>829117014</v>
      </c>
      <c r="E1471" s="602" t="s">
        <v>1441</v>
      </c>
      <c r="F1471" s="603">
        <v>2017</v>
      </c>
      <c r="G1471" s="615" t="s">
        <v>1833</v>
      </c>
      <c r="H1471" s="604" t="str">
        <f t="shared" ref="H1471:H1481" si="74">IFERROR(VLOOKUP(D1471,Tlus,3,FALSE),"   ")</f>
        <v xml:space="preserve">   </v>
      </c>
      <c r="I1471" s="604" t="str">
        <f t="shared" ref="I1471:I1481" si="75">IFERROR(VLOOKUP(D1471,Wis,4,FALSE),"   ")</f>
        <v xml:space="preserve">   </v>
      </c>
    </row>
    <row r="1472" spans="1:9" s="2" customFormat="1" x14ac:dyDescent="0.25">
      <c r="A1472" s="223"/>
      <c r="B1472" s="223"/>
      <c r="C1472" s="605"/>
      <c r="D1472" s="655"/>
      <c r="E1472" s="227" t="s">
        <v>61</v>
      </c>
      <c r="F1472" s="387" t="s">
        <v>61</v>
      </c>
      <c r="G1472" s="192" t="s">
        <v>61</v>
      </c>
      <c r="H1472" s="439" t="str">
        <f t="shared" si="74"/>
        <v xml:space="preserve">   </v>
      </c>
      <c r="I1472" s="439" t="str">
        <f t="shared" si="75"/>
        <v xml:space="preserve">   </v>
      </c>
    </row>
    <row r="1473" spans="1:9" s="2" customFormat="1" x14ac:dyDescent="0.25">
      <c r="A1473" s="656" t="s">
        <v>1978</v>
      </c>
      <c r="B1473" s="656"/>
      <c r="C1473" s="656"/>
      <c r="D1473" s="417"/>
      <c r="E1473" s="657" t="s">
        <v>1096</v>
      </c>
      <c r="F1473" s="658" t="s">
        <v>1096</v>
      </c>
      <c r="G1473" s="146">
        <v>6000000</v>
      </c>
      <c r="H1473" s="147" t="str">
        <f t="shared" si="74"/>
        <v xml:space="preserve">   </v>
      </c>
      <c r="I1473" s="147" t="str">
        <f t="shared" si="75"/>
        <v xml:space="preserve">   </v>
      </c>
    </row>
    <row r="1474" spans="1:9" s="2" customFormat="1" x14ac:dyDescent="0.25">
      <c r="A1474" s="457">
        <v>1361</v>
      </c>
      <c r="B1474" s="648">
        <v>1</v>
      </c>
      <c r="C1474" s="609" t="s">
        <v>1982</v>
      </c>
      <c r="D1474" s="659">
        <v>841917001</v>
      </c>
      <c r="E1474" s="649" t="s">
        <v>1477</v>
      </c>
      <c r="F1474" s="650">
        <v>2017</v>
      </c>
      <c r="G1474" s="360" t="s">
        <v>1483</v>
      </c>
      <c r="H1474" s="651" t="str">
        <f t="shared" si="74"/>
        <v xml:space="preserve">   </v>
      </c>
      <c r="I1474" s="651" t="str">
        <f t="shared" si="75"/>
        <v xml:space="preserve">   </v>
      </c>
    </row>
    <row r="1475" spans="1:9" s="2" customFormat="1" x14ac:dyDescent="0.25">
      <c r="A1475" s="164">
        <v>1362</v>
      </c>
      <c r="B1475" s="652">
        <v>2</v>
      </c>
      <c r="C1475" s="571" t="s">
        <v>1983</v>
      </c>
      <c r="D1475" s="660">
        <v>841917002</v>
      </c>
      <c r="E1475" s="585" t="s">
        <v>1477</v>
      </c>
      <c r="F1475" s="579">
        <v>2017</v>
      </c>
      <c r="G1475" s="360" t="s">
        <v>1483</v>
      </c>
      <c r="H1475" s="580" t="str">
        <f t="shared" si="74"/>
        <v xml:space="preserve">   </v>
      </c>
      <c r="I1475" s="580" t="str">
        <f t="shared" si="75"/>
        <v xml:space="preserve">   </v>
      </c>
    </row>
    <row r="1476" spans="1:9" s="2" customFormat="1" x14ac:dyDescent="0.25">
      <c r="A1476" s="164">
        <v>1363</v>
      </c>
      <c r="B1476" s="652">
        <v>3</v>
      </c>
      <c r="C1476" s="166" t="s">
        <v>1984</v>
      </c>
      <c r="D1476" s="660">
        <v>841917003</v>
      </c>
      <c r="E1476" s="168" t="s">
        <v>1477</v>
      </c>
      <c r="F1476" s="661">
        <v>2017</v>
      </c>
      <c r="G1476" s="404" t="s">
        <v>28</v>
      </c>
      <c r="H1476" s="580" t="str">
        <f t="shared" si="74"/>
        <v xml:space="preserve">   </v>
      </c>
      <c r="I1476" s="580" t="str">
        <f t="shared" si="75"/>
        <v xml:space="preserve">   </v>
      </c>
    </row>
    <row r="1477" spans="1:9" s="5" customFormat="1" x14ac:dyDescent="0.25">
      <c r="A1477" s="164">
        <v>1364</v>
      </c>
      <c r="B1477" s="652">
        <v>4</v>
      </c>
      <c r="C1477" s="662" t="s">
        <v>1985</v>
      </c>
      <c r="D1477" s="660">
        <v>841917004</v>
      </c>
      <c r="E1477" s="585" t="s">
        <v>1477</v>
      </c>
      <c r="F1477" s="579">
        <v>2017</v>
      </c>
      <c r="G1477" s="404" t="s">
        <v>28</v>
      </c>
      <c r="H1477" s="580" t="str">
        <f t="shared" si="74"/>
        <v xml:space="preserve">   </v>
      </c>
      <c r="I1477" s="580" t="str">
        <f t="shared" si="75"/>
        <v xml:space="preserve">   </v>
      </c>
    </row>
    <row r="1478" spans="1:9" s="2" customFormat="1" x14ac:dyDescent="0.25">
      <c r="A1478" s="164">
        <v>1365</v>
      </c>
      <c r="B1478" s="652">
        <v>5</v>
      </c>
      <c r="C1478" s="571" t="s">
        <v>1986</v>
      </c>
      <c r="D1478" s="660">
        <v>841917005</v>
      </c>
      <c r="E1478" s="585" t="s">
        <v>1477</v>
      </c>
      <c r="F1478" s="579">
        <v>2017</v>
      </c>
      <c r="G1478" s="360" t="s">
        <v>1483</v>
      </c>
      <c r="H1478" s="580" t="str">
        <f t="shared" si="74"/>
        <v xml:space="preserve">   </v>
      </c>
      <c r="I1478" s="580" t="str">
        <f t="shared" si="75"/>
        <v xml:space="preserve">   </v>
      </c>
    </row>
    <row r="1479" spans="1:9" s="2" customFormat="1" x14ac:dyDescent="0.25">
      <c r="A1479" s="164">
        <v>1366</v>
      </c>
      <c r="B1479" s="652">
        <v>6</v>
      </c>
      <c r="C1479" s="571" t="s">
        <v>1987</v>
      </c>
      <c r="D1479" s="660">
        <v>841917006</v>
      </c>
      <c r="E1479" s="585" t="s">
        <v>1477</v>
      </c>
      <c r="F1479" s="579">
        <v>2017</v>
      </c>
      <c r="G1479" s="404" t="s">
        <v>28</v>
      </c>
      <c r="H1479" s="580" t="str">
        <f t="shared" si="74"/>
        <v xml:space="preserve">   </v>
      </c>
      <c r="I1479" s="580" t="str">
        <f t="shared" si="75"/>
        <v xml:space="preserve">   </v>
      </c>
    </row>
    <row r="1480" spans="1:9" s="2" customFormat="1" x14ac:dyDescent="0.25">
      <c r="A1480" s="164">
        <v>1367</v>
      </c>
      <c r="B1480" s="652">
        <v>7</v>
      </c>
      <c r="C1480" s="571" t="s">
        <v>1988</v>
      </c>
      <c r="D1480" s="660">
        <v>841917007</v>
      </c>
      <c r="E1480" s="585" t="s">
        <v>1477</v>
      </c>
      <c r="F1480" s="579">
        <v>2017</v>
      </c>
      <c r="G1480" s="404" t="s">
        <v>28</v>
      </c>
      <c r="H1480" s="580" t="str">
        <f t="shared" si="74"/>
        <v xml:space="preserve">   </v>
      </c>
      <c r="I1480" s="580" t="str">
        <f t="shared" si="75"/>
        <v xml:space="preserve">   </v>
      </c>
    </row>
    <row r="1481" spans="1:9" s="2" customFormat="1" x14ac:dyDescent="0.25">
      <c r="A1481" s="164">
        <v>1368</v>
      </c>
      <c r="B1481" s="652">
        <v>8</v>
      </c>
      <c r="C1481" s="571" t="s">
        <v>1989</v>
      </c>
      <c r="D1481" s="660">
        <v>841917008</v>
      </c>
      <c r="E1481" s="585" t="s">
        <v>1477</v>
      </c>
      <c r="F1481" s="579">
        <v>2017</v>
      </c>
      <c r="G1481" s="404" t="s">
        <v>28</v>
      </c>
      <c r="H1481" s="580" t="str">
        <f t="shared" si="74"/>
        <v xml:space="preserve">   </v>
      </c>
      <c r="I1481" s="580" t="str">
        <f t="shared" si="75"/>
        <v xml:space="preserve">   </v>
      </c>
    </row>
    <row r="1482" spans="1:9" s="2" customFormat="1" x14ac:dyDescent="0.25">
      <c r="A1482" s="663"/>
      <c r="B1482" s="663"/>
      <c r="C1482" s="664" t="s">
        <v>1990</v>
      </c>
      <c r="D1482" s="665"/>
      <c r="E1482" s="666"/>
      <c r="F1482" s="667" t="s">
        <v>61</v>
      </c>
      <c r="G1482" s="668"/>
      <c r="H1482" s="669"/>
      <c r="I1482" s="669"/>
    </row>
    <row r="1483" spans="1:9" s="2" customFormat="1" x14ac:dyDescent="0.25">
      <c r="A1483" s="670">
        <v>1369</v>
      </c>
      <c r="B1483" s="671">
        <v>1</v>
      </c>
      <c r="C1483" s="173" t="s">
        <v>1991</v>
      </c>
      <c r="D1483" s="660">
        <v>841917009</v>
      </c>
      <c r="E1483" s="585" t="s">
        <v>1477</v>
      </c>
      <c r="F1483" s="579">
        <v>2017</v>
      </c>
      <c r="G1483" s="360" t="s">
        <v>1483</v>
      </c>
      <c r="H1483" s="574">
        <f t="shared" ref="H1483:H1546" si="76">IFERROR(VLOOKUP(D1483,Tlus,3,FALSE),"   ")</f>
        <v>44109</v>
      </c>
      <c r="I1483" s="574">
        <f t="shared" ref="I1483:I1546" si="77">IFERROR(VLOOKUP(D1483,Wis,4,FALSE),"   ")</f>
        <v>44186</v>
      </c>
    </row>
    <row r="1484" spans="1:9" s="2" customFormat="1" x14ac:dyDescent="0.25">
      <c r="A1484" s="670">
        <v>1370</v>
      </c>
      <c r="B1484" s="671">
        <v>2</v>
      </c>
      <c r="C1484" s="672" t="s">
        <v>1992</v>
      </c>
      <c r="D1484" s="673">
        <v>841917010</v>
      </c>
      <c r="E1484" s="674" t="s">
        <v>1477</v>
      </c>
      <c r="F1484" s="675">
        <v>2017</v>
      </c>
      <c r="G1484" s="214" t="s">
        <v>1077</v>
      </c>
      <c r="H1484" s="676" t="str">
        <f t="shared" si="76"/>
        <v xml:space="preserve">   </v>
      </c>
      <c r="I1484" s="676" t="str">
        <f t="shared" si="77"/>
        <v xml:space="preserve">   </v>
      </c>
    </row>
    <row r="1485" spans="1:9" s="2" customFormat="1" x14ac:dyDescent="0.25">
      <c r="A1485" s="670">
        <v>1371</v>
      </c>
      <c r="B1485" s="671">
        <v>3</v>
      </c>
      <c r="C1485" s="166" t="s">
        <v>1994</v>
      </c>
      <c r="D1485" s="660">
        <v>841917011</v>
      </c>
      <c r="E1485" s="585" t="s">
        <v>1477</v>
      </c>
      <c r="F1485" s="579">
        <v>2017</v>
      </c>
      <c r="G1485" s="404" t="s">
        <v>28</v>
      </c>
      <c r="H1485" s="574" t="str">
        <f t="shared" si="76"/>
        <v xml:space="preserve">   </v>
      </c>
      <c r="I1485" s="574" t="str">
        <f t="shared" si="77"/>
        <v xml:space="preserve">   </v>
      </c>
    </row>
    <row r="1486" spans="1:9" s="2" customFormat="1" x14ac:dyDescent="0.25">
      <c r="A1486" s="670">
        <v>1372</v>
      </c>
      <c r="B1486" s="671">
        <v>4</v>
      </c>
      <c r="C1486" s="166" t="s">
        <v>1995</v>
      </c>
      <c r="D1486" s="660">
        <v>841917012</v>
      </c>
      <c r="E1486" s="585" t="s">
        <v>1477</v>
      </c>
      <c r="F1486" s="579">
        <v>2017</v>
      </c>
      <c r="G1486" s="360" t="s">
        <v>1483</v>
      </c>
      <c r="H1486" s="574" t="str">
        <f t="shared" si="76"/>
        <v xml:space="preserve">   </v>
      </c>
      <c r="I1486" s="574" t="str">
        <f t="shared" si="77"/>
        <v xml:space="preserve">   </v>
      </c>
    </row>
    <row r="1487" spans="1:9" s="2" customFormat="1" x14ac:dyDescent="0.25">
      <c r="A1487" s="677">
        <v>1373</v>
      </c>
      <c r="B1487" s="678">
        <v>5</v>
      </c>
      <c r="C1487" s="362" t="s">
        <v>1996</v>
      </c>
      <c r="D1487" s="679">
        <v>841917013</v>
      </c>
      <c r="E1487" s="680" t="s">
        <v>1477</v>
      </c>
      <c r="F1487" s="645">
        <v>2017</v>
      </c>
      <c r="G1487" s="615" t="s">
        <v>1833</v>
      </c>
      <c r="H1487" s="604" t="str">
        <f t="shared" si="76"/>
        <v xml:space="preserve">   </v>
      </c>
      <c r="I1487" s="604" t="str">
        <f t="shared" si="77"/>
        <v xml:space="preserve">   </v>
      </c>
    </row>
    <row r="1488" spans="1:9" s="2" customFormat="1" x14ac:dyDescent="0.25">
      <c r="A1488" s="434"/>
      <c r="B1488" s="434"/>
      <c r="C1488" s="435"/>
      <c r="D1488" s="681"/>
      <c r="E1488" s="227" t="s">
        <v>61</v>
      </c>
      <c r="F1488" s="606" t="s">
        <v>61</v>
      </c>
      <c r="G1488" s="192" t="s">
        <v>61</v>
      </c>
      <c r="H1488" s="439" t="str">
        <f t="shared" si="76"/>
        <v xml:space="preserve">   </v>
      </c>
      <c r="I1488" s="439" t="str">
        <f t="shared" si="77"/>
        <v xml:space="preserve">   </v>
      </c>
    </row>
    <row r="1489" spans="1:9" s="2" customFormat="1" x14ac:dyDescent="0.25">
      <c r="A1489" s="682" t="s">
        <v>1997</v>
      </c>
      <c r="B1489" s="682"/>
      <c r="C1489" s="125"/>
      <c r="D1489" s="436"/>
      <c r="E1489" s="657" t="s">
        <v>1096</v>
      </c>
      <c r="F1489" s="683" t="s">
        <v>1096</v>
      </c>
      <c r="G1489" s="192" t="s">
        <v>61</v>
      </c>
      <c r="H1489" s="439" t="str">
        <f t="shared" si="76"/>
        <v xml:space="preserve">   </v>
      </c>
      <c r="I1489" s="439" t="str">
        <f t="shared" si="77"/>
        <v xml:space="preserve">   </v>
      </c>
    </row>
    <row r="1490" spans="1:9" s="2" customFormat="1" x14ac:dyDescent="0.25">
      <c r="A1490" s="684">
        <v>1374</v>
      </c>
      <c r="B1490" s="685">
        <v>1</v>
      </c>
      <c r="C1490" s="324" t="s">
        <v>1998</v>
      </c>
      <c r="D1490" s="686">
        <v>841917014</v>
      </c>
      <c r="E1490" s="326" t="s">
        <v>1506</v>
      </c>
      <c r="F1490" s="687">
        <v>2017</v>
      </c>
      <c r="G1490" s="569" t="s">
        <v>1483</v>
      </c>
      <c r="H1490" s="570" t="str">
        <f t="shared" si="76"/>
        <v xml:space="preserve">   </v>
      </c>
      <c r="I1490" s="570" t="str">
        <f t="shared" si="77"/>
        <v xml:space="preserve">   </v>
      </c>
    </row>
    <row r="1491" spans="1:9" s="2" customFormat="1" x14ac:dyDescent="0.25">
      <c r="A1491" s="688">
        <v>1375</v>
      </c>
      <c r="B1491" s="689">
        <v>2</v>
      </c>
      <c r="C1491" s="173" t="s">
        <v>1999</v>
      </c>
      <c r="D1491" s="690">
        <v>841917015</v>
      </c>
      <c r="E1491" s="264" t="s">
        <v>1506</v>
      </c>
      <c r="F1491" s="661">
        <v>2017</v>
      </c>
      <c r="G1491" s="360" t="s">
        <v>1483</v>
      </c>
      <c r="H1491" s="574" t="str">
        <f t="shared" si="76"/>
        <v xml:space="preserve">   </v>
      </c>
      <c r="I1491" s="574" t="str">
        <f t="shared" si="77"/>
        <v xml:space="preserve">   </v>
      </c>
    </row>
    <row r="1492" spans="1:9" s="2" customFormat="1" x14ac:dyDescent="0.25">
      <c r="A1492" s="688">
        <v>1376</v>
      </c>
      <c r="B1492" s="689">
        <v>3</v>
      </c>
      <c r="C1492" s="173" t="s">
        <v>2000</v>
      </c>
      <c r="D1492" s="690">
        <v>841917016</v>
      </c>
      <c r="E1492" s="264" t="s">
        <v>1506</v>
      </c>
      <c r="F1492" s="661">
        <v>2017</v>
      </c>
      <c r="G1492" s="360" t="s">
        <v>1483</v>
      </c>
      <c r="H1492" s="574">
        <f t="shared" si="76"/>
        <v>44112</v>
      </c>
      <c r="I1492" s="574">
        <f t="shared" si="77"/>
        <v>44186</v>
      </c>
    </row>
    <row r="1493" spans="1:9" s="2" customFormat="1" x14ac:dyDescent="0.25">
      <c r="A1493" s="688">
        <v>1377</v>
      </c>
      <c r="B1493" s="689">
        <v>4</v>
      </c>
      <c r="C1493" s="173" t="s">
        <v>2001</v>
      </c>
      <c r="D1493" s="690">
        <v>841917017</v>
      </c>
      <c r="E1493" s="264" t="s">
        <v>1506</v>
      </c>
      <c r="F1493" s="661">
        <v>2017</v>
      </c>
      <c r="G1493" s="360" t="s">
        <v>1483</v>
      </c>
      <c r="H1493" s="574">
        <f t="shared" si="76"/>
        <v>43941</v>
      </c>
      <c r="I1493" s="574">
        <f t="shared" si="77"/>
        <v>44186</v>
      </c>
    </row>
    <row r="1494" spans="1:9" s="2" customFormat="1" x14ac:dyDescent="0.25">
      <c r="A1494" s="688">
        <v>1378</v>
      </c>
      <c r="B1494" s="689">
        <v>5</v>
      </c>
      <c r="C1494" s="173" t="s">
        <v>2002</v>
      </c>
      <c r="D1494" s="690">
        <v>841917018</v>
      </c>
      <c r="E1494" s="264" t="s">
        <v>1506</v>
      </c>
      <c r="F1494" s="661">
        <v>2017</v>
      </c>
      <c r="G1494" s="360" t="s">
        <v>1483</v>
      </c>
      <c r="H1494" s="574" t="str">
        <f t="shared" si="76"/>
        <v xml:space="preserve">   </v>
      </c>
      <c r="I1494" s="574" t="str">
        <f t="shared" si="77"/>
        <v xml:space="preserve">   </v>
      </c>
    </row>
    <row r="1495" spans="1:9" s="2" customFormat="1" x14ac:dyDescent="0.25">
      <c r="A1495" s="688">
        <v>1379</v>
      </c>
      <c r="B1495" s="689">
        <v>6</v>
      </c>
      <c r="C1495" s="173" t="s">
        <v>2003</v>
      </c>
      <c r="D1495" s="690">
        <v>841917019</v>
      </c>
      <c r="E1495" s="264" t="s">
        <v>1506</v>
      </c>
      <c r="F1495" s="661">
        <v>2017</v>
      </c>
      <c r="G1495" s="360" t="s">
        <v>1483</v>
      </c>
      <c r="H1495" s="574" t="str">
        <f t="shared" si="76"/>
        <v xml:space="preserve">   </v>
      </c>
      <c r="I1495" s="574" t="str">
        <f t="shared" si="77"/>
        <v xml:space="preserve">   </v>
      </c>
    </row>
    <row r="1496" spans="1:9" s="2" customFormat="1" x14ac:dyDescent="0.25">
      <c r="A1496" s="688">
        <v>1380</v>
      </c>
      <c r="B1496" s="689">
        <v>7</v>
      </c>
      <c r="C1496" s="173" t="s">
        <v>2004</v>
      </c>
      <c r="D1496" s="690">
        <v>841917020</v>
      </c>
      <c r="E1496" s="264" t="s">
        <v>1506</v>
      </c>
      <c r="F1496" s="661">
        <v>2017</v>
      </c>
      <c r="G1496" s="360" t="s">
        <v>1483</v>
      </c>
      <c r="H1496" s="574" t="str">
        <f t="shared" si="76"/>
        <v xml:space="preserve">   </v>
      </c>
      <c r="I1496" s="574" t="str">
        <f t="shared" si="77"/>
        <v xml:space="preserve">   </v>
      </c>
    </row>
    <row r="1497" spans="1:9" s="2" customFormat="1" x14ac:dyDescent="0.25">
      <c r="A1497" s="688">
        <v>1381</v>
      </c>
      <c r="B1497" s="689">
        <v>8</v>
      </c>
      <c r="C1497" s="173" t="s">
        <v>2005</v>
      </c>
      <c r="D1497" s="690">
        <v>841917021</v>
      </c>
      <c r="E1497" s="264" t="s">
        <v>1506</v>
      </c>
      <c r="F1497" s="661">
        <v>2017</v>
      </c>
      <c r="G1497" s="360" t="s">
        <v>1483</v>
      </c>
      <c r="H1497" s="574">
        <f t="shared" si="76"/>
        <v>44040</v>
      </c>
      <c r="I1497" s="574">
        <f t="shared" si="77"/>
        <v>44168</v>
      </c>
    </row>
    <row r="1498" spans="1:9" s="2" customFormat="1" x14ac:dyDescent="0.25">
      <c r="A1498" s="688">
        <v>1382</v>
      </c>
      <c r="B1498" s="689">
        <v>9</v>
      </c>
      <c r="C1498" s="173" t="s">
        <v>2006</v>
      </c>
      <c r="D1498" s="690">
        <v>841917022</v>
      </c>
      <c r="E1498" s="264" t="s">
        <v>1506</v>
      </c>
      <c r="F1498" s="661">
        <v>2017</v>
      </c>
      <c r="G1498" s="360" t="s">
        <v>1483</v>
      </c>
      <c r="H1498" s="574" t="str">
        <f t="shared" si="76"/>
        <v xml:space="preserve">   </v>
      </c>
      <c r="I1498" s="574" t="str">
        <f t="shared" si="77"/>
        <v xml:space="preserve">   </v>
      </c>
    </row>
    <row r="1499" spans="1:9" s="2" customFormat="1" x14ac:dyDescent="0.25">
      <c r="A1499" s="688">
        <v>1383</v>
      </c>
      <c r="B1499" s="689">
        <v>10</v>
      </c>
      <c r="C1499" s="173" t="s">
        <v>2007</v>
      </c>
      <c r="D1499" s="690">
        <v>841917023</v>
      </c>
      <c r="E1499" s="264" t="s">
        <v>1506</v>
      </c>
      <c r="F1499" s="661">
        <v>2017</v>
      </c>
      <c r="G1499" s="360" t="s">
        <v>1483</v>
      </c>
      <c r="H1499" s="574" t="str">
        <f t="shared" si="76"/>
        <v xml:space="preserve">   </v>
      </c>
      <c r="I1499" s="574" t="str">
        <f t="shared" si="77"/>
        <v xml:space="preserve">   </v>
      </c>
    </row>
    <row r="1500" spans="1:9" s="2" customFormat="1" x14ac:dyDescent="0.25">
      <c r="A1500" s="688">
        <v>1384</v>
      </c>
      <c r="B1500" s="689">
        <v>11</v>
      </c>
      <c r="C1500" s="173" t="s">
        <v>2008</v>
      </c>
      <c r="D1500" s="690">
        <v>841917024</v>
      </c>
      <c r="E1500" s="264" t="s">
        <v>1506</v>
      </c>
      <c r="F1500" s="661">
        <v>2017</v>
      </c>
      <c r="G1500" s="360" t="s">
        <v>1483</v>
      </c>
      <c r="H1500" s="574">
        <f t="shared" si="76"/>
        <v>44138</v>
      </c>
      <c r="I1500" s="574">
        <f t="shared" si="77"/>
        <v>44186</v>
      </c>
    </row>
    <row r="1501" spans="1:9" s="2" customFormat="1" x14ac:dyDescent="0.25">
      <c r="A1501" s="688">
        <v>1385</v>
      </c>
      <c r="B1501" s="689">
        <v>12</v>
      </c>
      <c r="C1501" s="173" t="s">
        <v>2009</v>
      </c>
      <c r="D1501" s="690">
        <v>841917025</v>
      </c>
      <c r="E1501" s="264" t="s">
        <v>1506</v>
      </c>
      <c r="F1501" s="661">
        <v>2017</v>
      </c>
      <c r="G1501" s="360" t="s">
        <v>1483</v>
      </c>
      <c r="H1501" s="574" t="str">
        <f t="shared" si="76"/>
        <v xml:space="preserve">   </v>
      </c>
      <c r="I1501" s="574" t="str">
        <f t="shared" si="77"/>
        <v xml:space="preserve">   </v>
      </c>
    </row>
    <row r="1502" spans="1:9" s="2" customFormat="1" x14ac:dyDescent="0.25">
      <c r="A1502" s="688">
        <v>1386</v>
      </c>
      <c r="B1502" s="689">
        <v>13</v>
      </c>
      <c r="C1502" s="173" t="s">
        <v>2010</v>
      </c>
      <c r="D1502" s="690">
        <v>841917026</v>
      </c>
      <c r="E1502" s="264" t="s">
        <v>1506</v>
      </c>
      <c r="F1502" s="661">
        <v>2017</v>
      </c>
      <c r="G1502" s="360" t="s">
        <v>1483</v>
      </c>
      <c r="H1502" s="574">
        <f t="shared" si="76"/>
        <v>44124</v>
      </c>
      <c r="I1502" s="574">
        <f t="shared" si="77"/>
        <v>44186</v>
      </c>
    </row>
    <row r="1503" spans="1:9" s="2" customFormat="1" x14ac:dyDescent="0.25">
      <c r="A1503" s="688">
        <v>1387</v>
      </c>
      <c r="B1503" s="689">
        <v>14</v>
      </c>
      <c r="C1503" s="173" t="s">
        <v>2011</v>
      </c>
      <c r="D1503" s="690">
        <v>841917027</v>
      </c>
      <c r="E1503" s="264" t="s">
        <v>1506</v>
      </c>
      <c r="F1503" s="661">
        <v>2017</v>
      </c>
      <c r="G1503" s="360" t="s">
        <v>1483</v>
      </c>
      <c r="H1503" s="574" t="str">
        <f t="shared" si="76"/>
        <v xml:space="preserve">   </v>
      </c>
      <c r="I1503" s="574" t="str">
        <f t="shared" si="77"/>
        <v xml:space="preserve">   </v>
      </c>
    </row>
    <row r="1504" spans="1:9" s="2" customFormat="1" x14ac:dyDescent="0.25">
      <c r="A1504" s="688">
        <v>1388</v>
      </c>
      <c r="B1504" s="689">
        <v>15</v>
      </c>
      <c r="C1504" s="173" t="s">
        <v>2012</v>
      </c>
      <c r="D1504" s="690">
        <v>841917028</v>
      </c>
      <c r="E1504" s="264" t="s">
        <v>1506</v>
      </c>
      <c r="F1504" s="661">
        <v>2017</v>
      </c>
      <c r="G1504" s="360" t="s">
        <v>1483</v>
      </c>
      <c r="H1504" s="574">
        <f t="shared" si="76"/>
        <v>44119</v>
      </c>
      <c r="I1504" s="574">
        <f t="shared" si="77"/>
        <v>44186</v>
      </c>
    </row>
    <row r="1505" spans="1:9" s="2" customFormat="1" x14ac:dyDescent="0.25">
      <c r="A1505" s="688">
        <v>1389</v>
      </c>
      <c r="B1505" s="689">
        <v>16</v>
      </c>
      <c r="C1505" s="218" t="s">
        <v>1658</v>
      </c>
      <c r="D1505" s="690">
        <v>841917029</v>
      </c>
      <c r="E1505" s="691" t="s">
        <v>1506</v>
      </c>
      <c r="F1505" s="692">
        <v>2017</v>
      </c>
      <c r="G1505" s="413" t="s">
        <v>1483</v>
      </c>
      <c r="H1505" s="604">
        <f t="shared" si="76"/>
        <v>44140</v>
      </c>
      <c r="I1505" s="604">
        <f t="shared" si="77"/>
        <v>44186</v>
      </c>
    </row>
    <row r="1506" spans="1:9" s="2" customFormat="1" x14ac:dyDescent="0.25">
      <c r="A1506" s="434" t="s">
        <v>2013</v>
      </c>
      <c r="B1506" s="434"/>
      <c r="C1506" s="435"/>
      <c r="D1506" s="436"/>
      <c r="E1506" s="437"/>
      <c r="F1506" s="438" t="s">
        <v>61</v>
      </c>
      <c r="G1506" s="192" t="s">
        <v>61</v>
      </c>
      <c r="H1506" s="693" t="str">
        <f t="shared" si="76"/>
        <v xml:space="preserve">   </v>
      </c>
      <c r="I1506" s="693" t="str">
        <f t="shared" si="77"/>
        <v xml:space="preserve">   </v>
      </c>
    </row>
    <row r="1507" spans="1:9" s="2" customFormat="1" x14ac:dyDescent="0.25">
      <c r="A1507" s="625" t="s">
        <v>2014</v>
      </c>
      <c r="B1507" s="625"/>
      <c r="C1507" s="625"/>
      <c r="D1507" s="366"/>
      <c r="E1507" s="198" t="s">
        <v>1096</v>
      </c>
      <c r="F1507" s="199" t="s">
        <v>1096</v>
      </c>
      <c r="G1507" s="565">
        <v>3750000</v>
      </c>
      <c r="H1507" s="147" t="str">
        <f t="shared" si="76"/>
        <v xml:space="preserve">   </v>
      </c>
      <c r="I1507" s="147" t="str">
        <f t="shared" si="77"/>
        <v xml:space="preserve">   </v>
      </c>
    </row>
    <row r="1508" spans="1:9" s="7" customFormat="1" ht="15" customHeight="1" x14ac:dyDescent="0.25">
      <c r="A1508" s="694">
        <v>1390</v>
      </c>
      <c r="B1508" s="695">
        <v>1</v>
      </c>
      <c r="C1508" s="696" t="s">
        <v>2017</v>
      </c>
      <c r="D1508" s="697">
        <v>849118036</v>
      </c>
      <c r="E1508" s="698" t="s">
        <v>2018</v>
      </c>
      <c r="F1508" s="327">
        <v>2018</v>
      </c>
      <c r="G1508" s="699" t="s">
        <v>1483</v>
      </c>
      <c r="H1508" s="700" t="str">
        <f t="shared" si="76"/>
        <v xml:space="preserve">   </v>
      </c>
      <c r="I1508" s="700" t="str">
        <f t="shared" si="77"/>
        <v xml:space="preserve">   </v>
      </c>
    </row>
    <row r="1509" spans="1:9" s="7" customFormat="1" ht="15" customHeight="1" x14ac:dyDescent="0.25">
      <c r="A1509" s="670">
        <v>1391</v>
      </c>
      <c r="B1509" s="671">
        <v>2</v>
      </c>
      <c r="C1509" s="701" t="s">
        <v>2019</v>
      </c>
      <c r="D1509" s="702">
        <v>849118039</v>
      </c>
      <c r="E1509" s="441" t="s">
        <v>2018</v>
      </c>
      <c r="F1509" s="175">
        <v>2018</v>
      </c>
      <c r="G1509" s="360" t="s">
        <v>1483</v>
      </c>
      <c r="H1509" s="580">
        <f t="shared" si="76"/>
        <v>43971</v>
      </c>
      <c r="I1509" s="580">
        <f t="shared" si="77"/>
        <v>44168</v>
      </c>
    </row>
    <row r="1510" spans="1:9" s="7" customFormat="1" ht="15" customHeight="1" x14ac:dyDescent="0.25">
      <c r="A1510" s="670">
        <v>1392</v>
      </c>
      <c r="B1510" s="671">
        <v>3</v>
      </c>
      <c r="C1510" s="701" t="s">
        <v>2020</v>
      </c>
      <c r="D1510" s="702">
        <v>849118040</v>
      </c>
      <c r="E1510" s="441" t="s">
        <v>2018</v>
      </c>
      <c r="F1510" s="175">
        <v>2018</v>
      </c>
      <c r="G1510" s="360" t="s">
        <v>1483</v>
      </c>
      <c r="H1510" s="580" t="str">
        <f t="shared" si="76"/>
        <v xml:space="preserve">   </v>
      </c>
      <c r="I1510" s="580" t="str">
        <f t="shared" si="77"/>
        <v xml:space="preserve">   </v>
      </c>
    </row>
    <row r="1511" spans="1:9" s="7" customFormat="1" ht="15" customHeight="1" x14ac:dyDescent="0.25">
      <c r="A1511" s="670">
        <v>1393</v>
      </c>
      <c r="B1511" s="671">
        <v>4</v>
      </c>
      <c r="C1511" s="701" t="s">
        <v>2021</v>
      </c>
      <c r="D1511" s="702">
        <v>849118041</v>
      </c>
      <c r="E1511" s="441" t="s">
        <v>2018</v>
      </c>
      <c r="F1511" s="175">
        <v>2018</v>
      </c>
      <c r="G1511" s="360" t="s">
        <v>1483</v>
      </c>
      <c r="H1511" s="580" t="str">
        <f t="shared" si="76"/>
        <v xml:space="preserve">   </v>
      </c>
      <c r="I1511" s="580" t="str">
        <f t="shared" si="77"/>
        <v xml:space="preserve">   </v>
      </c>
    </row>
    <row r="1512" spans="1:9" s="7" customFormat="1" ht="15" customHeight="1" x14ac:dyDescent="0.25">
      <c r="A1512" s="670">
        <v>1394</v>
      </c>
      <c r="B1512" s="671">
        <v>5</v>
      </c>
      <c r="C1512" s="701" t="s">
        <v>2022</v>
      </c>
      <c r="D1512" s="702">
        <v>849118042</v>
      </c>
      <c r="E1512" s="441" t="s">
        <v>2018</v>
      </c>
      <c r="F1512" s="175">
        <v>2018</v>
      </c>
      <c r="G1512" s="360" t="s">
        <v>1483</v>
      </c>
      <c r="H1512" s="580" t="str">
        <f t="shared" si="76"/>
        <v xml:space="preserve">   </v>
      </c>
      <c r="I1512" s="580" t="str">
        <f t="shared" si="77"/>
        <v xml:space="preserve">   </v>
      </c>
    </row>
    <row r="1513" spans="1:9" s="7" customFormat="1" ht="15" customHeight="1" x14ac:dyDescent="0.25">
      <c r="A1513" s="670">
        <v>1395</v>
      </c>
      <c r="B1513" s="671">
        <v>6</v>
      </c>
      <c r="C1513" s="701" t="s">
        <v>2023</v>
      </c>
      <c r="D1513" s="702">
        <v>849118043</v>
      </c>
      <c r="E1513" s="441" t="s">
        <v>2018</v>
      </c>
      <c r="F1513" s="175">
        <v>2018</v>
      </c>
      <c r="G1513" s="360" t="s">
        <v>1483</v>
      </c>
      <c r="H1513" s="580" t="str">
        <f t="shared" si="76"/>
        <v xml:space="preserve">   </v>
      </c>
      <c r="I1513" s="580" t="str">
        <f t="shared" si="77"/>
        <v xml:space="preserve">   </v>
      </c>
    </row>
    <row r="1514" spans="1:9" s="7" customFormat="1" ht="15" customHeight="1" x14ac:dyDescent="0.25">
      <c r="A1514" s="670">
        <v>1396</v>
      </c>
      <c r="B1514" s="671">
        <v>7</v>
      </c>
      <c r="C1514" s="701" t="s">
        <v>2024</v>
      </c>
      <c r="D1514" s="702">
        <v>849118044</v>
      </c>
      <c r="E1514" s="441" t="s">
        <v>2018</v>
      </c>
      <c r="F1514" s="175">
        <v>2018</v>
      </c>
      <c r="G1514" s="360" t="s">
        <v>1483</v>
      </c>
      <c r="H1514" s="580" t="str">
        <f t="shared" si="76"/>
        <v xml:space="preserve">   </v>
      </c>
      <c r="I1514" s="580" t="str">
        <f t="shared" si="77"/>
        <v xml:space="preserve">   </v>
      </c>
    </row>
    <row r="1515" spans="1:9" s="7" customFormat="1" ht="15" customHeight="1" x14ac:dyDescent="0.25">
      <c r="A1515" s="670">
        <v>1397</v>
      </c>
      <c r="B1515" s="671">
        <v>8</v>
      </c>
      <c r="C1515" s="701" t="s">
        <v>2025</v>
      </c>
      <c r="D1515" s="702">
        <v>849118045</v>
      </c>
      <c r="E1515" s="441" t="s">
        <v>2018</v>
      </c>
      <c r="F1515" s="175">
        <v>2018</v>
      </c>
      <c r="G1515" s="360" t="s">
        <v>1483</v>
      </c>
      <c r="H1515" s="580" t="str">
        <f t="shared" si="76"/>
        <v xml:space="preserve">   </v>
      </c>
      <c r="I1515" s="580" t="str">
        <f t="shared" si="77"/>
        <v xml:space="preserve">   </v>
      </c>
    </row>
    <row r="1516" spans="1:9" s="2" customFormat="1" x14ac:dyDescent="0.25">
      <c r="A1516" s="670">
        <v>1398</v>
      </c>
      <c r="B1516" s="671">
        <v>9</v>
      </c>
      <c r="C1516" s="701" t="s">
        <v>2026</v>
      </c>
      <c r="D1516" s="702">
        <v>849118001</v>
      </c>
      <c r="E1516" s="441" t="s">
        <v>2027</v>
      </c>
      <c r="F1516" s="175">
        <v>2018</v>
      </c>
      <c r="G1516" s="360" t="s">
        <v>1483</v>
      </c>
      <c r="H1516" s="580" t="str">
        <f t="shared" si="76"/>
        <v xml:space="preserve">   </v>
      </c>
      <c r="I1516" s="580" t="str">
        <f t="shared" si="77"/>
        <v xml:space="preserve">   </v>
      </c>
    </row>
    <row r="1517" spans="1:9" s="2" customFormat="1" x14ac:dyDescent="0.25">
      <c r="A1517" s="670">
        <v>1399</v>
      </c>
      <c r="B1517" s="671">
        <v>10</v>
      </c>
      <c r="C1517" s="701" t="s">
        <v>2028</v>
      </c>
      <c r="D1517" s="702">
        <v>849118002</v>
      </c>
      <c r="E1517" s="441" t="s">
        <v>2027</v>
      </c>
      <c r="F1517" s="175">
        <v>2018</v>
      </c>
      <c r="G1517" s="360" t="s">
        <v>1483</v>
      </c>
      <c r="H1517" s="580" t="str">
        <f t="shared" si="76"/>
        <v xml:space="preserve">   </v>
      </c>
      <c r="I1517" s="580" t="str">
        <f t="shared" si="77"/>
        <v xml:space="preserve">   </v>
      </c>
    </row>
    <row r="1518" spans="1:9" s="2" customFormat="1" x14ac:dyDescent="0.25">
      <c r="A1518" s="670">
        <v>1400</v>
      </c>
      <c r="B1518" s="671">
        <v>11</v>
      </c>
      <c r="C1518" s="701" t="s">
        <v>2029</v>
      </c>
      <c r="D1518" s="702">
        <v>849118003</v>
      </c>
      <c r="E1518" s="441" t="s">
        <v>2027</v>
      </c>
      <c r="F1518" s="175">
        <v>2018</v>
      </c>
      <c r="G1518" s="360" t="s">
        <v>1483</v>
      </c>
      <c r="H1518" s="580" t="str">
        <f t="shared" si="76"/>
        <v xml:space="preserve">   </v>
      </c>
      <c r="I1518" s="580" t="str">
        <f t="shared" si="77"/>
        <v xml:space="preserve">   </v>
      </c>
    </row>
    <row r="1519" spans="1:9" s="2" customFormat="1" x14ac:dyDescent="0.25">
      <c r="A1519" s="670">
        <v>1401</v>
      </c>
      <c r="B1519" s="671">
        <v>12</v>
      </c>
      <c r="C1519" s="701" t="s">
        <v>2030</v>
      </c>
      <c r="D1519" s="702">
        <v>849118004</v>
      </c>
      <c r="E1519" s="441" t="s">
        <v>2027</v>
      </c>
      <c r="F1519" s="175">
        <v>2018</v>
      </c>
      <c r="G1519" s="360" t="s">
        <v>1483</v>
      </c>
      <c r="H1519" s="580" t="str">
        <f t="shared" si="76"/>
        <v xml:space="preserve">   </v>
      </c>
      <c r="I1519" s="580" t="str">
        <f t="shared" si="77"/>
        <v xml:space="preserve">   </v>
      </c>
    </row>
    <row r="1520" spans="1:9" s="2" customFormat="1" x14ac:dyDescent="0.25">
      <c r="A1520" s="670">
        <v>1402</v>
      </c>
      <c r="B1520" s="671">
        <v>13</v>
      </c>
      <c r="C1520" s="701" t="s">
        <v>2031</v>
      </c>
      <c r="D1520" s="702">
        <v>849118005</v>
      </c>
      <c r="E1520" s="441" t="s">
        <v>2027</v>
      </c>
      <c r="F1520" s="175">
        <v>2018</v>
      </c>
      <c r="G1520" s="360" t="s">
        <v>1483</v>
      </c>
      <c r="H1520" s="580" t="str">
        <f t="shared" si="76"/>
        <v xml:space="preserve">   </v>
      </c>
      <c r="I1520" s="580" t="str">
        <f t="shared" si="77"/>
        <v xml:space="preserve">   </v>
      </c>
    </row>
    <row r="1521" spans="1:9" s="2" customFormat="1" x14ac:dyDescent="0.25">
      <c r="A1521" s="670">
        <v>1403</v>
      </c>
      <c r="B1521" s="671">
        <v>14</v>
      </c>
      <c r="C1521" s="701" t="s">
        <v>2032</v>
      </c>
      <c r="D1521" s="702">
        <v>849118006</v>
      </c>
      <c r="E1521" s="441" t="s">
        <v>2027</v>
      </c>
      <c r="F1521" s="175">
        <v>2018</v>
      </c>
      <c r="G1521" s="360" t="s">
        <v>1483</v>
      </c>
      <c r="H1521" s="580" t="str">
        <f t="shared" si="76"/>
        <v xml:space="preserve">   </v>
      </c>
      <c r="I1521" s="580" t="str">
        <f t="shared" si="77"/>
        <v xml:space="preserve">   </v>
      </c>
    </row>
    <row r="1522" spans="1:9" s="2" customFormat="1" x14ac:dyDescent="0.25">
      <c r="A1522" s="670">
        <v>1404</v>
      </c>
      <c r="B1522" s="671">
        <v>15</v>
      </c>
      <c r="C1522" s="701" t="s">
        <v>2033</v>
      </c>
      <c r="D1522" s="702">
        <v>849118007</v>
      </c>
      <c r="E1522" s="441" t="s">
        <v>2027</v>
      </c>
      <c r="F1522" s="175">
        <v>2018</v>
      </c>
      <c r="G1522" s="360" t="s">
        <v>1483</v>
      </c>
      <c r="H1522" s="580" t="str">
        <f t="shared" si="76"/>
        <v xml:space="preserve">   </v>
      </c>
      <c r="I1522" s="580" t="str">
        <f t="shared" si="77"/>
        <v xml:space="preserve">   </v>
      </c>
    </row>
    <row r="1523" spans="1:9" s="2" customFormat="1" x14ac:dyDescent="0.25">
      <c r="A1523" s="670">
        <v>1405</v>
      </c>
      <c r="B1523" s="671">
        <v>16</v>
      </c>
      <c r="C1523" s="701" t="s">
        <v>2034</v>
      </c>
      <c r="D1523" s="702">
        <v>849118008</v>
      </c>
      <c r="E1523" s="441" t="s">
        <v>2027</v>
      </c>
      <c r="F1523" s="175">
        <v>2018</v>
      </c>
      <c r="G1523" s="360" t="s">
        <v>1483</v>
      </c>
      <c r="H1523" s="580" t="str">
        <f t="shared" si="76"/>
        <v xml:space="preserve">   </v>
      </c>
      <c r="I1523" s="580" t="str">
        <f t="shared" si="77"/>
        <v xml:space="preserve">   </v>
      </c>
    </row>
    <row r="1524" spans="1:9" s="2" customFormat="1" x14ac:dyDescent="0.25">
      <c r="A1524" s="670">
        <v>1406</v>
      </c>
      <c r="B1524" s="671">
        <v>17</v>
      </c>
      <c r="C1524" s="701" t="s">
        <v>2035</v>
      </c>
      <c r="D1524" s="702">
        <v>849118010</v>
      </c>
      <c r="E1524" s="441" t="s">
        <v>2027</v>
      </c>
      <c r="F1524" s="175">
        <v>2018</v>
      </c>
      <c r="G1524" s="360" t="s">
        <v>1483</v>
      </c>
      <c r="H1524" s="580" t="str">
        <f t="shared" si="76"/>
        <v xml:space="preserve">   </v>
      </c>
      <c r="I1524" s="580" t="str">
        <f t="shared" si="77"/>
        <v xml:space="preserve">   </v>
      </c>
    </row>
    <row r="1525" spans="1:9" s="2" customFormat="1" x14ac:dyDescent="0.25">
      <c r="A1525" s="670">
        <v>1407</v>
      </c>
      <c r="B1525" s="671">
        <v>18</v>
      </c>
      <c r="C1525" s="701" t="s">
        <v>2036</v>
      </c>
      <c r="D1525" s="702">
        <v>849118011</v>
      </c>
      <c r="E1525" s="441" t="s">
        <v>2027</v>
      </c>
      <c r="F1525" s="175">
        <v>2018</v>
      </c>
      <c r="G1525" s="360" t="s">
        <v>1483</v>
      </c>
      <c r="H1525" s="580" t="str">
        <f t="shared" si="76"/>
        <v xml:space="preserve">   </v>
      </c>
      <c r="I1525" s="580" t="str">
        <f t="shared" si="77"/>
        <v xml:space="preserve">   </v>
      </c>
    </row>
    <row r="1526" spans="1:9" s="2" customFormat="1" x14ac:dyDescent="0.25">
      <c r="A1526" s="670">
        <v>1408</v>
      </c>
      <c r="B1526" s="671">
        <v>19</v>
      </c>
      <c r="C1526" s="701" t="s">
        <v>2037</v>
      </c>
      <c r="D1526" s="702">
        <v>849118012</v>
      </c>
      <c r="E1526" s="441" t="s">
        <v>2027</v>
      </c>
      <c r="F1526" s="175">
        <v>2018</v>
      </c>
      <c r="G1526" s="360" t="s">
        <v>1483</v>
      </c>
      <c r="H1526" s="580" t="str">
        <f t="shared" si="76"/>
        <v xml:space="preserve">   </v>
      </c>
      <c r="I1526" s="580" t="str">
        <f t="shared" si="77"/>
        <v xml:space="preserve">   </v>
      </c>
    </row>
    <row r="1527" spans="1:9" s="2" customFormat="1" x14ac:dyDescent="0.25">
      <c r="A1527" s="670">
        <v>1409</v>
      </c>
      <c r="B1527" s="671">
        <v>20</v>
      </c>
      <c r="C1527" s="701" t="s">
        <v>2038</v>
      </c>
      <c r="D1527" s="702">
        <v>849118013</v>
      </c>
      <c r="E1527" s="441" t="s">
        <v>2027</v>
      </c>
      <c r="F1527" s="175">
        <v>2018</v>
      </c>
      <c r="G1527" s="360" t="s">
        <v>1483</v>
      </c>
      <c r="H1527" s="580" t="str">
        <f t="shared" si="76"/>
        <v xml:space="preserve">   </v>
      </c>
      <c r="I1527" s="580" t="str">
        <f t="shared" si="77"/>
        <v xml:space="preserve">   </v>
      </c>
    </row>
    <row r="1528" spans="1:9" s="2" customFormat="1" x14ac:dyDescent="0.25">
      <c r="A1528" s="670">
        <v>1410</v>
      </c>
      <c r="B1528" s="671">
        <v>21</v>
      </c>
      <c r="C1528" s="701" t="s">
        <v>2039</v>
      </c>
      <c r="D1528" s="702">
        <v>849118014</v>
      </c>
      <c r="E1528" s="441" t="s">
        <v>2027</v>
      </c>
      <c r="F1528" s="175">
        <v>2018</v>
      </c>
      <c r="G1528" s="360" t="s">
        <v>1483</v>
      </c>
      <c r="H1528" s="580" t="str">
        <f t="shared" si="76"/>
        <v xml:space="preserve">   </v>
      </c>
      <c r="I1528" s="580" t="str">
        <f t="shared" si="77"/>
        <v xml:space="preserve">   </v>
      </c>
    </row>
    <row r="1529" spans="1:9" s="2" customFormat="1" x14ac:dyDescent="0.25">
      <c r="A1529" s="670">
        <v>1411</v>
      </c>
      <c r="B1529" s="671">
        <v>22</v>
      </c>
      <c r="C1529" s="701" t="s">
        <v>2040</v>
      </c>
      <c r="D1529" s="702">
        <v>849118015</v>
      </c>
      <c r="E1529" s="441" t="s">
        <v>2027</v>
      </c>
      <c r="F1529" s="175">
        <v>2018</v>
      </c>
      <c r="G1529" s="360" t="s">
        <v>1483</v>
      </c>
      <c r="H1529" s="580" t="str">
        <f t="shared" si="76"/>
        <v xml:space="preserve">   </v>
      </c>
      <c r="I1529" s="580" t="str">
        <f t="shared" si="77"/>
        <v xml:space="preserve">   </v>
      </c>
    </row>
    <row r="1530" spans="1:9" s="2" customFormat="1" x14ac:dyDescent="0.25">
      <c r="A1530" s="670">
        <v>1412</v>
      </c>
      <c r="B1530" s="671">
        <v>23</v>
      </c>
      <c r="C1530" s="701" t="s">
        <v>2041</v>
      </c>
      <c r="D1530" s="702">
        <v>849118016</v>
      </c>
      <c r="E1530" s="441" t="s">
        <v>2027</v>
      </c>
      <c r="F1530" s="175">
        <v>2018</v>
      </c>
      <c r="G1530" s="360" t="s">
        <v>1483</v>
      </c>
      <c r="H1530" s="580" t="str">
        <f t="shared" si="76"/>
        <v xml:space="preserve">   </v>
      </c>
      <c r="I1530" s="580" t="str">
        <f t="shared" si="77"/>
        <v xml:space="preserve">   </v>
      </c>
    </row>
    <row r="1531" spans="1:9" s="2" customFormat="1" x14ac:dyDescent="0.25">
      <c r="A1531" s="670">
        <v>1413</v>
      </c>
      <c r="B1531" s="671">
        <v>24</v>
      </c>
      <c r="C1531" s="701" t="s">
        <v>2042</v>
      </c>
      <c r="D1531" s="702">
        <v>849118017</v>
      </c>
      <c r="E1531" s="441" t="s">
        <v>2027</v>
      </c>
      <c r="F1531" s="175">
        <v>2018</v>
      </c>
      <c r="G1531" s="360" t="s">
        <v>1483</v>
      </c>
      <c r="H1531" s="580" t="str">
        <f t="shared" si="76"/>
        <v xml:space="preserve">   </v>
      </c>
      <c r="I1531" s="580" t="str">
        <f t="shared" si="77"/>
        <v xml:space="preserve">   </v>
      </c>
    </row>
    <row r="1532" spans="1:9" s="2" customFormat="1" x14ac:dyDescent="0.25">
      <c r="A1532" s="670">
        <v>1414</v>
      </c>
      <c r="B1532" s="671">
        <v>25</v>
      </c>
      <c r="C1532" s="701" t="s">
        <v>2043</v>
      </c>
      <c r="D1532" s="702">
        <v>849118019</v>
      </c>
      <c r="E1532" s="441" t="s">
        <v>2027</v>
      </c>
      <c r="F1532" s="175">
        <v>2018</v>
      </c>
      <c r="G1532" s="360" t="s">
        <v>1483</v>
      </c>
      <c r="H1532" s="580" t="str">
        <f t="shared" si="76"/>
        <v xml:space="preserve">   </v>
      </c>
      <c r="I1532" s="580" t="str">
        <f t="shared" si="77"/>
        <v xml:space="preserve">   </v>
      </c>
    </row>
    <row r="1533" spans="1:9" s="2" customFormat="1" x14ac:dyDescent="0.25">
      <c r="A1533" s="670">
        <v>1415</v>
      </c>
      <c r="B1533" s="671">
        <v>26</v>
      </c>
      <c r="C1533" s="703" t="s">
        <v>2044</v>
      </c>
      <c r="D1533" s="702">
        <v>849118020</v>
      </c>
      <c r="E1533" s="441" t="s">
        <v>2027</v>
      </c>
      <c r="F1533" s="175">
        <v>2018</v>
      </c>
      <c r="G1533" s="360" t="s">
        <v>1483</v>
      </c>
      <c r="H1533" s="580" t="str">
        <f t="shared" si="76"/>
        <v xml:space="preserve">   </v>
      </c>
      <c r="I1533" s="580" t="str">
        <f t="shared" si="77"/>
        <v xml:space="preserve">   </v>
      </c>
    </row>
    <row r="1534" spans="1:9" s="2" customFormat="1" x14ac:dyDescent="0.25">
      <c r="A1534" s="670">
        <v>1416</v>
      </c>
      <c r="B1534" s="671">
        <v>27</v>
      </c>
      <c r="C1534" s="701" t="s">
        <v>2045</v>
      </c>
      <c r="D1534" s="702">
        <v>849118022</v>
      </c>
      <c r="E1534" s="441" t="s">
        <v>2046</v>
      </c>
      <c r="F1534" s="175">
        <v>2018</v>
      </c>
      <c r="G1534" s="360" t="s">
        <v>1483</v>
      </c>
      <c r="H1534" s="580" t="str">
        <f t="shared" si="76"/>
        <v xml:space="preserve">   </v>
      </c>
      <c r="I1534" s="580" t="str">
        <f t="shared" si="77"/>
        <v xml:space="preserve">   </v>
      </c>
    </row>
    <row r="1535" spans="1:9" s="2" customFormat="1" x14ac:dyDescent="0.25">
      <c r="A1535" s="670">
        <v>1417</v>
      </c>
      <c r="B1535" s="671">
        <v>28</v>
      </c>
      <c r="C1535" s="701" t="s">
        <v>2047</v>
      </c>
      <c r="D1535" s="702">
        <v>849118023</v>
      </c>
      <c r="E1535" s="441" t="s">
        <v>2046</v>
      </c>
      <c r="F1535" s="175">
        <v>2018</v>
      </c>
      <c r="G1535" s="360" t="s">
        <v>1483</v>
      </c>
      <c r="H1535" s="580" t="str">
        <f t="shared" si="76"/>
        <v xml:space="preserve">   </v>
      </c>
      <c r="I1535" s="580" t="str">
        <f t="shared" si="77"/>
        <v xml:space="preserve">   </v>
      </c>
    </row>
    <row r="1536" spans="1:9" s="2" customFormat="1" x14ac:dyDescent="0.25">
      <c r="A1536" s="670">
        <v>1418</v>
      </c>
      <c r="B1536" s="671">
        <v>29</v>
      </c>
      <c r="C1536" s="701" t="s">
        <v>2048</v>
      </c>
      <c r="D1536" s="702">
        <v>849118025</v>
      </c>
      <c r="E1536" s="441" t="s">
        <v>2046</v>
      </c>
      <c r="F1536" s="175">
        <v>2018</v>
      </c>
      <c r="G1536" s="360" t="s">
        <v>1483</v>
      </c>
      <c r="H1536" s="580">
        <f t="shared" si="76"/>
        <v>44061</v>
      </c>
      <c r="I1536" s="580">
        <f t="shared" si="77"/>
        <v>44186</v>
      </c>
    </row>
    <row r="1537" spans="1:9" s="2" customFormat="1" x14ac:dyDescent="0.25">
      <c r="A1537" s="670">
        <v>1419</v>
      </c>
      <c r="B1537" s="671">
        <v>30</v>
      </c>
      <c r="C1537" s="701" t="s">
        <v>2049</v>
      </c>
      <c r="D1537" s="702">
        <v>849118026</v>
      </c>
      <c r="E1537" s="441" t="s">
        <v>2046</v>
      </c>
      <c r="F1537" s="175">
        <v>2018</v>
      </c>
      <c r="G1537" s="360" t="s">
        <v>1483</v>
      </c>
      <c r="H1537" s="580" t="str">
        <f t="shared" si="76"/>
        <v xml:space="preserve">   </v>
      </c>
      <c r="I1537" s="580" t="str">
        <f t="shared" si="77"/>
        <v xml:space="preserve">   </v>
      </c>
    </row>
    <row r="1538" spans="1:9" s="2" customFormat="1" x14ac:dyDescent="0.25">
      <c r="A1538" s="670">
        <v>1420</v>
      </c>
      <c r="B1538" s="671">
        <v>31</v>
      </c>
      <c r="C1538" s="701" t="s">
        <v>2050</v>
      </c>
      <c r="D1538" s="702">
        <v>849118027</v>
      </c>
      <c r="E1538" s="441" t="s">
        <v>2046</v>
      </c>
      <c r="F1538" s="175">
        <v>2018</v>
      </c>
      <c r="G1538" s="360" t="s">
        <v>1483</v>
      </c>
      <c r="H1538" s="580">
        <f t="shared" si="76"/>
        <v>44046</v>
      </c>
      <c r="I1538" s="580">
        <f t="shared" si="77"/>
        <v>44186</v>
      </c>
    </row>
    <row r="1539" spans="1:9" s="2" customFormat="1" x14ac:dyDescent="0.25">
      <c r="A1539" s="670">
        <v>1421</v>
      </c>
      <c r="B1539" s="671">
        <v>32</v>
      </c>
      <c r="C1539" s="701" t="s">
        <v>2051</v>
      </c>
      <c r="D1539" s="702">
        <v>849118028</v>
      </c>
      <c r="E1539" s="441" t="s">
        <v>2046</v>
      </c>
      <c r="F1539" s="175">
        <v>2018</v>
      </c>
      <c r="G1539" s="360" t="s">
        <v>1483</v>
      </c>
      <c r="H1539" s="580" t="str">
        <f t="shared" si="76"/>
        <v xml:space="preserve">   </v>
      </c>
      <c r="I1539" s="580" t="str">
        <f t="shared" si="77"/>
        <v xml:space="preserve">   </v>
      </c>
    </row>
    <row r="1540" spans="1:9" s="2" customFormat="1" x14ac:dyDescent="0.25">
      <c r="A1540" s="670">
        <v>1422</v>
      </c>
      <c r="B1540" s="671">
        <v>33</v>
      </c>
      <c r="C1540" s="701" t="s">
        <v>2052</v>
      </c>
      <c r="D1540" s="702">
        <v>849118030</v>
      </c>
      <c r="E1540" s="441" t="s">
        <v>2046</v>
      </c>
      <c r="F1540" s="175">
        <v>2018</v>
      </c>
      <c r="G1540" s="360" t="s">
        <v>1483</v>
      </c>
      <c r="H1540" s="580" t="str">
        <f t="shared" si="76"/>
        <v xml:space="preserve">   </v>
      </c>
      <c r="I1540" s="580" t="str">
        <f t="shared" si="77"/>
        <v xml:space="preserve">   </v>
      </c>
    </row>
    <row r="1541" spans="1:9" s="2" customFormat="1" x14ac:dyDescent="0.25">
      <c r="A1541" s="670">
        <v>1423</v>
      </c>
      <c r="B1541" s="671">
        <v>34</v>
      </c>
      <c r="C1541" s="701" t="s">
        <v>2053</v>
      </c>
      <c r="D1541" s="702">
        <v>849118031</v>
      </c>
      <c r="E1541" s="441" t="s">
        <v>2046</v>
      </c>
      <c r="F1541" s="175">
        <v>2018</v>
      </c>
      <c r="G1541" s="360" t="s">
        <v>1483</v>
      </c>
      <c r="H1541" s="580">
        <f t="shared" si="76"/>
        <v>43961</v>
      </c>
      <c r="I1541" s="580">
        <f t="shared" si="77"/>
        <v>44168</v>
      </c>
    </row>
    <row r="1542" spans="1:9" s="2" customFormat="1" x14ac:dyDescent="0.25">
      <c r="A1542" s="670">
        <v>1424</v>
      </c>
      <c r="B1542" s="671">
        <v>35</v>
      </c>
      <c r="C1542" s="701" t="s">
        <v>2054</v>
      </c>
      <c r="D1542" s="702">
        <v>849118032</v>
      </c>
      <c r="E1542" s="441" t="s">
        <v>2046</v>
      </c>
      <c r="F1542" s="175">
        <v>2018</v>
      </c>
      <c r="G1542" s="360" t="s">
        <v>1483</v>
      </c>
      <c r="H1542" s="580" t="str">
        <f t="shared" si="76"/>
        <v xml:space="preserve">   </v>
      </c>
      <c r="I1542" s="580" t="str">
        <f t="shared" si="77"/>
        <v xml:space="preserve">   </v>
      </c>
    </row>
    <row r="1543" spans="1:9" s="2" customFormat="1" x14ac:dyDescent="0.25">
      <c r="A1543" s="670">
        <v>1425</v>
      </c>
      <c r="B1543" s="671">
        <v>36</v>
      </c>
      <c r="C1543" s="701" t="s">
        <v>2055</v>
      </c>
      <c r="D1543" s="702">
        <v>849118033</v>
      </c>
      <c r="E1543" s="441" t="s">
        <v>2046</v>
      </c>
      <c r="F1543" s="175">
        <v>2018</v>
      </c>
      <c r="G1543" s="360" t="s">
        <v>1483</v>
      </c>
      <c r="H1543" s="580" t="str">
        <f t="shared" si="76"/>
        <v xml:space="preserve">   </v>
      </c>
      <c r="I1543" s="580" t="str">
        <f t="shared" si="77"/>
        <v xml:space="preserve">   </v>
      </c>
    </row>
    <row r="1544" spans="1:9" s="2" customFormat="1" x14ac:dyDescent="0.25">
      <c r="A1544" s="670">
        <v>1426</v>
      </c>
      <c r="B1544" s="671">
        <v>37</v>
      </c>
      <c r="C1544" s="701" t="s">
        <v>2056</v>
      </c>
      <c r="D1544" s="702">
        <v>849118034</v>
      </c>
      <c r="E1544" s="441" t="s">
        <v>2046</v>
      </c>
      <c r="F1544" s="175">
        <v>2018</v>
      </c>
      <c r="G1544" s="360" t="s">
        <v>1483</v>
      </c>
      <c r="H1544" s="580" t="str">
        <f t="shared" si="76"/>
        <v xml:space="preserve">   </v>
      </c>
      <c r="I1544" s="580" t="str">
        <f t="shared" si="77"/>
        <v xml:space="preserve">   </v>
      </c>
    </row>
    <row r="1545" spans="1:9" s="2" customFormat="1" x14ac:dyDescent="0.25">
      <c r="A1545" s="670">
        <v>1427</v>
      </c>
      <c r="B1545" s="671">
        <v>38</v>
      </c>
      <c r="C1545" s="701" t="s">
        <v>2057</v>
      </c>
      <c r="D1545" s="702">
        <v>849118035</v>
      </c>
      <c r="E1545" s="441" t="s">
        <v>2046</v>
      </c>
      <c r="F1545" s="175">
        <v>2018</v>
      </c>
      <c r="G1545" s="360" t="s">
        <v>1483</v>
      </c>
      <c r="H1545" s="580" t="str">
        <f t="shared" si="76"/>
        <v xml:space="preserve">   </v>
      </c>
      <c r="I1545" s="580" t="str">
        <f t="shared" si="77"/>
        <v xml:space="preserve">   </v>
      </c>
    </row>
    <row r="1546" spans="1:9" s="2" customFormat="1" x14ac:dyDescent="0.25">
      <c r="A1546" s="670">
        <v>1428</v>
      </c>
      <c r="B1546" s="671">
        <v>39</v>
      </c>
      <c r="C1546" s="701" t="s">
        <v>2058</v>
      </c>
      <c r="D1546" s="702">
        <v>849118049</v>
      </c>
      <c r="E1546" s="441" t="s">
        <v>2046</v>
      </c>
      <c r="F1546" s="175">
        <v>2018</v>
      </c>
      <c r="G1546" s="360" t="s">
        <v>1483</v>
      </c>
      <c r="H1546" s="580">
        <f t="shared" si="76"/>
        <v>43984</v>
      </c>
      <c r="I1546" s="580">
        <f t="shared" si="77"/>
        <v>44168</v>
      </c>
    </row>
    <row r="1547" spans="1:9" s="2" customFormat="1" x14ac:dyDescent="0.25">
      <c r="A1547" s="670">
        <v>1429</v>
      </c>
      <c r="B1547" s="671">
        <v>40</v>
      </c>
      <c r="C1547" s="701" t="s">
        <v>2059</v>
      </c>
      <c r="D1547" s="702">
        <v>849118050</v>
      </c>
      <c r="E1547" s="441" t="s">
        <v>2046</v>
      </c>
      <c r="F1547" s="175">
        <v>2018</v>
      </c>
      <c r="G1547" s="360" t="s">
        <v>1483</v>
      </c>
      <c r="H1547" s="580" t="str">
        <f t="shared" ref="H1547:H1610" si="78">IFERROR(VLOOKUP(D1547,Tlus,3,FALSE),"   ")</f>
        <v xml:space="preserve">   </v>
      </c>
      <c r="I1547" s="580" t="str">
        <f t="shared" ref="I1547:I1610" si="79">IFERROR(VLOOKUP(D1547,Wis,4,FALSE),"   ")</f>
        <v xml:space="preserve">   </v>
      </c>
    </row>
    <row r="1548" spans="1:9" s="2" customFormat="1" x14ac:dyDescent="0.25">
      <c r="A1548" s="670">
        <v>1430</v>
      </c>
      <c r="B1548" s="671">
        <v>41</v>
      </c>
      <c r="C1548" s="701" t="s">
        <v>2060</v>
      </c>
      <c r="D1548" s="702">
        <v>849118052</v>
      </c>
      <c r="E1548" s="441" t="s">
        <v>2046</v>
      </c>
      <c r="F1548" s="175">
        <v>2018</v>
      </c>
      <c r="G1548" s="360" t="s">
        <v>1483</v>
      </c>
      <c r="H1548" s="580" t="str">
        <f t="shared" si="78"/>
        <v xml:space="preserve">   </v>
      </c>
      <c r="I1548" s="580" t="str">
        <f t="shared" si="79"/>
        <v xml:space="preserve">   </v>
      </c>
    </row>
    <row r="1549" spans="1:9" s="2" customFormat="1" x14ac:dyDescent="0.25">
      <c r="A1549" s="670">
        <v>1431</v>
      </c>
      <c r="B1549" s="671">
        <v>42</v>
      </c>
      <c r="C1549" s="701" t="s">
        <v>2061</v>
      </c>
      <c r="D1549" s="702">
        <v>849118054</v>
      </c>
      <c r="E1549" s="441" t="s">
        <v>2046</v>
      </c>
      <c r="F1549" s="175">
        <v>2018</v>
      </c>
      <c r="G1549" s="404" t="s">
        <v>28</v>
      </c>
      <c r="H1549" s="580" t="str">
        <f t="shared" si="78"/>
        <v xml:space="preserve">   </v>
      </c>
      <c r="I1549" s="580" t="str">
        <f t="shared" si="79"/>
        <v xml:space="preserve">   </v>
      </c>
    </row>
    <row r="1550" spans="1:9" s="2" customFormat="1" x14ac:dyDescent="0.25">
      <c r="A1550" s="670">
        <v>1432</v>
      </c>
      <c r="B1550" s="671">
        <v>43</v>
      </c>
      <c r="C1550" s="701" t="s">
        <v>2062</v>
      </c>
      <c r="D1550" s="702">
        <v>849118055</v>
      </c>
      <c r="E1550" s="441" t="s">
        <v>2046</v>
      </c>
      <c r="F1550" s="175">
        <v>2018</v>
      </c>
      <c r="G1550" s="360" t="s">
        <v>1483</v>
      </c>
      <c r="H1550" s="580">
        <f t="shared" si="78"/>
        <v>44084</v>
      </c>
      <c r="I1550" s="580" t="str">
        <f t="shared" si="79"/>
        <v xml:space="preserve">   </v>
      </c>
    </row>
    <row r="1551" spans="1:9" s="2" customFormat="1" x14ac:dyDescent="0.25">
      <c r="A1551" s="677">
        <v>1433</v>
      </c>
      <c r="B1551" s="678">
        <v>44</v>
      </c>
      <c r="C1551" s="704" t="s">
        <v>2063</v>
      </c>
      <c r="D1551" s="705">
        <v>849118056</v>
      </c>
      <c r="E1551" s="489" t="s">
        <v>2046</v>
      </c>
      <c r="F1551" s="221">
        <v>2018</v>
      </c>
      <c r="G1551" s="413" t="s">
        <v>1483</v>
      </c>
      <c r="H1551" s="646" t="str">
        <f t="shared" si="78"/>
        <v xml:space="preserve">   </v>
      </c>
      <c r="I1551" s="646" t="str">
        <f t="shared" si="79"/>
        <v xml:space="preserve">   </v>
      </c>
    </row>
    <row r="1552" spans="1:9" s="2" customFormat="1" x14ac:dyDescent="0.25">
      <c r="A1552" s="670">
        <v>1434</v>
      </c>
      <c r="B1552" s="706">
        <v>45</v>
      </c>
      <c r="C1552" s="707" t="s">
        <v>2064</v>
      </c>
      <c r="D1552" s="708">
        <v>849118057</v>
      </c>
      <c r="E1552" s="698" t="s">
        <v>2046</v>
      </c>
      <c r="F1552" s="327">
        <v>2018</v>
      </c>
      <c r="G1552" s="699" t="s">
        <v>1483</v>
      </c>
      <c r="H1552" s="700">
        <f t="shared" si="78"/>
        <v>44032</v>
      </c>
      <c r="I1552" s="700" t="str">
        <f t="shared" si="79"/>
        <v xml:space="preserve">   </v>
      </c>
    </row>
    <row r="1553" spans="1:9" s="2" customFormat="1" x14ac:dyDescent="0.25">
      <c r="A1553" s="670">
        <v>1435</v>
      </c>
      <c r="B1553" s="709">
        <v>46</v>
      </c>
      <c r="C1553" s="710" t="s">
        <v>2066</v>
      </c>
      <c r="D1553" s="711">
        <v>849118058</v>
      </c>
      <c r="E1553" s="441" t="s">
        <v>2046</v>
      </c>
      <c r="F1553" s="175">
        <v>2018</v>
      </c>
      <c r="G1553" s="360" t="s">
        <v>1483</v>
      </c>
      <c r="H1553" s="580" t="str">
        <f t="shared" si="78"/>
        <v xml:space="preserve">   </v>
      </c>
      <c r="I1553" s="580" t="str">
        <f t="shared" si="79"/>
        <v xml:space="preserve">   </v>
      </c>
    </row>
    <row r="1554" spans="1:9" s="2" customFormat="1" x14ac:dyDescent="0.25">
      <c r="A1554" s="670">
        <v>1436</v>
      </c>
      <c r="B1554" s="709">
        <v>47</v>
      </c>
      <c r="C1554" s="710" t="s">
        <v>179</v>
      </c>
      <c r="D1554" s="711">
        <v>849118059</v>
      </c>
      <c r="E1554" s="441" t="s">
        <v>2046</v>
      </c>
      <c r="F1554" s="175">
        <v>2018</v>
      </c>
      <c r="G1554" s="360" t="s">
        <v>1483</v>
      </c>
      <c r="H1554" s="580" t="str">
        <f t="shared" si="78"/>
        <v xml:space="preserve">   </v>
      </c>
      <c r="I1554" s="580" t="str">
        <f t="shared" si="79"/>
        <v xml:space="preserve">   </v>
      </c>
    </row>
    <row r="1555" spans="1:9" s="2" customFormat="1" x14ac:dyDescent="0.25">
      <c r="A1555" s="670">
        <v>1437</v>
      </c>
      <c r="B1555" s="709">
        <v>48</v>
      </c>
      <c r="C1555" s="710" t="s">
        <v>172</v>
      </c>
      <c r="D1555" s="711">
        <v>849118060</v>
      </c>
      <c r="E1555" s="441" t="s">
        <v>2046</v>
      </c>
      <c r="F1555" s="175">
        <v>2018</v>
      </c>
      <c r="G1555" s="360" t="s">
        <v>1483</v>
      </c>
      <c r="H1555" s="580" t="str">
        <f t="shared" si="78"/>
        <v xml:space="preserve">   </v>
      </c>
      <c r="I1555" s="580" t="str">
        <f t="shared" si="79"/>
        <v xml:space="preserve">   </v>
      </c>
    </row>
    <row r="1556" spans="1:9" s="2" customFormat="1" x14ac:dyDescent="0.25">
      <c r="A1556" s="670">
        <v>1438</v>
      </c>
      <c r="B1556" s="709">
        <v>49</v>
      </c>
      <c r="C1556" s="710" t="s">
        <v>2067</v>
      </c>
      <c r="D1556" s="711">
        <v>849118061</v>
      </c>
      <c r="E1556" s="441" t="s">
        <v>2046</v>
      </c>
      <c r="F1556" s="175">
        <v>2018</v>
      </c>
      <c r="G1556" s="360" t="s">
        <v>1483</v>
      </c>
      <c r="H1556" s="580" t="str">
        <f t="shared" si="78"/>
        <v xml:space="preserve">   </v>
      </c>
      <c r="I1556" s="580" t="str">
        <f t="shared" si="79"/>
        <v xml:space="preserve">   </v>
      </c>
    </row>
    <row r="1557" spans="1:9" s="2" customFormat="1" x14ac:dyDescent="0.25">
      <c r="A1557" s="670">
        <v>1439</v>
      </c>
      <c r="B1557" s="709">
        <v>50</v>
      </c>
      <c r="C1557" s="710" t="s">
        <v>2068</v>
      </c>
      <c r="D1557" s="711">
        <v>849118062</v>
      </c>
      <c r="E1557" s="441" t="s">
        <v>2046</v>
      </c>
      <c r="F1557" s="175">
        <v>2018</v>
      </c>
      <c r="G1557" s="360" t="s">
        <v>1483</v>
      </c>
      <c r="H1557" s="580" t="str">
        <f t="shared" si="78"/>
        <v xml:space="preserve">   </v>
      </c>
      <c r="I1557" s="580" t="str">
        <f t="shared" si="79"/>
        <v xml:space="preserve">   </v>
      </c>
    </row>
    <row r="1558" spans="1:9" s="2" customFormat="1" x14ac:dyDescent="0.25">
      <c r="A1558" s="670">
        <v>1440</v>
      </c>
      <c r="B1558" s="709">
        <v>51</v>
      </c>
      <c r="C1558" s="710" t="s">
        <v>2069</v>
      </c>
      <c r="D1558" s="711">
        <v>849118063</v>
      </c>
      <c r="E1558" s="441" t="s">
        <v>2046</v>
      </c>
      <c r="F1558" s="175">
        <v>2018</v>
      </c>
      <c r="G1558" s="360" t="s">
        <v>1483</v>
      </c>
      <c r="H1558" s="580" t="str">
        <f t="shared" si="78"/>
        <v xml:space="preserve">   </v>
      </c>
      <c r="I1558" s="580" t="str">
        <f t="shared" si="79"/>
        <v xml:space="preserve">   </v>
      </c>
    </row>
    <row r="1559" spans="1:9" s="2" customFormat="1" x14ac:dyDescent="0.25">
      <c r="A1559" s="434"/>
      <c r="B1559" s="434"/>
      <c r="C1559" s="437"/>
      <c r="D1559" s="437"/>
      <c r="E1559" s="437"/>
      <c r="F1559" s="437" t="s">
        <v>61</v>
      </c>
      <c r="G1559" s="192" t="s">
        <v>61</v>
      </c>
      <c r="H1559" s="437" t="str">
        <f t="shared" si="78"/>
        <v xml:space="preserve">   </v>
      </c>
      <c r="I1559" s="437" t="str">
        <f t="shared" si="79"/>
        <v xml:space="preserve">   </v>
      </c>
    </row>
    <row r="1560" spans="1:9" s="2" customFormat="1" x14ac:dyDescent="0.25">
      <c r="A1560" s="434"/>
      <c r="B1560" s="434"/>
      <c r="C1560" s="437"/>
      <c r="D1560" s="437"/>
      <c r="E1560" s="437"/>
      <c r="F1560" s="437" t="s">
        <v>61</v>
      </c>
      <c r="G1560" s="192" t="s">
        <v>61</v>
      </c>
      <c r="H1560" s="437" t="str">
        <f t="shared" si="78"/>
        <v xml:space="preserve">   </v>
      </c>
      <c r="I1560" s="437" t="str">
        <f t="shared" si="79"/>
        <v xml:space="preserve">   </v>
      </c>
    </row>
    <row r="1561" spans="1:9" s="2" customFormat="1" x14ac:dyDescent="0.25">
      <c r="A1561" s="625" t="s">
        <v>2070</v>
      </c>
      <c r="B1561" s="625"/>
      <c r="C1561" s="625"/>
      <c r="D1561" s="366"/>
      <c r="E1561" s="198" t="s">
        <v>1096</v>
      </c>
      <c r="F1561" s="199" t="s">
        <v>1096</v>
      </c>
      <c r="G1561" s="565">
        <v>3750000</v>
      </c>
      <c r="H1561" s="147" t="str">
        <f t="shared" si="78"/>
        <v xml:space="preserve">   </v>
      </c>
      <c r="I1561" s="147" t="str">
        <f t="shared" si="79"/>
        <v xml:space="preserve">   </v>
      </c>
    </row>
    <row r="1562" spans="1:9" s="2" customFormat="1" x14ac:dyDescent="0.25">
      <c r="A1562" s="694">
        <v>1441</v>
      </c>
      <c r="B1562" s="695">
        <v>1</v>
      </c>
      <c r="C1562" s="712" t="s">
        <v>2073</v>
      </c>
      <c r="D1562" s="697">
        <v>849318043</v>
      </c>
      <c r="E1562" s="698" t="s">
        <v>2074</v>
      </c>
      <c r="F1562" s="327">
        <v>2018</v>
      </c>
      <c r="G1562" s="360" t="s">
        <v>1483</v>
      </c>
      <c r="H1562" s="700" t="str">
        <f t="shared" si="78"/>
        <v xml:space="preserve">   </v>
      </c>
      <c r="I1562" s="700" t="str">
        <f t="shared" si="79"/>
        <v xml:space="preserve">   </v>
      </c>
    </row>
    <row r="1563" spans="1:9" s="2" customFormat="1" x14ac:dyDescent="0.25">
      <c r="A1563" s="670">
        <v>1442</v>
      </c>
      <c r="B1563" s="671">
        <v>2</v>
      </c>
      <c r="C1563" s="701" t="s">
        <v>2075</v>
      </c>
      <c r="D1563" s="702">
        <v>849318044</v>
      </c>
      <c r="E1563" s="441" t="s">
        <v>2074</v>
      </c>
      <c r="F1563" s="175">
        <v>2018</v>
      </c>
      <c r="G1563" s="360" t="s">
        <v>1483</v>
      </c>
      <c r="H1563" s="580" t="str">
        <f t="shared" si="78"/>
        <v xml:space="preserve">   </v>
      </c>
      <c r="I1563" s="580" t="str">
        <f t="shared" si="79"/>
        <v xml:space="preserve">   </v>
      </c>
    </row>
    <row r="1564" spans="1:9" s="2" customFormat="1" x14ac:dyDescent="0.25">
      <c r="A1564" s="670">
        <v>1443</v>
      </c>
      <c r="B1564" s="671">
        <v>3</v>
      </c>
      <c r="C1564" s="701" t="s">
        <v>2076</v>
      </c>
      <c r="D1564" s="702">
        <v>849318045</v>
      </c>
      <c r="E1564" s="441" t="s">
        <v>2074</v>
      </c>
      <c r="F1564" s="175">
        <v>2018</v>
      </c>
      <c r="G1564" s="360" t="s">
        <v>1483</v>
      </c>
      <c r="H1564" s="580" t="str">
        <f t="shared" si="78"/>
        <v xml:space="preserve">   </v>
      </c>
      <c r="I1564" s="580" t="str">
        <f t="shared" si="79"/>
        <v xml:space="preserve">   </v>
      </c>
    </row>
    <row r="1565" spans="1:9" s="2" customFormat="1" x14ac:dyDescent="0.25">
      <c r="A1565" s="670">
        <v>1444</v>
      </c>
      <c r="B1565" s="671">
        <v>4</v>
      </c>
      <c r="C1565" s="701" t="s">
        <v>2077</v>
      </c>
      <c r="D1565" s="702">
        <v>849318046</v>
      </c>
      <c r="E1565" s="441" t="s">
        <v>2074</v>
      </c>
      <c r="F1565" s="175">
        <v>2018</v>
      </c>
      <c r="G1565" s="360" t="s">
        <v>1483</v>
      </c>
      <c r="H1565" s="580" t="str">
        <f t="shared" si="78"/>
        <v xml:space="preserve">   </v>
      </c>
      <c r="I1565" s="580" t="str">
        <f t="shared" si="79"/>
        <v xml:space="preserve">   </v>
      </c>
    </row>
    <row r="1566" spans="1:9" s="2" customFormat="1" x14ac:dyDescent="0.25">
      <c r="A1566" s="670">
        <v>1445</v>
      </c>
      <c r="B1566" s="671">
        <v>5</v>
      </c>
      <c r="C1566" s="701" t="s">
        <v>2078</v>
      </c>
      <c r="D1566" s="702">
        <v>849318047</v>
      </c>
      <c r="E1566" s="441" t="s">
        <v>2074</v>
      </c>
      <c r="F1566" s="175">
        <v>2018</v>
      </c>
      <c r="G1566" s="360" t="s">
        <v>1483</v>
      </c>
      <c r="H1566" s="580">
        <f t="shared" si="78"/>
        <v>44091</v>
      </c>
      <c r="I1566" s="580" t="str">
        <f t="shared" si="79"/>
        <v xml:space="preserve">   </v>
      </c>
    </row>
    <row r="1567" spans="1:9" s="2" customFormat="1" x14ac:dyDescent="0.25">
      <c r="A1567" s="670">
        <v>1446</v>
      </c>
      <c r="B1567" s="671">
        <v>6</v>
      </c>
      <c r="C1567" s="701" t="s">
        <v>2079</v>
      </c>
      <c r="D1567" s="702">
        <v>849318050</v>
      </c>
      <c r="E1567" s="441" t="s">
        <v>2074</v>
      </c>
      <c r="F1567" s="175">
        <v>2018</v>
      </c>
      <c r="G1567" s="360" t="s">
        <v>1483</v>
      </c>
      <c r="H1567" s="580">
        <f t="shared" si="78"/>
        <v>44083</v>
      </c>
      <c r="I1567" s="580">
        <f t="shared" si="79"/>
        <v>44186</v>
      </c>
    </row>
    <row r="1568" spans="1:9" s="2" customFormat="1" x14ac:dyDescent="0.25">
      <c r="A1568" s="670">
        <v>1447</v>
      </c>
      <c r="B1568" s="671">
        <v>7</v>
      </c>
      <c r="C1568" s="701" t="s">
        <v>2080</v>
      </c>
      <c r="D1568" s="702">
        <v>849318051</v>
      </c>
      <c r="E1568" s="441" t="s">
        <v>2074</v>
      </c>
      <c r="F1568" s="175">
        <v>2018</v>
      </c>
      <c r="G1568" s="404" t="s">
        <v>28</v>
      </c>
      <c r="H1568" s="580" t="str">
        <f t="shared" si="78"/>
        <v xml:space="preserve">   </v>
      </c>
      <c r="I1568" s="580" t="str">
        <f t="shared" si="79"/>
        <v xml:space="preserve">   </v>
      </c>
    </row>
    <row r="1569" spans="1:9" s="2" customFormat="1" x14ac:dyDescent="0.25">
      <c r="A1569" s="670">
        <v>1448</v>
      </c>
      <c r="B1569" s="671">
        <v>8</v>
      </c>
      <c r="C1569" s="701" t="s">
        <v>2081</v>
      </c>
      <c r="D1569" s="702">
        <v>849318052</v>
      </c>
      <c r="E1569" s="441" t="s">
        <v>2074</v>
      </c>
      <c r="F1569" s="175">
        <v>2018</v>
      </c>
      <c r="G1569" s="360" t="s">
        <v>1483</v>
      </c>
      <c r="H1569" s="580" t="str">
        <f t="shared" si="78"/>
        <v xml:space="preserve">   </v>
      </c>
      <c r="I1569" s="580" t="str">
        <f t="shared" si="79"/>
        <v xml:space="preserve">   </v>
      </c>
    </row>
    <row r="1570" spans="1:9" s="2" customFormat="1" x14ac:dyDescent="0.25">
      <c r="A1570" s="670">
        <v>1449</v>
      </c>
      <c r="B1570" s="671">
        <v>9</v>
      </c>
      <c r="C1570" s="701" t="s">
        <v>2082</v>
      </c>
      <c r="D1570" s="702">
        <v>849318055</v>
      </c>
      <c r="E1570" s="441" t="s">
        <v>2074</v>
      </c>
      <c r="F1570" s="175">
        <v>2018</v>
      </c>
      <c r="G1570" s="404" t="s">
        <v>28</v>
      </c>
      <c r="H1570" s="580" t="str">
        <f t="shared" si="78"/>
        <v xml:space="preserve">   </v>
      </c>
      <c r="I1570" s="580" t="str">
        <f t="shared" si="79"/>
        <v xml:space="preserve">   </v>
      </c>
    </row>
    <row r="1571" spans="1:9" s="2" customFormat="1" x14ac:dyDescent="0.25">
      <c r="A1571" s="670">
        <v>1450</v>
      </c>
      <c r="B1571" s="671">
        <v>10</v>
      </c>
      <c r="C1571" s="701" t="s">
        <v>2083</v>
      </c>
      <c r="D1571" s="702">
        <v>849318058</v>
      </c>
      <c r="E1571" s="441" t="s">
        <v>2074</v>
      </c>
      <c r="F1571" s="175">
        <v>2018</v>
      </c>
      <c r="G1571" s="581" t="s">
        <v>1833</v>
      </c>
      <c r="H1571" s="580" t="str">
        <f t="shared" si="78"/>
        <v xml:space="preserve">   </v>
      </c>
      <c r="I1571" s="580" t="str">
        <f t="shared" si="79"/>
        <v xml:space="preserve">   </v>
      </c>
    </row>
    <row r="1572" spans="1:9" s="2" customFormat="1" x14ac:dyDescent="0.25">
      <c r="A1572" s="670">
        <v>1451</v>
      </c>
      <c r="B1572" s="671">
        <v>11</v>
      </c>
      <c r="C1572" s="701" t="s">
        <v>2084</v>
      </c>
      <c r="D1572" s="702">
        <v>849318059</v>
      </c>
      <c r="E1572" s="441" t="s">
        <v>2074</v>
      </c>
      <c r="F1572" s="175">
        <v>2018</v>
      </c>
      <c r="G1572" s="360" t="s">
        <v>1483</v>
      </c>
      <c r="H1572" s="580">
        <f t="shared" si="78"/>
        <v>44077</v>
      </c>
      <c r="I1572" s="580" t="str">
        <f t="shared" si="79"/>
        <v xml:space="preserve">   </v>
      </c>
    </row>
    <row r="1573" spans="1:9" s="2" customFormat="1" x14ac:dyDescent="0.25">
      <c r="A1573" s="670">
        <v>1452</v>
      </c>
      <c r="B1573" s="671">
        <v>12</v>
      </c>
      <c r="C1573" s="701" t="s">
        <v>2085</v>
      </c>
      <c r="D1573" s="702">
        <v>849318060</v>
      </c>
      <c r="E1573" s="441" t="s">
        <v>2074</v>
      </c>
      <c r="F1573" s="175">
        <v>2018</v>
      </c>
      <c r="G1573" s="360" t="s">
        <v>1483</v>
      </c>
      <c r="H1573" s="580" t="str">
        <f t="shared" si="78"/>
        <v xml:space="preserve">   </v>
      </c>
      <c r="I1573" s="580" t="str">
        <f t="shared" si="79"/>
        <v xml:space="preserve">   </v>
      </c>
    </row>
    <row r="1574" spans="1:9" s="2" customFormat="1" x14ac:dyDescent="0.25">
      <c r="A1574" s="670">
        <v>1453</v>
      </c>
      <c r="B1574" s="671">
        <v>13</v>
      </c>
      <c r="C1574" s="701" t="s">
        <v>2086</v>
      </c>
      <c r="D1574" s="702">
        <v>849318061</v>
      </c>
      <c r="E1574" s="441" t="s">
        <v>2074</v>
      </c>
      <c r="F1574" s="175">
        <v>2018</v>
      </c>
      <c r="G1574" s="360" t="s">
        <v>1483</v>
      </c>
      <c r="H1574" s="580" t="str">
        <f t="shared" si="78"/>
        <v xml:space="preserve">   </v>
      </c>
      <c r="I1574" s="580" t="str">
        <f t="shared" si="79"/>
        <v xml:space="preserve">   </v>
      </c>
    </row>
    <row r="1575" spans="1:9" s="2" customFormat="1" x14ac:dyDescent="0.25">
      <c r="A1575" s="670">
        <v>1454</v>
      </c>
      <c r="B1575" s="671">
        <v>14</v>
      </c>
      <c r="C1575" s="701" t="s">
        <v>1461</v>
      </c>
      <c r="D1575" s="702">
        <v>849318062</v>
      </c>
      <c r="E1575" s="441" t="s">
        <v>2074</v>
      </c>
      <c r="F1575" s="175">
        <v>2018</v>
      </c>
      <c r="G1575" s="360" t="s">
        <v>1483</v>
      </c>
      <c r="H1575" s="580" t="str">
        <f t="shared" si="78"/>
        <v xml:space="preserve">   </v>
      </c>
      <c r="I1575" s="580" t="str">
        <f t="shared" si="79"/>
        <v xml:space="preserve">   </v>
      </c>
    </row>
    <row r="1576" spans="1:9" s="2" customFormat="1" x14ac:dyDescent="0.25">
      <c r="A1576" s="670">
        <v>1455</v>
      </c>
      <c r="B1576" s="671">
        <v>15</v>
      </c>
      <c r="C1576" s="701" t="s">
        <v>2087</v>
      </c>
      <c r="D1576" s="702">
        <v>849318063</v>
      </c>
      <c r="E1576" s="441" t="s">
        <v>2074</v>
      </c>
      <c r="F1576" s="175">
        <v>2018</v>
      </c>
      <c r="G1576" s="360" t="s">
        <v>1483</v>
      </c>
      <c r="H1576" s="580" t="str">
        <f t="shared" si="78"/>
        <v xml:space="preserve">   </v>
      </c>
      <c r="I1576" s="580" t="str">
        <f t="shared" si="79"/>
        <v xml:space="preserve">   </v>
      </c>
    </row>
    <row r="1577" spans="1:9" s="2" customFormat="1" x14ac:dyDescent="0.25">
      <c r="A1577" s="670">
        <v>1456</v>
      </c>
      <c r="B1577" s="671">
        <v>16</v>
      </c>
      <c r="C1577" s="701" t="s">
        <v>2088</v>
      </c>
      <c r="D1577" s="702">
        <v>849318001</v>
      </c>
      <c r="E1577" s="441" t="s">
        <v>2089</v>
      </c>
      <c r="F1577" s="175">
        <v>2018</v>
      </c>
      <c r="G1577" s="360" t="s">
        <v>1483</v>
      </c>
      <c r="H1577" s="580" t="str">
        <f t="shared" si="78"/>
        <v xml:space="preserve">   </v>
      </c>
      <c r="I1577" s="580" t="str">
        <f t="shared" si="79"/>
        <v xml:space="preserve">   </v>
      </c>
    </row>
    <row r="1578" spans="1:9" s="2" customFormat="1" x14ac:dyDescent="0.25">
      <c r="A1578" s="670">
        <v>1457</v>
      </c>
      <c r="B1578" s="671">
        <v>17</v>
      </c>
      <c r="C1578" s="701" t="s">
        <v>2090</v>
      </c>
      <c r="D1578" s="702">
        <v>849318002</v>
      </c>
      <c r="E1578" s="441" t="s">
        <v>2089</v>
      </c>
      <c r="F1578" s="175">
        <v>2018</v>
      </c>
      <c r="G1578" s="360" t="s">
        <v>1483</v>
      </c>
      <c r="H1578" s="580">
        <f t="shared" si="78"/>
        <v>44084</v>
      </c>
      <c r="I1578" s="580">
        <f t="shared" si="79"/>
        <v>44186</v>
      </c>
    </row>
    <row r="1579" spans="1:9" s="2" customFormat="1" x14ac:dyDescent="0.25">
      <c r="A1579" s="670">
        <v>1458</v>
      </c>
      <c r="B1579" s="671">
        <v>18</v>
      </c>
      <c r="C1579" s="701" t="s">
        <v>2091</v>
      </c>
      <c r="D1579" s="702">
        <v>849318003</v>
      </c>
      <c r="E1579" s="441" t="s">
        <v>2089</v>
      </c>
      <c r="F1579" s="175">
        <v>2018</v>
      </c>
      <c r="G1579" s="360" t="s">
        <v>1483</v>
      </c>
      <c r="H1579" s="580" t="str">
        <f t="shared" si="78"/>
        <v xml:space="preserve">   </v>
      </c>
      <c r="I1579" s="580" t="str">
        <f t="shared" si="79"/>
        <v xml:space="preserve">   </v>
      </c>
    </row>
    <row r="1580" spans="1:9" s="2" customFormat="1" x14ac:dyDescent="0.25">
      <c r="A1580" s="670">
        <v>1459</v>
      </c>
      <c r="B1580" s="671">
        <v>19</v>
      </c>
      <c r="C1580" s="701" t="s">
        <v>2092</v>
      </c>
      <c r="D1580" s="702">
        <v>849318004</v>
      </c>
      <c r="E1580" s="441" t="s">
        <v>2089</v>
      </c>
      <c r="F1580" s="175">
        <v>2018</v>
      </c>
      <c r="G1580" s="360" t="s">
        <v>1483</v>
      </c>
      <c r="H1580" s="580" t="str">
        <f t="shared" si="78"/>
        <v xml:space="preserve">   </v>
      </c>
      <c r="I1580" s="580" t="str">
        <f t="shared" si="79"/>
        <v xml:space="preserve">   </v>
      </c>
    </row>
    <row r="1581" spans="1:9" s="2" customFormat="1" x14ac:dyDescent="0.25">
      <c r="A1581" s="670">
        <v>1460</v>
      </c>
      <c r="B1581" s="671">
        <v>20</v>
      </c>
      <c r="C1581" s="701" t="s">
        <v>2093</v>
      </c>
      <c r="D1581" s="702">
        <v>849318005</v>
      </c>
      <c r="E1581" s="441" t="s">
        <v>2089</v>
      </c>
      <c r="F1581" s="175">
        <v>2018</v>
      </c>
      <c r="G1581" s="360" t="s">
        <v>1483</v>
      </c>
      <c r="H1581" s="580" t="str">
        <f t="shared" si="78"/>
        <v xml:space="preserve">   </v>
      </c>
      <c r="I1581" s="580" t="str">
        <f t="shared" si="79"/>
        <v xml:space="preserve">   </v>
      </c>
    </row>
    <row r="1582" spans="1:9" s="2" customFormat="1" x14ac:dyDescent="0.25">
      <c r="A1582" s="670">
        <v>1461</v>
      </c>
      <c r="B1582" s="671">
        <v>21</v>
      </c>
      <c r="C1582" s="701" t="s">
        <v>2094</v>
      </c>
      <c r="D1582" s="702">
        <v>849318006</v>
      </c>
      <c r="E1582" s="441" t="s">
        <v>2089</v>
      </c>
      <c r="F1582" s="175">
        <v>2018</v>
      </c>
      <c r="G1582" s="404" t="s">
        <v>28</v>
      </c>
      <c r="H1582" s="580" t="str">
        <f t="shared" si="78"/>
        <v xml:space="preserve">   </v>
      </c>
      <c r="I1582" s="580" t="str">
        <f t="shared" si="79"/>
        <v xml:space="preserve">   </v>
      </c>
    </row>
    <row r="1583" spans="1:9" s="2" customFormat="1" x14ac:dyDescent="0.25">
      <c r="A1583" s="670">
        <v>1462</v>
      </c>
      <c r="B1583" s="671">
        <v>22</v>
      </c>
      <c r="C1583" s="701" t="s">
        <v>2095</v>
      </c>
      <c r="D1583" s="702">
        <v>849318007</v>
      </c>
      <c r="E1583" s="441" t="s">
        <v>2089</v>
      </c>
      <c r="F1583" s="175">
        <v>2018</v>
      </c>
      <c r="G1583" s="360" t="s">
        <v>1483</v>
      </c>
      <c r="H1583" s="580" t="str">
        <f t="shared" si="78"/>
        <v xml:space="preserve">   </v>
      </c>
      <c r="I1583" s="580" t="str">
        <f t="shared" si="79"/>
        <v xml:space="preserve">   </v>
      </c>
    </row>
    <row r="1584" spans="1:9" s="2" customFormat="1" x14ac:dyDescent="0.25">
      <c r="A1584" s="670">
        <v>1463</v>
      </c>
      <c r="B1584" s="671">
        <v>23</v>
      </c>
      <c r="C1584" s="701" t="s">
        <v>2096</v>
      </c>
      <c r="D1584" s="702">
        <v>849318008</v>
      </c>
      <c r="E1584" s="441" t="s">
        <v>2089</v>
      </c>
      <c r="F1584" s="175">
        <v>2018</v>
      </c>
      <c r="G1584" s="404" t="s">
        <v>28</v>
      </c>
      <c r="H1584" s="580" t="str">
        <f t="shared" si="78"/>
        <v xml:space="preserve">   </v>
      </c>
      <c r="I1584" s="580" t="str">
        <f t="shared" si="79"/>
        <v xml:space="preserve">   </v>
      </c>
    </row>
    <row r="1585" spans="1:9" s="2" customFormat="1" x14ac:dyDescent="0.25">
      <c r="A1585" s="670">
        <v>1464</v>
      </c>
      <c r="B1585" s="671">
        <v>24</v>
      </c>
      <c r="C1585" s="701" t="s">
        <v>2097</v>
      </c>
      <c r="D1585" s="702">
        <v>849318009</v>
      </c>
      <c r="E1585" s="441" t="s">
        <v>2089</v>
      </c>
      <c r="F1585" s="175">
        <v>2018</v>
      </c>
      <c r="G1585" s="404" t="s">
        <v>28</v>
      </c>
      <c r="H1585" s="580" t="str">
        <f t="shared" si="78"/>
        <v xml:space="preserve">   </v>
      </c>
      <c r="I1585" s="580" t="str">
        <f t="shared" si="79"/>
        <v xml:space="preserve">   </v>
      </c>
    </row>
    <row r="1586" spans="1:9" s="2" customFormat="1" x14ac:dyDescent="0.25">
      <c r="A1586" s="670">
        <v>1465</v>
      </c>
      <c r="B1586" s="671">
        <v>25</v>
      </c>
      <c r="C1586" s="701" t="s">
        <v>2098</v>
      </c>
      <c r="D1586" s="702">
        <v>849318010</v>
      </c>
      <c r="E1586" s="441" t="s">
        <v>2089</v>
      </c>
      <c r="F1586" s="175">
        <v>2018</v>
      </c>
      <c r="G1586" s="360" t="s">
        <v>1483</v>
      </c>
      <c r="H1586" s="580" t="str">
        <f t="shared" si="78"/>
        <v xml:space="preserve">   </v>
      </c>
      <c r="I1586" s="580" t="str">
        <f t="shared" si="79"/>
        <v xml:space="preserve">   </v>
      </c>
    </row>
    <row r="1587" spans="1:9" s="2" customFormat="1" x14ac:dyDescent="0.25">
      <c r="A1587" s="670">
        <v>1466</v>
      </c>
      <c r="B1587" s="671">
        <v>26</v>
      </c>
      <c r="C1587" s="701" t="s">
        <v>2099</v>
      </c>
      <c r="D1587" s="702">
        <v>849318011</v>
      </c>
      <c r="E1587" s="441" t="s">
        <v>2089</v>
      </c>
      <c r="F1587" s="175">
        <v>2018</v>
      </c>
      <c r="G1587" s="360" t="s">
        <v>1483</v>
      </c>
      <c r="H1587" s="580" t="str">
        <f t="shared" si="78"/>
        <v xml:space="preserve">   </v>
      </c>
      <c r="I1587" s="580" t="str">
        <f t="shared" si="79"/>
        <v xml:space="preserve">   </v>
      </c>
    </row>
    <row r="1588" spans="1:9" s="2" customFormat="1" x14ac:dyDescent="0.25">
      <c r="A1588" s="670">
        <v>1467</v>
      </c>
      <c r="B1588" s="671">
        <v>27</v>
      </c>
      <c r="C1588" s="701" t="s">
        <v>2100</v>
      </c>
      <c r="D1588" s="702">
        <v>849318012</v>
      </c>
      <c r="E1588" s="441" t="s">
        <v>2089</v>
      </c>
      <c r="F1588" s="175">
        <v>2018</v>
      </c>
      <c r="G1588" s="360" t="s">
        <v>1483</v>
      </c>
      <c r="H1588" s="580">
        <f t="shared" si="78"/>
        <v>43992</v>
      </c>
      <c r="I1588" s="580">
        <f t="shared" si="79"/>
        <v>44168</v>
      </c>
    </row>
    <row r="1589" spans="1:9" s="2" customFormat="1" x14ac:dyDescent="0.25">
      <c r="A1589" s="670">
        <v>1468</v>
      </c>
      <c r="B1589" s="671">
        <v>28</v>
      </c>
      <c r="C1589" s="701" t="s">
        <v>2101</v>
      </c>
      <c r="D1589" s="702">
        <v>849318013</v>
      </c>
      <c r="E1589" s="441" t="s">
        <v>2089</v>
      </c>
      <c r="F1589" s="175">
        <v>2018</v>
      </c>
      <c r="G1589" s="360" t="s">
        <v>1483</v>
      </c>
      <c r="H1589" s="580" t="str">
        <f t="shared" si="78"/>
        <v xml:space="preserve">   </v>
      </c>
      <c r="I1589" s="580" t="str">
        <f t="shared" si="79"/>
        <v xml:space="preserve">   </v>
      </c>
    </row>
    <row r="1590" spans="1:9" s="2" customFormat="1" x14ac:dyDescent="0.25">
      <c r="A1590" s="670">
        <v>1469</v>
      </c>
      <c r="B1590" s="671">
        <v>29</v>
      </c>
      <c r="C1590" s="701" t="s">
        <v>2102</v>
      </c>
      <c r="D1590" s="702">
        <v>849318014</v>
      </c>
      <c r="E1590" s="441" t="s">
        <v>2089</v>
      </c>
      <c r="F1590" s="175">
        <v>2018</v>
      </c>
      <c r="G1590" s="360" t="s">
        <v>1483</v>
      </c>
      <c r="H1590" s="580" t="str">
        <f t="shared" si="78"/>
        <v xml:space="preserve">   </v>
      </c>
      <c r="I1590" s="580" t="str">
        <f t="shared" si="79"/>
        <v xml:space="preserve">   </v>
      </c>
    </row>
    <row r="1591" spans="1:9" s="2" customFormat="1" x14ac:dyDescent="0.25">
      <c r="A1591" s="670">
        <v>1470</v>
      </c>
      <c r="B1591" s="671">
        <v>30</v>
      </c>
      <c r="C1591" s="701" t="s">
        <v>2103</v>
      </c>
      <c r="D1591" s="702">
        <v>849318015</v>
      </c>
      <c r="E1591" s="441" t="s">
        <v>2089</v>
      </c>
      <c r="F1591" s="175">
        <v>2018</v>
      </c>
      <c r="G1591" s="360" t="s">
        <v>1483</v>
      </c>
      <c r="H1591" s="580" t="str">
        <f t="shared" si="78"/>
        <v xml:space="preserve">   </v>
      </c>
      <c r="I1591" s="580" t="str">
        <f t="shared" si="79"/>
        <v xml:space="preserve">   </v>
      </c>
    </row>
    <row r="1592" spans="1:9" s="2" customFormat="1" x14ac:dyDescent="0.25">
      <c r="A1592" s="670">
        <v>1471</v>
      </c>
      <c r="B1592" s="671">
        <v>31</v>
      </c>
      <c r="C1592" s="701" t="s">
        <v>2104</v>
      </c>
      <c r="D1592" s="702">
        <v>849318016</v>
      </c>
      <c r="E1592" s="441" t="s">
        <v>2089</v>
      </c>
      <c r="F1592" s="175">
        <v>2018</v>
      </c>
      <c r="G1592" s="360" t="s">
        <v>1483</v>
      </c>
      <c r="H1592" s="580" t="str">
        <f t="shared" si="78"/>
        <v xml:space="preserve">   </v>
      </c>
      <c r="I1592" s="580" t="str">
        <f t="shared" si="79"/>
        <v xml:space="preserve">   </v>
      </c>
    </row>
    <row r="1593" spans="1:9" s="2" customFormat="1" x14ac:dyDescent="0.25">
      <c r="A1593" s="670">
        <v>1472</v>
      </c>
      <c r="B1593" s="671">
        <v>32</v>
      </c>
      <c r="C1593" s="701" t="s">
        <v>2105</v>
      </c>
      <c r="D1593" s="702">
        <v>849318017</v>
      </c>
      <c r="E1593" s="441" t="s">
        <v>2089</v>
      </c>
      <c r="F1593" s="175">
        <v>2018</v>
      </c>
      <c r="G1593" s="360" t="s">
        <v>1483</v>
      </c>
      <c r="H1593" s="580">
        <f t="shared" si="78"/>
        <v>44089</v>
      </c>
      <c r="I1593" s="580" t="str">
        <f t="shared" si="79"/>
        <v xml:space="preserve">   </v>
      </c>
    </row>
    <row r="1594" spans="1:9" s="2" customFormat="1" x14ac:dyDescent="0.25">
      <c r="A1594" s="670">
        <v>1473</v>
      </c>
      <c r="B1594" s="671">
        <v>33</v>
      </c>
      <c r="C1594" s="701" t="s">
        <v>2106</v>
      </c>
      <c r="D1594" s="702">
        <v>849318018</v>
      </c>
      <c r="E1594" s="441" t="s">
        <v>2089</v>
      </c>
      <c r="F1594" s="175">
        <v>2018</v>
      </c>
      <c r="G1594" s="360" t="s">
        <v>1483</v>
      </c>
      <c r="H1594" s="580" t="str">
        <f t="shared" si="78"/>
        <v xml:space="preserve">   </v>
      </c>
      <c r="I1594" s="580" t="str">
        <f t="shared" si="79"/>
        <v xml:space="preserve">   </v>
      </c>
    </row>
    <row r="1595" spans="1:9" s="2" customFormat="1" x14ac:dyDescent="0.25">
      <c r="A1595" s="670">
        <v>1474</v>
      </c>
      <c r="B1595" s="671">
        <v>34</v>
      </c>
      <c r="C1595" s="701" t="s">
        <v>2107</v>
      </c>
      <c r="D1595" s="702">
        <v>849318019</v>
      </c>
      <c r="E1595" s="441" t="s">
        <v>2089</v>
      </c>
      <c r="F1595" s="175">
        <v>2018</v>
      </c>
      <c r="G1595" s="404" t="s">
        <v>28</v>
      </c>
      <c r="H1595" s="580" t="str">
        <f t="shared" si="78"/>
        <v xml:space="preserve">   </v>
      </c>
      <c r="I1595" s="580" t="str">
        <f t="shared" si="79"/>
        <v xml:space="preserve">   </v>
      </c>
    </row>
    <row r="1596" spans="1:9" s="2" customFormat="1" x14ac:dyDescent="0.25">
      <c r="A1596" s="670">
        <v>1475</v>
      </c>
      <c r="B1596" s="671">
        <v>35</v>
      </c>
      <c r="C1596" s="701" t="s">
        <v>2108</v>
      </c>
      <c r="D1596" s="702">
        <v>849318020</v>
      </c>
      <c r="E1596" s="441" t="s">
        <v>2089</v>
      </c>
      <c r="F1596" s="175">
        <v>2018</v>
      </c>
      <c r="G1596" s="360" t="s">
        <v>1483</v>
      </c>
      <c r="H1596" s="580" t="str">
        <f t="shared" si="78"/>
        <v xml:space="preserve">   </v>
      </c>
      <c r="I1596" s="580" t="str">
        <f t="shared" si="79"/>
        <v xml:space="preserve">   </v>
      </c>
    </row>
    <row r="1597" spans="1:9" s="2" customFormat="1" x14ac:dyDescent="0.25">
      <c r="A1597" s="670">
        <v>1476</v>
      </c>
      <c r="B1597" s="671">
        <v>36</v>
      </c>
      <c r="C1597" s="701" t="s">
        <v>2109</v>
      </c>
      <c r="D1597" s="702">
        <v>849318021</v>
      </c>
      <c r="E1597" s="441" t="s">
        <v>2089</v>
      </c>
      <c r="F1597" s="175">
        <v>2018</v>
      </c>
      <c r="G1597" s="360" t="s">
        <v>1483</v>
      </c>
      <c r="H1597" s="580" t="str">
        <f t="shared" si="78"/>
        <v xml:space="preserve">   </v>
      </c>
      <c r="I1597" s="580" t="str">
        <f t="shared" si="79"/>
        <v xml:space="preserve">   </v>
      </c>
    </row>
    <row r="1598" spans="1:9" s="2" customFormat="1" x14ac:dyDescent="0.25">
      <c r="A1598" s="670">
        <v>1477</v>
      </c>
      <c r="B1598" s="671">
        <v>37</v>
      </c>
      <c r="C1598" s="701" t="s">
        <v>2110</v>
      </c>
      <c r="D1598" s="702">
        <v>849318022</v>
      </c>
      <c r="E1598" s="441" t="s">
        <v>2111</v>
      </c>
      <c r="F1598" s="175">
        <v>2018</v>
      </c>
      <c r="G1598" s="581" t="s">
        <v>1833</v>
      </c>
      <c r="H1598" s="580" t="str">
        <f t="shared" si="78"/>
        <v xml:space="preserve">   </v>
      </c>
      <c r="I1598" s="580" t="str">
        <f t="shared" si="79"/>
        <v xml:space="preserve">   </v>
      </c>
    </row>
    <row r="1599" spans="1:9" s="2" customFormat="1" x14ac:dyDescent="0.25">
      <c r="A1599" s="670">
        <v>1478</v>
      </c>
      <c r="B1599" s="671">
        <v>38</v>
      </c>
      <c r="C1599" s="701" t="s">
        <v>2112</v>
      </c>
      <c r="D1599" s="702">
        <v>849318023</v>
      </c>
      <c r="E1599" s="441" t="s">
        <v>2111</v>
      </c>
      <c r="F1599" s="175">
        <v>2018</v>
      </c>
      <c r="G1599" s="360" t="s">
        <v>1483</v>
      </c>
      <c r="H1599" s="580" t="str">
        <f t="shared" si="78"/>
        <v xml:space="preserve">   </v>
      </c>
      <c r="I1599" s="580" t="str">
        <f t="shared" si="79"/>
        <v xml:space="preserve">   </v>
      </c>
    </row>
    <row r="1600" spans="1:9" s="2" customFormat="1" x14ac:dyDescent="0.25">
      <c r="A1600" s="670">
        <v>1479</v>
      </c>
      <c r="B1600" s="671">
        <v>39</v>
      </c>
      <c r="C1600" s="701" t="s">
        <v>2113</v>
      </c>
      <c r="D1600" s="702">
        <v>849318024</v>
      </c>
      <c r="E1600" s="441" t="s">
        <v>2111</v>
      </c>
      <c r="F1600" s="175">
        <v>2018</v>
      </c>
      <c r="G1600" s="360" t="s">
        <v>1483</v>
      </c>
      <c r="H1600" s="580" t="str">
        <f t="shared" si="78"/>
        <v xml:space="preserve">   </v>
      </c>
      <c r="I1600" s="580" t="str">
        <f t="shared" si="79"/>
        <v xml:space="preserve">   </v>
      </c>
    </row>
    <row r="1601" spans="1:9" s="2" customFormat="1" x14ac:dyDescent="0.25">
      <c r="A1601" s="670">
        <v>1480</v>
      </c>
      <c r="B1601" s="671">
        <v>40</v>
      </c>
      <c r="C1601" s="701" t="s">
        <v>2114</v>
      </c>
      <c r="D1601" s="702">
        <v>849318026</v>
      </c>
      <c r="E1601" s="441" t="s">
        <v>2111</v>
      </c>
      <c r="F1601" s="175">
        <v>2018</v>
      </c>
      <c r="G1601" s="360" t="s">
        <v>1483</v>
      </c>
      <c r="H1601" s="580">
        <f t="shared" si="78"/>
        <v>44001</v>
      </c>
      <c r="I1601" s="580">
        <f t="shared" si="79"/>
        <v>44168</v>
      </c>
    </row>
    <row r="1602" spans="1:9" s="2" customFormat="1" x14ac:dyDescent="0.25">
      <c r="A1602" s="670">
        <v>1481</v>
      </c>
      <c r="B1602" s="671">
        <v>41</v>
      </c>
      <c r="C1602" s="701" t="s">
        <v>2115</v>
      </c>
      <c r="D1602" s="702">
        <v>849318027</v>
      </c>
      <c r="E1602" s="441" t="s">
        <v>2111</v>
      </c>
      <c r="F1602" s="175">
        <v>2018</v>
      </c>
      <c r="G1602" s="360" t="s">
        <v>1483</v>
      </c>
      <c r="H1602" s="580" t="str">
        <f t="shared" si="78"/>
        <v xml:space="preserve">   </v>
      </c>
      <c r="I1602" s="580" t="str">
        <f t="shared" si="79"/>
        <v xml:space="preserve">   </v>
      </c>
    </row>
    <row r="1603" spans="1:9" s="2" customFormat="1" x14ac:dyDescent="0.25">
      <c r="A1603" s="670">
        <v>1482</v>
      </c>
      <c r="B1603" s="671">
        <v>42</v>
      </c>
      <c r="C1603" s="701" t="s">
        <v>2116</v>
      </c>
      <c r="D1603" s="702">
        <v>849318028</v>
      </c>
      <c r="E1603" s="441" t="s">
        <v>2111</v>
      </c>
      <c r="F1603" s="175">
        <v>2018</v>
      </c>
      <c r="G1603" s="360" t="s">
        <v>1483</v>
      </c>
      <c r="H1603" s="580" t="str">
        <f t="shared" si="78"/>
        <v xml:space="preserve">   </v>
      </c>
      <c r="I1603" s="580" t="str">
        <f t="shared" si="79"/>
        <v xml:space="preserve">   </v>
      </c>
    </row>
    <row r="1604" spans="1:9" s="2" customFormat="1" x14ac:dyDescent="0.25">
      <c r="A1604" s="670">
        <v>1483</v>
      </c>
      <c r="B1604" s="671">
        <v>43</v>
      </c>
      <c r="C1604" s="701" t="s">
        <v>2117</v>
      </c>
      <c r="D1604" s="702">
        <v>849318029</v>
      </c>
      <c r="E1604" s="441" t="s">
        <v>2111</v>
      </c>
      <c r="F1604" s="175">
        <v>2018</v>
      </c>
      <c r="G1604" s="360" t="s">
        <v>1483</v>
      </c>
      <c r="H1604" s="580" t="str">
        <f t="shared" si="78"/>
        <v xml:space="preserve">   </v>
      </c>
      <c r="I1604" s="580" t="str">
        <f t="shared" si="79"/>
        <v xml:space="preserve">   </v>
      </c>
    </row>
    <row r="1605" spans="1:9" s="2" customFormat="1" x14ac:dyDescent="0.25">
      <c r="A1605" s="670">
        <v>1484</v>
      </c>
      <c r="B1605" s="671">
        <v>44</v>
      </c>
      <c r="C1605" s="701" t="s">
        <v>1090</v>
      </c>
      <c r="D1605" s="702">
        <v>849318030</v>
      </c>
      <c r="E1605" s="441" t="s">
        <v>2111</v>
      </c>
      <c r="F1605" s="175">
        <v>2018</v>
      </c>
      <c r="G1605" s="360" t="s">
        <v>1483</v>
      </c>
      <c r="H1605" s="580">
        <f t="shared" si="78"/>
        <v>44046</v>
      </c>
      <c r="I1605" s="580" t="str">
        <f t="shared" si="79"/>
        <v xml:space="preserve">   </v>
      </c>
    </row>
    <row r="1606" spans="1:9" s="2" customFormat="1" x14ac:dyDescent="0.25">
      <c r="A1606" s="670">
        <v>1485</v>
      </c>
      <c r="B1606" s="671">
        <v>45</v>
      </c>
      <c r="C1606" s="701" t="s">
        <v>2118</v>
      </c>
      <c r="D1606" s="702">
        <v>849318031</v>
      </c>
      <c r="E1606" s="441" t="s">
        <v>2111</v>
      </c>
      <c r="F1606" s="175">
        <v>2018</v>
      </c>
      <c r="G1606" s="360" t="s">
        <v>1483</v>
      </c>
      <c r="H1606" s="580" t="str">
        <f t="shared" si="78"/>
        <v xml:space="preserve">   </v>
      </c>
      <c r="I1606" s="580" t="str">
        <f t="shared" si="79"/>
        <v xml:space="preserve">   </v>
      </c>
    </row>
    <row r="1607" spans="1:9" s="2" customFormat="1" x14ac:dyDescent="0.25">
      <c r="A1607" s="670">
        <v>1486</v>
      </c>
      <c r="B1607" s="671">
        <v>46</v>
      </c>
      <c r="C1607" s="701" t="s">
        <v>2119</v>
      </c>
      <c r="D1607" s="702">
        <v>849318032</v>
      </c>
      <c r="E1607" s="441" t="s">
        <v>2111</v>
      </c>
      <c r="F1607" s="175">
        <v>2018</v>
      </c>
      <c r="G1607" s="404" t="s">
        <v>28</v>
      </c>
      <c r="H1607" s="580" t="str">
        <f t="shared" si="78"/>
        <v xml:space="preserve">   </v>
      </c>
      <c r="I1607" s="580" t="str">
        <f t="shared" si="79"/>
        <v xml:space="preserve">   </v>
      </c>
    </row>
    <row r="1608" spans="1:9" s="2" customFormat="1" x14ac:dyDescent="0.25">
      <c r="A1608" s="670">
        <v>1487</v>
      </c>
      <c r="B1608" s="671">
        <v>47</v>
      </c>
      <c r="C1608" s="701" t="s">
        <v>2120</v>
      </c>
      <c r="D1608" s="702">
        <v>849318033</v>
      </c>
      <c r="E1608" s="441" t="s">
        <v>2111</v>
      </c>
      <c r="F1608" s="175">
        <v>2018</v>
      </c>
      <c r="G1608" s="360" t="s">
        <v>1483</v>
      </c>
      <c r="H1608" s="580" t="str">
        <f t="shared" si="78"/>
        <v xml:space="preserve">   </v>
      </c>
      <c r="I1608" s="580" t="str">
        <f t="shared" si="79"/>
        <v xml:space="preserve">   </v>
      </c>
    </row>
    <row r="1609" spans="1:9" s="2" customFormat="1" x14ac:dyDescent="0.25">
      <c r="A1609" s="670">
        <v>1488</v>
      </c>
      <c r="B1609" s="671">
        <v>48</v>
      </c>
      <c r="C1609" s="701" t="s">
        <v>2121</v>
      </c>
      <c r="D1609" s="702">
        <v>849318034</v>
      </c>
      <c r="E1609" s="441" t="s">
        <v>2111</v>
      </c>
      <c r="F1609" s="175">
        <v>2018</v>
      </c>
      <c r="G1609" s="360" t="s">
        <v>1483</v>
      </c>
      <c r="H1609" s="580" t="str">
        <f t="shared" si="78"/>
        <v xml:space="preserve">   </v>
      </c>
      <c r="I1609" s="580" t="str">
        <f t="shared" si="79"/>
        <v xml:space="preserve">   </v>
      </c>
    </row>
    <row r="1610" spans="1:9" s="2" customFormat="1" x14ac:dyDescent="0.25">
      <c r="A1610" s="670">
        <v>1489</v>
      </c>
      <c r="B1610" s="671">
        <v>49</v>
      </c>
      <c r="C1610" s="701" t="s">
        <v>2122</v>
      </c>
      <c r="D1610" s="702">
        <v>849318035</v>
      </c>
      <c r="E1610" s="441" t="s">
        <v>2111</v>
      </c>
      <c r="F1610" s="175">
        <v>2018</v>
      </c>
      <c r="G1610" s="360" t="s">
        <v>1483</v>
      </c>
      <c r="H1610" s="580" t="str">
        <f t="shared" si="78"/>
        <v xml:space="preserve">   </v>
      </c>
      <c r="I1610" s="580" t="str">
        <f t="shared" si="79"/>
        <v xml:space="preserve">   </v>
      </c>
    </row>
    <row r="1611" spans="1:9" s="2" customFormat="1" x14ac:dyDescent="0.25">
      <c r="A1611" s="670">
        <v>1490</v>
      </c>
      <c r="B1611" s="671">
        <v>50</v>
      </c>
      <c r="C1611" s="701" t="s">
        <v>2123</v>
      </c>
      <c r="D1611" s="702">
        <v>849318036</v>
      </c>
      <c r="E1611" s="441" t="s">
        <v>2111</v>
      </c>
      <c r="F1611" s="175">
        <v>2018</v>
      </c>
      <c r="G1611" s="360" t="s">
        <v>1483</v>
      </c>
      <c r="H1611" s="580" t="str">
        <f t="shared" ref="H1611:H1674" si="80">IFERROR(VLOOKUP(D1611,Tlus,3,FALSE),"   ")</f>
        <v xml:space="preserve">   </v>
      </c>
      <c r="I1611" s="580" t="str">
        <f t="shared" ref="I1611:I1674" si="81">IFERROR(VLOOKUP(D1611,Wis,4,FALSE),"   ")</f>
        <v xml:space="preserve">   </v>
      </c>
    </row>
    <row r="1612" spans="1:9" s="2" customFormat="1" x14ac:dyDescent="0.25">
      <c r="A1612" s="670">
        <v>1491</v>
      </c>
      <c r="B1612" s="671">
        <v>51</v>
      </c>
      <c r="C1612" s="701" t="s">
        <v>2124</v>
      </c>
      <c r="D1612" s="702">
        <v>849318037</v>
      </c>
      <c r="E1612" s="441" t="s">
        <v>2111</v>
      </c>
      <c r="F1612" s="175">
        <v>2018</v>
      </c>
      <c r="G1612" s="638" t="s">
        <v>1833</v>
      </c>
      <c r="H1612" s="580" t="str">
        <f t="shared" si="80"/>
        <v xml:space="preserve">   </v>
      </c>
      <c r="I1612" s="580" t="str">
        <f t="shared" si="81"/>
        <v xml:space="preserve">   </v>
      </c>
    </row>
    <row r="1613" spans="1:9" s="2" customFormat="1" x14ac:dyDescent="0.25">
      <c r="A1613" s="670">
        <v>1492</v>
      </c>
      <c r="B1613" s="671">
        <v>52</v>
      </c>
      <c r="C1613" s="701" t="s">
        <v>2125</v>
      </c>
      <c r="D1613" s="702">
        <v>849318038</v>
      </c>
      <c r="E1613" s="441" t="s">
        <v>2111</v>
      </c>
      <c r="F1613" s="175">
        <v>2018</v>
      </c>
      <c r="G1613" s="360" t="s">
        <v>1483</v>
      </c>
      <c r="H1613" s="580" t="str">
        <f t="shared" si="80"/>
        <v xml:space="preserve">   </v>
      </c>
      <c r="I1613" s="580" t="str">
        <f t="shared" si="81"/>
        <v xml:space="preserve">   </v>
      </c>
    </row>
    <row r="1614" spans="1:9" s="2" customFormat="1" x14ac:dyDescent="0.25">
      <c r="A1614" s="670">
        <v>1493</v>
      </c>
      <c r="B1614" s="671">
        <v>53</v>
      </c>
      <c r="C1614" s="701" t="s">
        <v>2126</v>
      </c>
      <c r="D1614" s="702">
        <v>849318039</v>
      </c>
      <c r="E1614" s="441" t="s">
        <v>2111</v>
      </c>
      <c r="F1614" s="175">
        <v>2018</v>
      </c>
      <c r="G1614" s="404" t="s">
        <v>28</v>
      </c>
      <c r="H1614" s="580" t="str">
        <f t="shared" si="80"/>
        <v xml:space="preserve">   </v>
      </c>
      <c r="I1614" s="580" t="str">
        <f t="shared" si="81"/>
        <v xml:space="preserve">   </v>
      </c>
    </row>
    <row r="1615" spans="1:9" s="2" customFormat="1" x14ac:dyDescent="0.25">
      <c r="A1615" s="670">
        <v>1494</v>
      </c>
      <c r="B1615" s="671">
        <v>54</v>
      </c>
      <c r="C1615" s="701" t="s">
        <v>2127</v>
      </c>
      <c r="D1615" s="702">
        <v>849318040</v>
      </c>
      <c r="E1615" s="441" t="s">
        <v>2111</v>
      </c>
      <c r="F1615" s="175">
        <v>2018</v>
      </c>
      <c r="G1615" s="360" t="s">
        <v>1483</v>
      </c>
      <c r="H1615" s="580" t="str">
        <f t="shared" si="80"/>
        <v xml:space="preserve">   </v>
      </c>
      <c r="I1615" s="580" t="str">
        <f t="shared" si="81"/>
        <v xml:space="preserve">   </v>
      </c>
    </row>
    <row r="1616" spans="1:9" s="2" customFormat="1" x14ac:dyDescent="0.25">
      <c r="A1616" s="670">
        <v>1495</v>
      </c>
      <c r="B1616" s="671">
        <v>55</v>
      </c>
      <c r="C1616" s="701" t="s">
        <v>2128</v>
      </c>
      <c r="D1616" s="702">
        <v>849318054</v>
      </c>
      <c r="E1616" s="441" t="s">
        <v>2111</v>
      </c>
      <c r="F1616" s="175">
        <v>2018</v>
      </c>
      <c r="G1616" s="360" t="s">
        <v>1483</v>
      </c>
      <c r="H1616" s="580" t="str">
        <f t="shared" si="80"/>
        <v xml:space="preserve">   </v>
      </c>
      <c r="I1616" s="580" t="str">
        <f t="shared" si="81"/>
        <v xml:space="preserve">   </v>
      </c>
    </row>
    <row r="1617" spans="1:9" s="2" customFormat="1" x14ac:dyDescent="0.25">
      <c r="A1617" s="670">
        <v>1496</v>
      </c>
      <c r="B1617" s="671">
        <v>56</v>
      </c>
      <c r="C1617" s="701" t="s">
        <v>2129</v>
      </c>
      <c r="D1617" s="702">
        <v>849318056</v>
      </c>
      <c r="E1617" s="441" t="s">
        <v>2111</v>
      </c>
      <c r="F1617" s="175">
        <v>2018</v>
      </c>
      <c r="G1617" s="404" t="s">
        <v>28</v>
      </c>
      <c r="H1617" s="580" t="str">
        <f t="shared" si="80"/>
        <v xml:space="preserve">   </v>
      </c>
      <c r="I1617" s="580" t="str">
        <f t="shared" si="81"/>
        <v xml:space="preserve">   </v>
      </c>
    </row>
    <row r="1618" spans="1:9" s="2" customFormat="1" x14ac:dyDescent="0.25">
      <c r="A1618" s="670">
        <v>1497</v>
      </c>
      <c r="B1618" s="678">
        <v>57</v>
      </c>
      <c r="C1618" s="704" t="s">
        <v>2130</v>
      </c>
      <c r="D1618" s="705">
        <v>849318057</v>
      </c>
      <c r="E1618" s="489" t="s">
        <v>2111</v>
      </c>
      <c r="F1618" s="221">
        <v>2018</v>
      </c>
      <c r="G1618" s="413" t="s">
        <v>1483</v>
      </c>
      <c r="H1618" s="646">
        <f t="shared" si="80"/>
        <v>43970</v>
      </c>
      <c r="I1618" s="646">
        <f t="shared" si="81"/>
        <v>44058</v>
      </c>
    </row>
    <row r="1619" spans="1:9" s="2" customFormat="1" x14ac:dyDescent="0.25">
      <c r="A1619" s="434"/>
      <c r="B1619" s="434"/>
      <c r="C1619" s="437"/>
      <c r="D1619" s="438"/>
      <c r="E1619" s="437"/>
      <c r="F1619" s="438" t="s">
        <v>61</v>
      </c>
      <c r="G1619" s="192" t="s">
        <v>61</v>
      </c>
      <c r="H1619" s="438" t="str">
        <f t="shared" si="80"/>
        <v xml:space="preserve">   </v>
      </c>
      <c r="I1619" s="438" t="str">
        <f t="shared" si="81"/>
        <v xml:space="preserve">   </v>
      </c>
    </row>
    <row r="1620" spans="1:9" s="2" customFormat="1" x14ac:dyDescent="0.25">
      <c r="A1620" s="434"/>
      <c r="B1620" s="434"/>
      <c r="C1620" s="437"/>
      <c r="D1620" s="438"/>
      <c r="E1620" s="437"/>
      <c r="F1620" s="438" t="s">
        <v>61</v>
      </c>
      <c r="G1620" s="192" t="s">
        <v>61</v>
      </c>
      <c r="H1620" s="438" t="str">
        <f t="shared" si="80"/>
        <v xml:space="preserve">   </v>
      </c>
      <c r="I1620" s="438" t="str">
        <f t="shared" si="81"/>
        <v xml:space="preserve">   </v>
      </c>
    </row>
    <row r="1621" spans="1:9" s="2" customFormat="1" x14ac:dyDescent="0.25">
      <c r="A1621" s="625" t="s">
        <v>2131</v>
      </c>
      <c r="B1621" s="625"/>
      <c r="C1621" s="625"/>
      <c r="D1621" s="366"/>
      <c r="E1621" s="198" t="s">
        <v>1096</v>
      </c>
      <c r="F1621" s="199" t="s">
        <v>1096</v>
      </c>
      <c r="G1621" s="565">
        <v>3750000</v>
      </c>
      <c r="H1621" s="147" t="str">
        <f t="shared" si="80"/>
        <v xml:space="preserve">   </v>
      </c>
      <c r="I1621" s="147" t="str">
        <f t="shared" si="81"/>
        <v xml:space="preserve">   </v>
      </c>
    </row>
    <row r="1622" spans="1:9" s="2" customFormat="1" x14ac:dyDescent="0.25">
      <c r="A1622" s="694">
        <v>1498</v>
      </c>
      <c r="B1622" s="695">
        <v>1</v>
      </c>
      <c r="C1622" s="713" t="s">
        <v>2132</v>
      </c>
      <c r="D1622" s="697">
        <v>839218005</v>
      </c>
      <c r="E1622" s="698" t="s">
        <v>2133</v>
      </c>
      <c r="F1622" s="327">
        <v>2018</v>
      </c>
      <c r="G1622" s="699" t="s">
        <v>1483</v>
      </c>
      <c r="H1622" s="700" t="str">
        <f t="shared" si="80"/>
        <v xml:space="preserve">   </v>
      </c>
      <c r="I1622" s="700" t="str">
        <f t="shared" si="81"/>
        <v xml:space="preserve">   </v>
      </c>
    </row>
    <row r="1623" spans="1:9" s="2" customFormat="1" x14ac:dyDescent="0.25">
      <c r="A1623" s="670">
        <v>1499</v>
      </c>
      <c r="B1623" s="671">
        <v>2</v>
      </c>
      <c r="C1623" s="703" t="s">
        <v>2134</v>
      </c>
      <c r="D1623" s="702">
        <v>839218008</v>
      </c>
      <c r="E1623" s="264" t="s">
        <v>2133</v>
      </c>
      <c r="F1623" s="175">
        <v>2018</v>
      </c>
      <c r="G1623" s="404" t="s">
        <v>28</v>
      </c>
      <c r="H1623" s="580" t="str">
        <f t="shared" si="80"/>
        <v xml:space="preserve">   </v>
      </c>
      <c r="I1623" s="580" t="str">
        <f t="shared" si="81"/>
        <v xml:space="preserve">   </v>
      </c>
    </row>
    <row r="1624" spans="1:9" s="2" customFormat="1" x14ac:dyDescent="0.25">
      <c r="A1624" s="670">
        <v>1500</v>
      </c>
      <c r="B1624" s="671">
        <v>3</v>
      </c>
      <c r="C1624" s="701" t="s">
        <v>2135</v>
      </c>
      <c r="D1624" s="702">
        <v>839218017</v>
      </c>
      <c r="E1624" s="441" t="s">
        <v>2133</v>
      </c>
      <c r="F1624" s="175">
        <v>2018</v>
      </c>
      <c r="G1624" s="360" t="s">
        <v>1483</v>
      </c>
      <c r="H1624" s="580" t="str">
        <f t="shared" si="80"/>
        <v xml:space="preserve">   </v>
      </c>
      <c r="I1624" s="580" t="str">
        <f t="shared" si="81"/>
        <v xml:space="preserve">   </v>
      </c>
    </row>
    <row r="1625" spans="1:9" s="2" customFormat="1" x14ac:dyDescent="0.25">
      <c r="A1625" s="670">
        <v>1501</v>
      </c>
      <c r="B1625" s="671">
        <v>4</v>
      </c>
      <c r="C1625" s="701" t="s">
        <v>2136</v>
      </c>
      <c r="D1625" s="702">
        <v>839218020</v>
      </c>
      <c r="E1625" s="441" t="s">
        <v>2133</v>
      </c>
      <c r="F1625" s="175">
        <v>2018</v>
      </c>
      <c r="G1625" s="404" t="s">
        <v>28</v>
      </c>
      <c r="H1625" s="580" t="str">
        <f t="shared" si="80"/>
        <v xml:space="preserve">   </v>
      </c>
      <c r="I1625" s="580" t="str">
        <f t="shared" si="81"/>
        <v xml:space="preserve">   </v>
      </c>
    </row>
    <row r="1626" spans="1:9" s="2" customFormat="1" x14ac:dyDescent="0.25">
      <c r="A1626" s="670">
        <v>1502</v>
      </c>
      <c r="B1626" s="671">
        <v>5</v>
      </c>
      <c r="C1626" s="701" t="s">
        <v>2137</v>
      </c>
      <c r="D1626" s="702">
        <v>839218031</v>
      </c>
      <c r="E1626" s="441" t="s">
        <v>2133</v>
      </c>
      <c r="F1626" s="175">
        <v>2018</v>
      </c>
      <c r="G1626" s="360" t="s">
        <v>1483</v>
      </c>
      <c r="H1626" s="580" t="str">
        <f t="shared" si="80"/>
        <v xml:space="preserve">   </v>
      </c>
      <c r="I1626" s="580" t="str">
        <f t="shared" si="81"/>
        <v xml:space="preserve">   </v>
      </c>
    </row>
    <row r="1627" spans="1:9" s="2" customFormat="1" x14ac:dyDescent="0.25">
      <c r="A1627" s="670">
        <v>1503</v>
      </c>
      <c r="B1627" s="671">
        <v>6</v>
      </c>
      <c r="C1627" s="701" t="s">
        <v>2138</v>
      </c>
      <c r="D1627" s="702">
        <v>839218037</v>
      </c>
      <c r="E1627" s="441" t="s">
        <v>2133</v>
      </c>
      <c r="F1627" s="175">
        <v>2018</v>
      </c>
      <c r="G1627" s="360" t="s">
        <v>1483</v>
      </c>
      <c r="H1627" s="580" t="str">
        <f t="shared" si="80"/>
        <v xml:space="preserve">   </v>
      </c>
      <c r="I1627" s="580" t="str">
        <f t="shared" si="81"/>
        <v xml:space="preserve">   </v>
      </c>
    </row>
    <row r="1628" spans="1:9" s="2" customFormat="1" x14ac:dyDescent="0.25">
      <c r="A1628" s="670">
        <v>1504</v>
      </c>
      <c r="B1628" s="671">
        <v>7</v>
      </c>
      <c r="C1628" s="701" t="s">
        <v>2139</v>
      </c>
      <c r="D1628" s="702">
        <v>839218038</v>
      </c>
      <c r="E1628" s="441" t="s">
        <v>2133</v>
      </c>
      <c r="F1628" s="175">
        <v>2018</v>
      </c>
      <c r="G1628" s="360" t="s">
        <v>1483</v>
      </c>
      <c r="H1628" s="580" t="str">
        <f t="shared" si="80"/>
        <v xml:space="preserve">   </v>
      </c>
      <c r="I1628" s="580" t="str">
        <f t="shared" si="81"/>
        <v xml:space="preserve">   </v>
      </c>
    </row>
    <row r="1629" spans="1:9" s="2" customFormat="1" x14ac:dyDescent="0.25">
      <c r="A1629" s="670">
        <v>1505</v>
      </c>
      <c r="B1629" s="671">
        <v>8</v>
      </c>
      <c r="C1629" s="701" t="s">
        <v>2140</v>
      </c>
      <c r="D1629" s="702">
        <v>839218039</v>
      </c>
      <c r="E1629" s="441" t="s">
        <v>2133</v>
      </c>
      <c r="F1629" s="175">
        <v>2018</v>
      </c>
      <c r="G1629" s="360" t="s">
        <v>1483</v>
      </c>
      <c r="H1629" s="580" t="str">
        <f t="shared" si="80"/>
        <v xml:space="preserve">   </v>
      </c>
      <c r="I1629" s="580" t="str">
        <f t="shared" si="81"/>
        <v xml:space="preserve">   </v>
      </c>
    </row>
    <row r="1630" spans="1:9" s="2" customFormat="1" x14ac:dyDescent="0.25">
      <c r="A1630" s="670">
        <v>1506</v>
      </c>
      <c r="B1630" s="671">
        <v>9</v>
      </c>
      <c r="C1630" s="701" t="s">
        <v>2141</v>
      </c>
      <c r="D1630" s="702">
        <v>839218040</v>
      </c>
      <c r="E1630" s="441" t="s">
        <v>2133</v>
      </c>
      <c r="F1630" s="175">
        <v>2018</v>
      </c>
      <c r="G1630" s="360" t="s">
        <v>1483</v>
      </c>
      <c r="H1630" s="580">
        <f t="shared" si="80"/>
        <v>44004</v>
      </c>
      <c r="I1630" s="580">
        <f t="shared" si="81"/>
        <v>44168</v>
      </c>
    </row>
    <row r="1631" spans="1:9" s="2" customFormat="1" x14ac:dyDescent="0.25">
      <c r="A1631" s="670">
        <v>1507</v>
      </c>
      <c r="B1631" s="671">
        <v>10</v>
      </c>
      <c r="C1631" s="701" t="s">
        <v>2142</v>
      </c>
      <c r="D1631" s="702">
        <v>839218042</v>
      </c>
      <c r="E1631" s="441" t="s">
        <v>2133</v>
      </c>
      <c r="F1631" s="175">
        <v>2018</v>
      </c>
      <c r="G1631" s="581" t="s">
        <v>1833</v>
      </c>
      <c r="H1631" s="580" t="str">
        <f t="shared" si="80"/>
        <v xml:space="preserve">   </v>
      </c>
      <c r="I1631" s="580" t="str">
        <f t="shared" si="81"/>
        <v xml:space="preserve">   </v>
      </c>
    </row>
    <row r="1632" spans="1:9" s="2" customFormat="1" x14ac:dyDescent="0.25">
      <c r="A1632" s="670">
        <v>1508</v>
      </c>
      <c r="B1632" s="671">
        <v>11</v>
      </c>
      <c r="C1632" s="701" t="s">
        <v>2143</v>
      </c>
      <c r="D1632" s="702">
        <v>839218050</v>
      </c>
      <c r="E1632" s="441" t="s">
        <v>2133</v>
      </c>
      <c r="F1632" s="175">
        <v>2018</v>
      </c>
      <c r="G1632" s="360" t="s">
        <v>1483</v>
      </c>
      <c r="H1632" s="580" t="str">
        <f t="shared" si="80"/>
        <v xml:space="preserve">   </v>
      </c>
      <c r="I1632" s="580" t="str">
        <f t="shared" si="81"/>
        <v xml:space="preserve">   </v>
      </c>
    </row>
    <row r="1633" spans="1:9" s="2" customFormat="1" x14ac:dyDescent="0.25">
      <c r="A1633" s="670">
        <v>1509</v>
      </c>
      <c r="B1633" s="671">
        <v>12</v>
      </c>
      <c r="C1633" s="701" t="s">
        <v>2144</v>
      </c>
      <c r="D1633" s="702">
        <v>839218051</v>
      </c>
      <c r="E1633" s="441" t="s">
        <v>2133</v>
      </c>
      <c r="F1633" s="175">
        <v>2018</v>
      </c>
      <c r="G1633" s="360" t="s">
        <v>1483</v>
      </c>
      <c r="H1633" s="580" t="str">
        <f t="shared" si="80"/>
        <v xml:space="preserve">   </v>
      </c>
      <c r="I1633" s="580" t="str">
        <f t="shared" si="81"/>
        <v xml:space="preserve">   </v>
      </c>
    </row>
    <row r="1634" spans="1:9" s="2" customFormat="1" x14ac:dyDescent="0.25">
      <c r="A1634" s="670">
        <v>1510</v>
      </c>
      <c r="B1634" s="671">
        <v>13</v>
      </c>
      <c r="C1634" s="701" t="s">
        <v>2145</v>
      </c>
      <c r="D1634" s="702">
        <v>839218052</v>
      </c>
      <c r="E1634" s="441" t="s">
        <v>2133</v>
      </c>
      <c r="F1634" s="175">
        <v>2018</v>
      </c>
      <c r="G1634" s="360" t="s">
        <v>1483</v>
      </c>
      <c r="H1634" s="580" t="str">
        <f t="shared" si="80"/>
        <v xml:space="preserve">   </v>
      </c>
      <c r="I1634" s="580" t="str">
        <f t="shared" si="81"/>
        <v xml:space="preserve">   </v>
      </c>
    </row>
    <row r="1635" spans="1:9" s="2" customFormat="1" x14ac:dyDescent="0.25">
      <c r="A1635" s="670">
        <v>1511</v>
      </c>
      <c r="B1635" s="671">
        <v>14</v>
      </c>
      <c r="C1635" s="701" t="s">
        <v>2147</v>
      </c>
      <c r="D1635" s="702">
        <v>839218053</v>
      </c>
      <c r="E1635" s="264" t="s">
        <v>2133</v>
      </c>
      <c r="F1635" s="175">
        <v>2018</v>
      </c>
      <c r="G1635" s="360" t="s">
        <v>1483</v>
      </c>
      <c r="H1635" s="580" t="str">
        <f t="shared" si="80"/>
        <v xml:space="preserve">   </v>
      </c>
      <c r="I1635" s="580" t="str">
        <f t="shared" si="81"/>
        <v xml:space="preserve">   </v>
      </c>
    </row>
    <row r="1636" spans="1:9" s="2" customFormat="1" x14ac:dyDescent="0.25">
      <c r="A1636" s="670">
        <v>1512</v>
      </c>
      <c r="B1636" s="671">
        <v>15</v>
      </c>
      <c r="C1636" s="701" t="s">
        <v>2148</v>
      </c>
      <c r="D1636" s="702">
        <v>839218001</v>
      </c>
      <c r="E1636" s="441" t="s">
        <v>2149</v>
      </c>
      <c r="F1636" s="175">
        <v>2018</v>
      </c>
      <c r="G1636" s="360" t="s">
        <v>1483</v>
      </c>
      <c r="H1636" s="580" t="str">
        <f t="shared" si="80"/>
        <v xml:space="preserve">   </v>
      </c>
      <c r="I1636" s="580" t="str">
        <f t="shared" si="81"/>
        <v xml:space="preserve">   </v>
      </c>
    </row>
    <row r="1637" spans="1:9" s="2" customFormat="1" x14ac:dyDescent="0.25">
      <c r="A1637" s="670">
        <v>1513</v>
      </c>
      <c r="B1637" s="671">
        <v>16</v>
      </c>
      <c r="C1637" s="701" t="s">
        <v>2150</v>
      </c>
      <c r="D1637" s="702">
        <v>839218003</v>
      </c>
      <c r="E1637" s="441" t="s">
        <v>2149</v>
      </c>
      <c r="F1637" s="175">
        <v>2018</v>
      </c>
      <c r="G1637" s="360" t="s">
        <v>1483</v>
      </c>
      <c r="H1637" s="580">
        <f t="shared" si="80"/>
        <v>44007</v>
      </c>
      <c r="I1637" s="580">
        <f t="shared" si="81"/>
        <v>44168</v>
      </c>
    </row>
    <row r="1638" spans="1:9" s="2" customFormat="1" x14ac:dyDescent="0.25">
      <c r="A1638" s="670">
        <v>1514</v>
      </c>
      <c r="B1638" s="671">
        <v>17</v>
      </c>
      <c r="C1638" s="701" t="s">
        <v>2151</v>
      </c>
      <c r="D1638" s="702">
        <v>839218004</v>
      </c>
      <c r="E1638" s="441" t="s">
        <v>2149</v>
      </c>
      <c r="F1638" s="175">
        <v>2018</v>
      </c>
      <c r="G1638" s="360" t="s">
        <v>1483</v>
      </c>
      <c r="H1638" s="580" t="str">
        <f t="shared" si="80"/>
        <v xml:space="preserve">   </v>
      </c>
      <c r="I1638" s="580" t="str">
        <f t="shared" si="81"/>
        <v xml:space="preserve">   </v>
      </c>
    </row>
    <row r="1639" spans="1:9" s="2" customFormat="1" x14ac:dyDescent="0.25">
      <c r="A1639" s="670">
        <v>1515</v>
      </c>
      <c r="B1639" s="671">
        <v>18</v>
      </c>
      <c r="C1639" s="701" t="s">
        <v>2152</v>
      </c>
      <c r="D1639" s="702">
        <v>839218006</v>
      </c>
      <c r="E1639" s="441" t="s">
        <v>2149</v>
      </c>
      <c r="F1639" s="175">
        <v>2018</v>
      </c>
      <c r="G1639" s="581" t="s">
        <v>1833</v>
      </c>
      <c r="H1639" s="580" t="str">
        <f t="shared" si="80"/>
        <v xml:space="preserve">   </v>
      </c>
      <c r="I1639" s="580" t="str">
        <f t="shared" si="81"/>
        <v xml:space="preserve">   </v>
      </c>
    </row>
    <row r="1640" spans="1:9" s="2" customFormat="1" x14ac:dyDescent="0.25">
      <c r="A1640" s="670">
        <v>1516</v>
      </c>
      <c r="B1640" s="671">
        <v>19</v>
      </c>
      <c r="C1640" s="701" t="s">
        <v>2153</v>
      </c>
      <c r="D1640" s="702">
        <v>839218007</v>
      </c>
      <c r="E1640" s="441" t="s">
        <v>2149</v>
      </c>
      <c r="F1640" s="175">
        <v>2018</v>
      </c>
      <c r="G1640" s="360" t="s">
        <v>1483</v>
      </c>
      <c r="H1640" s="580" t="str">
        <f t="shared" si="80"/>
        <v xml:space="preserve">   </v>
      </c>
      <c r="I1640" s="580" t="str">
        <f t="shared" si="81"/>
        <v xml:space="preserve">   </v>
      </c>
    </row>
    <row r="1641" spans="1:9" s="2" customFormat="1" x14ac:dyDescent="0.25">
      <c r="A1641" s="670">
        <v>1517</v>
      </c>
      <c r="B1641" s="671">
        <v>20</v>
      </c>
      <c r="C1641" s="701" t="s">
        <v>2154</v>
      </c>
      <c r="D1641" s="702">
        <v>839218009</v>
      </c>
      <c r="E1641" s="264" t="s">
        <v>2149</v>
      </c>
      <c r="F1641" s="175">
        <v>2018</v>
      </c>
      <c r="G1641" s="404" t="s">
        <v>28</v>
      </c>
      <c r="H1641" s="580" t="str">
        <f t="shared" si="80"/>
        <v xml:space="preserve">   </v>
      </c>
      <c r="I1641" s="580" t="str">
        <f t="shared" si="81"/>
        <v xml:space="preserve">   </v>
      </c>
    </row>
    <row r="1642" spans="1:9" s="2" customFormat="1" x14ac:dyDescent="0.25">
      <c r="A1642" s="670">
        <v>1518</v>
      </c>
      <c r="B1642" s="671">
        <v>21</v>
      </c>
      <c r="C1642" s="701" t="s">
        <v>2155</v>
      </c>
      <c r="D1642" s="702">
        <v>839218010</v>
      </c>
      <c r="E1642" s="441" t="s">
        <v>2149</v>
      </c>
      <c r="F1642" s="175">
        <v>2018</v>
      </c>
      <c r="G1642" s="360" t="s">
        <v>1483</v>
      </c>
      <c r="H1642" s="580" t="str">
        <f t="shared" si="80"/>
        <v xml:space="preserve">   </v>
      </c>
      <c r="I1642" s="580" t="str">
        <f t="shared" si="81"/>
        <v xml:space="preserve">   </v>
      </c>
    </row>
    <row r="1643" spans="1:9" s="2" customFormat="1" x14ac:dyDescent="0.25">
      <c r="A1643" s="670">
        <v>1519</v>
      </c>
      <c r="B1643" s="671">
        <v>22</v>
      </c>
      <c r="C1643" s="701" t="s">
        <v>2156</v>
      </c>
      <c r="D1643" s="702">
        <v>839218012</v>
      </c>
      <c r="E1643" s="441" t="s">
        <v>2149</v>
      </c>
      <c r="F1643" s="175">
        <v>2018</v>
      </c>
      <c r="G1643" s="360" t="s">
        <v>1483</v>
      </c>
      <c r="H1643" s="580">
        <f t="shared" si="80"/>
        <v>44000</v>
      </c>
      <c r="I1643" s="580">
        <f t="shared" si="81"/>
        <v>44168</v>
      </c>
    </row>
    <row r="1644" spans="1:9" s="2" customFormat="1" x14ac:dyDescent="0.25">
      <c r="A1644" s="670">
        <v>1520</v>
      </c>
      <c r="B1644" s="671">
        <v>23</v>
      </c>
      <c r="C1644" s="701" t="s">
        <v>319</v>
      </c>
      <c r="D1644" s="702">
        <v>839218013</v>
      </c>
      <c r="E1644" s="441" t="s">
        <v>2149</v>
      </c>
      <c r="F1644" s="175">
        <v>2018</v>
      </c>
      <c r="G1644" s="360" t="s">
        <v>1483</v>
      </c>
      <c r="H1644" s="580" t="str">
        <f t="shared" si="80"/>
        <v xml:space="preserve">   </v>
      </c>
      <c r="I1644" s="580" t="str">
        <f t="shared" si="81"/>
        <v xml:space="preserve">   </v>
      </c>
    </row>
    <row r="1645" spans="1:9" s="2" customFormat="1" x14ac:dyDescent="0.25">
      <c r="A1645" s="670">
        <v>1521</v>
      </c>
      <c r="B1645" s="671">
        <v>24</v>
      </c>
      <c r="C1645" s="701" t="s">
        <v>2157</v>
      </c>
      <c r="D1645" s="702">
        <v>839218014</v>
      </c>
      <c r="E1645" s="441" t="s">
        <v>2149</v>
      </c>
      <c r="F1645" s="175">
        <v>2018</v>
      </c>
      <c r="G1645" s="360" t="s">
        <v>1483</v>
      </c>
      <c r="H1645" s="580" t="str">
        <f t="shared" si="80"/>
        <v xml:space="preserve">   </v>
      </c>
      <c r="I1645" s="580" t="str">
        <f t="shared" si="81"/>
        <v xml:space="preserve">   </v>
      </c>
    </row>
    <row r="1646" spans="1:9" s="2" customFormat="1" x14ac:dyDescent="0.25">
      <c r="A1646" s="670">
        <v>1522</v>
      </c>
      <c r="B1646" s="671">
        <v>25</v>
      </c>
      <c r="C1646" s="701" t="s">
        <v>2158</v>
      </c>
      <c r="D1646" s="702">
        <v>839218015</v>
      </c>
      <c r="E1646" s="441" t="s">
        <v>2149</v>
      </c>
      <c r="F1646" s="175">
        <v>2018</v>
      </c>
      <c r="G1646" s="360" t="s">
        <v>1483</v>
      </c>
      <c r="H1646" s="580" t="str">
        <f t="shared" si="80"/>
        <v xml:space="preserve">   </v>
      </c>
      <c r="I1646" s="580" t="str">
        <f t="shared" si="81"/>
        <v xml:space="preserve">   </v>
      </c>
    </row>
    <row r="1647" spans="1:9" s="2" customFormat="1" x14ac:dyDescent="0.25">
      <c r="A1647" s="670">
        <v>1523</v>
      </c>
      <c r="B1647" s="671">
        <v>26</v>
      </c>
      <c r="C1647" s="701" t="s">
        <v>2159</v>
      </c>
      <c r="D1647" s="702">
        <v>839218016</v>
      </c>
      <c r="E1647" s="441" t="s">
        <v>2149</v>
      </c>
      <c r="F1647" s="175">
        <v>2018</v>
      </c>
      <c r="G1647" s="360" t="s">
        <v>1483</v>
      </c>
      <c r="H1647" s="580">
        <f t="shared" si="80"/>
        <v>44019</v>
      </c>
      <c r="I1647" s="580">
        <f t="shared" si="81"/>
        <v>44186</v>
      </c>
    </row>
    <row r="1648" spans="1:9" s="2" customFormat="1" x14ac:dyDescent="0.25">
      <c r="A1648" s="670">
        <v>1524</v>
      </c>
      <c r="B1648" s="671">
        <v>27</v>
      </c>
      <c r="C1648" s="701" t="s">
        <v>2160</v>
      </c>
      <c r="D1648" s="702">
        <v>839218018</v>
      </c>
      <c r="E1648" s="441" t="s">
        <v>2149</v>
      </c>
      <c r="F1648" s="175">
        <v>2018</v>
      </c>
      <c r="G1648" s="360" t="s">
        <v>1483</v>
      </c>
      <c r="H1648" s="580">
        <f t="shared" si="80"/>
        <v>44028</v>
      </c>
      <c r="I1648" s="580">
        <f t="shared" si="81"/>
        <v>44168</v>
      </c>
    </row>
    <row r="1649" spans="1:9" s="2" customFormat="1" x14ac:dyDescent="0.25">
      <c r="A1649" s="670">
        <v>1525</v>
      </c>
      <c r="B1649" s="671">
        <v>28</v>
      </c>
      <c r="C1649" s="701" t="s">
        <v>2161</v>
      </c>
      <c r="D1649" s="702">
        <v>839218019</v>
      </c>
      <c r="E1649" s="441" t="s">
        <v>2149</v>
      </c>
      <c r="F1649" s="175">
        <v>2018</v>
      </c>
      <c r="G1649" s="360" t="s">
        <v>1483</v>
      </c>
      <c r="H1649" s="580" t="str">
        <f t="shared" si="80"/>
        <v xml:space="preserve">   </v>
      </c>
      <c r="I1649" s="580" t="str">
        <f t="shared" si="81"/>
        <v xml:space="preserve">   </v>
      </c>
    </row>
    <row r="1650" spans="1:9" s="2" customFormat="1" x14ac:dyDescent="0.25">
      <c r="A1650" s="670">
        <v>1526</v>
      </c>
      <c r="B1650" s="671">
        <v>29</v>
      </c>
      <c r="C1650" s="703" t="s">
        <v>2162</v>
      </c>
      <c r="D1650" s="702">
        <v>839218021</v>
      </c>
      <c r="E1650" s="441" t="s">
        <v>2149</v>
      </c>
      <c r="F1650" s="175">
        <v>2018</v>
      </c>
      <c r="G1650" s="404" t="s">
        <v>28</v>
      </c>
      <c r="H1650" s="580" t="str">
        <f t="shared" si="80"/>
        <v xml:space="preserve">   </v>
      </c>
      <c r="I1650" s="580" t="str">
        <f t="shared" si="81"/>
        <v xml:space="preserve">   </v>
      </c>
    </row>
    <row r="1651" spans="1:9" s="2" customFormat="1" x14ac:dyDescent="0.25">
      <c r="A1651" s="670">
        <v>1527</v>
      </c>
      <c r="B1651" s="671">
        <v>30</v>
      </c>
      <c r="C1651" s="701" t="s">
        <v>2163</v>
      </c>
      <c r="D1651" s="702">
        <v>839218022</v>
      </c>
      <c r="E1651" s="441" t="s">
        <v>2149</v>
      </c>
      <c r="F1651" s="175">
        <v>2018</v>
      </c>
      <c r="G1651" s="360" t="s">
        <v>1483</v>
      </c>
      <c r="H1651" s="580" t="str">
        <f t="shared" si="80"/>
        <v xml:space="preserve">   </v>
      </c>
      <c r="I1651" s="580" t="str">
        <f t="shared" si="81"/>
        <v xml:space="preserve">   </v>
      </c>
    </row>
    <row r="1652" spans="1:9" s="2" customFormat="1" x14ac:dyDescent="0.25">
      <c r="A1652" s="670">
        <v>1528</v>
      </c>
      <c r="B1652" s="671">
        <v>31</v>
      </c>
      <c r="C1652" s="701" t="s">
        <v>2164</v>
      </c>
      <c r="D1652" s="702">
        <v>839218023</v>
      </c>
      <c r="E1652" s="441" t="s">
        <v>2149</v>
      </c>
      <c r="F1652" s="175">
        <v>2018</v>
      </c>
      <c r="G1652" s="360" t="s">
        <v>1483</v>
      </c>
      <c r="H1652" s="580" t="str">
        <f t="shared" si="80"/>
        <v xml:space="preserve">   </v>
      </c>
      <c r="I1652" s="580" t="str">
        <f t="shared" si="81"/>
        <v xml:space="preserve">   </v>
      </c>
    </row>
    <row r="1653" spans="1:9" s="2" customFormat="1" x14ac:dyDescent="0.25">
      <c r="A1653" s="670">
        <v>1529</v>
      </c>
      <c r="B1653" s="671">
        <v>32</v>
      </c>
      <c r="C1653" s="701" t="s">
        <v>2165</v>
      </c>
      <c r="D1653" s="702">
        <v>839218024</v>
      </c>
      <c r="E1653" s="441" t="s">
        <v>2149</v>
      </c>
      <c r="F1653" s="175">
        <v>2018</v>
      </c>
      <c r="G1653" s="360" t="s">
        <v>1483</v>
      </c>
      <c r="H1653" s="580">
        <f t="shared" si="80"/>
        <v>44007</v>
      </c>
      <c r="I1653" s="580">
        <f t="shared" si="81"/>
        <v>44168</v>
      </c>
    </row>
    <row r="1654" spans="1:9" s="2" customFormat="1" x14ac:dyDescent="0.25">
      <c r="A1654" s="670">
        <v>1530</v>
      </c>
      <c r="B1654" s="671">
        <v>33</v>
      </c>
      <c r="C1654" s="701" t="s">
        <v>2166</v>
      </c>
      <c r="D1654" s="702">
        <v>839218034</v>
      </c>
      <c r="E1654" s="441" t="s">
        <v>2149</v>
      </c>
      <c r="F1654" s="175">
        <v>2018</v>
      </c>
      <c r="G1654" s="360" t="s">
        <v>1483</v>
      </c>
      <c r="H1654" s="580" t="str">
        <f t="shared" si="80"/>
        <v xml:space="preserve">   </v>
      </c>
      <c r="I1654" s="580" t="str">
        <f t="shared" si="81"/>
        <v xml:space="preserve">   </v>
      </c>
    </row>
    <row r="1655" spans="1:9" s="2" customFormat="1" x14ac:dyDescent="0.25">
      <c r="A1655" s="670">
        <v>1531</v>
      </c>
      <c r="B1655" s="671">
        <v>34</v>
      </c>
      <c r="C1655" s="701" t="s">
        <v>2167</v>
      </c>
      <c r="D1655" s="702">
        <v>839218011</v>
      </c>
      <c r="E1655" s="441" t="s">
        <v>2168</v>
      </c>
      <c r="F1655" s="175">
        <v>2018</v>
      </c>
      <c r="G1655" s="360" t="s">
        <v>1483</v>
      </c>
      <c r="H1655" s="580">
        <f t="shared" si="80"/>
        <v>43971</v>
      </c>
      <c r="I1655" s="580">
        <f t="shared" si="81"/>
        <v>44058</v>
      </c>
    </row>
    <row r="1656" spans="1:9" s="2" customFormat="1" x14ac:dyDescent="0.25">
      <c r="A1656" s="670">
        <v>1532</v>
      </c>
      <c r="B1656" s="671">
        <v>35</v>
      </c>
      <c r="C1656" s="701" t="s">
        <v>2169</v>
      </c>
      <c r="D1656" s="702">
        <v>839218025</v>
      </c>
      <c r="E1656" s="441" t="s">
        <v>2168</v>
      </c>
      <c r="F1656" s="175">
        <v>2018</v>
      </c>
      <c r="G1656" s="581" t="s">
        <v>1833</v>
      </c>
      <c r="H1656" s="580" t="str">
        <f t="shared" si="80"/>
        <v xml:space="preserve">   </v>
      </c>
      <c r="I1656" s="580" t="str">
        <f t="shared" si="81"/>
        <v xml:space="preserve">   </v>
      </c>
    </row>
    <row r="1657" spans="1:9" s="2" customFormat="1" x14ac:dyDescent="0.25">
      <c r="A1657" s="670">
        <v>1533</v>
      </c>
      <c r="B1657" s="671">
        <v>36</v>
      </c>
      <c r="C1657" s="701" t="s">
        <v>2170</v>
      </c>
      <c r="D1657" s="702">
        <v>839218026</v>
      </c>
      <c r="E1657" s="441" t="s">
        <v>2168</v>
      </c>
      <c r="F1657" s="175">
        <v>2018</v>
      </c>
      <c r="G1657" s="360" t="s">
        <v>1483</v>
      </c>
      <c r="H1657" s="580" t="str">
        <f t="shared" si="80"/>
        <v xml:space="preserve">   </v>
      </c>
      <c r="I1657" s="580" t="str">
        <f t="shared" si="81"/>
        <v xml:space="preserve">   </v>
      </c>
    </row>
    <row r="1658" spans="1:9" s="2" customFormat="1" x14ac:dyDescent="0.25">
      <c r="A1658" s="670">
        <v>1534</v>
      </c>
      <c r="B1658" s="671">
        <v>37</v>
      </c>
      <c r="C1658" s="701" t="s">
        <v>2171</v>
      </c>
      <c r="D1658" s="702">
        <v>839218027</v>
      </c>
      <c r="E1658" s="441" t="s">
        <v>2168</v>
      </c>
      <c r="F1658" s="175">
        <v>2018</v>
      </c>
      <c r="G1658" s="360" t="s">
        <v>1483</v>
      </c>
      <c r="H1658" s="580" t="str">
        <f t="shared" si="80"/>
        <v xml:space="preserve">   </v>
      </c>
      <c r="I1658" s="580" t="str">
        <f t="shared" si="81"/>
        <v xml:space="preserve">   </v>
      </c>
    </row>
    <row r="1659" spans="1:9" s="2" customFormat="1" x14ac:dyDescent="0.25">
      <c r="A1659" s="670">
        <v>1535</v>
      </c>
      <c r="B1659" s="671">
        <v>38</v>
      </c>
      <c r="C1659" s="701" t="s">
        <v>2172</v>
      </c>
      <c r="D1659" s="702">
        <v>839218028</v>
      </c>
      <c r="E1659" s="441" t="s">
        <v>2168</v>
      </c>
      <c r="F1659" s="175">
        <v>2018</v>
      </c>
      <c r="G1659" s="360" t="s">
        <v>1483</v>
      </c>
      <c r="H1659" s="580" t="str">
        <f t="shared" si="80"/>
        <v xml:space="preserve">   </v>
      </c>
      <c r="I1659" s="580" t="str">
        <f t="shared" si="81"/>
        <v xml:space="preserve">   </v>
      </c>
    </row>
    <row r="1660" spans="1:9" s="2" customFormat="1" x14ac:dyDescent="0.25">
      <c r="A1660" s="670">
        <v>1536</v>
      </c>
      <c r="B1660" s="671">
        <v>39</v>
      </c>
      <c r="C1660" s="701" t="s">
        <v>2173</v>
      </c>
      <c r="D1660" s="702">
        <v>839218029</v>
      </c>
      <c r="E1660" s="441" t="s">
        <v>2168</v>
      </c>
      <c r="F1660" s="175">
        <v>2018</v>
      </c>
      <c r="G1660" s="360" t="s">
        <v>1483</v>
      </c>
      <c r="H1660" s="580">
        <f t="shared" si="80"/>
        <v>44095</v>
      </c>
      <c r="I1660" s="580">
        <f t="shared" si="81"/>
        <v>44186</v>
      </c>
    </row>
    <row r="1661" spans="1:9" s="2" customFormat="1" x14ac:dyDescent="0.25">
      <c r="A1661" s="670">
        <v>1537</v>
      </c>
      <c r="B1661" s="671">
        <v>40</v>
      </c>
      <c r="C1661" s="701" t="s">
        <v>2174</v>
      </c>
      <c r="D1661" s="702">
        <v>839218030</v>
      </c>
      <c r="E1661" s="264" t="s">
        <v>2168</v>
      </c>
      <c r="F1661" s="175">
        <v>2018</v>
      </c>
      <c r="G1661" s="360" t="s">
        <v>1483</v>
      </c>
      <c r="H1661" s="580" t="str">
        <f t="shared" si="80"/>
        <v xml:space="preserve">   </v>
      </c>
      <c r="I1661" s="580" t="str">
        <f t="shared" si="81"/>
        <v xml:space="preserve">   </v>
      </c>
    </row>
    <row r="1662" spans="1:9" s="2" customFormat="1" x14ac:dyDescent="0.25">
      <c r="A1662" s="670">
        <v>1538</v>
      </c>
      <c r="B1662" s="671">
        <v>41</v>
      </c>
      <c r="C1662" s="701" t="s">
        <v>2175</v>
      </c>
      <c r="D1662" s="702">
        <v>839218032</v>
      </c>
      <c r="E1662" s="441" t="s">
        <v>2168</v>
      </c>
      <c r="F1662" s="175">
        <v>2018</v>
      </c>
      <c r="G1662" s="360" t="s">
        <v>1483</v>
      </c>
      <c r="H1662" s="580">
        <f t="shared" si="80"/>
        <v>44054</v>
      </c>
      <c r="I1662" s="580">
        <f t="shared" si="81"/>
        <v>44168</v>
      </c>
    </row>
    <row r="1663" spans="1:9" s="2" customFormat="1" x14ac:dyDescent="0.25">
      <c r="A1663" s="670">
        <v>1539</v>
      </c>
      <c r="B1663" s="671">
        <v>42</v>
      </c>
      <c r="C1663" s="701" t="s">
        <v>2176</v>
      </c>
      <c r="D1663" s="702">
        <v>839218033</v>
      </c>
      <c r="E1663" s="264" t="s">
        <v>2168</v>
      </c>
      <c r="F1663" s="175">
        <v>2018</v>
      </c>
      <c r="G1663" s="360" t="s">
        <v>1483</v>
      </c>
      <c r="H1663" s="580" t="str">
        <f t="shared" si="80"/>
        <v xml:space="preserve">   </v>
      </c>
      <c r="I1663" s="580" t="str">
        <f t="shared" si="81"/>
        <v xml:space="preserve">   </v>
      </c>
    </row>
    <row r="1664" spans="1:9" s="2" customFormat="1" x14ac:dyDescent="0.25">
      <c r="A1664" s="670">
        <v>1540</v>
      </c>
      <c r="B1664" s="671">
        <v>43</v>
      </c>
      <c r="C1664" s="701" t="s">
        <v>2177</v>
      </c>
      <c r="D1664" s="702">
        <v>839218035</v>
      </c>
      <c r="E1664" s="441" t="s">
        <v>2168</v>
      </c>
      <c r="F1664" s="175">
        <v>2018</v>
      </c>
      <c r="G1664" s="360" t="s">
        <v>1483</v>
      </c>
      <c r="H1664" s="580" t="str">
        <f t="shared" si="80"/>
        <v xml:space="preserve">   </v>
      </c>
      <c r="I1664" s="580" t="str">
        <f t="shared" si="81"/>
        <v xml:space="preserve">   </v>
      </c>
    </row>
    <row r="1665" spans="1:9" s="2" customFormat="1" x14ac:dyDescent="0.25">
      <c r="A1665" s="670">
        <v>1541</v>
      </c>
      <c r="B1665" s="671">
        <v>44</v>
      </c>
      <c r="C1665" s="701" t="s">
        <v>2178</v>
      </c>
      <c r="D1665" s="702">
        <v>839218036</v>
      </c>
      <c r="E1665" s="441" t="s">
        <v>2168</v>
      </c>
      <c r="F1665" s="175">
        <v>2018</v>
      </c>
      <c r="G1665" s="360" t="s">
        <v>1483</v>
      </c>
      <c r="H1665" s="580" t="str">
        <f t="shared" si="80"/>
        <v xml:space="preserve">   </v>
      </c>
      <c r="I1665" s="580" t="str">
        <f t="shared" si="81"/>
        <v xml:space="preserve">   </v>
      </c>
    </row>
    <row r="1666" spans="1:9" s="2" customFormat="1" x14ac:dyDescent="0.25">
      <c r="A1666" s="670">
        <v>1542</v>
      </c>
      <c r="B1666" s="671">
        <v>45</v>
      </c>
      <c r="C1666" s="701" t="s">
        <v>2179</v>
      </c>
      <c r="D1666" s="702">
        <v>839218041</v>
      </c>
      <c r="E1666" s="441" t="s">
        <v>2168</v>
      </c>
      <c r="F1666" s="175">
        <v>2018</v>
      </c>
      <c r="G1666" s="360" t="s">
        <v>1483</v>
      </c>
      <c r="H1666" s="580">
        <f t="shared" si="80"/>
        <v>44036</v>
      </c>
      <c r="I1666" s="580">
        <f t="shared" si="81"/>
        <v>44186</v>
      </c>
    </row>
    <row r="1667" spans="1:9" s="2" customFormat="1" x14ac:dyDescent="0.25">
      <c r="A1667" s="670">
        <v>1543</v>
      </c>
      <c r="B1667" s="671">
        <v>46</v>
      </c>
      <c r="C1667" s="701" t="s">
        <v>2180</v>
      </c>
      <c r="D1667" s="702">
        <v>839218043</v>
      </c>
      <c r="E1667" s="441" t="s">
        <v>2168</v>
      </c>
      <c r="F1667" s="175">
        <v>2018</v>
      </c>
      <c r="G1667" s="360" t="s">
        <v>1483</v>
      </c>
      <c r="H1667" s="580">
        <f t="shared" si="80"/>
        <v>44014</v>
      </c>
      <c r="I1667" s="580">
        <f t="shared" si="81"/>
        <v>44168</v>
      </c>
    </row>
    <row r="1668" spans="1:9" s="2" customFormat="1" x14ac:dyDescent="0.25">
      <c r="A1668" s="670">
        <v>1544</v>
      </c>
      <c r="B1668" s="671">
        <v>47</v>
      </c>
      <c r="C1668" s="701" t="s">
        <v>2181</v>
      </c>
      <c r="D1668" s="702">
        <v>839218044</v>
      </c>
      <c r="E1668" s="441" t="s">
        <v>2168</v>
      </c>
      <c r="F1668" s="175">
        <v>2018</v>
      </c>
      <c r="G1668" s="360" t="s">
        <v>1483</v>
      </c>
      <c r="H1668" s="580" t="str">
        <f t="shared" si="80"/>
        <v xml:space="preserve">   </v>
      </c>
      <c r="I1668" s="580" t="str">
        <f t="shared" si="81"/>
        <v xml:space="preserve">   </v>
      </c>
    </row>
    <row r="1669" spans="1:9" s="2" customFormat="1" x14ac:dyDescent="0.25">
      <c r="A1669" s="670">
        <v>1545</v>
      </c>
      <c r="B1669" s="671">
        <v>48</v>
      </c>
      <c r="C1669" s="701" t="s">
        <v>2182</v>
      </c>
      <c r="D1669" s="702">
        <v>839218045</v>
      </c>
      <c r="E1669" s="441" t="s">
        <v>2168</v>
      </c>
      <c r="F1669" s="175">
        <v>2018</v>
      </c>
      <c r="G1669" s="360" t="s">
        <v>1483</v>
      </c>
      <c r="H1669" s="580" t="str">
        <f t="shared" si="80"/>
        <v xml:space="preserve">   </v>
      </c>
      <c r="I1669" s="580" t="str">
        <f t="shared" si="81"/>
        <v xml:space="preserve">   </v>
      </c>
    </row>
    <row r="1670" spans="1:9" s="2" customFormat="1" x14ac:dyDescent="0.25">
      <c r="A1670" s="670">
        <v>1546</v>
      </c>
      <c r="B1670" s="671">
        <v>49</v>
      </c>
      <c r="C1670" s="701" t="s">
        <v>2183</v>
      </c>
      <c r="D1670" s="702">
        <v>839218046</v>
      </c>
      <c r="E1670" s="441" t="s">
        <v>2168</v>
      </c>
      <c r="F1670" s="175">
        <v>2018</v>
      </c>
      <c r="G1670" s="360" t="s">
        <v>1483</v>
      </c>
      <c r="H1670" s="580" t="str">
        <f t="shared" si="80"/>
        <v xml:space="preserve">   </v>
      </c>
      <c r="I1670" s="580" t="str">
        <f t="shared" si="81"/>
        <v xml:space="preserve">   </v>
      </c>
    </row>
    <row r="1671" spans="1:9" s="2" customFormat="1" x14ac:dyDescent="0.25">
      <c r="A1671" s="670">
        <v>1547</v>
      </c>
      <c r="B1671" s="671">
        <v>50</v>
      </c>
      <c r="C1671" s="701" t="s">
        <v>2184</v>
      </c>
      <c r="D1671" s="702">
        <v>839218047</v>
      </c>
      <c r="E1671" s="441" t="s">
        <v>2168</v>
      </c>
      <c r="F1671" s="175">
        <v>2018</v>
      </c>
      <c r="G1671" s="360" t="s">
        <v>1483</v>
      </c>
      <c r="H1671" s="580" t="str">
        <f t="shared" si="80"/>
        <v xml:space="preserve">   </v>
      </c>
      <c r="I1671" s="580" t="str">
        <f t="shared" si="81"/>
        <v xml:space="preserve">   </v>
      </c>
    </row>
    <row r="1672" spans="1:9" s="2" customFormat="1" x14ac:dyDescent="0.25">
      <c r="A1672" s="670">
        <v>1548</v>
      </c>
      <c r="B1672" s="671">
        <v>51</v>
      </c>
      <c r="C1672" s="701" t="s">
        <v>2185</v>
      </c>
      <c r="D1672" s="702">
        <v>839218048</v>
      </c>
      <c r="E1672" s="441" t="s">
        <v>2168</v>
      </c>
      <c r="F1672" s="175">
        <v>2018</v>
      </c>
      <c r="G1672" s="360" t="s">
        <v>1483</v>
      </c>
      <c r="H1672" s="580" t="str">
        <f t="shared" si="80"/>
        <v xml:space="preserve">   </v>
      </c>
      <c r="I1672" s="580" t="str">
        <f t="shared" si="81"/>
        <v xml:space="preserve">   </v>
      </c>
    </row>
    <row r="1673" spans="1:9" s="2" customFormat="1" x14ac:dyDescent="0.25">
      <c r="A1673" s="670">
        <v>1549</v>
      </c>
      <c r="B1673" s="678">
        <v>52</v>
      </c>
      <c r="C1673" s="704" t="s">
        <v>2186</v>
      </c>
      <c r="D1673" s="705">
        <v>839218049</v>
      </c>
      <c r="E1673" s="489" t="s">
        <v>2168</v>
      </c>
      <c r="F1673" s="221">
        <v>2018</v>
      </c>
      <c r="G1673" s="413" t="s">
        <v>1483</v>
      </c>
      <c r="H1673" s="646" t="str">
        <f t="shared" si="80"/>
        <v xml:space="preserve">   </v>
      </c>
      <c r="I1673" s="646" t="str">
        <f t="shared" si="81"/>
        <v xml:space="preserve">   </v>
      </c>
    </row>
    <row r="1674" spans="1:9" s="2" customFormat="1" x14ac:dyDescent="0.25">
      <c r="A1674" s="670">
        <v>1550</v>
      </c>
      <c r="B1674" s="671">
        <v>53</v>
      </c>
      <c r="C1674" s="710" t="s">
        <v>2187</v>
      </c>
      <c r="D1674" s="711">
        <v>839218054</v>
      </c>
      <c r="E1674" s="441" t="s">
        <v>2168</v>
      </c>
      <c r="F1674" s="175">
        <v>2018</v>
      </c>
      <c r="G1674" s="360" t="s">
        <v>1483</v>
      </c>
      <c r="H1674" s="580" t="str">
        <f t="shared" si="80"/>
        <v xml:space="preserve">   </v>
      </c>
      <c r="I1674" s="580" t="str">
        <f t="shared" si="81"/>
        <v xml:space="preserve">   </v>
      </c>
    </row>
    <row r="1675" spans="1:9" s="2" customFormat="1" x14ac:dyDescent="0.25">
      <c r="A1675" s="670">
        <v>1551</v>
      </c>
      <c r="B1675" s="671">
        <v>54</v>
      </c>
      <c r="C1675" s="710" t="s">
        <v>2188</v>
      </c>
      <c r="D1675" s="711">
        <v>839218055</v>
      </c>
      <c r="E1675" s="441" t="s">
        <v>2168</v>
      </c>
      <c r="F1675" s="175">
        <v>2018</v>
      </c>
      <c r="G1675" s="360" t="s">
        <v>1483</v>
      </c>
      <c r="H1675" s="580" t="str">
        <f t="shared" ref="H1675:H1738" si="82">IFERROR(VLOOKUP(D1675,Tlus,3,FALSE),"   ")</f>
        <v xml:space="preserve">   </v>
      </c>
      <c r="I1675" s="580" t="str">
        <f t="shared" ref="I1675:I1738" si="83">IFERROR(VLOOKUP(D1675,Wis,4,FALSE),"   ")</f>
        <v xml:space="preserve">   </v>
      </c>
    </row>
    <row r="1676" spans="1:9" s="2" customFormat="1" x14ac:dyDescent="0.25">
      <c r="A1676" s="434"/>
      <c r="B1676" s="434"/>
      <c r="C1676" s="437"/>
      <c r="D1676" s="438"/>
      <c r="E1676" s="437"/>
      <c r="F1676" s="438" t="s">
        <v>61</v>
      </c>
      <c r="G1676" s="192" t="s">
        <v>61</v>
      </c>
      <c r="H1676" s="438" t="str">
        <f t="shared" si="82"/>
        <v xml:space="preserve">   </v>
      </c>
      <c r="I1676" s="438" t="str">
        <f t="shared" si="83"/>
        <v xml:space="preserve">   </v>
      </c>
    </row>
    <row r="1677" spans="1:9" s="2" customFormat="1" x14ac:dyDescent="0.25">
      <c r="A1677" s="434"/>
      <c r="B1677" s="434"/>
      <c r="C1677" s="437"/>
      <c r="D1677" s="438"/>
      <c r="E1677" s="437"/>
      <c r="F1677" s="438" t="s">
        <v>61</v>
      </c>
      <c r="G1677" s="192" t="s">
        <v>61</v>
      </c>
      <c r="H1677" s="438" t="str">
        <f t="shared" si="82"/>
        <v xml:space="preserve">   </v>
      </c>
      <c r="I1677" s="438" t="str">
        <f t="shared" si="83"/>
        <v xml:space="preserve">   </v>
      </c>
    </row>
    <row r="1678" spans="1:9" s="2" customFormat="1" x14ac:dyDescent="0.25">
      <c r="A1678" s="434"/>
      <c r="B1678" s="434"/>
      <c r="C1678" s="437"/>
      <c r="D1678" s="438"/>
      <c r="E1678" s="437"/>
      <c r="F1678" s="438" t="s">
        <v>61</v>
      </c>
      <c r="G1678" s="192" t="s">
        <v>61</v>
      </c>
      <c r="H1678" s="438" t="str">
        <f t="shared" si="82"/>
        <v xml:space="preserve">   </v>
      </c>
      <c r="I1678" s="438" t="str">
        <f t="shared" si="83"/>
        <v xml:space="preserve">   </v>
      </c>
    </row>
    <row r="1679" spans="1:9" s="2" customFormat="1" x14ac:dyDescent="0.25">
      <c r="A1679" s="625" t="s">
        <v>2189</v>
      </c>
      <c r="B1679" s="625"/>
      <c r="C1679" s="625"/>
      <c r="D1679" s="366"/>
      <c r="E1679" s="198" t="s">
        <v>1096</v>
      </c>
      <c r="F1679" s="199" t="s">
        <v>1096</v>
      </c>
      <c r="G1679" s="565">
        <v>3750000</v>
      </c>
      <c r="H1679" s="147" t="str">
        <f t="shared" si="82"/>
        <v xml:space="preserve">   </v>
      </c>
      <c r="I1679" s="147" t="str">
        <f t="shared" si="83"/>
        <v xml:space="preserve">   </v>
      </c>
    </row>
    <row r="1680" spans="1:9" s="2" customFormat="1" x14ac:dyDescent="0.25">
      <c r="A1680" s="694">
        <v>1552</v>
      </c>
      <c r="B1680" s="695">
        <v>1</v>
      </c>
      <c r="C1680" s="713" t="s">
        <v>2190</v>
      </c>
      <c r="D1680" s="697">
        <v>849218001</v>
      </c>
      <c r="E1680" s="698" t="s">
        <v>2191</v>
      </c>
      <c r="F1680" s="327">
        <v>2018</v>
      </c>
      <c r="G1680" s="360" t="s">
        <v>1483</v>
      </c>
      <c r="H1680" s="580" t="str">
        <f t="shared" si="82"/>
        <v xml:space="preserve">   </v>
      </c>
      <c r="I1680" s="580" t="str">
        <f t="shared" si="83"/>
        <v xml:space="preserve">   </v>
      </c>
    </row>
    <row r="1681" spans="1:9" s="2" customFormat="1" x14ac:dyDescent="0.25">
      <c r="A1681" s="670">
        <v>1553</v>
      </c>
      <c r="B1681" s="671">
        <v>2</v>
      </c>
      <c r="C1681" s="701" t="s">
        <v>2192</v>
      </c>
      <c r="D1681" s="702">
        <v>849218002</v>
      </c>
      <c r="E1681" s="441" t="s">
        <v>2191</v>
      </c>
      <c r="F1681" s="175">
        <v>2018</v>
      </c>
      <c r="G1681" s="360" t="s">
        <v>1483</v>
      </c>
      <c r="H1681" s="580" t="str">
        <f t="shared" si="82"/>
        <v xml:space="preserve">   </v>
      </c>
      <c r="I1681" s="580" t="str">
        <f t="shared" si="83"/>
        <v xml:space="preserve">   </v>
      </c>
    </row>
    <row r="1682" spans="1:9" s="2" customFormat="1" x14ac:dyDescent="0.25">
      <c r="A1682" s="670">
        <v>1554</v>
      </c>
      <c r="B1682" s="671">
        <v>3</v>
      </c>
      <c r="C1682" s="701" t="s">
        <v>2193</v>
      </c>
      <c r="D1682" s="702">
        <v>849218004</v>
      </c>
      <c r="E1682" s="441" t="s">
        <v>2191</v>
      </c>
      <c r="F1682" s="175">
        <v>2018</v>
      </c>
      <c r="G1682" s="360" t="s">
        <v>1483</v>
      </c>
      <c r="H1682" s="580" t="str">
        <f t="shared" si="82"/>
        <v xml:space="preserve">   </v>
      </c>
      <c r="I1682" s="580" t="str">
        <f t="shared" si="83"/>
        <v xml:space="preserve">   </v>
      </c>
    </row>
    <row r="1683" spans="1:9" s="2" customFormat="1" x14ac:dyDescent="0.25">
      <c r="A1683" s="670">
        <v>1555</v>
      </c>
      <c r="B1683" s="671">
        <v>4</v>
      </c>
      <c r="C1683" s="701" t="s">
        <v>2194</v>
      </c>
      <c r="D1683" s="702">
        <v>849218005</v>
      </c>
      <c r="E1683" s="441" t="s">
        <v>2191</v>
      </c>
      <c r="F1683" s="175">
        <v>2018</v>
      </c>
      <c r="G1683" s="360" t="s">
        <v>1483</v>
      </c>
      <c r="H1683" s="580" t="str">
        <f t="shared" si="82"/>
        <v xml:space="preserve">   </v>
      </c>
      <c r="I1683" s="580" t="str">
        <f t="shared" si="83"/>
        <v xml:space="preserve">   </v>
      </c>
    </row>
    <row r="1684" spans="1:9" s="2" customFormat="1" x14ac:dyDescent="0.25">
      <c r="A1684" s="670">
        <v>1556</v>
      </c>
      <c r="B1684" s="671">
        <v>5</v>
      </c>
      <c r="C1684" s="701" t="s">
        <v>2195</v>
      </c>
      <c r="D1684" s="702">
        <v>849218006</v>
      </c>
      <c r="E1684" s="441" t="s">
        <v>2191</v>
      </c>
      <c r="F1684" s="175">
        <v>2018</v>
      </c>
      <c r="G1684" s="360" t="s">
        <v>1483</v>
      </c>
      <c r="H1684" s="580" t="str">
        <f t="shared" si="82"/>
        <v xml:space="preserve">   </v>
      </c>
      <c r="I1684" s="580" t="str">
        <f t="shared" si="83"/>
        <v xml:space="preserve">   </v>
      </c>
    </row>
    <row r="1685" spans="1:9" s="2" customFormat="1" x14ac:dyDescent="0.25">
      <c r="A1685" s="670">
        <v>1557</v>
      </c>
      <c r="B1685" s="671">
        <v>6</v>
      </c>
      <c r="C1685" s="701" t="s">
        <v>2196</v>
      </c>
      <c r="D1685" s="702">
        <v>849218007</v>
      </c>
      <c r="E1685" s="441" t="s">
        <v>2191</v>
      </c>
      <c r="F1685" s="175">
        <v>2018</v>
      </c>
      <c r="G1685" s="404" t="s">
        <v>28</v>
      </c>
      <c r="H1685" s="580" t="str">
        <f t="shared" si="82"/>
        <v xml:space="preserve">   </v>
      </c>
      <c r="I1685" s="580" t="str">
        <f t="shared" si="83"/>
        <v xml:space="preserve">   </v>
      </c>
    </row>
    <row r="1686" spans="1:9" s="2" customFormat="1" x14ac:dyDescent="0.25">
      <c r="A1686" s="670">
        <v>1558</v>
      </c>
      <c r="B1686" s="671">
        <v>7</v>
      </c>
      <c r="C1686" s="701" t="s">
        <v>2197</v>
      </c>
      <c r="D1686" s="702">
        <v>849218008</v>
      </c>
      <c r="E1686" s="441" t="s">
        <v>2191</v>
      </c>
      <c r="F1686" s="175">
        <v>2018</v>
      </c>
      <c r="G1686" s="360" t="s">
        <v>1483</v>
      </c>
      <c r="H1686" s="580" t="str">
        <f t="shared" si="82"/>
        <v xml:space="preserve">   </v>
      </c>
      <c r="I1686" s="580" t="str">
        <f t="shared" si="83"/>
        <v xml:space="preserve">   </v>
      </c>
    </row>
    <row r="1687" spans="1:9" s="2" customFormat="1" x14ac:dyDescent="0.25">
      <c r="A1687" s="670">
        <v>1559</v>
      </c>
      <c r="B1687" s="671">
        <v>8</v>
      </c>
      <c r="C1687" s="701" t="s">
        <v>1210</v>
      </c>
      <c r="D1687" s="702">
        <v>849218010</v>
      </c>
      <c r="E1687" s="441" t="s">
        <v>2191</v>
      </c>
      <c r="F1687" s="175">
        <v>2018</v>
      </c>
      <c r="G1687" s="360" t="s">
        <v>1483</v>
      </c>
      <c r="H1687" s="580" t="str">
        <f t="shared" si="82"/>
        <v xml:space="preserve">   </v>
      </c>
      <c r="I1687" s="580" t="str">
        <f t="shared" si="83"/>
        <v xml:space="preserve">   </v>
      </c>
    </row>
    <row r="1688" spans="1:9" s="2" customFormat="1" x14ac:dyDescent="0.25">
      <c r="A1688" s="670">
        <v>1560</v>
      </c>
      <c r="B1688" s="671">
        <v>9</v>
      </c>
      <c r="C1688" s="701" t="s">
        <v>2198</v>
      </c>
      <c r="D1688" s="702">
        <v>849218011</v>
      </c>
      <c r="E1688" s="441" t="s">
        <v>2191</v>
      </c>
      <c r="F1688" s="175">
        <v>2018</v>
      </c>
      <c r="G1688" s="360" t="s">
        <v>1483</v>
      </c>
      <c r="H1688" s="580" t="str">
        <f t="shared" si="82"/>
        <v xml:space="preserve">   </v>
      </c>
      <c r="I1688" s="580" t="str">
        <f t="shared" si="83"/>
        <v xml:space="preserve">   </v>
      </c>
    </row>
    <row r="1689" spans="1:9" s="2" customFormat="1" x14ac:dyDescent="0.25">
      <c r="A1689" s="670">
        <v>1561</v>
      </c>
      <c r="B1689" s="671">
        <v>10</v>
      </c>
      <c r="C1689" s="701" t="s">
        <v>2199</v>
      </c>
      <c r="D1689" s="702">
        <v>849218012</v>
      </c>
      <c r="E1689" s="441" t="s">
        <v>2191</v>
      </c>
      <c r="F1689" s="175">
        <v>2018</v>
      </c>
      <c r="G1689" s="404" t="s">
        <v>28</v>
      </c>
      <c r="H1689" s="580" t="str">
        <f t="shared" si="82"/>
        <v xml:space="preserve">   </v>
      </c>
      <c r="I1689" s="580" t="str">
        <f t="shared" si="83"/>
        <v xml:space="preserve">   </v>
      </c>
    </row>
    <row r="1690" spans="1:9" s="2" customFormat="1" x14ac:dyDescent="0.25">
      <c r="A1690" s="670">
        <v>1562</v>
      </c>
      <c r="B1690" s="671">
        <v>11</v>
      </c>
      <c r="C1690" s="701" t="s">
        <v>2200</v>
      </c>
      <c r="D1690" s="702">
        <v>849218013</v>
      </c>
      <c r="E1690" s="441" t="s">
        <v>2191</v>
      </c>
      <c r="F1690" s="175">
        <v>2018</v>
      </c>
      <c r="G1690" s="360" t="s">
        <v>1483</v>
      </c>
      <c r="H1690" s="580" t="str">
        <f t="shared" si="82"/>
        <v xml:space="preserve">   </v>
      </c>
      <c r="I1690" s="580" t="str">
        <f t="shared" si="83"/>
        <v xml:space="preserve">   </v>
      </c>
    </row>
    <row r="1691" spans="1:9" s="2" customFormat="1" x14ac:dyDescent="0.25">
      <c r="A1691" s="670">
        <v>1563</v>
      </c>
      <c r="B1691" s="671">
        <v>12</v>
      </c>
      <c r="C1691" s="701" t="s">
        <v>2201</v>
      </c>
      <c r="D1691" s="702">
        <v>849218015</v>
      </c>
      <c r="E1691" s="441" t="s">
        <v>2191</v>
      </c>
      <c r="F1691" s="175">
        <v>2018</v>
      </c>
      <c r="G1691" s="360" t="s">
        <v>1833</v>
      </c>
      <c r="H1691" s="580" t="str">
        <f t="shared" si="82"/>
        <v xml:space="preserve">   </v>
      </c>
      <c r="I1691" s="580" t="str">
        <f t="shared" si="83"/>
        <v xml:space="preserve">   </v>
      </c>
    </row>
    <row r="1692" spans="1:9" s="2" customFormat="1" x14ac:dyDescent="0.25">
      <c r="A1692" s="670">
        <v>1564</v>
      </c>
      <c r="B1692" s="678">
        <v>13</v>
      </c>
      <c r="C1692" s="704" t="s">
        <v>2202</v>
      </c>
      <c r="D1692" s="705">
        <v>849218016</v>
      </c>
      <c r="E1692" s="489" t="s">
        <v>2191</v>
      </c>
      <c r="F1692" s="221">
        <v>2018</v>
      </c>
      <c r="G1692" s="413" t="s">
        <v>1483</v>
      </c>
      <c r="H1692" s="646" t="str">
        <f t="shared" si="82"/>
        <v xml:space="preserve">   </v>
      </c>
      <c r="I1692" s="646" t="str">
        <f t="shared" si="83"/>
        <v xml:space="preserve">   </v>
      </c>
    </row>
    <row r="1693" spans="1:9" s="2" customFormat="1" x14ac:dyDescent="0.25">
      <c r="A1693" s="434"/>
      <c r="B1693" s="434"/>
      <c r="C1693" s="437"/>
      <c r="D1693" s="438"/>
      <c r="E1693" s="437"/>
      <c r="F1693" s="438" t="s">
        <v>61</v>
      </c>
      <c r="G1693" s="192" t="s">
        <v>61</v>
      </c>
      <c r="H1693" s="438" t="str">
        <f t="shared" si="82"/>
        <v xml:space="preserve">   </v>
      </c>
      <c r="I1693" s="438" t="str">
        <f t="shared" si="83"/>
        <v xml:space="preserve">   </v>
      </c>
    </row>
    <row r="1694" spans="1:9" s="2" customFormat="1" x14ac:dyDescent="0.25">
      <c r="A1694" s="434"/>
      <c r="B1694" s="434"/>
      <c r="C1694" s="437"/>
      <c r="D1694" s="438"/>
      <c r="E1694" s="437"/>
      <c r="F1694" s="438" t="s">
        <v>61</v>
      </c>
      <c r="G1694" s="192" t="s">
        <v>61</v>
      </c>
      <c r="H1694" s="438" t="str">
        <f t="shared" si="82"/>
        <v xml:space="preserve">   </v>
      </c>
      <c r="I1694" s="438" t="str">
        <f t="shared" si="83"/>
        <v xml:space="preserve">   </v>
      </c>
    </row>
    <row r="1695" spans="1:9" s="2" customFormat="1" x14ac:dyDescent="0.25">
      <c r="A1695" s="625" t="s">
        <v>2203</v>
      </c>
      <c r="B1695" s="625"/>
      <c r="C1695" s="625"/>
      <c r="D1695" s="366"/>
      <c r="E1695" s="198" t="s">
        <v>1096</v>
      </c>
      <c r="F1695" s="199" t="s">
        <v>1096</v>
      </c>
      <c r="G1695" s="565">
        <v>3750000</v>
      </c>
      <c r="H1695" s="147" t="str">
        <f t="shared" si="82"/>
        <v xml:space="preserve">   </v>
      </c>
      <c r="I1695" s="147" t="str">
        <f t="shared" si="83"/>
        <v xml:space="preserve">   </v>
      </c>
    </row>
    <row r="1696" spans="1:9" s="2" customFormat="1" x14ac:dyDescent="0.25">
      <c r="A1696" s="694">
        <v>1565</v>
      </c>
      <c r="B1696" s="695">
        <v>1</v>
      </c>
      <c r="C1696" s="713" t="s">
        <v>2204</v>
      </c>
      <c r="D1696" s="697">
        <v>849418001</v>
      </c>
      <c r="E1696" s="698" t="s">
        <v>2205</v>
      </c>
      <c r="F1696" s="327">
        <v>2018</v>
      </c>
      <c r="G1696" s="699" t="s">
        <v>1483</v>
      </c>
      <c r="H1696" s="700" t="str">
        <f t="shared" si="82"/>
        <v xml:space="preserve">   </v>
      </c>
      <c r="I1696" s="700" t="str">
        <f t="shared" si="83"/>
        <v xml:space="preserve">   </v>
      </c>
    </row>
    <row r="1697" spans="1:9" s="2" customFormat="1" x14ac:dyDescent="0.25">
      <c r="A1697" s="670">
        <v>1566</v>
      </c>
      <c r="B1697" s="671">
        <v>2</v>
      </c>
      <c r="C1697" s="701" t="s">
        <v>2206</v>
      </c>
      <c r="D1697" s="702">
        <v>849418002</v>
      </c>
      <c r="E1697" s="441" t="s">
        <v>2205</v>
      </c>
      <c r="F1697" s="175">
        <v>2018</v>
      </c>
      <c r="G1697" s="360" t="s">
        <v>1483</v>
      </c>
      <c r="H1697" s="580">
        <f t="shared" si="82"/>
        <v>44076</v>
      </c>
      <c r="I1697" s="580">
        <f t="shared" si="83"/>
        <v>44186</v>
      </c>
    </row>
    <row r="1698" spans="1:9" s="2" customFormat="1" x14ac:dyDescent="0.25">
      <c r="A1698" s="670">
        <v>1567</v>
      </c>
      <c r="B1698" s="671">
        <v>3</v>
      </c>
      <c r="C1698" s="701" t="s">
        <v>2207</v>
      </c>
      <c r="D1698" s="702">
        <v>849418003</v>
      </c>
      <c r="E1698" s="441" t="s">
        <v>2205</v>
      </c>
      <c r="F1698" s="175">
        <v>2018</v>
      </c>
      <c r="G1698" s="360" t="s">
        <v>1483</v>
      </c>
      <c r="H1698" s="580" t="str">
        <f t="shared" si="82"/>
        <v xml:space="preserve">   </v>
      </c>
      <c r="I1698" s="580" t="str">
        <f t="shared" si="83"/>
        <v xml:space="preserve">   </v>
      </c>
    </row>
    <row r="1699" spans="1:9" s="2" customFormat="1" x14ac:dyDescent="0.25">
      <c r="A1699" s="670">
        <v>1568</v>
      </c>
      <c r="B1699" s="671">
        <v>4</v>
      </c>
      <c r="C1699" s="701" t="s">
        <v>2208</v>
      </c>
      <c r="D1699" s="702">
        <v>849418004</v>
      </c>
      <c r="E1699" s="441" t="s">
        <v>2205</v>
      </c>
      <c r="F1699" s="175">
        <v>2018</v>
      </c>
      <c r="G1699" s="360" t="s">
        <v>1483</v>
      </c>
      <c r="H1699" s="580" t="str">
        <f t="shared" si="82"/>
        <v xml:space="preserve">   </v>
      </c>
      <c r="I1699" s="580" t="str">
        <f t="shared" si="83"/>
        <v xml:space="preserve">   </v>
      </c>
    </row>
    <row r="1700" spans="1:9" s="2" customFormat="1" x14ac:dyDescent="0.25">
      <c r="A1700" s="670">
        <v>1569</v>
      </c>
      <c r="B1700" s="671">
        <v>5</v>
      </c>
      <c r="C1700" s="701" t="s">
        <v>2209</v>
      </c>
      <c r="D1700" s="702">
        <v>849418005</v>
      </c>
      <c r="E1700" s="441" t="s">
        <v>2205</v>
      </c>
      <c r="F1700" s="175">
        <v>2018</v>
      </c>
      <c r="G1700" s="360" t="s">
        <v>1483</v>
      </c>
      <c r="H1700" s="580" t="str">
        <f t="shared" si="82"/>
        <v xml:space="preserve">   </v>
      </c>
      <c r="I1700" s="580" t="str">
        <f t="shared" si="83"/>
        <v xml:space="preserve">   </v>
      </c>
    </row>
    <row r="1701" spans="1:9" s="2" customFormat="1" x14ac:dyDescent="0.25">
      <c r="A1701" s="670">
        <v>1570</v>
      </c>
      <c r="B1701" s="671">
        <v>6</v>
      </c>
      <c r="C1701" s="701" t="s">
        <v>2210</v>
      </c>
      <c r="D1701" s="702">
        <v>849418006</v>
      </c>
      <c r="E1701" s="441" t="s">
        <v>2205</v>
      </c>
      <c r="F1701" s="175">
        <v>2018</v>
      </c>
      <c r="G1701" s="581" t="s">
        <v>1833</v>
      </c>
      <c r="H1701" s="580" t="str">
        <f t="shared" si="82"/>
        <v xml:space="preserve">   </v>
      </c>
      <c r="I1701" s="580" t="str">
        <f t="shared" si="83"/>
        <v xml:space="preserve">   </v>
      </c>
    </row>
    <row r="1702" spans="1:9" s="2" customFormat="1" x14ac:dyDescent="0.25">
      <c r="A1702" s="670">
        <v>1571</v>
      </c>
      <c r="B1702" s="671">
        <v>7</v>
      </c>
      <c r="C1702" s="701" t="s">
        <v>2211</v>
      </c>
      <c r="D1702" s="702">
        <v>849418007</v>
      </c>
      <c r="E1702" s="441" t="s">
        <v>2205</v>
      </c>
      <c r="F1702" s="175">
        <v>2018</v>
      </c>
      <c r="G1702" s="360" t="s">
        <v>1483</v>
      </c>
      <c r="H1702" s="580" t="str">
        <f t="shared" si="82"/>
        <v xml:space="preserve">   </v>
      </c>
      <c r="I1702" s="580" t="str">
        <f t="shared" si="83"/>
        <v xml:space="preserve">   </v>
      </c>
    </row>
    <row r="1703" spans="1:9" s="2" customFormat="1" x14ac:dyDescent="0.25">
      <c r="A1703" s="670">
        <v>1572</v>
      </c>
      <c r="B1703" s="671">
        <v>8</v>
      </c>
      <c r="C1703" s="701" t="s">
        <v>2212</v>
      </c>
      <c r="D1703" s="702">
        <v>849418008</v>
      </c>
      <c r="E1703" s="441" t="s">
        <v>2205</v>
      </c>
      <c r="F1703" s="175">
        <v>2018</v>
      </c>
      <c r="G1703" s="360" t="s">
        <v>1483</v>
      </c>
      <c r="H1703" s="580" t="str">
        <f t="shared" si="82"/>
        <v xml:space="preserve">   </v>
      </c>
      <c r="I1703" s="580" t="str">
        <f t="shared" si="83"/>
        <v xml:space="preserve">   </v>
      </c>
    </row>
    <row r="1704" spans="1:9" s="2" customFormat="1" x14ac:dyDescent="0.25">
      <c r="A1704" s="670">
        <v>1573</v>
      </c>
      <c r="B1704" s="671">
        <v>9</v>
      </c>
      <c r="C1704" s="701" t="s">
        <v>2213</v>
      </c>
      <c r="D1704" s="702">
        <v>849418009</v>
      </c>
      <c r="E1704" s="441" t="s">
        <v>2205</v>
      </c>
      <c r="F1704" s="175">
        <v>2018</v>
      </c>
      <c r="G1704" s="360" t="s">
        <v>1483</v>
      </c>
      <c r="H1704" s="580" t="str">
        <f t="shared" si="82"/>
        <v xml:space="preserve">   </v>
      </c>
      <c r="I1704" s="580" t="str">
        <f t="shared" si="83"/>
        <v xml:space="preserve">   </v>
      </c>
    </row>
    <row r="1705" spans="1:9" s="2" customFormat="1" x14ac:dyDescent="0.25">
      <c r="A1705" s="670">
        <v>1574</v>
      </c>
      <c r="B1705" s="671">
        <v>10</v>
      </c>
      <c r="C1705" s="701" t="s">
        <v>2214</v>
      </c>
      <c r="D1705" s="702">
        <v>849418010</v>
      </c>
      <c r="E1705" s="441" t="s">
        <v>2205</v>
      </c>
      <c r="F1705" s="175">
        <v>2018</v>
      </c>
      <c r="G1705" s="360" t="s">
        <v>1483</v>
      </c>
      <c r="H1705" s="580" t="str">
        <f t="shared" si="82"/>
        <v xml:space="preserve">   </v>
      </c>
      <c r="I1705" s="580" t="str">
        <f t="shared" si="83"/>
        <v xml:space="preserve">   </v>
      </c>
    </row>
    <row r="1706" spans="1:9" s="2" customFormat="1" x14ac:dyDescent="0.25">
      <c r="A1706" s="670">
        <v>1575</v>
      </c>
      <c r="B1706" s="671">
        <v>11</v>
      </c>
      <c r="C1706" s="701" t="s">
        <v>2215</v>
      </c>
      <c r="D1706" s="702">
        <v>849418011</v>
      </c>
      <c r="E1706" s="441" t="s">
        <v>2205</v>
      </c>
      <c r="F1706" s="175">
        <v>2018</v>
      </c>
      <c r="G1706" s="360" t="s">
        <v>1483</v>
      </c>
      <c r="H1706" s="580" t="str">
        <f t="shared" si="82"/>
        <v xml:space="preserve">   </v>
      </c>
      <c r="I1706" s="580" t="str">
        <f t="shared" si="83"/>
        <v xml:space="preserve">   </v>
      </c>
    </row>
    <row r="1707" spans="1:9" s="2" customFormat="1" x14ac:dyDescent="0.25">
      <c r="A1707" s="670">
        <v>1576</v>
      </c>
      <c r="B1707" s="671">
        <v>12</v>
      </c>
      <c r="C1707" s="701" t="s">
        <v>2216</v>
      </c>
      <c r="D1707" s="702">
        <v>849418012</v>
      </c>
      <c r="E1707" s="441" t="s">
        <v>2205</v>
      </c>
      <c r="F1707" s="175">
        <v>2018</v>
      </c>
      <c r="G1707" s="360" t="s">
        <v>1483</v>
      </c>
      <c r="H1707" s="580">
        <f t="shared" si="82"/>
        <v>43948</v>
      </c>
      <c r="I1707" s="580">
        <f t="shared" si="83"/>
        <v>44168</v>
      </c>
    </row>
    <row r="1708" spans="1:9" s="2" customFormat="1" x14ac:dyDescent="0.25">
      <c r="A1708" s="670">
        <v>1577</v>
      </c>
      <c r="B1708" s="671">
        <v>13</v>
      </c>
      <c r="C1708" s="701" t="s">
        <v>2217</v>
      </c>
      <c r="D1708" s="702">
        <v>849418013</v>
      </c>
      <c r="E1708" s="441" t="s">
        <v>2205</v>
      </c>
      <c r="F1708" s="175">
        <v>2018</v>
      </c>
      <c r="G1708" s="360" t="s">
        <v>1483</v>
      </c>
      <c r="H1708" s="580" t="str">
        <f t="shared" si="82"/>
        <v xml:space="preserve">   </v>
      </c>
      <c r="I1708" s="580" t="str">
        <f t="shared" si="83"/>
        <v xml:space="preserve">   </v>
      </c>
    </row>
    <row r="1709" spans="1:9" s="2" customFormat="1" x14ac:dyDescent="0.25">
      <c r="A1709" s="670">
        <v>1578</v>
      </c>
      <c r="B1709" s="671">
        <v>14</v>
      </c>
      <c r="C1709" s="701" t="s">
        <v>2218</v>
      </c>
      <c r="D1709" s="702">
        <v>849418014</v>
      </c>
      <c r="E1709" s="441" t="s">
        <v>2205</v>
      </c>
      <c r="F1709" s="175">
        <v>2018</v>
      </c>
      <c r="G1709" s="404" t="s">
        <v>28</v>
      </c>
      <c r="H1709" s="580" t="str">
        <f t="shared" si="82"/>
        <v xml:space="preserve">   </v>
      </c>
      <c r="I1709" s="580" t="str">
        <f t="shared" si="83"/>
        <v xml:space="preserve">   </v>
      </c>
    </row>
    <row r="1710" spans="1:9" s="2" customFormat="1" x14ac:dyDescent="0.25">
      <c r="A1710" s="670">
        <v>1579</v>
      </c>
      <c r="B1710" s="671">
        <v>15</v>
      </c>
      <c r="C1710" s="701" t="s">
        <v>2219</v>
      </c>
      <c r="D1710" s="702">
        <v>849418015</v>
      </c>
      <c r="E1710" s="441" t="s">
        <v>2205</v>
      </c>
      <c r="F1710" s="175">
        <v>2018</v>
      </c>
      <c r="G1710" s="360" t="s">
        <v>1483</v>
      </c>
      <c r="H1710" s="580" t="str">
        <f t="shared" si="82"/>
        <v xml:space="preserve">   </v>
      </c>
      <c r="I1710" s="580" t="str">
        <f t="shared" si="83"/>
        <v xml:space="preserve">   </v>
      </c>
    </row>
    <row r="1711" spans="1:9" s="2" customFormat="1" x14ac:dyDescent="0.25">
      <c r="A1711" s="670">
        <v>1580</v>
      </c>
      <c r="B1711" s="671">
        <v>16</v>
      </c>
      <c r="C1711" s="701" t="s">
        <v>2220</v>
      </c>
      <c r="D1711" s="702">
        <v>849418016</v>
      </c>
      <c r="E1711" s="441" t="s">
        <v>2205</v>
      </c>
      <c r="F1711" s="175">
        <v>2018</v>
      </c>
      <c r="G1711" s="360" t="s">
        <v>1483</v>
      </c>
      <c r="H1711" s="580" t="str">
        <f t="shared" si="82"/>
        <v xml:space="preserve">   </v>
      </c>
      <c r="I1711" s="580" t="str">
        <f t="shared" si="83"/>
        <v xml:space="preserve">   </v>
      </c>
    </row>
    <row r="1712" spans="1:9" s="2" customFormat="1" x14ac:dyDescent="0.25">
      <c r="A1712" s="670">
        <v>1581</v>
      </c>
      <c r="B1712" s="671">
        <v>17</v>
      </c>
      <c r="C1712" s="701" t="s">
        <v>2221</v>
      </c>
      <c r="D1712" s="702">
        <v>849418017</v>
      </c>
      <c r="E1712" s="441" t="s">
        <v>2205</v>
      </c>
      <c r="F1712" s="175">
        <v>2018</v>
      </c>
      <c r="G1712" s="404" t="s">
        <v>28</v>
      </c>
      <c r="H1712" s="580" t="str">
        <f t="shared" si="82"/>
        <v xml:space="preserve">   </v>
      </c>
      <c r="I1712" s="580" t="str">
        <f t="shared" si="83"/>
        <v xml:space="preserve">   </v>
      </c>
    </row>
    <row r="1713" spans="1:9" s="2" customFormat="1" x14ac:dyDescent="0.25">
      <c r="A1713" s="670">
        <v>1582</v>
      </c>
      <c r="B1713" s="671">
        <v>18</v>
      </c>
      <c r="C1713" s="701" t="s">
        <v>2222</v>
      </c>
      <c r="D1713" s="702">
        <v>849418018</v>
      </c>
      <c r="E1713" s="441" t="s">
        <v>2205</v>
      </c>
      <c r="F1713" s="175">
        <v>2018</v>
      </c>
      <c r="G1713" s="404" t="s">
        <v>28</v>
      </c>
      <c r="H1713" s="580" t="str">
        <f t="shared" si="82"/>
        <v xml:space="preserve">   </v>
      </c>
      <c r="I1713" s="580" t="str">
        <f t="shared" si="83"/>
        <v xml:space="preserve">   </v>
      </c>
    </row>
    <row r="1714" spans="1:9" s="2" customFormat="1" x14ac:dyDescent="0.25">
      <c r="A1714" s="670">
        <v>1583</v>
      </c>
      <c r="B1714" s="671">
        <v>19</v>
      </c>
      <c r="C1714" s="701" t="s">
        <v>2223</v>
      </c>
      <c r="D1714" s="702">
        <v>849418019</v>
      </c>
      <c r="E1714" s="441" t="s">
        <v>2205</v>
      </c>
      <c r="F1714" s="175">
        <v>2018</v>
      </c>
      <c r="G1714" s="360" t="s">
        <v>1483</v>
      </c>
      <c r="H1714" s="580" t="str">
        <f t="shared" si="82"/>
        <v xml:space="preserve">   </v>
      </c>
      <c r="I1714" s="580" t="str">
        <f t="shared" si="83"/>
        <v xml:space="preserve">   </v>
      </c>
    </row>
    <row r="1715" spans="1:9" s="2" customFormat="1" x14ac:dyDescent="0.25">
      <c r="A1715" s="670">
        <v>1584</v>
      </c>
      <c r="B1715" s="671">
        <v>20</v>
      </c>
      <c r="C1715" s="701" t="s">
        <v>2224</v>
      </c>
      <c r="D1715" s="702">
        <v>849418020</v>
      </c>
      <c r="E1715" s="441" t="s">
        <v>2205</v>
      </c>
      <c r="F1715" s="175">
        <v>2018</v>
      </c>
      <c r="G1715" s="360" t="s">
        <v>1483</v>
      </c>
      <c r="H1715" s="580" t="str">
        <f t="shared" si="82"/>
        <v xml:space="preserve">   </v>
      </c>
      <c r="I1715" s="580" t="str">
        <f t="shared" si="83"/>
        <v xml:space="preserve">   </v>
      </c>
    </row>
    <row r="1716" spans="1:9" s="2" customFormat="1" x14ac:dyDescent="0.25">
      <c r="A1716" s="670">
        <v>1585</v>
      </c>
      <c r="B1716" s="671">
        <v>21</v>
      </c>
      <c r="C1716" s="701" t="s">
        <v>1212</v>
      </c>
      <c r="D1716" s="702">
        <v>849418021</v>
      </c>
      <c r="E1716" s="441" t="s">
        <v>2205</v>
      </c>
      <c r="F1716" s="175">
        <v>2018</v>
      </c>
      <c r="G1716" s="404" t="s">
        <v>28</v>
      </c>
      <c r="H1716" s="580" t="str">
        <f t="shared" si="82"/>
        <v xml:space="preserve">   </v>
      </c>
      <c r="I1716" s="580" t="str">
        <f t="shared" si="83"/>
        <v xml:space="preserve">   </v>
      </c>
    </row>
    <row r="1717" spans="1:9" s="2" customFormat="1" x14ac:dyDescent="0.25">
      <c r="A1717" s="670">
        <v>1586</v>
      </c>
      <c r="B1717" s="671">
        <v>22</v>
      </c>
      <c r="C1717" s="701" t="s">
        <v>2225</v>
      </c>
      <c r="D1717" s="702">
        <v>849418022</v>
      </c>
      <c r="E1717" s="441" t="s">
        <v>2205</v>
      </c>
      <c r="F1717" s="175">
        <v>2018</v>
      </c>
      <c r="G1717" s="360" t="s">
        <v>1483</v>
      </c>
      <c r="H1717" s="580" t="str">
        <f t="shared" si="82"/>
        <v xml:space="preserve">   </v>
      </c>
      <c r="I1717" s="580" t="str">
        <f t="shared" si="83"/>
        <v xml:space="preserve">   </v>
      </c>
    </row>
    <row r="1718" spans="1:9" s="2" customFormat="1" x14ac:dyDescent="0.25">
      <c r="A1718" s="670">
        <v>1587</v>
      </c>
      <c r="B1718" s="678">
        <v>23</v>
      </c>
      <c r="C1718" s="704" t="s">
        <v>2226</v>
      </c>
      <c r="D1718" s="705">
        <v>849418023</v>
      </c>
      <c r="E1718" s="489" t="s">
        <v>2205</v>
      </c>
      <c r="F1718" s="221">
        <v>2018</v>
      </c>
      <c r="G1718" s="413" t="s">
        <v>1483</v>
      </c>
      <c r="H1718" s="646">
        <f t="shared" si="82"/>
        <v>44035</v>
      </c>
      <c r="I1718" s="646">
        <f t="shared" si="83"/>
        <v>44168</v>
      </c>
    </row>
    <row r="1719" spans="1:9" s="2" customFormat="1" x14ac:dyDescent="0.25">
      <c r="A1719" s="434"/>
      <c r="B1719" s="434"/>
      <c r="C1719" s="437"/>
      <c r="D1719" s="438"/>
      <c r="E1719" s="437"/>
      <c r="F1719" s="438" t="s">
        <v>61</v>
      </c>
      <c r="G1719" s="192" t="s">
        <v>61</v>
      </c>
      <c r="H1719" s="438" t="str">
        <f t="shared" si="82"/>
        <v xml:space="preserve">   </v>
      </c>
      <c r="I1719" s="438" t="str">
        <f t="shared" si="83"/>
        <v xml:space="preserve">   </v>
      </c>
    </row>
    <row r="1720" spans="1:9" s="2" customFormat="1" x14ac:dyDescent="0.25">
      <c r="A1720" s="434"/>
      <c r="B1720" s="434"/>
      <c r="C1720" s="437"/>
      <c r="D1720" s="438"/>
      <c r="E1720" s="437"/>
      <c r="F1720" s="438" t="s">
        <v>61</v>
      </c>
      <c r="G1720" s="192" t="s">
        <v>61</v>
      </c>
      <c r="H1720" s="438" t="str">
        <f t="shared" si="82"/>
        <v xml:space="preserve">   </v>
      </c>
      <c r="I1720" s="438" t="str">
        <f t="shared" si="83"/>
        <v xml:space="preserve">   </v>
      </c>
    </row>
    <row r="1721" spans="1:9" s="2" customFormat="1" x14ac:dyDescent="0.25">
      <c r="A1721" s="625" t="s">
        <v>2227</v>
      </c>
      <c r="B1721" s="625"/>
      <c r="C1721" s="625"/>
      <c r="D1721" s="366"/>
      <c r="E1721" s="198" t="s">
        <v>1096</v>
      </c>
      <c r="F1721" s="199" t="s">
        <v>1096</v>
      </c>
      <c r="G1721" s="565">
        <v>3750000</v>
      </c>
      <c r="H1721" s="147" t="str">
        <f t="shared" si="82"/>
        <v xml:space="preserve">   </v>
      </c>
      <c r="I1721" s="147" t="str">
        <f t="shared" si="83"/>
        <v xml:space="preserve">   </v>
      </c>
    </row>
    <row r="1722" spans="1:9" s="2" customFormat="1" x14ac:dyDescent="0.25">
      <c r="A1722" s="694">
        <v>1588</v>
      </c>
      <c r="B1722" s="695">
        <v>1</v>
      </c>
      <c r="C1722" s="696" t="s">
        <v>2228</v>
      </c>
      <c r="D1722" s="714">
        <v>839118001</v>
      </c>
      <c r="E1722" s="698" t="s">
        <v>2229</v>
      </c>
      <c r="F1722" s="327">
        <v>2018</v>
      </c>
      <c r="G1722" s="699" t="s">
        <v>1483</v>
      </c>
      <c r="H1722" s="715">
        <f t="shared" si="82"/>
        <v>44083</v>
      </c>
      <c r="I1722" s="715">
        <f t="shared" si="83"/>
        <v>44186</v>
      </c>
    </row>
    <row r="1723" spans="1:9" s="2" customFormat="1" x14ac:dyDescent="0.25">
      <c r="A1723" s="670">
        <v>1589</v>
      </c>
      <c r="B1723" s="671">
        <v>2</v>
      </c>
      <c r="C1723" s="701" t="s">
        <v>2230</v>
      </c>
      <c r="D1723" s="716">
        <v>839118002</v>
      </c>
      <c r="E1723" s="441" t="s">
        <v>2229</v>
      </c>
      <c r="F1723" s="175">
        <v>2018</v>
      </c>
      <c r="G1723" s="360" t="s">
        <v>1483</v>
      </c>
      <c r="H1723" s="215">
        <f t="shared" si="82"/>
        <v>44132</v>
      </c>
      <c r="I1723" s="215">
        <f t="shared" si="83"/>
        <v>44186</v>
      </c>
    </row>
    <row r="1724" spans="1:9" s="2" customFormat="1" x14ac:dyDescent="0.25">
      <c r="A1724" s="670">
        <v>1590</v>
      </c>
      <c r="B1724" s="671">
        <v>3</v>
      </c>
      <c r="C1724" s="701" t="s">
        <v>332</v>
      </c>
      <c r="D1724" s="716">
        <v>839118003</v>
      </c>
      <c r="E1724" s="441" t="s">
        <v>2229</v>
      </c>
      <c r="F1724" s="175">
        <v>2018</v>
      </c>
      <c r="G1724" s="360" t="s">
        <v>1483</v>
      </c>
      <c r="H1724" s="215" t="str">
        <f t="shared" si="82"/>
        <v xml:space="preserve">   </v>
      </c>
      <c r="I1724" s="215" t="str">
        <f t="shared" si="83"/>
        <v xml:space="preserve">   </v>
      </c>
    </row>
    <row r="1725" spans="1:9" s="2" customFormat="1" x14ac:dyDescent="0.25">
      <c r="A1725" s="670">
        <v>1591</v>
      </c>
      <c r="B1725" s="671">
        <v>4</v>
      </c>
      <c r="C1725" s="701" t="s">
        <v>2231</v>
      </c>
      <c r="D1725" s="716">
        <v>839118004</v>
      </c>
      <c r="E1725" s="441" t="s">
        <v>2229</v>
      </c>
      <c r="F1725" s="175">
        <v>2018</v>
      </c>
      <c r="G1725" s="360" t="s">
        <v>1483</v>
      </c>
      <c r="H1725" s="215">
        <f t="shared" si="82"/>
        <v>44102</v>
      </c>
      <c r="I1725" s="215" t="str">
        <f t="shared" si="83"/>
        <v xml:space="preserve">   </v>
      </c>
    </row>
    <row r="1726" spans="1:9" s="2" customFormat="1" x14ac:dyDescent="0.25">
      <c r="A1726" s="670">
        <v>1592</v>
      </c>
      <c r="B1726" s="671">
        <v>5</v>
      </c>
      <c r="C1726" s="701" t="s">
        <v>2232</v>
      </c>
      <c r="D1726" s="716">
        <v>839118005</v>
      </c>
      <c r="E1726" s="441" t="s">
        <v>2229</v>
      </c>
      <c r="F1726" s="175">
        <v>2018</v>
      </c>
      <c r="G1726" s="360" t="s">
        <v>1483</v>
      </c>
      <c r="H1726" s="215">
        <f t="shared" si="82"/>
        <v>44031</v>
      </c>
      <c r="I1726" s="215">
        <f t="shared" si="83"/>
        <v>44186</v>
      </c>
    </row>
    <row r="1727" spans="1:9" s="2" customFormat="1" x14ac:dyDescent="0.25">
      <c r="A1727" s="670">
        <v>1593</v>
      </c>
      <c r="B1727" s="671">
        <v>6</v>
      </c>
      <c r="C1727" s="701" t="s">
        <v>2233</v>
      </c>
      <c r="D1727" s="716">
        <v>839118006</v>
      </c>
      <c r="E1727" s="441" t="s">
        <v>2229</v>
      </c>
      <c r="F1727" s="175">
        <v>2018</v>
      </c>
      <c r="G1727" s="360" t="s">
        <v>1483</v>
      </c>
      <c r="H1727" s="215" t="str">
        <f t="shared" si="82"/>
        <v xml:space="preserve">   </v>
      </c>
      <c r="I1727" s="215" t="str">
        <f t="shared" si="83"/>
        <v xml:space="preserve">   </v>
      </c>
    </row>
    <row r="1728" spans="1:9" s="2" customFormat="1" x14ac:dyDescent="0.25">
      <c r="A1728" s="670">
        <v>1594</v>
      </c>
      <c r="B1728" s="671">
        <v>7</v>
      </c>
      <c r="C1728" s="701" t="s">
        <v>2234</v>
      </c>
      <c r="D1728" s="716">
        <v>839118007</v>
      </c>
      <c r="E1728" s="441" t="s">
        <v>2229</v>
      </c>
      <c r="F1728" s="175">
        <v>2018</v>
      </c>
      <c r="G1728" s="360" t="s">
        <v>1483</v>
      </c>
      <c r="H1728" s="215" t="str">
        <f t="shared" si="82"/>
        <v xml:space="preserve">   </v>
      </c>
      <c r="I1728" s="215" t="str">
        <f t="shared" si="83"/>
        <v xml:space="preserve">   </v>
      </c>
    </row>
    <row r="1729" spans="1:9" s="2" customFormat="1" x14ac:dyDescent="0.25">
      <c r="A1729" s="670">
        <v>1595</v>
      </c>
      <c r="B1729" s="671">
        <v>8</v>
      </c>
      <c r="C1729" s="701" t="s">
        <v>2235</v>
      </c>
      <c r="D1729" s="716">
        <v>839118011</v>
      </c>
      <c r="E1729" s="441" t="s">
        <v>2229</v>
      </c>
      <c r="F1729" s="175">
        <v>2018</v>
      </c>
      <c r="G1729" s="360" t="s">
        <v>1483</v>
      </c>
      <c r="H1729" s="215" t="str">
        <f t="shared" si="82"/>
        <v xml:space="preserve">   </v>
      </c>
      <c r="I1729" s="215" t="str">
        <f t="shared" si="83"/>
        <v xml:space="preserve">   </v>
      </c>
    </row>
    <row r="1730" spans="1:9" s="2" customFormat="1" x14ac:dyDescent="0.25">
      <c r="A1730" s="670">
        <v>1596</v>
      </c>
      <c r="B1730" s="671">
        <v>9</v>
      </c>
      <c r="C1730" s="701" t="s">
        <v>2236</v>
      </c>
      <c r="D1730" s="716">
        <v>839118012</v>
      </c>
      <c r="E1730" s="441" t="s">
        <v>2229</v>
      </c>
      <c r="F1730" s="175">
        <v>2018</v>
      </c>
      <c r="G1730" s="360" t="s">
        <v>1483</v>
      </c>
      <c r="H1730" s="215" t="str">
        <f t="shared" si="82"/>
        <v xml:space="preserve">   </v>
      </c>
      <c r="I1730" s="215" t="str">
        <f t="shared" si="83"/>
        <v xml:space="preserve">   </v>
      </c>
    </row>
    <row r="1731" spans="1:9" s="2" customFormat="1" x14ac:dyDescent="0.25">
      <c r="A1731" s="670">
        <v>1597</v>
      </c>
      <c r="B1731" s="671">
        <v>10</v>
      </c>
      <c r="C1731" s="701" t="s">
        <v>841</v>
      </c>
      <c r="D1731" s="716">
        <v>839118013</v>
      </c>
      <c r="E1731" s="441" t="s">
        <v>2229</v>
      </c>
      <c r="F1731" s="175">
        <v>2018</v>
      </c>
      <c r="G1731" s="360" t="s">
        <v>1483</v>
      </c>
      <c r="H1731" s="215" t="str">
        <f t="shared" si="82"/>
        <v xml:space="preserve">   </v>
      </c>
      <c r="I1731" s="215" t="str">
        <f t="shared" si="83"/>
        <v xml:space="preserve">   </v>
      </c>
    </row>
    <row r="1732" spans="1:9" s="2" customFormat="1" x14ac:dyDescent="0.25">
      <c r="A1732" s="670">
        <v>1598</v>
      </c>
      <c r="B1732" s="671">
        <v>11</v>
      </c>
      <c r="C1732" s="701" t="s">
        <v>2237</v>
      </c>
      <c r="D1732" s="716">
        <v>839118014</v>
      </c>
      <c r="E1732" s="441" t="s">
        <v>2229</v>
      </c>
      <c r="F1732" s="175">
        <v>2018</v>
      </c>
      <c r="G1732" s="360" t="s">
        <v>1483</v>
      </c>
      <c r="H1732" s="215" t="str">
        <f t="shared" si="82"/>
        <v xml:space="preserve">   </v>
      </c>
      <c r="I1732" s="215" t="str">
        <f t="shared" si="83"/>
        <v xml:space="preserve">   </v>
      </c>
    </row>
    <row r="1733" spans="1:9" s="2" customFormat="1" x14ac:dyDescent="0.25">
      <c r="A1733" s="670">
        <v>1599</v>
      </c>
      <c r="B1733" s="671">
        <v>12</v>
      </c>
      <c r="C1733" s="701" t="s">
        <v>2238</v>
      </c>
      <c r="D1733" s="716">
        <v>839118017</v>
      </c>
      <c r="E1733" s="441" t="s">
        <v>2229</v>
      </c>
      <c r="F1733" s="175">
        <v>2018</v>
      </c>
      <c r="G1733" s="360" t="s">
        <v>1483</v>
      </c>
      <c r="H1733" s="215" t="str">
        <f t="shared" si="82"/>
        <v xml:space="preserve">   </v>
      </c>
      <c r="I1733" s="215" t="str">
        <f t="shared" si="83"/>
        <v xml:space="preserve">   </v>
      </c>
    </row>
    <row r="1734" spans="1:9" s="2" customFormat="1" x14ac:dyDescent="0.25">
      <c r="A1734" s="670">
        <v>1600</v>
      </c>
      <c r="B1734" s="671">
        <v>13</v>
      </c>
      <c r="C1734" s="701" t="s">
        <v>2239</v>
      </c>
      <c r="D1734" s="716">
        <v>839118024</v>
      </c>
      <c r="E1734" s="441" t="s">
        <v>2229</v>
      </c>
      <c r="F1734" s="175">
        <v>2018</v>
      </c>
      <c r="G1734" s="360" t="s">
        <v>1483</v>
      </c>
      <c r="H1734" s="215" t="str">
        <f t="shared" si="82"/>
        <v xml:space="preserve">   </v>
      </c>
      <c r="I1734" s="215" t="str">
        <f t="shared" si="83"/>
        <v xml:space="preserve">   </v>
      </c>
    </row>
    <row r="1735" spans="1:9" s="2" customFormat="1" x14ac:dyDescent="0.25">
      <c r="A1735" s="670">
        <v>1601</v>
      </c>
      <c r="B1735" s="671">
        <v>14</v>
      </c>
      <c r="C1735" s="701" t="s">
        <v>2242</v>
      </c>
      <c r="D1735" s="716">
        <v>839118008</v>
      </c>
      <c r="E1735" s="441" t="s">
        <v>2243</v>
      </c>
      <c r="F1735" s="175">
        <v>2018</v>
      </c>
      <c r="G1735" s="360" t="s">
        <v>1483</v>
      </c>
      <c r="H1735" s="215" t="str">
        <f t="shared" si="82"/>
        <v xml:space="preserve">   </v>
      </c>
      <c r="I1735" s="215" t="str">
        <f t="shared" si="83"/>
        <v xml:space="preserve">   </v>
      </c>
    </row>
    <row r="1736" spans="1:9" s="2" customFormat="1" x14ac:dyDescent="0.25">
      <c r="A1736" s="670">
        <v>1602</v>
      </c>
      <c r="B1736" s="671">
        <v>15</v>
      </c>
      <c r="C1736" s="701" t="s">
        <v>2244</v>
      </c>
      <c r="D1736" s="716">
        <v>839118009</v>
      </c>
      <c r="E1736" s="441" t="s">
        <v>2243</v>
      </c>
      <c r="F1736" s="175">
        <v>2018</v>
      </c>
      <c r="G1736" s="360" t="s">
        <v>1483</v>
      </c>
      <c r="H1736" s="215">
        <f t="shared" si="82"/>
        <v>44088</v>
      </c>
      <c r="I1736" s="215" t="str">
        <f t="shared" si="83"/>
        <v xml:space="preserve">   </v>
      </c>
    </row>
    <row r="1737" spans="1:9" s="2" customFormat="1" x14ac:dyDescent="0.25">
      <c r="A1737" s="670">
        <v>1603</v>
      </c>
      <c r="B1737" s="671">
        <v>16</v>
      </c>
      <c r="C1737" s="701" t="s">
        <v>2245</v>
      </c>
      <c r="D1737" s="716">
        <v>839118015</v>
      </c>
      <c r="E1737" s="441" t="s">
        <v>2243</v>
      </c>
      <c r="F1737" s="175">
        <v>2018</v>
      </c>
      <c r="G1737" s="404" t="s">
        <v>28</v>
      </c>
      <c r="H1737" s="215" t="str">
        <f t="shared" si="82"/>
        <v xml:space="preserve">   </v>
      </c>
      <c r="I1737" s="215" t="str">
        <f t="shared" si="83"/>
        <v xml:space="preserve">   </v>
      </c>
    </row>
    <row r="1738" spans="1:9" s="2" customFormat="1" x14ac:dyDescent="0.25">
      <c r="A1738" s="670">
        <v>1604</v>
      </c>
      <c r="B1738" s="671">
        <v>17</v>
      </c>
      <c r="C1738" s="701" t="s">
        <v>2246</v>
      </c>
      <c r="D1738" s="716">
        <v>839118016</v>
      </c>
      <c r="E1738" s="441" t="s">
        <v>2243</v>
      </c>
      <c r="F1738" s="175">
        <v>2018</v>
      </c>
      <c r="G1738" s="360" t="s">
        <v>1483</v>
      </c>
      <c r="H1738" s="215" t="str">
        <f t="shared" si="82"/>
        <v xml:space="preserve">   </v>
      </c>
      <c r="I1738" s="215" t="str">
        <f t="shared" si="83"/>
        <v xml:space="preserve">   </v>
      </c>
    </row>
    <row r="1739" spans="1:9" s="2" customFormat="1" x14ac:dyDescent="0.25">
      <c r="A1739" s="670">
        <v>1605</v>
      </c>
      <c r="B1739" s="671">
        <v>18</v>
      </c>
      <c r="C1739" s="701" t="s">
        <v>2247</v>
      </c>
      <c r="D1739" s="716">
        <v>839118018</v>
      </c>
      <c r="E1739" s="441" t="s">
        <v>2243</v>
      </c>
      <c r="F1739" s="175">
        <v>2018</v>
      </c>
      <c r="G1739" s="360" t="s">
        <v>1483</v>
      </c>
      <c r="H1739" s="215" t="str">
        <f t="shared" ref="H1739:H1776" si="84">IFERROR(VLOOKUP(D1739,Tlus,3,FALSE),"   ")</f>
        <v xml:space="preserve">   </v>
      </c>
      <c r="I1739" s="215" t="str">
        <f t="shared" ref="I1739:I1770" si="85">IFERROR(VLOOKUP(D1739,Wis,4,FALSE),"   ")</f>
        <v xml:space="preserve">   </v>
      </c>
    </row>
    <row r="1740" spans="1:9" s="2" customFormat="1" x14ac:dyDescent="0.25">
      <c r="A1740" s="670">
        <v>1606</v>
      </c>
      <c r="B1740" s="671">
        <v>19</v>
      </c>
      <c r="C1740" s="701" t="s">
        <v>2248</v>
      </c>
      <c r="D1740" s="716">
        <v>839118019</v>
      </c>
      <c r="E1740" s="441" t="s">
        <v>2243</v>
      </c>
      <c r="F1740" s="175">
        <v>2018</v>
      </c>
      <c r="G1740" s="360" t="s">
        <v>1483</v>
      </c>
      <c r="H1740" s="215">
        <f t="shared" si="84"/>
        <v>44076</v>
      </c>
      <c r="I1740" s="215" t="str">
        <f t="shared" si="85"/>
        <v xml:space="preserve">   </v>
      </c>
    </row>
    <row r="1741" spans="1:9" s="2" customFormat="1" x14ac:dyDescent="0.25">
      <c r="A1741" s="670">
        <v>1607</v>
      </c>
      <c r="B1741" s="671">
        <v>20</v>
      </c>
      <c r="C1741" s="701" t="s">
        <v>2249</v>
      </c>
      <c r="D1741" s="716">
        <v>839118020</v>
      </c>
      <c r="E1741" s="441" t="s">
        <v>2243</v>
      </c>
      <c r="F1741" s="175">
        <v>2018</v>
      </c>
      <c r="G1741" s="360" t="s">
        <v>1483</v>
      </c>
      <c r="H1741" s="215" t="str">
        <f t="shared" si="84"/>
        <v xml:space="preserve">   </v>
      </c>
      <c r="I1741" s="215" t="str">
        <f t="shared" si="85"/>
        <v xml:space="preserve">   </v>
      </c>
    </row>
    <row r="1742" spans="1:9" s="2" customFormat="1" x14ac:dyDescent="0.25">
      <c r="A1742" s="670">
        <v>1608</v>
      </c>
      <c r="B1742" s="671">
        <v>21</v>
      </c>
      <c r="C1742" s="701" t="s">
        <v>2250</v>
      </c>
      <c r="D1742" s="716">
        <v>839118021</v>
      </c>
      <c r="E1742" s="441" t="s">
        <v>2243</v>
      </c>
      <c r="F1742" s="175">
        <v>2018</v>
      </c>
      <c r="G1742" s="360" t="s">
        <v>1483</v>
      </c>
      <c r="H1742" s="215" t="str">
        <f t="shared" si="84"/>
        <v xml:space="preserve">   </v>
      </c>
      <c r="I1742" s="215" t="str">
        <f t="shared" si="85"/>
        <v xml:space="preserve">   </v>
      </c>
    </row>
    <row r="1743" spans="1:9" s="2" customFormat="1" x14ac:dyDescent="0.25">
      <c r="A1743" s="670">
        <v>1609</v>
      </c>
      <c r="B1743" s="671">
        <v>22</v>
      </c>
      <c r="C1743" s="701" t="s">
        <v>2251</v>
      </c>
      <c r="D1743" s="716">
        <v>839118022</v>
      </c>
      <c r="E1743" s="441" t="s">
        <v>2243</v>
      </c>
      <c r="F1743" s="175">
        <v>2018</v>
      </c>
      <c r="G1743" s="360" t="s">
        <v>1483</v>
      </c>
      <c r="H1743" s="215">
        <f t="shared" si="84"/>
        <v>44084</v>
      </c>
      <c r="I1743" s="215">
        <f t="shared" si="85"/>
        <v>44186</v>
      </c>
    </row>
    <row r="1744" spans="1:9" s="2" customFormat="1" x14ac:dyDescent="0.25">
      <c r="A1744" s="670">
        <v>1610</v>
      </c>
      <c r="B1744" s="671">
        <v>23</v>
      </c>
      <c r="C1744" s="701" t="s">
        <v>2252</v>
      </c>
      <c r="D1744" s="716">
        <v>839118023</v>
      </c>
      <c r="E1744" s="441" t="s">
        <v>2243</v>
      </c>
      <c r="F1744" s="175">
        <v>2018</v>
      </c>
      <c r="G1744" s="404" t="s">
        <v>28</v>
      </c>
      <c r="H1744" s="215" t="str">
        <f t="shared" si="84"/>
        <v xml:space="preserve">   </v>
      </c>
      <c r="I1744" s="215" t="str">
        <f t="shared" si="85"/>
        <v xml:space="preserve">   </v>
      </c>
    </row>
    <row r="1745" spans="1:9" s="2" customFormat="1" x14ac:dyDescent="0.25">
      <c r="A1745" s="670">
        <v>1611</v>
      </c>
      <c r="B1745" s="671">
        <v>24</v>
      </c>
      <c r="C1745" s="701" t="s">
        <v>2253</v>
      </c>
      <c r="D1745" s="716">
        <v>839118025</v>
      </c>
      <c r="E1745" s="441" t="s">
        <v>2243</v>
      </c>
      <c r="F1745" s="175">
        <v>2018</v>
      </c>
      <c r="G1745" s="360" t="s">
        <v>1483</v>
      </c>
      <c r="H1745" s="215">
        <f t="shared" si="84"/>
        <v>44018</v>
      </c>
      <c r="I1745" s="215">
        <f t="shared" si="85"/>
        <v>44186</v>
      </c>
    </row>
    <row r="1746" spans="1:9" s="2" customFormat="1" x14ac:dyDescent="0.25">
      <c r="A1746" s="670">
        <v>1612</v>
      </c>
      <c r="B1746" s="671">
        <v>25</v>
      </c>
      <c r="C1746" s="701" t="s">
        <v>2254</v>
      </c>
      <c r="D1746" s="716">
        <v>839118026</v>
      </c>
      <c r="E1746" s="441" t="s">
        <v>2243</v>
      </c>
      <c r="F1746" s="175">
        <v>2018</v>
      </c>
      <c r="G1746" s="360" t="s">
        <v>1483</v>
      </c>
      <c r="H1746" s="215" t="str">
        <f t="shared" si="84"/>
        <v xml:space="preserve">   </v>
      </c>
      <c r="I1746" s="215" t="str">
        <f t="shared" si="85"/>
        <v xml:space="preserve">   </v>
      </c>
    </row>
    <row r="1747" spans="1:9" s="2" customFormat="1" x14ac:dyDescent="0.25">
      <c r="A1747" s="670">
        <v>1613</v>
      </c>
      <c r="B1747" s="678">
        <v>26</v>
      </c>
      <c r="C1747" s="704" t="s">
        <v>2255</v>
      </c>
      <c r="D1747" s="717">
        <v>839118027</v>
      </c>
      <c r="E1747" s="489" t="s">
        <v>2243</v>
      </c>
      <c r="F1747" s="221">
        <v>2018</v>
      </c>
      <c r="G1747" s="413" t="s">
        <v>1483</v>
      </c>
      <c r="H1747" s="222" t="str">
        <f t="shared" si="84"/>
        <v xml:space="preserve">   </v>
      </c>
      <c r="I1747" s="222" t="str">
        <f t="shared" si="85"/>
        <v xml:space="preserve">   </v>
      </c>
    </row>
    <row r="1748" spans="1:9" s="2" customFormat="1" x14ac:dyDescent="0.25">
      <c r="A1748" s="670">
        <v>1614</v>
      </c>
      <c r="B1748" s="671">
        <v>27</v>
      </c>
      <c r="C1748" s="701" t="s">
        <v>2256</v>
      </c>
      <c r="D1748" s="718">
        <v>839118028</v>
      </c>
      <c r="E1748" s="441" t="s">
        <v>2243</v>
      </c>
      <c r="F1748" s="175">
        <v>2018</v>
      </c>
      <c r="G1748" s="360" t="s">
        <v>1483</v>
      </c>
      <c r="H1748" s="215" t="str">
        <f t="shared" si="84"/>
        <v xml:space="preserve">   </v>
      </c>
      <c r="I1748" s="215" t="str">
        <f t="shared" si="85"/>
        <v xml:space="preserve">   </v>
      </c>
    </row>
    <row r="1749" spans="1:9" s="2" customFormat="1" x14ac:dyDescent="0.25">
      <c r="A1749" s="670">
        <v>1615</v>
      </c>
      <c r="B1749" s="671">
        <v>28</v>
      </c>
      <c r="C1749" s="701" t="s">
        <v>1972</v>
      </c>
      <c r="D1749" s="718">
        <v>839118029</v>
      </c>
      <c r="E1749" s="441" t="s">
        <v>2243</v>
      </c>
      <c r="F1749" s="175">
        <v>2018</v>
      </c>
      <c r="G1749" s="360" t="s">
        <v>1483</v>
      </c>
      <c r="H1749" s="215">
        <f t="shared" si="84"/>
        <v>43942</v>
      </c>
      <c r="I1749" s="215">
        <f t="shared" si="85"/>
        <v>44168</v>
      </c>
    </row>
    <row r="1750" spans="1:9" s="2" customFormat="1" x14ac:dyDescent="0.25">
      <c r="A1750" s="434"/>
      <c r="B1750" s="434"/>
      <c r="C1750" s="719"/>
      <c r="D1750" s="437"/>
      <c r="E1750" s="437"/>
      <c r="F1750" s="437" t="s">
        <v>61</v>
      </c>
      <c r="G1750" s="192" t="s">
        <v>61</v>
      </c>
      <c r="H1750" s="437" t="str">
        <f t="shared" si="84"/>
        <v xml:space="preserve">   </v>
      </c>
      <c r="I1750" s="437" t="str">
        <f t="shared" si="85"/>
        <v xml:space="preserve">   </v>
      </c>
    </row>
    <row r="1751" spans="1:9" s="2" customFormat="1" x14ac:dyDescent="0.25">
      <c r="A1751" s="434"/>
      <c r="B1751" s="434"/>
      <c r="C1751" s="719"/>
      <c r="D1751" s="437"/>
      <c r="E1751" s="437"/>
      <c r="F1751" s="437" t="s">
        <v>61</v>
      </c>
      <c r="G1751" s="192" t="s">
        <v>61</v>
      </c>
      <c r="H1751" s="437" t="str">
        <f t="shared" si="84"/>
        <v xml:space="preserve">   </v>
      </c>
      <c r="I1751" s="437" t="str">
        <f t="shared" si="85"/>
        <v xml:space="preserve">   </v>
      </c>
    </row>
    <row r="1752" spans="1:9" s="2" customFormat="1" x14ac:dyDescent="0.25">
      <c r="A1752" s="434"/>
      <c r="B1752" s="434"/>
      <c r="C1752" s="437"/>
      <c r="D1752" s="437"/>
      <c r="E1752" s="437"/>
      <c r="F1752" s="437" t="s">
        <v>61</v>
      </c>
      <c r="G1752" s="192" t="s">
        <v>61</v>
      </c>
      <c r="H1752" s="437" t="str">
        <f t="shared" si="84"/>
        <v xml:space="preserve">   </v>
      </c>
      <c r="I1752" s="437" t="str">
        <f t="shared" si="85"/>
        <v xml:space="preserve">   </v>
      </c>
    </row>
    <row r="1753" spans="1:9" s="2" customFormat="1" x14ac:dyDescent="0.25">
      <c r="A1753" s="625" t="s">
        <v>2258</v>
      </c>
      <c r="B1753" s="625"/>
      <c r="C1753" s="625"/>
      <c r="D1753" s="366"/>
      <c r="E1753" s="198" t="s">
        <v>1096</v>
      </c>
      <c r="F1753" s="199" t="s">
        <v>1096</v>
      </c>
      <c r="G1753" s="565">
        <v>3750000</v>
      </c>
      <c r="H1753" s="147" t="str">
        <f t="shared" si="84"/>
        <v xml:space="preserve">   </v>
      </c>
      <c r="I1753" s="147" t="str">
        <f t="shared" si="85"/>
        <v xml:space="preserve">   </v>
      </c>
    </row>
    <row r="1754" spans="1:9" s="2" customFormat="1" x14ac:dyDescent="0.25">
      <c r="A1754" s="694">
        <v>1616</v>
      </c>
      <c r="B1754" s="695">
        <v>1</v>
      </c>
      <c r="C1754" s="713" t="s">
        <v>2259</v>
      </c>
      <c r="D1754" s="714">
        <v>829118001</v>
      </c>
      <c r="E1754" s="698" t="s">
        <v>2260</v>
      </c>
      <c r="F1754" s="327">
        <v>2018</v>
      </c>
      <c r="G1754" s="699" t="s">
        <v>1483</v>
      </c>
      <c r="H1754" s="715">
        <f t="shared" si="84"/>
        <v>44046</v>
      </c>
      <c r="I1754" s="715">
        <f t="shared" si="85"/>
        <v>44186</v>
      </c>
    </row>
    <row r="1755" spans="1:9" s="2" customFormat="1" x14ac:dyDescent="0.25">
      <c r="A1755" s="670">
        <v>1617</v>
      </c>
      <c r="B1755" s="671">
        <v>2</v>
      </c>
      <c r="C1755" s="701" t="s">
        <v>2261</v>
      </c>
      <c r="D1755" s="716">
        <v>829118002</v>
      </c>
      <c r="E1755" s="441" t="s">
        <v>2260</v>
      </c>
      <c r="F1755" s="175">
        <v>2018</v>
      </c>
      <c r="G1755" s="360" t="s">
        <v>1483</v>
      </c>
      <c r="H1755" s="215">
        <f t="shared" si="84"/>
        <v>44032</v>
      </c>
      <c r="I1755" s="215">
        <f t="shared" si="85"/>
        <v>44168</v>
      </c>
    </row>
    <row r="1756" spans="1:9" s="2" customFormat="1" x14ac:dyDescent="0.25">
      <c r="A1756" s="670">
        <v>1618</v>
      </c>
      <c r="B1756" s="671">
        <v>3</v>
      </c>
      <c r="C1756" s="703" t="s">
        <v>2262</v>
      </c>
      <c r="D1756" s="716">
        <v>829118003</v>
      </c>
      <c r="E1756" s="441" t="s">
        <v>2260</v>
      </c>
      <c r="F1756" s="175">
        <v>2018</v>
      </c>
      <c r="G1756" s="360" t="s">
        <v>1483</v>
      </c>
      <c r="H1756" s="215" t="str">
        <f t="shared" si="84"/>
        <v xml:space="preserve">   </v>
      </c>
      <c r="I1756" s="215" t="str">
        <f t="shared" si="85"/>
        <v xml:space="preserve">   </v>
      </c>
    </row>
    <row r="1757" spans="1:9" s="2" customFormat="1" x14ac:dyDescent="0.25">
      <c r="A1757" s="670">
        <v>1619</v>
      </c>
      <c r="B1757" s="671">
        <v>4</v>
      </c>
      <c r="C1757" s="701" t="s">
        <v>2263</v>
      </c>
      <c r="D1757" s="716">
        <v>829118004</v>
      </c>
      <c r="E1757" s="441" t="s">
        <v>2260</v>
      </c>
      <c r="F1757" s="175">
        <v>2018</v>
      </c>
      <c r="G1757" s="360" t="s">
        <v>1483</v>
      </c>
      <c r="H1757" s="215">
        <f t="shared" si="84"/>
        <v>44053</v>
      </c>
      <c r="I1757" s="215">
        <f t="shared" si="85"/>
        <v>44186</v>
      </c>
    </row>
    <row r="1758" spans="1:9" s="2" customFormat="1" x14ac:dyDescent="0.25">
      <c r="A1758" s="670">
        <v>1620</v>
      </c>
      <c r="B1758" s="671">
        <v>5</v>
      </c>
      <c r="C1758" s="701" t="s">
        <v>2264</v>
      </c>
      <c r="D1758" s="716">
        <v>829118005</v>
      </c>
      <c r="E1758" s="441" t="s">
        <v>2260</v>
      </c>
      <c r="F1758" s="175">
        <v>2018</v>
      </c>
      <c r="G1758" s="360" t="s">
        <v>1483</v>
      </c>
      <c r="H1758" s="215">
        <f t="shared" si="84"/>
        <v>44020</v>
      </c>
      <c r="I1758" s="215">
        <f t="shared" si="85"/>
        <v>44168</v>
      </c>
    </row>
    <row r="1759" spans="1:9" s="2" customFormat="1" x14ac:dyDescent="0.25">
      <c r="A1759" s="670">
        <v>1621</v>
      </c>
      <c r="B1759" s="678">
        <v>6</v>
      </c>
      <c r="C1759" s="720" t="s">
        <v>2265</v>
      </c>
      <c r="D1759" s="717">
        <v>829118006</v>
      </c>
      <c r="E1759" s="691" t="s">
        <v>2260</v>
      </c>
      <c r="F1759" s="221">
        <v>2018</v>
      </c>
      <c r="G1759" s="329" t="s">
        <v>1077</v>
      </c>
      <c r="H1759" s="215" t="str">
        <f t="shared" si="84"/>
        <v xml:space="preserve">   </v>
      </c>
      <c r="I1759" s="215" t="str">
        <f t="shared" si="85"/>
        <v xml:space="preserve">   </v>
      </c>
    </row>
    <row r="1760" spans="1:9" s="2" customFormat="1" x14ac:dyDescent="0.25">
      <c r="A1760" s="670">
        <v>1622</v>
      </c>
      <c r="B1760" s="671">
        <v>7</v>
      </c>
      <c r="C1760" s="710" t="s">
        <v>2266</v>
      </c>
      <c r="D1760" s="721">
        <v>829118007</v>
      </c>
      <c r="E1760" s="441" t="s">
        <v>2260</v>
      </c>
      <c r="F1760" s="175">
        <v>2018</v>
      </c>
      <c r="G1760" s="360" t="s">
        <v>1483</v>
      </c>
      <c r="H1760" s="215" t="str">
        <f t="shared" si="84"/>
        <v xml:space="preserve">   </v>
      </c>
      <c r="I1760" s="215" t="str">
        <f t="shared" si="85"/>
        <v xml:space="preserve">   </v>
      </c>
    </row>
    <row r="1761" spans="1:9" s="2" customFormat="1" x14ac:dyDescent="0.25">
      <c r="A1761" s="670">
        <v>1623</v>
      </c>
      <c r="B1761" s="671">
        <v>8</v>
      </c>
      <c r="C1761" s="710" t="s">
        <v>2267</v>
      </c>
      <c r="D1761" s="721">
        <v>829118008</v>
      </c>
      <c r="E1761" s="441" t="s">
        <v>2260</v>
      </c>
      <c r="F1761" s="175">
        <v>2018</v>
      </c>
      <c r="G1761" s="360" t="s">
        <v>1483</v>
      </c>
      <c r="H1761" s="215" t="str">
        <f t="shared" si="84"/>
        <v xml:space="preserve">   </v>
      </c>
      <c r="I1761" s="215" t="str">
        <f t="shared" si="85"/>
        <v xml:space="preserve">   </v>
      </c>
    </row>
    <row r="1762" spans="1:9" s="2" customFormat="1" x14ac:dyDescent="0.25">
      <c r="A1762" s="434"/>
      <c r="B1762" s="434"/>
      <c r="C1762" s="437"/>
      <c r="D1762" s="438"/>
      <c r="E1762" s="437"/>
      <c r="F1762" s="438" t="s">
        <v>61</v>
      </c>
      <c r="G1762" s="192" t="s">
        <v>61</v>
      </c>
      <c r="H1762" s="438" t="str">
        <f t="shared" si="84"/>
        <v xml:space="preserve">   </v>
      </c>
      <c r="I1762" s="438" t="str">
        <f t="shared" si="85"/>
        <v xml:space="preserve">   </v>
      </c>
    </row>
    <row r="1763" spans="1:9" s="2" customFormat="1" x14ac:dyDescent="0.25">
      <c r="A1763" s="434"/>
      <c r="B1763" s="434"/>
      <c r="C1763" s="437"/>
      <c r="D1763" s="438"/>
      <c r="E1763" s="437"/>
      <c r="F1763" s="438" t="s">
        <v>61</v>
      </c>
      <c r="G1763" s="192" t="s">
        <v>61</v>
      </c>
      <c r="H1763" s="438" t="str">
        <f t="shared" si="84"/>
        <v xml:space="preserve">   </v>
      </c>
      <c r="I1763" s="438" t="str">
        <f t="shared" si="85"/>
        <v xml:space="preserve">   </v>
      </c>
    </row>
    <row r="1764" spans="1:9" s="2" customFormat="1" x14ac:dyDescent="0.25">
      <c r="A1764" s="656" t="s">
        <v>2268</v>
      </c>
      <c r="B1764" s="656"/>
      <c r="C1764" s="656"/>
      <c r="D1764" s="417"/>
      <c r="E1764" s="657" t="s">
        <v>1096</v>
      </c>
      <c r="F1764" s="658" t="s">
        <v>1096</v>
      </c>
      <c r="G1764" s="565">
        <v>8000000</v>
      </c>
      <c r="H1764" s="147" t="str">
        <f t="shared" si="84"/>
        <v xml:space="preserve">   </v>
      </c>
      <c r="I1764" s="147" t="str">
        <f t="shared" si="85"/>
        <v xml:space="preserve">   </v>
      </c>
    </row>
    <row r="1765" spans="1:9" s="2" customFormat="1" x14ac:dyDescent="0.25">
      <c r="A1765" s="694">
        <v>1624</v>
      </c>
      <c r="B1765" s="695">
        <v>1</v>
      </c>
      <c r="C1765" s="722" t="s">
        <v>827</v>
      </c>
      <c r="D1765" s="723">
        <v>841918002</v>
      </c>
      <c r="E1765" s="264" t="s">
        <v>2271</v>
      </c>
      <c r="F1765" s="175">
        <v>2018</v>
      </c>
      <c r="G1765" s="329" t="s">
        <v>1077</v>
      </c>
      <c r="H1765" s="215" t="str">
        <f t="shared" si="84"/>
        <v xml:space="preserve">   </v>
      </c>
      <c r="I1765" s="215" t="str">
        <f t="shared" si="85"/>
        <v xml:space="preserve">   </v>
      </c>
    </row>
    <row r="1766" spans="1:9" s="2" customFormat="1" x14ac:dyDescent="0.25">
      <c r="A1766" s="670">
        <v>1625</v>
      </c>
      <c r="B1766" s="671">
        <v>2</v>
      </c>
      <c r="C1766" s="724" t="s">
        <v>1384</v>
      </c>
      <c r="D1766" s="716">
        <v>841918003</v>
      </c>
      <c r="E1766" s="264" t="s">
        <v>2271</v>
      </c>
      <c r="F1766" s="175">
        <v>2018</v>
      </c>
      <c r="G1766" s="404" t="s">
        <v>1833</v>
      </c>
      <c r="H1766" s="215" t="str">
        <f t="shared" si="84"/>
        <v xml:space="preserve">   </v>
      </c>
      <c r="I1766" s="215" t="str">
        <f t="shared" si="85"/>
        <v xml:space="preserve">   </v>
      </c>
    </row>
    <row r="1767" spans="1:9" s="2" customFormat="1" x14ac:dyDescent="0.25">
      <c r="A1767" s="670">
        <v>1626</v>
      </c>
      <c r="B1767" s="671">
        <v>3</v>
      </c>
      <c r="C1767" s="722" t="s">
        <v>2272</v>
      </c>
      <c r="D1767" s="723">
        <v>841918004</v>
      </c>
      <c r="E1767" s="264" t="s">
        <v>2271</v>
      </c>
      <c r="F1767" s="175">
        <v>2018</v>
      </c>
      <c r="G1767" s="329" t="s">
        <v>1077</v>
      </c>
      <c r="H1767" s="215" t="str">
        <f t="shared" si="84"/>
        <v xml:space="preserve">   </v>
      </c>
      <c r="I1767" s="215" t="str">
        <f t="shared" si="85"/>
        <v xml:space="preserve">   </v>
      </c>
    </row>
    <row r="1768" spans="1:9" s="2" customFormat="1" x14ac:dyDescent="0.25">
      <c r="A1768" s="670">
        <v>1627</v>
      </c>
      <c r="B1768" s="671">
        <v>4</v>
      </c>
      <c r="C1768" s="724" t="s">
        <v>332</v>
      </c>
      <c r="D1768" s="716">
        <v>841918005</v>
      </c>
      <c r="E1768" s="264" t="s">
        <v>2271</v>
      </c>
      <c r="F1768" s="175">
        <v>2018</v>
      </c>
      <c r="G1768" s="404" t="s">
        <v>1833</v>
      </c>
      <c r="H1768" s="215" t="str">
        <f t="shared" si="84"/>
        <v xml:space="preserve">   </v>
      </c>
      <c r="I1768" s="215" t="str">
        <f t="shared" si="85"/>
        <v xml:space="preserve">   </v>
      </c>
    </row>
    <row r="1769" spans="1:9" s="2" customFormat="1" x14ac:dyDescent="0.25">
      <c r="A1769" s="670">
        <v>1628</v>
      </c>
      <c r="B1769" s="671">
        <v>5</v>
      </c>
      <c r="C1769" s="701" t="s">
        <v>2273</v>
      </c>
      <c r="D1769" s="716">
        <v>841918006</v>
      </c>
      <c r="E1769" s="264" t="s">
        <v>2271</v>
      </c>
      <c r="F1769" s="175">
        <v>2018</v>
      </c>
      <c r="G1769" s="581" t="s">
        <v>1833</v>
      </c>
      <c r="H1769" s="215" t="str">
        <f t="shared" si="84"/>
        <v xml:space="preserve">   </v>
      </c>
      <c r="I1769" s="215" t="str">
        <f t="shared" si="85"/>
        <v xml:space="preserve">   </v>
      </c>
    </row>
    <row r="1770" spans="1:9" s="2" customFormat="1" x14ac:dyDescent="0.25">
      <c r="A1770" s="670">
        <v>1629</v>
      </c>
      <c r="B1770" s="671">
        <v>6</v>
      </c>
      <c r="C1770" s="701" t="s">
        <v>364</v>
      </c>
      <c r="D1770" s="716">
        <v>841918007</v>
      </c>
      <c r="E1770" s="264" t="s">
        <v>2271</v>
      </c>
      <c r="F1770" s="175">
        <v>2018</v>
      </c>
      <c r="G1770" s="360" t="s">
        <v>1483</v>
      </c>
      <c r="H1770" s="215">
        <f t="shared" si="84"/>
        <v>44110</v>
      </c>
      <c r="I1770" s="215">
        <f t="shared" si="85"/>
        <v>44186</v>
      </c>
    </row>
    <row r="1771" spans="1:9" s="2" customFormat="1" x14ac:dyDescent="0.25">
      <c r="A1771" s="670">
        <v>1630</v>
      </c>
      <c r="B1771" s="671">
        <v>7</v>
      </c>
      <c r="C1771" s="724" t="s">
        <v>606</v>
      </c>
      <c r="D1771" s="716">
        <v>841918008</v>
      </c>
      <c r="E1771" s="264" t="s">
        <v>2271</v>
      </c>
      <c r="F1771" s="175">
        <v>2018</v>
      </c>
      <c r="G1771" s="581" t="s">
        <v>1833</v>
      </c>
      <c r="H1771" s="215" t="str">
        <f t="shared" si="84"/>
        <v xml:space="preserve">   </v>
      </c>
      <c r="I1771" s="215" t="s">
        <v>1096</v>
      </c>
    </row>
    <row r="1772" spans="1:9" s="2" customFormat="1" x14ac:dyDescent="0.25">
      <c r="A1772" s="670">
        <v>1631</v>
      </c>
      <c r="B1772" s="671">
        <v>8</v>
      </c>
      <c r="C1772" s="701" t="s">
        <v>856</v>
      </c>
      <c r="D1772" s="716">
        <v>841918009</v>
      </c>
      <c r="E1772" s="264" t="s">
        <v>2271</v>
      </c>
      <c r="F1772" s="175">
        <v>2018</v>
      </c>
      <c r="G1772" s="360" t="s">
        <v>1483</v>
      </c>
      <c r="H1772" s="215" t="str">
        <f t="shared" si="84"/>
        <v xml:space="preserve">   </v>
      </c>
      <c r="I1772" s="215" t="s">
        <v>1096</v>
      </c>
    </row>
    <row r="1773" spans="1:9" s="2" customFormat="1" x14ac:dyDescent="0.25">
      <c r="A1773" s="670">
        <v>1632</v>
      </c>
      <c r="B1773" s="671">
        <v>9</v>
      </c>
      <c r="C1773" s="701" t="s">
        <v>2274</v>
      </c>
      <c r="D1773" s="716">
        <v>841918010</v>
      </c>
      <c r="E1773" s="264" t="s">
        <v>2271</v>
      </c>
      <c r="F1773" s="175">
        <v>2018</v>
      </c>
      <c r="G1773" s="360" t="s">
        <v>1483</v>
      </c>
      <c r="H1773" s="215" t="str">
        <f t="shared" si="84"/>
        <v xml:space="preserve">   </v>
      </c>
      <c r="I1773" s="215" t="str">
        <f>IFERROR(VLOOKUP(D1773,Wis,4,FALSE),"   ")</f>
        <v xml:space="preserve">   </v>
      </c>
    </row>
    <row r="1774" spans="1:9" s="2" customFormat="1" x14ac:dyDescent="0.25">
      <c r="A1774" s="670">
        <v>1633</v>
      </c>
      <c r="B1774" s="671">
        <v>10</v>
      </c>
      <c r="C1774" s="701" t="s">
        <v>2275</v>
      </c>
      <c r="D1774" s="716">
        <v>841918011</v>
      </c>
      <c r="E1774" s="264" t="s">
        <v>2271</v>
      </c>
      <c r="F1774" s="175">
        <v>2018</v>
      </c>
      <c r="G1774" s="360" t="s">
        <v>1483</v>
      </c>
      <c r="H1774" s="215" t="str">
        <f t="shared" si="84"/>
        <v xml:space="preserve">   </v>
      </c>
      <c r="I1774" s="215" t="str">
        <f>IFERROR(VLOOKUP(D1774,Wis,4,FALSE),"   ")</f>
        <v xml:space="preserve">   </v>
      </c>
    </row>
    <row r="1775" spans="1:9" s="2" customFormat="1" x14ac:dyDescent="0.25">
      <c r="A1775" s="670">
        <v>1634</v>
      </c>
      <c r="B1775" s="671">
        <v>11</v>
      </c>
      <c r="C1775" s="701" t="s">
        <v>2276</v>
      </c>
      <c r="D1775" s="716">
        <v>841918012</v>
      </c>
      <c r="E1775" s="264" t="s">
        <v>2271</v>
      </c>
      <c r="F1775" s="175">
        <v>2018</v>
      </c>
      <c r="G1775" s="360" t="s">
        <v>1483</v>
      </c>
      <c r="H1775" s="215" t="str">
        <f t="shared" si="84"/>
        <v xml:space="preserve">   </v>
      </c>
      <c r="I1775" s="215" t="str">
        <f>IFERROR(VLOOKUP(D1775,Wis,4,FALSE),"   ")</f>
        <v xml:space="preserve">   </v>
      </c>
    </row>
    <row r="1776" spans="1:9" s="2" customFormat="1" x14ac:dyDescent="0.25">
      <c r="A1776" s="670">
        <v>1635</v>
      </c>
      <c r="B1776" s="678">
        <v>12</v>
      </c>
      <c r="C1776" s="704" t="s">
        <v>2277</v>
      </c>
      <c r="D1776" s="717">
        <v>841918013</v>
      </c>
      <c r="E1776" s="691" t="s">
        <v>2271</v>
      </c>
      <c r="F1776" s="221">
        <v>2018</v>
      </c>
      <c r="G1776" s="413" t="s">
        <v>1483</v>
      </c>
      <c r="H1776" s="222" t="str">
        <f t="shared" si="84"/>
        <v xml:space="preserve">   </v>
      </c>
      <c r="I1776" s="222" t="str">
        <f>IFERROR(VLOOKUP(D1776,Wis,4,FALSE),"   ")</f>
        <v xml:space="preserve">   </v>
      </c>
    </row>
    <row r="1777" spans="1:9" s="2" customFormat="1" x14ac:dyDescent="0.25">
      <c r="A1777" s="725"/>
      <c r="B1777" s="725"/>
      <c r="C1777" s="123"/>
      <c r="D1777" s="33"/>
      <c r="E1777" s="123"/>
      <c r="F1777" s="120" t="s">
        <v>61</v>
      </c>
      <c r="G1777" s="123"/>
      <c r="H1777" s="124"/>
      <c r="I1777" s="124"/>
    </row>
    <row r="1778" spans="1:9" s="2" customFormat="1" x14ac:dyDescent="0.25">
      <c r="A1778" s="725" t="s">
        <v>2278</v>
      </c>
      <c r="B1778" s="725"/>
      <c r="C1778" s="123"/>
      <c r="D1778" s="33"/>
      <c r="E1778" s="123"/>
      <c r="F1778" s="120" t="s">
        <v>61</v>
      </c>
      <c r="G1778" s="123"/>
      <c r="H1778" s="124"/>
      <c r="I1778" s="124"/>
    </row>
    <row r="1779" spans="1:9" s="2" customFormat="1" x14ac:dyDescent="0.25">
      <c r="A1779" s="625" t="s">
        <v>2279</v>
      </c>
      <c r="B1779" s="625"/>
      <c r="C1779" s="625"/>
      <c r="D1779" s="366"/>
      <c r="E1779" s="198" t="s">
        <v>1096</v>
      </c>
      <c r="F1779" s="199" t="s">
        <v>1096</v>
      </c>
      <c r="G1779" s="565">
        <v>3750000</v>
      </c>
      <c r="H1779" s="147" t="str">
        <f>IFERROR(VLOOKUP(D1779,Tlus,3,FALSE),"   ")</f>
        <v xml:space="preserve">   </v>
      </c>
      <c r="I1779" s="147" t="str">
        <f>IFERROR(VLOOKUP(D1779,Wis,4,FALSE),"   ")</f>
        <v xml:space="preserve">   </v>
      </c>
    </row>
    <row r="1780" spans="1:9" s="2" customFormat="1" x14ac:dyDescent="0.25">
      <c r="A1780" s="694">
        <v>1636</v>
      </c>
      <c r="B1780" s="706">
        <v>1</v>
      </c>
      <c r="C1780" s="713" t="s">
        <v>2280</v>
      </c>
      <c r="D1780" s="726">
        <v>849319039</v>
      </c>
      <c r="E1780" s="326" t="s">
        <v>2681</v>
      </c>
      <c r="F1780" s="327">
        <v>2019</v>
      </c>
      <c r="G1780" s="404" t="s">
        <v>28</v>
      </c>
      <c r="H1780" s="715" t="s">
        <v>4862</v>
      </c>
      <c r="I1780" s="715" t="s">
        <v>4862</v>
      </c>
    </row>
    <row r="1781" spans="1:9" s="2" customFormat="1" x14ac:dyDescent="0.25">
      <c r="A1781" s="694">
        <v>1637</v>
      </c>
      <c r="B1781" s="709">
        <v>2</v>
      </c>
      <c r="C1781" s="701" t="s">
        <v>2281</v>
      </c>
      <c r="D1781" s="718">
        <v>849319004</v>
      </c>
      <c r="E1781" s="264" t="s">
        <v>2681</v>
      </c>
      <c r="F1781" s="175">
        <v>2019</v>
      </c>
      <c r="G1781" s="360" t="s">
        <v>1483</v>
      </c>
      <c r="H1781" s="215" t="s">
        <v>4862</v>
      </c>
      <c r="I1781" s="215" t="s">
        <v>4862</v>
      </c>
    </row>
    <row r="1782" spans="1:9" s="2" customFormat="1" x14ac:dyDescent="0.25">
      <c r="A1782" s="694">
        <v>1638</v>
      </c>
      <c r="B1782" s="709">
        <v>3</v>
      </c>
      <c r="C1782" s="701" t="s">
        <v>2282</v>
      </c>
      <c r="D1782" s="718">
        <v>849319048</v>
      </c>
      <c r="E1782" s="264" t="s">
        <v>2681</v>
      </c>
      <c r="F1782" s="175">
        <v>2019</v>
      </c>
      <c r="G1782" s="360" t="s">
        <v>1483</v>
      </c>
      <c r="H1782" s="215" t="s">
        <v>4862</v>
      </c>
      <c r="I1782" s="215" t="s">
        <v>4862</v>
      </c>
    </row>
    <row r="1783" spans="1:9" s="2" customFormat="1" x14ac:dyDescent="0.25">
      <c r="A1783" s="694">
        <v>1639</v>
      </c>
      <c r="B1783" s="709">
        <v>4</v>
      </c>
      <c r="C1783" s="701" t="s">
        <v>2283</v>
      </c>
      <c r="D1783" s="718">
        <v>849319051</v>
      </c>
      <c r="E1783" s="264" t="s">
        <v>2681</v>
      </c>
      <c r="F1783" s="175">
        <v>2019</v>
      </c>
      <c r="G1783" s="360" t="s">
        <v>1483</v>
      </c>
      <c r="H1783" s="215" t="s">
        <v>4862</v>
      </c>
      <c r="I1783" s="215" t="s">
        <v>4862</v>
      </c>
    </row>
    <row r="1784" spans="1:9" s="2" customFormat="1" x14ac:dyDescent="0.25">
      <c r="A1784" s="694">
        <v>1640</v>
      </c>
      <c r="B1784" s="709">
        <v>5</v>
      </c>
      <c r="C1784" s="701" t="s">
        <v>2284</v>
      </c>
      <c r="D1784" s="718">
        <v>849319037</v>
      </c>
      <c r="E1784" s="264" t="s">
        <v>2681</v>
      </c>
      <c r="F1784" s="175">
        <v>2019</v>
      </c>
      <c r="G1784" s="360" t="s">
        <v>1483</v>
      </c>
      <c r="H1784" s="215" t="s">
        <v>4862</v>
      </c>
      <c r="I1784" s="215" t="s">
        <v>4862</v>
      </c>
    </row>
    <row r="1785" spans="1:9" s="2" customFormat="1" x14ac:dyDescent="0.25">
      <c r="A1785" s="694">
        <v>1641</v>
      </c>
      <c r="B1785" s="709">
        <v>6</v>
      </c>
      <c r="C1785" s="701" t="s">
        <v>2285</v>
      </c>
      <c r="D1785" s="718">
        <v>849319022</v>
      </c>
      <c r="E1785" s="264" t="s">
        <v>2681</v>
      </c>
      <c r="F1785" s="175">
        <v>2019</v>
      </c>
      <c r="G1785" s="581" t="s">
        <v>1833</v>
      </c>
      <c r="H1785" s="727" t="s">
        <v>4862</v>
      </c>
      <c r="I1785" s="727" t="s">
        <v>4862</v>
      </c>
    </row>
    <row r="1786" spans="1:9" s="2" customFormat="1" x14ac:dyDescent="0.25">
      <c r="A1786" s="694">
        <v>1642</v>
      </c>
      <c r="B1786" s="709">
        <v>7</v>
      </c>
      <c r="C1786" s="701" t="s">
        <v>2286</v>
      </c>
      <c r="D1786" s="718">
        <v>849319006</v>
      </c>
      <c r="E1786" s="264" t="s">
        <v>2681</v>
      </c>
      <c r="F1786" s="175">
        <v>2019</v>
      </c>
      <c r="G1786" s="569" t="s">
        <v>1483</v>
      </c>
      <c r="H1786" s="215" t="s">
        <v>4862</v>
      </c>
      <c r="I1786" s="215" t="s">
        <v>4862</v>
      </c>
    </row>
    <row r="1787" spans="1:9" s="2" customFormat="1" x14ac:dyDescent="0.25">
      <c r="A1787" s="694">
        <v>1643</v>
      </c>
      <c r="B1787" s="709">
        <v>8</v>
      </c>
      <c r="C1787" s="701" t="s">
        <v>2287</v>
      </c>
      <c r="D1787" s="718">
        <v>849319031</v>
      </c>
      <c r="E1787" s="264" t="s">
        <v>2681</v>
      </c>
      <c r="F1787" s="175">
        <v>2019</v>
      </c>
      <c r="G1787" s="360" t="s">
        <v>1483</v>
      </c>
      <c r="H1787" s="215" t="s">
        <v>4862</v>
      </c>
      <c r="I1787" s="215" t="s">
        <v>4862</v>
      </c>
    </row>
    <row r="1788" spans="1:9" s="2" customFormat="1" x14ac:dyDescent="0.25">
      <c r="A1788" s="694">
        <v>1644</v>
      </c>
      <c r="B1788" s="709">
        <v>9</v>
      </c>
      <c r="C1788" s="701" t="s">
        <v>2288</v>
      </c>
      <c r="D1788" s="718">
        <v>849319046</v>
      </c>
      <c r="E1788" s="264" t="s">
        <v>2681</v>
      </c>
      <c r="F1788" s="175">
        <v>2019</v>
      </c>
      <c r="G1788" s="360" t="s">
        <v>1483</v>
      </c>
      <c r="H1788" s="215" t="s">
        <v>4862</v>
      </c>
      <c r="I1788" s="215" t="s">
        <v>4862</v>
      </c>
    </row>
    <row r="1789" spans="1:9" s="2" customFormat="1" x14ac:dyDescent="0.25">
      <c r="A1789" s="694">
        <v>1645</v>
      </c>
      <c r="B1789" s="709">
        <v>10</v>
      </c>
      <c r="C1789" s="701" t="s">
        <v>2289</v>
      </c>
      <c r="D1789" s="718">
        <v>849319052</v>
      </c>
      <c r="E1789" s="264" t="s">
        <v>2681</v>
      </c>
      <c r="F1789" s="175">
        <v>2019</v>
      </c>
      <c r="G1789" s="360" t="s">
        <v>1483</v>
      </c>
      <c r="H1789" s="215" t="s">
        <v>4862</v>
      </c>
      <c r="I1789" s="215" t="s">
        <v>4862</v>
      </c>
    </row>
    <row r="1790" spans="1:9" s="2" customFormat="1" x14ac:dyDescent="0.25">
      <c r="A1790" s="694">
        <v>1646</v>
      </c>
      <c r="B1790" s="709">
        <v>11</v>
      </c>
      <c r="C1790" s="701" t="s">
        <v>4805</v>
      </c>
      <c r="D1790" s="718">
        <v>849319074</v>
      </c>
      <c r="E1790" s="264" t="s">
        <v>2681</v>
      </c>
      <c r="F1790" s="175">
        <v>2019</v>
      </c>
      <c r="G1790" s="360" t="s">
        <v>1483</v>
      </c>
      <c r="H1790" s="727" t="s">
        <v>4862</v>
      </c>
      <c r="I1790" s="727" t="s">
        <v>4862</v>
      </c>
    </row>
    <row r="1791" spans="1:9" s="2" customFormat="1" x14ac:dyDescent="0.25">
      <c r="A1791" s="694">
        <v>1647</v>
      </c>
      <c r="B1791" s="709">
        <v>12</v>
      </c>
      <c r="C1791" s="701" t="s">
        <v>2291</v>
      </c>
      <c r="D1791" s="718">
        <v>849319041</v>
      </c>
      <c r="E1791" s="264" t="s">
        <v>2681</v>
      </c>
      <c r="F1791" s="175">
        <v>2019</v>
      </c>
      <c r="G1791" s="360" t="s">
        <v>1483</v>
      </c>
      <c r="H1791" s="215" t="s">
        <v>4862</v>
      </c>
      <c r="I1791" s="215" t="s">
        <v>4862</v>
      </c>
    </row>
    <row r="1792" spans="1:9" s="2" customFormat="1" x14ac:dyDescent="0.25">
      <c r="A1792" s="694">
        <v>1648</v>
      </c>
      <c r="B1792" s="709">
        <v>13</v>
      </c>
      <c r="C1792" s="701" t="s">
        <v>2494</v>
      </c>
      <c r="D1792" s="718">
        <v>849319050</v>
      </c>
      <c r="E1792" s="264" t="s">
        <v>2681</v>
      </c>
      <c r="F1792" s="175">
        <v>2019</v>
      </c>
      <c r="G1792" s="360" t="s">
        <v>1483</v>
      </c>
      <c r="H1792" s="215" t="s">
        <v>4862</v>
      </c>
      <c r="I1792" s="215" t="s">
        <v>4862</v>
      </c>
    </row>
    <row r="1793" spans="1:9" s="2" customFormat="1" x14ac:dyDescent="0.25">
      <c r="A1793" s="694">
        <v>1649</v>
      </c>
      <c r="B1793" s="709">
        <v>14</v>
      </c>
      <c r="C1793" s="701" t="s">
        <v>2292</v>
      </c>
      <c r="D1793" s="716">
        <v>849319029</v>
      </c>
      <c r="E1793" s="264" t="s">
        <v>2681</v>
      </c>
      <c r="F1793" s="175">
        <v>2019</v>
      </c>
      <c r="G1793" s="360" t="s">
        <v>1483</v>
      </c>
      <c r="H1793" s="215" t="s">
        <v>4862</v>
      </c>
      <c r="I1793" s="215" t="s">
        <v>4862</v>
      </c>
    </row>
    <row r="1794" spans="1:9" s="2" customFormat="1" x14ac:dyDescent="0.25">
      <c r="A1794" s="694">
        <v>1650</v>
      </c>
      <c r="B1794" s="709">
        <v>15</v>
      </c>
      <c r="C1794" s="701" t="s">
        <v>2293</v>
      </c>
      <c r="D1794" s="718">
        <v>849319040</v>
      </c>
      <c r="E1794" s="264" t="s">
        <v>2681</v>
      </c>
      <c r="F1794" s="175">
        <v>2019</v>
      </c>
      <c r="G1794" s="404" t="s">
        <v>28</v>
      </c>
      <c r="H1794" s="215" t="s">
        <v>4862</v>
      </c>
      <c r="I1794" s="215" t="s">
        <v>4862</v>
      </c>
    </row>
    <row r="1795" spans="1:9" s="2" customFormat="1" x14ac:dyDescent="0.25">
      <c r="A1795" s="694">
        <v>1651</v>
      </c>
      <c r="B1795" s="709">
        <v>16</v>
      </c>
      <c r="C1795" s="701" t="s">
        <v>2294</v>
      </c>
      <c r="D1795" s="718">
        <v>849319019</v>
      </c>
      <c r="E1795" s="264" t="s">
        <v>2681</v>
      </c>
      <c r="F1795" s="175">
        <v>2019</v>
      </c>
      <c r="G1795" s="404" t="s">
        <v>28</v>
      </c>
      <c r="H1795" s="727" t="s">
        <v>4862</v>
      </c>
      <c r="I1795" s="727" t="s">
        <v>4862</v>
      </c>
    </row>
    <row r="1796" spans="1:9" s="2" customFormat="1" x14ac:dyDescent="0.25">
      <c r="A1796" s="694">
        <v>1652</v>
      </c>
      <c r="B1796" s="709">
        <v>17</v>
      </c>
      <c r="C1796" s="701" t="s">
        <v>2295</v>
      </c>
      <c r="D1796" s="718">
        <v>849319017</v>
      </c>
      <c r="E1796" s="264" t="s">
        <v>2681</v>
      </c>
      <c r="F1796" s="175">
        <v>2019</v>
      </c>
      <c r="G1796" s="404" t="s">
        <v>28</v>
      </c>
      <c r="H1796" s="215" t="s">
        <v>4862</v>
      </c>
      <c r="I1796" s="215" t="s">
        <v>4862</v>
      </c>
    </row>
    <row r="1797" spans="1:9" s="2" customFormat="1" x14ac:dyDescent="0.25">
      <c r="A1797" s="694">
        <v>1653</v>
      </c>
      <c r="B1797" s="709">
        <v>18</v>
      </c>
      <c r="C1797" s="701" t="s">
        <v>2296</v>
      </c>
      <c r="D1797" s="718">
        <v>849319001</v>
      </c>
      <c r="E1797" s="264" t="s">
        <v>2681</v>
      </c>
      <c r="F1797" s="175">
        <v>2019</v>
      </c>
      <c r="G1797" s="360" t="s">
        <v>1483</v>
      </c>
      <c r="H1797" s="215" t="s">
        <v>4862</v>
      </c>
      <c r="I1797" s="215" t="s">
        <v>4862</v>
      </c>
    </row>
    <row r="1798" spans="1:9" s="2" customFormat="1" x14ac:dyDescent="0.25">
      <c r="A1798" s="694">
        <v>1654</v>
      </c>
      <c r="B1798" s="709">
        <v>19</v>
      </c>
      <c r="C1798" s="701" t="s">
        <v>2297</v>
      </c>
      <c r="D1798" s="718">
        <v>849319053</v>
      </c>
      <c r="E1798" s="264" t="s">
        <v>2694</v>
      </c>
      <c r="F1798" s="175">
        <v>2019</v>
      </c>
      <c r="G1798" s="360" t="s">
        <v>1483</v>
      </c>
      <c r="H1798" s="215" t="s">
        <v>4862</v>
      </c>
      <c r="I1798" s="215" t="s">
        <v>4862</v>
      </c>
    </row>
    <row r="1799" spans="1:9" s="2" customFormat="1" x14ac:dyDescent="0.25">
      <c r="A1799" s="694">
        <v>1655</v>
      </c>
      <c r="B1799" s="709">
        <v>20</v>
      </c>
      <c r="C1799" s="701" t="s">
        <v>2299</v>
      </c>
      <c r="D1799" s="718">
        <v>849319054</v>
      </c>
      <c r="E1799" s="264" t="s">
        <v>2694</v>
      </c>
      <c r="F1799" s="175">
        <v>2019</v>
      </c>
      <c r="G1799" s="360" t="s">
        <v>1483</v>
      </c>
      <c r="H1799" s="215" t="s">
        <v>4862</v>
      </c>
      <c r="I1799" s="215" t="s">
        <v>4862</v>
      </c>
    </row>
    <row r="1800" spans="1:9" s="2" customFormat="1" x14ac:dyDescent="0.25">
      <c r="A1800" s="694">
        <v>1656</v>
      </c>
      <c r="B1800" s="709">
        <v>21</v>
      </c>
      <c r="C1800" s="701" t="s">
        <v>2300</v>
      </c>
      <c r="D1800" s="718">
        <v>849319055</v>
      </c>
      <c r="E1800" s="264" t="s">
        <v>2694</v>
      </c>
      <c r="F1800" s="175">
        <v>2019</v>
      </c>
      <c r="G1800" s="360" t="s">
        <v>1483</v>
      </c>
      <c r="H1800" s="727" t="s">
        <v>4862</v>
      </c>
      <c r="I1800" s="727" t="s">
        <v>4862</v>
      </c>
    </row>
    <row r="1801" spans="1:9" s="2" customFormat="1" x14ac:dyDescent="0.25">
      <c r="A1801" s="694">
        <v>1657</v>
      </c>
      <c r="B1801" s="709">
        <v>22</v>
      </c>
      <c r="C1801" s="701" t="s">
        <v>2301</v>
      </c>
      <c r="D1801" s="718">
        <v>849319056</v>
      </c>
      <c r="E1801" s="264" t="s">
        <v>2694</v>
      </c>
      <c r="F1801" s="175">
        <v>2019</v>
      </c>
      <c r="G1801" s="360" t="s">
        <v>1483</v>
      </c>
      <c r="H1801" s="215" t="s">
        <v>4862</v>
      </c>
      <c r="I1801" s="215" t="s">
        <v>4862</v>
      </c>
    </row>
    <row r="1802" spans="1:9" s="2" customFormat="1" x14ac:dyDescent="0.25">
      <c r="A1802" s="694">
        <v>1658</v>
      </c>
      <c r="B1802" s="709">
        <v>23</v>
      </c>
      <c r="C1802" s="701" t="s">
        <v>2302</v>
      </c>
      <c r="D1802" s="718">
        <v>849319057</v>
      </c>
      <c r="E1802" s="264" t="s">
        <v>2694</v>
      </c>
      <c r="F1802" s="175">
        <v>2019</v>
      </c>
      <c r="G1802" s="360" t="s">
        <v>1483</v>
      </c>
      <c r="H1802" s="215" t="s">
        <v>4862</v>
      </c>
      <c r="I1802" s="215" t="s">
        <v>4862</v>
      </c>
    </row>
    <row r="1803" spans="1:9" s="2" customFormat="1" x14ac:dyDescent="0.25">
      <c r="A1803" s="694">
        <v>1659</v>
      </c>
      <c r="B1803" s="709">
        <v>24</v>
      </c>
      <c r="C1803" s="701" t="s">
        <v>2303</v>
      </c>
      <c r="D1803" s="718">
        <v>849319058</v>
      </c>
      <c r="E1803" s="264" t="s">
        <v>2694</v>
      </c>
      <c r="F1803" s="175">
        <v>2019</v>
      </c>
      <c r="G1803" s="360" t="s">
        <v>1483</v>
      </c>
      <c r="H1803" s="215" t="s">
        <v>4862</v>
      </c>
      <c r="I1803" s="215" t="s">
        <v>4862</v>
      </c>
    </row>
    <row r="1804" spans="1:9" s="2" customFormat="1" x14ac:dyDescent="0.25">
      <c r="A1804" s="694">
        <v>1660</v>
      </c>
      <c r="B1804" s="709">
        <v>25</v>
      </c>
      <c r="C1804" s="701" t="s">
        <v>2304</v>
      </c>
      <c r="D1804" s="718">
        <v>849319059</v>
      </c>
      <c r="E1804" s="264" t="s">
        <v>2694</v>
      </c>
      <c r="F1804" s="175">
        <v>2019</v>
      </c>
      <c r="G1804" s="360" t="s">
        <v>1483</v>
      </c>
      <c r="H1804" s="215" t="s">
        <v>4862</v>
      </c>
      <c r="I1804" s="215" t="s">
        <v>4862</v>
      </c>
    </row>
    <row r="1805" spans="1:9" s="2" customFormat="1" x14ac:dyDescent="0.25">
      <c r="A1805" s="694">
        <v>1661</v>
      </c>
      <c r="B1805" s="709">
        <v>26</v>
      </c>
      <c r="C1805" s="701" t="s">
        <v>2305</v>
      </c>
      <c r="D1805" s="718">
        <v>849319060</v>
      </c>
      <c r="E1805" s="264" t="s">
        <v>2694</v>
      </c>
      <c r="F1805" s="175">
        <v>2019</v>
      </c>
      <c r="G1805" s="360" t="s">
        <v>1483</v>
      </c>
      <c r="H1805" s="727" t="s">
        <v>4862</v>
      </c>
      <c r="I1805" s="727" t="s">
        <v>4862</v>
      </c>
    </row>
    <row r="1806" spans="1:9" s="2" customFormat="1" x14ac:dyDescent="0.25">
      <c r="A1806" s="694">
        <v>1662</v>
      </c>
      <c r="B1806" s="709">
        <v>27</v>
      </c>
      <c r="C1806" s="701" t="s">
        <v>2306</v>
      </c>
      <c r="D1806" s="718">
        <v>849319061</v>
      </c>
      <c r="E1806" s="264" t="s">
        <v>2694</v>
      </c>
      <c r="F1806" s="175">
        <v>2019</v>
      </c>
      <c r="G1806" s="360" t="s">
        <v>1483</v>
      </c>
      <c r="H1806" s="215" t="s">
        <v>4862</v>
      </c>
      <c r="I1806" s="215" t="s">
        <v>4862</v>
      </c>
    </row>
    <row r="1807" spans="1:9" s="2" customFormat="1" x14ac:dyDescent="0.25">
      <c r="A1807" s="694">
        <v>1663</v>
      </c>
      <c r="B1807" s="709">
        <v>28</v>
      </c>
      <c r="C1807" s="701" t="s">
        <v>2307</v>
      </c>
      <c r="D1807" s="718">
        <v>849319062</v>
      </c>
      <c r="E1807" s="264" t="s">
        <v>2694</v>
      </c>
      <c r="F1807" s="175">
        <v>2019</v>
      </c>
      <c r="G1807" s="360" t="s">
        <v>1483</v>
      </c>
      <c r="H1807" s="215" t="s">
        <v>4862</v>
      </c>
      <c r="I1807" s="215" t="s">
        <v>4862</v>
      </c>
    </row>
    <row r="1808" spans="1:9" s="2" customFormat="1" x14ac:dyDescent="0.25">
      <c r="A1808" s="694">
        <v>1664</v>
      </c>
      <c r="B1808" s="709">
        <v>29</v>
      </c>
      <c r="C1808" s="701" t="s">
        <v>2308</v>
      </c>
      <c r="D1808" s="718">
        <v>849319063</v>
      </c>
      <c r="E1808" s="264" t="s">
        <v>2694</v>
      </c>
      <c r="F1808" s="175">
        <v>2019</v>
      </c>
      <c r="G1808" s="360" t="s">
        <v>1483</v>
      </c>
      <c r="H1808" s="215" t="s">
        <v>4862</v>
      </c>
      <c r="I1808" s="215" t="s">
        <v>4862</v>
      </c>
    </row>
    <row r="1809" spans="1:9" s="2" customFormat="1" x14ac:dyDescent="0.25">
      <c r="A1809" s="694">
        <v>1665</v>
      </c>
      <c r="B1809" s="709">
        <v>30</v>
      </c>
      <c r="C1809" s="701" t="s">
        <v>2309</v>
      </c>
      <c r="D1809" s="718">
        <v>849319064</v>
      </c>
      <c r="E1809" s="264" t="s">
        <v>2694</v>
      </c>
      <c r="F1809" s="175">
        <v>2019</v>
      </c>
      <c r="G1809" s="360" t="s">
        <v>1483</v>
      </c>
      <c r="H1809" s="215" t="s">
        <v>4862</v>
      </c>
      <c r="I1809" s="215" t="s">
        <v>4862</v>
      </c>
    </row>
    <row r="1810" spans="1:9" s="2" customFormat="1" x14ac:dyDescent="0.25">
      <c r="A1810" s="694">
        <v>1666</v>
      </c>
      <c r="B1810" s="709">
        <v>31</v>
      </c>
      <c r="C1810" s="701" t="s">
        <v>2310</v>
      </c>
      <c r="D1810" s="718">
        <v>849319065</v>
      </c>
      <c r="E1810" s="264" t="s">
        <v>2694</v>
      </c>
      <c r="F1810" s="175">
        <v>2019</v>
      </c>
      <c r="G1810" s="360" t="s">
        <v>1483</v>
      </c>
      <c r="H1810" s="215" t="s">
        <v>4862</v>
      </c>
      <c r="I1810" s="215" t="s">
        <v>4862</v>
      </c>
    </row>
    <row r="1811" spans="1:9" s="2" customFormat="1" x14ac:dyDescent="0.25">
      <c r="A1811" s="694">
        <v>1667</v>
      </c>
      <c r="B1811" s="709">
        <v>32</v>
      </c>
      <c r="C1811" s="701" t="s">
        <v>2311</v>
      </c>
      <c r="D1811" s="718">
        <v>849319066</v>
      </c>
      <c r="E1811" s="264" t="s">
        <v>2694</v>
      </c>
      <c r="F1811" s="175">
        <v>2019</v>
      </c>
      <c r="G1811" s="360" t="s">
        <v>1483</v>
      </c>
      <c r="H1811" s="215" t="s">
        <v>4862</v>
      </c>
      <c r="I1811" s="215" t="s">
        <v>4862</v>
      </c>
    </row>
    <row r="1812" spans="1:9" s="2" customFormat="1" x14ac:dyDescent="0.25">
      <c r="A1812" s="694">
        <v>1668</v>
      </c>
      <c r="B1812" s="709">
        <v>33</v>
      </c>
      <c r="C1812" s="701" t="s">
        <v>2312</v>
      </c>
      <c r="D1812" s="718">
        <v>849319067</v>
      </c>
      <c r="E1812" s="264" t="s">
        <v>2694</v>
      </c>
      <c r="F1812" s="175">
        <v>2019</v>
      </c>
      <c r="G1812" s="360" t="s">
        <v>1483</v>
      </c>
      <c r="H1812" s="215" t="s">
        <v>4862</v>
      </c>
      <c r="I1812" s="215" t="s">
        <v>4862</v>
      </c>
    </row>
    <row r="1813" spans="1:9" s="2" customFormat="1" x14ac:dyDescent="0.25">
      <c r="A1813" s="694">
        <v>1669</v>
      </c>
      <c r="B1813" s="709">
        <v>34</v>
      </c>
      <c r="C1813" s="701" t="s">
        <v>2313</v>
      </c>
      <c r="D1813" s="718">
        <v>849319068</v>
      </c>
      <c r="E1813" s="264" t="s">
        <v>2694</v>
      </c>
      <c r="F1813" s="175">
        <v>2019</v>
      </c>
      <c r="G1813" s="360" t="s">
        <v>1483</v>
      </c>
      <c r="H1813" s="215" t="s">
        <v>4862</v>
      </c>
      <c r="I1813" s="215" t="s">
        <v>4862</v>
      </c>
    </row>
    <row r="1814" spans="1:9" s="2" customFormat="1" x14ac:dyDescent="0.25">
      <c r="A1814" s="694">
        <v>1670</v>
      </c>
      <c r="B1814" s="709">
        <v>35</v>
      </c>
      <c r="C1814" s="701" t="s">
        <v>2314</v>
      </c>
      <c r="D1814" s="718">
        <v>849319069</v>
      </c>
      <c r="E1814" s="264" t="s">
        <v>2694</v>
      </c>
      <c r="F1814" s="175">
        <v>2019</v>
      </c>
      <c r="G1814" s="360" t="s">
        <v>1483</v>
      </c>
      <c r="H1814" s="727" t="s">
        <v>4862</v>
      </c>
      <c r="I1814" s="727" t="s">
        <v>4862</v>
      </c>
    </row>
    <row r="1815" spans="1:9" s="2" customFormat="1" x14ac:dyDescent="0.25">
      <c r="A1815" s="694">
        <v>1671</v>
      </c>
      <c r="B1815" s="709">
        <v>36</v>
      </c>
      <c r="C1815" s="701" t="s">
        <v>2315</v>
      </c>
      <c r="D1815" s="718">
        <v>849319070</v>
      </c>
      <c r="E1815" s="264" t="s">
        <v>2694</v>
      </c>
      <c r="F1815" s="175">
        <v>2019</v>
      </c>
      <c r="G1815" s="360" t="s">
        <v>1483</v>
      </c>
      <c r="H1815" s="215" t="s">
        <v>4862</v>
      </c>
      <c r="I1815" s="215" t="s">
        <v>4862</v>
      </c>
    </row>
    <row r="1816" spans="1:9" s="2" customFormat="1" x14ac:dyDescent="0.25">
      <c r="A1816" s="694">
        <v>1672</v>
      </c>
      <c r="B1816" s="709">
        <v>37</v>
      </c>
      <c r="C1816" s="701" t="s">
        <v>1589</v>
      </c>
      <c r="D1816" s="718">
        <v>849319071</v>
      </c>
      <c r="E1816" s="264" t="s">
        <v>2694</v>
      </c>
      <c r="F1816" s="175">
        <v>2019</v>
      </c>
      <c r="G1816" s="360" t="s">
        <v>1483</v>
      </c>
      <c r="H1816" s="215" t="s">
        <v>4862</v>
      </c>
      <c r="I1816" s="215" t="s">
        <v>4862</v>
      </c>
    </row>
    <row r="1817" spans="1:9" s="2" customFormat="1" x14ac:dyDescent="0.25">
      <c r="A1817" s="694">
        <v>1673</v>
      </c>
      <c r="B1817" s="709">
        <v>38</v>
      </c>
      <c r="C1817" s="701" t="s">
        <v>2316</v>
      </c>
      <c r="D1817" s="718">
        <v>849319072</v>
      </c>
      <c r="E1817" s="264" t="s">
        <v>2694</v>
      </c>
      <c r="F1817" s="175">
        <v>2019</v>
      </c>
      <c r="G1817" s="360" t="s">
        <v>1483</v>
      </c>
      <c r="H1817" s="215" t="s">
        <v>4862</v>
      </c>
      <c r="I1817" s="215" t="s">
        <v>4862</v>
      </c>
    </row>
    <row r="1818" spans="1:9" s="2" customFormat="1" x14ac:dyDescent="0.25">
      <c r="A1818" s="694">
        <v>1674</v>
      </c>
      <c r="B1818" s="709">
        <v>39</v>
      </c>
      <c r="C1818" s="701" t="s">
        <v>2317</v>
      </c>
      <c r="D1818" s="718">
        <v>849319023</v>
      </c>
      <c r="E1818" s="264" t="s">
        <v>2717</v>
      </c>
      <c r="F1818" s="175">
        <v>2019</v>
      </c>
      <c r="G1818" s="360" t="s">
        <v>1483</v>
      </c>
      <c r="H1818" s="215" t="s">
        <v>4862</v>
      </c>
      <c r="I1818" s="215" t="s">
        <v>4862</v>
      </c>
    </row>
    <row r="1819" spans="1:9" s="2" customFormat="1" x14ac:dyDescent="0.25">
      <c r="A1819" s="694">
        <v>1675</v>
      </c>
      <c r="B1819" s="709">
        <v>40</v>
      </c>
      <c r="C1819" s="701" t="s">
        <v>2318</v>
      </c>
      <c r="D1819" s="718">
        <v>849319043</v>
      </c>
      <c r="E1819" s="264" t="s">
        <v>2717</v>
      </c>
      <c r="F1819" s="175">
        <v>2019</v>
      </c>
      <c r="G1819" s="360" t="s">
        <v>1483</v>
      </c>
      <c r="H1819" s="727" t="s">
        <v>4862</v>
      </c>
      <c r="I1819" s="727" t="s">
        <v>4862</v>
      </c>
    </row>
    <row r="1820" spans="1:9" s="2" customFormat="1" x14ac:dyDescent="0.25">
      <c r="A1820" s="694">
        <v>1676</v>
      </c>
      <c r="B1820" s="709">
        <v>41</v>
      </c>
      <c r="C1820" s="701" t="s">
        <v>2319</v>
      </c>
      <c r="D1820" s="718">
        <v>849319044</v>
      </c>
      <c r="E1820" s="264" t="s">
        <v>2717</v>
      </c>
      <c r="F1820" s="175">
        <v>2019</v>
      </c>
      <c r="G1820" s="360" t="s">
        <v>1483</v>
      </c>
      <c r="H1820" s="215" t="s">
        <v>4862</v>
      </c>
      <c r="I1820" s="215" t="s">
        <v>4862</v>
      </c>
    </row>
    <row r="1821" spans="1:9" s="2" customFormat="1" x14ac:dyDescent="0.25">
      <c r="A1821" s="694">
        <v>1677</v>
      </c>
      <c r="B1821" s="709">
        <v>42</v>
      </c>
      <c r="C1821" s="701" t="s">
        <v>2320</v>
      </c>
      <c r="D1821" s="718">
        <v>849319002</v>
      </c>
      <c r="E1821" s="264" t="s">
        <v>2717</v>
      </c>
      <c r="F1821" s="175">
        <v>2019</v>
      </c>
      <c r="G1821" s="360" t="s">
        <v>1483</v>
      </c>
      <c r="H1821" s="215" t="s">
        <v>4862</v>
      </c>
      <c r="I1821" s="215" t="s">
        <v>4862</v>
      </c>
    </row>
    <row r="1822" spans="1:9" s="2" customFormat="1" x14ac:dyDescent="0.25">
      <c r="A1822" s="694">
        <v>1678</v>
      </c>
      <c r="B1822" s="709">
        <v>43</v>
      </c>
      <c r="C1822" s="701" t="s">
        <v>2321</v>
      </c>
      <c r="D1822" s="718">
        <v>849319014</v>
      </c>
      <c r="E1822" s="264" t="s">
        <v>2717</v>
      </c>
      <c r="F1822" s="175">
        <v>2019</v>
      </c>
      <c r="G1822" s="360" t="s">
        <v>1483</v>
      </c>
      <c r="H1822" s="215" t="s">
        <v>4862</v>
      </c>
      <c r="I1822" s="215" t="s">
        <v>4862</v>
      </c>
    </row>
    <row r="1823" spans="1:9" s="2" customFormat="1" x14ac:dyDescent="0.25">
      <c r="A1823" s="694">
        <v>1679</v>
      </c>
      <c r="B1823" s="709">
        <v>44</v>
      </c>
      <c r="C1823" s="701" t="s">
        <v>2322</v>
      </c>
      <c r="D1823" s="718">
        <v>849319021</v>
      </c>
      <c r="E1823" s="264" t="s">
        <v>2717</v>
      </c>
      <c r="F1823" s="175">
        <v>2019</v>
      </c>
      <c r="G1823" s="360" t="s">
        <v>1483</v>
      </c>
      <c r="H1823" s="215" t="s">
        <v>4862</v>
      </c>
      <c r="I1823" s="215" t="s">
        <v>4862</v>
      </c>
    </row>
    <row r="1824" spans="1:9" s="2" customFormat="1" x14ac:dyDescent="0.25">
      <c r="A1824" s="694">
        <v>1680</v>
      </c>
      <c r="B1824" s="709">
        <v>45</v>
      </c>
      <c r="C1824" s="701" t="s">
        <v>2323</v>
      </c>
      <c r="D1824" s="718">
        <v>849319030</v>
      </c>
      <c r="E1824" s="264" t="s">
        <v>2717</v>
      </c>
      <c r="F1824" s="175">
        <v>2019</v>
      </c>
      <c r="G1824" s="360" t="s">
        <v>1483</v>
      </c>
      <c r="H1824" s="727" t="s">
        <v>4862</v>
      </c>
      <c r="I1824" s="727" t="s">
        <v>4862</v>
      </c>
    </row>
    <row r="1825" spans="1:9" s="2" customFormat="1" x14ac:dyDescent="0.25">
      <c r="A1825" s="694">
        <v>1681</v>
      </c>
      <c r="B1825" s="709">
        <v>46</v>
      </c>
      <c r="C1825" s="701" t="s">
        <v>2324</v>
      </c>
      <c r="D1825" s="718">
        <v>849319038</v>
      </c>
      <c r="E1825" s="264" t="s">
        <v>2717</v>
      </c>
      <c r="F1825" s="175">
        <v>2019</v>
      </c>
      <c r="G1825" s="360" t="s">
        <v>1483</v>
      </c>
      <c r="H1825" s="215" t="s">
        <v>4862</v>
      </c>
      <c r="I1825" s="215" t="s">
        <v>4862</v>
      </c>
    </row>
    <row r="1826" spans="1:9" s="2" customFormat="1" x14ac:dyDescent="0.25">
      <c r="A1826" s="694">
        <v>1682</v>
      </c>
      <c r="B1826" s="709">
        <v>47</v>
      </c>
      <c r="C1826" s="701" t="s">
        <v>2325</v>
      </c>
      <c r="D1826" s="718">
        <v>849319011</v>
      </c>
      <c r="E1826" s="264" t="s">
        <v>2717</v>
      </c>
      <c r="F1826" s="175">
        <v>2019</v>
      </c>
      <c r="G1826" s="360" t="s">
        <v>1483</v>
      </c>
      <c r="H1826" s="215" t="s">
        <v>4862</v>
      </c>
      <c r="I1826" s="215" t="s">
        <v>4862</v>
      </c>
    </row>
    <row r="1827" spans="1:9" s="2" customFormat="1" x14ac:dyDescent="0.25">
      <c r="A1827" s="694">
        <v>1683</v>
      </c>
      <c r="B1827" s="709">
        <v>48</v>
      </c>
      <c r="C1827" s="701" t="s">
        <v>2326</v>
      </c>
      <c r="D1827" s="718">
        <v>849319047</v>
      </c>
      <c r="E1827" s="264" t="s">
        <v>2717</v>
      </c>
      <c r="F1827" s="175">
        <v>2019</v>
      </c>
      <c r="G1827" s="360" t="s">
        <v>1483</v>
      </c>
      <c r="H1827" s="215" t="s">
        <v>4862</v>
      </c>
      <c r="I1827" s="215" t="s">
        <v>4862</v>
      </c>
    </row>
    <row r="1828" spans="1:9" s="2" customFormat="1" x14ac:dyDescent="0.25">
      <c r="A1828" s="694">
        <v>1684</v>
      </c>
      <c r="B1828" s="709">
        <v>49</v>
      </c>
      <c r="C1828" s="701" t="s">
        <v>2327</v>
      </c>
      <c r="D1828" s="718">
        <v>849319018</v>
      </c>
      <c r="E1828" s="264" t="s">
        <v>2717</v>
      </c>
      <c r="F1828" s="175">
        <v>2019</v>
      </c>
      <c r="G1828" s="360" t="s">
        <v>1483</v>
      </c>
      <c r="H1828" s="215" t="s">
        <v>4862</v>
      </c>
      <c r="I1828" s="215" t="s">
        <v>4862</v>
      </c>
    </row>
    <row r="1829" spans="1:9" s="2" customFormat="1" x14ac:dyDescent="0.25">
      <c r="A1829" s="694">
        <v>1685</v>
      </c>
      <c r="B1829" s="709">
        <v>50</v>
      </c>
      <c r="C1829" s="701" t="s">
        <v>2328</v>
      </c>
      <c r="D1829" s="718">
        <v>849319035</v>
      </c>
      <c r="E1829" s="264" t="s">
        <v>2717</v>
      </c>
      <c r="F1829" s="175">
        <v>2019</v>
      </c>
      <c r="G1829" s="360" t="s">
        <v>1483</v>
      </c>
      <c r="H1829" s="727" t="s">
        <v>4862</v>
      </c>
      <c r="I1829" s="727" t="s">
        <v>4862</v>
      </c>
    </row>
    <row r="1830" spans="1:9" s="2" customFormat="1" x14ac:dyDescent="0.25">
      <c r="A1830" s="694">
        <v>1686</v>
      </c>
      <c r="B1830" s="709">
        <v>51</v>
      </c>
      <c r="C1830" s="701" t="s">
        <v>2329</v>
      </c>
      <c r="D1830" s="718">
        <v>849319016</v>
      </c>
      <c r="E1830" s="264" t="s">
        <v>2717</v>
      </c>
      <c r="F1830" s="175">
        <v>2019</v>
      </c>
      <c r="G1830" s="360" t="s">
        <v>1483</v>
      </c>
      <c r="H1830" s="215" t="s">
        <v>4862</v>
      </c>
      <c r="I1830" s="215" t="s">
        <v>4862</v>
      </c>
    </row>
    <row r="1831" spans="1:9" s="2" customFormat="1" x14ac:dyDescent="0.25">
      <c r="A1831" s="694">
        <v>1687</v>
      </c>
      <c r="B1831" s="709">
        <v>52</v>
      </c>
      <c r="C1831" s="701" t="s">
        <v>2330</v>
      </c>
      <c r="D1831" s="718">
        <v>849319012</v>
      </c>
      <c r="E1831" s="264" t="s">
        <v>2717</v>
      </c>
      <c r="F1831" s="175">
        <v>2019</v>
      </c>
      <c r="G1831" s="360" t="s">
        <v>1483</v>
      </c>
      <c r="H1831" s="215" t="s">
        <v>4862</v>
      </c>
      <c r="I1831" s="215" t="s">
        <v>4862</v>
      </c>
    </row>
    <row r="1832" spans="1:9" s="2" customFormat="1" x14ac:dyDescent="0.25">
      <c r="A1832" s="694">
        <v>1688</v>
      </c>
      <c r="B1832" s="709">
        <v>53</v>
      </c>
      <c r="C1832" s="701" t="s">
        <v>2331</v>
      </c>
      <c r="D1832" s="718">
        <v>849319020</v>
      </c>
      <c r="E1832" s="264" t="s">
        <v>2717</v>
      </c>
      <c r="F1832" s="175">
        <v>2019</v>
      </c>
      <c r="G1832" s="360" t="s">
        <v>1483</v>
      </c>
      <c r="H1832" s="215" t="s">
        <v>4862</v>
      </c>
      <c r="I1832" s="215" t="s">
        <v>4862</v>
      </c>
    </row>
    <row r="1833" spans="1:9" s="2" customFormat="1" x14ac:dyDescent="0.25">
      <c r="A1833" s="694">
        <v>1689</v>
      </c>
      <c r="B1833" s="709">
        <v>54</v>
      </c>
      <c r="C1833" s="701" t="s">
        <v>2332</v>
      </c>
      <c r="D1833" s="718">
        <v>849319013</v>
      </c>
      <c r="E1833" s="264" t="s">
        <v>2717</v>
      </c>
      <c r="F1833" s="175">
        <v>2019</v>
      </c>
      <c r="G1833" s="360" t="s">
        <v>1483</v>
      </c>
      <c r="H1833" s="215" t="s">
        <v>4862</v>
      </c>
      <c r="I1833" s="215" t="s">
        <v>4862</v>
      </c>
    </row>
    <row r="1834" spans="1:9" s="2" customFormat="1" x14ac:dyDescent="0.25">
      <c r="A1834" s="694">
        <v>1690</v>
      </c>
      <c r="B1834" s="709">
        <v>55</v>
      </c>
      <c r="C1834" s="701" t="s">
        <v>2333</v>
      </c>
      <c r="D1834" s="718">
        <v>849319008</v>
      </c>
      <c r="E1834" s="264" t="s">
        <v>2717</v>
      </c>
      <c r="F1834" s="175">
        <v>2019</v>
      </c>
      <c r="G1834" s="360" t="s">
        <v>1483</v>
      </c>
      <c r="H1834" s="727" t="s">
        <v>4862</v>
      </c>
      <c r="I1834" s="727" t="s">
        <v>4862</v>
      </c>
    </row>
    <row r="1835" spans="1:9" s="2" customFormat="1" x14ac:dyDescent="0.25">
      <c r="A1835" s="694">
        <v>1691</v>
      </c>
      <c r="B1835" s="709">
        <v>56</v>
      </c>
      <c r="C1835" s="701" t="s">
        <v>2334</v>
      </c>
      <c r="D1835" s="718">
        <v>849319033</v>
      </c>
      <c r="E1835" s="264" t="s">
        <v>2717</v>
      </c>
      <c r="F1835" s="175">
        <v>2019</v>
      </c>
      <c r="G1835" s="360" t="s">
        <v>1483</v>
      </c>
      <c r="H1835" s="215" t="s">
        <v>4862</v>
      </c>
      <c r="I1835" s="215" t="s">
        <v>4862</v>
      </c>
    </row>
    <row r="1836" spans="1:9" s="2" customFormat="1" x14ac:dyDescent="0.25">
      <c r="A1836" s="694">
        <v>1692</v>
      </c>
      <c r="B1836" s="709">
        <v>57</v>
      </c>
      <c r="C1836" s="701" t="s">
        <v>2335</v>
      </c>
      <c r="D1836" s="718">
        <v>849319032</v>
      </c>
      <c r="E1836" s="264" t="s">
        <v>2717</v>
      </c>
      <c r="F1836" s="175">
        <v>2019</v>
      </c>
      <c r="G1836" s="360" t="s">
        <v>1483</v>
      </c>
      <c r="H1836" s="215" t="s">
        <v>4862</v>
      </c>
      <c r="I1836" s="215" t="s">
        <v>4862</v>
      </c>
    </row>
    <row r="1837" spans="1:9" s="2" customFormat="1" x14ac:dyDescent="0.25">
      <c r="A1837" s="694">
        <v>1693</v>
      </c>
      <c r="B1837" s="709">
        <v>58</v>
      </c>
      <c r="C1837" s="701" t="s">
        <v>2496</v>
      </c>
      <c r="D1837" s="718">
        <v>849319024</v>
      </c>
      <c r="E1837" s="264" t="s">
        <v>4863</v>
      </c>
      <c r="F1837" s="175">
        <v>2019</v>
      </c>
      <c r="G1837" s="360" t="s">
        <v>1483</v>
      </c>
      <c r="H1837" s="215" t="s">
        <v>4862</v>
      </c>
      <c r="I1837" s="215" t="s">
        <v>4862</v>
      </c>
    </row>
    <row r="1838" spans="1:9" s="2" customFormat="1" x14ac:dyDescent="0.25">
      <c r="A1838" s="694">
        <v>1694</v>
      </c>
      <c r="B1838" s="709">
        <v>59</v>
      </c>
      <c r="C1838" s="701" t="s">
        <v>2336</v>
      </c>
      <c r="D1838" s="718">
        <v>849319025</v>
      </c>
      <c r="E1838" s="264" t="s">
        <v>4863</v>
      </c>
      <c r="F1838" s="175">
        <v>2019</v>
      </c>
      <c r="G1838" s="360" t="s">
        <v>1483</v>
      </c>
      <c r="H1838" s="215" t="s">
        <v>4862</v>
      </c>
      <c r="I1838" s="215" t="s">
        <v>4862</v>
      </c>
    </row>
    <row r="1839" spans="1:9" s="2" customFormat="1" x14ac:dyDescent="0.25">
      <c r="A1839" s="694">
        <v>1695</v>
      </c>
      <c r="B1839" s="709">
        <v>60</v>
      </c>
      <c r="C1839" s="701" t="s">
        <v>2338</v>
      </c>
      <c r="D1839" s="718">
        <v>849319007</v>
      </c>
      <c r="E1839" s="264" t="s">
        <v>4863</v>
      </c>
      <c r="F1839" s="175">
        <v>2019</v>
      </c>
      <c r="G1839" s="360" t="s">
        <v>1483</v>
      </c>
      <c r="H1839" s="727" t="s">
        <v>4862</v>
      </c>
      <c r="I1839" s="727" t="s">
        <v>4862</v>
      </c>
    </row>
    <row r="1840" spans="1:9" s="2" customFormat="1" x14ac:dyDescent="0.25">
      <c r="A1840" s="694">
        <v>1696</v>
      </c>
      <c r="B1840" s="709">
        <v>61</v>
      </c>
      <c r="C1840" s="701" t="s">
        <v>2497</v>
      </c>
      <c r="D1840" s="718">
        <v>849319034</v>
      </c>
      <c r="E1840" s="264" t="s">
        <v>4863</v>
      </c>
      <c r="F1840" s="175">
        <v>2019</v>
      </c>
      <c r="G1840" s="360" t="s">
        <v>1483</v>
      </c>
      <c r="H1840" s="215" t="s">
        <v>4862</v>
      </c>
      <c r="I1840" s="215" t="s">
        <v>4862</v>
      </c>
    </row>
    <row r="1841" spans="1:9" s="2" customFormat="1" x14ac:dyDescent="0.25">
      <c r="A1841" s="694">
        <v>1697</v>
      </c>
      <c r="B1841" s="709">
        <v>62</v>
      </c>
      <c r="C1841" s="701" t="s">
        <v>2339</v>
      </c>
      <c r="D1841" s="718">
        <v>849319010</v>
      </c>
      <c r="E1841" s="264" t="s">
        <v>4863</v>
      </c>
      <c r="F1841" s="175">
        <v>2019</v>
      </c>
      <c r="G1841" s="360" t="s">
        <v>1483</v>
      </c>
      <c r="H1841" s="215" t="s">
        <v>4862</v>
      </c>
      <c r="I1841" s="215" t="s">
        <v>4862</v>
      </c>
    </row>
    <row r="1842" spans="1:9" s="2" customFormat="1" x14ac:dyDescent="0.25">
      <c r="A1842" s="694">
        <v>1698</v>
      </c>
      <c r="B1842" s="709">
        <v>63</v>
      </c>
      <c r="C1842" s="701" t="s">
        <v>2340</v>
      </c>
      <c r="D1842" s="718">
        <v>849319005</v>
      </c>
      <c r="E1842" s="264" t="s">
        <v>4863</v>
      </c>
      <c r="F1842" s="175">
        <v>2019</v>
      </c>
      <c r="G1842" s="360" t="s">
        <v>1483</v>
      </c>
      <c r="H1842" s="215" t="s">
        <v>4862</v>
      </c>
      <c r="I1842" s="215" t="s">
        <v>4862</v>
      </c>
    </row>
    <row r="1843" spans="1:9" s="2" customFormat="1" x14ac:dyDescent="0.25">
      <c r="A1843" s="694">
        <v>1699</v>
      </c>
      <c r="B1843" s="709">
        <v>64</v>
      </c>
      <c r="C1843" s="701" t="s">
        <v>2341</v>
      </c>
      <c r="D1843" s="718">
        <v>849319036</v>
      </c>
      <c r="E1843" s="264" t="s">
        <v>4863</v>
      </c>
      <c r="F1843" s="175">
        <v>2019</v>
      </c>
      <c r="G1843" s="360" t="s">
        <v>1483</v>
      </c>
      <c r="H1843" s="215" t="s">
        <v>4862</v>
      </c>
      <c r="I1843" s="215" t="s">
        <v>4862</v>
      </c>
    </row>
    <row r="1844" spans="1:9" s="2" customFormat="1" x14ac:dyDescent="0.25">
      <c r="A1844" s="694">
        <v>1700</v>
      </c>
      <c r="B1844" s="709">
        <v>65</v>
      </c>
      <c r="C1844" s="701" t="s">
        <v>2342</v>
      </c>
      <c r="D1844" s="718">
        <v>849319026</v>
      </c>
      <c r="E1844" s="264" t="s">
        <v>4863</v>
      </c>
      <c r="F1844" s="175">
        <v>2019</v>
      </c>
      <c r="G1844" s="360" t="s">
        <v>1483</v>
      </c>
      <c r="H1844" s="215" t="s">
        <v>4862</v>
      </c>
      <c r="I1844" s="215" t="s">
        <v>4862</v>
      </c>
    </row>
    <row r="1845" spans="1:9" s="2" customFormat="1" x14ac:dyDescent="0.25">
      <c r="A1845" s="694">
        <v>1701</v>
      </c>
      <c r="B1845" s="709">
        <v>66</v>
      </c>
      <c r="C1845" s="701" t="s">
        <v>2343</v>
      </c>
      <c r="D1845" s="718">
        <v>849319003</v>
      </c>
      <c r="E1845" s="264" t="s">
        <v>4863</v>
      </c>
      <c r="F1845" s="175">
        <v>2019</v>
      </c>
      <c r="G1845" s="360" t="s">
        <v>1483</v>
      </c>
      <c r="H1845" s="727" t="s">
        <v>4862</v>
      </c>
      <c r="I1845" s="727" t="s">
        <v>4862</v>
      </c>
    </row>
    <row r="1846" spans="1:9" s="2" customFormat="1" x14ac:dyDescent="0.25">
      <c r="A1846" s="694">
        <v>1702</v>
      </c>
      <c r="B1846" s="709">
        <v>67</v>
      </c>
      <c r="C1846" s="701" t="s">
        <v>2344</v>
      </c>
      <c r="D1846" s="718">
        <v>849319042</v>
      </c>
      <c r="E1846" s="264" t="s">
        <v>4863</v>
      </c>
      <c r="F1846" s="175">
        <v>2019</v>
      </c>
      <c r="G1846" s="360" t="s">
        <v>1483</v>
      </c>
      <c r="H1846" s="215" t="s">
        <v>4862</v>
      </c>
      <c r="I1846" s="215" t="s">
        <v>4862</v>
      </c>
    </row>
    <row r="1847" spans="1:9" s="2" customFormat="1" x14ac:dyDescent="0.25">
      <c r="A1847" s="694">
        <v>1703</v>
      </c>
      <c r="B1847" s="709">
        <v>68</v>
      </c>
      <c r="C1847" s="701" t="s">
        <v>2345</v>
      </c>
      <c r="D1847" s="718">
        <v>849319045</v>
      </c>
      <c r="E1847" s="264" t="s">
        <v>4863</v>
      </c>
      <c r="F1847" s="175">
        <v>2019</v>
      </c>
      <c r="G1847" s="360" t="s">
        <v>1483</v>
      </c>
      <c r="H1847" s="215" t="s">
        <v>4862</v>
      </c>
      <c r="I1847" s="215" t="s">
        <v>4862</v>
      </c>
    </row>
    <row r="1848" spans="1:9" s="2" customFormat="1" x14ac:dyDescent="0.25">
      <c r="A1848" s="694">
        <v>1704</v>
      </c>
      <c r="B1848" s="709">
        <v>69</v>
      </c>
      <c r="C1848" s="701" t="s">
        <v>2346</v>
      </c>
      <c r="D1848" s="718">
        <v>849319028</v>
      </c>
      <c r="E1848" s="264" t="s">
        <v>4863</v>
      </c>
      <c r="F1848" s="175">
        <v>2019</v>
      </c>
      <c r="G1848" s="360" t="s">
        <v>1483</v>
      </c>
      <c r="H1848" s="215" t="s">
        <v>4862</v>
      </c>
      <c r="I1848" s="215" t="s">
        <v>4862</v>
      </c>
    </row>
    <row r="1849" spans="1:9" s="2" customFormat="1" x14ac:dyDescent="0.25">
      <c r="A1849" s="694">
        <v>1705</v>
      </c>
      <c r="B1849" s="709">
        <v>70</v>
      </c>
      <c r="C1849" s="701" t="s">
        <v>2347</v>
      </c>
      <c r="D1849" s="718">
        <v>849319015</v>
      </c>
      <c r="E1849" s="264" t="s">
        <v>4863</v>
      </c>
      <c r="F1849" s="175">
        <v>2019</v>
      </c>
      <c r="G1849" s="360" t="s">
        <v>1483</v>
      </c>
      <c r="H1849" s="215" t="s">
        <v>4862</v>
      </c>
      <c r="I1849" s="215" t="s">
        <v>4862</v>
      </c>
    </row>
    <row r="1850" spans="1:9" s="2" customFormat="1" x14ac:dyDescent="0.25">
      <c r="A1850" s="694">
        <v>1706</v>
      </c>
      <c r="B1850" s="709">
        <v>71</v>
      </c>
      <c r="C1850" s="701" t="s">
        <v>2348</v>
      </c>
      <c r="D1850" s="718">
        <v>849319076</v>
      </c>
      <c r="E1850" s="264" t="s">
        <v>4863</v>
      </c>
      <c r="F1850" s="175">
        <v>2019</v>
      </c>
      <c r="G1850" s="360" t="s">
        <v>1483</v>
      </c>
      <c r="H1850" s="727" t="s">
        <v>4862</v>
      </c>
      <c r="I1850" s="727" t="s">
        <v>4862</v>
      </c>
    </row>
    <row r="1851" spans="1:9" s="2" customFormat="1" x14ac:dyDescent="0.25">
      <c r="A1851" s="694">
        <v>1707</v>
      </c>
      <c r="B1851" s="709">
        <v>72</v>
      </c>
      <c r="C1851" s="701" t="s">
        <v>2349</v>
      </c>
      <c r="D1851" s="718">
        <v>849319073</v>
      </c>
      <c r="E1851" s="264" t="s">
        <v>4863</v>
      </c>
      <c r="F1851" s="175">
        <v>2019</v>
      </c>
      <c r="G1851" s="404" t="s">
        <v>28</v>
      </c>
      <c r="H1851" s="215" t="s">
        <v>4862</v>
      </c>
      <c r="I1851" s="215" t="s">
        <v>4862</v>
      </c>
    </row>
    <row r="1852" spans="1:9" s="2" customFormat="1" x14ac:dyDescent="0.25">
      <c r="A1852" s="694">
        <v>1708</v>
      </c>
      <c r="B1852" s="709">
        <v>73</v>
      </c>
      <c r="C1852" s="701" t="s">
        <v>2350</v>
      </c>
      <c r="D1852" s="718">
        <v>849319009</v>
      </c>
      <c r="E1852" s="264" t="s">
        <v>4863</v>
      </c>
      <c r="F1852" s="175">
        <v>2019</v>
      </c>
      <c r="G1852" s="360" t="s">
        <v>1483</v>
      </c>
      <c r="H1852" s="215" t="s">
        <v>4862</v>
      </c>
      <c r="I1852" s="215" t="s">
        <v>4862</v>
      </c>
    </row>
    <row r="1853" spans="1:9" s="2" customFormat="1" x14ac:dyDescent="0.25">
      <c r="A1853" s="694">
        <v>1709</v>
      </c>
      <c r="B1853" s="709">
        <v>74</v>
      </c>
      <c r="C1853" s="701" t="s">
        <v>2351</v>
      </c>
      <c r="D1853" s="718">
        <v>849319049</v>
      </c>
      <c r="E1853" s="264" t="s">
        <v>4863</v>
      </c>
      <c r="F1853" s="175">
        <v>2019</v>
      </c>
      <c r="G1853" s="360" t="s">
        <v>1483</v>
      </c>
      <c r="H1853" s="215" t="s">
        <v>4862</v>
      </c>
      <c r="I1853" s="215" t="s">
        <v>4862</v>
      </c>
    </row>
    <row r="1854" spans="1:9" s="2" customFormat="1" x14ac:dyDescent="0.25">
      <c r="A1854" s="694">
        <v>1710</v>
      </c>
      <c r="B1854" s="709">
        <v>75</v>
      </c>
      <c r="C1854" s="701" t="s">
        <v>2352</v>
      </c>
      <c r="D1854" s="718">
        <v>849319027</v>
      </c>
      <c r="E1854" s="264" t="s">
        <v>4863</v>
      </c>
      <c r="F1854" s="175">
        <v>2019</v>
      </c>
      <c r="G1854" s="360" t="s">
        <v>1483</v>
      </c>
      <c r="H1854" s="215" t="s">
        <v>4862</v>
      </c>
      <c r="I1854" s="215" t="s">
        <v>4862</v>
      </c>
    </row>
    <row r="1855" spans="1:9" s="2" customFormat="1" x14ac:dyDescent="0.25">
      <c r="A1855" s="694">
        <v>1711</v>
      </c>
      <c r="B1855" s="709">
        <v>76</v>
      </c>
      <c r="C1855" s="704" t="s">
        <v>2353</v>
      </c>
      <c r="D1855" s="728">
        <v>849319075</v>
      </c>
      <c r="E1855" s="691" t="s">
        <v>4863</v>
      </c>
      <c r="F1855" s="175">
        <v>2019</v>
      </c>
      <c r="G1855" s="413" t="s">
        <v>1483</v>
      </c>
      <c r="H1855" s="729" t="s">
        <v>4862</v>
      </c>
      <c r="I1855" s="729" t="s">
        <v>4862</v>
      </c>
    </row>
    <row r="1856" spans="1:9" s="2" customFormat="1" x14ac:dyDescent="0.25">
      <c r="A1856" s="107"/>
      <c r="B1856" s="725"/>
      <c r="C1856" s="123"/>
      <c r="D1856" s="33"/>
      <c r="E1856" s="123"/>
      <c r="F1856" s="120" t="s">
        <v>61</v>
      </c>
      <c r="G1856" s="123"/>
      <c r="H1856" s="124"/>
      <c r="I1856" s="124"/>
    </row>
    <row r="1857" spans="1:9" s="2" customFormat="1" x14ac:dyDescent="0.25">
      <c r="A1857" s="725"/>
      <c r="B1857" s="725"/>
      <c r="C1857" s="123"/>
      <c r="D1857" s="33"/>
      <c r="E1857" s="123"/>
      <c r="F1857" s="120" t="s">
        <v>61</v>
      </c>
      <c r="G1857" s="123"/>
      <c r="H1857" s="124"/>
      <c r="I1857" s="124"/>
    </row>
    <row r="1858" spans="1:9" s="2" customFormat="1" x14ac:dyDescent="0.25">
      <c r="A1858" s="625" t="s">
        <v>2354</v>
      </c>
      <c r="B1858" s="625"/>
      <c r="C1858" s="625"/>
      <c r="D1858" s="366"/>
      <c r="E1858" s="198" t="s">
        <v>1096</v>
      </c>
      <c r="F1858" s="199" t="s">
        <v>1096</v>
      </c>
      <c r="G1858" s="565">
        <v>3750000</v>
      </c>
      <c r="H1858" s="147" t="str">
        <f>IFERROR(VLOOKUP(D1858,Tlus,3,FALSE),"   ")</f>
        <v xml:space="preserve">   </v>
      </c>
      <c r="I1858" s="147" t="str">
        <f>IFERROR(VLOOKUP(D1858,Wis,4,FALSE),"   ")</f>
        <v xml:space="preserve">   </v>
      </c>
    </row>
    <row r="1859" spans="1:9" s="2" customFormat="1" x14ac:dyDescent="0.25">
      <c r="A1859" s="694">
        <v>1712</v>
      </c>
      <c r="B1859" s="695">
        <v>1</v>
      </c>
      <c r="C1859" s="713" t="s">
        <v>2355</v>
      </c>
      <c r="D1859" s="726">
        <v>849119014</v>
      </c>
      <c r="E1859" s="326" t="s">
        <v>2550</v>
      </c>
      <c r="F1859" s="175">
        <v>2019</v>
      </c>
      <c r="G1859" s="699" t="s">
        <v>1483</v>
      </c>
      <c r="H1859" s="715" t="s">
        <v>4864</v>
      </c>
      <c r="I1859" s="715" t="s">
        <v>4864</v>
      </c>
    </row>
    <row r="1860" spans="1:9" s="2" customFormat="1" x14ac:dyDescent="0.25">
      <c r="A1860" s="694">
        <v>1713</v>
      </c>
      <c r="B1860" s="671">
        <v>2</v>
      </c>
      <c r="C1860" s="701" t="s">
        <v>2356</v>
      </c>
      <c r="D1860" s="718">
        <v>849119006</v>
      </c>
      <c r="E1860" s="264" t="s">
        <v>2550</v>
      </c>
      <c r="F1860" s="175">
        <v>2019</v>
      </c>
      <c r="G1860" s="360" t="s">
        <v>1483</v>
      </c>
      <c r="H1860" s="215" t="s">
        <v>4864</v>
      </c>
      <c r="I1860" s="215" t="s">
        <v>4864</v>
      </c>
    </row>
    <row r="1861" spans="1:9" s="2" customFormat="1" x14ac:dyDescent="0.25">
      <c r="A1861" s="694">
        <v>1714</v>
      </c>
      <c r="B1861" s="671">
        <v>3</v>
      </c>
      <c r="C1861" s="701" t="s">
        <v>2357</v>
      </c>
      <c r="D1861" s="718">
        <v>849119032</v>
      </c>
      <c r="E1861" s="264" t="s">
        <v>2550</v>
      </c>
      <c r="F1861" s="175">
        <v>2019</v>
      </c>
      <c r="G1861" s="360" t="s">
        <v>1483</v>
      </c>
      <c r="H1861" s="215" t="s">
        <v>4864</v>
      </c>
      <c r="I1861" s="215" t="s">
        <v>4864</v>
      </c>
    </row>
    <row r="1862" spans="1:9" s="2" customFormat="1" x14ac:dyDescent="0.25">
      <c r="A1862" s="694">
        <v>1715</v>
      </c>
      <c r="B1862" s="671">
        <v>4</v>
      </c>
      <c r="C1862" s="701" t="s">
        <v>2358</v>
      </c>
      <c r="D1862" s="718">
        <v>849119009</v>
      </c>
      <c r="E1862" s="264" t="s">
        <v>2550</v>
      </c>
      <c r="F1862" s="175">
        <v>2019</v>
      </c>
      <c r="G1862" s="360" t="s">
        <v>1483</v>
      </c>
      <c r="H1862" s="215" t="s">
        <v>4864</v>
      </c>
      <c r="I1862" s="215" t="s">
        <v>4864</v>
      </c>
    </row>
    <row r="1863" spans="1:9" s="2" customFormat="1" x14ac:dyDescent="0.25">
      <c r="A1863" s="694">
        <v>1716</v>
      </c>
      <c r="B1863" s="671">
        <v>5</v>
      </c>
      <c r="C1863" s="701" t="s">
        <v>2359</v>
      </c>
      <c r="D1863" s="718">
        <v>849119027</v>
      </c>
      <c r="E1863" s="264" t="s">
        <v>2550</v>
      </c>
      <c r="F1863" s="175">
        <v>2019</v>
      </c>
      <c r="G1863" s="360" t="s">
        <v>1483</v>
      </c>
      <c r="H1863" s="215" t="s">
        <v>4864</v>
      </c>
      <c r="I1863" s="215" t="s">
        <v>4864</v>
      </c>
    </row>
    <row r="1864" spans="1:9" s="2" customFormat="1" x14ac:dyDescent="0.25">
      <c r="A1864" s="694">
        <v>1717</v>
      </c>
      <c r="B1864" s="671">
        <v>6</v>
      </c>
      <c r="C1864" s="701" t="s">
        <v>2360</v>
      </c>
      <c r="D1864" s="718">
        <v>849119028</v>
      </c>
      <c r="E1864" s="264" t="s">
        <v>2550</v>
      </c>
      <c r="F1864" s="175">
        <v>2019</v>
      </c>
      <c r="G1864" s="360" t="s">
        <v>1483</v>
      </c>
      <c r="H1864" s="727" t="s">
        <v>4864</v>
      </c>
      <c r="I1864" s="727" t="s">
        <v>4864</v>
      </c>
    </row>
    <row r="1865" spans="1:9" s="2" customFormat="1" x14ac:dyDescent="0.25">
      <c r="A1865" s="694">
        <v>1718</v>
      </c>
      <c r="B1865" s="671">
        <v>7</v>
      </c>
      <c r="C1865" s="701" t="s">
        <v>2361</v>
      </c>
      <c r="D1865" s="718">
        <v>849119025</v>
      </c>
      <c r="E1865" s="264" t="s">
        <v>2550</v>
      </c>
      <c r="F1865" s="175">
        <v>2019</v>
      </c>
      <c r="G1865" s="360" t="s">
        <v>1483</v>
      </c>
      <c r="H1865" s="215" t="s">
        <v>4864</v>
      </c>
      <c r="I1865" s="215" t="s">
        <v>4864</v>
      </c>
    </row>
    <row r="1866" spans="1:9" s="2" customFormat="1" x14ac:dyDescent="0.25">
      <c r="A1866" s="694">
        <v>1719</v>
      </c>
      <c r="B1866" s="671">
        <v>8</v>
      </c>
      <c r="C1866" s="701" t="s">
        <v>2362</v>
      </c>
      <c r="D1866" s="718">
        <v>849119005</v>
      </c>
      <c r="E1866" s="264" t="s">
        <v>2550</v>
      </c>
      <c r="F1866" s="175">
        <v>2019</v>
      </c>
      <c r="G1866" s="360" t="s">
        <v>1483</v>
      </c>
      <c r="H1866" s="215" t="s">
        <v>4864</v>
      </c>
      <c r="I1866" s="215" t="s">
        <v>4864</v>
      </c>
    </row>
    <row r="1867" spans="1:9" s="2" customFormat="1" x14ac:dyDescent="0.25">
      <c r="A1867" s="694">
        <v>1720</v>
      </c>
      <c r="B1867" s="671">
        <v>9</v>
      </c>
      <c r="C1867" s="701" t="s">
        <v>2363</v>
      </c>
      <c r="D1867" s="718">
        <v>849119004</v>
      </c>
      <c r="E1867" s="264" t="s">
        <v>2550</v>
      </c>
      <c r="F1867" s="175">
        <v>2019</v>
      </c>
      <c r="G1867" s="360" t="s">
        <v>1483</v>
      </c>
      <c r="H1867" s="215" t="s">
        <v>4864</v>
      </c>
      <c r="I1867" s="215" t="s">
        <v>4864</v>
      </c>
    </row>
    <row r="1868" spans="1:9" s="2" customFormat="1" x14ac:dyDescent="0.25">
      <c r="A1868" s="694">
        <v>1721</v>
      </c>
      <c r="B1868" s="671">
        <v>10</v>
      </c>
      <c r="C1868" s="701" t="s">
        <v>2364</v>
      </c>
      <c r="D1868" s="718">
        <v>849119012</v>
      </c>
      <c r="E1868" s="264" t="s">
        <v>2550</v>
      </c>
      <c r="F1868" s="175">
        <v>2019</v>
      </c>
      <c r="G1868" s="360" t="s">
        <v>1483</v>
      </c>
      <c r="H1868" s="215" t="s">
        <v>4864</v>
      </c>
      <c r="I1868" s="215" t="s">
        <v>4864</v>
      </c>
    </row>
    <row r="1869" spans="1:9" s="2" customFormat="1" x14ac:dyDescent="0.25">
      <c r="A1869" s="694">
        <v>1722</v>
      </c>
      <c r="B1869" s="671">
        <v>11</v>
      </c>
      <c r="C1869" s="701" t="s">
        <v>2365</v>
      </c>
      <c r="D1869" s="718">
        <v>849119008</v>
      </c>
      <c r="E1869" s="264" t="s">
        <v>2550</v>
      </c>
      <c r="F1869" s="175">
        <v>2019</v>
      </c>
      <c r="G1869" s="360" t="s">
        <v>1483</v>
      </c>
      <c r="H1869" s="727" t="s">
        <v>4864</v>
      </c>
      <c r="I1869" s="727" t="s">
        <v>4864</v>
      </c>
    </row>
    <row r="1870" spans="1:9" s="2" customFormat="1" x14ac:dyDescent="0.25">
      <c r="A1870" s="694">
        <v>1723</v>
      </c>
      <c r="B1870" s="671">
        <v>12</v>
      </c>
      <c r="C1870" s="701" t="s">
        <v>2366</v>
      </c>
      <c r="D1870" s="718">
        <v>849119035</v>
      </c>
      <c r="E1870" s="264" t="s">
        <v>2550</v>
      </c>
      <c r="F1870" s="175">
        <v>2019</v>
      </c>
      <c r="G1870" s="404" t="s">
        <v>28</v>
      </c>
      <c r="H1870" s="215" t="s">
        <v>4864</v>
      </c>
      <c r="I1870" s="215" t="s">
        <v>4864</v>
      </c>
    </row>
    <row r="1871" spans="1:9" s="2" customFormat="1" x14ac:dyDescent="0.25">
      <c r="A1871" s="694">
        <v>1724</v>
      </c>
      <c r="B1871" s="671">
        <v>13</v>
      </c>
      <c r="C1871" s="701" t="s">
        <v>2367</v>
      </c>
      <c r="D1871" s="718">
        <v>849119034</v>
      </c>
      <c r="E1871" s="264" t="s">
        <v>2550</v>
      </c>
      <c r="F1871" s="175">
        <v>2019</v>
      </c>
      <c r="G1871" s="360" t="s">
        <v>1483</v>
      </c>
      <c r="H1871" s="215" t="s">
        <v>4864</v>
      </c>
      <c r="I1871" s="215" t="s">
        <v>4864</v>
      </c>
    </row>
    <row r="1872" spans="1:9" s="2" customFormat="1" x14ac:dyDescent="0.25">
      <c r="A1872" s="694">
        <v>1725</v>
      </c>
      <c r="B1872" s="671">
        <v>14</v>
      </c>
      <c r="C1872" s="701" t="s">
        <v>2368</v>
      </c>
      <c r="D1872" s="718">
        <v>849119020</v>
      </c>
      <c r="E1872" s="264" t="s">
        <v>2550</v>
      </c>
      <c r="F1872" s="175">
        <v>2019</v>
      </c>
      <c r="G1872" s="404" t="s">
        <v>1833</v>
      </c>
      <c r="H1872" s="215" t="s">
        <v>4864</v>
      </c>
      <c r="I1872" s="215" t="s">
        <v>4864</v>
      </c>
    </row>
    <row r="1873" spans="1:9" s="2" customFormat="1" x14ac:dyDescent="0.25">
      <c r="A1873" s="694">
        <v>1726</v>
      </c>
      <c r="B1873" s="671">
        <v>15</v>
      </c>
      <c r="C1873" s="701" t="s">
        <v>1938</v>
      </c>
      <c r="D1873" s="718">
        <v>849119017</v>
      </c>
      <c r="E1873" s="264" t="s">
        <v>2550</v>
      </c>
      <c r="F1873" s="175">
        <v>2019</v>
      </c>
      <c r="G1873" s="360" t="s">
        <v>1483</v>
      </c>
      <c r="H1873" s="215" t="s">
        <v>4864</v>
      </c>
      <c r="I1873" s="215" t="s">
        <v>4864</v>
      </c>
    </row>
    <row r="1874" spans="1:9" s="2" customFormat="1" x14ac:dyDescent="0.25">
      <c r="A1874" s="694">
        <v>1727</v>
      </c>
      <c r="B1874" s="671">
        <v>16</v>
      </c>
      <c r="C1874" s="701" t="s">
        <v>2369</v>
      </c>
      <c r="D1874" s="718">
        <v>849119033</v>
      </c>
      <c r="E1874" s="264" t="s">
        <v>2550</v>
      </c>
      <c r="F1874" s="175">
        <v>2019</v>
      </c>
      <c r="G1874" s="360" t="s">
        <v>1483</v>
      </c>
      <c r="H1874" s="727" t="s">
        <v>4864</v>
      </c>
      <c r="I1874" s="727" t="s">
        <v>4864</v>
      </c>
    </row>
    <row r="1875" spans="1:9" s="2" customFormat="1" x14ac:dyDescent="0.25">
      <c r="A1875" s="694">
        <v>1728</v>
      </c>
      <c r="B1875" s="671">
        <v>17</v>
      </c>
      <c r="C1875" s="701" t="s">
        <v>2370</v>
      </c>
      <c r="D1875" s="718">
        <v>849119011</v>
      </c>
      <c r="E1875" s="264" t="s">
        <v>2550</v>
      </c>
      <c r="F1875" s="175">
        <v>2019</v>
      </c>
      <c r="G1875" s="360" t="s">
        <v>1483</v>
      </c>
      <c r="H1875" s="215" t="s">
        <v>4864</v>
      </c>
      <c r="I1875" s="215" t="s">
        <v>4864</v>
      </c>
    </row>
    <row r="1876" spans="1:9" s="2" customFormat="1" x14ac:dyDescent="0.25">
      <c r="A1876" s="694">
        <v>1729</v>
      </c>
      <c r="B1876" s="671">
        <v>18</v>
      </c>
      <c r="C1876" s="701" t="s">
        <v>2371</v>
      </c>
      <c r="D1876" s="718">
        <v>849119015</v>
      </c>
      <c r="E1876" s="264" t="s">
        <v>2550</v>
      </c>
      <c r="F1876" s="175">
        <v>2019</v>
      </c>
      <c r="G1876" s="360" t="s">
        <v>1483</v>
      </c>
      <c r="H1876" s="215" t="s">
        <v>4864</v>
      </c>
      <c r="I1876" s="215" t="s">
        <v>4864</v>
      </c>
    </row>
    <row r="1877" spans="1:9" s="2" customFormat="1" x14ac:dyDescent="0.25">
      <c r="A1877" s="694">
        <v>1730</v>
      </c>
      <c r="B1877" s="671">
        <v>19</v>
      </c>
      <c r="C1877" s="701" t="s">
        <v>2372</v>
      </c>
      <c r="D1877" s="718">
        <v>849119029</v>
      </c>
      <c r="E1877" s="264" t="s">
        <v>2550</v>
      </c>
      <c r="F1877" s="175">
        <v>2019</v>
      </c>
      <c r="G1877" s="360" t="s">
        <v>1483</v>
      </c>
      <c r="H1877" s="215" t="s">
        <v>4864</v>
      </c>
      <c r="I1877" s="215" t="s">
        <v>4864</v>
      </c>
    </row>
    <row r="1878" spans="1:9" s="2" customFormat="1" x14ac:dyDescent="0.25">
      <c r="A1878" s="694">
        <v>1731</v>
      </c>
      <c r="B1878" s="671">
        <v>20</v>
      </c>
      <c r="C1878" s="701" t="s">
        <v>2373</v>
      </c>
      <c r="D1878" s="718">
        <v>849119039</v>
      </c>
      <c r="E1878" s="264" t="s">
        <v>2550</v>
      </c>
      <c r="F1878" s="175">
        <v>2019</v>
      </c>
      <c r="G1878" s="360" t="s">
        <v>1483</v>
      </c>
      <c r="H1878" s="215" t="s">
        <v>4864</v>
      </c>
      <c r="I1878" s="215" t="s">
        <v>4864</v>
      </c>
    </row>
    <row r="1879" spans="1:9" s="2" customFormat="1" x14ac:dyDescent="0.25">
      <c r="A1879" s="694">
        <v>1732</v>
      </c>
      <c r="B1879" s="671">
        <v>21</v>
      </c>
      <c r="C1879" s="701" t="s">
        <v>2374</v>
      </c>
      <c r="D1879" s="718">
        <v>849119040</v>
      </c>
      <c r="E1879" s="264" t="s">
        <v>2550</v>
      </c>
      <c r="F1879" s="175">
        <v>2019</v>
      </c>
      <c r="G1879" s="360" t="s">
        <v>1483</v>
      </c>
      <c r="H1879" s="727" t="s">
        <v>4864</v>
      </c>
      <c r="I1879" s="727" t="s">
        <v>4864</v>
      </c>
    </row>
    <row r="1880" spans="1:9" s="2" customFormat="1" x14ac:dyDescent="0.25">
      <c r="A1880" s="694">
        <v>1733</v>
      </c>
      <c r="B1880" s="671">
        <v>22</v>
      </c>
      <c r="C1880" s="701" t="s">
        <v>2375</v>
      </c>
      <c r="D1880" s="718">
        <v>849119030</v>
      </c>
      <c r="E1880" s="264" t="s">
        <v>2572</v>
      </c>
      <c r="F1880" s="175">
        <v>2019</v>
      </c>
      <c r="G1880" s="360" t="s">
        <v>1483</v>
      </c>
      <c r="H1880" s="215" t="s">
        <v>4864</v>
      </c>
      <c r="I1880" s="215" t="s">
        <v>4864</v>
      </c>
    </row>
    <row r="1881" spans="1:9" s="2" customFormat="1" x14ac:dyDescent="0.25">
      <c r="A1881" s="694">
        <v>1734</v>
      </c>
      <c r="B1881" s="671">
        <v>23</v>
      </c>
      <c r="C1881" s="701" t="s">
        <v>2376</v>
      </c>
      <c r="D1881" s="718">
        <v>849119026</v>
      </c>
      <c r="E1881" s="264" t="s">
        <v>2572</v>
      </c>
      <c r="F1881" s="175">
        <v>2019</v>
      </c>
      <c r="G1881" s="360" t="s">
        <v>1483</v>
      </c>
      <c r="H1881" s="215" t="s">
        <v>4864</v>
      </c>
      <c r="I1881" s="215" t="s">
        <v>4864</v>
      </c>
    </row>
    <row r="1882" spans="1:9" s="2" customFormat="1" x14ac:dyDescent="0.25">
      <c r="A1882" s="694">
        <v>1735</v>
      </c>
      <c r="B1882" s="671">
        <v>24</v>
      </c>
      <c r="C1882" s="701" t="s">
        <v>2377</v>
      </c>
      <c r="D1882" s="718">
        <v>849119021</v>
      </c>
      <c r="E1882" s="264" t="s">
        <v>2572</v>
      </c>
      <c r="F1882" s="175">
        <v>2019</v>
      </c>
      <c r="G1882" s="360" t="s">
        <v>1483</v>
      </c>
      <c r="H1882" s="215" t="s">
        <v>4864</v>
      </c>
      <c r="I1882" s="215" t="s">
        <v>4864</v>
      </c>
    </row>
    <row r="1883" spans="1:9" s="2" customFormat="1" x14ac:dyDescent="0.25">
      <c r="A1883" s="694">
        <v>1736</v>
      </c>
      <c r="B1883" s="671">
        <v>25</v>
      </c>
      <c r="C1883" s="701" t="s">
        <v>2378</v>
      </c>
      <c r="D1883" s="718">
        <v>849119037</v>
      </c>
      <c r="E1883" s="264" t="s">
        <v>2572</v>
      </c>
      <c r="F1883" s="175">
        <v>2019</v>
      </c>
      <c r="G1883" s="404" t="s">
        <v>28</v>
      </c>
      <c r="H1883" s="215" t="s">
        <v>4864</v>
      </c>
      <c r="I1883" s="215" t="s">
        <v>4864</v>
      </c>
    </row>
    <row r="1884" spans="1:9" s="2" customFormat="1" x14ac:dyDescent="0.25">
      <c r="A1884" s="694">
        <v>1737</v>
      </c>
      <c r="B1884" s="671">
        <v>26</v>
      </c>
      <c r="C1884" s="701" t="s">
        <v>2379</v>
      </c>
      <c r="D1884" s="718">
        <v>849119013</v>
      </c>
      <c r="E1884" s="264" t="s">
        <v>2572</v>
      </c>
      <c r="F1884" s="175">
        <v>2019</v>
      </c>
      <c r="G1884" s="360" t="s">
        <v>1483</v>
      </c>
      <c r="H1884" s="727" t="s">
        <v>4864</v>
      </c>
      <c r="I1884" s="727" t="s">
        <v>4864</v>
      </c>
    </row>
    <row r="1885" spans="1:9" s="2" customFormat="1" x14ac:dyDescent="0.25">
      <c r="A1885" s="694">
        <v>1738</v>
      </c>
      <c r="B1885" s="671">
        <v>27</v>
      </c>
      <c r="C1885" s="701" t="s">
        <v>2380</v>
      </c>
      <c r="D1885" s="718">
        <v>849119024</v>
      </c>
      <c r="E1885" s="264" t="s">
        <v>2572</v>
      </c>
      <c r="F1885" s="175">
        <v>2019</v>
      </c>
      <c r="G1885" s="360" t="s">
        <v>1483</v>
      </c>
      <c r="H1885" s="215" t="s">
        <v>4864</v>
      </c>
      <c r="I1885" s="215" t="s">
        <v>4864</v>
      </c>
    </row>
    <row r="1886" spans="1:9" s="2" customFormat="1" x14ac:dyDescent="0.25">
      <c r="A1886" s="694">
        <v>1739</v>
      </c>
      <c r="B1886" s="671">
        <v>28</v>
      </c>
      <c r="C1886" s="701" t="s">
        <v>2381</v>
      </c>
      <c r="D1886" s="718">
        <v>849119038</v>
      </c>
      <c r="E1886" s="264" t="s">
        <v>2572</v>
      </c>
      <c r="F1886" s="175">
        <v>2019</v>
      </c>
      <c r="G1886" s="360" t="s">
        <v>1483</v>
      </c>
      <c r="H1886" s="215" t="s">
        <v>4864</v>
      </c>
      <c r="I1886" s="215" t="s">
        <v>4864</v>
      </c>
    </row>
    <row r="1887" spans="1:9" s="2" customFormat="1" x14ac:dyDescent="0.25">
      <c r="A1887" s="694">
        <v>1740</v>
      </c>
      <c r="B1887" s="671">
        <v>29</v>
      </c>
      <c r="C1887" s="701" t="s">
        <v>2382</v>
      </c>
      <c r="D1887" s="718">
        <v>849119036</v>
      </c>
      <c r="E1887" s="264" t="s">
        <v>2572</v>
      </c>
      <c r="F1887" s="175">
        <v>2019</v>
      </c>
      <c r="G1887" s="360" t="s">
        <v>1483</v>
      </c>
      <c r="H1887" s="215" t="s">
        <v>4864</v>
      </c>
      <c r="I1887" s="215" t="s">
        <v>4864</v>
      </c>
    </row>
    <row r="1888" spans="1:9" s="2" customFormat="1" x14ac:dyDescent="0.25">
      <c r="A1888" s="694">
        <v>1741</v>
      </c>
      <c r="B1888" s="671">
        <v>30</v>
      </c>
      <c r="C1888" s="701" t="s">
        <v>2383</v>
      </c>
      <c r="D1888" s="718">
        <v>849119001</v>
      </c>
      <c r="E1888" s="264" t="s">
        <v>2572</v>
      </c>
      <c r="F1888" s="175">
        <v>2019</v>
      </c>
      <c r="G1888" s="360" t="s">
        <v>1483</v>
      </c>
      <c r="H1888" s="215" t="s">
        <v>4864</v>
      </c>
      <c r="I1888" s="215" t="s">
        <v>4864</v>
      </c>
    </row>
    <row r="1889" spans="1:9" s="2" customFormat="1" x14ac:dyDescent="0.25">
      <c r="A1889" s="694">
        <v>1742</v>
      </c>
      <c r="B1889" s="671">
        <v>31</v>
      </c>
      <c r="C1889" s="701" t="s">
        <v>2384</v>
      </c>
      <c r="D1889" s="718">
        <v>849119018</v>
      </c>
      <c r="E1889" s="264" t="s">
        <v>2572</v>
      </c>
      <c r="F1889" s="175">
        <v>2019</v>
      </c>
      <c r="G1889" s="360" t="s">
        <v>1483</v>
      </c>
      <c r="H1889" s="215" t="s">
        <v>4864</v>
      </c>
      <c r="I1889" s="215" t="s">
        <v>4864</v>
      </c>
    </row>
    <row r="1890" spans="1:9" s="2" customFormat="1" x14ac:dyDescent="0.25">
      <c r="A1890" s="694">
        <v>1743</v>
      </c>
      <c r="B1890" s="671">
        <v>32</v>
      </c>
      <c r="C1890" s="701" t="s">
        <v>2385</v>
      </c>
      <c r="D1890" s="718">
        <v>849119007</v>
      </c>
      <c r="E1890" s="264" t="s">
        <v>2572</v>
      </c>
      <c r="F1890" s="175">
        <v>2019</v>
      </c>
      <c r="G1890" s="360" t="s">
        <v>1483</v>
      </c>
      <c r="H1890" s="727" t="s">
        <v>4864</v>
      </c>
      <c r="I1890" s="727" t="s">
        <v>4864</v>
      </c>
    </row>
    <row r="1891" spans="1:9" s="2" customFormat="1" x14ac:dyDescent="0.25">
      <c r="A1891" s="694">
        <v>1744</v>
      </c>
      <c r="B1891" s="671">
        <v>33</v>
      </c>
      <c r="C1891" s="701" t="s">
        <v>2386</v>
      </c>
      <c r="D1891" s="718">
        <v>849119003</v>
      </c>
      <c r="E1891" s="264" t="s">
        <v>2572</v>
      </c>
      <c r="F1891" s="175">
        <v>2019</v>
      </c>
      <c r="G1891" s="404" t="s">
        <v>28</v>
      </c>
      <c r="H1891" s="215" t="s">
        <v>4864</v>
      </c>
      <c r="I1891" s="215" t="s">
        <v>4864</v>
      </c>
    </row>
    <row r="1892" spans="1:9" s="2" customFormat="1" x14ac:dyDescent="0.25">
      <c r="A1892" s="694">
        <v>1745</v>
      </c>
      <c r="B1892" s="671">
        <v>34</v>
      </c>
      <c r="C1892" s="701" t="s">
        <v>2387</v>
      </c>
      <c r="D1892" s="718">
        <v>849119041</v>
      </c>
      <c r="E1892" s="264" t="s">
        <v>2572</v>
      </c>
      <c r="F1892" s="175">
        <v>2019</v>
      </c>
      <c r="G1892" s="360" t="s">
        <v>1483</v>
      </c>
      <c r="H1892" s="215" t="s">
        <v>4864</v>
      </c>
      <c r="I1892" s="215" t="s">
        <v>4864</v>
      </c>
    </row>
    <row r="1893" spans="1:9" s="2" customFormat="1" x14ac:dyDescent="0.25">
      <c r="A1893" s="694">
        <v>1746</v>
      </c>
      <c r="B1893" s="671">
        <v>35</v>
      </c>
      <c r="C1893" s="701" t="s">
        <v>2388</v>
      </c>
      <c r="D1893" s="718">
        <v>849119031</v>
      </c>
      <c r="E1893" s="264" t="s">
        <v>2572</v>
      </c>
      <c r="F1893" s="175">
        <v>2019</v>
      </c>
      <c r="G1893" s="360" t="s">
        <v>1483</v>
      </c>
      <c r="H1893" s="215" t="s">
        <v>4864</v>
      </c>
      <c r="I1893" s="215" t="s">
        <v>4864</v>
      </c>
    </row>
    <row r="1894" spans="1:9" s="2" customFormat="1" x14ac:dyDescent="0.25">
      <c r="A1894" s="694">
        <v>1747</v>
      </c>
      <c r="B1894" s="671">
        <v>36</v>
      </c>
      <c r="C1894" s="701" t="s">
        <v>2389</v>
      </c>
      <c r="D1894" s="718">
        <v>849119019</v>
      </c>
      <c r="E1894" s="264" t="s">
        <v>2572</v>
      </c>
      <c r="F1894" s="175">
        <v>2019</v>
      </c>
      <c r="G1894" s="360" t="s">
        <v>1483</v>
      </c>
      <c r="H1894" s="215" t="s">
        <v>4864</v>
      </c>
      <c r="I1894" s="215" t="s">
        <v>4864</v>
      </c>
    </row>
    <row r="1895" spans="1:9" s="2" customFormat="1" x14ac:dyDescent="0.25">
      <c r="A1895" s="694">
        <v>1748</v>
      </c>
      <c r="B1895" s="671">
        <v>37</v>
      </c>
      <c r="C1895" s="701" t="s">
        <v>2390</v>
      </c>
      <c r="D1895" s="718">
        <v>849119023</v>
      </c>
      <c r="E1895" s="264" t="s">
        <v>2572</v>
      </c>
      <c r="F1895" s="175">
        <v>2019</v>
      </c>
      <c r="G1895" s="360" t="s">
        <v>1483</v>
      </c>
      <c r="H1895" s="727" t="s">
        <v>4864</v>
      </c>
      <c r="I1895" s="727" t="s">
        <v>4864</v>
      </c>
    </row>
    <row r="1896" spans="1:9" s="2" customFormat="1" x14ac:dyDescent="0.25">
      <c r="A1896" s="694">
        <v>1749</v>
      </c>
      <c r="B1896" s="671">
        <v>38</v>
      </c>
      <c r="C1896" s="701" t="s">
        <v>2391</v>
      </c>
      <c r="D1896" s="718">
        <v>849119022</v>
      </c>
      <c r="E1896" s="264" t="s">
        <v>2572</v>
      </c>
      <c r="F1896" s="175">
        <v>2019</v>
      </c>
      <c r="G1896" s="360" t="s">
        <v>1483</v>
      </c>
      <c r="H1896" s="215" t="s">
        <v>4864</v>
      </c>
      <c r="I1896" s="215" t="s">
        <v>4864</v>
      </c>
    </row>
    <row r="1897" spans="1:9" s="2" customFormat="1" x14ac:dyDescent="0.25">
      <c r="A1897" s="694">
        <v>1750</v>
      </c>
      <c r="B1897" s="671">
        <v>39</v>
      </c>
      <c r="C1897" s="701" t="s">
        <v>2392</v>
      </c>
      <c r="D1897" s="718">
        <v>849119002</v>
      </c>
      <c r="E1897" s="264" t="s">
        <v>2572</v>
      </c>
      <c r="F1897" s="175">
        <v>2019</v>
      </c>
      <c r="G1897" s="360" t="s">
        <v>1483</v>
      </c>
      <c r="H1897" s="215" t="s">
        <v>4864</v>
      </c>
      <c r="I1897" s="215" t="s">
        <v>4864</v>
      </c>
    </row>
    <row r="1898" spans="1:9" s="2" customFormat="1" x14ac:dyDescent="0.25">
      <c r="A1898" s="694">
        <v>1751</v>
      </c>
      <c r="B1898" s="671">
        <v>40</v>
      </c>
      <c r="C1898" s="701" t="s">
        <v>2495</v>
      </c>
      <c r="D1898" s="718">
        <v>849119010</v>
      </c>
      <c r="E1898" s="264" t="s">
        <v>2572</v>
      </c>
      <c r="F1898" s="175">
        <v>2019</v>
      </c>
      <c r="G1898" s="360" t="s">
        <v>1483</v>
      </c>
      <c r="H1898" s="215" t="s">
        <v>4864</v>
      </c>
      <c r="I1898" s="215" t="s">
        <v>4864</v>
      </c>
    </row>
    <row r="1899" spans="1:9" s="2" customFormat="1" x14ac:dyDescent="0.25">
      <c r="A1899" s="694">
        <v>1752</v>
      </c>
      <c r="B1899" s="671">
        <v>41</v>
      </c>
      <c r="C1899" s="701" t="s">
        <v>2393</v>
      </c>
      <c r="D1899" s="718">
        <v>849119016</v>
      </c>
      <c r="E1899" s="264" t="s">
        <v>2572</v>
      </c>
      <c r="F1899" s="175">
        <v>2019</v>
      </c>
      <c r="G1899" s="360" t="s">
        <v>1483</v>
      </c>
      <c r="H1899" s="215" t="s">
        <v>4864</v>
      </c>
      <c r="I1899" s="215" t="s">
        <v>4864</v>
      </c>
    </row>
    <row r="1900" spans="1:9" s="2" customFormat="1" x14ac:dyDescent="0.25">
      <c r="A1900" s="725"/>
      <c r="B1900" s="725"/>
      <c r="C1900" s="123"/>
      <c r="D1900" s="33"/>
      <c r="E1900" s="123"/>
      <c r="F1900" s="120" t="s">
        <v>61</v>
      </c>
      <c r="G1900" s="123"/>
      <c r="H1900" s="124"/>
      <c r="I1900" s="124"/>
    </row>
    <row r="1901" spans="1:9" s="2" customFormat="1" x14ac:dyDescent="0.25">
      <c r="A1901" s="625" t="s">
        <v>2394</v>
      </c>
      <c r="B1901" s="625"/>
      <c r="C1901" s="625"/>
      <c r="D1901" s="366"/>
      <c r="E1901" s="198" t="s">
        <v>1096</v>
      </c>
      <c r="F1901" s="199" t="s">
        <v>1096</v>
      </c>
      <c r="G1901" s="565">
        <v>3750000</v>
      </c>
      <c r="H1901" s="147" t="str">
        <f>IFERROR(VLOOKUP(D1901,Tlus,3,FALSE),"   ")</f>
        <v xml:space="preserve">   </v>
      </c>
      <c r="I1901" s="147" t="str">
        <f>IFERROR(VLOOKUP(D1901,Wis,4,FALSE),"   ")</f>
        <v xml:space="preserve">   </v>
      </c>
    </row>
    <row r="1902" spans="1:9" s="2" customFormat="1" x14ac:dyDescent="0.25">
      <c r="A1902" s="694">
        <v>1753</v>
      </c>
      <c r="B1902" s="695">
        <v>1</v>
      </c>
      <c r="C1902" s="713" t="s">
        <v>2395</v>
      </c>
      <c r="D1902" s="726">
        <v>839219010</v>
      </c>
      <c r="E1902" s="326" t="s">
        <v>2647</v>
      </c>
      <c r="F1902" s="175">
        <v>2019</v>
      </c>
      <c r="G1902" s="699" t="s">
        <v>1483</v>
      </c>
      <c r="H1902" s="715" t="s">
        <v>4865</v>
      </c>
      <c r="I1902" s="715" t="s">
        <v>4865</v>
      </c>
    </row>
    <row r="1903" spans="1:9" s="2" customFormat="1" x14ac:dyDescent="0.25">
      <c r="A1903" s="694">
        <v>1754</v>
      </c>
      <c r="B1903" s="671">
        <v>2</v>
      </c>
      <c r="C1903" s="701" t="s">
        <v>2396</v>
      </c>
      <c r="D1903" s="718">
        <v>839219003</v>
      </c>
      <c r="E1903" s="264" t="s">
        <v>2647</v>
      </c>
      <c r="F1903" s="175">
        <v>2019</v>
      </c>
      <c r="G1903" s="360" t="s">
        <v>1483</v>
      </c>
      <c r="H1903" s="215" t="s">
        <v>4865</v>
      </c>
      <c r="I1903" s="215" t="s">
        <v>4865</v>
      </c>
    </row>
    <row r="1904" spans="1:9" s="2" customFormat="1" x14ac:dyDescent="0.25">
      <c r="A1904" s="694">
        <v>1755</v>
      </c>
      <c r="B1904" s="671">
        <v>3</v>
      </c>
      <c r="C1904" s="701" t="s">
        <v>2397</v>
      </c>
      <c r="D1904" s="718">
        <v>839219028</v>
      </c>
      <c r="E1904" s="264" t="s">
        <v>2647</v>
      </c>
      <c r="F1904" s="175">
        <v>2019</v>
      </c>
      <c r="G1904" s="360" t="s">
        <v>1483</v>
      </c>
      <c r="H1904" s="215" t="s">
        <v>4865</v>
      </c>
      <c r="I1904" s="215" t="s">
        <v>4865</v>
      </c>
    </row>
    <row r="1905" spans="1:9" s="2" customFormat="1" x14ac:dyDescent="0.25">
      <c r="A1905" s="694">
        <v>1756</v>
      </c>
      <c r="B1905" s="671">
        <v>4</v>
      </c>
      <c r="C1905" s="701" t="s">
        <v>2398</v>
      </c>
      <c r="D1905" s="718">
        <v>839219029</v>
      </c>
      <c r="E1905" s="264" t="s">
        <v>2647</v>
      </c>
      <c r="F1905" s="175">
        <v>2019</v>
      </c>
      <c r="G1905" s="360" t="s">
        <v>1483</v>
      </c>
      <c r="H1905" s="215" t="s">
        <v>4865</v>
      </c>
      <c r="I1905" s="215" t="s">
        <v>4865</v>
      </c>
    </row>
    <row r="1906" spans="1:9" s="2" customFormat="1" x14ac:dyDescent="0.25">
      <c r="A1906" s="694">
        <v>1757</v>
      </c>
      <c r="B1906" s="671">
        <v>5</v>
      </c>
      <c r="C1906" s="701" t="s">
        <v>2399</v>
      </c>
      <c r="D1906" s="718">
        <v>839219005</v>
      </c>
      <c r="E1906" s="264" t="s">
        <v>2647</v>
      </c>
      <c r="F1906" s="175">
        <v>2019</v>
      </c>
      <c r="G1906" s="360" t="s">
        <v>1483</v>
      </c>
      <c r="H1906" s="215" t="s">
        <v>4865</v>
      </c>
      <c r="I1906" s="215" t="s">
        <v>4865</v>
      </c>
    </row>
    <row r="1907" spans="1:9" s="2" customFormat="1" x14ac:dyDescent="0.25">
      <c r="A1907" s="694">
        <v>1758</v>
      </c>
      <c r="B1907" s="671">
        <v>6</v>
      </c>
      <c r="C1907" s="701" t="s">
        <v>2400</v>
      </c>
      <c r="D1907" s="718">
        <v>839219013</v>
      </c>
      <c r="E1907" s="264" t="s">
        <v>2647</v>
      </c>
      <c r="F1907" s="175">
        <v>2019</v>
      </c>
      <c r="G1907" s="360" t="s">
        <v>1483</v>
      </c>
      <c r="H1907" s="215" t="s">
        <v>4865</v>
      </c>
      <c r="I1907" s="215" t="s">
        <v>4865</v>
      </c>
    </row>
    <row r="1908" spans="1:9" s="2" customFormat="1" x14ac:dyDescent="0.25">
      <c r="A1908" s="694">
        <v>1759</v>
      </c>
      <c r="B1908" s="671">
        <v>7</v>
      </c>
      <c r="C1908" s="701" t="s">
        <v>2401</v>
      </c>
      <c r="D1908" s="718">
        <v>839219012</v>
      </c>
      <c r="E1908" s="264" t="s">
        <v>2647</v>
      </c>
      <c r="F1908" s="175">
        <v>2019</v>
      </c>
      <c r="G1908" s="360" t="s">
        <v>1483</v>
      </c>
      <c r="H1908" s="727" t="s">
        <v>4865</v>
      </c>
      <c r="I1908" s="727" t="s">
        <v>4865</v>
      </c>
    </row>
    <row r="1909" spans="1:9" s="2" customFormat="1" x14ac:dyDescent="0.25">
      <c r="A1909" s="694">
        <v>1760</v>
      </c>
      <c r="B1909" s="671">
        <v>8</v>
      </c>
      <c r="C1909" s="701" t="s">
        <v>2402</v>
      </c>
      <c r="D1909" s="718">
        <v>839219017</v>
      </c>
      <c r="E1909" s="264" t="s">
        <v>2647</v>
      </c>
      <c r="F1909" s="175">
        <v>2019</v>
      </c>
      <c r="G1909" s="360" t="s">
        <v>1483</v>
      </c>
      <c r="H1909" s="215" t="s">
        <v>4865</v>
      </c>
      <c r="I1909" s="215" t="s">
        <v>4865</v>
      </c>
    </row>
    <row r="1910" spans="1:9" s="2" customFormat="1" x14ac:dyDescent="0.25">
      <c r="A1910" s="694">
        <v>1761</v>
      </c>
      <c r="B1910" s="671">
        <v>9</v>
      </c>
      <c r="C1910" s="701" t="s">
        <v>2403</v>
      </c>
      <c r="D1910" s="718">
        <v>839219006</v>
      </c>
      <c r="E1910" s="264" t="s">
        <v>2647</v>
      </c>
      <c r="F1910" s="175">
        <v>2019</v>
      </c>
      <c r="G1910" s="360" t="s">
        <v>1483</v>
      </c>
      <c r="H1910" s="215" t="s">
        <v>4865</v>
      </c>
      <c r="I1910" s="215" t="s">
        <v>4865</v>
      </c>
    </row>
    <row r="1911" spans="1:9" s="2" customFormat="1" x14ac:dyDescent="0.25">
      <c r="A1911" s="694">
        <v>1762</v>
      </c>
      <c r="B1911" s="671">
        <v>10</v>
      </c>
      <c r="C1911" s="701" t="s">
        <v>2404</v>
      </c>
      <c r="D1911" s="718">
        <v>839219027</v>
      </c>
      <c r="E1911" s="264" t="s">
        <v>2647</v>
      </c>
      <c r="F1911" s="175">
        <v>2019</v>
      </c>
      <c r="G1911" s="360" t="s">
        <v>1483</v>
      </c>
      <c r="H1911" s="215" t="s">
        <v>4865</v>
      </c>
      <c r="I1911" s="215" t="s">
        <v>4865</v>
      </c>
    </row>
    <row r="1912" spans="1:9" s="2" customFormat="1" x14ac:dyDescent="0.25">
      <c r="A1912" s="694">
        <v>1763</v>
      </c>
      <c r="B1912" s="671">
        <v>11</v>
      </c>
      <c r="C1912" s="701" t="s">
        <v>2405</v>
      </c>
      <c r="D1912" s="718">
        <v>839219022</v>
      </c>
      <c r="E1912" s="264" t="s">
        <v>2647</v>
      </c>
      <c r="F1912" s="175">
        <v>2019</v>
      </c>
      <c r="G1912" s="360" t="s">
        <v>1483</v>
      </c>
      <c r="H1912" s="215" t="s">
        <v>4865</v>
      </c>
      <c r="I1912" s="215" t="s">
        <v>4865</v>
      </c>
    </row>
    <row r="1913" spans="1:9" s="2" customFormat="1" x14ac:dyDescent="0.25">
      <c r="A1913" s="694">
        <v>1764</v>
      </c>
      <c r="B1913" s="671">
        <v>12</v>
      </c>
      <c r="C1913" s="701" t="s">
        <v>2406</v>
      </c>
      <c r="D1913" s="718">
        <v>839219007</v>
      </c>
      <c r="E1913" s="264" t="s">
        <v>2647</v>
      </c>
      <c r="F1913" s="175">
        <v>2019</v>
      </c>
      <c r="G1913" s="360" t="s">
        <v>1483</v>
      </c>
      <c r="H1913" s="727" t="s">
        <v>4865</v>
      </c>
      <c r="I1913" s="727" t="s">
        <v>4865</v>
      </c>
    </row>
    <row r="1914" spans="1:9" s="2" customFormat="1" x14ac:dyDescent="0.25">
      <c r="A1914" s="694">
        <v>1765</v>
      </c>
      <c r="B1914" s="671">
        <v>13</v>
      </c>
      <c r="C1914" s="701" t="s">
        <v>2407</v>
      </c>
      <c r="D1914" s="718">
        <v>839219001</v>
      </c>
      <c r="E1914" s="264" t="s">
        <v>2647</v>
      </c>
      <c r="F1914" s="175">
        <v>2019</v>
      </c>
      <c r="G1914" s="360" t="s">
        <v>1483</v>
      </c>
      <c r="H1914" s="215" t="s">
        <v>4865</v>
      </c>
      <c r="I1914" s="215" t="s">
        <v>4865</v>
      </c>
    </row>
    <row r="1915" spans="1:9" s="2" customFormat="1" x14ac:dyDescent="0.25">
      <c r="A1915" s="694">
        <v>1766</v>
      </c>
      <c r="B1915" s="671">
        <v>14</v>
      </c>
      <c r="C1915" s="701" t="s">
        <v>2408</v>
      </c>
      <c r="D1915" s="718">
        <v>839219011</v>
      </c>
      <c r="E1915" s="264" t="s">
        <v>2647</v>
      </c>
      <c r="F1915" s="175">
        <v>2019</v>
      </c>
      <c r="G1915" s="360" t="s">
        <v>1483</v>
      </c>
      <c r="H1915" s="215" t="s">
        <v>4865</v>
      </c>
      <c r="I1915" s="215" t="s">
        <v>4865</v>
      </c>
    </row>
    <row r="1916" spans="1:9" s="2" customFormat="1" x14ac:dyDescent="0.25">
      <c r="A1916" s="694">
        <v>1767</v>
      </c>
      <c r="B1916" s="671">
        <v>15</v>
      </c>
      <c r="C1916" s="701" t="s">
        <v>2409</v>
      </c>
      <c r="D1916" s="718">
        <v>839219009</v>
      </c>
      <c r="E1916" s="264" t="s">
        <v>2663</v>
      </c>
      <c r="F1916" s="175">
        <v>2019</v>
      </c>
      <c r="G1916" s="360" t="s">
        <v>1483</v>
      </c>
      <c r="H1916" s="215" t="s">
        <v>4865</v>
      </c>
      <c r="I1916" s="215" t="s">
        <v>4865</v>
      </c>
    </row>
    <row r="1917" spans="1:9" s="2" customFormat="1" x14ac:dyDescent="0.25">
      <c r="A1917" s="694">
        <v>1768</v>
      </c>
      <c r="B1917" s="671">
        <v>16</v>
      </c>
      <c r="C1917" s="701" t="s">
        <v>2410</v>
      </c>
      <c r="D1917" s="718">
        <v>839219018</v>
      </c>
      <c r="E1917" s="264" t="s">
        <v>2663</v>
      </c>
      <c r="F1917" s="175">
        <v>2019</v>
      </c>
      <c r="G1917" s="360" t="s">
        <v>1483</v>
      </c>
      <c r="H1917" s="215" t="s">
        <v>4865</v>
      </c>
      <c r="I1917" s="215" t="s">
        <v>4865</v>
      </c>
    </row>
    <row r="1918" spans="1:9" s="2" customFormat="1" x14ac:dyDescent="0.25">
      <c r="A1918" s="694">
        <v>1769</v>
      </c>
      <c r="B1918" s="671">
        <v>17</v>
      </c>
      <c r="C1918" s="701" t="s">
        <v>2411</v>
      </c>
      <c r="D1918" s="718">
        <v>839219020</v>
      </c>
      <c r="E1918" s="264" t="s">
        <v>2663</v>
      </c>
      <c r="F1918" s="175">
        <v>2019</v>
      </c>
      <c r="G1918" s="360" t="s">
        <v>1483</v>
      </c>
      <c r="H1918" s="727" t="s">
        <v>4865</v>
      </c>
      <c r="I1918" s="727" t="s">
        <v>4865</v>
      </c>
    </row>
    <row r="1919" spans="1:9" s="2" customFormat="1" x14ac:dyDescent="0.25">
      <c r="A1919" s="694">
        <v>1770</v>
      </c>
      <c r="B1919" s="671">
        <v>18</v>
      </c>
      <c r="C1919" s="701" t="s">
        <v>2412</v>
      </c>
      <c r="D1919" s="718">
        <v>839219025</v>
      </c>
      <c r="E1919" s="264" t="s">
        <v>2663</v>
      </c>
      <c r="F1919" s="175">
        <v>2019</v>
      </c>
      <c r="G1919" s="360" t="s">
        <v>1483</v>
      </c>
      <c r="H1919" s="215" t="s">
        <v>4865</v>
      </c>
      <c r="I1919" s="215" t="s">
        <v>4865</v>
      </c>
    </row>
    <row r="1920" spans="1:9" s="2" customFormat="1" x14ac:dyDescent="0.25">
      <c r="A1920" s="694">
        <v>1771</v>
      </c>
      <c r="B1920" s="671">
        <v>19</v>
      </c>
      <c r="C1920" s="701" t="s">
        <v>2413</v>
      </c>
      <c r="D1920" s="718">
        <v>839219024</v>
      </c>
      <c r="E1920" s="264" t="s">
        <v>2663</v>
      </c>
      <c r="F1920" s="175">
        <v>2019</v>
      </c>
      <c r="G1920" s="360" t="s">
        <v>1483</v>
      </c>
      <c r="H1920" s="215" t="s">
        <v>4865</v>
      </c>
      <c r="I1920" s="215" t="s">
        <v>4865</v>
      </c>
    </row>
    <row r="1921" spans="1:9" s="2" customFormat="1" x14ac:dyDescent="0.25">
      <c r="A1921" s="694">
        <v>1772</v>
      </c>
      <c r="B1921" s="671">
        <v>20</v>
      </c>
      <c r="C1921" s="701" t="s">
        <v>2414</v>
      </c>
      <c r="D1921" s="718">
        <v>839219021</v>
      </c>
      <c r="E1921" s="264" t="s">
        <v>2663</v>
      </c>
      <c r="F1921" s="175">
        <v>2019</v>
      </c>
      <c r="G1921" s="360" t="s">
        <v>1483</v>
      </c>
      <c r="H1921" s="215" t="s">
        <v>4865</v>
      </c>
      <c r="I1921" s="215" t="s">
        <v>4865</v>
      </c>
    </row>
    <row r="1922" spans="1:9" s="2" customFormat="1" x14ac:dyDescent="0.25">
      <c r="A1922" s="694">
        <v>1773</v>
      </c>
      <c r="B1922" s="671">
        <v>21</v>
      </c>
      <c r="C1922" s="701" t="s">
        <v>1947</v>
      </c>
      <c r="D1922" s="718">
        <v>839219034</v>
      </c>
      <c r="E1922" s="264" t="s">
        <v>2663</v>
      </c>
      <c r="F1922" s="175">
        <v>2019</v>
      </c>
      <c r="G1922" s="360" t="s">
        <v>1483</v>
      </c>
      <c r="H1922" s="215" t="s">
        <v>4865</v>
      </c>
      <c r="I1922" s="215" t="s">
        <v>4865</v>
      </c>
    </row>
    <row r="1923" spans="1:9" s="2" customFormat="1" x14ac:dyDescent="0.25">
      <c r="A1923" s="694">
        <v>1774</v>
      </c>
      <c r="B1923" s="671">
        <v>22</v>
      </c>
      <c r="C1923" s="701" t="s">
        <v>2415</v>
      </c>
      <c r="D1923" s="718">
        <v>839219002</v>
      </c>
      <c r="E1923" s="264" t="s">
        <v>2663</v>
      </c>
      <c r="F1923" s="175">
        <v>2019</v>
      </c>
      <c r="G1923" s="360" t="s">
        <v>1483</v>
      </c>
      <c r="H1923" s="727" t="s">
        <v>4865</v>
      </c>
      <c r="I1923" s="727" t="s">
        <v>4865</v>
      </c>
    </row>
    <row r="1924" spans="1:9" s="2" customFormat="1" x14ac:dyDescent="0.25">
      <c r="A1924" s="694">
        <v>1775</v>
      </c>
      <c r="B1924" s="671">
        <v>23</v>
      </c>
      <c r="C1924" s="701" t="s">
        <v>2416</v>
      </c>
      <c r="D1924" s="718">
        <v>839219015</v>
      </c>
      <c r="E1924" s="264" t="s">
        <v>2663</v>
      </c>
      <c r="F1924" s="175">
        <v>2019</v>
      </c>
      <c r="G1924" s="360" t="s">
        <v>1483</v>
      </c>
      <c r="H1924" s="215" t="s">
        <v>4865</v>
      </c>
      <c r="I1924" s="215" t="s">
        <v>4865</v>
      </c>
    </row>
    <row r="1925" spans="1:9" s="2" customFormat="1" x14ac:dyDescent="0.25">
      <c r="A1925" s="694">
        <v>1776</v>
      </c>
      <c r="B1925" s="671">
        <v>24</v>
      </c>
      <c r="C1925" s="701" t="s">
        <v>2417</v>
      </c>
      <c r="D1925" s="718">
        <v>839219016</v>
      </c>
      <c r="E1925" s="264" t="s">
        <v>2663</v>
      </c>
      <c r="F1925" s="175">
        <v>2019</v>
      </c>
      <c r="G1925" s="360" t="s">
        <v>1483</v>
      </c>
      <c r="H1925" s="215" t="s">
        <v>4865</v>
      </c>
      <c r="I1925" s="215" t="s">
        <v>4865</v>
      </c>
    </row>
    <row r="1926" spans="1:9" s="2" customFormat="1" x14ac:dyDescent="0.25">
      <c r="A1926" s="694">
        <v>1777</v>
      </c>
      <c r="B1926" s="671">
        <v>25</v>
      </c>
      <c r="C1926" s="701" t="s">
        <v>2418</v>
      </c>
      <c r="D1926" s="718">
        <v>839219014</v>
      </c>
      <c r="E1926" s="264" t="s">
        <v>2663</v>
      </c>
      <c r="F1926" s="175">
        <v>2019</v>
      </c>
      <c r="G1926" s="360" t="s">
        <v>1483</v>
      </c>
      <c r="H1926" s="215" t="s">
        <v>4865</v>
      </c>
      <c r="I1926" s="215" t="s">
        <v>4865</v>
      </c>
    </row>
    <row r="1927" spans="1:9" s="2" customFormat="1" x14ac:dyDescent="0.25">
      <c r="A1927" s="694">
        <v>1778</v>
      </c>
      <c r="B1927" s="671">
        <v>26</v>
      </c>
      <c r="C1927" s="701" t="s">
        <v>2419</v>
      </c>
      <c r="D1927" s="718">
        <v>839219031</v>
      </c>
      <c r="E1927" s="264" t="s">
        <v>2663</v>
      </c>
      <c r="F1927" s="175">
        <v>2019</v>
      </c>
      <c r="G1927" s="360" t="s">
        <v>1483</v>
      </c>
      <c r="H1927" s="215" t="s">
        <v>4865</v>
      </c>
      <c r="I1927" s="215" t="s">
        <v>4865</v>
      </c>
    </row>
    <row r="1928" spans="1:9" s="2" customFormat="1" x14ac:dyDescent="0.25">
      <c r="A1928" s="694">
        <v>1779</v>
      </c>
      <c r="B1928" s="671">
        <v>27</v>
      </c>
      <c r="C1928" s="701" t="s">
        <v>2420</v>
      </c>
      <c r="D1928" s="718">
        <v>839219008</v>
      </c>
      <c r="E1928" s="264" t="s">
        <v>2663</v>
      </c>
      <c r="F1928" s="175">
        <v>2019</v>
      </c>
      <c r="G1928" s="360" t="s">
        <v>1483</v>
      </c>
      <c r="H1928" s="215" t="s">
        <v>4865</v>
      </c>
      <c r="I1928" s="215" t="s">
        <v>4865</v>
      </c>
    </row>
    <row r="1929" spans="1:9" s="2" customFormat="1" x14ac:dyDescent="0.25">
      <c r="A1929" s="694">
        <v>1780</v>
      </c>
      <c r="B1929" s="671">
        <v>28</v>
      </c>
      <c r="C1929" s="701" t="s">
        <v>2421</v>
      </c>
      <c r="D1929" s="718">
        <v>839219026</v>
      </c>
      <c r="E1929" s="264" t="s">
        <v>2663</v>
      </c>
      <c r="F1929" s="175">
        <v>2019</v>
      </c>
      <c r="G1929" s="360" t="s">
        <v>1483</v>
      </c>
      <c r="H1929" s="727" t="s">
        <v>4865</v>
      </c>
      <c r="I1929" s="727" t="s">
        <v>4865</v>
      </c>
    </row>
    <row r="1930" spans="1:9" s="2" customFormat="1" x14ac:dyDescent="0.25">
      <c r="A1930" s="694">
        <v>1781</v>
      </c>
      <c r="B1930" s="671">
        <v>29</v>
      </c>
      <c r="C1930" s="701" t="s">
        <v>2422</v>
      </c>
      <c r="D1930" s="718">
        <v>839219023</v>
      </c>
      <c r="E1930" s="264" t="s">
        <v>2663</v>
      </c>
      <c r="F1930" s="175">
        <v>2019</v>
      </c>
      <c r="G1930" s="360" t="s">
        <v>1483</v>
      </c>
      <c r="H1930" s="215" t="s">
        <v>4865</v>
      </c>
      <c r="I1930" s="215" t="s">
        <v>4865</v>
      </c>
    </row>
    <row r="1931" spans="1:9" s="2" customFormat="1" x14ac:dyDescent="0.25">
      <c r="A1931" s="694">
        <v>1782</v>
      </c>
      <c r="B1931" s="671">
        <v>30</v>
      </c>
      <c r="C1931" s="701" t="s">
        <v>2423</v>
      </c>
      <c r="D1931" s="718">
        <v>839219019</v>
      </c>
      <c r="E1931" s="264" t="s">
        <v>2663</v>
      </c>
      <c r="F1931" s="175">
        <v>2019</v>
      </c>
      <c r="G1931" s="360" t="s">
        <v>1483</v>
      </c>
      <c r="H1931" s="215" t="s">
        <v>4865</v>
      </c>
      <c r="I1931" s="215" t="s">
        <v>4865</v>
      </c>
    </row>
    <row r="1932" spans="1:9" s="2" customFormat="1" x14ac:dyDescent="0.25">
      <c r="A1932" s="694">
        <v>1783</v>
      </c>
      <c r="B1932" s="671">
        <v>31</v>
      </c>
      <c r="C1932" s="701" t="s">
        <v>2424</v>
      </c>
      <c r="D1932" s="718">
        <v>839219033</v>
      </c>
      <c r="E1932" s="264" t="s">
        <v>2663</v>
      </c>
      <c r="F1932" s="175">
        <v>2019</v>
      </c>
      <c r="G1932" s="360" t="s">
        <v>1483</v>
      </c>
      <c r="H1932" s="215" t="s">
        <v>4865</v>
      </c>
      <c r="I1932" s="215" t="s">
        <v>4865</v>
      </c>
    </row>
    <row r="1933" spans="1:9" s="2" customFormat="1" x14ac:dyDescent="0.25">
      <c r="A1933" s="694">
        <v>1784</v>
      </c>
      <c r="B1933" s="671">
        <v>32</v>
      </c>
      <c r="C1933" s="701" t="s">
        <v>2425</v>
      </c>
      <c r="D1933" s="718">
        <v>839219030</v>
      </c>
      <c r="E1933" s="264" t="s">
        <v>2663</v>
      </c>
      <c r="F1933" s="175">
        <v>2019</v>
      </c>
      <c r="G1933" s="360" t="s">
        <v>1483</v>
      </c>
      <c r="H1933" s="215" t="s">
        <v>4865</v>
      </c>
      <c r="I1933" s="215" t="s">
        <v>4865</v>
      </c>
    </row>
    <row r="1934" spans="1:9" s="2" customFormat="1" x14ac:dyDescent="0.25">
      <c r="A1934" s="694">
        <v>1785</v>
      </c>
      <c r="B1934" s="671">
        <v>33</v>
      </c>
      <c r="C1934" s="701" t="s">
        <v>2426</v>
      </c>
      <c r="D1934" s="718">
        <v>839219004</v>
      </c>
      <c r="E1934" s="264" t="s">
        <v>2663</v>
      </c>
      <c r="F1934" s="175">
        <v>2019</v>
      </c>
      <c r="G1934" s="360" t="s">
        <v>1483</v>
      </c>
      <c r="H1934" s="727" t="s">
        <v>4865</v>
      </c>
      <c r="I1934" s="727" t="s">
        <v>4865</v>
      </c>
    </row>
    <row r="1935" spans="1:9" s="2" customFormat="1" x14ac:dyDescent="0.25">
      <c r="A1935" s="694">
        <v>1786</v>
      </c>
      <c r="B1935" s="671">
        <v>34</v>
      </c>
      <c r="C1935" s="701" t="s">
        <v>2427</v>
      </c>
      <c r="D1935" s="718">
        <v>839219032</v>
      </c>
      <c r="E1935" s="264" t="s">
        <v>2663</v>
      </c>
      <c r="F1935" s="175">
        <v>2019</v>
      </c>
      <c r="G1935" s="360" t="s">
        <v>1483</v>
      </c>
      <c r="H1935" s="215" t="s">
        <v>4865</v>
      </c>
      <c r="I1935" s="215" t="s">
        <v>4865</v>
      </c>
    </row>
    <row r="1936" spans="1:9" s="2" customFormat="1" x14ac:dyDescent="0.25">
      <c r="A1936" s="725"/>
      <c r="B1936" s="725"/>
      <c r="C1936" s="123"/>
      <c r="D1936" s="33"/>
      <c r="E1936" s="123"/>
      <c r="F1936" s="120" t="s">
        <v>61</v>
      </c>
      <c r="G1936" s="123"/>
      <c r="H1936" s="124"/>
      <c r="I1936" s="124"/>
    </row>
    <row r="1937" spans="1:9" s="2" customFormat="1" x14ac:dyDescent="0.25">
      <c r="A1937" s="625" t="s">
        <v>2428</v>
      </c>
      <c r="B1937" s="625"/>
      <c r="C1937" s="625"/>
      <c r="D1937" s="366"/>
      <c r="E1937" s="198" t="s">
        <v>1096</v>
      </c>
      <c r="F1937" s="199" t="s">
        <v>1096</v>
      </c>
      <c r="G1937" s="565">
        <v>3750000</v>
      </c>
      <c r="H1937" s="147" t="str">
        <f>IFERROR(VLOOKUP(D1937,Tlus,3,FALSE),"   ")</f>
        <v xml:space="preserve">   </v>
      </c>
      <c r="I1937" s="147" t="str">
        <f>IFERROR(VLOOKUP(D1937,Wis,4,FALSE),"   ")</f>
        <v xml:space="preserve">   </v>
      </c>
    </row>
    <row r="1938" spans="1:9" s="2" customFormat="1" x14ac:dyDescent="0.25">
      <c r="A1938" s="694">
        <v>1787</v>
      </c>
      <c r="B1938" s="695">
        <v>1</v>
      </c>
      <c r="C1938" s="713" t="s">
        <v>2429</v>
      </c>
      <c r="D1938" s="726">
        <v>849219004</v>
      </c>
      <c r="E1938" s="326" t="s">
        <v>2625</v>
      </c>
      <c r="F1938" s="175">
        <v>2019</v>
      </c>
      <c r="G1938" s="699" t="s">
        <v>1483</v>
      </c>
      <c r="H1938" s="715" t="s">
        <v>4866</v>
      </c>
      <c r="I1938" s="715" t="s">
        <v>4866</v>
      </c>
    </row>
    <row r="1939" spans="1:9" s="2" customFormat="1" x14ac:dyDescent="0.25">
      <c r="A1939" s="694">
        <v>1788</v>
      </c>
      <c r="B1939" s="671">
        <v>2</v>
      </c>
      <c r="C1939" s="701" t="s">
        <v>2430</v>
      </c>
      <c r="D1939" s="718">
        <v>849219008</v>
      </c>
      <c r="E1939" s="264" t="s">
        <v>2625</v>
      </c>
      <c r="F1939" s="175">
        <v>2019</v>
      </c>
      <c r="G1939" s="360" t="s">
        <v>1483</v>
      </c>
      <c r="H1939" s="215" t="s">
        <v>4866</v>
      </c>
      <c r="I1939" s="215" t="s">
        <v>4866</v>
      </c>
    </row>
    <row r="1940" spans="1:9" s="2" customFormat="1" x14ac:dyDescent="0.25">
      <c r="A1940" s="694">
        <v>1789</v>
      </c>
      <c r="B1940" s="671">
        <v>3</v>
      </c>
      <c r="C1940" s="701" t="s">
        <v>1649</v>
      </c>
      <c r="D1940" s="718">
        <v>849219002</v>
      </c>
      <c r="E1940" s="264" t="s">
        <v>2625</v>
      </c>
      <c r="F1940" s="175">
        <v>2019</v>
      </c>
      <c r="G1940" s="360" t="s">
        <v>1483</v>
      </c>
      <c r="H1940" s="215" t="s">
        <v>4866</v>
      </c>
      <c r="I1940" s="215" t="s">
        <v>4866</v>
      </c>
    </row>
    <row r="1941" spans="1:9" s="2" customFormat="1" x14ac:dyDescent="0.25">
      <c r="A1941" s="694">
        <v>1790</v>
      </c>
      <c r="B1941" s="671">
        <v>4</v>
      </c>
      <c r="C1941" s="701" t="s">
        <v>2431</v>
      </c>
      <c r="D1941" s="718">
        <v>849219012</v>
      </c>
      <c r="E1941" s="264" t="s">
        <v>2625</v>
      </c>
      <c r="F1941" s="175">
        <v>2019</v>
      </c>
      <c r="G1941" s="360" t="s">
        <v>1483</v>
      </c>
      <c r="H1941" s="215" t="s">
        <v>4866</v>
      </c>
      <c r="I1941" s="215" t="s">
        <v>4866</v>
      </c>
    </row>
    <row r="1942" spans="1:9" s="2" customFormat="1" x14ac:dyDescent="0.25">
      <c r="A1942" s="694">
        <v>1791</v>
      </c>
      <c r="B1942" s="671">
        <v>5</v>
      </c>
      <c r="C1942" s="701" t="s">
        <v>2432</v>
      </c>
      <c r="D1942" s="718">
        <v>849219010</v>
      </c>
      <c r="E1942" s="264" t="s">
        <v>2625</v>
      </c>
      <c r="F1942" s="175">
        <v>2019</v>
      </c>
      <c r="G1942" s="360" t="s">
        <v>1483</v>
      </c>
      <c r="H1942" s="215" t="s">
        <v>4866</v>
      </c>
      <c r="I1942" s="215" t="s">
        <v>4866</v>
      </c>
    </row>
    <row r="1943" spans="1:9" s="2" customFormat="1" x14ac:dyDescent="0.25">
      <c r="A1943" s="694">
        <v>1792</v>
      </c>
      <c r="B1943" s="671">
        <v>6</v>
      </c>
      <c r="C1943" s="701" t="s">
        <v>2433</v>
      </c>
      <c r="D1943" s="718">
        <v>849219009</v>
      </c>
      <c r="E1943" s="264" t="s">
        <v>2625</v>
      </c>
      <c r="F1943" s="175">
        <v>2019</v>
      </c>
      <c r="G1943" s="360" t="s">
        <v>1483</v>
      </c>
      <c r="H1943" s="215" t="s">
        <v>4866</v>
      </c>
      <c r="I1943" s="215" t="s">
        <v>4866</v>
      </c>
    </row>
    <row r="1944" spans="1:9" s="2" customFormat="1" x14ac:dyDescent="0.25">
      <c r="A1944" s="694">
        <v>1793</v>
      </c>
      <c r="B1944" s="671">
        <v>7</v>
      </c>
      <c r="C1944" s="701" t="s">
        <v>2434</v>
      </c>
      <c r="D1944" s="718">
        <v>849219007</v>
      </c>
      <c r="E1944" s="264" t="s">
        <v>2625</v>
      </c>
      <c r="F1944" s="175">
        <v>2019</v>
      </c>
      <c r="G1944" s="360" t="s">
        <v>1483</v>
      </c>
      <c r="H1944" s="727" t="s">
        <v>4866</v>
      </c>
      <c r="I1944" s="727" t="s">
        <v>4866</v>
      </c>
    </row>
    <row r="1945" spans="1:9" s="2" customFormat="1" x14ac:dyDescent="0.25">
      <c r="A1945" s="694">
        <v>1794</v>
      </c>
      <c r="B1945" s="671">
        <v>8</v>
      </c>
      <c r="C1945" s="701" t="s">
        <v>2435</v>
      </c>
      <c r="D1945" s="718">
        <v>849219001</v>
      </c>
      <c r="E1945" s="264" t="s">
        <v>2625</v>
      </c>
      <c r="F1945" s="175">
        <v>2019</v>
      </c>
      <c r="G1945" s="360" t="s">
        <v>1483</v>
      </c>
      <c r="H1945" s="215" t="s">
        <v>4866</v>
      </c>
      <c r="I1945" s="215" t="s">
        <v>4866</v>
      </c>
    </row>
    <row r="1946" spans="1:9" s="2" customFormat="1" x14ac:dyDescent="0.25">
      <c r="A1946" s="694">
        <v>1795</v>
      </c>
      <c r="B1946" s="671">
        <v>9</v>
      </c>
      <c r="C1946" s="701" t="s">
        <v>2436</v>
      </c>
      <c r="D1946" s="718">
        <v>849219011</v>
      </c>
      <c r="E1946" s="264" t="s">
        <v>2625</v>
      </c>
      <c r="F1946" s="175">
        <v>2019</v>
      </c>
      <c r="G1946" s="360" t="s">
        <v>1483</v>
      </c>
      <c r="H1946" s="215" t="s">
        <v>4866</v>
      </c>
      <c r="I1946" s="215" t="s">
        <v>4866</v>
      </c>
    </row>
    <row r="1947" spans="1:9" s="2" customFormat="1" x14ac:dyDescent="0.25">
      <c r="A1947" s="694">
        <v>1796</v>
      </c>
      <c r="B1947" s="671">
        <v>10</v>
      </c>
      <c r="C1947" s="701" t="s">
        <v>2437</v>
      </c>
      <c r="D1947" s="718">
        <v>849219003</v>
      </c>
      <c r="E1947" s="264" t="s">
        <v>2625</v>
      </c>
      <c r="F1947" s="175">
        <v>2019</v>
      </c>
      <c r="G1947" s="360" t="s">
        <v>1483</v>
      </c>
      <c r="H1947" s="215" t="s">
        <v>4866</v>
      </c>
      <c r="I1947" s="215" t="s">
        <v>4866</v>
      </c>
    </row>
    <row r="1948" spans="1:9" s="2" customFormat="1" x14ac:dyDescent="0.25">
      <c r="A1948" s="694">
        <v>1797</v>
      </c>
      <c r="B1948" s="671">
        <v>11</v>
      </c>
      <c r="C1948" s="701" t="s">
        <v>2438</v>
      </c>
      <c r="D1948" s="718">
        <v>849219006</v>
      </c>
      <c r="E1948" s="264" t="s">
        <v>2625</v>
      </c>
      <c r="F1948" s="175">
        <v>2019</v>
      </c>
      <c r="G1948" s="404" t="s">
        <v>28</v>
      </c>
      <c r="H1948" s="215" t="s">
        <v>4866</v>
      </c>
      <c r="I1948" s="215" t="s">
        <v>4866</v>
      </c>
    </row>
    <row r="1949" spans="1:9" s="2" customFormat="1" x14ac:dyDescent="0.25">
      <c r="A1949" s="694">
        <v>1798</v>
      </c>
      <c r="B1949" s="671">
        <v>12</v>
      </c>
      <c r="C1949" s="701" t="s">
        <v>2439</v>
      </c>
      <c r="D1949" s="718">
        <v>849219005</v>
      </c>
      <c r="E1949" s="264" t="s">
        <v>2625</v>
      </c>
      <c r="F1949" s="175">
        <v>2019</v>
      </c>
      <c r="G1949" s="360" t="s">
        <v>1483</v>
      </c>
      <c r="H1949" s="727" t="s">
        <v>4866</v>
      </c>
      <c r="I1949" s="727" t="s">
        <v>4866</v>
      </c>
    </row>
    <row r="1950" spans="1:9" s="2" customFormat="1" x14ac:dyDescent="0.25">
      <c r="A1950" s="123"/>
      <c r="B1950" s="123"/>
      <c r="C1950" s="123"/>
      <c r="D1950" s="33"/>
      <c r="E1950" s="123"/>
      <c r="F1950" s="120" t="s">
        <v>61</v>
      </c>
      <c r="G1950" s="123"/>
      <c r="H1950" s="124"/>
      <c r="I1950" s="124"/>
    </row>
    <row r="1951" spans="1:9" s="2" customFormat="1" x14ac:dyDescent="0.25">
      <c r="A1951" s="625" t="s">
        <v>2440</v>
      </c>
      <c r="B1951" s="625"/>
      <c r="C1951" s="625"/>
      <c r="D1951" s="366"/>
      <c r="E1951" s="198" t="s">
        <v>1096</v>
      </c>
      <c r="F1951" s="199" t="s">
        <v>1096</v>
      </c>
      <c r="G1951" s="565">
        <v>3750000</v>
      </c>
      <c r="H1951" s="147" t="str">
        <f>IFERROR(VLOOKUP(D1951,Tlus,3,FALSE),"   ")</f>
        <v xml:space="preserve">   </v>
      </c>
      <c r="I1951" s="147" t="str">
        <f>IFERROR(VLOOKUP(D1951,Wis,4,FALSE),"   ")</f>
        <v xml:space="preserve">   </v>
      </c>
    </row>
    <row r="1952" spans="1:9" s="2" customFormat="1" x14ac:dyDescent="0.25">
      <c r="A1952" s="694">
        <v>1799</v>
      </c>
      <c r="B1952" s="695">
        <v>1</v>
      </c>
      <c r="C1952" s="713" t="s">
        <v>2441</v>
      </c>
      <c r="D1952" s="726">
        <v>839119015</v>
      </c>
      <c r="E1952" s="326" t="s">
        <v>4867</v>
      </c>
      <c r="F1952" s="327">
        <v>2019</v>
      </c>
      <c r="G1952" s="699" t="s">
        <v>1483</v>
      </c>
      <c r="H1952" s="715" t="s">
        <v>4868</v>
      </c>
      <c r="I1952" s="715" t="s">
        <v>4869</v>
      </c>
    </row>
    <row r="1953" spans="1:9" s="2" customFormat="1" x14ac:dyDescent="0.25">
      <c r="A1953" s="694">
        <v>1800</v>
      </c>
      <c r="B1953" s="671">
        <v>2</v>
      </c>
      <c r="C1953" s="701" t="s">
        <v>2443</v>
      </c>
      <c r="D1953" s="718">
        <v>839119016</v>
      </c>
      <c r="E1953" s="264" t="s">
        <v>4867</v>
      </c>
      <c r="F1953" s="327">
        <v>2019</v>
      </c>
      <c r="G1953" s="360" t="s">
        <v>1483</v>
      </c>
      <c r="H1953" s="215" t="s">
        <v>4868</v>
      </c>
      <c r="I1953" s="215" t="s">
        <v>4869</v>
      </c>
    </row>
    <row r="1954" spans="1:9" s="2" customFormat="1" x14ac:dyDescent="0.25">
      <c r="A1954" s="694">
        <v>1801</v>
      </c>
      <c r="B1954" s="671">
        <v>3</v>
      </c>
      <c r="C1954" s="701" t="s">
        <v>2444</v>
      </c>
      <c r="D1954" s="718">
        <v>839119006</v>
      </c>
      <c r="E1954" s="264" t="s">
        <v>4867</v>
      </c>
      <c r="F1954" s="327">
        <v>2019</v>
      </c>
      <c r="G1954" s="360" t="s">
        <v>1483</v>
      </c>
      <c r="H1954" s="215" t="s">
        <v>4868</v>
      </c>
      <c r="I1954" s="215" t="s">
        <v>4869</v>
      </c>
    </row>
    <row r="1955" spans="1:9" s="2" customFormat="1" x14ac:dyDescent="0.25">
      <c r="A1955" s="694">
        <v>1802</v>
      </c>
      <c r="B1955" s="671">
        <v>4</v>
      </c>
      <c r="C1955" s="701" t="s">
        <v>2445</v>
      </c>
      <c r="D1955" s="718">
        <v>839119005</v>
      </c>
      <c r="E1955" s="264" t="s">
        <v>4867</v>
      </c>
      <c r="F1955" s="175">
        <v>2019</v>
      </c>
      <c r="G1955" s="360" t="s">
        <v>1483</v>
      </c>
      <c r="H1955" s="727" t="s">
        <v>4868</v>
      </c>
      <c r="I1955" s="727" t="s">
        <v>4869</v>
      </c>
    </row>
    <row r="1956" spans="1:9" s="2" customFormat="1" x14ac:dyDescent="0.25">
      <c r="A1956" s="694">
        <v>1803</v>
      </c>
      <c r="B1956" s="671">
        <v>5</v>
      </c>
      <c r="C1956" s="701" t="s">
        <v>2446</v>
      </c>
      <c r="D1956" s="718">
        <v>839119011</v>
      </c>
      <c r="E1956" s="264" t="s">
        <v>4867</v>
      </c>
      <c r="F1956" s="175">
        <v>2019</v>
      </c>
      <c r="G1956" s="360" t="s">
        <v>1483</v>
      </c>
      <c r="H1956" s="215" t="s">
        <v>4868</v>
      </c>
      <c r="I1956" s="215" t="s">
        <v>4869</v>
      </c>
    </row>
    <row r="1957" spans="1:9" s="2" customFormat="1" x14ac:dyDescent="0.25">
      <c r="A1957" s="694">
        <v>1804</v>
      </c>
      <c r="B1957" s="671">
        <v>6</v>
      </c>
      <c r="C1957" s="701" t="s">
        <v>2447</v>
      </c>
      <c r="D1957" s="718">
        <v>839119008</v>
      </c>
      <c r="E1957" s="264" t="s">
        <v>4867</v>
      </c>
      <c r="F1957" s="175">
        <v>2019</v>
      </c>
      <c r="G1957" s="360" t="s">
        <v>1483</v>
      </c>
      <c r="H1957" s="215" t="s">
        <v>4868</v>
      </c>
      <c r="I1957" s="215" t="s">
        <v>4869</v>
      </c>
    </row>
    <row r="1958" spans="1:9" s="2" customFormat="1" x14ac:dyDescent="0.25">
      <c r="A1958" s="694">
        <v>1805</v>
      </c>
      <c r="B1958" s="671">
        <v>7</v>
      </c>
      <c r="C1958" s="701" t="s">
        <v>2448</v>
      </c>
      <c r="D1958" s="718">
        <v>839119014</v>
      </c>
      <c r="E1958" s="264" t="s">
        <v>4867</v>
      </c>
      <c r="F1958" s="175">
        <v>2019</v>
      </c>
      <c r="G1958" s="404" t="s">
        <v>28</v>
      </c>
      <c r="H1958" s="215" t="s">
        <v>4868</v>
      </c>
      <c r="I1958" s="215" t="s">
        <v>4869</v>
      </c>
    </row>
    <row r="1959" spans="1:9" s="2" customFormat="1" x14ac:dyDescent="0.25">
      <c r="A1959" s="694">
        <v>1806</v>
      </c>
      <c r="B1959" s="671">
        <v>8</v>
      </c>
      <c r="C1959" s="701" t="s">
        <v>2449</v>
      </c>
      <c r="D1959" s="718">
        <v>839119003</v>
      </c>
      <c r="E1959" s="264" t="s">
        <v>4867</v>
      </c>
      <c r="F1959" s="175">
        <v>2019</v>
      </c>
      <c r="G1959" s="360" t="s">
        <v>1483</v>
      </c>
      <c r="H1959" s="215" t="s">
        <v>4868</v>
      </c>
      <c r="I1959" s="215" t="s">
        <v>4869</v>
      </c>
    </row>
    <row r="1960" spans="1:9" s="2" customFormat="1" x14ac:dyDescent="0.25">
      <c r="A1960" s="694">
        <v>1807</v>
      </c>
      <c r="B1960" s="671">
        <v>9</v>
      </c>
      <c r="C1960" s="701" t="s">
        <v>2451</v>
      </c>
      <c r="D1960" s="718">
        <v>839119002</v>
      </c>
      <c r="E1960" s="264" t="s">
        <v>4867</v>
      </c>
      <c r="F1960" s="175">
        <v>2019</v>
      </c>
      <c r="G1960" s="360" t="s">
        <v>1483</v>
      </c>
      <c r="H1960" s="215" t="s">
        <v>4868</v>
      </c>
      <c r="I1960" s="215" t="s">
        <v>4869</v>
      </c>
    </row>
    <row r="1961" spans="1:9" s="2" customFormat="1" x14ac:dyDescent="0.25">
      <c r="A1961" s="694">
        <v>1808</v>
      </c>
      <c r="B1961" s="671">
        <v>10</v>
      </c>
      <c r="C1961" s="701" t="s">
        <v>2452</v>
      </c>
      <c r="D1961" s="718">
        <v>839119012</v>
      </c>
      <c r="E1961" s="264" t="s">
        <v>4867</v>
      </c>
      <c r="F1961" s="175">
        <v>2019</v>
      </c>
      <c r="G1961" s="360" t="s">
        <v>1483</v>
      </c>
      <c r="H1961" s="215" t="s">
        <v>4868</v>
      </c>
      <c r="I1961" s="215" t="s">
        <v>4869</v>
      </c>
    </row>
    <row r="1962" spans="1:9" s="2" customFormat="1" x14ac:dyDescent="0.25">
      <c r="A1962" s="694">
        <v>1809</v>
      </c>
      <c r="B1962" s="671">
        <v>11</v>
      </c>
      <c r="C1962" s="701" t="s">
        <v>2453</v>
      </c>
      <c r="D1962" s="718">
        <v>839119007</v>
      </c>
      <c r="E1962" s="264" t="s">
        <v>4867</v>
      </c>
      <c r="F1962" s="175">
        <v>2019</v>
      </c>
      <c r="G1962" s="360" t="s">
        <v>1483</v>
      </c>
      <c r="H1962" s="727" t="s">
        <v>4868</v>
      </c>
      <c r="I1962" s="727" t="s">
        <v>4869</v>
      </c>
    </row>
    <row r="1963" spans="1:9" s="2" customFormat="1" x14ac:dyDescent="0.25">
      <c r="A1963" s="694">
        <v>1810</v>
      </c>
      <c r="B1963" s="671">
        <v>12</v>
      </c>
      <c r="C1963" s="701" t="s">
        <v>2454</v>
      </c>
      <c r="D1963" s="718">
        <v>839119013</v>
      </c>
      <c r="E1963" s="264" t="s">
        <v>4867</v>
      </c>
      <c r="F1963" s="175">
        <v>2019</v>
      </c>
      <c r="G1963" s="360" t="s">
        <v>1483</v>
      </c>
      <c r="H1963" s="215" t="s">
        <v>4868</v>
      </c>
      <c r="I1963" s="215" t="s">
        <v>4869</v>
      </c>
    </row>
    <row r="1964" spans="1:9" s="2" customFormat="1" x14ac:dyDescent="0.25">
      <c r="A1964" s="694">
        <v>1811</v>
      </c>
      <c r="B1964" s="671">
        <v>13</v>
      </c>
      <c r="C1964" s="701" t="s">
        <v>2455</v>
      </c>
      <c r="D1964" s="718">
        <v>839119004</v>
      </c>
      <c r="E1964" s="264" t="s">
        <v>4867</v>
      </c>
      <c r="F1964" s="175">
        <v>2019</v>
      </c>
      <c r="G1964" s="360" t="s">
        <v>1483</v>
      </c>
      <c r="H1964" s="215" t="s">
        <v>4868</v>
      </c>
      <c r="I1964" s="215" t="s">
        <v>4869</v>
      </c>
    </row>
    <row r="1965" spans="1:9" s="2" customFormat="1" x14ac:dyDescent="0.25">
      <c r="A1965" s="694">
        <v>1812</v>
      </c>
      <c r="B1965" s="671">
        <v>14</v>
      </c>
      <c r="C1965" s="701" t="s">
        <v>2456</v>
      </c>
      <c r="D1965" s="718">
        <v>839119001</v>
      </c>
      <c r="E1965" s="264" t="s">
        <v>4867</v>
      </c>
      <c r="F1965" s="175">
        <v>2019</v>
      </c>
      <c r="G1965" s="360" t="s">
        <v>1483</v>
      </c>
      <c r="H1965" s="215" t="s">
        <v>4868</v>
      </c>
      <c r="I1965" s="215" t="s">
        <v>4869</v>
      </c>
    </row>
    <row r="1966" spans="1:9" s="2" customFormat="1" x14ac:dyDescent="0.25">
      <c r="A1966" s="694">
        <v>1813</v>
      </c>
      <c r="B1966" s="671">
        <v>15</v>
      </c>
      <c r="C1966" s="701" t="s">
        <v>2457</v>
      </c>
      <c r="D1966" s="718">
        <v>839119009</v>
      </c>
      <c r="E1966" s="264" t="s">
        <v>4867</v>
      </c>
      <c r="F1966" s="175">
        <v>2019</v>
      </c>
      <c r="G1966" s="360" t="s">
        <v>1483</v>
      </c>
      <c r="H1966" s="215" t="s">
        <v>4868</v>
      </c>
      <c r="I1966" s="215" t="s">
        <v>4869</v>
      </c>
    </row>
    <row r="1967" spans="1:9" s="2" customFormat="1" x14ac:dyDescent="0.25">
      <c r="A1967" s="694">
        <v>1814</v>
      </c>
      <c r="B1967" s="671">
        <v>16</v>
      </c>
      <c r="C1967" s="701" t="s">
        <v>2458</v>
      </c>
      <c r="D1967" s="718">
        <v>839119010</v>
      </c>
      <c r="E1967" s="264" t="s">
        <v>4867</v>
      </c>
      <c r="F1967" s="175">
        <v>2019</v>
      </c>
      <c r="G1967" s="360" t="s">
        <v>1483</v>
      </c>
      <c r="H1967" s="727" t="s">
        <v>4868</v>
      </c>
      <c r="I1967" s="727" t="s">
        <v>4869</v>
      </c>
    </row>
    <row r="1968" spans="1:9" s="2" customFormat="1" x14ac:dyDescent="0.25">
      <c r="A1968" s="694">
        <v>1815</v>
      </c>
      <c r="B1968" s="671">
        <v>17</v>
      </c>
      <c r="C1968" s="701" t="s">
        <v>2459</v>
      </c>
      <c r="D1968" s="718">
        <v>839119017</v>
      </c>
      <c r="E1968" s="264" t="s">
        <v>4867</v>
      </c>
      <c r="F1968" s="175">
        <v>2019</v>
      </c>
      <c r="G1968" s="360" t="s">
        <v>1483</v>
      </c>
      <c r="H1968" s="727" t="s">
        <v>4868</v>
      </c>
      <c r="I1968" s="727" t="s">
        <v>4869</v>
      </c>
    </row>
    <row r="1969" spans="1:9" s="2" customFormat="1" x14ac:dyDescent="0.25">
      <c r="A1969" s="725"/>
      <c r="B1969" s="725"/>
      <c r="C1969" s="123"/>
      <c r="D1969" s="33"/>
      <c r="E1969" s="123"/>
      <c r="F1969" s="120" t="s">
        <v>61</v>
      </c>
      <c r="G1969" s="123"/>
      <c r="H1969" s="124"/>
      <c r="I1969" s="124"/>
    </row>
    <row r="1970" spans="1:9" s="2" customFormat="1" x14ac:dyDescent="0.25">
      <c r="A1970" s="625" t="s">
        <v>2460</v>
      </c>
      <c r="B1970" s="625"/>
      <c r="C1970" s="625"/>
      <c r="D1970" s="366"/>
      <c r="E1970" s="198" t="s">
        <v>1096</v>
      </c>
      <c r="F1970" s="199" t="s">
        <v>1096</v>
      </c>
      <c r="G1970" s="565">
        <v>3750000</v>
      </c>
      <c r="H1970" s="147" t="str">
        <f>IFERROR(VLOOKUP(D1970,Tlus,3,FALSE),"   ")</f>
        <v xml:space="preserve">   </v>
      </c>
      <c r="I1970" s="147" t="str">
        <f>IFERROR(VLOOKUP(D1970,Wis,4,FALSE),"   ")</f>
        <v xml:space="preserve">   </v>
      </c>
    </row>
    <row r="1971" spans="1:9" s="2" customFormat="1" x14ac:dyDescent="0.25">
      <c r="A1971" s="694">
        <v>1816</v>
      </c>
      <c r="B1971" s="695">
        <v>1</v>
      </c>
      <c r="C1971" s="713" t="s">
        <v>2461</v>
      </c>
      <c r="D1971" s="726">
        <v>829119011</v>
      </c>
      <c r="E1971" s="326" t="s">
        <v>2739</v>
      </c>
      <c r="F1971" s="175">
        <v>2019</v>
      </c>
      <c r="G1971" s="699" t="s">
        <v>1483</v>
      </c>
      <c r="H1971" s="715" t="s">
        <v>4870</v>
      </c>
      <c r="I1971" s="715" t="s">
        <v>4870</v>
      </c>
    </row>
    <row r="1972" spans="1:9" s="2" customFormat="1" x14ac:dyDescent="0.25">
      <c r="A1972" s="694">
        <v>1817</v>
      </c>
      <c r="B1972" s="671">
        <v>2</v>
      </c>
      <c r="C1972" s="701" t="s">
        <v>2462</v>
      </c>
      <c r="D1972" s="718">
        <v>829119005</v>
      </c>
      <c r="E1972" s="264" t="s">
        <v>2739</v>
      </c>
      <c r="F1972" s="175">
        <v>2019</v>
      </c>
      <c r="G1972" s="360" t="s">
        <v>1483</v>
      </c>
      <c r="H1972" s="215" t="s">
        <v>4870</v>
      </c>
      <c r="I1972" s="215" t="s">
        <v>4870</v>
      </c>
    </row>
    <row r="1973" spans="1:9" s="2" customFormat="1" x14ac:dyDescent="0.25">
      <c r="A1973" s="694">
        <v>1818</v>
      </c>
      <c r="B1973" s="671">
        <v>3</v>
      </c>
      <c r="C1973" s="701" t="s">
        <v>2463</v>
      </c>
      <c r="D1973" s="718">
        <v>829119001</v>
      </c>
      <c r="E1973" s="264" t="s">
        <v>2739</v>
      </c>
      <c r="F1973" s="175">
        <v>2019</v>
      </c>
      <c r="G1973" s="360" t="s">
        <v>1483</v>
      </c>
      <c r="H1973" s="215" t="s">
        <v>4870</v>
      </c>
      <c r="I1973" s="215" t="s">
        <v>4870</v>
      </c>
    </row>
    <row r="1974" spans="1:9" s="2" customFormat="1" x14ac:dyDescent="0.25">
      <c r="A1974" s="694">
        <v>1819</v>
      </c>
      <c r="B1974" s="671">
        <v>4</v>
      </c>
      <c r="C1974" s="701" t="s">
        <v>2464</v>
      </c>
      <c r="D1974" s="718">
        <v>829119006</v>
      </c>
      <c r="E1974" s="264" t="s">
        <v>2739</v>
      </c>
      <c r="F1974" s="175">
        <v>2019</v>
      </c>
      <c r="G1974" s="360" t="s">
        <v>1483</v>
      </c>
      <c r="H1974" s="727" t="s">
        <v>4870</v>
      </c>
      <c r="I1974" s="727" t="s">
        <v>4870</v>
      </c>
    </row>
    <row r="1975" spans="1:9" s="2" customFormat="1" x14ac:dyDescent="0.25">
      <c r="A1975" s="694">
        <v>1820</v>
      </c>
      <c r="B1975" s="671">
        <v>5</v>
      </c>
      <c r="C1975" s="701" t="s">
        <v>2465</v>
      </c>
      <c r="D1975" s="718">
        <v>829119004</v>
      </c>
      <c r="E1975" s="264" t="s">
        <v>2739</v>
      </c>
      <c r="F1975" s="175">
        <v>2019</v>
      </c>
      <c r="G1975" s="404" t="s">
        <v>1833</v>
      </c>
      <c r="H1975" s="215" t="s">
        <v>4870</v>
      </c>
      <c r="I1975" s="215" t="s">
        <v>4870</v>
      </c>
    </row>
    <row r="1976" spans="1:9" s="2" customFormat="1" x14ac:dyDescent="0.25">
      <c r="A1976" s="694">
        <v>1821</v>
      </c>
      <c r="B1976" s="671">
        <v>6</v>
      </c>
      <c r="C1976" s="701" t="s">
        <v>2466</v>
      </c>
      <c r="D1976" s="718">
        <v>829119002</v>
      </c>
      <c r="E1976" s="264" t="s">
        <v>2739</v>
      </c>
      <c r="F1976" s="175">
        <v>2019</v>
      </c>
      <c r="G1976" s="404" t="s">
        <v>28</v>
      </c>
      <c r="H1976" s="215" t="s">
        <v>4870</v>
      </c>
      <c r="I1976" s="215" t="s">
        <v>4870</v>
      </c>
    </row>
    <row r="1977" spans="1:9" s="2" customFormat="1" x14ac:dyDescent="0.25">
      <c r="A1977" s="694">
        <v>1822</v>
      </c>
      <c r="B1977" s="671">
        <v>7</v>
      </c>
      <c r="C1977" s="701" t="s">
        <v>2467</v>
      </c>
      <c r="D1977" s="718">
        <v>829119003</v>
      </c>
      <c r="E1977" s="264" t="s">
        <v>2739</v>
      </c>
      <c r="F1977" s="175">
        <v>2019</v>
      </c>
      <c r="G1977" s="360" t="s">
        <v>1483</v>
      </c>
      <c r="H1977" s="215" t="s">
        <v>4870</v>
      </c>
      <c r="I1977" s="215" t="s">
        <v>4870</v>
      </c>
    </row>
    <row r="1978" spans="1:9" s="2" customFormat="1" x14ac:dyDescent="0.25">
      <c r="A1978" s="694">
        <v>1823</v>
      </c>
      <c r="B1978" s="671">
        <v>8</v>
      </c>
      <c r="C1978" s="701" t="s">
        <v>2468</v>
      </c>
      <c r="D1978" s="718">
        <v>829119008</v>
      </c>
      <c r="E1978" s="264" t="s">
        <v>2739</v>
      </c>
      <c r="F1978" s="175">
        <v>2019</v>
      </c>
      <c r="G1978" s="360" t="s">
        <v>1483</v>
      </c>
      <c r="H1978" s="215" t="s">
        <v>4870</v>
      </c>
      <c r="I1978" s="215" t="s">
        <v>4870</v>
      </c>
    </row>
    <row r="1979" spans="1:9" s="2" customFormat="1" x14ac:dyDescent="0.25">
      <c r="A1979" s="694">
        <v>1824</v>
      </c>
      <c r="B1979" s="671">
        <v>9</v>
      </c>
      <c r="C1979" s="701" t="s">
        <v>2469</v>
      </c>
      <c r="D1979" s="718">
        <v>829119010</v>
      </c>
      <c r="E1979" s="264" t="s">
        <v>2739</v>
      </c>
      <c r="F1979" s="175">
        <v>2019</v>
      </c>
      <c r="G1979" s="360" t="s">
        <v>1483</v>
      </c>
      <c r="H1979" s="215" t="s">
        <v>4870</v>
      </c>
      <c r="I1979" s="215" t="s">
        <v>4870</v>
      </c>
    </row>
    <row r="1980" spans="1:9" s="2" customFormat="1" x14ac:dyDescent="0.25">
      <c r="A1980" s="694">
        <v>1825</v>
      </c>
      <c r="B1980" s="671">
        <v>10</v>
      </c>
      <c r="C1980" s="701" t="s">
        <v>2470</v>
      </c>
      <c r="D1980" s="718">
        <v>829119009</v>
      </c>
      <c r="E1980" s="264" t="s">
        <v>2739</v>
      </c>
      <c r="F1980" s="175">
        <v>2019</v>
      </c>
      <c r="G1980" s="360" t="s">
        <v>1483</v>
      </c>
      <c r="H1980" s="215" t="s">
        <v>4870</v>
      </c>
      <c r="I1980" s="215" t="s">
        <v>4870</v>
      </c>
    </row>
    <row r="1981" spans="1:9" s="2" customFormat="1" x14ac:dyDescent="0.25">
      <c r="A1981" s="694">
        <v>1826</v>
      </c>
      <c r="B1981" s="671">
        <v>11</v>
      </c>
      <c r="C1981" s="701" t="s">
        <v>2471</v>
      </c>
      <c r="D1981" s="718">
        <v>829119007</v>
      </c>
      <c r="E1981" s="264" t="s">
        <v>2739</v>
      </c>
      <c r="F1981" s="175">
        <v>2019</v>
      </c>
      <c r="G1981" s="360" t="s">
        <v>1483</v>
      </c>
      <c r="H1981" s="215" t="s">
        <v>4870</v>
      </c>
      <c r="I1981" s="215" t="s">
        <v>4870</v>
      </c>
    </row>
    <row r="1982" spans="1:9" s="2" customFormat="1" x14ac:dyDescent="0.25">
      <c r="A1982" s="725"/>
      <c r="B1982" s="725"/>
      <c r="C1982" s="123"/>
      <c r="D1982" s="33"/>
      <c r="E1982" s="123"/>
      <c r="F1982" s="120" t="s">
        <v>61</v>
      </c>
      <c r="G1982" s="123"/>
      <c r="H1982" s="124"/>
      <c r="I1982" s="124"/>
    </row>
    <row r="1983" spans="1:9" s="2" customFormat="1" x14ac:dyDescent="0.25">
      <c r="A1983" s="625" t="s">
        <v>2472</v>
      </c>
      <c r="B1983" s="625"/>
      <c r="C1983" s="625"/>
      <c r="D1983" s="366"/>
      <c r="E1983" s="198" t="s">
        <v>1096</v>
      </c>
      <c r="F1983" s="199" t="s">
        <v>1096</v>
      </c>
      <c r="G1983" s="565">
        <v>3750000</v>
      </c>
      <c r="H1983" s="147" t="str">
        <f>IFERROR(VLOOKUP(D1983,Tlus,3,FALSE),"   ")</f>
        <v xml:space="preserve">   </v>
      </c>
      <c r="I1983" s="147" t="str">
        <f>IFERROR(VLOOKUP(D1983,Wis,4,FALSE),"   ")</f>
        <v xml:space="preserve">   </v>
      </c>
    </row>
    <row r="1984" spans="1:9" s="2" customFormat="1" x14ac:dyDescent="0.25">
      <c r="A1984" s="694">
        <v>1827</v>
      </c>
      <c r="B1984" s="695">
        <v>1</v>
      </c>
      <c r="C1984" s="713" t="s">
        <v>2473</v>
      </c>
      <c r="D1984" s="726">
        <v>849419001</v>
      </c>
      <c r="E1984" s="326" t="s">
        <v>2750</v>
      </c>
      <c r="F1984" s="175">
        <v>2019</v>
      </c>
      <c r="G1984" s="699" t="s">
        <v>1483</v>
      </c>
      <c r="H1984" s="715" t="s">
        <v>4871</v>
      </c>
      <c r="I1984" s="715" t="s">
        <v>4871</v>
      </c>
    </row>
    <row r="1985" spans="1:9" s="2" customFormat="1" x14ac:dyDescent="0.25">
      <c r="A1985" s="694">
        <v>1828</v>
      </c>
      <c r="B1985" s="671">
        <v>2</v>
      </c>
      <c r="C1985" s="701" t="s">
        <v>2474</v>
      </c>
      <c r="D1985" s="718">
        <v>849419005</v>
      </c>
      <c r="E1985" s="264" t="s">
        <v>2750</v>
      </c>
      <c r="F1985" s="175">
        <v>2019</v>
      </c>
      <c r="G1985" s="360" t="s">
        <v>1483</v>
      </c>
      <c r="H1985" s="215" t="s">
        <v>4871</v>
      </c>
      <c r="I1985" s="215" t="s">
        <v>4871</v>
      </c>
    </row>
    <row r="1986" spans="1:9" s="2" customFormat="1" x14ac:dyDescent="0.25">
      <c r="A1986" s="694">
        <v>1829</v>
      </c>
      <c r="B1986" s="671">
        <v>3</v>
      </c>
      <c r="C1986" s="701" t="s">
        <v>2475</v>
      </c>
      <c r="D1986" s="718">
        <v>849419009</v>
      </c>
      <c r="E1986" s="264" t="s">
        <v>2750</v>
      </c>
      <c r="F1986" s="175">
        <v>2019</v>
      </c>
      <c r="G1986" s="360" t="s">
        <v>1483</v>
      </c>
      <c r="H1986" s="215" t="s">
        <v>4871</v>
      </c>
      <c r="I1986" s="215" t="s">
        <v>4871</v>
      </c>
    </row>
    <row r="1987" spans="1:9" s="2" customFormat="1" x14ac:dyDescent="0.25">
      <c r="A1987" s="694">
        <v>1830</v>
      </c>
      <c r="B1987" s="671">
        <v>4</v>
      </c>
      <c r="C1987" s="701" t="s">
        <v>2476</v>
      </c>
      <c r="D1987" s="718">
        <v>849419011</v>
      </c>
      <c r="E1987" s="264" t="s">
        <v>2750</v>
      </c>
      <c r="F1987" s="175">
        <v>2019</v>
      </c>
      <c r="G1987" s="360" t="s">
        <v>1483</v>
      </c>
      <c r="H1987" s="215" t="s">
        <v>4871</v>
      </c>
      <c r="I1987" s="215" t="s">
        <v>4871</v>
      </c>
    </row>
    <row r="1988" spans="1:9" s="2" customFormat="1" x14ac:dyDescent="0.25">
      <c r="A1988" s="694">
        <v>1831</v>
      </c>
      <c r="B1988" s="671">
        <v>5</v>
      </c>
      <c r="C1988" s="701" t="s">
        <v>2477</v>
      </c>
      <c r="D1988" s="718">
        <v>849419017</v>
      </c>
      <c r="E1988" s="264" t="s">
        <v>2750</v>
      </c>
      <c r="F1988" s="175">
        <v>2019</v>
      </c>
      <c r="G1988" s="360" t="s">
        <v>1483</v>
      </c>
      <c r="H1988" s="215" t="s">
        <v>4871</v>
      </c>
      <c r="I1988" s="215" t="s">
        <v>4871</v>
      </c>
    </row>
    <row r="1989" spans="1:9" s="2" customFormat="1" x14ac:dyDescent="0.25">
      <c r="A1989" s="694">
        <v>1832</v>
      </c>
      <c r="B1989" s="671">
        <v>6</v>
      </c>
      <c r="C1989" s="701" t="s">
        <v>2478</v>
      </c>
      <c r="D1989" s="718">
        <v>849419008</v>
      </c>
      <c r="E1989" s="264" t="s">
        <v>2750</v>
      </c>
      <c r="F1989" s="175">
        <v>2019</v>
      </c>
      <c r="G1989" s="360" t="s">
        <v>1483</v>
      </c>
      <c r="H1989" s="727" t="s">
        <v>4871</v>
      </c>
      <c r="I1989" s="727" t="s">
        <v>4871</v>
      </c>
    </row>
    <row r="1990" spans="1:9" s="2" customFormat="1" x14ac:dyDescent="0.25">
      <c r="A1990" s="694">
        <v>1833</v>
      </c>
      <c r="B1990" s="671">
        <v>7</v>
      </c>
      <c r="C1990" s="701" t="s">
        <v>2479</v>
      </c>
      <c r="D1990" s="718">
        <v>849419012</v>
      </c>
      <c r="E1990" s="264" t="s">
        <v>2750</v>
      </c>
      <c r="F1990" s="175">
        <v>2019</v>
      </c>
      <c r="G1990" s="360" t="s">
        <v>1483</v>
      </c>
      <c r="H1990" s="215" t="s">
        <v>4871</v>
      </c>
      <c r="I1990" s="215" t="s">
        <v>4871</v>
      </c>
    </row>
    <row r="1991" spans="1:9" s="2" customFormat="1" x14ac:dyDescent="0.25">
      <c r="A1991" s="694">
        <v>1834</v>
      </c>
      <c r="B1991" s="671">
        <v>8</v>
      </c>
      <c r="C1991" s="701" t="s">
        <v>2480</v>
      </c>
      <c r="D1991" s="718">
        <v>849419015</v>
      </c>
      <c r="E1991" s="264" t="s">
        <v>2750</v>
      </c>
      <c r="F1991" s="175">
        <v>2019</v>
      </c>
      <c r="G1991" s="360" t="s">
        <v>1483</v>
      </c>
      <c r="H1991" s="215" t="s">
        <v>4871</v>
      </c>
      <c r="I1991" s="215" t="s">
        <v>4871</v>
      </c>
    </row>
    <row r="1992" spans="1:9" s="2" customFormat="1" x14ac:dyDescent="0.25">
      <c r="A1992" s="694">
        <v>1835</v>
      </c>
      <c r="B1992" s="671">
        <v>9</v>
      </c>
      <c r="C1992" s="701" t="s">
        <v>2481</v>
      </c>
      <c r="D1992" s="718">
        <v>849419019</v>
      </c>
      <c r="E1992" s="264" t="s">
        <v>2750</v>
      </c>
      <c r="F1992" s="175">
        <v>2019</v>
      </c>
      <c r="G1992" s="360" t="s">
        <v>1483</v>
      </c>
      <c r="H1992" s="215" t="s">
        <v>4871</v>
      </c>
      <c r="I1992" s="215" t="s">
        <v>4871</v>
      </c>
    </row>
    <row r="1993" spans="1:9" s="2" customFormat="1" x14ac:dyDescent="0.25">
      <c r="A1993" s="694">
        <v>1836</v>
      </c>
      <c r="B1993" s="671">
        <v>10</v>
      </c>
      <c r="C1993" s="701" t="s">
        <v>2493</v>
      </c>
      <c r="D1993" s="718">
        <v>849419014</v>
      </c>
      <c r="E1993" s="264" t="s">
        <v>2750</v>
      </c>
      <c r="F1993" s="175">
        <v>2019</v>
      </c>
      <c r="G1993" s="360" t="s">
        <v>1483</v>
      </c>
      <c r="H1993" s="215" t="s">
        <v>4871</v>
      </c>
      <c r="I1993" s="215" t="s">
        <v>4871</v>
      </c>
    </row>
    <row r="1994" spans="1:9" s="2" customFormat="1" x14ac:dyDescent="0.25">
      <c r="A1994" s="694">
        <v>1837</v>
      </c>
      <c r="B1994" s="671">
        <v>11</v>
      </c>
      <c r="C1994" s="701" t="s">
        <v>2482</v>
      </c>
      <c r="D1994" s="718">
        <v>849419006</v>
      </c>
      <c r="E1994" s="264" t="s">
        <v>2750</v>
      </c>
      <c r="F1994" s="175">
        <v>2019</v>
      </c>
      <c r="G1994" s="360" t="s">
        <v>1483</v>
      </c>
      <c r="H1994" s="727" t="s">
        <v>4871</v>
      </c>
      <c r="I1994" s="727" t="s">
        <v>4871</v>
      </c>
    </row>
    <row r="1995" spans="1:9" s="2" customFormat="1" x14ac:dyDescent="0.25">
      <c r="A1995" s="694">
        <v>1838</v>
      </c>
      <c r="B1995" s="671">
        <v>12</v>
      </c>
      <c r="C1995" s="701" t="s">
        <v>2483</v>
      </c>
      <c r="D1995" s="718">
        <v>849419010</v>
      </c>
      <c r="E1995" s="264" t="s">
        <v>2750</v>
      </c>
      <c r="F1995" s="175">
        <v>2019</v>
      </c>
      <c r="G1995" s="360" t="s">
        <v>1483</v>
      </c>
      <c r="H1995" s="215" t="s">
        <v>4871</v>
      </c>
      <c r="I1995" s="215" t="s">
        <v>4871</v>
      </c>
    </row>
    <row r="1996" spans="1:9" s="2" customFormat="1" x14ac:dyDescent="0.25">
      <c r="A1996" s="694">
        <v>1839</v>
      </c>
      <c r="B1996" s="671">
        <v>13</v>
      </c>
      <c r="C1996" s="701" t="s">
        <v>2484</v>
      </c>
      <c r="D1996" s="718">
        <v>849419002</v>
      </c>
      <c r="E1996" s="264" t="s">
        <v>2750</v>
      </c>
      <c r="F1996" s="175">
        <v>2019</v>
      </c>
      <c r="G1996" s="360" t="s">
        <v>1483</v>
      </c>
      <c r="H1996" s="215" t="s">
        <v>4871</v>
      </c>
      <c r="I1996" s="215" t="s">
        <v>4871</v>
      </c>
    </row>
    <row r="1997" spans="1:9" s="2" customFormat="1" x14ac:dyDescent="0.25">
      <c r="A1997" s="694">
        <v>1840</v>
      </c>
      <c r="B1997" s="671">
        <v>14</v>
      </c>
      <c r="C1997" s="701" t="s">
        <v>2485</v>
      </c>
      <c r="D1997" s="718">
        <v>849419021</v>
      </c>
      <c r="E1997" s="264" t="s">
        <v>2750</v>
      </c>
      <c r="F1997" s="175">
        <v>2019</v>
      </c>
      <c r="G1997" s="404" t="s">
        <v>1833</v>
      </c>
      <c r="H1997" s="215" t="s">
        <v>4871</v>
      </c>
      <c r="I1997" s="215" t="s">
        <v>4871</v>
      </c>
    </row>
    <row r="1998" spans="1:9" s="2" customFormat="1" x14ac:dyDescent="0.25">
      <c r="A1998" s="694">
        <v>1841</v>
      </c>
      <c r="B1998" s="671">
        <v>15</v>
      </c>
      <c r="C1998" s="701" t="s">
        <v>2486</v>
      </c>
      <c r="D1998" s="718">
        <v>849419018</v>
      </c>
      <c r="E1998" s="264" t="s">
        <v>2750</v>
      </c>
      <c r="F1998" s="175">
        <v>2019</v>
      </c>
      <c r="G1998" s="404" t="s">
        <v>28</v>
      </c>
      <c r="H1998" s="215" t="s">
        <v>4871</v>
      </c>
      <c r="I1998" s="215" t="s">
        <v>4871</v>
      </c>
    </row>
    <row r="1999" spans="1:9" s="2" customFormat="1" x14ac:dyDescent="0.25">
      <c r="A1999" s="694">
        <v>1842</v>
      </c>
      <c r="B1999" s="671">
        <v>16</v>
      </c>
      <c r="C1999" s="701" t="s">
        <v>2487</v>
      </c>
      <c r="D1999" s="718">
        <v>849419016</v>
      </c>
      <c r="E1999" s="264" t="s">
        <v>2750</v>
      </c>
      <c r="F1999" s="175">
        <v>2019</v>
      </c>
      <c r="G1999" s="360" t="s">
        <v>1483</v>
      </c>
      <c r="H1999" s="215" t="s">
        <v>4871</v>
      </c>
      <c r="I1999" s="215" t="s">
        <v>4871</v>
      </c>
    </row>
    <row r="2000" spans="1:9" s="2" customFormat="1" x14ac:dyDescent="0.25">
      <c r="A2000" s="694">
        <v>1843</v>
      </c>
      <c r="B2000" s="671">
        <v>17</v>
      </c>
      <c r="C2000" s="701" t="s">
        <v>2488</v>
      </c>
      <c r="D2000" s="718">
        <v>849419003</v>
      </c>
      <c r="E2000" s="264" t="s">
        <v>2750</v>
      </c>
      <c r="F2000" s="175">
        <v>2019</v>
      </c>
      <c r="G2000" s="360" t="s">
        <v>1483</v>
      </c>
      <c r="H2000" s="727" t="s">
        <v>4871</v>
      </c>
      <c r="I2000" s="727" t="s">
        <v>4871</v>
      </c>
    </row>
    <row r="2001" spans="1:9" s="2" customFormat="1" x14ac:dyDescent="0.25">
      <c r="A2001" s="694">
        <v>1844</v>
      </c>
      <c r="B2001" s="671">
        <v>18</v>
      </c>
      <c r="C2001" s="701" t="s">
        <v>1736</v>
      </c>
      <c r="D2001" s="718">
        <v>849419020</v>
      </c>
      <c r="E2001" s="264" t="s">
        <v>2750</v>
      </c>
      <c r="F2001" s="175">
        <v>2019</v>
      </c>
      <c r="G2001" s="360" t="s">
        <v>1483</v>
      </c>
      <c r="H2001" s="215" t="s">
        <v>4871</v>
      </c>
      <c r="I2001" s="215" t="s">
        <v>4871</v>
      </c>
    </row>
    <row r="2002" spans="1:9" s="2" customFormat="1" x14ac:dyDescent="0.25">
      <c r="A2002" s="694">
        <v>1845</v>
      </c>
      <c r="B2002" s="671">
        <v>19</v>
      </c>
      <c r="C2002" s="701" t="s">
        <v>2489</v>
      </c>
      <c r="D2002" s="718">
        <v>849419007</v>
      </c>
      <c r="E2002" s="264" t="s">
        <v>2750</v>
      </c>
      <c r="F2002" s="175">
        <v>2019</v>
      </c>
      <c r="G2002" s="360" t="s">
        <v>1483</v>
      </c>
      <c r="H2002" s="215" t="s">
        <v>4871</v>
      </c>
      <c r="I2002" s="215" t="s">
        <v>4871</v>
      </c>
    </row>
    <row r="2003" spans="1:9" s="2" customFormat="1" x14ac:dyDescent="0.25">
      <c r="A2003" s="694">
        <v>1846</v>
      </c>
      <c r="B2003" s="671">
        <v>20</v>
      </c>
      <c r="C2003" s="701" t="s">
        <v>2490</v>
      </c>
      <c r="D2003" s="718">
        <v>849419013</v>
      </c>
      <c r="E2003" s="264" t="s">
        <v>2750</v>
      </c>
      <c r="F2003" s="175">
        <v>2019</v>
      </c>
      <c r="G2003" s="360" t="s">
        <v>1483</v>
      </c>
      <c r="H2003" s="215" t="s">
        <v>4871</v>
      </c>
      <c r="I2003" s="215" t="s">
        <v>4871</v>
      </c>
    </row>
    <row r="2004" spans="1:9" s="2" customFormat="1" x14ac:dyDescent="0.25">
      <c r="A2004" s="694">
        <v>1847</v>
      </c>
      <c r="B2004" s="671">
        <v>21</v>
      </c>
      <c r="C2004" s="701" t="s">
        <v>2491</v>
      </c>
      <c r="D2004" s="718">
        <v>849419004</v>
      </c>
      <c r="E2004" s="264" t="s">
        <v>2750</v>
      </c>
      <c r="F2004" s="175">
        <v>2019</v>
      </c>
      <c r="G2004" s="360" t="s">
        <v>1483</v>
      </c>
      <c r="H2004" s="215" t="s">
        <v>4871</v>
      </c>
      <c r="I2004" s="215" t="s">
        <v>4871</v>
      </c>
    </row>
    <row r="2005" spans="1:9" s="2" customFormat="1" x14ac:dyDescent="0.25">
      <c r="A2005" s="725"/>
      <c r="B2005" s="725"/>
      <c r="C2005" s="123"/>
      <c r="D2005" s="33"/>
      <c r="E2005" s="123"/>
      <c r="F2005" s="120" t="s">
        <v>61</v>
      </c>
      <c r="G2005" s="123"/>
      <c r="H2005" s="124"/>
      <c r="I2005" s="124"/>
    </row>
    <row r="2006" spans="1:9" s="2" customFormat="1" x14ac:dyDescent="0.25">
      <c r="A2006" s="725"/>
      <c r="B2006" s="725"/>
      <c r="C2006" s="123"/>
      <c r="D2006" s="33"/>
      <c r="E2006" s="123"/>
      <c r="F2006" s="120" t="s">
        <v>61</v>
      </c>
      <c r="G2006" s="123"/>
      <c r="H2006" s="124"/>
      <c r="I2006" s="124"/>
    </row>
    <row r="2007" spans="1:9" s="2" customFormat="1" x14ac:dyDescent="0.25">
      <c r="A2007" s="656" t="s">
        <v>2498</v>
      </c>
      <c r="B2007" s="656"/>
      <c r="C2007" s="656"/>
      <c r="D2007" s="417"/>
      <c r="E2007" s="657" t="s">
        <v>1096</v>
      </c>
      <c r="F2007" s="658" t="s">
        <v>1096</v>
      </c>
      <c r="G2007" s="565">
        <v>8000000</v>
      </c>
      <c r="H2007" s="147" t="str">
        <f>IFERROR(VLOOKUP(D2007,Tlus,3,FALSE),"   ")</f>
        <v xml:space="preserve">   </v>
      </c>
      <c r="I2007" s="147" t="str">
        <f>IFERROR(VLOOKUP(D2007,Wis,4,FALSE),"   ")</f>
        <v xml:space="preserve">   </v>
      </c>
    </row>
    <row r="2008" spans="1:9" s="2" customFormat="1" x14ac:dyDescent="0.25">
      <c r="A2008" s="694">
        <v>1848</v>
      </c>
      <c r="B2008" s="695">
        <v>1</v>
      </c>
      <c r="C2008" s="724" t="s">
        <v>1998</v>
      </c>
      <c r="D2008" s="718">
        <v>841919009</v>
      </c>
      <c r="E2008" s="264" t="s">
        <v>4872</v>
      </c>
      <c r="F2008" s="175">
        <v>2019</v>
      </c>
      <c r="G2008" s="168" t="s">
        <v>1483</v>
      </c>
      <c r="H2008" s="215" t="s">
        <v>4873</v>
      </c>
      <c r="I2008" s="215" t="s">
        <v>4873</v>
      </c>
    </row>
    <row r="2009" spans="1:9" s="2" customFormat="1" x14ac:dyDescent="0.25">
      <c r="A2009" s="694">
        <v>1849</v>
      </c>
      <c r="B2009" s="730">
        <v>2</v>
      </c>
      <c r="C2009" s="724" t="s">
        <v>2502</v>
      </c>
      <c r="D2009" s="718">
        <v>841919025</v>
      </c>
      <c r="E2009" s="264" t="s">
        <v>4872</v>
      </c>
      <c r="F2009" s="175">
        <v>2019</v>
      </c>
      <c r="G2009" s="168" t="s">
        <v>1483</v>
      </c>
      <c r="H2009" s="731" t="s">
        <v>4873</v>
      </c>
      <c r="I2009" s="731" t="s">
        <v>4873</v>
      </c>
    </row>
    <row r="2010" spans="1:9" s="2" customFormat="1" x14ac:dyDescent="0.25">
      <c r="A2010" s="694">
        <v>1850</v>
      </c>
      <c r="B2010" s="671">
        <v>3</v>
      </c>
      <c r="C2010" s="724" t="s">
        <v>2503</v>
      </c>
      <c r="D2010" s="718">
        <v>841919014</v>
      </c>
      <c r="E2010" s="264" t="s">
        <v>4872</v>
      </c>
      <c r="F2010" s="175">
        <v>2019</v>
      </c>
      <c r="G2010" s="360" t="s">
        <v>1483</v>
      </c>
      <c r="H2010" s="215" t="s">
        <v>4873</v>
      </c>
      <c r="I2010" s="215" t="s">
        <v>4873</v>
      </c>
    </row>
    <row r="2011" spans="1:9" s="2" customFormat="1" x14ac:dyDescent="0.25">
      <c r="A2011" s="694">
        <v>1851</v>
      </c>
      <c r="B2011" s="671">
        <v>4</v>
      </c>
      <c r="C2011" s="724" t="s">
        <v>2504</v>
      </c>
      <c r="D2011" s="718">
        <v>841919004</v>
      </c>
      <c r="E2011" s="264" t="s">
        <v>4872</v>
      </c>
      <c r="F2011" s="175">
        <v>2019</v>
      </c>
      <c r="G2011" s="360" t="s">
        <v>1483</v>
      </c>
      <c r="H2011" s="215" t="s">
        <v>4873</v>
      </c>
      <c r="I2011" s="215" t="s">
        <v>4873</v>
      </c>
    </row>
    <row r="2012" spans="1:9" s="2" customFormat="1" x14ac:dyDescent="0.25">
      <c r="A2012" s="694">
        <v>1852</v>
      </c>
      <c r="B2012" s="671">
        <v>5</v>
      </c>
      <c r="C2012" s="701" t="s">
        <v>2505</v>
      </c>
      <c r="D2012" s="718">
        <v>841919010</v>
      </c>
      <c r="E2012" s="264" t="s">
        <v>4872</v>
      </c>
      <c r="F2012" s="175">
        <v>2019</v>
      </c>
      <c r="G2012" s="360" t="s">
        <v>1483</v>
      </c>
      <c r="H2012" s="215" t="s">
        <v>4873</v>
      </c>
      <c r="I2012" s="215" t="s">
        <v>4873</v>
      </c>
    </row>
    <row r="2013" spans="1:9" s="2" customFormat="1" x14ac:dyDescent="0.25">
      <c r="A2013" s="694">
        <v>1853</v>
      </c>
      <c r="B2013" s="671">
        <v>6</v>
      </c>
      <c r="C2013" s="701" t="s">
        <v>2506</v>
      </c>
      <c r="D2013" s="718">
        <v>841919011</v>
      </c>
      <c r="E2013" s="264" t="s">
        <v>4872</v>
      </c>
      <c r="F2013" s="175">
        <v>2019</v>
      </c>
      <c r="G2013" s="360" t="s">
        <v>1483</v>
      </c>
      <c r="H2013" s="215" t="s">
        <v>4873</v>
      </c>
      <c r="I2013" s="215" t="s">
        <v>4873</v>
      </c>
    </row>
    <row r="2014" spans="1:9" s="2" customFormat="1" x14ac:dyDescent="0.25">
      <c r="A2014" s="694">
        <v>1854</v>
      </c>
      <c r="B2014" s="671">
        <v>7</v>
      </c>
      <c r="C2014" s="724" t="s">
        <v>2507</v>
      </c>
      <c r="D2014" s="718">
        <v>841919007</v>
      </c>
      <c r="E2014" s="264" t="s">
        <v>4872</v>
      </c>
      <c r="F2014" s="175">
        <v>2019</v>
      </c>
      <c r="G2014" s="360" t="s">
        <v>1483</v>
      </c>
      <c r="H2014" s="215" t="s">
        <v>4873</v>
      </c>
      <c r="I2014" s="215" t="s">
        <v>4873</v>
      </c>
    </row>
    <row r="2015" spans="1:9" s="2" customFormat="1" x14ac:dyDescent="0.25">
      <c r="A2015" s="694">
        <v>1855</v>
      </c>
      <c r="B2015" s="671">
        <v>8</v>
      </c>
      <c r="C2015" s="724" t="s">
        <v>2508</v>
      </c>
      <c r="D2015" s="718">
        <v>841919017</v>
      </c>
      <c r="E2015" s="264" t="s">
        <v>4872</v>
      </c>
      <c r="F2015" s="175">
        <v>2019</v>
      </c>
      <c r="G2015" s="360" t="s">
        <v>1483</v>
      </c>
      <c r="H2015" s="215" t="s">
        <v>4873</v>
      </c>
      <c r="I2015" s="215" t="s">
        <v>4873</v>
      </c>
    </row>
    <row r="2016" spans="1:9" s="2" customFormat="1" x14ac:dyDescent="0.25">
      <c r="A2016" s="694">
        <v>1856</v>
      </c>
      <c r="B2016" s="671">
        <v>9</v>
      </c>
      <c r="C2016" s="724" t="s">
        <v>2509</v>
      </c>
      <c r="D2016" s="718">
        <v>841919018</v>
      </c>
      <c r="E2016" s="264" t="s">
        <v>4872</v>
      </c>
      <c r="F2016" s="175">
        <v>2019</v>
      </c>
      <c r="G2016" s="360" t="s">
        <v>1483</v>
      </c>
      <c r="H2016" s="215" t="s">
        <v>4873</v>
      </c>
      <c r="I2016" s="215" t="s">
        <v>4873</v>
      </c>
    </row>
    <row r="2017" spans="1:9" s="2" customFormat="1" x14ac:dyDescent="0.25">
      <c r="A2017" s="694">
        <v>1857</v>
      </c>
      <c r="B2017" s="671">
        <v>10</v>
      </c>
      <c r="C2017" s="724" t="s">
        <v>2510</v>
      </c>
      <c r="D2017" s="718">
        <v>841919016</v>
      </c>
      <c r="E2017" s="264" t="s">
        <v>4872</v>
      </c>
      <c r="F2017" s="175">
        <v>2019</v>
      </c>
      <c r="G2017" s="360" t="s">
        <v>1483</v>
      </c>
      <c r="H2017" s="215" t="s">
        <v>4873</v>
      </c>
      <c r="I2017" s="215" t="s">
        <v>4873</v>
      </c>
    </row>
    <row r="2018" spans="1:9" s="2" customFormat="1" x14ac:dyDescent="0.25">
      <c r="A2018" s="694">
        <v>1858</v>
      </c>
      <c r="B2018" s="671">
        <v>11</v>
      </c>
      <c r="C2018" s="724" t="s">
        <v>2511</v>
      </c>
      <c r="D2018" s="718">
        <v>841919013</v>
      </c>
      <c r="E2018" s="264" t="s">
        <v>4872</v>
      </c>
      <c r="F2018" s="175">
        <v>2019</v>
      </c>
      <c r="G2018" s="360" t="s">
        <v>1483</v>
      </c>
      <c r="H2018" s="215" t="s">
        <v>4873</v>
      </c>
      <c r="I2018" s="215" t="s">
        <v>4873</v>
      </c>
    </row>
    <row r="2019" spans="1:9" s="2" customFormat="1" x14ac:dyDescent="0.25">
      <c r="A2019" s="694">
        <v>1859</v>
      </c>
      <c r="B2019" s="671">
        <v>12</v>
      </c>
      <c r="C2019" s="701" t="s">
        <v>2512</v>
      </c>
      <c r="D2019" s="718">
        <v>841919001</v>
      </c>
      <c r="E2019" s="264" t="s">
        <v>4872</v>
      </c>
      <c r="F2019" s="175">
        <v>2019</v>
      </c>
      <c r="G2019" s="329" t="s">
        <v>1077</v>
      </c>
      <c r="H2019" s="215" t="s">
        <v>4873</v>
      </c>
      <c r="I2019" s="215" t="s">
        <v>4873</v>
      </c>
    </row>
    <row r="2020" spans="1:9" s="2" customFormat="1" x14ac:dyDescent="0.25">
      <c r="A2020" s="694">
        <v>1860</v>
      </c>
      <c r="B2020" s="671">
        <v>13</v>
      </c>
      <c r="C2020" s="724" t="s">
        <v>2513</v>
      </c>
      <c r="D2020" s="718">
        <v>841919006</v>
      </c>
      <c r="E2020" s="264" t="s">
        <v>4872</v>
      </c>
      <c r="F2020" s="175">
        <v>2019</v>
      </c>
      <c r="G2020" s="360" t="s">
        <v>1483</v>
      </c>
      <c r="H2020" s="215" t="s">
        <v>4873</v>
      </c>
      <c r="I2020" s="215" t="s">
        <v>4873</v>
      </c>
    </row>
    <row r="2021" spans="1:9" s="2" customFormat="1" x14ac:dyDescent="0.25">
      <c r="A2021" s="694">
        <v>1861</v>
      </c>
      <c r="B2021" s="671">
        <v>14</v>
      </c>
      <c r="C2021" s="724" t="s">
        <v>2514</v>
      </c>
      <c r="D2021" s="718">
        <v>841919002</v>
      </c>
      <c r="E2021" s="264" t="s">
        <v>4872</v>
      </c>
      <c r="F2021" s="175">
        <v>2019</v>
      </c>
      <c r="G2021" s="360" t="s">
        <v>1483</v>
      </c>
      <c r="H2021" s="215" t="s">
        <v>4873</v>
      </c>
      <c r="I2021" s="215" t="s">
        <v>4873</v>
      </c>
    </row>
    <row r="2022" spans="1:9" s="2" customFormat="1" x14ac:dyDescent="0.25">
      <c r="A2022" s="694">
        <v>1862</v>
      </c>
      <c r="B2022" s="671">
        <v>15</v>
      </c>
      <c r="C2022" s="724" t="s">
        <v>2515</v>
      </c>
      <c r="D2022" s="718">
        <v>841919012</v>
      </c>
      <c r="E2022" s="264" t="s">
        <v>4872</v>
      </c>
      <c r="F2022" s="175">
        <v>2019</v>
      </c>
      <c r="G2022" s="360" t="s">
        <v>1483</v>
      </c>
      <c r="H2022" s="215" t="s">
        <v>4873</v>
      </c>
      <c r="I2022" s="215" t="s">
        <v>4873</v>
      </c>
    </row>
    <row r="2023" spans="1:9" s="2" customFormat="1" x14ac:dyDescent="0.25">
      <c r="A2023" s="694">
        <v>1863</v>
      </c>
      <c r="B2023" s="671">
        <v>16</v>
      </c>
      <c r="C2023" s="724" t="s">
        <v>2516</v>
      </c>
      <c r="D2023" s="718">
        <v>841919026</v>
      </c>
      <c r="E2023" s="264" t="s">
        <v>4872</v>
      </c>
      <c r="F2023" s="175">
        <v>2019</v>
      </c>
      <c r="G2023" s="360" t="s">
        <v>1483</v>
      </c>
      <c r="H2023" s="215" t="s">
        <v>4873</v>
      </c>
      <c r="I2023" s="215" t="s">
        <v>4873</v>
      </c>
    </row>
    <row r="2024" spans="1:9" s="2" customFormat="1" x14ac:dyDescent="0.25">
      <c r="A2024" s="694">
        <v>1864</v>
      </c>
      <c r="B2024" s="671">
        <v>16</v>
      </c>
      <c r="C2024" s="724" t="s">
        <v>2517</v>
      </c>
      <c r="D2024" s="718">
        <v>841919008</v>
      </c>
      <c r="E2024" s="264" t="s">
        <v>4872</v>
      </c>
      <c r="F2024" s="175">
        <v>2019</v>
      </c>
      <c r="G2024" s="360" t="s">
        <v>1483</v>
      </c>
      <c r="H2024" s="215" t="s">
        <v>4873</v>
      </c>
      <c r="I2024" s="215" t="s">
        <v>4873</v>
      </c>
    </row>
    <row r="2025" spans="1:9" s="2" customFormat="1" x14ac:dyDescent="0.25">
      <c r="A2025" s="694">
        <v>1865</v>
      </c>
      <c r="B2025" s="671">
        <v>17</v>
      </c>
      <c r="C2025" s="701" t="s">
        <v>2518</v>
      </c>
      <c r="D2025" s="718">
        <v>841919005</v>
      </c>
      <c r="E2025" s="264" t="s">
        <v>4872</v>
      </c>
      <c r="F2025" s="175">
        <v>2019</v>
      </c>
      <c r="G2025" s="360" t="s">
        <v>1483</v>
      </c>
      <c r="H2025" s="215" t="s">
        <v>4873</v>
      </c>
      <c r="I2025" s="215" t="s">
        <v>4873</v>
      </c>
    </row>
    <row r="2026" spans="1:9" s="2" customFormat="1" x14ac:dyDescent="0.25">
      <c r="A2026" s="694">
        <v>1866</v>
      </c>
      <c r="B2026" s="671">
        <v>18</v>
      </c>
      <c r="C2026" s="701" t="s">
        <v>2519</v>
      </c>
      <c r="D2026" s="718">
        <v>841919015</v>
      </c>
      <c r="E2026" s="264" t="s">
        <v>4872</v>
      </c>
      <c r="F2026" s="175">
        <v>2019</v>
      </c>
      <c r="G2026" s="404" t="s">
        <v>28</v>
      </c>
      <c r="H2026" s="215" t="s">
        <v>4873</v>
      </c>
      <c r="I2026" s="215" t="s">
        <v>4873</v>
      </c>
    </row>
    <row r="2027" spans="1:9" s="2" customFormat="1" x14ac:dyDescent="0.25">
      <c r="A2027" s="694">
        <v>1867</v>
      </c>
      <c r="B2027" s="671">
        <v>19</v>
      </c>
      <c r="C2027" s="724" t="s">
        <v>2520</v>
      </c>
      <c r="D2027" s="718">
        <v>841919003</v>
      </c>
      <c r="E2027" s="264" t="s">
        <v>4872</v>
      </c>
      <c r="F2027" s="175">
        <v>2019</v>
      </c>
      <c r="G2027" s="360" t="s">
        <v>1483</v>
      </c>
      <c r="H2027" s="215" t="s">
        <v>4873</v>
      </c>
      <c r="I2027" s="215" t="s">
        <v>4873</v>
      </c>
    </row>
    <row r="2028" spans="1:9" s="2" customFormat="1" x14ac:dyDescent="0.25">
      <c r="A2028" s="694">
        <v>1868</v>
      </c>
      <c r="B2028" s="671">
        <v>20</v>
      </c>
      <c r="C2028" s="701" t="s">
        <v>2521</v>
      </c>
      <c r="D2028" s="718">
        <v>841919019</v>
      </c>
      <c r="E2028" s="264" t="s">
        <v>4874</v>
      </c>
      <c r="F2028" s="175">
        <v>2019</v>
      </c>
      <c r="G2028" s="360" t="s">
        <v>1483</v>
      </c>
      <c r="H2028" s="215" t="s">
        <v>4873</v>
      </c>
      <c r="I2028" s="215" t="s">
        <v>4873</v>
      </c>
    </row>
    <row r="2029" spans="1:9" s="2" customFormat="1" x14ac:dyDescent="0.25">
      <c r="A2029" s="694">
        <v>1869</v>
      </c>
      <c r="B2029" s="671">
        <v>21</v>
      </c>
      <c r="C2029" s="701" t="s">
        <v>1947</v>
      </c>
      <c r="D2029" s="718">
        <v>841919020</v>
      </c>
      <c r="E2029" s="264" t="s">
        <v>4874</v>
      </c>
      <c r="F2029" s="175">
        <v>2019</v>
      </c>
      <c r="G2029" s="360" t="s">
        <v>1483</v>
      </c>
      <c r="H2029" s="215" t="s">
        <v>4873</v>
      </c>
      <c r="I2029" s="215" t="s">
        <v>4873</v>
      </c>
    </row>
    <row r="2030" spans="1:9" s="2" customFormat="1" x14ac:dyDescent="0.25">
      <c r="A2030" s="694">
        <v>1870</v>
      </c>
      <c r="B2030" s="671">
        <v>22</v>
      </c>
      <c r="C2030" s="701" t="s">
        <v>2524</v>
      </c>
      <c r="D2030" s="718">
        <v>841919021</v>
      </c>
      <c r="E2030" s="264" t="s">
        <v>4874</v>
      </c>
      <c r="F2030" s="175">
        <v>2019</v>
      </c>
      <c r="G2030" s="360" t="s">
        <v>1483</v>
      </c>
      <c r="H2030" s="215" t="s">
        <v>4873</v>
      </c>
      <c r="I2030" s="215" t="s">
        <v>4873</v>
      </c>
    </row>
    <row r="2031" spans="1:9" s="2" customFormat="1" x14ac:dyDescent="0.25">
      <c r="A2031" s="694">
        <v>1871</v>
      </c>
      <c r="B2031" s="671">
        <v>23</v>
      </c>
      <c r="C2031" s="701" t="s">
        <v>2525</v>
      </c>
      <c r="D2031" s="718">
        <v>841919022</v>
      </c>
      <c r="E2031" s="264" t="s">
        <v>4874</v>
      </c>
      <c r="F2031" s="175">
        <v>2019</v>
      </c>
      <c r="G2031" s="360" t="s">
        <v>1483</v>
      </c>
      <c r="H2031" s="215" t="s">
        <v>4873</v>
      </c>
      <c r="I2031" s="215" t="s">
        <v>4873</v>
      </c>
    </row>
    <row r="2032" spans="1:9" s="2" customFormat="1" x14ac:dyDescent="0.25">
      <c r="A2032" s="694">
        <v>1872</v>
      </c>
      <c r="B2032" s="671">
        <v>24</v>
      </c>
      <c r="C2032" s="701" t="s">
        <v>2526</v>
      </c>
      <c r="D2032" s="718">
        <v>841919023</v>
      </c>
      <c r="E2032" s="264" t="s">
        <v>4874</v>
      </c>
      <c r="F2032" s="175">
        <v>2019</v>
      </c>
      <c r="G2032" s="360" t="s">
        <v>1483</v>
      </c>
      <c r="H2032" s="215" t="s">
        <v>4873</v>
      </c>
      <c r="I2032" s="215" t="s">
        <v>4873</v>
      </c>
    </row>
    <row r="2033" spans="1:9" s="2" customFormat="1" x14ac:dyDescent="0.25">
      <c r="A2033" s="694">
        <v>1873</v>
      </c>
      <c r="B2033" s="671">
        <v>25</v>
      </c>
      <c r="C2033" s="701" t="s">
        <v>2527</v>
      </c>
      <c r="D2033" s="718">
        <v>841919024</v>
      </c>
      <c r="E2033" s="264" t="s">
        <v>4874</v>
      </c>
      <c r="F2033" s="175">
        <v>2019</v>
      </c>
      <c r="G2033" s="360" t="s">
        <v>1483</v>
      </c>
      <c r="H2033" s="215" t="s">
        <v>4873</v>
      </c>
      <c r="I2033" s="215" t="s">
        <v>4873</v>
      </c>
    </row>
    <row r="2034" spans="1:9" s="2" customFormat="1" x14ac:dyDescent="0.25">
      <c r="A2034" s="725"/>
      <c r="B2034" s="725"/>
      <c r="C2034" s="123"/>
      <c r="D2034" s="33"/>
      <c r="E2034" s="123"/>
      <c r="F2034" s="120" t="s">
        <v>61</v>
      </c>
      <c r="G2034" s="123"/>
      <c r="H2034" s="124"/>
      <c r="I2034" s="124"/>
    </row>
    <row r="2035" spans="1:9" s="2" customFormat="1" x14ac:dyDescent="0.25">
      <c r="A2035" s="656" t="s">
        <v>2528</v>
      </c>
      <c r="B2035" s="656"/>
      <c r="C2035" s="656"/>
      <c r="D2035" s="417"/>
      <c r="E2035" s="657" t="s">
        <v>1096</v>
      </c>
      <c r="F2035" s="658" t="s">
        <v>1096</v>
      </c>
      <c r="G2035" s="565">
        <v>6000000</v>
      </c>
      <c r="H2035" s="147" t="str">
        <f>IFERROR(VLOOKUP(D2035,Tlus,3,FALSE),"   ")</f>
        <v xml:space="preserve">   </v>
      </c>
      <c r="I2035" s="147" t="str">
        <f>IFERROR(VLOOKUP(D2035,Wis,4,FALSE),"   ")</f>
        <v xml:space="preserve">   </v>
      </c>
    </row>
    <row r="2036" spans="1:9" s="2" customFormat="1" x14ac:dyDescent="0.25">
      <c r="A2036" s="694">
        <v>1874</v>
      </c>
      <c r="B2036" s="695">
        <v>1</v>
      </c>
      <c r="C2036" s="724" t="s">
        <v>2529</v>
      </c>
      <c r="D2036" s="718">
        <v>842919001</v>
      </c>
      <c r="E2036" s="264" t="s">
        <v>2790</v>
      </c>
      <c r="F2036" s="175">
        <v>2019</v>
      </c>
      <c r="G2036" s="360" t="s">
        <v>1483</v>
      </c>
      <c r="H2036" s="215" t="s">
        <v>4875</v>
      </c>
      <c r="I2036" s="215" t="s">
        <v>4875</v>
      </c>
    </row>
    <row r="2037" spans="1:9" s="2" customFormat="1" x14ac:dyDescent="0.25">
      <c r="A2037" s="694">
        <v>1875</v>
      </c>
      <c r="B2037" s="671">
        <v>2</v>
      </c>
      <c r="C2037" s="724" t="s">
        <v>2531</v>
      </c>
      <c r="D2037" s="718">
        <v>842919002</v>
      </c>
      <c r="E2037" s="264" t="s">
        <v>2790</v>
      </c>
      <c r="F2037" s="175">
        <v>2019</v>
      </c>
      <c r="G2037" s="360" t="s">
        <v>1483</v>
      </c>
      <c r="H2037" s="215" t="s">
        <v>4875</v>
      </c>
      <c r="I2037" s="215" t="s">
        <v>4875</v>
      </c>
    </row>
    <row r="2038" spans="1:9" s="2" customFormat="1" x14ac:dyDescent="0.25">
      <c r="A2038" s="694">
        <v>1876</v>
      </c>
      <c r="B2038" s="671">
        <v>3</v>
      </c>
      <c r="C2038" s="724" t="s">
        <v>2532</v>
      </c>
      <c r="D2038" s="718">
        <v>842919003</v>
      </c>
      <c r="E2038" s="264" t="s">
        <v>2790</v>
      </c>
      <c r="F2038" s="175">
        <v>2019</v>
      </c>
      <c r="G2038" s="360" t="s">
        <v>1483</v>
      </c>
      <c r="H2038" s="215" t="s">
        <v>4875</v>
      </c>
      <c r="I2038" s="215" t="s">
        <v>4875</v>
      </c>
    </row>
    <row r="2039" spans="1:9" s="2" customFormat="1" x14ac:dyDescent="0.25">
      <c r="A2039" s="694">
        <v>1877</v>
      </c>
      <c r="B2039" s="671">
        <v>4</v>
      </c>
      <c r="C2039" s="724" t="s">
        <v>4820</v>
      </c>
      <c r="D2039" s="718">
        <v>842919004</v>
      </c>
      <c r="E2039" s="264" t="s">
        <v>2790</v>
      </c>
      <c r="F2039" s="175">
        <v>2019</v>
      </c>
      <c r="G2039" s="360" t="s">
        <v>1483</v>
      </c>
      <c r="H2039" s="215" t="s">
        <v>4875</v>
      </c>
      <c r="I2039" s="215" t="s">
        <v>4875</v>
      </c>
    </row>
    <row r="2040" spans="1:9" s="2" customFormat="1" x14ac:dyDescent="0.25">
      <c r="A2040" s="694">
        <v>1878</v>
      </c>
      <c r="B2040" s="671">
        <v>5</v>
      </c>
      <c r="C2040" s="724" t="s">
        <v>2534</v>
      </c>
      <c r="D2040" s="718">
        <v>842919005</v>
      </c>
      <c r="E2040" s="264" t="s">
        <v>2790</v>
      </c>
      <c r="F2040" s="175">
        <v>2019</v>
      </c>
      <c r="G2040" s="360" t="s">
        <v>1483</v>
      </c>
      <c r="H2040" s="215" t="s">
        <v>4875</v>
      </c>
      <c r="I2040" s="215" t="s">
        <v>4875</v>
      </c>
    </row>
    <row r="2041" spans="1:9" s="2" customFormat="1" x14ac:dyDescent="0.25">
      <c r="A2041" s="694">
        <v>1879</v>
      </c>
      <c r="B2041" s="671">
        <v>6</v>
      </c>
      <c r="C2041" s="724" t="s">
        <v>2535</v>
      </c>
      <c r="D2041" s="718">
        <v>842919006</v>
      </c>
      <c r="E2041" s="264" t="s">
        <v>2790</v>
      </c>
      <c r="F2041" s="175">
        <v>2019</v>
      </c>
      <c r="G2041" s="360" t="s">
        <v>1483</v>
      </c>
      <c r="H2041" s="215" t="s">
        <v>4875</v>
      </c>
      <c r="I2041" s="215" t="s">
        <v>4875</v>
      </c>
    </row>
    <row r="2042" spans="1:9" s="2" customFormat="1" x14ac:dyDescent="0.25">
      <c r="A2042" s="694">
        <v>1880</v>
      </c>
      <c r="B2042" s="671">
        <v>7</v>
      </c>
      <c r="C2042" s="724" t="s">
        <v>2536</v>
      </c>
      <c r="D2042" s="718">
        <v>842919007</v>
      </c>
      <c r="E2042" s="264" t="s">
        <v>2790</v>
      </c>
      <c r="F2042" s="175">
        <v>2019</v>
      </c>
      <c r="G2042" s="360" t="s">
        <v>1483</v>
      </c>
      <c r="H2042" s="215" t="s">
        <v>4875</v>
      </c>
      <c r="I2042" s="215" t="s">
        <v>4875</v>
      </c>
    </row>
    <row r="2043" spans="1:9" s="2" customFormat="1" x14ac:dyDescent="0.25">
      <c r="A2043" s="694">
        <v>1881</v>
      </c>
      <c r="B2043" s="671">
        <v>8</v>
      </c>
      <c r="C2043" s="724" t="s">
        <v>2537</v>
      </c>
      <c r="D2043" s="718">
        <v>842919008</v>
      </c>
      <c r="E2043" s="264" t="s">
        <v>2790</v>
      </c>
      <c r="F2043" s="175">
        <v>2019</v>
      </c>
      <c r="G2043" s="360" t="s">
        <v>1483</v>
      </c>
      <c r="H2043" s="215" t="s">
        <v>4875</v>
      </c>
      <c r="I2043" s="215" t="s">
        <v>4875</v>
      </c>
    </row>
    <row r="2044" spans="1:9" s="2" customFormat="1" x14ac:dyDescent="0.25">
      <c r="A2044" s="694">
        <v>1882</v>
      </c>
      <c r="B2044" s="671">
        <v>9</v>
      </c>
      <c r="C2044" s="724" t="s">
        <v>163</v>
      </c>
      <c r="D2044" s="718">
        <v>842919009</v>
      </c>
      <c r="E2044" s="264" t="s">
        <v>2790</v>
      </c>
      <c r="F2044" s="175">
        <v>2019</v>
      </c>
      <c r="G2044" s="360" t="s">
        <v>1483</v>
      </c>
      <c r="H2044" s="215" t="s">
        <v>4875</v>
      </c>
      <c r="I2044" s="215" t="s">
        <v>4875</v>
      </c>
    </row>
    <row r="2045" spans="1:9" s="2" customFormat="1" x14ac:dyDescent="0.25">
      <c r="A2045" s="694">
        <v>1883</v>
      </c>
      <c r="B2045" s="671">
        <v>10</v>
      </c>
      <c r="C2045" s="724" t="s">
        <v>2538</v>
      </c>
      <c r="D2045" s="718">
        <v>842919010</v>
      </c>
      <c r="E2045" s="264" t="s">
        <v>2790</v>
      </c>
      <c r="F2045" s="175">
        <v>2019</v>
      </c>
      <c r="G2045" s="360" t="s">
        <v>1483</v>
      </c>
      <c r="H2045" s="215" t="s">
        <v>4875</v>
      </c>
      <c r="I2045" s="215" t="s">
        <v>4875</v>
      </c>
    </row>
    <row r="2046" spans="1:9" s="2" customFormat="1" x14ac:dyDescent="0.25">
      <c r="A2046" s="694">
        <v>1884</v>
      </c>
      <c r="B2046" s="671">
        <v>11</v>
      </c>
      <c r="C2046" s="724" t="s">
        <v>111</v>
      </c>
      <c r="D2046" s="718">
        <v>842919011</v>
      </c>
      <c r="E2046" s="264" t="s">
        <v>2790</v>
      </c>
      <c r="F2046" s="175">
        <v>2019</v>
      </c>
      <c r="G2046" s="360" t="s">
        <v>1483</v>
      </c>
      <c r="H2046" s="215" t="s">
        <v>4875</v>
      </c>
      <c r="I2046" s="215" t="s">
        <v>4875</v>
      </c>
    </row>
    <row r="2047" spans="1:9" s="2" customFormat="1" x14ac:dyDescent="0.25">
      <c r="A2047" s="694">
        <v>1885</v>
      </c>
      <c r="B2047" s="671">
        <v>12</v>
      </c>
      <c r="C2047" s="724" t="s">
        <v>2539</v>
      </c>
      <c r="D2047" s="718">
        <v>842919012</v>
      </c>
      <c r="E2047" s="264" t="s">
        <v>2790</v>
      </c>
      <c r="F2047" s="175">
        <v>2019</v>
      </c>
      <c r="G2047" s="360" t="s">
        <v>1483</v>
      </c>
      <c r="H2047" s="215" t="s">
        <v>4875</v>
      </c>
      <c r="I2047" s="215" t="s">
        <v>4875</v>
      </c>
    </row>
    <row r="2048" spans="1:9" s="2" customFormat="1" x14ac:dyDescent="0.25">
      <c r="A2048" s="694">
        <v>1886</v>
      </c>
      <c r="B2048" s="671">
        <v>13</v>
      </c>
      <c r="C2048" s="724" t="s">
        <v>2540</v>
      </c>
      <c r="D2048" s="718">
        <v>842919013</v>
      </c>
      <c r="E2048" s="264" t="s">
        <v>2790</v>
      </c>
      <c r="F2048" s="175">
        <v>2019</v>
      </c>
      <c r="G2048" s="360" t="s">
        <v>1483</v>
      </c>
      <c r="H2048" s="215" t="s">
        <v>4875</v>
      </c>
      <c r="I2048" s="215" t="s">
        <v>4875</v>
      </c>
    </row>
    <row r="2049" spans="1:20" s="2" customFormat="1" x14ac:dyDescent="0.25">
      <c r="A2049" s="694">
        <v>1887</v>
      </c>
      <c r="B2049" s="671">
        <v>14</v>
      </c>
      <c r="C2049" s="724" t="s">
        <v>2541</v>
      </c>
      <c r="D2049" s="718">
        <v>842919014</v>
      </c>
      <c r="E2049" s="264" t="s">
        <v>2790</v>
      </c>
      <c r="F2049" s="175">
        <v>2019</v>
      </c>
      <c r="G2049" s="360" t="s">
        <v>1483</v>
      </c>
      <c r="H2049" s="215" t="s">
        <v>4875</v>
      </c>
      <c r="I2049" s="215" t="s">
        <v>4875</v>
      </c>
    </row>
    <row r="2050" spans="1:20" s="2" customFormat="1" x14ac:dyDescent="0.25">
      <c r="A2050" s="694">
        <v>1888</v>
      </c>
      <c r="B2050" s="732">
        <v>15</v>
      </c>
      <c r="C2050" s="733" t="s">
        <v>2542</v>
      </c>
      <c r="D2050" s="734">
        <v>842919015</v>
      </c>
      <c r="E2050" s="735" t="s">
        <v>2790</v>
      </c>
      <c r="F2050" s="736">
        <v>2019</v>
      </c>
      <c r="G2050" s="404" t="s">
        <v>28</v>
      </c>
      <c r="H2050" s="737" t="s">
        <v>4875</v>
      </c>
      <c r="I2050" s="737" t="s">
        <v>4875</v>
      </c>
    </row>
    <row r="2051" spans="1:20" s="2" customFormat="1" x14ac:dyDescent="0.25">
      <c r="A2051" s="738"/>
      <c r="B2051" s="732"/>
      <c r="C2051" s="733"/>
      <c r="D2051" s="739"/>
      <c r="E2051" s="735"/>
      <c r="F2051" s="736"/>
      <c r="G2051" s="740"/>
      <c r="H2051" s="737"/>
      <c r="I2051" s="737"/>
    </row>
    <row r="2052" spans="1:20" s="8" customFormat="1" x14ac:dyDescent="0.25">
      <c r="A2052" s="684"/>
      <c r="B2052" s="678"/>
      <c r="C2052" s="741" t="s">
        <v>2546</v>
      </c>
      <c r="D2052" s="717"/>
      <c r="E2052" s="691"/>
      <c r="F2052" s="221"/>
      <c r="G2052" s="413"/>
      <c r="H2052" s="222"/>
      <c r="I2052" s="222"/>
    </row>
    <row r="2053" spans="1:20" x14ac:dyDescent="0.25">
      <c r="A2053" s="725"/>
      <c r="B2053" s="725"/>
      <c r="C2053" s="123"/>
      <c r="D2053" s="33"/>
      <c r="H2053" s="124"/>
      <c r="I2053" s="124"/>
      <c r="T2053"/>
    </row>
    <row r="2054" spans="1:20" x14ac:dyDescent="0.25">
      <c r="A2054" s="725" t="s">
        <v>2803</v>
      </c>
      <c r="B2054" s="725"/>
      <c r="C2054" s="742" t="s">
        <v>1071</v>
      </c>
      <c r="D2054" s="33">
        <v>849113020</v>
      </c>
      <c r="H2054" s="33"/>
      <c r="I2054" s="33"/>
      <c r="T2054"/>
    </row>
    <row r="2055" spans="1:20" x14ac:dyDescent="0.25">
      <c r="A2055" s="725"/>
      <c r="B2055" s="725"/>
      <c r="C2055" s="742" t="s">
        <v>1128</v>
      </c>
      <c r="D2055" s="33">
        <v>849113029</v>
      </c>
      <c r="H2055" s="33"/>
      <c r="I2055" s="33"/>
      <c r="T2055"/>
    </row>
    <row r="2056" spans="1:20" x14ac:dyDescent="0.25">
      <c r="A2056" s="725"/>
      <c r="B2056" s="725"/>
      <c r="C2056" s="742" t="s">
        <v>2804</v>
      </c>
      <c r="D2056" s="33">
        <v>849113005</v>
      </c>
      <c r="H2056" s="33"/>
      <c r="I2056" s="33"/>
      <c r="T2056"/>
    </row>
    <row r="2057" spans="1:20" x14ac:dyDescent="0.25">
      <c r="A2057" s="725"/>
      <c r="B2057" s="725"/>
      <c r="C2057" s="742" t="s">
        <v>2805</v>
      </c>
      <c r="D2057" s="33">
        <v>849113043</v>
      </c>
      <c r="H2057" s="33"/>
      <c r="I2057" s="33"/>
      <c r="T2057"/>
    </row>
    <row r="2058" spans="1:20" x14ac:dyDescent="0.25">
      <c r="A2058" s="725"/>
      <c r="B2058" s="725"/>
      <c r="C2058" s="742" t="s">
        <v>2806</v>
      </c>
      <c r="D2058" s="33">
        <v>849113025</v>
      </c>
      <c r="H2058" s="33"/>
      <c r="I2058" s="33"/>
      <c r="T2058"/>
    </row>
    <row r="2059" spans="1:20" x14ac:dyDescent="0.25">
      <c r="A2059" s="725"/>
      <c r="B2059" s="725"/>
      <c r="C2059" s="742" t="s">
        <v>2363</v>
      </c>
      <c r="D2059" s="33">
        <v>849113032</v>
      </c>
      <c r="H2059" s="33"/>
      <c r="I2059" s="33"/>
      <c r="T2059"/>
    </row>
    <row r="2060" spans="1:20" x14ac:dyDescent="0.25">
      <c r="A2060" s="725"/>
      <c r="B2060" s="725"/>
      <c r="C2060" s="742" t="s">
        <v>1136</v>
      </c>
      <c r="D2060" s="33">
        <v>849113039</v>
      </c>
      <c r="H2060" s="33"/>
      <c r="I2060" s="33"/>
      <c r="T2060"/>
    </row>
    <row r="2061" spans="1:20" x14ac:dyDescent="0.25">
      <c r="A2061" s="725"/>
      <c r="B2061" s="725"/>
      <c r="C2061" s="742" t="s">
        <v>2807</v>
      </c>
      <c r="D2061" s="33">
        <v>849113030</v>
      </c>
      <c r="H2061" s="33"/>
      <c r="I2061" s="33"/>
      <c r="T2061"/>
    </row>
    <row r="2062" spans="1:20" x14ac:dyDescent="0.25">
      <c r="A2062" s="725"/>
      <c r="B2062" s="725"/>
      <c r="C2062" s="742" t="s">
        <v>2808</v>
      </c>
      <c r="D2062" s="33">
        <v>849199070</v>
      </c>
      <c r="H2062" s="33"/>
      <c r="I2062" s="33"/>
      <c r="T2062"/>
    </row>
    <row r="2063" spans="1:20" x14ac:dyDescent="0.25">
      <c r="A2063" s="725"/>
      <c r="B2063" s="725"/>
      <c r="C2063" s="742" t="s">
        <v>1509</v>
      </c>
      <c r="D2063" s="33">
        <v>849113004</v>
      </c>
      <c r="H2063" s="33"/>
      <c r="I2063" s="33"/>
      <c r="T2063"/>
    </row>
    <row r="2064" spans="1:20" x14ac:dyDescent="0.25">
      <c r="A2064" s="725"/>
      <c r="B2064" s="725"/>
      <c r="C2064" s="742" t="s">
        <v>2809</v>
      </c>
      <c r="D2064" s="33">
        <v>849199069</v>
      </c>
      <c r="H2064" s="33"/>
      <c r="I2064" s="33"/>
      <c r="T2064"/>
    </row>
    <row r="2065" spans="1:20" x14ac:dyDescent="0.25">
      <c r="A2065" s="725"/>
      <c r="B2065" s="725"/>
      <c r="C2065" s="742" t="s">
        <v>2810</v>
      </c>
      <c r="D2065" s="33">
        <v>849113014</v>
      </c>
      <c r="H2065" s="33"/>
      <c r="I2065" s="33"/>
      <c r="T2065"/>
    </row>
    <row r="2066" spans="1:20" x14ac:dyDescent="0.25">
      <c r="A2066" s="725"/>
      <c r="B2066" s="725"/>
      <c r="C2066" s="742" t="s">
        <v>1089</v>
      </c>
      <c r="D2066" s="33">
        <v>849113001</v>
      </c>
      <c r="H2066" s="33"/>
      <c r="I2066" s="33"/>
      <c r="T2066"/>
    </row>
    <row r="2067" spans="1:20" x14ac:dyDescent="0.25">
      <c r="A2067" s="725"/>
      <c r="B2067" s="725"/>
      <c r="C2067" s="742" t="s">
        <v>1135</v>
      </c>
      <c r="D2067" s="33">
        <v>849113038</v>
      </c>
      <c r="H2067" s="33"/>
      <c r="I2067" s="33"/>
      <c r="T2067"/>
    </row>
    <row r="2068" spans="1:20" x14ac:dyDescent="0.25">
      <c r="A2068" s="725"/>
      <c r="B2068" s="725"/>
      <c r="C2068" s="742" t="s">
        <v>1119</v>
      </c>
      <c r="D2068" s="33">
        <v>849113010</v>
      </c>
      <c r="H2068" s="33"/>
      <c r="I2068" s="33"/>
      <c r="T2068"/>
    </row>
    <row r="2069" spans="1:20" x14ac:dyDescent="0.25">
      <c r="A2069" s="725"/>
      <c r="B2069" s="725"/>
      <c r="C2069" s="742" t="s">
        <v>1082</v>
      </c>
      <c r="D2069" s="33">
        <v>849113006</v>
      </c>
      <c r="H2069" s="33"/>
      <c r="I2069" s="33"/>
      <c r="T2069"/>
    </row>
    <row r="2070" spans="1:20" x14ac:dyDescent="0.25">
      <c r="A2070" s="725"/>
      <c r="B2070" s="725"/>
      <c r="C2070" s="742" t="s">
        <v>356</v>
      </c>
      <c r="D2070" s="33">
        <v>849113042</v>
      </c>
      <c r="H2070" s="33"/>
      <c r="I2070" s="33"/>
      <c r="T2070"/>
    </row>
    <row r="2071" spans="1:20" x14ac:dyDescent="0.25">
      <c r="A2071" s="725"/>
      <c r="B2071" s="725"/>
      <c r="C2071" s="742" t="s">
        <v>1094</v>
      </c>
      <c r="D2071" s="33">
        <v>849113003</v>
      </c>
      <c r="H2071" s="33"/>
      <c r="I2071" s="33"/>
      <c r="T2071"/>
    </row>
    <row r="2072" spans="1:20" x14ac:dyDescent="0.25">
      <c r="A2072" s="725"/>
      <c r="B2072" s="725"/>
      <c r="C2072" s="742" t="s">
        <v>2812</v>
      </c>
      <c r="D2072" s="33">
        <v>849110117</v>
      </c>
      <c r="H2072" s="33"/>
      <c r="I2072" s="33"/>
      <c r="T2072"/>
    </row>
    <row r="2073" spans="1:20" x14ac:dyDescent="0.25">
      <c r="A2073" s="725"/>
      <c r="B2073" s="725"/>
      <c r="C2073" s="742" t="s">
        <v>1081</v>
      </c>
      <c r="D2073" s="33">
        <v>849113012</v>
      </c>
      <c r="H2073" s="33"/>
      <c r="I2073" s="33"/>
      <c r="T2073"/>
    </row>
    <row r="2074" spans="1:20" x14ac:dyDescent="0.25">
      <c r="A2074" s="725" t="s">
        <v>2813</v>
      </c>
      <c r="B2074" s="725"/>
      <c r="C2074" s="743" t="s">
        <v>2814</v>
      </c>
      <c r="D2074" s="744">
        <v>839134002</v>
      </c>
      <c r="H2074" s="744"/>
      <c r="I2074" s="744"/>
      <c r="T2074"/>
    </row>
    <row r="2075" spans="1:20" x14ac:dyDescent="0.25">
      <c r="A2075" s="725"/>
      <c r="B2075" s="725"/>
      <c r="C2075" s="743" t="s">
        <v>2504</v>
      </c>
      <c r="D2075" s="744">
        <v>849113028</v>
      </c>
      <c r="H2075" s="744"/>
      <c r="I2075" s="744"/>
      <c r="T2075"/>
    </row>
    <row r="2076" spans="1:20" x14ac:dyDescent="0.25">
      <c r="A2076" s="725"/>
      <c r="B2076" s="725"/>
      <c r="C2076" s="743" t="s">
        <v>2815</v>
      </c>
      <c r="D2076" s="744">
        <v>839134017</v>
      </c>
      <c r="H2076" s="744"/>
      <c r="I2076" s="744"/>
      <c r="T2076"/>
    </row>
    <row r="2077" spans="1:20" x14ac:dyDescent="0.25">
      <c r="A2077" s="725"/>
      <c r="B2077" s="725"/>
      <c r="C2077" s="743" t="s">
        <v>1009</v>
      </c>
      <c r="D2077" s="744">
        <v>849120076</v>
      </c>
      <c r="H2077" s="744"/>
      <c r="I2077" s="744"/>
      <c r="T2077"/>
    </row>
    <row r="2078" spans="1:20" x14ac:dyDescent="0.25">
      <c r="A2078" s="725"/>
      <c r="B2078" s="725"/>
      <c r="C2078" s="743" t="s">
        <v>2816</v>
      </c>
      <c r="D2078" s="744">
        <v>849113027</v>
      </c>
      <c r="H2078" s="744"/>
      <c r="I2078" s="744"/>
      <c r="T2078"/>
    </row>
    <row r="2079" spans="1:20" x14ac:dyDescent="0.25">
      <c r="A2079" s="725"/>
      <c r="B2079" s="725"/>
      <c r="C2079" s="743" t="s">
        <v>2817</v>
      </c>
      <c r="D2079" s="744">
        <v>839134001</v>
      </c>
      <c r="H2079" s="744"/>
      <c r="I2079" s="744"/>
      <c r="T2079"/>
    </row>
    <row r="2080" spans="1:20" x14ac:dyDescent="0.25">
      <c r="A2080" s="725"/>
      <c r="B2080" s="725"/>
      <c r="C2080" s="743" t="s">
        <v>2818</v>
      </c>
      <c r="D2080" s="744">
        <v>839134006</v>
      </c>
      <c r="H2080" s="744"/>
      <c r="I2080" s="744"/>
      <c r="T2080"/>
    </row>
    <row r="2081" spans="1:20" x14ac:dyDescent="0.25">
      <c r="A2081" s="725"/>
      <c r="B2081" s="725"/>
      <c r="C2081" s="743" t="s">
        <v>2819</v>
      </c>
      <c r="D2081" s="744">
        <v>839131009</v>
      </c>
      <c r="H2081" s="744"/>
      <c r="I2081" s="744"/>
      <c r="T2081"/>
    </row>
    <row r="2082" spans="1:20" x14ac:dyDescent="0.25">
      <c r="A2082" s="725"/>
      <c r="B2082" s="725"/>
      <c r="C2082" s="743" t="s">
        <v>2820</v>
      </c>
      <c r="D2082" s="744">
        <v>849113080</v>
      </c>
      <c r="H2082" s="744"/>
      <c r="I2082" s="744"/>
      <c r="T2082"/>
    </row>
    <row r="2083" spans="1:20" x14ac:dyDescent="0.25">
      <c r="A2083" s="725"/>
      <c r="B2083" s="725"/>
      <c r="C2083" s="743" t="s">
        <v>2821</v>
      </c>
      <c r="D2083" s="744">
        <v>849113052</v>
      </c>
      <c r="H2083" s="744"/>
      <c r="I2083" s="744"/>
      <c r="T2083"/>
    </row>
    <row r="2084" spans="1:20" x14ac:dyDescent="0.25">
      <c r="A2084" s="725"/>
      <c r="B2084" s="725"/>
      <c r="C2084" s="743" t="s">
        <v>2822</v>
      </c>
      <c r="D2084" s="744">
        <v>839130009</v>
      </c>
      <c r="H2084" s="744"/>
      <c r="I2084" s="744"/>
      <c r="T2084"/>
    </row>
    <row r="2085" spans="1:20" x14ac:dyDescent="0.25">
      <c r="A2085" s="725"/>
      <c r="B2085" s="725"/>
      <c r="C2085" s="743" t="s">
        <v>2485</v>
      </c>
      <c r="D2085" s="744">
        <v>839131011</v>
      </c>
      <c r="H2085" s="744"/>
      <c r="I2085" s="744"/>
      <c r="T2085"/>
    </row>
    <row r="2086" spans="1:20" x14ac:dyDescent="0.25">
      <c r="A2086" s="725"/>
      <c r="B2086" s="725"/>
      <c r="C2086" s="743" t="s">
        <v>2823</v>
      </c>
      <c r="D2086" s="744">
        <v>849113017</v>
      </c>
      <c r="H2086" s="744"/>
      <c r="I2086" s="744"/>
      <c r="T2086"/>
    </row>
    <row r="2087" spans="1:20" x14ac:dyDescent="0.25">
      <c r="A2087" s="725"/>
      <c r="B2087" s="725"/>
      <c r="C2087" s="743" t="s">
        <v>2824</v>
      </c>
      <c r="D2087" s="744">
        <v>839134015</v>
      </c>
      <c r="H2087" s="744"/>
      <c r="I2087" s="744"/>
      <c r="T2087"/>
    </row>
    <row r="2088" spans="1:20" x14ac:dyDescent="0.25">
      <c r="A2088" s="725"/>
      <c r="B2088" s="725"/>
      <c r="C2088" s="743" t="s">
        <v>2825</v>
      </c>
      <c r="D2088" s="744">
        <v>839134018</v>
      </c>
      <c r="H2088" s="744"/>
      <c r="I2088" s="744"/>
      <c r="T2088"/>
    </row>
    <row r="2089" spans="1:20" x14ac:dyDescent="0.25">
      <c r="A2089" s="725"/>
      <c r="B2089" s="725"/>
      <c r="C2089" s="743" t="s">
        <v>2826</v>
      </c>
      <c r="D2089" s="744">
        <v>849199066</v>
      </c>
      <c r="H2089" s="744"/>
      <c r="I2089" s="744"/>
      <c r="T2089"/>
    </row>
    <row r="2090" spans="1:20" x14ac:dyDescent="0.25">
      <c r="A2090" s="725"/>
      <c r="B2090" s="725"/>
      <c r="C2090" s="743" t="s">
        <v>2827</v>
      </c>
      <c r="D2090" s="744">
        <v>849120017</v>
      </c>
      <c r="H2090" s="744"/>
      <c r="I2090" s="744"/>
      <c r="T2090"/>
    </row>
    <row r="2091" spans="1:20" x14ac:dyDescent="0.25">
      <c r="A2091" s="725"/>
      <c r="B2091" s="725"/>
      <c r="C2091" s="743" t="s">
        <v>2828</v>
      </c>
      <c r="D2091" s="744">
        <v>839114007</v>
      </c>
      <c r="H2091" s="744"/>
      <c r="I2091" s="744"/>
      <c r="T2091"/>
    </row>
    <row r="2092" spans="1:20" x14ac:dyDescent="0.25">
      <c r="A2092" s="725"/>
      <c r="B2092" s="725"/>
      <c r="C2092" s="743" t="s">
        <v>2829</v>
      </c>
      <c r="D2092" s="744">
        <v>839134013</v>
      </c>
      <c r="H2092" s="744"/>
      <c r="I2092" s="744"/>
      <c r="T2092"/>
    </row>
    <row r="2093" spans="1:20" x14ac:dyDescent="0.25">
      <c r="A2093" s="725"/>
      <c r="B2093" s="725"/>
      <c r="C2093" s="743" t="s">
        <v>2830</v>
      </c>
      <c r="D2093" s="744">
        <v>84099001</v>
      </c>
      <c r="H2093" s="744"/>
      <c r="I2093" s="744"/>
      <c r="T2093"/>
    </row>
    <row r="2094" spans="1:20" x14ac:dyDescent="0.25">
      <c r="A2094" s="725"/>
      <c r="B2094" s="725"/>
      <c r="C2094" s="743" t="s">
        <v>2831</v>
      </c>
      <c r="D2094" s="744">
        <v>849110186</v>
      </c>
      <c r="H2094" s="744"/>
      <c r="I2094" s="744"/>
      <c r="T2094"/>
    </row>
    <row r="2095" spans="1:20" x14ac:dyDescent="0.25">
      <c r="A2095" s="725"/>
      <c r="B2095" s="725"/>
      <c r="C2095" s="743" t="s">
        <v>1749</v>
      </c>
      <c r="D2095" s="744">
        <v>849113009</v>
      </c>
      <c r="H2095" s="744"/>
      <c r="I2095" s="744"/>
      <c r="T2095"/>
    </row>
    <row r="2096" spans="1:20" x14ac:dyDescent="0.25">
      <c r="A2096" s="725"/>
      <c r="B2096" s="725"/>
      <c r="C2096" s="743" t="s">
        <v>2832</v>
      </c>
      <c r="D2096" s="744">
        <v>849110120</v>
      </c>
      <c r="H2096" s="744"/>
      <c r="I2096" s="744"/>
      <c r="T2096"/>
    </row>
    <row r="2097" spans="1:20" x14ac:dyDescent="0.25">
      <c r="A2097" s="725"/>
      <c r="B2097" s="725"/>
      <c r="C2097" s="743" t="s">
        <v>2833</v>
      </c>
      <c r="D2097" s="744">
        <v>83911013</v>
      </c>
      <c r="H2097" s="744"/>
      <c r="I2097" s="744"/>
      <c r="T2097"/>
    </row>
    <row r="2098" spans="1:20" x14ac:dyDescent="0.25">
      <c r="A2098" s="725" t="s">
        <v>2834</v>
      </c>
      <c r="B2098" s="725"/>
      <c r="C2098" s="743" t="s">
        <v>2835</v>
      </c>
      <c r="D2098" s="744">
        <v>849114010</v>
      </c>
      <c r="H2098" s="744"/>
      <c r="I2098" s="744"/>
      <c r="T2098"/>
    </row>
    <row r="2099" spans="1:20" x14ac:dyDescent="0.25">
      <c r="A2099" s="725"/>
      <c r="B2099" s="725"/>
      <c r="C2099" s="743" t="s">
        <v>2836</v>
      </c>
      <c r="D2099" s="744">
        <v>849113024</v>
      </c>
      <c r="H2099" s="744"/>
      <c r="I2099" s="744"/>
      <c r="T2099"/>
    </row>
    <row r="2100" spans="1:20" x14ac:dyDescent="0.25">
      <c r="A2100" s="725"/>
      <c r="B2100" s="725"/>
      <c r="C2100" s="743" t="s">
        <v>2837</v>
      </c>
      <c r="D2100" s="744">
        <v>839134007</v>
      </c>
      <c r="H2100" s="744"/>
      <c r="I2100" s="744"/>
      <c r="T2100"/>
    </row>
    <row r="2101" spans="1:20" x14ac:dyDescent="0.25">
      <c r="A2101" s="725"/>
      <c r="B2101" s="725"/>
      <c r="C2101" s="743" t="s">
        <v>2838</v>
      </c>
      <c r="D2101" s="744">
        <v>839214014</v>
      </c>
      <c r="H2101" s="744"/>
      <c r="I2101" s="744"/>
      <c r="T2101"/>
    </row>
    <row r="2102" spans="1:20" x14ac:dyDescent="0.25">
      <c r="A2102" s="725"/>
      <c r="B2102" s="725"/>
      <c r="C2102" s="743" t="s">
        <v>2839</v>
      </c>
      <c r="D2102" s="744">
        <v>849113055</v>
      </c>
      <c r="H2102" s="744"/>
      <c r="I2102" s="744"/>
      <c r="T2102"/>
    </row>
    <row r="2103" spans="1:20" x14ac:dyDescent="0.25">
      <c r="A2103" s="725"/>
      <c r="B2103" s="725"/>
      <c r="C2103" s="743" t="s">
        <v>2840</v>
      </c>
      <c r="D2103" s="744">
        <v>849113056</v>
      </c>
      <c r="H2103" s="744"/>
      <c r="I2103" s="744"/>
      <c r="T2103"/>
    </row>
    <row r="2104" spans="1:20" x14ac:dyDescent="0.25">
      <c r="A2104" s="725"/>
      <c r="B2104" s="725"/>
      <c r="C2104" s="743" t="s">
        <v>2841</v>
      </c>
      <c r="D2104" s="744">
        <v>849113083</v>
      </c>
      <c r="H2104" s="744"/>
      <c r="I2104" s="744"/>
      <c r="T2104"/>
    </row>
    <row r="2105" spans="1:20" x14ac:dyDescent="0.25">
      <c r="A2105" s="725"/>
      <c r="B2105" s="725"/>
      <c r="C2105" s="743" t="s">
        <v>2842</v>
      </c>
      <c r="D2105" s="744">
        <v>849110250</v>
      </c>
      <c r="H2105" s="744"/>
      <c r="I2105" s="744"/>
      <c r="T2105"/>
    </row>
    <row r="2106" spans="1:20" x14ac:dyDescent="0.25">
      <c r="A2106" s="725"/>
      <c r="B2106" s="725"/>
      <c r="C2106" s="743" t="s">
        <v>2843</v>
      </c>
      <c r="D2106" s="744">
        <v>849113067</v>
      </c>
      <c r="H2106" s="744"/>
      <c r="I2106" s="744"/>
      <c r="T2106"/>
    </row>
    <row r="2107" spans="1:20" x14ac:dyDescent="0.25">
      <c r="A2107" s="107"/>
      <c r="B2107" s="742"/>
      <c r="C2107" s="743" t="s">
        <v>2844</v>
      </c>
      <c r="D2107" s="744">
        <v>839134019</v>
      </c>
      <c r="H2107" s="744"/>
      <c r="I2107" s="744"/>
      <c r="T2107"/>
    </row>
    <row r="2108" spans="1:20" x14ac:dyDescent="0.25">
      <c r="A2108" s="107"/>
      <c r="B2108" s="742"/>
      <c r="C2108" s="743" t="s">
        <v>2845</v>
      </c>
      <c r="D2108" s="744">
        <v>849214002</v>
      </c>
      <c r="H2108" s="744"/>
      <c r="I2108" s="744"/>
      <c r="T2108"/>
    </row>
    <row r="2109" spans="1:20" x14ac:dyDescent="0.25">
      <c r="A2109" s="107"/>
      <c r="B2109" s="742"/>
      <c r="C2109" s="743" t="s">
        <v>2009</v>
      </c>
      <c r="D2109" s="744">
        <v>849114011</v>
      </c>
      <c r="H2109" s="744"/>
      <c r="I2109" s="744"/>
      <c r="T2109"/>
    </row>
    <row r="2110" spans="1:20" x14ac:dyDescent="0.25">
      <c r="A2110" s="107"/>
      <c r="B2110" s="742"/>
      <c r="C2110" s="743" t="s">
        <v>2846</v>
      </c>
      <c r="D2110" s="744">
        <v>849113082</v>
      </c>
      <c r="H2110" s="744"/>
      <c r="I2110" s="744"/>
      <c r="T2110"/>
    </row>
    <row r="2111" spans="1:20" x14ac:dyDescent="0.25">
      <c r="A2111" s="107"/>
      <c r="B2111" s="742"/>
      <c r="C2111" s="743" t="s">
        <v>189</v>
      </c>
      <c r="D2111" s="744">
        <v>849114001</v>
      </c>
      <c r="H2111" s="744"/>
      <c r="I2111" s="744"/>
      <c r="T2111"/>
    </row>
    <row r="2112" spans="1:20" x14ac:dyDescent="0.25">
      <c r="A2112" s="107"/>
      <c r="B2112" s="742"/>
      <c r="C2112" s="743" t="s">
        <v>2847</v>
      </c>
      <c r="D2112" s="744">
        <v>849113085</v>
      </c>
      <c r="H2112" s="744"/>
      <c r="I2112" s="744"/>
      <c r="T2112"/>
    </row>
    <row r="2113" spans="1:20" x14ac:dyDescent="0.25">
      <c r="A2113" s="107"/>
      <c r="B2113" s="742"/>
      <c r="C2113" s="743" t="s">
        <v>2848</v>
      </c>
      <c r="D2113" s="744">
        <v>849214003</v>
      </c>
      <c r="H2113" s="744"/>
      <c r="I2113" s="744"/>
      <c r="T2113"/>
    </row>
    <row r="2114" spans="1:20" x14ac:dyDescent="0.25">
      <c r="A2114" s="107"/>
      <c r="B2114" s="742"/>
      <c r="C2114" s="743" t="s">
        <v>2849</v>
      </c>
      <c r="D2114" s="744">
        <v>849214007</v>
      </c>
      <c r="H2114" s="744"/>
      <c r="I2114" s="744"/>
      <c r="T2114"/>
    </row>
    <row r="2115" spans="1:20" x14ac:dyDescent="0.25">
      <c r="A2115" s="107"/>
      <c r="B2115" s="742"/>
      <c r="C2115" s="743" t="s">
        <v>2850</v>
      </c>
      <c r="D2115" s="744">
        <v>849113053</v>
      </c>
      <c r="H2115" s="744"/>
      <c r="I2115" s="744"/>
      <c r="T2115"/>
    </row>
    <row r="2116" spans="1:20" x14ac:dyDescent="0.25">
      <c r="A2116" s="107"/>
      <c r="B2116" s="742"/>
      <c r="C2116" s="743" t="s">
        <v>2851</v>
      </c>
      <c r="D2116" s="744">
        <v>849113046</v>
      </c>
      <c r="H2116" s="744"/>
      <c r="I2116" s="744"/>
      <c r="T2116"/>
    </row>
    <row r="2117" spans="1:20" x14ac:dyDescent="0.25">
      <c r="A2117" s="107"/>
      <c r="B2117" s="742"/>
      <c r="C2117" s="743" t="s">
        <v>2852</v>
      </c>
      <c r="D2117" s="744">
        <v>849113057</v>
      </c>
      <c r="H2117" s="744"/>
      <c r="I2117" s="744"/>
      <c r="T2117"/>
    </row>
    <row r="2118" spans="1:20" x14ac:dyDescent="0.25">
      <c r="A2118" s="107"/>
      <c r="B2118" s="742"/>
      <c r="C2118" s="743" t="s">
        <v>2853</v>
      </c>
      <c r="D2118" s="744">
        <v>849113059</v>
      </c>
      <c r="H2118" s="744"/>
      <c r="I2118" s="744"/>
      <c r="T2118"/>
    </row>
    <row r="2119" spans="1:20" x14ac:dyDescent="0.25">
      <c r="A2119" s="107"/>
      <c r="B2119" s="742"/>
      <c r="C2119" s="743" t="s">
        <v>2854</v>
      </c>
      <c r="D2119" s="744">
        <v>839134014</v>
      </c>
      <c r="H2119" s="744"/>
      <c r="I2119" s="744"/>
    </row>
    <row r="2120" spans="1:20" x14ac:dyDescent="0.25">
      <c r="A2120" s="107"/>
      <c r="B2120" s="742"/>
      <c r="C2120" s="743" t="s">
        <v>2855</v>
      </c>
      <c r="D2120" s="744">
        <v>839214008</v>
      </c>
      <c r="H2120" s="744"/>
      <c r="I2120" s="744"/>
    </row>
    <row r="2121" spans="1:20" x14ac:dyDescent="0.25">
      <c r="A2121" s="107"/>
      <c r="B2121" s="742"/>
      <c r="C2121" s="743" t="s">
        <v>2856</v>
      </c>
      <c r="D2121" s="744">
        <v>839214004</v>
      </c>
      <c r="H2121" s="744"/>
      <c r="I2121" s="744"/>
    </row>
    <row r="2122" spans="1:20" x14ac:dyDescent="0.25">
      <c r="A2122" s="107"/>
      <c r="B2122" s="742"/>
      <c r="C2122" s="743" t="s">
        <v>2857</v>
      </c>
      <c r="D2122" s="744">
        <v>839214015</v>
      </c>
      <c r="H2122" s="744"/>
      <c r="I2122" s="744"/>
    </row>
    <row r="2123" spans="1:20" x14ac:dyDescent="0.25">
      <c r="A2123" s="107"/>
      <c r="B2123" s="742"/>
      <c r="C2123" s="743" t="s">
        <v>2858</v>
      </c>
      <c r="D2123" s="744">
        <v>83911022</v>
      </c>
      <c r="H2123" s="744"/>
      <c r="I2123" s="744"/>
    </row>
    <row r="2124" spans="1:20" x14ac:dyDescent="0.25">
      <c r="A2124" s="107"/>
      <c r="B2124" s="742"/>
      <c r="C2124" s="743" t="s">
        <v>2859</v>
      </c>
      <c r="D2124" s="744">
        <v>849113081</v>
      </c>
      <c r="H2124" s="744"/>
      <c r="I2124" s="744"/>
    </row>
    <row r="2125" spans="1:20" x14ac:dyDescent="0.25">
      <c r="A2125" s="107"/>
      <c r="B2125" s="742"/>
      <c r="C2125" s="743" t="s">
        <v>2860</v>
      </c>
      <c r="D2125" s="744">
        <v>839131013</v>
      </c>
      <c r="H2125" s="744"/>
      <c r="I2125" s="744"/>
    </row>
    <row r="2126" spans="1:20" x14ac:dyDescent="0.25">
      <c r="A2126" s="107"/>
      <c r="B2126" s="742"/>
      <c r="C2126" s="743" t="s">
        <v>1984</v>
      </c>
      <c r="D2126" s="744">
        <v>849113048</v>
      </c>
      <c r="H2126" s="744"/>
      <c r="I2126" s="744"/>
    </row>
    <row r="2127" spans="1:20" x14ac:dyDescent="0.25">
      <c r="A2127" s="107"/>
      <c r="B2127" s="742"/>
      <c r="C2127" s="743" t="s">
        <v>2861</v>
      </c>
      <c r="D2127" s="744">
        <v>849114030</v>
      </c>
      <c r="H2127" s="744"/>
      <c r="I2127" s="744"/>
    </row>
    <row r="2128" spans="1:20" x14ac:dyDescent="0.25">
      <c r="A2128" s="107"/>
      <c r="B2128" s="742"/>
      <c r="C2128" s="743" t="s">
        <v>2862</v>
      </c>
      <c r="D2128" s="744">
        <v>849113066</v>
      </c>
      <c r="H2128" s="744"/>
      <c r="I2128" s="744"/>
    </row>
    <row r="2129" spans="1:9" x14ac:dyDescent="0.25">
      <c r="A2129" s="107"/>
      <c r="B2129" s="742"/>
      <c r="C2129" s="743" t="s">
        <v>2863</v>
      </c>
      <c r="D2129" s="744">
        <v>849113090</v>
      </c>
      <c r="H2129" s="744"/>
      <c r="I2129" s="744"/>
    </row>
    <row r="2130" spans="1:9" x14ac:dyDescent="0.25">
      <c r="A2130" s="107"/>
      <c r="B2130" s="742"/>
      <c r="C2130" s="743" t="s">
        <v>2864</v>
      </c>
      <c r="D2130" s="744">
        <v>849113087</v>
      </c>
      <c r="H2130" s="744"/>
      <c r="I2130" s="744"/>
    </row>
    <row r="2131" spans="1:9" x14ac:dyDescent="0.25">
      <c r="A2131" s="745"/>
      <c r="B2131" s="746"/>
      <c r="C2131" s="743" t="s">
        <v>2865</v>
      </c>
      <c r="D2131" s="744">
        <v>849110299</v>
      </c>
      <c r="H2131" s="744"/>
      <c r="I2131" s="744"/>
    </row>
    <row r="2132" spans="1:9" x14ac:dyDescent="0.25">
      <c r="A2132" s="745"/>
      <c r="B2132" s="746"/>
      <c r="C2132" s="743" t="s">
        <v>2866</v>
      </c>
      <c r="D2132" s="744">
        <v>849113074</v>
      </c>
      <c r="H2132" s="744"/>
      <c r="I2132" s="744"/>
    </row>
    <row r="2133" spans="1:9" x14ac:dyDescent="0.25">
      <c r="A2133" s="745" t="s">
        <v>2867</v>
      </c>
      <c r="B2133" s="746"/>
      <c r="C2133" s="743" t="s">
        <v>2868</v>
      </c>
      <c r="D2133" s="742">
        <v>839214007</v>
      </c>
      <c r="H2133" s="742"/>
      <c r="I2133" s="742"/>
    </row>
    <row r="2134" spans="1:9" x14ac:dyDescent="0.25">
      <c r="A2134" s="745"/>
      <c r="B2134" s="746"/>
      <c r="C2134" s="743" t="s">
        <v>2869</v>
      </c>
      <c r="D2134" s="742">
        <v>839214011</v>
      </c>
      <c r="H2134" s="742"/>
      <c r="I2134" s="742"/>
    </row>
    <row r="2135" spans="1:9" x14ac:dyDescent="0.25">
      <c r="A2135" s="745"/>
      <c r="B2135" s="746"/>
      <c r="C2135" s="743" t="s">
        <v>2870</v>
      </c>
      <c r="D2135" s="742">
        <v>849113076</v>
      </c>
      <c r="H2135" s="742"/>
      <c r="I2135" s="742"/>
    </row>
    <row r="2136" spans="1:9" x14ac:dyDescent="0.25">
      <c r="A2136" s="745"/>
      <c r="B2136" s="746"/>
      <c r="C2136" s="743" t="s">
        <v>2871</v>
      </c>
      <c r="D2136" s="742">
        <v>839214003</v>
      </c>
      <c r="H2136" s="742"/>
      <c r="I2136" s="742"/>
    </row>
    <row r="2137" spans="1:9" x14ac:dyDescent="0.25">
      <c r="A2137" s="745"/>
      <c r="B2137" s="746"/>
      <c r="C2137" s="743" t="s">
        <v>2872</v>
      </c>
      <c r="D2137" s="742">
        <v>849113061</v>
      </c>
      <c r="H2137" s="742"/>
      <c r="I2137" s="742"/>
    </row>
    <row r="2138" spans="1:9" x14ac:dyDescent="0.25">
      <c r="A2138" s="745"/>
      <c r="B2138" s="746"/>
      <c r="C2138" s="743" t="s">
        <v>2873</v>
      </c>
      <c r="D2138" s="742">
        <v>849114018</v>
      </c>
      <c r="H2138" s="742"/>
      <c r="I2138" s="742"/>
    </row>
    <row r="2139" spans="1:9" x14ac:dyDescent="0.25">
      <c r="A2139" s="745"/>
      <c r="B2139" s="746"/>
      <c r="C2139" s="743" t="s">
        <v>2874</v>
      </c>
      <c r="D2139" s="742">
        <v>849120014</v>
      </c>
      <c r="H2139" s="742"/>
      <c r="I2139" s="742"/>
    </row>
    <row r="2140" spans="1:9" x14ac:dyDescent="0.25">
      <c r="A2140" s="745"/>
      <c r="B2140" s="746"/>
      <c r="C2140" s="743" t="s">
        <v>2875</v>
      </c>
      <c r="D2140" s="742">
        <v>849114008</v>
      </c>
      <c r="H2140" s="742"/>
      <c r="I2140" s="742"/>
    </row>
    <row r="2141" spans="1:9" x14ac:dyDescent="0.25">
      <c r="A2141" s="745"/>
      <c r="B2141" s="746"/>
      <c r="C2141" s="743" t="s">
        <v>2876</v>
      </c>
      <c r="D2141" s="742">
        <v>849114007</v>
      </c>
      <c r="H2141" s="742"/>
      <c r="I2141" s="742"/>
    </row>
    <row r="2142" spans="1:9" x14ac:dyDescent="0.25">
      <c r="A2142" s="745"/>
      <c r="B2142" s="746"/>
      <c r="C2142" s="743" t="s">
        <v>2877</v>
      </c>
      <c r="D2142" s="742">
        <v>849114040</v>
      </c>
      <c r="H2142" s="742"/>
      <c r="I2142" s="742"/>
    </row>
    <row r="2143" spans="1:9" x14ac:dyDescent="0.25">
      <c r="A2143" s="745"/>
      <c r="B2143" s="746"/>
      <c r="C2143" s="743" t="s">
        <v>2878</v>
      </c>
      <c r="D2143" s="742">
        <v>839114014</v>
      </c>
      <c r="H2143" s="742"/>
      <c r="I2143" s="742"/>
    </row>
    <row r="2144" spans="1:9" x14ac:dyDescent="0.25">
      <c r="A2144" s="745"/>
      <c r="B2144" s="746"/>
      <c r="C2144" s="743" t="s">
        <v>2879</v>
      </c>
      <c r="D2144" s="742">
        <v>849113040</v>
      </c>
      <c r="H2144" s="742"/>
      <c r="I2144" s="742"/>
    </row>
    <row r="2145" spans="1:9" x14ac:dyDescent="0.25">
      <c r="A2145" s="745"/>
      <c r="B2145" s="746"/>
      <c r="C2145" s="743" t="s">
        <v>2880</v>
      </c>
      <c r="D2145" s="742">
        <v>839114013</v>
      </c>
      <c r="H2145" s="742"/>
      <c r="I2145" s="742"/>
    </row>
    <row r="2146" spans="1:9" x14ac:dyDescent="0.25">
      <c r="A2146" s="745"/>
      <c r="B2146" s="746"/>
      <c r="C2146" s="743" t="s">
        <v>2881</v>
      </c>
      <c r="D2146" s="742">
        <v>849214010</v>
      </c>
      <c r="H2146" s="742"/>
      <c r="I2146" s="742"/>
    </row>
    <row r="2147" spans="1:9" x14ac:dyDescent="0.25">
      <c r="A2147" s="745"/>
      <c r="B2147" s="746"/>
      <c r="C2147" s="743" t="s">
        <v>1708</v>
      </c>
      <c r="D2147" s="742">
        <v>849113077</v>
      </c>
      <c r="H2147" s="742"/>
      <c r="I2147" s="742"/>
    </row>
    <row r="2148" spans="1:9" x14ac:dyDescent="0.25">
      <c r="A2148" s="745"/>
      <c r="B2148" s="746"/>
      <c r="C2148" s="743" t="s">
        <v>2882</v>
      </c>
      <c r="D2148" s="742">
        <v>849214014</v>
      </c>
      <c r="H2148" s="742"/>
      <c r="I2148" s="742"/>
    </row>
    <row r="2149" spans="1:9" x14ac:dyDescent="0.25">
      <c r="A2149" s="745"/>
      <c r="B2149" s="746"/>
      <c r="C2149" s="743" t="s">
        <v>2883</v>
      </c>
      <c r="D2149" s="742">
        <v>849214011</v>
      </c>
      <c r="H2149" s="742"/>
      <c r="I2149" s="742"/>
    </row>
    <row r="2150" spans="1:9" x14ac:dyDescent="0.25">
      <c r="A2150" s="745"/>
      <c r="B2150" s="746"/>
      <c r="C2150" s="743" t="s">
        <v>2509</v>
      </c>
      <c r="D2150" s="742">
        <v>849114006</v>
      </c>
      <c r="H2150" s="742"/>
      <c r="I2150" s="742"/>
    </row>
    <row r="2151" spans="1:9" x14ac:dyDescent="0.25">
      <c r="A2151" s="745"/>
      <c r="B2151" s="746"/>
      <c r="C2151" s="743" t="s">
        <v>2884</v>
      </c>
      <c r="D2151" s="742">
        <v>849114012</v>
      </c>
      <c r="H2151" s="742"/>
      <c r="I2151" s="742"/>
    </row>
    <row r="2152" spans="1:9" x14ac:dyDescent="0.25">
      <c r="A2152" s="745"/>
      <c r="B2152" s="746"/>
      <c r="C2152" s="743" t="s">
        <v>2885</v>
      </c>
      <c r="D2152" s="742">
        <v>849114031</v>
      </c>
      <c r="H2152" s="742"/>
      <c r="I2152" s="742"/>
    </row>
    <row r="2153" spans="1:9" x14ac:dyDescent="0.25">
      <c r="A2153" s="745"/>
      <c r="B2153" s="746"/>
      <c r="C2153" s="743" t="s">
        <v>2886</v>
      </c>
      <c r="D2153" s="742">
        <v>839131012</v>
      </c>
      <c r="H2153" s="742"/>
      <c r="I2153" s="742"/>
    </row>
    <row r="2154" spans="1:9" x14ac:dyDescent="0.25">
      <c r="A2154" s="745"/>
      <c r="B2154" s="746"/>
      <c r="C2154" s="743" t="s">
        <v>2887</v>
      </c>
      <c r="D2154" s="742">
        <v>839215005</v>
      </c>
      <c r="H2154" s="742"/>
      <c r="I2154" s="742"/>
    </row>
    <row r="2155" spans="1:9" x14ac:dyDescent="0.25">
      <c r="A2155" s="745"/>
      <c r="B2155" s="746"/>
      <c r="C2155" s="743" t="s">
        <v>2888</v>
      </c>
      <c r="D2155" s="742">
        <v>839134010</v>
      </c>
      <c r="H2155" s="742"/>
      <c r="I2155" s="742"/>
    </row>
    <row r="2156" spans="1:9" x14ac:dyDescent="0.25">
      <c r="A2156" s="745"/>
      <c r="B2156" s="746"/>
      <c r="C2156" s="743" t="s">
        <v>2889</v>
      </c>
      <c r="D2156" s="742">
        <v>839111024</v>
      </c>
      <c r="H2156" s="742"/>
      <c r="I2156" s="742"/>
    </row>
    <row r="2157" spans="1:9" x14ac:dyDescent="0.25">
      <c r="A2157" s="745"/>
      <c r="B2157" s="746"/>
      <c r="C2157" s="743" t="s">
        <v>2890</v>
      </c>
      <c r="D2157" s="742">
        <v>839120006</v>
      </c>
      <c r="H2157" s="742"/>
      <c r="I2157" s="742"/>
    </row>
    <row r="2158" spans="1:9" x14ac:dyDescent="0.25">
      <c r="A2158" s="745"/>
      <c r="B2158" s="746"/>
      <c r="C2158" s="743" t="s">
        <v>2891</v>
      </c>
      <c r="D2158" s="742">
        <v>839215007</v>
      </c>
      <c r="H2158" s="742"/>
      <c r="I2158" s="742"/>
    </row>
    <row r="2159" spans="1:9" x14ac:dyDescent="0.25">
      <c r="A2159" s="745"/>
      <c r="B2159" s="746"/>
      <c r="C2159" s="743" t="s">
        <v>2892</v>
      </c>
      <c r="D2159" s="742">
        <v>839115004</v>
      </c>
      <c r="H2159" s="742"/>
      <c r="I2159" s="742"/>
    </row>
    <row r="2160" spans="1:9" x14ac:dyDescent="0.25">
      <c r="A2160" s="745"/>
      <c r="B2160" s="746"/>
      <c r="C2160" s="743" t="s">
        <v>2893</v>
      </c>
      <c r="D2160" s="742">
        <v>839215013</v>
      </c>
      <c r="H2160" s="742"/>
      <c r="I2160" s="742"/>
    </row>
    <row r="2161" spans="1:9" x14ac:dyDescent="0.25">
      <c r="A2161" s="745"/>
      <c r="B2161" s="746"/>
      <c r="C2161" s="743" t="s">
        <v>2894</v>
      </c>
      <c r="D2161" s="742">
        <v>839214010</v>
      </c>
      <c r="H2161" s="742"/>
      <c r="I2161" s="742"/>
    </row>
    <row r="2162" spans="1:9" x14ac:dyDescent="0.25">
      <c r="A2162" s="745"/>
      <c r="B2162" s="746"/>
      <c r="C2162" s="743" t="s">
        <v>2895</v>
      </c>
      <c r="D2162" s="742">
        <v>839214002</v>
      </c>
      <c r="H2162" s="742"/>
      <c r="I2162" s="742"/>
    </row>
    <row r="2163" spans="1:9" x14ac:dyDescent="0.25">
      <c r="A2163" s="745"/>
      <c r="B2163" s="746"/>
      <c r="C2163" s="743" t="s">
        <v>2896</v>
      </c>
      <c r="D2163" s="742">
        <v>839214006</v>
      </c>
      <c r="H2163" s="742"/>
      <c r="I2163" s="742"/>
    </row>
    <row r="2164" spans="1:9" x14ac:dyDescent="0.25">
      <c r="A2164" s="745"/>
      <c r="B2164" s="746"/>
      <c r="C2164" s="743" t="s">
        <v>2009</v>
      </c>
      <c r="D2164" s="742">
        <v>849112015</v>
      </c>
      <c r="H2164" s="742"/>
      <c r="I2164" s="742"/>
    </row>
    <row r="2165" spans="1:9" x14ac:dyDescent="0.25">
      <c r="A2165" s="745"/>
      <c r="B2165" s="746"/>
      <c r="C2165" s="743" t="s">
        <v>2897</v>
      </c>
      <c r="D2165" s="742">
        <v>849110269</v>
      </c>
      <c r="H2165" s="742"/>
      <c r="I2165" s="742"/>
    </row>
    <row r="2166" spans="1:9" x14ac:dyDescent="0.25">
      <c r="A2166" s="745"/>
      <c r="B2166" s="746"/>
      <c r="C2166" s="743" t="s">
        <v>2898</v>
      </c>
      <c r="D2166" s="742">
        <v>849114015</v>
      </c>
      <c r="H2166" s="742"/>
      <c r="I2166" s="742"/>
    </row>
    <row r="2167" spans="1:9" x14ac:dyDescent="0.25">
      <c r="C2167" s="743" t="s">
        <v>2899</v>
      </c>
      <c r="D2167" s="742">
        <v>849114039</v>
      </c>
      <c r="H2167" s="742"/>
      <c r="I2167" s="742"/>
    </row>
    <row r="2168" spans="1:9" x14ac:dyDescent="0.25">
      <c r="C2168" s="743" t="s">
        <v>2900</v>
      </c>
      <c r="D2168" s="742">
        <v>849214012</v>
      </c>
      <c r="H2168" s="742"/>
      <c r="I2168" s="742"/>
    </row>
    <row r="2169" spans="1:9" x14ac:dyDescent="0.25">
      <c r="C2169" s="743" t="s">
        <v>2901</v>
      </c>
      <c r="D2169" s="742">
        <v>849214013</v>
      </c>
      <c r="H2169" s="742"/>
      <c r="I2169" s="742"/>
    </row>
    <row r="2170" spans="1:9" x14ac:dyDescent="0.25">
      <c r="C2170" s="743" t="s">
        <v>2902</v>
      </c>
      <c r="D2170" s="742">
        <v>849114002</v>
      </c>
      <c r="H2170" s="742"/>
      <c r="I2170" s="742"/>
    </row>
    <row r="2171" spans="1:9" x14ac:dyDescent="0.25">
      <c r="C2171" s="743" t="s">
        <v>2903</v>
      </c>
      <c r="D2171" s="742">
        <v>849120077</v>
      </c>
      <c r="H2171" s="742"/>
      <c r="I2171" s="742"/>
    </row>
    <row r="2172" spans="1:9" x14ac:dyDescent="0.25">
      <c r="C2172" s="743" t="s">
        <v>2904</v>
      </c>
      <c r="D2172" s="742">
        <v>849113092</v>
      </c>
      <c r="H2172" s="742"/>
      <c r="I2172" s="742"/>
    </row>
    <row r="2173" spans="1:9" x14ac:dyDescent="0.25">
      <c r="C2173" s="743" t="s">
        <v>2905</v>
      </c>
      <c r="D2173" s="742">
        <v>849214008</v>
      </c>
      <c r="H2173" s="742"/>
      <c r="I2173" s="742"/>
    </row>
    <row r="2174" spans="1:9" x14ac:dyDescent="0.25">
      <c r="C2174" s="743" t="s">
        <v>2906</v>
      </c>
      <c r="D2174" s="742">
        <v>849113019</v>
      </c>
      <c r="H2174" s="742"/>
      <c r="I2174" s="742"/>
    </row>
    <row r="2175" spans="1:9" x14ac:dyDescent="0.25">
      <c r="C2175" s="743" t="s">
        <v>2907</v>
      </c>
      <c r="D2175" s="742">
        <v>849120001</v>
      </c>
      <c r="H2175" s="742"/>
      <c r="I2175" s="742"/>
    </row>
    <row r="2176" spans="1:9" x14ac:dyDescent="0.25">
      <c r="C2176" s="743" t="s">
        <v>2908</v>
      </c>
      <c r="D2176" s="742">
        <v>839115010</v>
      </c>
      <c r="H2176" s="742"/>
      <c r="I2176" s="742"/>
    </row>
    <row r="2177" spans="3:9" x14ac:dyDescent="0.25">
      <c r="C2177" s="743" t="s">
        <v>2909</v>
      </c>
      <c r="D2177" s="742">
        <v>849213009</v>
      </c>
      <c r="H2177" s="742"/>
      <c r="I2177" s="742"/>
    </row>
    <row r="2178" spans="3:9" x14ac:dyDescent="0.25">
      <c r="C2178" s="743" t="s">
        <v>2910</v>
      </c>
      <c r="D2178" s="742">
        <v>839215004</v>
      </c>
      <c r="H2178" s="742"/>
      <c r="I2178" s="742"/>
    </row>
    <row r="2179" spans="3:9" x14ac:dyDescent="0.25">
      <c r="C2179" s="743" t="s">
        <v>2911</v>
      </c>
      <c r="D2179" s="742">
        <v>839115001</v>
      </c>
      <c r="H2179" s="742"/>
      <c r="I2179" s="742"/>
    </row>
    <row r="2180" spans="3:9" x14ac:dyDescent="0.25">
      <c r="C2180" s="743" t="s">
        <v>2912</v>
      </c>
      <c r="D2180" s="742">
        <v>839115012</v>
      </c>
      <c r="H2180" s="742"/>
      <c r="I2180" s="742"/>
    </row>
    <row r="2181" spans="3:9" x14ac:dyDescent="0.25">
      <c r="C2181" s="743" t="s">
        <v>2913</v>
      </c>
      <c r="D2181" s="742">
        <v>849315015</v>
      </c>
      <c r="H2181" s="742"/>
      <c r="I2181" s="742"/>
    </row>
    <row r="2182" spans="3:9" x14ac:dyDescent="0.25">
      <c r="C2182" s="743" t="s">
        <v>2914</v>
      </c>
      <c r="D2182" s="742">
        <v>849315007</v>
      </c>
      <c r="H2182" s="742"/>
      <c r="I2182" s="742"/>
    </row>
    <row r="2183" spans="3:9" x14ac:dyDescent="0.25">
      <c r="C2183" s="743" t="s">
        <v>2915</v>
      </c>
      <c r="D2183" s="742">
        <v>839115005</v>
      </c>
      <c r="H2183" s="742"/>
      <c r="I2183" s="742"/>
    </row>
    <row r="2184" spans="3:9" x14ac:dyDescent="0.25">
      <c r="C2184" s="743" t="s">
        <v>2916</v>
      </c>
      <c r="D2184" s="742">
        <v>839134009</v>
      </c>
      <c r="H2184" s="742"/>
      <c r="I2184" s="742"/>
    </row>
    <row r="2185" spans="3:9" x14ac:dyDescent="0.25">
      <c r="C2185" s="743" t="s">
        <v>2917</v>
      </c>
      <c r="D2185" s="742">
        <v>839215001</v>
      </c>
      <c r="H2185" s="742"/>
      <c r="I2185" s="742"/>
    </row>
    <row r="2186" spans="3:9" x14ac:dyDescent="0.25">
      <c r="C2186" s="743" t="s">
        <v>2918</v>
      </c>
      <c r="D2186" s="742">
        <v>839115008</v>
      </c>
      <c r="H2186" s="742"/>
      <c r="I2186" s="742"/>
    </row>
    <row r="2187" spans="3:9" x14ac:dyDescent="0.25">
      <c r="C2187" s="743" t="s">
        <v>2919</v>
      </c>
      <c r="D2187" s="742">
        <v>839134016</v>
      </c>
      <c r="H2187" s="742"/>
      <c r="I2187" s="742"/>
    </row>
    <row r="2188" spans="3:9" x14ac:dyDescent="0.25">
      <c r="C2188" s="743" t="s">
        <v>2920</v>
      </c>
      <c r="D2188" s="742">
        <v>849120039</v>
      </c>
      <c r="H2188" s="742"/>
      <c r="I2188" s="742"/>
    </row>
    <row r="2189" spans="3:9" x14ac:dyDescent="0.25">
      <c r="C2189" s="743" t="s">
        <v>2921</v>
      </c>
      <c r="D2189" s="742">
        <v>849415004</v>
      </c>
      <c r="H2189" s="742"/>
      <c r="I2189" s="742"/>
    </row>
    <row r="2190" spans="3:9" x14ac:dyDescent="0.25">
      <c r="C2190" s="743" t="s">
        <v>2922</v>
      </c>
      <c r="D2190" s="742">
        <v>849115017</v>
      </c>
      <c r="H2190" s="742"/>
      <c r="I2190" s="742"/>
    </row>
    <row r="2191" spans="3:9" x14ac:dyDescent="0.25">
      <c r="C2191" s="743" t="s">
        <v>2923</v>
      </c>
      <c r="D2191" s="742">
        <v>849114032</v>
      </c>
      <c r="H2191" s="742"/>
      <c r="I2191" s="742"/>
    </row>
    <row r="2192" spans="3:9" x14ac:dyDescent="0.25">
      <c r="C2192" s="743" t="s">
        <v>2924</v>
      </c>
      <c r="D2192" s="742">
        <v>839215006</v>
      </c>
      <c r="H2192" s="742"/>
      <c r="I2192" s="742"/>
    </row>
    <row r="2193" spans="3:9" x14ac:dyDescent="0.25">
      <c r="C2193" s="743" t="s">
        <v>1708</v>
      </c>
      <c r="D2193" s="742">
        <v>849315021</v>
      </c>
      <c r="H2193" s="742"/>
      <c r="I2193" s="742"/>
    </row>
    <row r="2194" spans="3:9" x14ac:dyDescent="0.25">
      <c r="C2194" s="743" t="s">
        <v>2925</v>
      </c>
      <c r="D2194" s="742">
        <v>849315024</v>
      </c>
      <c r="H2194" s="742"/>
      <c r="I2194" s="742"/>
    </row>
    <row r="2195" spans="3:9" x14ac:dyDescent="0.25">
      <c r="C2195" s="743" t="s">
        <v>2926</v>
      </c>
      <c r="D2195" s="742">
        <v>849213007</v>
      </c>
      <c r="H2195" s="742"/>
      <c r="I2195" s="742"/>
    </row>
    <row r="2196" spans="3:9" x14ac:dyDescent="0.25">
      <c r="C2196" s="743" t="s">
        <v>2927</v>
      </c>
      <c r="D2196" s="742">
        <v>849214005</v>
      </c>
      <c r="H2196" s="742"/>
      <c r="I2196" s="742"/>
    </row>
    <row r="2197" spans="3:9" x14ac:dyDescent="0.25">
      <c r="C2197" s="743" t="s">
        <v>2928</v>
      </c>
      <c r="D2197" s="742">
        <v>849315003</v>
      </c>
      <c r="H2197" s="742"/>
      <c r="I2197" s="742"/>
    </row>
    <row r="2198" spans="3:9" x14ac:dyDescent="0.25">
      <c r="C2198" s="743" t="s">
        <v>2929</v>
      </c>
      <c r="D2198" s="742">
        <v>849315020</v>
      </c>
      <c r="H2198" s="742"/>
      <c r="I2198" s="742"/>
    </row>
    <row r="2199" spans="3:9" x14ac:dyDescent="0.25">
      <c r="C2199" s="743" t="s">
        <v>2930</v>
      </c>
      <c r="D2199" s="742">
        <v>849115003</v>
      </c>
      <c r="H2199" s="742"/>
      <c r="I2199" s="742"/>
    </row>
    <row r="2200" spans="3:9" x14ac:dyDescent="0.25">
      <c r="C2200" s="747"/>
      <c r="D2200" s="33"/>
      <c r="H2200" s="124"/>
      <c r="I2200" s="124"/>
    </row>
    <row r="2201" spans="3:9" x14ac:dyDescent="0.25">
      <c r="C2201" s="747"/>
      <c r="D2201" s="748">
        <v>839115006</v>
      </c>
      <c r="H2201" s="124"/>
      <c r="I2201" s="124"/>
    </row>
    <row r="2202" spans="3:9" x14ac:dyDescent="0.25">
      <c r="C2202" s="747"/>
      <c r="D2202" s="748">
        <v>839116002</v>
      </c>
      <c r="H2202" s="124"/>
      <c r="I2202" s="124"/>
    </row>
    <row r="2203" spans="3:9" x14ac:dyDescent="0.25">
      <c r="C2203" s="747"/>
      <c r="D2203" s="748">
        <v>839214001</v>
      </c>
      <c r="H2203" s="124"/>
      <c r="I2203" s="124"/>
    </row>
    <row r="2204" spans="3:9" x14ac:dyDescent="0.25">
      <c r="C2204" s="747"/>
      <c r="D2204" s="748">
        <v>839214012</v>
      </c>
      <c r="H2204" s="124"/>
      <c r="I2204" s="124"/>
    </row>
    <row r="2205" spans="3:9" x14ac:dyDescent="0.25">
      <c r="C2205" s="747"/>
      <c r="D2205" s="748">
        <v>839215009</v>
      </c>
      <c r="H2205" s="124"/>
      <c r="I2205" s="124"/>
    </row>
    <row r="2206" spans="3:9" x14ac:dyDescent="0.25">
      <c r="C2206" s="747"/>
      <c r="D2206" s="749">
        <v>839216013</v>
      </c>
      <c r="H2206" s="124"/>
      <c r="I2206" s="124"/>
    </row>
    <row r="2207" spans="3:9" x14ac:dyDescent="0.25">
      <c r="C2207" s="747"/>
      <c r="D2207" s="749">
        <v>839216016</v>
      </c>
      <c r="H2207" s="124"/>
      <c r="I2207" s="124"/>
    </row>
    <row r="2208" spans="3:9" x14ac:dyDescent="0.25">
      <c r="C2208" s="747"/>
      <c r="D2208" s="749">
        <v>849116001</v>
      </c>
      <c r="H2208" s="124"/>
      <c r="I2208" s="124"/>
    </row>
    <row r="2209" spans="3:9" x14ac:dyDescent="0.25">
      <c r="C2209" s="747"/>
      <c r="D2209" s="749">
        <v>849116021</v>
      </c>
      <c r="H2209" s="124"/>
      <c r="I2209" s="124"/>
    </row>
    <row r="2210" spans="3:9" x14ac:dyDescent="0.25">
      <c r="C2210" s="747"/>
      <c r="D2210" s="749">
        <v>849216002</v>
      </c>
      <c r="H2210" s="124"/>
      <c r="I2210" s="124"/>
    </row>
    <row r="2211" spans="3:9" x14ac:dyDescent="0.25">
      <c r="C2211" s="747"/>
      <c r="D2211" s="749">
        <v>849216003</v>
      </c>
      <c r="H2211" s="124"/>
      <c r="I2211" s="124"/>
    </row>
    <row r="2212" spans="3:9" x14ac:dyDescent="0.25">
      <c r="C2212" s="747"/>
      <c r="D2212" s="749">
        <v>849216006</v>
      </c>
      <c r="H2212" s="124"/>
      <c r="I2212" s="124"/>
    </row>
    <row r="2213" spans="3:9" x14ac:dyDescent="0.25">
      <c r="C2213" s="747"/>
      <c r="D2213" s="749">
        <v>849315025</v>
      </c>
      <c r="H2213" s="124"/>
      <c r="I2213" s="124"/>
    </row>
    <row r="2214" spans="3:9" x14ac:dyDescent="0.25">
      <c r="C2214" s="747"/>
      <c r="D2214" s="749">
        <v>849316001</v>
      </c>
      <c r="H2214" s="124"/>
      <c r="I2214" s="124"/>
    </row>
    <row r="2215" spans="3:9" x14ac:dyDescent="0.25">
      <c r="C2215" s="747"/>
      <c r="D2215" s="749">
        <v>849316014</v>
      </c>
      <c r="H2215" s="124"/>
      <c r="I2215" s="124"/>
    </row>
    <row r="2216" spans="3:9" x14ac:dyDescent="0.25">
      <c r="C2216" s="747"/>
      <c r="D2216" s="749">
        <v>849316047</v>
      </c>
      <c r="H2216" s="124"/>
      <c r="I2216" s="124"/>
    </row>
    <row r="2217" spans="3:9" x14ac:dyDescent="0.25">
      <c r="C2217" s="747"/>
      <c r="D2217" s="749"/>
      <c r="H2217" s="124"/>
      <c r="I2217" s="124"/>
    </row>
    <row r="2218" spans="3:9" x14ac:dyDescent="0.25">
      <c r="C2218" s="747"/>
      <c r="D2218" s="749">
        <v>829116001</v>
      </c>
      <c r="H2218" s="124"/>
      <c r="I2218" s="124"/>
    </row>
    <row r="2219" spans="3:9" x14ac:dyDescent="0.25">
      <c r="C2219" s="747"/>
      <c r="D2219" s="749">
        <v>839134012</v>
      </c>
      <c r="H2219" s="124"/>
      <c r="I2219" s="124"/>
    </row>
    <row r="2220" spans="3:9" x14ac:dyDescent="0.25">
      <c r="C2220" s="747"/>
      <c r="D2220" s="749">
        <v>839216019</v>
      </c>
      <c r="H2220" s="124"/>
      <c r="I2220" s="124"/>
    </row>
    <row r="2221" spans="3:9" x14ac:dyDescent="0.25">
      <c r="C2221" s="747"/>
      <c r="D2221" s="749">
        <v>839217027</v>
      </c>
      <c r="H2221" s="124"/>
      <c r="I2221" s="124"/>
    </row>
    <row r="2222" spans="3:9" x14ac:dyDescent="0.25">
      <c r="C2222" s="747"/>
      <c r="D2222" s="749">
        <v>841915009</v>
      </c>
      <c r="H2222" s="124"/>
      <c r="I2222" s="124"/>
    </row>
    <row r="2223" spans="3:9" x14ac:dyDescent="0.25">
      <c r="C2223" s="747"/>
      <c r="D2223" s="749">
        <v>841915031</v>
      </c>
      <c r="H2223" s="124"/>
      <c r="I2223" s="124"/>
    </row>
    <row r="2224" spans="3:9" x14ac:dyDescent="0.25">
      <c r="C2224" s="747"/>
      <c r="D2224" s="749">
        <v>841915035</v>
      </c>
      <c r="H2224" s="124"/>
      <c r="I2224" s="124"/>
    </row>
    <row r="2225" spans="3:9" x14ac:dyDescent="0.25">
      <c r="C2225" s="747"/>
      <c r="D2225" s="749">
        <v>849113008</v>
      </c>
      <c r="H2225" s="124"/>
      <c r="I2225" s="124"/>
    </row>
    <row r="2226" spans="3:9" x14ac:dyDescent="0.25">
      <c r="C2226" s="747"/>
      <c r="D2226" s="749">
        <v>849113069</v>
      </c>
      <c r="H2226" s="124"/>
      <c r="I2226" s="124"/>
    </row>
    <row r="2227" spans="3:9" x14ac:dyDescent="0.25">
      <c r="C2227" s="747"/>
      <c r="D2227" s="749">
        <v>849114022</v>
      </c>
      <c r="H2227" s="124"/>
      <c r="I2227" s="124"/>
    </row>
    <row r="2228" spans="3:9" x14ac:dyDescent="0.25">
      <c r="C2228" s="747"/>
      <c r="D2228" s="749">
        <v>849114025</v>
      </c>
      <c r="H2228" s="124"/>
      <c r="I2228" s="124"/>
    </row>
    <row r="2229" spans="3:9" x14ac:dyDescent="0.25">
      <c r="C2229" s="747"/>
      <c r="D2229" s="749">
        <v>849115001</v>
      </c>
      <c r="H2229" s="124"/>
      <c r="I2229" s="124"/>
    </row>
    <row r="2230" spans="3:9" x14ac:dyDescent="0.25">
      <c r="C2230" s="747"/>
      <c r="D2230" s="749">
        <v>849115014</v>
      </c>
      <c r="H2230" s="124"/>
      <c r="I2230" s="124"/>
    </row>
    <row r="2231" spans="3:9" x14ac:dyDescent="0.25">
      <c r="C2231" s="747"/>
      <c r="D2231" s="749">
        <v>849115015</v>
      </c>
      <c r="H2231" s="124"/>
      <c r="I2231" s="124"/>
    </row>
    <row r="2232" spans="3:9" x14ac:dyDescent="0.25">
      <c r="C2232" s="747"/>
      <c r="D2232" s="749">
        <v>849116006</v>
      </c>
      <c r="H2232" s="124"/>
      <c r="I2232" s="124"/>
    </row>
    <row r="2233" spans="3:9" x14ac:dyDescent="0.25">
      <c r="C2233" s="747"/>
      <c r="D2233" s="749">
        <v>849116016</v>
      </c>
      <c r="H2233" s="124"/>
      <c r="I2233" s="124"/>
    </row>
    <row r="2234" spans="3:9" x14ac:dyDescent="0.25">
      <c r="C2234" s="747"/>
      <c r="D2234" s="749">
        <v>849116019</v>
      </c>
      <c r="H2234" s="124"/>
      <c r="I2234" s="124"/>
    </row>
    <row r="2235" spans="3:9" x14ac:dyDescent="0.25">
      <c r="C2235" s="747"/>
      <c r="D2235" s="749">
        <v>849116020</v>
      </c>
      <c r="H2235" s="124"/>
      <c r="I2235" s="124"/>
    </row>
    <row r="2236" spans="3:9" x14ac:dyDescent="0.25">
      <c r="C2236" s="747"/>
      <c r="D2236" s="749">
        <v>849116024</v>
      </c>
      <c r="H2236" s="124"/>
      <c r="I2236" s="124"/>
    </row>
    <row r="2237" spans="3:9" x14ac:dyDescent="0.25">
      <c r="C2237" s="747"/>
      <c r="D2237" s="749">
        <v>849116033</v>
      </c>
      <c r="H2237" s="124"/>
      <c r="I2237" s="124"/>
    </row>
    <row r="2238" spans="3:9" x14ac:dyDescent="0.25">
      <c r="C2238" s="747"/>
      <c r="D2238" s="749">
        <v>849116034</v>
      </c>
      <c r="H2238" s="124"/>
      <c r="I2238" s="124"/>
    </row>
    <row r="2239" spans="3:9" x14ac:dyDescent="0.25">
      <c r="C2239" s="747"/>
      <c r="D2239" s="749">
        <v>849216001</v>
      </c>
      <c r="H2239" s="124"/>
      <c r="I2239" s="124"/>
    </row>
    <row r="2240" spans="3:9" x14ac:dyDescent="0.25">
      <c r="C2240" s="747"/>
      <c r="D2240" s="749">
        <v>849216010</v>
      </c>
      <c r="H2240" s="124"/>
      <c r="I2240" s="124"/>
    </row>
    <row r="2241" spans="3:9" x14ac:dyDescent="0.25">
      <c r="C2241" s="747"/>
      <c r="D2241" s="749">
        <v>849216012</v>
      </c>
      <c r="H2241" s="124"/>
      <c r="I2241" s="124"/>
    </row>
    <row r="2242" spans="3:9" x14ac:dyDescent="0.25">
      <c r="C2242" s="747"/>
      <c r="D2242" s="749">
        <v>849315009</v>
      </c>
      <c r="H2242" s="124"/>
      <c r="I2242" s="124"/>
    </row>
    <row r="2243" spans="3:9" x14ac:dyDescent="0.25">
      <c r="C2243" s="747"/>
      <c r="D2243" s="749">
        <v>849316008</v>
      </c>
      <c r="H2243" s="124"/>
      <c r="I2243" s="124"/>
    </row>
    <row r="2244" spans="3:9" x14ac:dyDescent="0.25">
      <c r="C2244" s="747"/>
      <c r="D2244" s="749">
        <v>849316013</v>
      </c>
      <c r="H2244" s="124"/>
      <c r="I2244" s="124"/>
    </row>
    <row r="2245" spans="3:9" x14ac:dyDescent="0.25">
      <c r="C2245" s="747"/>
      <c r="D2245" s="749">
        <v>849316022</v>
      </c>
      <c r="H2245" s="124"/>
      <c r="I2245" s="124"/>
    </row>
    <row r="2246" spans="3:9" x14ac:dyDescent="0.25">
      <c r="C2246" s="747"/>
      <c r="D2246" s="749">
        <v>849316032</v>
      </c>
      <c r="H2246" s="124"/>
      <c r="I2246" s="124"/>
    </row>
    <row r="2247" spans="3:9" x14ac:dyDescent="0.25">
      <c r="C2247" s="747"/>
      <c r="D2247" s="749">
        <v>849317023</v>
      </c>
      <c r="H2247" s="124"/>
      <c r="I2247" s="124"/>
    </row>
    <row r="2248" spans="3:9" x14ac:dyDescent="0.25">
      <c r="C2248" s="747"/>
      <c r="D2248" s="749">
        <v>849317041</v>
      </c>
      <c r="H2248" s="124"/>
      <c r="I2248" s="124"/>
    </row>
    <row r="2249" spans="3:9" x14ac:dyDescent="0.25">
      <c r="C2249" s="747"/>
      <c r="D2249" s="749">
        <v>849415002</v>
      </c>
      <c r="H2249" s="124"/>
      <c r="I2249" s="124"/>
    </row>
    <row r="2250" spans="3:9" x14ac:dyDescent="0.25">
      <c r="C2250" s="747"/>
      <c r="D2250" s="749">
        <v>849416004</v>
      </c>
      <c r="H2250" s="124"/>
      <c r="I2250" s="124"/>
    </row>
    <row r="2251" spans="3:9" x14ac:dyDescent="0.25">
      <c r="C2251" s="747"/>
      <c r="D2251" s="749"/>
      <c r="H2251" s="124"/>
      <c r="I2251" s="124"/>
    </row>
    <row r="2252" spans="3:9" x14ac:dyDescent="0.25">
      <c r="C2252" s="747"/>
      <c r="D2252" s="749">
        <v>839130002</v>
      </c>
      <c r="H2252" s="124"/>
      <c r="I2252" s="124"/>
    </row>
    <row r="2253" spans="3:9" x14ac:dyDescent="0.25">
      <c r="C2253" s="747"/>
      <c r="D2253" s="749">
        <v>839114006</v>
      </c>
      <c r="H2253" s="124"/>
      <c r="I2253" s="124"/>
    </row>
    <row r="2254" spans="3:9" x14ac:dyDescent="0.25">
      <c r="C2254" s="747"/>
      <c r="D2254" s="749">
        <v>839114008</v>
      </c>
      <c r="H2254" s="124"/>
      <c r="I2254" s="124"/>
    </row>
    <row r="2255" spans="3:9" x14ac:dyDescent="0.25">
      <c r="C2255" s="747"/>
      <c r="D2255" s="749">
        <v>839116017</v>
      </c>
      <c r="H2255" s="124"/>
      <c r="I2255" s="124"/>
    </row>
    <row r="2256" spans="3:9" x14ac:dyDescent="0.25">
      <c r="C2256" s="747"/>
      <c r="D2256" s="749">
        <v>839116018</v>
      </c>
      <c r="H2256" s="124"/>
      <c r="I2256" s="124"/>
    </row>
    <row r="2257" spans="3:9" x14ac:dyDescent="0.25">
      <c r="C2257" s="747"/>
      <c r="D2257" s="749">
        <v>839216001</v>
      </c>
      <c r="H2257" s="124"/>
      <c r="I2257" s="124"/>
    </row>
    <row r="2258" spans="3:9" x14ac:dyDescent="0.25">
      <c r="C2258" s="747"/>
      <c r="D2258" s="749">
        <v>839216003</v>
      </c>
      <c r="H2258" s="124"/>
      <c r="I2258" s="124"/>
    </row>
    <row r="2259" spans="3:9" x14ac:dyDescent="0.25">
      <c r="C2259" s="747"/>
      <c r="D2259" s="749">
        <v>839216015</v>
      </c>
      <c r="H2259" s="124"/>
      <c r="I2259" s="124"/>
    </row>
    <row r="2260" spans="3:9" x14ac:dyDescent="0.25">
      <c r="C2260" s="747"/>
      <c r="D2260" s="749">
        <v>839216017</v>
      </c>
      <c r="H2260" s="124"/>
      <c r="I2260" s="124"/>
    </row>
    <row r="2261" spans="3:9" x14ac:dyDescent="0.25">
      <c r="C2261" s="747"/>
      <c r="D2261" s="749">
        <v>839216025</v>
      </c>
      <c r="H2261" s="124"/>
      <c r="I2261" s="124"/>
    </row>
    <row r="2262" spans="3:9" x14ac:dyDescent="0.25">
      <c r="C2262" s="747"/>
      <c r="D2262" s="749">
        <v>849114003</v>
      </c>
      <c r="H2262" s="124"/>
      <c r="I2262" s="124"/>
    </row>
    <row r="2263" spans="3:9" x14ac:dyDescent="0.25">
      <c r="C2263" s="747"/>
      <c r="D2263" s="749">
        <v>849114005</v>
      </c>
      <c r="H2263" s="124"/>
      <c r="I2263" s="124"/>
    </row>
    <row r="2264" spans="3:9" x14ac:dyDescent="0.25">
      <c r="C2264" s="747"/>
      <c r="D2264" s="749">
        <v>849114013</v>
      </c>
      <c r="H2264" s="124"/>
      <c r="I2264" s="124"/>
    </row>
    <row r="2265" spans="3:9" x14ac:dyDescent="0.25">
      <c r="C2265" s="747"/>
      <c r="D2265" s="749">
        <v>849114035</v>
      </c>
      <c r="H2265" s="124"/>
      <c r="I2265" s="124"/>
    </row>
    <row r="2266" spans="3:9" x14ac:dyDescent="0.25">
      <c r="C2266" s="747"/>
      <c r="D2266" s="749">
        <v>849114041</v>
      </c>
      <c r="H2266" s="124"/>
      <c r="I2266" s="124"/>
    </row>
    <row r="2267" spans="3:9" x14ac:dyDescent="0.25">
      <c r="C2267" s="747"/>
      <c r="D2267" s="749">
        <v>849115007</v>
      </c>
      <c r="H2267" s="124"/>
      <c r="I2267" s="124"/>
    </row>
    <row r="2268" spans="3:9" x14ac:dyDescent="0.25">
      <c r="C2268" s="747"/>
      <c r="D2268" s="749">
        <v>849115008</v>
      </c>
      <c r="H2268" s="124"/>
      <c r="I2268" s="124"/>
    </row>
    <row r="2269" spans="3:9" x14ac:dyDescent="0.25">
      <c r="C2269" s="747"/>
      <c r="D2269" s="749">
        <v>849115021</v>
      </c>
      <c r="H2269" s="124"/>
      <c r="I2269" s="124"/>
    </row>
    <row r="2270" spans="3:9" x14ac:dyDescent="0.25">
      <c r="C2270" s="747"/>
      <c r="D2270" s="749">
        <v>849115024</v>
      </c>
      <c r="H2270" s="124"/>
      <c r="I2270" s="124"/>
    </row>
    <row r="2271" spans="3:9" x14ac:dyDescent="0.25">
      <c r="C2271" s="747"/>
      <c r="D2271" s="749">
        <v>849116002</v>
      </c>
      <c r="H2271" s="124"/>
      <c r="I2271" s="124"/>
    </row>
    <row r="2272" spans="3:9" x14ac:dyDescent="0.25">
      <c r="C2272" s="747"/>
      <c r="D2272" s="749">
        <v>849116004</v>
      </c>
      <c r="H2272" s="124"/>
      <c r="I2272" s="124"/>
    </row>
    <row r="2273" spans="3:9" x14ac:dyDescent="0.25">
      <c r="C2273" s="747"/>
      <c r="D2273" s="749">
        <v>849116008</v>
      </c>
      <c r="H2273" s="124"/>
      <c r="I2273" s="124"/>
    </row>
    <row r="2274" spans="3:9" x14ac:dyDescent="0.25">
      <c r="C2274" s="747"/>
      <c r="D2274" s="749">
        <v>849213002</v>
      </c>
      <c r="H2274" s="124"/>
      <c r="I2274" s="124"/>
    </row>
    <row r="2275" spans="3:9" x14ac:dyDescent="0.25">
      <c r="C2275" s="747"/>
      <c r="D2275" s="749">
        <v>849213006</v>
      </c>
      <c r="H2275" s="124"/>
      <c r="I2275" s="124"/>
    </row>
    <row r="2276" spans="3:9" x14ac:dyDescent="0.25">
      <c r="C2276" s="747"/>
      <c r="D2276" s="749">
        <v>849214006</v>
      </c>
      <c r="H2276" s="124"/>
      <c r="I2276" s="124"/>
    </row>
    <row r="2277" spans="3:9" x14ac:dyDescent="0.25">
      <c r="C2277" s="747"/>
      <c r="D2277" s="749">
        <v>849215003</v>
      </c>
      <c r="H2277" s="124"/>
      <c r="I2277" s="124"/>
    </row>
    <row r="2278" spans="3:9" x14ac:dyDescent="0.25">
      <c r="C2278" s="747"/>
      <c r="D2278" s="749">
        <v>849215005</v>
      </c>
      <c r="H2278" s="124"/>
      <c r="I2278" s="124"/>
    </row>
    <row r="2279" spans="3:9" x14ac:dyDescent="0.25">
      <c r="C2279" s="747"/>
      <c r="D2279" s="749">
        <v>849216004</v>
      </c>
      <c r="H2279" s="124"/>
      <c r="I2279" s="124"/>
    </row>
    <row r="2280" spans="3:9" x14ac:dyDescent="0.25">
      <c r="C2280" s="747"/>
      <c r="D2280" s="749">
        <v>849216008</v>
      </c>
      <c r="H2280" s="124"/>
      <c r="I2280" s="124"/>
    </row>
    <row r="2281" spans="3:9" x14ac:dyDescent="0.25">
      <c r="C2281" s="747"/>
      <c r="D2281" s="749">
        <v>849216009</v>
      </c>
      <c r="H2281" s="124"/>
      <c r="I2281" s="124"/>
    </row>
    <row r="2282" spans="3:9" x14ac:dyDescent="0.25">
      <c r="C2282" s="747"/>
      <c r="D2282" s="749">
        <v>849216015</v>
      </c>
      <c r="H2282" s="124"/>
      <c r="I2282" s="124"/>
    </row>
    <row r="2283" spans="3:9" x14ac:dyDescent="0.25">
      <c r="C2283" s="747"/>
      <c r="D2283" s="749">
        <v>849216020</v>
      </c>
      <c r="H2283" s="124"/>
      <c r="I2283" s="124"/>
    </row>
    <row r="2284" spans="3:9" x14ac:dyDescent="0.25">
      <c r="C2284" s="747"/>
      <c r="D2284" s="749">
        <v>849315011</v>
      </c>
      <c r="H2284" s="124"/>
      <c r="I2284" s="124"/>
    </row>
    <row r="2285" spans="3:9" x14ac:dyDescent="0.25">
      <c r="C2285" s="747"/>
      <c r="D2285" s="749">
        <v>849315016</v>
      </c>
      <c r="H2285" s="124"/>
      <c r="I2285" s="124"/>
    </row>
    <row r="2286" spans="3:9" x14ac:dyDescent="0.25">
      <c r="C2286" s="747"/>
      <c r="D2286" s="749">
        <v>849315027</v>
      </c>
      <c r="H2286" s="124"/>
      <c r="I2286" s="124"/>
    </row>
    <row r="2287" spans="3:9" x14ac:dyDescent="0.25">
      <c r="C2287" s="747"/>
      <c r="D2287" s="749">
        <v>849315029</v>
      </c>
      <c r="H2287" s="124"/>
      <c r="I2287" s="124"/>
    </row>
    <row r="2288" spans="3:9" x14ac:dyDescent="0.25">
      <c r="C2288" s="747"/>
      <c r="D2288" s="749">
        <v>849315032</v>
      </c>
      <c r="H2288" s="124"/>
      <c r="I2288" s="124"/>
    </row>
    <row r="2289" spans="3:9" x14ac:dyDescent="0.25">
      <c r="C2289" s="747"/>
      <c r="D2289" s="749">
        <v>849315036</v>
      </c>
      <c r="H2289" s="124"/>
      <c r="I2289" s="124"/>
    </row>
    <row r="2290" spans="3:9" x14ac:dyDescent="0.25">
      <c r="C2290" s="747"/>
      <c r="D2290" s="749">
        <v>849316006</v>
      </c>
      <c r="H2290" s="124"/>
      <c r="I2290" s="124"/>
    </row>
    <row r="2291" spans="3:9" x14ac:dyDescent="0.25">
      <c r="C2291" s="747"/>
      <c r="D2291" s="749">
        <v>849316009</v>
      </c>
      <c r="H2291" s="124"/>
      <c r="I2291" s="124"/>
    </row>
    <row r="2292" spans="3:9" x14ac:dyDescent="0.25">
      <c r="C2292" s="747"/>
      <c r="D2292" s="749">
        <v>849316019</v>
      </c>
      <c r="H2292" s="124"/>
      <c r="I2292" s="124"/>
    </row>
    <row r="2293" spans="3:9" x14ac:dyDescent="0.25">
      <c r="C2293" s="747"/>
      <c r="D2293" s="749">
        <v>849316042</v>
      </c>
      <c r="H2293" s="124"/>
      <c r="I2293" s="124"/>
    </row>
    <row r="2294" spans="3:9" x14ac:dyDescent="0.25">
      <c r="C2294" s="747"/>
      <c r="D2294" s="749">
        <v>849415003</v>
      </c>
      <c r="H2294" s="124"/>
      <c r="I2294" s="124"/>
    </row>
    <row r="2295" spans="3:9" x14ac:dyDescent="0.25">
      <c r="C2295" s="747"/>
      <c r="D2295" s="749">
        <v>849416001</v>
      </c>
      <c r="H2295" s="124"/>
      <c r="I2295" s="124"/>
    </row>
    <row r="2296" spans="3:9" x14ac:dyDescent="0.25">
      <c r="C2296" s="747"/>
      <c r="D2296" s="749">
        <v>849416003</v>
      </c>
      <c r="H2296" s="124"/>
      <c r="I2296" s="124"/>
    </row>
    <row r="2297" spans="3:9" x14ac:dyDescent="0.25">
      <c r="C2297" s="747"/>
      <c r="D2297" s="749">
        <v>849416006</v>
      </c>
      <c r="H2297" s="124"/>
      <c r="I2297" s="124"/>
    </row>
    <row r="2298" spans="3:9" x14ac:dyDescent="0.25">
      <c r="C2298" s="747"/>
      <c r="D2298" s="749">
        <v>839216011</v>
      </c>
      <c r="H2298" s="124"/>
      <c r="I2298" s="124"/>
    </row>
    <row r="2299" spans="3:9" x14ac:dyDescent="0.25">
      <c r="C2299" s="747"/>
      <c r="D2299" s="749"/>
      <c r="H2299" s="124"/>
      <c r="I2299" s="124"/>
    </row>
    <row r="2300" spans="3:9" x14ac:dyDescent="0.25">
      <c r="C2300" s="747"/>
      <c r="D2300" s="749">
        <v>829115003</v>
      </c>
      <c r="H2300" s="124"/>
      <c r="I2300" s="124"/>
    </row>
    <row r="2301" spans="3:9" x14ac:dyDescent="0.25">
      <c r="C2301" s="747"/>
      <c r="D2301" s="749">
        <v>839115002</v>
      </c>
      <c r="H2301" s="124"/>
      <c r="I2301" s="124"/>
    </row>
    <row r="2302" spans="3:9" x14ac:dyDescent="0.25">
      <c r="C2302" s="747"/>
      <c r="D2302" s="749">
        <v>839115009</v>
      </c>
      <c r="H2302" s="124"/>
      <c r="I2302" s="124"/>
    </row>
    <row r="2303" spans="3:9" x14ac:dyDescent="0.25">
      <c r="C2303" s="747"/>
      <c r="D2303" s="749">
        <v>839131003</v>
      </c>
      <c r="H2303" s="124"/>
      <c r="I2303" s="124"/>
    </row>
    <row r="2304" spans="3:9" x14ac:dyDescent="0.25">
      <c r="C2304" s="747"/>
      <c r="D2304" s="749">
        <v>839215003</v>
      </c>
      <c r="H2304" s="124"/>
      <c r="I2304" s="124"/>
    </row>
    <row r="2305" spans="3:9" x14ac:dyDescent="0.25">
      <c r="C2305" s="747"/>
      <c r="D2305" s="749">
        <v>839215011</v>
      </c>
      <c r="H2305" s="124"/>
      <c r="I2305" s="124"/>
    </row>
    <row r="2306" spans="3:9" x14ac:dyDescent="0.25">
      <c r="C2306" s="747"/>
      <c r="D2306" s="749">
        <v>839216020</v>
      </c>
      <c r="H2306" s="124"/>
      <c r="I2306" s="124"/>
    </row>
    <row r="2307" spans="3:9" x14ac:dyDescent="0.25">
      <c r="C2307" s="747"/>
      <c r="D2307" s="749">
        <v>849113071</v>
      </c>
      <c r="H2307" s="124"/>
      <c r="I2307" s="124"/>
    </row>
    <row r="2308" spans="3:9" x14ac:dyDescent="0.25">
      <c r="C2308" s="747"/>
      <c r="D2308" s="749">
        <v>849114036</v>
      </c>
      <c r="H2308" s="124"/>
      <c r="I2308" s="124"/>
    </row>
    <row r="2309" spans="3:9" x14ac:dyDescent="0.25">
      <c r="C2309" s="747"/>
      <c r="D2309" s="749">
        <v>849114037</v>
      </c>
      <c r="H2309" s="124"/>
      <c r="I2309" s="124"/>
    </row>
    <row r="2310" spans="3:9" x14ac:dyDescent="0.25">
      <c r="C2310" s="747"/>
      <c r="D2310" s="749">
        <v>849114038</v>
      </c>
      <c r="H2310" s="124"/>
      <c r="I2310" s="124"/>
    </row>
    <row r="2311" spans="3:9" x14ac:dyDescent="0.25">
      <c r="C2311" s="747"/>
      <c r="D2311" s="749">
        <v>849115002</v>
      </c>
      <c r="H2311" s="124"/>
      <c r="I2311" s="124"/>
    </row>
    <row r="2312" spans="3:9" x14ac:dyDescent="0.25">
      <c r="C2312" s="747"/>
      <c r="D2312" s="749">
        <v>849115005</v>
      </c>
      <c r="H2312" s="124"/>
      <c r="I2312" s="124"/>
    </row>
    <row r="2313" spans="3:9" x14ac:dyDescent="0.25">
      <c r="C2313" s="747"/>
      <c r="D2313" s="749">
        <v>849115006</v>
      </c>
      <c r="H2313" s="124"/>
      <c r="I2313" s="124"/>
    </row>
    <row r="2314" spans="3:9" x14ac:dyDescent="0.25">
      <c r="C2314" s="747"/>
      <c r="D2314" s="749">
        <v>849115009</v>
      </c>
      <c r="H2314" s="124"/>
      <c r="I2314" s="124"/>
    </row>
    <row r="2315" spans="3:9" x14ac:dyDescent="0.25">
      <c r="C2315" s="747"/>
      <c r="D2315" s="749">
        <v>849115018</v>
      </c>
      <c r="H2315" s="124"/>
      <c r="I2315" s="124"/>
    </row>
    <row r="2316" spans="3:9" x14ac:dyDescent="0.25">
      <c r="C2316" s="747"/>
      <c r="D2316" s="749">
        <v>849315001</v>
      </c>
      <c r="H2316" s="124"/>
      <c r="I2316" s="124"/>
    </row>
    <row r="2317" spans="3:9" x14ac:dyDescent="0.25">
      <c r="C2317" s="747"/>
      <c r="D2317" s="749">
        <v>849315004</v>
      </c>
      <c r="H2317" s="124"/>
      <c r="I2317" s="124"/>
    </row>
    <row r="2318" spans="3:9" x14ac:dyDescent="0.25">
      <c r="C2318" s="747"/>
      <c r="D2318" s="749">
        <v>849315006</v>
      </c>
      <c r="H2318" s="124"/>
      <c r="I2318" s="124"/>
    </row>
    <row r="2319" spans="3:9" x14ac:dyDescent="0.25">
      <c r="C2319" s="747"/>
      <c r="D2319" s="749">
        <v>849315008</v>
      </c>
      <c r="H2319" s="124"/>
      <c r="I2319" s="124"/>
    </row>
    <row r="2320" spans="3:9" x14ac:dyDescent="0.25">
      <c r="C2320" s="747"/>
      <c r="D2320" s="749">
        <v>849315010</v>
      </c>
      <c r="H2320" s="124"/>
      <c r="I2320" s="124"/>
    </row>
    <row r="2321" spans="3:9" x14ac:dyDescent="0.25">
      <c r="C2321" s="747"/>
      <c r="D2321" s="749">
        <v>849315013</v>
      </c>
      <c r="H2321" s="124"/>
      <c r="I2321" s="124"/>
    </row>
    <row r="2322" spans="3:9" x14ac:dyDescent="0.25">
      <c r="C2322" s="747"/>
      <c r="D2322" s="749">
        <v>849315019</v>
      </c>
      <c r="H2322" s="124"/>
      <c r="I2322" s="124"/>
    </row>
    <row r="2323" spans="3:9" x14ac:dyDescent="0.25">
      <c r="C2323" s="747"/>
      <c r="D2323" s="749">
        <v>849315028</v>
      </c>
      <c r="H2323" s="124"/>
      <c r="I2323" s="124"/>
    </row>
    <row r="2324" spans="3:9" x14ac:dyDescent="0.25">
      <c r="C2324" s="747"/>
      <c r="D2324" s="749">
        <v>849315034</v>
      </c>
      <c r="H2324" s="124"/>
      <c r="I2324" s="124"/>
    </row>
    <row r="2325" spans="3:9" x14ac:dyDescent="0.25">
      <c r="C2325" s="747"/>
      <c r="D2325" s="749">
        <v>849415005</v>
      </c>
      <c r="H2325" s="124"/>
      <c r="I2325" s="124"/>
    </row>
    <row r="2326" spans="3:9" x14ac:dyDescent="0.25">
      <c r="C2326" s="747"/>
      <c r="D2326" s="749"/>
      <c r="H2326" s="124"/>
      <c r="I2326" s="124"/>
    </row>
    <row r="2327" spans="3:9" x14ac:dyDescent="0.25">
      <c r="C2327" s="747"/>
      <c r="D2327" s="749">
        <v>839114013</v>
      </c>
      <c r="H2327" s="124"/>
      <c r="I2327" s="124"/>
    </row>
    <row r="2328" spans="3:9" x14ac:dyDescent="0.25">
      <c r="C2328" s="747"/>
      <c r="D2328" s="749">
        <v>839114014</v>
      </c>
      <c r="H2328" s="124"/>
      <c r="I2328" s="124"/>
    </row>
    <row r="2329" spans="3:9" x14ac:dyDescent="0.25">
      <c r="C2329" s="747"/>
      <c r="D2329" s="749">
        <v>839115004</v>
      </c>
      <c r="H2329" s="124"/>
      <c r="I2329" s="124"/>
    </row>
    <row r="2330" spans="3:9" x14ac:dyDescent="0.25">
      <c r="C2330" s="747"/>
      <c r="D2330" s="749">
        <v>839120006</v>
      </c>
      <c r="H2330" s="124"/>
      <c r="I2330" s="124"/>
    </row>
    <row r="2331" spans="3:9" x14ac:dyDescent="0.25">
      <c r="C2331" s="747"/>
      <c r="D2331" s="749">
        <v>839131012</v>
      </c>
      <c r="H2331" s="124"/>
      <c r="I2331" s="124"/>
    </row>
    <row r="2332" spans="3:9" x14ac:dyDescent="0.25">
      <c r="C2332" s="747"/>
      <c r="D2332" s="749">
        <v>839134010</v>
      </c>
      <c r="H2332" s="124"/>
      <c r="I2332" s="124"/>
    </row>
    <row r="2333" spans="3:9" x14ac:dyDescent="0.25">
      <c r="C2333" s="747"/>
      <c r="D2333" s="749">
        <v>839214002</v>
      </c>
      <c r="H2333" s="124"/>
      <c r="I2333" s="124"/>
    </row>
    <row r="2334" spans="3:9" x14ac:dyDescent="0.25">
      <c r="C2334" s="747"/>
      <c r="D2334" s="749">
        <v>839214003</v>
      </c>
      <c r="H2334" s="124"/>
      <c r="I2334" s="124"/>
    </row>
    <row r="2335" spans="3:9" x14ac:dyDescent="0.25">
      <c r="C2335" s="747"/>
      <c r="D2335" s="749">
        <v>839214006</v>
      </c>
      <c r="H2335" s="124"/>
      <c r="I2335" s="124"/>
    </row>
    <row r="2336" spans="3:9" x14ac:dyDescent="0.25">
      <c r="C2336" s="747"/>
      <c r="D2336" s="749">
        <v>839214007</v>
      </c>
      <c r="H2336" s="124"/>
      <c r="I2336" s="124"/>
    </row>
    <row r="2337" spans="3:9" x14ac:dyDescent="0.25">
      <c r="C2337" s="747"/>
      <c r="D2337" s="749">
        <v>839214010</v>
      </c>
      <c r="H2337" s="124"/>
      <c r="I2337" s="124"/>
    </row>
    <row r="2338" spans="3:9" x14ac:dyDescent="0.25">
      <c r="C2338" s="747"/>
      <c r="D2338" s="749">
        <v>839214011</v>
      </c>
      <c r="H2338" s="124"/>
      <c r="I2338" s="124"/>
    </row>
    <row r="2339" spans="3:9" x14ac:dyDescent="0.25">
      <c r="C2339" s="747"/>
      <c r="D2339" s="749">
        <v>839215005</v>
      </c>
      <c r="H2339" s="124"/>
      <c r="I2339" s="124"/>
    </row>
    <row r="2340" spans="3:9" x14ac:dyDescent="0.25">
      <c r="C2340" s="747"/>
      <c r="D2340" s="749">
        <v>839215007</v>
      </c>
      <c r="H2340" s="124"/>
      <c r="I2340" s="124"/>
    </row>
    <row r="2341" spans="3:9" x14ac:dyDescent="0.25">
      <c r="C2341" s="747"/>
      <c r="D2341" s="749">
        <v>839215013</v>
      </c>
      <c r="H2341" s="124"/>
      <c r="I2341" s="124"/>
    </row>
    <row r="2342" spans="3:9" x14ac:dyDescent="0.25">
      <c r="C2342" s="747"/>
      <c r="D2342" s="749">
        <v>849110269</v>
      </c>
      <c r="H2342" s="124"/>
      <c r="I2342" s="124"/>
    </row>
    <row r="2343" spans="3:9" x14ac:dyDescent="0.25">
      <c r="C2343" s="747"/>
      <c r="D2343" s="749">
        <v>849112015</v>
      </c>
      <c r="H2343" s="124"/>
      <c r="I2343" s="124"/>
    </row>
    <row r="2344" spans="3:9" x14ac:dyDescent="0.25">
      <c r="C2344" s="747"/>
      <c r="D2344" s="749">
        <v>849113040</v>
      </c>
      <c r="H2344" s="124"/>
      <c r="I2344" s="124"/>
    </row>
    <row r="2345" spans="3:9" x14ac:dyDescent="0.25">
      <c r="C2345" s="747"/>
      <c r="D2345" s="749">
        <v>849113061</v>
      </c>
      <c r="H2345" s="124"/>
      <c r="I2345" s="124"/>
    </row>
    <row r="2346" spans="3:9" x14ac:dyDescent="0.25">
      <c r="C2346" s="747"/>
      <c r="D2346" s="749">
        <v>849113076</v>
      </c>
      <c r="H2346" s="124"/>
      <c r="I2346" s="124"/>
    </row>
    <row r="2347" spans="3:9" x14ac:dyDescent="0.25">
      <c r="C2347" s="747"/>
      <c r="D2347" s="749">
        <v>849113077</v>
      </c>
      <c r="H2347" s="124"/>
      <c r="I2347" s="124"/>
    </row>
    <row r="2348" spans="3:9" x14ac:dyDescent="0.25">
      <c r="C2348" s="747"/>
      <c r="D2348" s="749">
        <v>849114006</v>
      </c>
      <c r="H2348" s="124"/>
      <c r="I2348" s="124"/>
    </row>
    <row r="2349" spans="3:9" x14ac:dyDescent="0.25">
      <c r="C2349" s="747"/>
      <c r="D2349" s="749">
        <v>849114007</v>
      </c>
      <c r="H2349" s="124"/>
      <c r="I2349" s="124"/>
    </row>
    <row r="2350" spans="3:9" x14ac:dyDescent="0.25">
      <c r="C2350" s="747"/>
      <c r="D2350" s="749">
        <v>849114008</v>
      </c>
      <c r="H2350" s="124"/>
      <c r="I2350" s="124"/>
    </row>
    <row r="2351" spans="3:9" x14ac:dyDescent="0.25">
      <c r="C2351" s="747"/>
      <c r="D2351" s="749">
        <v>849114012</v>
      </c>
      <c r="H2351" s="124"/>
      <c r="I2351" s="124"/>
    </row>
    <row r="2352" spans="3:9" x14ac:dyDescent="0.25">
      <c r="C2352" s="747"/>
      <c r="D2352" s="749">
        <v>849114015</v>
      </c>
      <c r="H2352" s="124"/>
      <c r="I2352" s="124"/>
    </row>
    <row r="2353" spans="3:9" x14ac:dyDescent="0.25">
      <c r="C2353" s="747"/>
      <c r="D2353" s="749">
        <v>849114018</v>
      </c>
      <c r="H2353" s="124"/>
      <c r="I2353" s="124"/>
    </row>
    <row r="2354" spans="3:9" x14ac:dyDescent="0.25">
      <c r="C2354" s="747"/>
      <c r="D2354" s="749">
        <v>849114031</v>
      </c>
      <c r="H2354" s="124"/>
      <c r="I2354" s="124"/>
    </row>
    <row r="2355" spans="3:9" x14ac:dyDescent="0.25">
      <c r="C2355" s="747"/>
      <c r="D2355" s="749">
        <v>849114040</v>
      </c>
      <c r="H2355" s="124"/>
      <c r="I2355" s="124"/>
    </row>
    <row r="2356" spans="3:9" x14ac:dyDescent="0.25">
      <c r="C2356" s="747"/>
      <c r="D2356" s="749">
        <v>849120014</v>
      </c>
      <c r="H2356" s="124"/>
      <c r="I2356" s="124"/>
    </row>
    <row r="2357" spans="3:9" x14ac:dyDescent="0.25">
      <c r="C2357" s="747"/>
      <c r="D2357" s="749">
        <v>849214010</v>
      </c>
      <c r="H2357" s="124"/>
      <c r="I2357" s="124"/>
    </row>
    <row r="2358" spans="3:9" x14ac:dyDescent="0.25">
      <c r="C2358" s="747"/>
      <c r="D2358" s="749">
        <v>849214011</v>
      </c>
      <c r="H2358" s="124"/>
      <c r="I2358" s="124"/>
    </row>
    <row r="2359" spans="3:9" x14ac:dyDescent="0.25">
      <c r="C2359" s="747"/>
      <c r="D2359" s="749">
        <v>849214014</v>
      </c>
      <c r="H2359" s="124"/>
      <c r="I2359" s="124"/>
    </row>
    <row r="2360" spans="3:9" x14ac:dyDescent="0.25">
      <c r="C2360" s="747"/>
      <c r="D2360" s="748"/>
      <c r="H2360" s="124"/>
      <c r="I2360" s="124"/>
    </row>
    <row r="2361" spans="3:9" x14ac:dyDescent="0.25">
      <c r="C2361" s="747"/>
      <c r="D2361" s="749">
        <v>839115001</v>
      </c>
      <c r="H2361" s="124"/>
      <c r="I2361" s="124"/>
    </row>
    <row r="2362" spans="3:9" x14ac:dyDescent="0.25">
      <c r="C2362" s="747"/>
      <c r="D2362" s="749">
        <v>839115005</v>
      </c>
      <c r="H2362" s="124"/>
      <c r="I2362" s="124"/>
    </row>
    <row r="2363" spans="3:9" x14ac:dyDescent="0.25">
      <c r="C2363" s="747"/>
      <c r="D2363" s="749">
        <v>839115008</v>
      </c>
      <c r="H2363" s="124"/>
      <c r="I2363" s="124"/>
    </row>
    <row r="2364" spans="3:9" x14ac:dyDescent="0.25">
      <c r="C2364" s="747"/>
      <c r="D2364" s="749">
        <v>839115010</v>
      </c>
      <c r="H2364" s="124"/>
      <c r="I2364" s="124"/>
    </row>
    <row r="2365" spans="3:9" x14ac:dyDescent="0.25">
      <c r="C2365" s="747"/>
      <c r="D2365" s="749">
        <v>839115012</v>
      </c>
      <c r="H2365" s="124"/>
      <c r="I2365" s="124"/>
    </row>
    <row r="2366" spans="3:9" x14ac:dyDescent="0.25">
      <c r="C2366" s="747"/>
      <c r="D2366" s="749">
        <v>839134009</v>
      </c>
      <c r="H2366" s="124"/>
      <c r="I2366" s="124"/>
    </row>
    <row r="2367" spans="3:9" x14ac:dyDescent="0.25">
      <c r="C2367" s="747"/>
      <c r="D2367" s="749">
        <v>839134016</v>
      </c>
      <c r="H2367" s="124"/>
      <c r="I2367" s="124"/>
    </row>
    <row r="2368" spans="3:9" x14ac:dyDescent="0.25">
      <c r="C2368" s="747"/>
      <c r="D2368" s="749">
        <v>839215001</v>
      </c>
      <c r="H2368" s="124"/>
      <c r="I2368" s="124"/>
    </row>
    <row r="2369" spans="3:9" x14ac:dyDescent="0.25">
      <c r="C2369" s="747"/>
      <c r="D2369" s="749">
        <v>839215004</v>
      </c>
      <c r="H2369" s="124"/>
      <c r="I2369" s="124"/>
    </row>
    <row r="2370" spans="3:9" x14ac:dyDescent="0.25">
      <c r="C2370" s="747"/>
      <c r="D2370" s="749">
        <v>839215006</v>
      </c>
      <c r="H2370" s="124"/>
      <c r="I2370" s="124"/>
    </row>
    <row r="2371" spans="3:9" x14ac:dyDescent="0.25">
      <c r="C2371" s="747"/>
      <c r="D2371" s="749">
        <v>849113019</v>
      </c>
      <c r="H2371" s="124"/>
      <c r="I2371" s="124"/>
    </row>
    <row r="2372" spans="3:9" x14ac:dyDescent="0.25">
      <c r="C2372" s="747"/>
      <c r="D2372" s="749">
        <v>849113092</v>
      </c>
      <c r="H2372" s="124"/>
      <c r="I2372" s="124"/>
    </row>
    <row r="2373" spans="3:9" x14ac:dyDescent="0.25">
      <c r="C2373" s="747"/>
      <c r="D2373" s="749">
        <v>849114002</v>
      </c>
      <c r="H2373" s="124"/>
      <c r="I2373" s="124"/>
    </row>
    <row r="2374" spans="3:9" x14ac:dyDescent="0.25">
      <c r="C2374" s="747"/>
      <c r="D2374" s="749">
        <v>849114032</v>
      </c>
      <c r="H2374" s="124"/>
      <c r="I2374" s="124"/>
    </row>
    <row r="2375" spans="3:9" x14ac:dyDescent="0.25">
      <c r="C2375" s="747"/>
      <c r="D2375" s="749">
        <v>849114039</v>
      </c>
      <c r="H2375" s="124"/>
      <c r="I2375" s="124"/>
    </row>
    <row r="2376" spans="3:9" x14ac:dyDescent="0.25">
      <c r="C2376" s="747"/>
      <c r="D2376" s="749">
        <v>849115003</v>
      </c>
      <c r="H2376" s="124"/>
      <c r="I2376" s="124"/>
    </row>
    <row r="2377" spans="3:9" x14ac:dyDescent="0.25">
      <c r="C2377" s="747"/>
      <c r="D2377" s="749">
        <v>849115017</v>
      </c>
      <c r="H2377" s="124"/>
      <c r="I2377" s="124"/>
    </row>
    <row r="2378" spans="3:9" x14ac:dyDescent="0.25">
      <c r="C2378" s="747"/>
      <c r="D2378" s="749">
        <v>849120001</v>
      </c>
      <c r="H2378" s="124"/>
      <c r="I2378" s="124"/>
    </row>
    <row r="2379" spans="3:9" x14ac:dyDescent="0.25">
      <c r="C2379" s="747"/>
      <c r="D2379" s="749">
        <v>849120039</v>
      </c>
      <c r="H2379" s="124"/>
      <c r="I2379" s="124"/>
    </row>
    <row r="2380" spans="3:9" x14ac:dyDescent="0.25">
      <c r="C2380" s="747"/>
      <c r="D2380" s="749">
        <v>849120077</v>
      </c>
      <c r="H2380" s="124"/>
      <c r="I2380" s="124"/>
    </row>
    <row r="2381" spans="3:9" x14ac:dyDescent="0.25">
      <c r="C2381" s="747"/>
      <c r="D2381" s="749">
        <v>849213007</v>
      </c>
      <c r="H2381" s="124"/>
      <c r="I2381" s="124"/>
    </row>
    <row r="2382" spans="3:9" x14ac:dyDescent="0.25">
      <c r="C2382" s="747"/>
      <c r="D2382" s="749">
        <v>849213009</v>
      </c>
      <c r="H2382" s="124"/>
      <c r="I2382" s="124"/>
    </row>
    <row r="2383" spans="3:9" x14ac:dyDescent="0.25">
      <c r="C2383" s="747"/>
      <c r="D2383" s="749">
        <v>849214005</v>
      </c>
      <c r="H2383" s="124"/>
      <c r="I2383" s="124"/>
    </row>
    <row r="2384" spans="3:9" x14ac:dyDescent="0.25">
      <c r="C2384" s="747"/>
      <c r="D2384" s="749">
        <v>849214008</v>
      </c>
      <c r="H2384" s="124"/>
      <c r="I2384" s="124"/>
    </row>
    <row r="2385" spans="3:9" x14ac:dyDescent="0.25">
      <c r="C2385" s="747"/>
      <c r="D2385" s="749">
        <v>849214012</v>
      </c>
      <c r="H2385" s="124"/>
      <c r="I2385" s="124"/>
    </row>
    <row r="2386" spans="3:9" x14ac:dyDescent="0.25">
      <c r="C2386" s="747"/>
      <c r="D2386" s="749">
        <v>849214013</v>
      </c>
      <c r="H2386" s="124"/>
      <c r="I2386" s="124"/>
    </row>
    <row r="2387" spans="3:9" x14ac:dyDescent="0.25">
      <c r="C2387" s="747"/>
      <c r="D2387" s="749">
        <v>849315003</v>
      </c>
      <c r="H2387" s="124"/>
      <c r="I2387" s="124"/>
    </row>
    <row r="2388" spans="3:9" x14ac:dyDescent="0.25">
      <c r="C2388" s="747"/>
      <c r="D2388" s="749">
        <v>849315007</v>
      </c>
      <c r="H2388" s="124"/>
      <c r="I2388" s="124"/>
    </row>
    <row r="2389" spans="3:9" x14ac:dyDescent="0.25">
      <c r="C2389" s="747"/>
      <c r="D2389" s="749">
        <v>849315018</v>
      </c>
      <c r="H2389" s="124"/>
      <c r="I2389" s="124"/>
    </row>
    <row r="2390" spans="3:9" x14ac:dyDescent="0.25">
      <c r="C2390" s="747"/>
      <c r="D2390" s="749">
        <v>849315020</v>
      </c>
      <c r="H2390" s="124"/>
      <c r="I2390" s="124"/>
    </row>
    <row r="2391" spans="3:9" x14ac:dyDescent="0.25">
      <c r="C2391" s="747"/>
      <c r="D2391" s="749">
        <v>849315021</v>
      </c>
      <c r="H2391" s="124"/>
      <c r="I2391" s="124"/>
    </row>
    <row r="2392" spans="3:9" x14ac:dyDescent="0.25">
      <c r="C2392" s="747"/>
      <c r="D2392" s="749">
        <v>849315024</v>
      </c>
      <c r="H2392" s="124"/>
      <c r="I2392" s="124"/>
    </row>
    <row r="2393" spans="3:9" x14ac:dyDescent="0.25">
      <c r="C2393" s="747"/>
      <c r="D2393" s="749">
        <v>849415004</v>
      </c>
      <c r="H2393" s="124"/>
      <c r="I2393" s="124"/>
    </row>
    <row r="2394" spans="3:9" x14ac:dyDescent="0.25">
      <c r="C2394" s="747"/>
      <c r="D2394" s="748"/>
      <c r="H2394" s="124"/>
      <c r="I2394" s="124"/>
    </row>
    <row r="2395" spans="3:9" x14ac:dyDescent="0.25">
      <c r="C2395" s="747"/>
      <c r="D2395" s="749">
        <v>83911022</v>
      </c>
      <c r="H2395" s="124"/>
      <c r="I2395" s="124"/>
    </row>
    <row r="2396" spans="3:9" x14ac:dyDescent="0.25">
      <c r="C2396" s="747"/>
      <c r="D2396" s="749">
        <v>839131013</v>
      </c>
      <c r="H2396" s="124"/>
      <c r="I2396" s="124"/>
    </row>
    <row r="2397" spans="3:9" x14ac:dyDescent="0.25">
      <c r="C2397" s="747"/>
      <c r="D2397" s="749">
        <v>839134007</v>
      </c>
      <c r="H2397" s="124"/>
      <c r="I2397" s="124"/>
    </row>
    <row r="2398" spans="3:9" x14ac:dyDescent="0.25">
      <c r="C2398" s="747"/>
      <c r="D2398" s="749">
        <v>839134014</v>
      </c>
      <c r="H2398" s="124"/>
      <c r="I2398" s="124"/>
    </row>
    <row r="2399" spans="3:9" x14ac:dyDescent="0.25">
      <c r="C2399" s="747"/>
      <c r="D2399" s="749">
        <v>839134019</v>
      </c>
      <c r="H2399" s="124"/>
      <c r="I2399" s="124"/>
    </row>
    <row r="2400" spans="3:9" x14ac:dyDescent="0.25">
      <c r="C2400" s="747"/>
      <c r="D2400" s="749">
        <v>839214004</v>
      </c>
      <c r="H2400" s="124"/>
      <c r="I2400" s="124"/>
    </row>
    <row r="2401" spans="3:9" x14ac:dyDescent="0.25">
      <c r="C2401" s="747"/>
      <c r="D2401" s="749">
        <v>839214008</v>
      </c>
      <c r="H2401" s="124"/>
      <c r="I2401" s="124"/>
    </row>
    <row r="2402" spans="3:9" x14ac:dyDescent="0.25">
      <c r="C2402" s="747"/>
      <c r="D2402" s="749">
        <v>839214014</v>
      </c>
      <c r="H2402" s="124"/>
      <c r="I2402" s="124"/>
    </row>
    <row r="2403" spans="3:9" x14ac:dyDescent="0.25">
      <c r="C2403" s="747"/>
      <c r="D2403" s="749">
        <v>839214015</v>
      </c>
      <c r="H2403" s="124"/>
      <c r="I2403" s="124"/>
    </row>
    <row r="2404" spans="3:9" x14ac:dyDescent="0.25">
      <c r="C2404" s="747"/>
      <c r="D2404" s="749">
        <v>849110250</v>
      </c>
      <c r="H2404" s="124"/>
      <c r="I2404" s="124"/>
    </row>
    <row r="2405" spans="3:9" x14ac:dyDescent="0.25">
      <c r="C2405" s="747"/>
      <c r="D2405" s="749">
        <v>849110299</v>
      </c>
      <c r="H2405" s="124"/>
      <c r="I2405" s="124"/>
    </row>
    <row r="2406" spans="3:9" x14ac:dyDescent="0.25">
      <c r="C2406" s="747"/>
      <c r="D2406" s="749">
        <v>849113024</v>
      </c>
      <c r="H2406" s="124"/>
      <c r="I2406" s="124"/>
    </row>
    <row r="2407" spans="3:9" x14ac:dyDescent="0.25">
      <c r="C2407" s="747"/>
      <c r="D2407" s="749">
        <v>849113046</v>
      </c>
      <c r="H2407" s="124"/>
      <c r="I2407" s="124"/>
    </row>
    <row r="2408" spans="3:9" x14ac:dyDescent="0.25">
      <c r="C2408" s="747"/>
      <c r="D2408" s="749">
        <v>849113048</v>
      </c>
      <c r="H2408" s="124"/>
      <c r="I2408" s="124"/>
    </row>
    <row r="2409" spans="3:9" x14ac:dyDescent="0.25">
      <c r="C2409" s="747"/>
      <c r="D2409" s="749">
        <v>849113053</v>
      </c>
      <c r="H2409" s="124"/>
      <c r="I2409" s="124"/>
    </row>
    <row r="2410" spans="3:9" x14ac:dyDescent="0.25">
      <c r="C2410" s="747"/>
      <c r="D2410" s="749">
        <v>849113055</v>
      </c>
      <c r="H2410" s="124"/>
      <c r="I2410" s="124"/>
    </row>
    <row r="2411" spans="3:9" x14ac:dyDescent="0.25">
      <c r="C2411" s="747"/>
      <c r="D2411" s="749">
        <v>849113056</v>
      </c>
      <c r="H2411" s="124"/>
      <c r="I2411" s="124"/>
    </row>
    <row r="2412" spans="3:9" x14ac:dyDescent="0.25">
      <c r="C2412" s="747"/>
      <c r="D2412" s="749">
        <v>849113057</v>
      </c>
      <c r="H2412" s="124"/>
      <c r="I2412" s="124"/>
    </row>
    <row r="2413" spans="3:9" x14ac:dyDescent="0.25">
      <c r="C2413" s="747"/>
      <c r="D2413" s="749">
        <v>849113059</v>
      </c>
      <c r="H2413" s="124"/>
      <c r="I2413" s="124"/>
    </row>
    <row r="2414" spans="3:9" x14ac:dyDescent="0.25">
      <c r="C2414" s="747"/>
      <c r="D2414" s="749">
        <v>849113066</v>
      </c>
      <c r="H2414" s="124"/>
      <c r="I2414" s="124"/>
    </row>
    <row r="2415" spans="3:9" x14ac:dyDescent="0.25">
      <c r="C2415" s="747"/>
      <c r="D2415" s="749">
        <v>849113067</v>
      </c>
      <c r="H2415" s="124"/>
      <c r="I2415" s="124"/>
    </row>
    <row r="2416" spans="3:9" x14ac:dyDescent="0.25">
      <c r="C2416" s="747"/>
      <c r="D2416" s="749">
        <v>849113074</v>
      </c>
      <c r="H2416" s="124"/>
      <c r="I2416" s="124"/>
    </row>
    <row r="2417" spans="3:9" x14ac:dyDescent="0.25">
      <c r="C2417" s="747"/>
      <c r="D2417" s="749">
        <v>849113081</v>
      </c>
      <c r="H2417" s="124"/>
      <c r="I2417" s="124"/>
    </row>
    <row r="2418" spans="3:9" x14ac:dyDescent="0.25">
      <c r="C2418" s="747"/>
      <c r="D2418" s="749">
        <v>849113082</v>
      </c>
      <c r="H2418" s="124"/>
      <c r="I2418" s="124"/>
    </row>
    <row r="2419" spans="3:9" x14ac:dyDescent="0.25">
      <c r="C2419" s="747"/>
      <c r="D2419" s="749">
        <v>849113083</v>
      </c>
      <c r="H2419" s="124"/>
      <c r="I2419" s="124"/>
    </row>
    <row r="2420" spans="3:9" x14ac:dyDescent="0.25">
      <c r="C2420" s="747"/>
      <c r="D2420" s="749">
        <v>849113085</v>
      </c>
      <c r="H2420" s="124"/>
      <c r="I2420" s="124"/>
    </row>
    <row r="2421" spans="3:9" x14ac:dyDescent="0.25">
      <c r="C2421" s="747"/>
      <c r="D2421" s="749">
        <v>849113087</v>
      </c>
      <c r="H2421" s="124"/>
      <c r="I2421" s="124"/>
    </row>
    <row r="2422" spans="3:9" x14ac:dyDescent="0.25">
      <c r="C2422" s="747"/>
      <c r="D2422" s="749">
        <v>849113090</v>
      </c>
      <c r="H2422" s="124"/>
      <c r="I2422" s="124"/>
    </row>
    <row r="2423" spans="3:9" x14ac:dyDescent="0.25">
      <c r="C2423" s="747"/>
      <c r="D2423" s="749">
        <v>849114001</v>
      </c>
      <c r="H2423" s="124"/>
      <c r="I2423" s="124"/>
    </row>
    <row r="2424" spans="3:9" x14ac:dyDescent="0.25">
      <c r="C2424" s="747"/>
      <c r="D2424" s="749">
        <v>849114010</v>
      </c>
      <c r="H2424" s="124"/>
      <c r="I2424" s="124"/>
    </row>
    <row r="2425" spans="3:9" x14ac:dyDescent="0.25">
      <c r="C2425" s="747"/>
      <c r="D2425" s="749">
        <v>849114011</v>
      </c>
      <c r="H2425" s="124"/>
      <c r="I2425" s="124"/>
    </row>
    <row r="2426" spans="3:9" x14ac:dyDescent="0.25">
      <c r="C2426" s="747"/>
      <c r="D2426" s="749">
        <v>849114030</v>
      </c>
      <c r="H2426" s="124"/>
      <c r="I2426" s="124"/>
    </row>
    <row r="2427" spans="3:9" x14ac:dyDescent="0.25">
      <c r="C2427" s="747"/>
      <c r="D2427" s="749">
        <v>849214002</v>
      </c>
      <c r="H2427" s="124"/>
      <c r="I2427" s="124"/>
    </row>
    <row r="2428" spans="3:9" x14ac:dyDescent="0.25">
      <c r="C2428" s="747"/>
      <c r="D2428" s="749">
        <v>849214003</v>
      </c>
      <c r="H2428" s="124"/>
      <c r="I2428" s="124"/>
    </row>
    <row r="2429" spans="3:9" x14ac:dyDescent="0.25">
      <c r="C2429" s="747"/>
      <c r="D2429" s="749">
        <v>849214007</v>
      </c>
      <c r="H2429" s="124"/>
      <c r="I2429" s="124"/>
    </row>
    <row r="2430" spans="3:9" x14ac:dyDescent="0.25">
      <c r="C2430" s="747"/>
      <c r="D2430" s="748"/>
      <c r="H2430" s="124"/>
      <c r="I2430" s="124"/>
    </row>
    <row r="2431" spans="3:9" x14ac:dyDescent="0.25">
      <c r="C2431" s="747"/>
      <c r="D2431" s="749">
        <v>83911013</v>
      </c>
      <c r="H2431" s="124"/>
      <c r="I2431" s="124"/>
    </row>
    <row r="2432" spans="3:9" x14ac:dyDescent="0.25">
      <c r="C2432" s="747"/>
      <c r="D2432" s="749">
        <v>84099001</v>
      </c>
      <c r="H2432" s="124"/>
      <c r="I2432" s="124"/>
    </row>
    <row r="2433" spans="3:9" x14ac:dyDescent="0.25">
      <c r="C2433" s="747"/>
      <c r="D2433" s="749">
        <v>839130007</v>
      </c>
      <c r="H2433" s="124"/>
      <c r="I2433" s="124"/>
    </row>
    <row r="2434" spans="3:9" x14ac:dyDescent="0.25">
      <c r="C2434" s="747"/>
      <c r="D2434" s="749">
        <v>839114007</v>
      </c>
      <c r="H2434" s="124"/>
      <c r="I2434" s="124"/>
    </row>
    <row r="2435" spans="3:9" x14ac:dyDescent="0.25">
      <c r="C2435" s="747"/>
      <c r="D2435" s="749">
        <v>839130009</v>
      </c>
      <c r="H2435" s="124"/>
      <c r="I2435" s="124"/>
    </row>
    <row r="2436" spans="3:9" x14ac:dyDescent="0.25">
      <c r="C2436" s="747"/>
      <c r="D2436" s="749">
        <v>839131002</v>
      </c>
      <c r="H2436" s="124"/>
      <c r="I2436" s="124"/>
    </row>
    <row r="2437" spans="3:9" x14ac:dyDescent="0.25">
      <c r="C2437" s="747"/>
      <c r="D2437" s="749">
        <v>839131006</v>
      </c>
      <c r="H2437" s="124"/>
      <c r="I2437" s="124"/>
    </row>
    <row r="2438" spans="3:9" x14ac:dyDescent="0.25">
      <c r="C2438" s="747"/>
      <c r="D2438" s="749">
        <v>839131009</v>
      </c>
      <c r="H2438" s="124"/>
      <c r="I2438" s="124"/>
    </row>
    <row r="2439" spans="3:9" x14ac:dyDescent="0.25">
      <c r="C2439" s="747"/>
      <c r="D2439" s="749">
        <v>839131011</v>
      </c>
      <c r="H2439" s="124"/>
      <c r="I2439" s="124"/>
    </row>
    <row r="2440" spans="3:9" x14ac:dyDescent="0.25">
      <c r="C2440" s="747"/>
      <c r="D2440" s="749">
        <v>839134001</v>
      </c>
      <c r="H2440" s="124"/>
      <c r="I2440" s="124"/>
    </row>
    <row r="2441" spans="3:9" x14ac:dyDescent="0.25">
      <c r="C2441" s="747"/>
      <c r="D2441" s="749">
        <v>839134002</v>
      </c>
      <c r="H2441" s="124"/>
      <c r="I2441" s="124"/>
    </row>
    <row r="2442" spans="3:9" x14ac:dyDescent="0.25">
      <c r="C2442" s="747"/>
      <c r="D2442" s="749">
        <v>839134006</v>
      </c>
      <c r="H2442" s="124"/>
      <c r="I2442" s="124"/>
    </row>
    <row r="2443" spans="3:9" x14ac:dyDescent="0.25">
      <c r="C2443" s="747"/>
      <c r="D2443" s="749">
        <v>839134011</v>
      </c>
      <c r="H2443" s="124"/>
      <c r="I2443" s="124"/>
    </row>
    <row r="2444" spans="3:9" x14ac:dyDescent="0.25">
      <c r="C2444" s="747"/>
      <c r="D2444" s="749">
        <v>839134013</v>
      </c>
      <c r="H2444" s="124"/>
      <c r="I2444" s="124"/>
    </row>
    <row r="2445" spans="3:9" x14ac:dyDescent="0.25">
      <c r="C2445" s="747"/>
      <c r="D2445" s="749">
        <v>839134015</v>
      </c>
      <c r="H2445" s="124"/>
      <c r="I2445" s="124"/>
    </row>
    <row r="2446" spans="3:9" x14ac:dyDescent="0.25">
      <c r="C2446" s="747"/>
      <c r="D2446" s="749">
        <v>839134017</v>
      </c>
      <c r="H2446" s="124"/>
      <c r="I2446" s="124"/>
    </row>
    <row r="2447" spans="3:9" x14ac:dyDescent="0.25">
      <c r="C2447" s="747"/>
      <c r="D2447" s="749">
        <v>839134018</v>
      </c>
      <c r="H2447" s="124"/>
      <c r="I2447" s="124"/>
    </row>
    <row r="2448" spans="3:9" x14ac:dyDescent="0.25">
      <c r="C2448" s="747"/>
      <c r="D2448" s="749">
        <v>849110072</v>
      </c>
      <c r="H2448" s="124"/>
      <c r="I2448" s="124"/>
    </row>
    <row r="2449" spans="3:9" x14ac:dyDescent="0.25">
      <c r="C2449" s="747"/>
      <c r="D2449" s="749">
        <v>849110120</v>
      </c>
      <c r="H2449" s="124"/>
      <c r="I2449" s="124"/>
    </row>
    <row r="2450" spans="3:9" x14ac:dyDescent="0.25">
      <c r="C2450" s="747"/>
      <c r="D2450" s="749">
        <v>849110186</v>
      </c>
      <c r="H2450" s="124"/>
      <c r="I2450" s="124"/>
    </row>
    <row r="2451" spans="3:9" x14ac:dyDescent="0.25">
      <c r="C2451" s="747"/>
      <c r="D2451" s="749">
        <v>849113009</v>
      </c>
      <c r="H2451" s="124"/>
      <c r="I2451" s="124"/>
    </row>
    <row r="2452" spans="3:9" x14ac:dyDescent="0.25">
      <c r="C2452" s="747"/>
      <c r="D2452" s="749">
        <v>849113017</v>
      </c>
      <c r="H2452" s="124"/>
      <c r="I2452" s="124"/>
    </row>
    <row r="2453" spans="3:9" x14ac:dyDescent="0.25">
      <c r="C2453" s="747"/>
      <c r="D2453" s="749">
        <v>849113021</v>
      </c>
      <c r="H2453" s="124"/>
      <c r="I2453" s="124"/>
    </row>
    <row r="2454" spans="3:9" x14ac:dyDescent="0.25">
      <c r="C2454" s="747"/>
      <c r="D2454" s="749">
        <v>849113027</v>
      </c>
      <c r="H2454" s="124"/>
      <c r="I2454" s="124"/>
    </row>
    <row r="2455" spans="3:9" x14ac:dyDescent="0.25">
      <c r="C2455" s="747"/>
      <c r="D2455" s="749">
        <v>849113028</v>
      </c>
      <c r="H2455" s="124"/>
      <c r="I2455" s="124"/>
    </row>
    <row r="2456" spans="3:9" x14ac:dyDescent="0.25">
      <c r="C2456" s="747"/>
      <c r="D2456" s="749">
        <v>849113052</v>
      </c>
      <c r="H2456" s="124"/>
      <c r="I2456" s="124"/>
    </row>
    <row r="2457" spans="3:9" x14ac:dyDescent="0.25">
      <c r="C2457" s="747"/>
      <c r="D2457" s="749">
        <v>849113080</v>
      </c>
      <c r="H2457" s="124"/>
      <c r="I2457" s="124"/>
    </row>
    <row r="2458" spans="3:9" x14ac:dyDescent="0.25">
      <c r="C2458" s="747"/>
      <c r="D2458" s="749">
        <v>849120017</v>
      </c>
      <c r="H2458" s="124"/>
      <c r="I2458" s="124"/>
    </row>
    <row r="2459" spans="3:9" x14ac:dyDescent="0.25">
      <c r="C2459" s="747"/>
      <c r="D2459" s="749">
        <v>849120076</v>
      </c>
      <c r="H2459" s="124"/>
      <c r="I2459" s="124"/>
    </row>
    <row r="2460" spans="3:9" x14ac:dyDescent="0.25">
      <c r="C2460" s="747"/>
      <c r="D2460" s="749">
        <v>849199066</v>
      </c>
      <c r="H2460" s="124"/>
      <c r="I2460" s="124"/>
    </row>
    <row r="2461" spans="3:9" x14ac:dyDescent="0.25">
      <c r="C2461" s="747"/>
      <c r="D2461" s="749"/>
      <c r="H2461" s="124"/>
      <c r="I2461" s="124"/>
    </row>
    <row r="2462" spans="3:9" x14ac:dyDescent="0.25">
      <c r="C2462" s="747"/>
      <c r="D2462" s="749">
        <v>83911017</v>
      </c>
      <c r="H2462" s="124"/>
      <c r="I2462" s="124"/>
    </row>
    <row r="2463" spans="3:9" x14ac:dyDescent="0.25">
      <c r="C2463" s="747"/>
      <c r="D2463" s="749">
        <v>83911030</v>
      </c>
      <c r="H2463" s="124"/>
      <c r="I2463" s="124"/>
    </row>
    <row r="2464" spans="3:9" x14ac:dyDescent="0.25">
      <c r="C2464" s="747"/>
      <c r="D2464" s="749">
        <v>849213004</v>
      </c>
      <c r="H2464" s="124"/>
      <c r="I2464" s="124"/>
    </row>
    <row r="2465" spans="3:9" x14ac:dyDescent="0.25">
      <c r="C2465" s="747"/>
      <c r="D2465" s="749">
        <v>849110001</v>
      </c>
      <c r="H2465" s="124"/>
      <c r="I2465" s="124"/>
    </row>
    <row r="2466" spans="3:9" x14ac:dyDescent="0.25">
      <c r="C2466" s="747"/>
      <c r="D2466" s="749">
        <v>849110048</v>
      </c>
      <c r="H2466" s="124"/>
      <c r="I2466" s="124"/>
    </row>
    <row r="2467" spans="3:9" x14ac:dyDescent="0.25">
      <c r="C2467" s="747"/>
      <c r="D2467" s="749">
        <v>849110117</v>
      </c>
      <c r="H2467" s="124"/>
      <c r="I2467" s="124"/>
    </row>
    <row r="2468" spans="3:9" x14ac:dyDescent="0.25">
      <c r="C2468" s="747"/>
      <c r="D2468" s="749">
        <v>849110131</v>
      </c>
      <c r="H2468" s="124"/>
      <c r="I2468" s="124"/>
    </row>
    <row r="2469" spans="3:9" x14ac:dyDescent="0.25">
      <c r="C2469" s="747"/>
      <c r="D2469" s="749">
        <v>849110142</v>
      </c>
      <c r="H2469" s="124"/>
      <c r="I2469" s="124"/>
    </row>
    <row r="2470" spans="3:9" x14ac:dyDescent="0.25">
      <c r="C2470" s="747"/>
      <c r="D2470" s="749">
        <v>849110213</v>
      </c>
      <c r="H2470" s="124"/>
      <c r="I2470" s="124"/>
    </row>
    <row r="2471" spans="3:9" x14ac:dyDescent="0.25">
      <c r="C2471" s="747"/>
      <c r="D2471" s="749">
        <v>849110214</v>
      </c>
      <c r="H2471" s="124"/>
      <c r="I2471" s="124"/>
    </row>
    <row r="2472" spans="3:9" x14ac:dyDescent="0.25">
      <c r="C2472" s="747"/>
      <c r="D2472" s="749">
        <v>849110289</v>
      </c>
      <c r="H2472" s="124"/>
      <c r="I2472" s="124"/>
    </row>
    <row r="2473" spans="3:9" x14ac:dyDescent="0.25">
      <c r="C2473" s="747"/>
      <c r="D2473" s="749">
        <v>849113001</v>
      </c>
      <c r="H2473" s="124"/>
      <c r="I2473" s="124"/>
    </row>
    <row r="2474" spans="3:9" x14ac:dyDescent="0.25">
      <c r="C2474" s="747"/>
      <c r="D2474" s="749">
        <v>849113002</v>
      </c>
      <c r="H2474" s="124"/>
      <c r="I2474" s="124"/>
    </row>
    <row r="2475" spans="3:9" x14ac:dyDescent="0.25">
      <c r="C2475" s="747"/>
      <c r="D2475" s="749">
        <v>849113003</v>
      </c>
      <c r="H2475" s="124"/>
      <c r="I2475" s="124"/>
    </row>
    <row r="2476" spans="3:9" x14ac:dyDescent="0.25">
      <c r="C2476" s="747"/>
      <c r="D2476" s="749">
        <v>849113004</v>
      </c>
      <c r="H2476" s="124"/>
      <c r="I2476" s="124"/>
    </row>
    <row r="2477" spans="3:9" x14ac:dyDescent="0.25">
      <c r="C2477" s="747"/>
      <c r="D2477" s="749">
        <v>849113005</v>
      </c>
      <c r="H2477" s="124"/>
      <c r="I2477" s="124"/>
    </row>
    <row r="2478" spans="3:9" x14ac:dyDescent="0.25">
      <c r="C2478" s="747"/>
      <c r="D2478" s="749">
        <v>849113006</v>
      </c>
      <c r="H2478" s="124"/>
      <c r="I2478" s="124"/>
    </row>
    <row r="2479" spans="3:9" x14ac:dyDescent="0.25">
      <c r="C2479" s="747"/>
      <c r="D2479" s="749">
        <v>849113011</v>
      </c>
      <c r="H2479" s="124"/>
      <c r="I2479" s="124"/>
    </row>
    <row r="2480" spans="3:9" x14ac:dyDescent="0.25">
      <c r="C2480" s="747"/>
      <c r="D2480" s="749">
        <v>849113012</v>
      </c>
      <c r="H2480" s="124"/>
      <c r="I2480" s="124"/>
    </row>
    <row r="2481" spans="3:9" x14ac:dyDescent="0.25">
      <c r="C2481" s="747"/>
      <c r="D2481" s="749">
        <v>849113013</v>
      </c>
      <c r="H2481" s="124"/>
      <c r="I2481" s="124"/>
    </row>
    <row r="2482" spans="3:9" x14ac:dyDescent="0.25">
      <c r="C2482" s="747"/>
      <c r="D2482" s="749">
        <v>849113014</v>
      </c>
      <c r="H2482" s="124"/>
      <c r="I2482" s="124"/>
    </row>
    <row r="2483" spans="3:9" x14ac:dyDescent="0.25">
      <c r="C2483" s="747"/>
      <c r="D2483" s="749">
        <v>849113018</v>
      </c>
      <c r="H2483" s="124"/>
      <c r="I2483" s="124"/>
    </row>
    <row r="2484" spans="3:9" x14ac:dyDescent="0.25">
      <c r="C2484" s="747"/>
      <c r="D2484" s="749">
        <v>849113020</v>
      </c>
      <c r="H2484" s="124"/>
      <c r="I2484" s="124"/>
    </row>
    <row r="2485" spans="3:9" x14ac:dyDescent="0.25">
      <c r="C2485" s="747"/>
      <c r="D2485" s="749">
        <v>849113022</v>
      </c>
      <c r="H2485" s="124"/>
      <c r="I2485" s="124"/>
    </row>
    <row r="2486" spans="3:9" x14ac:dyDescent="0.25">
      <c r="C2486" s="747"/>
      <c r="D2486" s="749">
        <v>849113025</v>
      </c>
      <c r="H2486" s="124"/>
      <c r="I2486" s="124"/>
    </row>
    <row r="2487" spans="3:9" x14ac:dyDescent="0.25">
      <c r="C2487" s="747"/>
      <c r="D2487" s="749">
        <v>849113029</v>
      </c>
      <c r="H2487" s="124"/>
      <c r="I2487" s="124"/>
    </row>
    <row r="2488" spans="3:9" x14ac:dyDescent="0.25">
      <c r="C2488" s="747"/>
      <c r="D2488" s="749">
        <v>849113030</v>
      </c>
      <c r="H2488" s="124"/>
      <c r="I2488" s="124"/>
    </row>
    <row r="2489" spans="3:9" x14ac:dyDescent="0.25">
      <c r="C2489" s="747"/>
      <c r="D2489" s="749">
        <v>849113032</v>
      </c>
      <c r="H2489" s="124"/>
      <c r="I2489" s="124"/>
    </row>
    <row r="2490" spans="3:9" x14ac:dyDescent="0.25">
      <c r="C2490" s="747"/>
      <c r="D2490" s="749">
        <v>849113035</v>
      </c>
      <c r="H2490" s="124"/>
      <c r="I2490" s="124"/>
    </row>
    <row r="2491" spans="3:9" x14ac:dyDescent="0.25">
      <c r="C2491" s="747"/>
      <c r="D2491" s="749">
        <v>849113039</v>
      </c>
      <c r="H2491" s="124"/>
      <c r="I2491" s="124"/>
    </row>
    <row r="2492" spans="3:9" x14ac:dyDescent="0.25">
      <c r="C2492" s="747"/>
      <c r="D2492" s="749">
        <v>849113041</v>
      </c>
      <c r="H2492" s="124"/>
      <c r="I2492" s="124"/>
    </row>
    <row r="2493" spans="3:9" x14ac:dyDescent="0.25">
      <c r="C2493" s="747"/>
      <c r="D2493" s="749">
        <v>849113042</v>
      </c>
      <c r="H2493" s="124"/>
      <c r="I2493" s="124"/>
    </row>
    <row r="2494" spans="3:9" x14ac:dyDescent="0.25">
      <c r="C2494" s="747"/>
      <c r="D2494" s="749">
        <v>849113043</v>
      </c>
      <c r="H2494" s="124"/>
      <c r="I2494" s="124"/>
    </row>
    <row r="2495" spans="3:9" x14ac:dyDescent="0.25">
      <c r="C2495" s="747"/>
      <c r="D2495" s="749">
        <v>849199059</v>
      </c>
      <c r="H2495" s="124"/>
      <c r="I2495" s="124"/>
    </row>
    <row r="2496" spans="3:9" x14ac:dyDescent="0.25">
      <c r="C2496" s="747"/>
      <c r="D2496" s="749">
        <v>849199067</v>
      </c>
      <c r="H2496" s="124"/>
      <c r="I2496" s="124"/>
    </row>
    <row r="2497" spans="3:9" x14ac:dyDescent="0.25">
      <c r="C2497" s="747"/>
      <c r="D2497" s="749">
        <v>849199069</v>
      </c>
      <c r="H2497" s="124"/>
      <c r="I2497" s="124"/>
    </row>
    <row r="2498" spans="3:9" x14ac:dyDescent="0.25">
      <c r="C2498" s="747"/>
      <c r="D2498" s="749">
        <v>849199070</v>
      </c>
      <c r="H2498" s="124"/>
      <c r="I2498" s="124"/>
    </row>
    <row r="2499" spans="3:9" x14ac:dyDescent="0.25">
      <c r="C2499" s="747"/>
      <c r="D2499" s="749">
        <v>849213001</v>
      </c>
      <c r="H2499" s="124"/>
      <c r="I2499" s="124"/>
    </row>
    <row r="2500" spans="3:9" x14ac:dyDescent="0.25">
      <c r="C2500" s="747"/>
      <c r="D2500" s="749">
        <v>849213003</v>
      </c>
      <c r="H2500" s="124"/>
      <c r="I2500" s="124"/>
    </row>
    <row r="2501" spans="3:9" x14ac:dyDescent="0.25">
      <c r="C2501" s="747"/>
      <c r="D2501" s="749">
        <v>849213010</v>
      </c>
      <c r="H2501" s="124"/>
      <c r="I2501" s="124"/>
    </row>
    <row r="2502" spans="3:9" x14ac:dyDescent="0.25">
      <c r="C2502" s="747"/>
      <c r="D2502" s="749">
        <v>849113038</v>
      </c>
      <c r="H2502" s="124"/>
      <c r="I2502" s="124"/>
    </row>
    <row r="2503" spans="3:9" x14ac:dyDescent="0.25">
      <c r="C2503" s="747"/>
      <c r="D2503" s="748"/>
      <c r="H2503" s="124"/>
      <c r="I2503" s="124"/>
    </row>
    <row r="2504" spans="3:9" x14ac:dyDescent="0.25">
      <c r="C2504" s="747"/>
      <c r="D2504" s="749">
        <v>839120002</v>
      </c>
      <c r="H2504" s="124"/>
      <c r="I2504" s="124"/>
    </row>
    <row r="2505" spans="3:9" x14ac:dyDescent="0.25">
      <c r="C2505" s="747"/>
      <c r="D2505" s="748">
        <v>849110110</v>
      </c>
      <c r="H2505" s="124"/>
      <c r="I2505" s="124"/>
    </row>
    <row r="2506" spans="3:9" x14ac:dyDescent="0.25">
      <c r="C2506" s="747"/>
      <c r="D2506" s="748">
        <v>849110129</v>
      </c>
      <c r="H2506" s="124"/>
      <c r="I2506" s="124"/>
    </row>
    <row r="2507" spans="3:9" x14ac:dyDescent="0.25">
      <c r="C2507" s="747"/>
      <c r="D2507" s="748">
        <v>849110144</v>
      </c>
      <c r="H2507" s="124"/>
      <c r="I2507" s="124"/>
    </row>
    <row r="2508" spans="3:9" x14ac:dyDescent="0.25">
      <c r="C2508" s="747"/>
      <c r="D2508" s="748">
        <v>849110279</v>
      </c>
      <c r="H2508" s="124"/>
      <c r="I2508" s="124"/>
    </row>
    <row r="2509" spans="3:9" x14ac:dyDescent="0.25">
      <c r="C2509" s="747"/>
      <c r="D2509" s="748">
        <v>849112030</v>
      </c>
      <c r="H2509" s="124"/>
      <c r="I2509" s="124"/>
    </row>
    <row r="2510" spans="3:9" x14ac:dyDescent="0.25">
      <c r="C2510" s="747"/>
      <c r="D2510" s="748">
        <v>849120013</v>
      </c>
      <c r="H2510" s="124"/>
      <c r="I2510" s="124"/>
    </row>
    <row r="2511" spans="3:9" x14ac:dyDescent="0.25">
      <c r="C2511" s="747"/>
      <c r="D2511" s="748">
        <v>849120071</v>
      </c>
      <c r="H2511" s="124"/>
      <c r="I2511" s="124"/>
    </row>
    <row r="2512" spans="3:9" x14ac:dyDescent="0.25">
      <c r="C2512" s="747"/>
      <c r="D2512" s="748">
        <v>849120078</v>
      </c>
      <c r="H2512" s="124"/>
      <c r="I2512" s="124"/>
    </row>
    <row r="2513" spans="3:9" x14ac:dyDescent="0.25">
      <c r="C2513" s="747"/>
      <c r="D2513" s="748">
        <v>849120088</v>
      </c>
      <c r="H2513" s="124"/>
      <c r="I2513" s="124"/>
    </row>
    <row r="2514" spans="3:9" x14ac:dyDescent="0.25">
      <c r="C2514" s="747"/>
      <c r="D2514" s="748">
        <v>849120093</v>
      </c>
      <c r="H2514" s="124"/>
      <c r="I2514" s="124"/>
    </row>
    <row r="2515" spans="3:9" x14ac:dyDescent="0.25">
      <c r="C2515" s="747"/>
      <c r="D2515" s="748">
        <v>849199061</v>
      </c>
      <c r="H2515" s="124"/>
      <c r="I2515" s="124"/>
    </row>
    <row r="2516" spans="3:9" x14ac:dyDescent="0.25">
      <c r="C2516" s="747"/>
      <c r="D2516" s="748"/>
      <c r="H2516" s="124"/>
      <c r="I2516" s="124"/>
    </row>
    <row r="2517" spans="3:9" x14ac:dyDescent="0.25">
      <c r="C2517" s="747"/>
      <c r="D2517" s="748">
        <v>849115010</v>
      </c>
      <c r="H2517" s="124"/>
      <c r="I2517" s="124"/>
    </row>
    <row r="2518" spans="3:9" x14ac:dyDescent="0.25">
      <c r="C2518" s="747"/>
      <c r="D2518" s="748">
        <v>841915040</v>
      </c>
      <c r="H2518" s="124"/>
      <c r="I2518" s="124"/>
    </row>
    <row r="2519" spans="3:9" x14ac:dyDescent="0.25">
      <c r="C2519" s="747"/>
      <c r="D2519" s="748">
        <v>849117033</v>
      </c>
      <c r="H2519" s="124"/>
      <c r="I2519" s="124"/>
    </row>
    <row r="2520" spans="3:9" x14ac:dyDescent="0.25">
      <c r="C2520" s="747"/>
      <c r="D2520" s="748">
        <v>849116010</v>
      </c>
      <c r="H2520" s="124"/>
      <c r="I2520" s="124"/>
    </row>
    <row r="2521" spans="3:9" x14ac:dyDescent="0.25">
      <c r="C2521" s="747"/>
      <c r="D2521" s="748">
        <v>849117040</v>
      </c>
      <c r="H2521" s="124"/>
      <c r="I2521" s="124"/>
    </row>
    <row r="2522" spans="3:9" x14ac:dyDescent="0.25">
      <c r="C2522" s="747"/>
      <c r="D2522" s="748">
        <v>839116009</v>
      </c>
      <c r="H2522" s="124"/>
      <c r="I2522" s="124"/>
    </row>
    <row r="2523" spans="3:9" x14ac:dyDescent="0.25">
      <c r="C2523" s="747"/>
      <c r="D2523" s="748">
        <v>839116007</v>
      </c>
      <c r="H2523" s="124"/>
      <c r="I2523" s="124"/>
    </row>
    <row r="2524" spans="3:9" x14ac:dyDescent="0.25">
      <c r="C2524" s="747"/>
      <c r="D2524" s="748">
        <v>839116012</v>
      </c>
      <c r="H2524" s="124"/>
      <c r="I2524" s="124"/>
    </row>
    <row r="2525" spans="3:9" x14ac:dyDescent="0.25">
      <c r="C2525" s="747"/>
      <c r="D2525" s="748">
        <v>839117011</v>
      </c>
      <c r="H2525" s="124"/>
      <c r="I2525" s="124"/>
    </row>
    <row r="2526" spans="3:9" x14ac:dyDescent="0.25">
      <c r="C2526" s="747"/>
      <c r="D2526" s="748">
        <v>839116006</v>
      </c>
      <c r="H2526" s="124"/>
      <c r="I2526" s="124"/>
    </row>
    <row r="2527" spans="3:9" x14ac:dyDescent="0.25">
      <c r="C2527" s="747"/>
      <c r="D2527" s="748">
        <v>839116020</v>
      </c>
      <c r="H2527" s="124"/>
      <c r="I2527" s="124"/>
    </row>
    <row r="2528" spans="3:9" x14ac:dyDescent="0.25">
      <c r="C2528" s="747"/>
      <c r="D2528" s="748">
        <v>839216021</v>
      </c>
      <c r="H2528" s="124"/>
      <c r="I2528" s="124"/>
    </row>
    <row r="2529" spans="3:9" x14ac:dyDescent="0.25">
      <c r="C2529" s="747"/>
      <c r="D2529" s="748">
        <v>839217018</v>
      </c>
      <c r="H2529" s="124"/>
      <c r="I2529" s="124"/>
    </row>
    <row r="2530" spans="3:9" x14ac:dyDescent="0.25">
      <c r="C2530" s="747"/>
      <c r="D2530" s="748">
        <v>839217030</v>
      </c>
      <c r="H2530" s="124"/>
      <c r="I2530" s="124"/>
    </row>
    <row r="2531" spans="3:9" x14ac:dyDescent="0.25">
      <c r="C2531" s="750"/>
      <c r="D2531" s="748">
        <v>839216002</v>
      </c>
      <c r="H2531" s="124"/>
      <c r="I2531" s="124"/>
    </row>
    <row r="2532" spans="3:9" x14ac:dyDescent="0.25">
      <c r="C2532" s="750"/>
      <c r="D2532" s="748">
        <v>849217005</v>
      </c>
      <c r="H2532" s="124"/>
      <c r="I2532" s="124"/>
    </row>
    <row r="2533" spans="3:9" x14ac:dyDescent="0.25">
      <c r="C2533" s="750"/>
      <c r="D2533" s="748">
        <v>849216007</v>
      </c>
      <c r="H2533" s="124"/>
      <c r="I2533" s="124"/>
    </row>
    <row r="2534" spans="3:9" x14ac:dyDescent="0.25">
      <c r="C2534" s="750"/>
      <c r="D2534" s="748">
        <v>849215001</v>
      </c>
      <c r="H2534" s="124"/>
      <c r="I2534" s="124"/>
    </row>
    <row r="2535" spans="3:9" x14ac:dyDescent="0.25">
      <c r="C2535" s="750"/>
      <c r="D2535" s="748">
        <v>849217020</v>
      </c>
      <c r="H2535" s="124"/>
      <c r="I2535" s="124"/>
    </row>
    <row r="2536" spans="3:9" x14ac:dyDescent="0.25">
      <c r="C2536" s="750"/>
      <c r="D2536" s="748">
        <v>849416008</v>
      </c>
      <c r="H2536" s="124"/>
      <c r="I2536" s="124"/>
    </row>
    <row r="2537" spans="3:9" x14ac:dyDescent="0.25">
      <c r="C2537" s="750"/>
      <c r="D2537" s="748">
        <v>849417006</v>
      </c>
      <c r="H2537" s="124"/>
      <c r="I2537" s="124"/>
    </row>
    <row r="2538" spans="3:9" x14ac:dyDescent="0.25">
      <c r="C2538" s="750"/>
      <c r="D2538" s="748">
        <v>849416002</v>
      </c>
      <c r="H2538" s="124"/>
      <c r="I2538" s="124"/>
    </row>
    <row r="2539" spans="3:9" x14ac:dyDescent="0.25">
      <c r="C2539" s="750"/>
      <c r="D2539" s="748">
        <v>849417018</v>
      </c>
      <c r="H2539" s="124"/>
      <c r="I2539" s="124"/>
    </row>
    <row r="2540" spans="3:9" x14ac:dyDescent="0.25">
      <c r="C2540" s="750"/>
      <c r="D2540" s="748">
        <v>849316005</v>
      </c>
      <c r="H2540" s="124"/>
      <c r="I2540" s="124"/>
    </row>
    <row r="2541" spans="3:9" x14ac:dyDescent="0.25">
      <c r="C2541" s="750"/>
      <c r="D2541" s="748">
        <v>849315033</v>
      </c>
      <c r="H2541" s="124"/>
      <c r="I2541" s="124"/>
    </row>
    <row r="2542" spans="3:9" x14ac:dyDescent="0.25">
      <c r="C2542" s="750"/>
      <c r="D2542" s="748">
        <v>849316010</v>
      </c>
      <c r="H2542" s="124"/>
      <c r="I2542" s="124"/>
    </row>
    <row r="2543" spans="3:9" x14ac:dyDescent="0.25">
      <c r="C2543" s="750"/>
      <c r="D2543" s="748">
        <v>849317036</v>
      </c>
      <c r="H2543" s="124"/>
      <c r="I2543" s="124"/>
    </row>
    <row r="2544" spans="3:9" x14ac:dyDescent="0.25">
      <c r="C2544" s="750"/>
      <c r="D2544" s="748">
        <v>849316012</v>
      </c>
      <c r="H2544" s="124"/>
      <c r="I2544" s="124"/>
    </row>
    <row r="2545" spans="3:9" x14ac:dyDescent="0.25">
      <c r="C2545" s="750"/>
      <c r="D2545" s="748">
        <v>849317044</v>
      </c>
      <c r="H2545" s="124"/>
      <c r="I2545" s="124"/>
    </row>
    <row r="2546" spans="3:9" x14ac:dyDescent="0.25">
      <c r="C2546" s="7"/>
      <c r="D2546" s="748">
        <v>849317047</v>
      </c>
      <c r="H2546" s="751"/>
      <c r="I2546" s="751"/>
    </row>
    <row r="2547" spans="3:9" x14ac:dyDescent="0.25">
      <c r="C2547" s="7"/>
      <c r="D2547" s="748">
        <v>849316023</v>
      </c>
      <c r="H2547" s="751"/>
      <c r="I2547" s="751"/>
    </row>
    <row r="2548" spans="3:9" x14ac:dyDescent="0.25">
      <c r="C2548" s="7"/>
      <c r="D2548" s="748">
        <v>849316046</v>
      </c>
      <c r="H2548" s="751"/>
      <c r="I2548" s="751"/>
    </row>
    <row r="2549" spans="3:9" x14ac:dyDescent="0.25">
      <c r="C2549" s="7"/>
      <c r="D2549" s="748">
        <v>841915005</v>
      </c>
      <c r="H2549" s="751"/>
      <c r="I2549" s="751"/>
    </row>
    <row r="2550" spans="3:9" x14ac:dyDescent="0.25">
      <c r="C2550" s="7"/>
      <c r="D2550" s="748"/>
      <c r="H2550" s="751"/>
      <c r="I2550" s="751"/>
    </row>
    <row r="2551" spans="3:9" x14ac:dyDescent="0.25">
      <c r="C2551" s="7"/>
      <c r="D2551" s="748">
        <v>84089090</v>
      </c>
      <c r="H2551" s="751"/>
      <c r="I2551" s="751"/>
    </row>
    <row r="2552" spans="3:9" x14ac:dyDescent="0.25">
      <c r="C2552" s="7"/>
      <c r="D2552" s="748">
        <v>84089096</v>
      </c>
      <c r="H2552" s="751"/>
      <c r="I2552" s="751"/>
    </row>
    <row r="2553" spans="3:9" x14ac:dyDescent="0.25">
      <c r="C2553" s="7"/>
      <c r="D2553" s="748">
        <v>84089091</v>
      </c>
      <c r="H2553" s="751"/>
      <c r="I2553" s="751"/>
    </row>
    <row r="2554" spans="3:9" x14ac:dyDescent="0.25">
      <c r="C2554" s="7"/>
      <c r="D2554" s="748">
        <v>84089002</v>
      </c>
      <c r="H2554" s="751"/>
      <c r="I2554" s="751"/>
    </row>
    <row r="2555" spans="3:9" x14ac:dyDescent="0.25">
      <c r="C2555" s="7"/>
      <c r="D2555" s="748">
        <v>84089084</v>
      </c>
      <c r="H2555" s="751"/>
      <c r="I2555" s="751"/>
    </row>
    <row r="2556" spans="3:9" x14ac:dyDescent="0.25">
      <c r="C2556" s="7"/>
      <c r="D2556" s="748">
        <v>84089022</v>
      </c>
      <c r="H2556" s="751"/>
      <c r="I2556" s="751"/>
    </row>
    <row r="2557" spans="3:9" x14ac:dyDescent="0.25">
      <c r="C2557" s="7"/>
      <c r="D2557" s="748">
        <v>84089011</v>
      </c>
      <c r="H2557" s="751"/>
      <c r="I2557" s="751"/>
    </row>
    <row r="2558" spans="3:9" x14ac:dyDescent="0.25">
      <c r="C2558" s="7"/>
      <c r="D2558" s="748">
        <v>84089045</v>
      </c>
      <c r="H2558" s="751"/>
      <c r="I2558" s="751"/>
    </row>
    <row r="2559" spans="3:9" x14ac:dyDescent="0.25">
      <c r="C2559" s="7"/>
      <c r="D2559" s="748">
        <v>84089071</v>
      </c>
      <c r="H2559" s="751"/>
      <c r="I2559" s="751"/>
    </row>
    <row r="2560" spans="3:9" x14ac:dyDescent="0.25">
      <c r="C2560" s="7"/>
      <c r="D2560" s="748">
        <v>84089089</v>
      </c>
      <c r="H2560" s="751"/>
      <c r="I2560" s="751"/>
    </row>
    <row r="2561" spans="3:9" x14ac:dyDescent="0.25">
      <c r="C2561" s="7"/>
      <c r="D2561" s="748">
        <v>84089043</v>
      </c>
      <c r="H2561" s="751"/>
      <c r="I2561" s="751"/>
    </row>
    <row r="2562" spans="3:9" x14ac:dyDescent="0.25">
      <c r="C2562" s="7"/>
      <c r="D2562" s="748">
        <v>84089097</v>
      </c>
      <c r="H2562" s="751"/>
      <c r="I2562" s="751"/>
    </row>
    <row r="2563" spans="3:9" x14ac:dyDescent="0.25">
      <c r="C2563" s="7"/>
      <c r="D2563" s="748">
        <v>84099016</v>
      </c>
      <c r="H2563" s="751"/>
      <c r="I2563" s="751"/>
    </row>
    <row r="2564" spans="3:9" x14ac:dyDescent="0.25">
      <c r="C2564" s="7"/>
      <c r="D2564" s="748">
        <v>84089095</v>
      </c>
      <c r="H2564" s="751"/>
      <c r="I2564" s="751"/>
    </row>
    <row r="2565" spans="3:9" x14ac:dyDescent="0.25">
      <c r="C2565" s="7"/>
      <c r="D2565" s="748">
        <v>84089088</v>
      </c>
      <c r="H2565" s="751"/>
      <c r="I2565" s="751"/>
    </row>
    <row r="2566" spans="3:9" x14ac:dyDescent="0.25">
      <c r="C2566" s="7"/>
      <c r="D2566" s="748">
        <v>84089092</v>
      </c>
      <c r="H2566" s="751"/>
      <c r="I2566" s="751"/>
    </row>
    <row r="2567" spans="3:9" x14ac:dyDescent="0.25">
      <c r="C2567" s="7"/>
      <c r="D2567" s="748">
        <v>84089083</v>
      </c>
      <c r="H2567" s="751"/>
      <c r="I2567" s="751"/>
    </row>
    <row r="2568" spans="3:9" x14ac:dyDescent="0.25">
      <c r="C2568" s="7"/>
      <c r="D2568" s="748">
        <v>8409903</v>
      </c>
      <c r="H2568" s="751"/>
      <c r="I2568" s="751"/>
    </row>
    <row r="2569" spans="3:9" x14ac:dyDescent="0.25">
      <c r="C2569" s="7"/>
      <c r="D2569" s="748">
        <v>84089078</v>
      </c>
      <c r="H2569" s="751"/>
      <c r="I2569" s="751"/>
    </row>
    <row r="2570" spans="3:9" x14ac:dyDescent="0.25">
      <c r="C2570" s="7"/>
      <c r="D2570" s="748">
        <v>84099007</v>
      </c>
      <c r="H2570" s="751"/>
      <c r="I2570" s="751"/>
    </row>
    <row r="2571" spans="3:9" x14ac:dyDescent="0.25">
      <c r="C2571" s="7"/>
      <c r="D2571" s="748">
        <v>84099011</v>
      </c>
      <c r="H2571" s="751"/>
      <c r="I2571" s="751"/>
    </row>
    <row r="2572" spans="3:9" x14ac:dyDescent="0.25">
      <c r="C2572" s="7"/>
      <c r="D2572" s="748">
        <v>84089073</v>
      </c>
      <c r="H2572" s="751"/>
      <c r="I2572" s="751"/>
    </row>
    <row r="2573" spans="3:9" x14ac:dyDescent="0.25">
      <c r="C2573" s="7"/>
      <c r="D2573" s="748">
        <v>84089072</v>
      </c>
      <c r="H2573" s="751"/>
      <c r="I2573" s="751"/>
    </row>
    <row r="2574" spans="3:9" x14ac:dyDescent="0.25">
      <c r="C2574" s="7"/>
      <c r="D2574" s="748">
        <v>84089004</v>
      </c>
      <c r="H2574" s="751"/>
      <c r="I2574" s="751"/>
    </row>
    <row r="2575" spans="3:9" x14ac:dyDescent="0.25">
      <c r="C2575" s="7"/>
      <c r="D2575" s="748">
        <v>84089003</v>
      </c>
      <c r="H2575" s="751"/>
      <c r="I2575" s="751"/>
    </row>
    <row r="2576" spans="3:9" x14ac:dyDescent="0.25">
      <c r="C2576" s="7"/>
      <c r="D2576" s="748">
        <v>84089074</v>
      </c>
      <c r="H2576" s="751"/>
      <c r="I2576" s="751"/>
    </row>
    <row r="2577" spans="3:9" x14ac:dyDescent="0.25">
      <c r="C2577" s="7"/>
      <c r="D2577" s="748">
        <v>84089038</v>
      </c>
      <c r="H2577" s="751"/>
      <c r="I2577" s="751"/>
    </row>
    <row r="2578" spans="3:9" x14ac:dyDescent="0.25">
      <c r="C2578" s="7"/>
      <c r="D2578" s="748">
        <v>84089076</v>
      </c>
      <c r="H2578" s="751"/>
      <c r="I2578" s="751"/>
    </row>
    <row r="2579" spans="3:9" x14ac:dyDescent="0.25">
      <c r="C2579" s="7"/>
      <c r="D2579" s="748">
        <v>84099014</v>
      </c>
      <c r="H2579" s="751"/>
      <c r="I2579" s="751"/>
    </row>
    <row r="2580" spans="3:9" x14ac:dyDescent="0.25">
      <c r="C2580" s="7"/>
      <c r="D2580" s="748">
        <v>84099825</v>
      </c>
      <c r="H2580" s="751"/>
      <c r="I2580" s="751"/>
    </row>
    <row r="2581" spans="3:9" x14ac:dyDescent="0.25">
      <c r="C2581" s="7"/>
      <c r="D2581" s="748">
        <v>84099006</v>
      </c>
      <c r="H2581" s="751"/>
      <c r="I2581" s="751"/>
    </row>
    <row r="2582" spans="3:9" x14ac:dyDescent="0.25">
      <c r="C2582" s="7"/>
      <c r="D2582" s="748">
        <v>84089086</v>
      </c>
      <c r="H2582" s="751"/>
      <c r="I2582" s="751"/>
    </row>
    <row r="2583" spans="3:9" x14ac:dyDescent="0.25">
      <c r="C2583" s="7"/>
      <c r="D2583" s="748">
        <v>84089093</v>
      </c>
      <c r="H2583" s="751"/>
      <c r="I2583" s="751"/>
    </row>
    <row r="2584" spans="3:9" x14ac:dyDescent="0.25">
      <c r="C2584" s="7"/>
      <c r="D2584" s="748">
        <v>84089019</v>
      </c>
      <c r="H2584" s="751"/>
      <c r="I2584" s="751"/>
    </row>
    <row r="2585" spans="3:9" x14ac:dyDescent="0.25">
      <c r="C2585" s="7"/>
      <c r="D2585" s="748">
        <v>84099046</v>
      </c>
      <c r="H2585" s="751"/>
      <c r="I2585" s="751"/>
    </row>
    <row r="2586" spans="3:9" x14ac:dyDescent="0.25">
      <c r="C2586" s="7"/>
      <c r="D2586" s="748">
        <v>84099005</v>
      </c>
      <c r="H2586" s="751"/>
      <c r="I2586" s="751"/>
    </row>
    <row r="2587" spans="3:9" x14ac:dyDescent="0.25">
      <c r="C2587" s="7"/>
      <c r="D2587" s="748">
        <v>84089036</v>
      </c>
      <c r="H2587" s="751"/>
      <c r="I2587" s="751"/>
    </row>
    <row r="2588" spans="3:9" x14ac:dyDescent="0.25">
      <c r="C2588" s="7"/>
      <c r="D2588" s="748">
        <v>84089042</v>
      </c>
      <c r="H2588" s="751"/>
      <c r="I2588" s="751"/>
    </row>
    <row r="2589" spans="3:9" x14ac:dyDescent="0.25">
      <c r="C2589" s="7"/>
      <c r="D2589" s="748">
        <v>84089031</v>
      </c>
      <c r="H2589" s="751"/>
      <c r="I2589" s="751"/>
    </row>
    <row r="2590" spans="3:9" x14ac:dyDescent="0.25">
      <c r="C2590" s="7"/>
      <c r="D2590" s="748">
        <v>84099034</v>
      </c>
      <c r="H2590" s="751"/>
      <c r="I2590" s="751"/>
    </row>
    <row r="2591" spans="3:9" x14ac:dyDescent="0.25">
      <c r="C2591" s="7"/>
      <c r="D2591" s="748">
        <v>84089020</v>
      </c>
      <c r="H2591" s="751"/>
      <c r="I2591" s="751"/>
    </row>
    <row r="2592" spans="3:9" x14ac:dyDescent="0.25">
      <c r="C2592" s="7"/>
      <c r="D2592" s="748"/>
      <c r="H2592" s="751"/>
      <c r="I2592" s="751"/>
    </row>
    <row r="2593" spans="3:9" x14ac:dyDescent="0.25">
      <c r="C2593" s="7"/>
      <c r="D2593" s="748">
        <v>849110084</v>
      </c>
      <c r="H2593" s="751"/>
      <c r="I2593" s="751"/>
    </row>
    <row r="2594" spans="3:9" x14ac:dyDescent="0.25">
      <c r="C2594" s="7"/>
      <c r="D2594" s="748">
        <v>84099026</v>
      </c>
      <c r="H2594" s="751"/>
      <c r="I2594" s="751"/>
    </row>
    <row r="2595" spans="3:9" x14ac:dyDescent="0.25">
      <c r="C2595" s="7"/>
      <c r="D2595" s="748">
        <v>849110118</v>
      </c>
      <c r="H2595" s="751"/>
      <c r="I2595" s="751"/>
    </row>
    <row r="2596" spans="3:9" x14ac:dyDescent="0.25">
      <c r="C2596" s="7"/>
      <c r="D2596" s="748">
        <v>849110042</v>
      </c>
      <c r="H2596" s="751"/>
      <c r="I2596" s="751"/>
    </row>
    <row r="2597" spans="3:9" x14ac:dyDescent="0.25">
      <c r="C2597" s="7"/>
      <c r="D2597" s="748">
        <v>849110105</v>
      </c>
      <c r="H2597" s="751"/>
      <c r="I2597" s="751"/>
    </row>
    <row r="2598" spans="3:9" x14ac:dyDescent="0.25">
      <c r="C2598" s="7"/>
      <c r="D2598" s="748">
        <v>8491100061</v>
      </c>
      <c r="H2598" s="751"/>
      <c r="I2598" s="751"/>
    </row>
    <row r="2599" spans="3:9" x14ac:dyDescent="0.25">
      <c r="C2599" s="7"/>
      <c r="D2599" s="748">
        <v>84089082</v>
      </c>
      <c r="H2599" s="751"/>
      <c r="I2599" s="751"/>
    </row>
    <row r="2600" spans="3:9" x14ac:dyDescent="0.25">
      <c r="C2600" s="7"/>
      <c r="D2600" s="748">
        <v>849199058</v>
      </c>
      <c r="H2600" s="751"/>
      <c r="I2600" s="751"/>
    </row>
    <row r="2601" spans="3:9" x14ac:dyDescent="0.25">
      <c r="C2601" s="7"/>
      <c r="D2601" s="748">
        <v>849110044</v>
      </c>
      <c r="H2601" s="751"/>
      <c r="I2601" s="751"/>
    </row>
    <row r="2602" spans="3:9" x14ac:dyDescent="0.25">
      <c r="C2602" s="7"/>
      <c r="D2602" s="748">
        <v>849110022</v>
      </c>
      <c r="H2602" s="751"/>
      <c r="I2602" s="751"/>
    </row>
    <row r="2603" spans="3:9" x14ac:dyDescent="0.25">
      <c r="C2603" s="7"/>
      <c r="D2603" s="748">
        <v>849110088</v>
      </c>
      <c r="H2603" s="751"/>
      <c r="I2603" s="751"/>
    </row>
    <row r="2604" spans="3:9" x14ac:dyDescent="0.25">
      <c r="C2604" s="7"/>
      <c r="D2604" s="748">
        <v>849110034</v>
      </c>
      <c r="H2604" s="751"/>
      <c r="I2604" s="751"/>
    </row>
    <row r="2605" spans="3:9" x14ac:dyDescent="0.25">
      <c r="C2605" s="7"/>
      <c r="D2605" s="748">
        <v>849110006</v>
      </c>
      <c r="H2605" s="751"/>
      <c r="I2605" s="751"/>
    </row>
    <row r="2606" spans="3:9" x14ac:dyDescent="0.25">
      <c r="C2606" s="7"/>
      <c r="D2606" s="748">
        <v>849110108</v>
      </c>
      <c r="H2606" s="751"/>
      <c r="I2606" s="751"/>
    </row>
    <row r="2607" spans="3:9" x14ac:dyDescent="0.25">
      <c r="C2607" s="7"/>
      <c r="D2607" s="748">
        <v>849110081</v>
      </c>
      <c r="H2607" s="751"/>
      <c r="I2607" s="751"/>
    </row>
    <row r="2608" spans="3:9" x14ac:dyDescent="0.25">
      <c r="C2608" s="7"/>
      <c r="D2608" s="748">
        <v>849110085</v>
      </c>
      <c r="H2608" s="751"/>
      <c r="I2608" s="751"/>
    </row>
    <row r="2609" spans="3:9" x14ac:dyDescent="0.25">
      <c r="C2609" s="7"/>
      <c r="D2609" s="748">
        <v>849110090</v>
      </c>
      <c r="H2609" s="751"/>
      <c r="I2609" s="751"/>
    </row>
    <row r="2610" spans="3:9" x14ac:dyDescent="0.25">
      <c r="C2610" s="7"/>
      <c r="D2610" s="748">
        <v>849110170</v>
      </c>
      <c r="H2610" s="751"/>
      <c r="I2610" s="751"/>
    </row>
    <row r="2611" spans="3:9" x14ac:dyDescent="0.25">
      <c r="C2611" s="7"/>
      <c r="D2611" s="748">
        <v>849110158</v>
      </c>
      <c r="H2611" s="751"/>
      <c r="I2611" s="751"/>
    </row>
    <row r="2612" spans="3:9" x14ac:dyDescent="0.25">
      <c r="C2612" s="7"/>
      <c r="D2612" s="748">
        <v>849110154</v>
      </c>
      <c r="H2612" s="751"/>
      <c r="I2612" s="751"/>
    </row>
    <row r="2613" spans="3:9" x14ac:dyDescent="0.25">
      <c r="C2613" s="7"/>
      <c r="D2613" s="748">
        <v>849110182</v>
      </c>
      <c r="H2613" s="751"/>
      <c r="I2613" s="751"/>
    </row>
    <row r="2614" spans="3:9" x14ac:dyDescent="0.25">
      <c r="C2614" s="7"/>
      <c r="D2614" s="748">
        <v>849110163</v>
      </c>
      <c r="H2614" s="751"/>
      <c r="I2614" s="751"/>
    </row>
    <row r="2615" spans="3:9" x14ac:dyDescent="0.25">
      <c r="C2615" s="7"/>
      <c r="D2615" s="748">
        <v>849110153</v>
      </c>
      <c r="H2615" s="751"/>
      <c r="I2615" s="751"/>
    </row>
    <row r="2616" spans="3:9" x14ac:dyDescent="0.25">
      <c r="C2616" s="7"/>
      <c r="D2616" s="748">
        <v>849110164</v>
      </c>
      <c r="H2616" s="751"/>
      <c r="I2616" s="751"/>
    </row>
    <row r="2617" spans="3:9" x14ac:dyDescent="0.25">
      <c r="C2617" s="7"/>
      <c r="D2617" s="748">
        <v>849110155</v>
      </c>
      <c r="H2617" s="751"/>
      <c r="I2617" s="751"/>
    </row>
    <row r="2618" spans="3:9" x14ac:dyDescent="0.25">
      <c r="C2618" s="7"/>
      <c r="D2618" s="748">
        <v>849110173</v>
      </c>
      <c r="H2618" s="751"/>
      <c r="I2618" s="751"/>
    </row>
    <row r="2619" spans="3:9" x14ac:dyDescent="0.25">
      <c r="C2619" s="7"/>
      <c r="D2619" s="748">
        <v>849110172</v>
      </c>
      <c r="H2619" s="751"/>
      <c r="I2619" s="751"/>
    </row>
    <row r="2620" spans="3:9" x14ac:dyDescent="0.25">
      <c r="C2620" s="7"/>
      <c r="D2620" s="748">
        <v>849110185</v>
      </c>
      <c r="H2620" s="751"/>
      <c r="I2620" s="751"/>
    </row>
    <row r="2621" spans="3:9" x14ac:dyDescent="0.25">
      <c r="C2621" s="7"/>
      <c r="D2621" s="748">
        <v>849110169</v>
      </c>
      <c r="H2621" s="751"/>
      <c r="I2621" s="751"/>
    </row>
    <row r="2622" spans="3:9" x14ac:dyDescent="0.25">
      <c r="C2622" s="7"/>
      <c r="D2622" s="748">
        <v>849110126</v>
      </c>
      <c r="H2622" s="751"/>
      <c r="I2622" s="751"/>
    </row>
    <row r="2623" spans="3:9" x14ac:dyDescent="0.25">
      <c r="C2623" s="7"/>
      <c r="D2623" s="748">
        <v>849110161</v>
      </c>
      <c r="H2623" s="751"/>
      <c r="I2623" s="751"/>
    </row>
    <row r="2624" spans="3:9" x14ac:dyDescent="0.25">
      <c r="C2624" s="7"/>
      <c r="D2624" s="748">
        <v>849110096</v>
      </c>
      <c r="H2624" s="751"/>
      <c r="I2624" s="751"/>
    </row>
    <row r="2625" spans="3:9" x14ac:dyDescent="0.25">
      <c r="C2625" s="7"/>
      <c r="D2625" s="748">
        <v>849110074</v>
      </c>
      <c r="H2625" s="751"/>
      <c r="I2625" s="751"/>
    </row>
    <row r="2626" spans="3:9" x14ac:dyDescent="0.25">
      <c r="C2626" s="7"/>
      <c r="D2626" s="748">
        <v>849110204</v>
      </c>
      <c r="H2626" s="751"/>
      <c r="I2626" s="751"/>
    </row>
    <row r="2627" spans="3:9" x14ac:dyDescent="0.25">
      <c r="C2627" s="7"/>
      <c r="D2627" s="748">
        <v>849110113</v>
      </c>
      <c r="H2627" s="751"/>
      <c r="I2627" s="751"/>
    </row>
    <row r="2628" spans="3:9" x14ac:dyDescent="0.25">
      <c r="C2628" s="7"/>
      <c r="D2628" s="748">
        <v>849110181</v>
      </c>
      <c r="H2628" s="751"/>
      <c r="I2628" s="751"/>
    </row>
    <row r="2629" spans="3:9" x14ac:dyDescent="0.25">
      <c r="C2629" s="7"/>
      <c r="D2629" s="748">
        <v>849110076</v>
      </c>
      <c r="H2629" s="751"/>
      <c r="I2629" s="751"/>
    </row>
    <row r="2630" spans="3:9" x14ac:dyDescent="0.25">
      <c r="C2630" s="7"/>
      <c r="D2630" s="748">
        <v>849110197</v>
      </c>
      <c r="H2630" s="751"/>
      <c r="I2630" s="751"/>
    </row>
    <row r="2631" spans="3:9" x14ac:dyDescent="0.25">
      <c r="C2631" s="7"/>
      <c r="D2631" s="748">
        <v>849110151</v>
      </c>
      <c r="H2631" s="751"/>
      <c r="I2631" s="751"/>
    </row>
    <row r="2632" spans="3:9" x14ac:dyDescent="0.25">
      <c r="C2632" s="7"/>
      <c r="D2632" s="748">
        <v>849110167</v>
      </c>
      <c r="H2632" s="751"/>
      <c r="I2632" s="751"/>
    </row>
    <row r="2633" spans="3:9" x14ac:dyDescent="0.25">
      <c r="C2633" s="7"/>
      <c r="D2633" s="748">
        <v>849110303</v>
      </c>
      <c r="H2633" s="751"/>
      <c r="I2633" s="751"/>
    </row>
    <row r="2634" spans="3:9" x14ac:dyDescent="0.25">
      <c r="C2634" s="7"/>
      <c r="D2634" s="748">
        <v>849110179</v>
      </c>
      <c r="H2634" s="751"/>
      <c r="I2634" s="751"/>
    </row>
    <row r="2635" spans="3:9" x14ac:dyDescent="0.25">
      <c r="C2635" s="7"/>
      <c r="D2635" s="748">
        <v>849110251</v>
      </c>
      <c r="H2635" s="751"/>
      <c r="I2635" s="751"/>
    </row>
    <row r="2636" spans="3:9" x14ac:dyDescent="0.25">
      <c r="C2636" s="7"/>
      <c r="D2636" s="748">
        <v>849110222</v>
      </c>
      <c r="H2636" s="751"/>
      <c r="I2636" s="751"/>
    </row>
    <row r="2637" spans="3:9" x14ac:dyDescent="0.25">
      <c r="C2637" s="7"/>
      <c r="D2637" s="748">
        <v>84089047</v>
      </c>
      <c r="H2637" s="751"/>
      <c r="I2637" s="751"/>
    </row>
    <row r="2638" spans="3:9" x14ac:dyDescent="0.25">
      <c r="C2638" s="7"/>
      <c r="D2638" s="748">
        <v>849110015</v>
      </c>
      <c r="H2638" s="751"/>
      <c r="I2638" s="751"/>
    </row>
    <row r="2639" spans="3:9" x14ac:dyDescent="0.25">
      <c r="C2639" s="7"/>
      <c r="D2639" s="748">
        <v>849110111</v>
      </c>
      <c r="H2639" s="751"/>
      <c r="I2639" s="751"/>
    </row>
    <row r="2640" spans="3:9" x14ac:dyDescent="0.25">
      <c r="C2640" s="7"/>
      <c r="D2640" s="748">
        <v>84089085</v>
      </c>
      <c r="H2640" s="751"/>
      <c r="I2640" s="751"/>
    </row>
    <row r="2641" spans="3:9" x14ac:dyDescent="0.25">
      <c r="C2641" s="7"/>
      <c r="D2641" s="748">
        <v>849110119</v>
      </c>
      <c r="H2641" s="751"/>
      <c r="I2641" s="751"/>
    </row>
    <row r="2642" spans="3:9" x14ac:dyDescent="0.25">
      <c r="C2642" s="7"/>
      <c r="D2642" s="748">
        <v>849110078</v>
      </c>
      <c r="H2642" s="751"/>
      <c r="I2642" s="751"/>
    </row>
    <row r="2643" spans="3:9" x14ac:dyDescent="0.25">
      <c r="C2643" s="7"/>
      <c r="D2643" s="748">
        <v>849199043</v>
      </c>
      <c r="H2643" s="751"/>
      <c r="I2643" s="751"/>
    </row>
    <row r="2644" spans="3:9" x14ac:dyDescent="0.25">
      <c r="C2644" s="7"/>
      <c r="D2644" s="748">
        <v>849110115</v>
      </c>
      <c r="H2644" s="751"/>
      <c r="I2644" s="751"/>
    </row>
    <row r="2645" spans="3:9" x14ac:dyDescent="0.25">
      <c r="C2645" s="7"/>
      <c r="D2645" s="748">
        <v>849110068</v>
      </c>
      <c r="H2645" s="751"/>
      <c r="I2645" s="751"/>
    </row>
    <row r="2646" spans="3:9" x14ac:dyDescent="0.25">
      <c r="C2646" s="7"/>
      <c r="D2646" s="748">
        <v>849110094</v>
      </c>
      <c r="H2646" s="751"/>
      <c r="I2646" s="751"/>
    </row>
    <row r="2647" spans="3:9" x14ac:dyDescent="0.25">
      <c r="C2647" s="7"/>
      <c r="D2647" s="748">
        <v>849110103</v>
      </c>
      <c r="H2647" s="751"/>
      <c r="I2647" s="751"/>
    </row>
    <row r="2648" spans="3:9" x14ac:dyDescent="0.25">
      <c r="C2648" s="7"/>
      <c r="D2648" s="748">
        <v>849110067</v>
      </c>
      <c r="H2648" s="751"/>
      <c r="I2648" s="751"/>
    </row>
    <row r="2649" spans="3:9" x14ac:dyDescent="0.25">
      <c r="C2649" s="7"/>
      <c r="D2649" s="748">
        <v>849110093</v>
      </c>
      <c r="H2649" s="751"/>
      <c r="I2649" s="751"/>
    </row>
    <row r="2650" spans="3:9" x14ac:dyDescent="0.25">
      <c r="C2650" s="7"/>
      <c r="D2650" s="748">
        <v>849110122</v>
      </c>
      <c r="H2650" s="751"/>
      <c r="I2650" s="751"/>
    </row>
    <row r="2651" spans="3:9" x14ac:dyDescent="0.25">
      <c r="C2651" s="7"/>
      <c r="D2651" s="748">
        <v>849110092</v>
      </c>
      <c r="H2651" s="751"/>
      <c r="I2651" s="751"/>
    </row>
    <row r="2652" spans="3:9" x14ac:dyDescent="0.25">
      <c r="C2652" s="7"/>
      <c r="D2652" s="748">
        <v>849110140</v>
      </c>
      <c r="H2652" s="751"/>
      <c r="I2652" s="751"/>
    </row>
    <row r="2653" spans="3:9" x14ac:dyDescent="0.25">
      <c r="C2653" s="7"/>
      <c r="D2653" s="748">
        <v>849110130</v>
      </c>
      <c r="H2653" s="751"/>
      <c r="I2653" s="751"/>
    </row>
    <row r="2654" spans="3:9" x14ac:dyDescent="0.25">
      <c r="C2654" s="7"/>
      <c r="D2654" s="748">
        <v>849110157</v>
      </c>
      <c r="H2654" s="751"/>
      <c r="I2654" s="751"/>
    </row>
    <row r="2655" spans="3:9" x14ac:dyDescent="0.25">
      <c r="C2655" s="7"/>
      <c r="D2655" s="748">
        <v>849110159</v>
      </c>
      <c r="H2655" s="751"/>
      <c r="I2655" s="751"/>
    </row>
    <row r="2656" spans="3:9" x14ac:dyDescent="0.25">
      <c r="C2656" s="7"/>
      <c r="D2656" s="748">
        <v>849110196</v>
      </c>
      <c r="H2656" s="751"/>
      <c r="I2656" s="751"/>
    </row>
    <row r="2657" spans="3:9" x14ac:dyDescent="0.25">
      <c r="C2657" s="7"/>
      <c r="D2657" s="748">
        <v>849110171</v>
      </c>
      <c r="H2657" s="751"/>
      <c r="I2657" s="751"/>
    </row>
    <row r="2658" spans="3:9" x14ac:dyDescent="0.25">
      <c r="C2658" s="7"/>
      <c r="D2658" s="748">
        <v>849110160</v>
      </c>
      <c r="H2658" s="751"/>
      <c r="I2658" s="751"/>
    </row>
    <row r="2659" spans="3:9" x14ac:dyDescent="0.25">
      <c r="C2659" s="7"/>
      <c r="D2659" s="748">
        <v>849110168</v>
      </c>
      <c r="H2659" s="751"/>
      <c r="I2659" s="751"/>
    </row>
    <row r="2660" spans="3:9" x14ac:dyDescent="0.25">
      <c r="C2660" s="7"/>
      <c r="D2660" s="748">
        <v>849110194</v>
      </c>
      <c r="H2660" s="751"/>
      <c r="I2660" s="751"/>
    </row>
    <row r="2661" spans="3:9" x14ac:dyDescent="0.25">
      <c r="C2661" s="7"/>
      <c r="D2661" s="748">
        <v>849110195</v>
      </c>
      <c r="H2661" s="751"/>
      <c r="I2661" s="751"/>
    </row>
    <row r="2662" spans="3:9" x14ac:dyDescent="0.25">
      <c r="C2662" s="7"/>
      <c r="D2662" s="748">
        <v>849110143</v>
      </c>
      <c r="H2662" s="751"/>
      <c r="I2662" s="751"/>
    </row>
    <row r="2663" spans="3:9" x14ac:dyDescent="0.25">
      <c r="C2663" s="7"/>
      <c r="D2663" s="748">
        <v>849110101</v>
      </c>
      <c r="H2663" s="751"/>
      <c r="I2663" s="751"/>
    </row>
    <row r="2664" spans="3:9" x14ac:dyDescent="0.25">
      <c r="C2664" s="7"/>
      <c r="D2664" s="748">
        <v>849110180</v>
      </c>
      <c r="H2664" s="751"/>
      <c r="I2664" s="751"/>
    </row>
    <row r="2665" spans="3:9" x14ac:dyDescent="0.25">
      <c r="C2665" s="7"/>
      <c r="D2665" s="748">
        <v>849099019</v>
      </c>
      <c r="H2665" s="751"/>
      <c r="I2665" s="751"/>
    </row>
    <row r="2666" spans="3:9" x14ac:dyDescent="0.25">
      <c r="C2666" s="7"/>
      <c r="D2666" s="748">
        <v>849110193</v>
      </c>
      <c r="H2666" s="751"/>
      <c r="I2666" s="751"/>
    </row>
    <row r="2667" spans="3:9" x14ac:dyDescent="0.25">
      <c r="C2667" s="7"/>
      <c r="D2667" s="748">
        <v>849110265</v>
      </c>
      <c r="H2667" s="751"/>
      <c r="I2667" s="751"/>
    </row>
    <row r="2668" spans="3:9" x14ac:dyDescent="0.25">
      <c r="C2668" s="7"/>
      <c r="D2668" s="748">
        <v>849110263</v>
      </c>
      <c r="H2668" s="751"/>
      <c r="I2668" s="751"/>
    </row>
    <row r="2669" spans="3:9" x14ac:dyDescent="0.25">
      <c r="C2669" s="7"/>
      <c r="D2669" s="748">
        <v>849110246</v>
      </c>
      <c r="H2669" s="751"/>
      <c r="I2669" s="751"/>
    </row>
    <row r="2670" spans="3:9" x14ac:dyDescent="0.25">
      <c r="C2670" s="7"/>
      <c r="D2670" s="748">
        <v>849110201</v>
      </c>
      <c r="H2670" s="751"/>
      <c r="I2670" s="751"/>
    </row>
    <row r="2671" spans="3:9" x14ac:dyDescent="0.25">
      <c r="C2671" s="7"/>
      <c r="D2671" s="748">
        <v>849110174</v>
      </c>
      <c r="H2671" s="751"/>
      <c r="I2671" s="751"/>
    </row>
    <row r="2672" spans="3:9" x14ac:dyDescent="0.25">
      <c r="C2672" s="7"/>
      <c r="D2672" s="748"/>
      <c r="H2672" s="751"/>
      <c r="I2672" s="751"/>
    </row>
    <row r="2673" spans="3:9" x14ac:dyDescent="0.25">
      <c r="C2673" s="7"/>
      <c r="D2673" s="748"/>
      <c r="H2673" s="751"/>
      <c r="I2673" s="751"/>
    </row>
    <row r="2674" spans="3:9" x14ac:dyDescent="0.25">
      <c r="C2674" s="7"/>
      <c r="D2674" s="748">
        <v>849110274</v>
      </c>
      <c r="H2674" s="751"/>
      <c r="I2674" s="751"/>
    </row>
    <row r="2675" spans="3:9" x14ac:dyDescent="0.25">
      <c r="C2675" s="7"/>
      <c r="D2675" s="748">
        <v>849110228</v>
      </c>
      <c r="H2675" s="751"/>
      <c r="I2675" s="751"/>
    </row>
    <row r="2676" spans="3:9" x14ac:dyDescent="0.25">
      <c r="C2676" s="7"/>
      <c r="D2676" s="748">
        <v>849110223</v>
      </c>
      <c r="H2676" s="751"/>
      <c r="I2676" s="751"/>
    </row>
    <row r="2677" spans="3:9" x14ac:dyDescent="0.25">
      <c r="C2677" s="7"/>
      <c r="D2677" s="748">
        <v>849110190</v>
      </c>
      <c r="H2677" s="751"/>
      <c r="I2677" s="751"/>
    </row>
    <row r="2678" spans="3:9" x14ac:dyDescent="0.25">
      <c r="C2678" s="7"/>
      <c r="D2678" s="748">
        <v>849110136</v>
      </c>
      <c r="H2678" s="751"/>
      <c r="I2678" s="751"/>
    </row>
    <row r="2679" spans="3:9" x14ac:dyDescent="0.25">
      <c r="C2679" s="7"/>
      <c r="D2679" s="748">
        <v>849110106</v>
      </c>
      <c r="H2679" s="751"/>
      <c r="I2679" s="751"/>
    </row>
    <row r="2680" spans="3:9" x14ac:dyDescent="0.25">
      <c r="C2680" s="7"/>
      <c r="D2680" s="748">
        <v>849110124</v>
      </c>
      <c r="H2680" s="751"/>
      <c r="I2680" s="751"/>
    </row>
    <row r="2681" spans="3:9" x14ac:dyDescent="0.25">
      <c r="C2681" s="7"/>
      <c r="D2681" s="748">
        <v>849110305</v>
      </c>
      <c r="H2681" s="751"/>
      <c r="I2681" s="751"/>
    </row>
    <row r="2682" spans="3:9" x14ac:dyDescent="0.25">
      <c r="C2682" s="7"/>
      <c r="D2682" s="748">
        <v>849110280</v>
      </c>
      <c r="H2682" s="751"/>
      <c r="I2682" s="751"/>
    </row>
    <row r="2683" spans="3:9" x14ac:dyDescent="0.25">
      <c r="C2683" s="7"/>
      <c r="D2683" s="748">
        <v>849110304</v>
      </c>
      <c r="H2683" s="751"/>
      <c r="I2683" s="751"/>
    </row>
    <row r="2684" spans="3:9" x14ac:dyDescent="0.25">
      <c r="C2684" s="7"/>
      <c r="D2684" s="748">
        <v>849110206</v>
      </c>
      <c r="H2684" s="751"/>
      <c r="I2684" s="751"/>
    </row>
    <row r="2685" spans="3:9" x14ac:dyDescent="0.25">
      <c r="C2685" s="7"/>
      <c r="D2685" s="748">
        <v>849110080</v>
      </c>
      <c r="H2685" s="751"/>
      <c r="I2685" s="751"/>
    </row>
    <row r="2686" spans="3:9" x14ac:dyDescent="0.25">
      <c r="C2686" s="7"/>
      <c r="D2686" s="748">
        <v>849110268</v>
      </c>
      <c r="H2686" s="751"/>
      <c r="I2686" s="751"/>
    </row>
    <row r="2687" spans="3:9" x14ac:dyDescent="0.25">
      <c r="C2687" s="7"/>
      <c r="D2687" s="748">
        <v>849110259</v>
      </c>
      <c r="H2687" s="751"/>
      <c r="I2687" s="751"/>
    </row>
    <row r="2688" spans="3:9" x14ac:dyDescent="0.25">
      <c r="C2688" s="7"/>
      <c r="D2688" s="748">
        <v>849110229</v>
      </c>
      <c r="H2688" s="751"/>
      <c r="I2688" s="751"/>
    </row>
    <row r="2689" spans="3:9" x14ac:dyDescent="0.25">
      <c r="C2689" s="7"/>
      <c r="D2689" s="748">
        <v>849110224</v>
      </c>
      <c r="H2689" s="751"/>
      <c r="I2689" s="751"/>
    </row>
    <row r="2690" spans="3:9" x14ac:dyDescent="0.25">
      <c r="C2690" s="7"/>
      <c r="D2690" s="748">
        <v>849110128</v>
      </c>
      <c r="H2690" s="751"/>
      <c r="I2690" s="751"/>
    </row>
    <row r="2691" spans="3:9" x14ac:dyDescent="0.25">
      <c r="C2691" s="7"/>
      <c r="D2691" s="748">
        <v>849110149</v>
      </c>
      <c r="H2691" s="751"/>
      <c r="I2691" s="751"/>
    </row>
    <row r="2692" spans="3:9" x14ac:dyDescent="0.25">
      <c r="C2692" s="7"/>
      <c r="D2692" s="748">
        <v>849110283</v>
      </c>
      <c r="H2692" s="751"/>
      <c r="I2692" s="751"/>
    </row>
    <row r="2693" spans="3:9" x14ac:dyDescent="0.25">
      <c r="C2693" s="7"/>
      <c r="D2693" s="748">
        <v>849110300</v>
      </c>
      <c r="H2693" s="751"/>
      <c r="I2693" s="751"/>
    </row>
    <row r="2694" spans="3:9" x14ac:dyDescent="0.25">
      <c r="C2694" s="7"/>
      <c r="D2694" s="748">
        <v>849110291</v>
      </c>
      <c r="H2694" s="751"/>
      <c r="I2694" s="751"/>
    </row>
    <row r="2695" spans="3:9" x14ac:dyDescent="0.25">
      <c r="C2695" s="7"/>
      <c r="D2695" s="748">
        <v>849110285</v>
      </c>
      <c r="H2695" s="751"/>
      <c r="I2695" s="751"/>
    </row>
    <row r="2696" spans="3:9" x14ac:dyDescent="0.25">
      <c r="C2696" s="7"/>
      <c r="D2696" s="748">
        <v>849110226</v>
      </c>
      <c r="H2696" s="751"/>
      <c r="I2696" s="751"/>
    </row>
    <row r="2697" spans="3:9" x14ac:dyDescent="0.25">
      <c r="C2697" s="7"/>
      <c r="D2697" s="748">
        <v>849110231</v>
      </c>
      <c r="H2697" s="751"/>
      <c r="I2697" s="751"/>
    </row>
    <row r="2698" spans="3:9" x14ac:dyDescent="0.25">
      <c r="C2698" s="7"/>
      <c r="D2698" s="748">
        <v>849110026</v>
      </c>
      <c r="H2698" s="751"/>
      <c r="I2698" s="751"/>
    </row>
    <row r="2699" spans="3:9" x14ac:dyDescent="0.25">
      <c r="C2699" s="7"/>
      <c r="D2699" s="748">
        <v>849110273</v>
      </c>
      <c r="H2699" s="751"/>
      <c r="I2699" s="751"/>
    </row>
    <row r="2700" spans="3:9" x14ac:dyDescent="0.25">
      <c r="C2700" s="7"/>
      <c r="D2700" s="748">
        <v>849110225</v>
      </c>
      <c r="H2700" s="751"/>
      <c r="I2700" s="751"/>
    </row>
    <row r="2701" spans="3:9" x14ac:dyDescent="0.25">
      <c r="C2701" s="7"/>
      <c r="D2701" s="748">
        <v>849120038</v>
      </c>
      <c r="H2701" s="751"/>
      <c r="I2701" s="751"/>
    </row>
    <row r="2702" spans="3:9" x14ac:dyDescent="0.25">
      <c r="C2702" s="7"/>
      <c r="D2702" s="748">
        <v>849110266</v>
      </c>
      <c r="H2702" s="751"/>
      <c r="I2702" s="751"/>
    </row>
    <row r="2703" spans="3:9" x14ac:dyDescent="0.25">
      <c r="C2703" s="7"/>
      <c r="D2703" s="748">
        <v>849110267</v>
      </c>
      <c r="H2703" s="751"/>
      <c r="I2703" s="751"/>
    </row>
    <row r="2704" spans="3:9" x14ac:dyDescent="0.25">
      <c r="C2704" s="7"/>
      <c r="D2704" s="748">
        <v>849120040</v>
      </c>
      <c r="H2704" s="751"/>
      <c r="I2704" s="751"/>
    </row>
    <row r="2705" spans="3:9" x14ac:dyDescent="0.25">
      <c r="C2705" s="7"/>
      <c r="D2705" s="748">
        <v>849120019</v>
      </c>
      <c r="H2705" s="751"/>
      <c r="I2705" s="751"/>
    </row>
    <row r="2706" spans="3:9" x14ac:dyDescent="0.25">
      <c r="C2706" s="7"/>
      <c r="D2706" s="748">
        <v>849120031</v>
      </c>
      <c r="H2706" s="751"/>
      <c r="I2706" s="751"/>
    </row>
    <row r="2707" spans="3:9" x14ac:dyDescent="0.25">
      <c r="C2707" s="7"/>
      <c r="D2707" s="748">
        <v>849110241</v>
      </c>
      <c r="H2707" s="751"/>
      <c r="I2707" s="751"/>
    </row>
    <row r="2708" spans="3:9" x14ac:dyDescent="0.25">
      <c r="C2708" s="7"/>
      <c r="D2708" s="748">
        <v>849110177</v>
      </c>
      <c r="H2708" s="751"/>
      <c r="I2708" s="751"/>
    </row>
    <row r="2709" spans="3:9" x14ac:dyDescent="0.25">
      <c r="C2709" s="7"/>
      <c r="D2709" s="748">
        <v>849110183</v>
      </c>
      <c r="H2709" s="751"/>
      <c r="I2709" s="751"/>
    </row>
    <row r="2710" spans="3:9" x14ac:dyDescent="0.25">
      <c r="C2710" s="7"/>
      <c r="D2710" s="748">
        <v>849110245</v>
      </c>
      <c r="H2710" s="751"/>
      <c r="I2710" s="751"/>
    </row>
    <row r="2711" spans="3:9" x14ac:dyDescent="0.25">
      <c r="C2711" s="7"/>
      <c r="D2711" s="748">
        <v>849110219</v>
      </c>
      <c r="H2711" s="751"/>
      <c r="I2711" s="751"/>
    </row>
    <row r="2712" spans="3:9" x14ac:dyDescent="0.25">
      <c r="C2712" s="7"/>
      <c r="D2712" s="748">
        <v>849110232</v>
      </c>
      <c r="H2712" s="751"/>
      <c r="I2712" s="751"/>
    </row>
    <row r="2713" spans="3:9" x14ac:dyDescent="0.25">
      <c r="C2713" s="7"/>
      <c r="D2713" s="748">
        <v>849110287</v>
      </c>
      <c r="H2713" s="751"/>
      <c r="I2713" s="751"/>
    </row>
    <row r="2714" spans="3:9" x14ac:dyDescent="0.25">
      <c r="C2714" s="7"/>
      <c r="D2714" s="748">
        <v>849120006</v>
      </c>
      <c r="H2714" s="751"/>
      <c r="I2714" s="751"/>
    </row>
    <row r="2715" spans="3:9" x14ac:dyDescent="0.25">
      <c r="C2715" s="7"/>
      <c r="D2715" s="748">
        <v>849110244</v>
      </c>
      <c r="H2715" s="751"/>
      <c r="I2715" s="751"/>
    </row>
    <row r="2716" spans="3:9" x14ac:dyDescent="0.25">
      <c r="C2716" s="7"/>
      <c r="D2716" s="748">
        <v>849120037</v>
      </c>
      <c r="H2716" s="751"/>
      <c r="I2716" s="751"/>
    </row>
    <row r="2717" spans="3:9" x14ac:dyDescent="0.25">
      <c r="C2717" s="7"/>
      <c r="D2717" s="748">
        <v>849120022</v>
      </c>
      <c r="H2717" s="751"/>
      <c r="I2717" s="751"/>
    </row>
    <row r="2718" spans="3:9" x14ac:dyDescent="0.25">
      <c r="C2718" s="7"/>
      <c r="D2718" s="748">
        <v>849110199</v>
      </c>
      <c r="H2718" s="751"/>
      <c r="I2718" s="751"/>
    </row>
    <row r="2719" spans="3:9" x14ac:dyDescent="0.25">
      <c r="C2719" s="7"/>
      <c r="D2719" s="748">
        <v>849110233</v>
      </c>
      <c r="H2719" s="751"/>
      <c r="I2719" s="751"/>
    </row>
    <row r="2720" spans="3:9" x14ac:dyDescent="0.25">
      <c r="C2720" s="7"/>
      <c r="D2720" s="748">
        <v>849110097</v>
      </c>
      <c r="H2720" s="751"/>
      <c r="I2720" s="751"/>
    </row>
    <row r="2721" spans="3:9" x14ac:dyDescent="0.25">
      <c r="C2721" s="7"/>
      <c r="D2721" s="748">
        <v>849110255</v>
      </c>
      <c r="H2721" s="751"/>
      <c r="I2721" s="751"/>
    </row>
    <row r="2722" spans="3:9" x14ac:dyDescent="0.25">
      <c r="C2722" s="7"/>
      <c r="D2722" s="748">
        <v>849120024</v>
      </c>
      <c r="H2722" s="751"/>
      <c r="I2722" s="751"/>
    </row>
    <row r="2723" spans="3:9" x14ac:dyDescent="0.25">
      <c r="C2723" s="7"/>
      <c r="D2723" s="748">
        <v>849110045</v>
      </c>
      <c r="H2723" s="751"/>
      <c r="I2723" s="751"/>
    </row>
    <row r="2724" spans="3:9" x14ac:dyDescent="0.25">
      <c r="C2724" s="7"/>
      <c r="D2724" s="748">
        <v>849120005</v>
      </c>
      <c r="H2724" s="751"/>
      <c r="I2724" s="751"/>
    </row>
    <row r="2725" spans="3:9" x14ac:dyDescent="0.25">
      <c r="C2725" s="7"/>
      <c r="D2725" s="748">
        <v>849120020</v>
      </c>
      <c r="H2725" s="751"/>
      <c r="I2725" s="751"/>
    </row>
    <row r="2726" spans="3:9" x14ac:dyDescent="0.25">
      <c r="C2726" s="7"/>
      <c r="D2726" s="748">
        <v>849120079</v>
      </c>
      <c r="H2726" s="751"/>
      <c r="I2726" s="751"/>
    </row>
    <row r="2727" spans="3:9" x14ac:dyDescent="0.25">
      <c r="C2727" s="7"/>
      <c r="D2727" s="748">
        <v>849110242</v>
      </c>
      <c r="H2727" s="751"/>
      <c r="I2727" s="751"/>
    </row>
    <row r="2728" spans="3:9" x14ac:dyDescent="0.25">
      <c r="C2728" s="7"/>
      <c r="D2728" s="748">
        <v>849120082</v>
      </c>
      <c r="H2728" s="751"/>
      <c r="I2728" s="751"/>
    </row>
    <row r="2729" spans="3:9" x14ac:dyDescent="0.25">
      <c r="C2729" s="7"/>
      <c r="D2729" s="748">
        <v>849120086</v>
      </c>
      <c r="H2729" s="751"/>
      <c r="I2729" s="751"/>
    </row>
    <row r="2730" spans="3:9" x14ac:dyDescent="0.25">
      <c r="C2730" s="7"/>
      <c r="D2730" s="748">
        <v>849110187</v>
      </c>
      <c r="H2730" s="751"/>
      <c r="I2730" s="751"/>
    </row>
    <row r="2731" spans="3:9" x14ac:dyDescent="0.25">
      <c r="C2731" s="7"/>
      <c r="D2731" s="748">
        <v>849120028</v>
      </c>
      <c r="H2731" s="751"/>
      <c r="I2731" s="751"/>
    </row>
    <row r="2732" spans="3:9" x14ac:dyDescent="0.25">
      <c r="C2732" s="7"/>
      <c r="D2732" s="748">
        <v>849110202</v>
      </c>
      <c r="H2732" s="751"/>
      <c r="I2732" s="751"/>
    </row>
    <row r="2733" spans="3:9" x14ac:dyDescent="0.25">
      <c r="C2733" s="7"/>
      <c r="D2733" s="748">
        <v>849120091</v>
      </c>
      <c r="H2733" s="751"/>
      <c r="I2733" s="751"/>
    </row>
    <row r="2734" spans="3:9" x14ac:dyDescent="0.25">
      <c r="C2734" s="7"/>
      <c r="D2734" s="748">
        <v>849110248</v>
      </c>
      <c r="H2734" s="751"/>
      <c r="I2734" s="751"/>
    </row>
    <row r="2735" spans="3:9" x14ac:dyDescent="0.25">
      <c r="C2735" s="7"/>
      <c r="D2735" s="748">
        <v>849120011</v>
      </c>
      <c r="H2735" s="751"/>
      <c r="I2735" s="751"/>
    </row>
    <row r="2736" spans="3:9" x14ac:dyDescent="0.25">
      <c r="C2736" s="7"/>
      <c r="D2736" s="748">
        <v>849120099</v>
      </c>
      <c r="H2736" s="751"/>
      <c r="I2736" s="751"/>
    </row>
    <row r="2737" spans="3:9" x14ac:dyDescent="0.25">
      <c r="C2737" s="7"/>
      <c r="D2737" s="748">
        <v>849120065</v>
      </c>
      <c r="H2737" s="751"/>
      <c r="I2737" s="751"/>
    </row>
    <row r="2738" spans="3:9" x14ac:dyDescent="0.25">
      <c r="C2738" s="7"/>
      <c r="D2738" s="748">
        <v>849120064</v>
      </c>
      <c r="H2738" s="751"/>
      <c r="I2738" s="751"/>
    </row>
    <row r="2739" spans="3:9" x14ac:dyDescent="0.25">
      <c r="C2739" s="7"/>
      <c r="D2739" s="748">
        <v>849120062</v>
      </c>
      <c r="H2739" s="751"/>
      <c r="I2739" s="751"/>
    </row>
    <row r="2740" spans="3:9" x14ac:dyDescent="0.25">
      <c r="C2740" s="7"/>
      <c r="D2740" s="748">
        <v>849120049</v>
      </c>
      <c r="H2740" s="751"/>
      <c r="I2740" s="751"/>
    </row>
    <row r="2741" spans="3:9" x14ac:dyDescent="0.25">
      <c r="C2741" s="7"/>
      <c r="D2741" s="748">
        <v>849110203</v>
      </c>
      <c r="H2741" s="751"/>
      <c r="I2741" s="751"/>
    </row>
    <row r="2742" spans="3:9" x14ac:dyDescent="0.25">
      <c r="C2742" s="7"/>
      <c r="D2742" s="748">
        <v>849120082</v>
      </c>
      <c r="H2742" s="751"/>
      <c r="I2742" s="751"/>
    </row>
    <row r="2743" spans="3:9" x14ac:dyDescent="0.25">
      <c r="C2743" s="7"/>
      <c r="D2743" s="748">
        <v>849120083</v>
      </c>
      <c r="H2743" s="751"/>
      <c r="I2743" s="751"/>
    </row>
    <row r="2744" spans="3:9" x14ac:dyDescent="0.25">
      <c r="C2744" s="7"/>
      <c r="D2744" s="748">
        <v>849120063</v>
      </c>
      <c r="H2744" s="751"/>
      <c r="I2744" s="751"/>
    </row>
    <row r="2745" spans="3:9" x14ac:dyDescent="0.25">
      <c r="C2745" s="7"/>
      <c r="D2745" s="748">
        <v>849120075</v>
      </c>
      <c r="H2745" s="751"/>
      <c r="I2745" s="751"/>
    </row>
    <row r="2746" spans="3:9" x14ac:dyDescent="0.25">
      <c r="C2746" s="7"/>
      <c r="D2746" s="748">
        <v>849120061</v>
      </c>
      <c r="H2746" s="751"/>
      <c r="I2746" s="751"/>
    </row>
    <row r="2747" spans="3:9" x14ac:dyDescent="0.25">
      <c r="C2747" s="7"/>
      <c r="D2747" s="748">
        <v>849120084</v>
      </c>
      <c r="H2747" s="751"/>
      <c r="I2747" s="751"/>
    </row>
    <row r="2748" spans="3:9" x14ac:dyDescent="0.25">
      <c r="C2748" s="7"/>
      <c r="D2748" s="748">
        <v>849110292</v>
      </c>
      <c r="H2748" s="751"/>
      <c r="I2748" s="751"/>
    </row>
    <row r="2749" spans="3:9" x14ac:dyDescent="0.25">
      <c r="C2749" s="7"/>
      <c r="D2749" s="748">
        <v>849120073</v>
      </c>
      <c r="H2749" s="751"/>
      <c r="I2749" s="751"/>
    </row>
    <row r="2750" spans="3:9" x14ac:dyDescent="0.25">
      <c r="C2750" s="7"/>
      <c r="D2750" s="748">
        <v>849110254</v>
      </c>
      <c r="H2750" s="751"/>
      <c r="I2750" s="751"/>
    </row>
    <row r="2751" spans="3:9" x14ac:dyDescent="0.25">
      <c r="C2751" s="7"/>
      <c r="D2751" s="748">
        <v>849120080</v>
      </c>
      <c r="H2751" s="751"/>
      <c r="I2751" s="751"/>
    </row>
    <row r="2752" spans="3:9" x14ac:dyDescent="0.25">
      <c r="C2752" s="7"/>
      <c r="D2752" s="748">
        <v>849120047</v>
      </c>
      <c r="H2752" s="751"/>
      <c r="I2752" s="751"/>
    </row>
    <row r="2753" spans="3:9" x14ac:dyDescent="0.25">
      <c r="C2753" s="7"/>
      <c r="D2753" s="748">
        <v>849120056</v>
      </c>
      <c r="H2753" s="751"/>
      <c r="I2753" s="751"/>
    </row>
    <row r="2754" spans="3:9" x14ac:dyDescent="0.25">
      <c r="C2754" s="7"/>
      <c r="D2754" s="748">
        <v>849110306</v>
      </c>
      <c r="H2754" s="751"/>
      <c r="I2754" s="751"/>
    </row>
    <row r="2755" spans="3:9" x14ac:dyDescent="0.25">
      <c r="C2755" s="7"/>
      <c r="D2755" s="748">
        <v>849120044</v>
      </c>
      <c r="H2755" s="751"/>
      <c r="I2755" s="751"/>
    </row>
    <row r="2756" spans="3:9" x14ac:dyDescent="0.25">
      <c r="C2756" s="7"/>
      <c r="D2756" s="748">
        <v>849120098</v>
      </c>
      <c r="H2756" s="751"/>
      <c r="I2756" s="751"/>
    </row>
    <row r="2757" spans="3:9" x14ac:dyDescent="0.25">
      <c r="C2757" s="7"/>
      <c r="D2757" s="748">
        <v>849110089</v>
      </c>
      <c r="H2757" s="751"/>
      <c r="I2757" s="751"/>
    </row>
    <row r="2758" spans="3:9" x14ac:dyDescent="0.25">
      <c r="C2758" s="7"/>
      <c r="D2758" s="748">
        <v>849120048</v>
      </c>
      <c r="H2758" s="751"/>
      <c r="I2758" s="751"/>
    </row>
    <row r="2759" spans="3:9" x14ac:dyDescent="0.25">
      <c r="C2759" s="7"/>
      <c r="D2759" s="748">
        <v>849120026</v>
      </c>
      <c r="H2759" s="751"/>
      <c r="I2759" s="751"/>
    </row>
    <row r="2760" spans="3:9" x14ac:dyDescent="0.25">
      <c r="C2760" s="7"/>
      <c r="D2760" s="748">
        <v>849120009</v>
      </c>
      <c r="H2760" s="751"/>
      <c r="I2760" s="751"/>
    </row>
    <row r="2761" spans="3:9" x14ac:dyDescent="0.25">
      <c r="C2761" s="7"/>
      <c r="D2761" s="748">
        <v>849110298</v>
      </c>
      <c r="H2761" s="751"/>
      <c r="I2761" s="751"/>
    </row>
    <row r="2762" spans="3:9" x14ac:dyDescent="0.25">
      <c r="C2762" s="7"/>
      <c r="D2762" s="748">
        <v>849110193</v>
      </c>
      <c r="H2762" s="751"/>
      <c r="I2762" s="751"/>
    </row>
    <row r="2763" spans="3:9" x14ac:dyDescent="0.25">
      <c r="C2763" s="7"/>
      <c r="D2763" s="748">
        <v>849110191</v>
      </c>
      <c r="H2763" s="751"/>
      <c r="I2763" s="751"/>
    </row>
    <row r="2764" spans="3:9" x14ac:dyDescent="0.25">
      <c r="C2764" s="7"/>
      <c r="D2764" s="748">
        <v>849110252</v>
      </c>
      <c r="H2764" s="751"/>
      <c r="I2764" s="751"/>
    </row>
    <row r="2765" spans="3:9" x14ac:dyDescent="0.25">
      <c r="C2765" s="7"/>
      <c r="D2765" s="748">
        <v>849110192</v>
      </c>
      <c r="H2765" s="751"/>
      <c r="I2765" s="751"/>
    </row>
    <row r="2766" spans="3:9" x14ac:dyDescent="0.25">
      <c r="C2766" s="7"/>
      <c r="D2766" s="748">
        <v>849110257</v>
      </c>
      <c r="H2766" s="751"/>
      <c r="I2766" s="751"/>
    </row>
    <row r="2767" spans="3:9" x14ac:dyDescent="0.25">
      <c r="C2767" s="7"/>
      <c r="D2767" s="748">
        <v>84089079</v>
      </c>
      <c r="H2767" s="751"/>
      <c r="I2767" s="751"/>
    </row>
    <row r="2768" spans="3:9" x14ac:dyDescent="0.25">
      <c r="C2768" s="7"/>
      <c r="D2768" s="748">
        <v>849110237</v>
      </c>
      <c r="H2768" s="751"/>
      <c r="I2768" s="751"/>
    </row>
    <row r="2769" spans="3:9" x14ac:dyDescent="0.25">
      <c r="C2769" s="7"/>
      <c r="D2769" s="748">
        <v>849110150</v>
      </c>
      <c r="H2769" s="751"/>
      <c r="I2769" s="751"/>
    </row>
    <row r="2770" spans="3:9" x14ac:dyDescent="0.25">
      <c r="C2770" s="7"/>
      <c r="D2770" s="748">
        <v>849110296</v>
      </c>
      <c r="H2770" s="751"/>
      <c r="I2770" s="751"/>
    </row>
    <row r="2771" spans="3:9" x14ac:dyDescent="0.25">
      <c r="C2771" s="7"/>
      <c r="D2771" s="748">
        <v>849110293</v>
      </c>
      <c r="H2771" s="751"/>
      <c r="I2771" s="751"/>
    </row>
    <row r="2772" spans="3:9" x14ac:dyDescent="0.25">
      <c r="C2772" s="7"/>
      <c r="D2772" s="748">
        <v>849110256</v>
      </c>
      <c r="H2772" s="751"/>
      <c r="I2772" s="751"/>
    </row>
    <row r="2773" spans="3:9" x14ac:dyDescent="0.25">
      <c r="C2773" s="7"/>
      <c r="D2773" s="748">
        <v>849110198</v>
      </c>
      <c r="H2773" s="751"/>
      <c r="I2773" s="751"/>
    </row>
    <row r="2774" spans="3:9" x14ac:dyDescent="0.25">
      <c r="C2774" s="7"/>
      <c r="D2774" s="748">
        <v>849110277</v>
      </c>
      <c r="H2774" s="751"/>
      <c r="I2774" s="751"/>
    </row>
    <row r="2775" spans="3:9" x14ac:dyDescent="0.25">
      <c r="C2775" s="7"/>
      <c r="D2775" s="748">
        <v>849120032</v>
      </c>
      <c r="H2775" s="751"/>
      <c r="I2775" s="751"/>
    </row>
    <row r="2776" spans="3:9" x14ac:dyDescent="0.25">
      <c r="C2776" s="7"/>
      <c r="D2776" s="748">
        <v>849120057</v>
      </c>
      <c r="H2776" s="751"/>
      <c r="I2776" s="751"/>
    </row>
    <row r="2777" spans="3:9" x14ac:dyDescent="0.25">
      <c r="C2777" s="7"/>
      <c r="D2777" s="748">
        <v>849110123</v>
      </c>
      <c r="H2777" s="751"/>
      <c r="I2777" s="751"/>
    </row>
    <row r="2778" spans="3:9" x14ac:dyDescent="0.25">
      <c r="C2778" s="7"/>
      <c r="D2778" s="748">
        <v>849120045</v>
      </c>
      <c r="H2778" s="751"/>
      <c r="I2778" s="751"/>
    </row>
    <row r="2779" spans="3:9" x14ac:dyDescent="0.25">
      <c r="C2779" s="7"/>
      <c r="D2779" s="748">
        <v>849120033</v>
      </c>
      <c r="H2779" s="751"/>
      <c r="I2779" s="751"/>
    </row>
    <row r="2780" spans="3:9" x14ac:dyDescent="0.25">
      <c r="C2780" s="7"/>
      <c r="D2780" s="748">
        <v>849120036</v>
      </c>
      <c r="H2780" s="751"/>
      <c r="I2780" s="751"/>
    </row>
    <row r="2781" spans="3:9" x14ac:dyDescent="0.25">
      <c r="C2781" s="7"/>
      <c r="D2781" s="748">
        <v>849110273</v>
      </c>
      <c r="H2781" s="751"/>
      <c r="I2781" s="751"/>
    </row>
    <row r="2782" spans="3:9" x14ac:dyDescent="0.25">
      <c r="C2782" s="7"/>
      <c r="D2782" s="748">
        <v>849120066</v>
      </c>
      <c r="H2782" s="751"/>
      <c r="I2782" s="751"/>
    </row>
    <row r="2783" spans="3:9" x14ac:dyDescent="0.25">
      <c r="C2783" s="7"/>
      <c r="D2783" s="748">
        <v>849110220</v>
      </c>
      <c r="H2783" s="751"/>
      <c r="I2783" s="751"/>
    </row>
    <row r="2784" spans="3:9" x14ac:dyDescent="0.25">
      <c r="C2784" s="7"/>
      <c r="D2784" s="748">
        <v>849110046</v>
      </c>
      <c r="H2784" s="751"/>
      <c r="I2784" s="751"/>
    </row>
    <row r="2785" spans="3:9" x14ac:dyDescent="0.25">
      <c r="C2785" s="7"/>
      <c r="D2785" s="748">
        <v>849120092</v>
      </c>
      <c r="H2785" s="751"/>
      <c r="I2785" s="751"/>
    </row>
    <row r="2786" spans="3:9" x14ac:dyDescent="0.25">
      <c r="C2786" s="7"/>
      <c r="D2786" s="748">
        <v>849120089</v>
      </c>
      <c r="H2786" s="751"/>
      <c r="I2786" s="751"/>
    </row>
    <row r="2787" spans="3:9" x14ac:dyDescent="0.25">
      <c r="C2787" s="7"/>
      <c r="D2787" s="748">
        <v>849120090</v>
      </c>
      <c r="H2787" s="751"/>
      <c r="I2787" s="751"/>
    </row>
    <row r="2788" spans="3:9" x14ac:dyDescent="0.25">
      <c r="C2788" s="7"/>
      <c r="D2788" s="748">
        <v>849110302</v>
      </c>
      <c r="H2788" s="751"/>
      <c r="I2788" s="751"/>
    </row>
    <row r="2789" spans="3:9" x14ac:dyDescent="0.25">
      <c r="C2789" s="7"/>
      <c r="D2789" s="748">
        <v>849110249</v>
      </c>
      <c r="H2789" s="751"/>
      <c r="I2789" s="751"/>
    </row>
    <row r="2790" spans="3:9" x14ac:dyDescent="0.25">
      <c r="C2790" s="7"/>
      <c r="D2790" s="748">
        <v>849120023</v>
      </c>
      <c r="H2790" s="751"/>
      <c r="I2790" s="751"/>
    </row>
    <row r="2791" spans="3:9" x14ac:dyDescent="0.25">
      <c r="C2791" s="7"/>
      <c r="D2791" s="748">
        <v>849110230</v>
      </c>
      <c r="H2791" s="751"/>
      <c r="I2791" s="751"/>
    </row>
    <row r="2792" spans="3:9" x14ac:dyDescent="0.25">
      <c r="C2792" s="7"/>
      <c r="D2792" s="748">
        <v>849120058</v>
      </c>
      <c r="H2792" s="751"/>
      <c r="I2792" s="751"/>
    </row>
    <row r="2793" spans="3:9" x14ac:dyDescent="0.25">
      <c r="C2793" s="7"/>
      <c r="D2793" s="748">
        <v>849120059</v>
      </c>
      <c r="H2793" s="751"/>
      <c r="I2793" s="751"/>
    </row>
    <row r="2794" spans="3:9" x14ac:dyDescent="0.25">
      <c r="C2794" s="7"/>
      <c r="D2794" s="748">
        <v>849120069</v>
      </c>
      <c r="H2794" s="751"/>
      <c r="I2794" s="751"/>
    </row>
    <row r="2795" spans="3:9" x14ac:dyDescent="0.25">
      <c r="C2795" s="7"/>
      <c r="D2795" s="748">
        <v>849120055</v>
      </c>
      <c r="H2795" s="751"/>
      <c r="I2795" s="751"/>
    </row>
    <row r="2796" spans="3:9" x14ac:dyDescent="0.25">
      <c r="C2796" s="7"/>
      <c r="D2796" s="748">
        <v>849120092</v>
      </c>
      <c r="H2796" s="751"/>
      <c r="I2796" s="751"/>
    </row>
    <row r="2797" spans="3:9" x14ac:dyDescent="0.25">
      <c r="C2797" s="7"/>
      <c r="D2797" s="748">
        <v>849110010</v>
      </c>
      <c r="H2797" s="751"/>
      <c r="I2797" s="751"/>
    </row>
    <row r="2798" spans="3:9" x14ac:dyDescent="0.25">
      <c r="C2798" s="7"/>
      <c r="D2798" s="748">
        <v>849120018</v>
      </c>
      <c r="H2798" s="751"/>
      <c r="I2798" s="751"/>
    </row>
    <row r="2799" spans="3:9" x14ac:dyDescent="0.25">
      <c r="C2799" s="7"/>
      <c r="D2799" s="748">
        <v>849120060</v>
      </c>
      <c r="H2799" s="751"/>
      <c r="I2799" s="751"/>
    </row>
    <row r="2800" spans="3:9" x14ac:dyDescent="0.25">
      <c r="C2800" s="7"/>
      <c r="D2800" s="748">
        <v>849120052</v>
      </c>
      <c r="H2800" s="751"/>
      <c r="I2800" s="751"/>
    </row>
    <row r="2801" spans="3:9" x14ac:dyDescent="0.25">
      <c r="C2801" s="7"/>
      <c r="D2801" s="748">
        <v>849120050</v>
      </c>
      <c r="H2801" s="751"/>
      <c r="I2801" s="751"/>
    </row>
    <row r="2802" spans="3:9" x14ac:dyDescent="0.25">
      <c r="C2802" s="7"/>
      <c r="D2802" s="748">
        <v>849120051</v>
      </c>
      <c r="H2802" s="751"/>
      <c r="I2802" s="751"/>
    </row>
    <row r="2803" spans="3:9" x14ac:dyDescent="0.25">
      <c r="C2803" s="7"/>
      <c r="D2803" s="748">
        <v>849120053</v>
      </c>
      <c r="H2803" s="751"/>
      <c r="I2803" s="751"/>
    </row>
    <row r="2804" spans="3:9" x14ac:dyDescent="0.25">
      <c r="C2804" s="7"/>
      <c r="D2804" s="748">
        <v>849120054</v>
      </c>
      <c r="H2804" s="751"/>
      <c r="I2804" s="751"/>
    </row>
    <row r="2805" spans="3:9" x14ac:dyDescent="0.25">
      <c r="C2805" s="7"/>
      <c r="D2805" s="748">
        <v>849120067</v>
      </c>
      <c r="H2805" s="751"/>
      <c r="I2805" s="751"/>
    </row>
    <row r="2806" spans="3:9" x14ac:dyDescent="0.25">
      <c r="C2806" s="7"/>
      <c r="D2806" s="748">
        <v>849120094</v>
      </c>
      <c r="H2806" s="751"/>
      <c r="I2806" s="751"/>
    </row>
    <row r="2807" spans="3:9" x14ac:dyDescent="0.25">
      <c r="C2807" s="7"/>
      <c r="D2807" s="748">
        <v>849120025</v>
      </c>
      <c r="H2807" s="751"/>
      <c r="I2807" s="751"/>
    </row>
    <row r="2808" spans="3:9" x14ac:dyDescent="0.25">
      <c r="C2808" s="7"/>
      <c r="D2808" s="748">
        <v>849120068</v>
      </c>
      <c r="H2808" s="751"/>
      <c r="I2808" s="751"/>
    </row>
    <row r="2809" spans="3:9" x14ac:dyDescent="0.25">
      <c r="C2809" s="7"/>
      <c r="D2809" s="748">
        <v>849110247</v>
      </c>
      <c r="H2809" s="751"/>
      <c r="I2809" s="751"/>
    </row>
    <row r="2810" spans="3:9" x14ac:dyDescent="0.25">
      <c r="C2810" s="7"/>
      <c r="D2810" s="748">
        <v>83911011</v>
      </c>
      <c r="H2810" s="751"/>
      <c r="I2810" s="751"/>
    </row>
    <row r="2811" spans="3:9" x14ac:dyDescent="0.25">
      <c r="C2811" s="7"/>
      <c r="D2811" s="748">
        <v>83911015</v>
      </c>
      <c r="H2811" s="751"/>
      <c r="I2811" s="751"/>
    </row>
    <row r="2812" spans="3:9" x14ac:dyDescent="0.25">
      <c r="C2812" s="7"/>
      <c r="D2812" s="748">
        <v>83911014</v>
      </c>
      <c r="H2812" s="751"/>
      <c r="I2812" s="751"/>
    </row>
    <row r="2813" spans="3:9" x14ac:dyDescent="0.25">
      <c r="C2813" s="7"/>
      <c r="D2813" s="748">
        <v>83911012</v>
      </c>
      <c r="H2813" s="751"/>
      <c r="I2813" s="751"/>
    </row>
    <row r="2814" spans="3:9" x14ac:dyDescent="0.25">
      <c r="C2814" s="7"/>
      <c r="D2814" s="748">
        <v>83911008</v>
      </c>
      <c r="H2814" s="751"/>
      <c r="I2814" s="751"/>
    </row>
    <row r="2815" spans="3:9" x14ac:dyDescent="0.25">
      <c r="C2815" s="7"/>
      <c r="D2815" s="748">
        <v>83911016</v>
      </c>
      <c r="H2815" s="751"/>
      <c r="I2815" s="751"/>
    </row>
    <row r="2816" spans="3:9" x14ac:dyDescent="0.25">
      <c r="C2816" s="7"/>
      <c r="D2816" s="748">
        <v>83911010</v>
      </c>
      <c r="H2816" s="751"/>
      <c r="I2816" s="751"/>
    </row>
    <row r="2817" spans="3:9" x14ac:dyDescent="0.25">
      <c r="C2817" s="7"/>
      <c r="D2817" s="748">
        <v>83911007</v>
      </c>
      <c r="H2817" s="751"/>
      <c r="I2817" s="751"/>
    </row>
    <row r="2818" spans="3:9" x14ac:dyDescent="0.25">
      <c r="C2818" s="7"/>
      <c r="D2818" s="748">
        <v>83911029</v>
      </c>
      <c r="H2818" s="751"/>
      <c r="I2818" s="751"/>
    </row>
    <row r="2819" spans="3:9" x14ac:dyDescent="0.25">
      <c r="C2819" s="7"/>
      <c r="D2819" s="748">
        <v>83911006</v>
      </c>
      <c r="H2819" s="751"/>
      <c r="I2819" s="751"/>
    </row>
    <row r="2820" spans="3:9" x14ac:dyDescent="0.25">
      <c r="C2820" s="7"/>
      <c r="D2820" s="748">
        <v>83911028</v>
      </c>
      <c r="H2820" s="751"/>
      <c r="I2820" s="751"/>
    </row>
    <row r="2821" spans="3:9" x14ac:dyDescent="0.25">
      <c r="C2821" s="7"/>
      <c r="D2821" s="748">
        <v>83911020</v>
      </c>
      <c r="H2821" s="751"/>
      <c r="I2821" s="751"/>
    </row>
    <row r="2822" spans="3:9" x14ac:dyDescent="0.25">
      <c r="C2822" s="7"/>
      <c r="D2822" s="748">
        <v>83911003</v>
      </c>
      <c r="H2822" s="751"/>
      <c r="I2822" s="751"/>
    </row>
    <row r="2823" spans="3:9" x14ac:dyDescent="0.25">
      <c r="C2823" s="7"/>
      <c r="D2823" s="748">
        <v>83911019</v>
      </c>
      <c r="H2823" s="751"/>
      <c r="I2823" s="751"/>
    </row>
    <row r="2824" spans="3:9" x14ac:dyDescent="0.25">
      <c r="C2824" s="7"/>
      <c r="D2824" s="748">
        <v>83911005</v>
      </c>
      <c r="H2824" s="751"/>
      <c r="I2824" s="751"/>
    </row>
    <row r="2825" spans="3:9" x14ac:dyDescent="0.25">
      <c r="C2825" s="7"/>
      <c r="D2825" s="748">
        <v>83911004</v>
      </c>
      <c r="H2825" s="751"/>
      <c r="I2825" s="751"/>
    </row>
    <row r="2826" spans="3:9" x14ac:dyDescent="0.25">
      <c r="C2826" s="7"/>
      <c r="D2826" s="748">
        <v>83911021</v>
      </c>
      <c r="H2826" s="751"/>
      <c r="I2826" s="751"/>
    </row>
    <row r="2827" spans="3:9" x14ac:dyDescent="0.25">
      <c r="C2827" s="7"/>
      <c r="D2827" s="748">
        <v>83911023</v>
      </c>
      <c r="H2827" s="751"/>
      <c r="I2827" s="751"/>
    </row>
    <row r="2828" spans="3:9" x14ac:dyDescent="0.25">
      <c r="C2828" s="7"/>
      <c r="D2828" s="748">
        <v>83911018</v>
      </c>
      <c r="H2828" s="751"/>
      <c r="I2828" s="751"/>
    </row>
    <row r="2829" spans="3:9" x14ac:dyDescent="0.25">
      <c r="C2829" s="7"/>
      <c r="D2829" s="748">
        <v>83911026</v>
      </c>
      <c r="H2829" s="751"/>
      <c r="I2829" s="751"/>
    </row>
    <row r="2830" spans="3:9" x14ac:dyDescent="0.25">
      <c r="C2830" s="7"/>
      <c r="D2830" s="748"/>
      <c r="H2830" s="751"/>
      <c r="I2830" s="751"/>
    </row>
    <row r="2831" spans="3:9" x14ac:dyDescent="0.25">
      <c r="C2831" s="7"/>
      <c r="D2831" s="749">
        <v>839216008</v>
      </c>
      <c r="H2831" s="751"/>
      <c r="I2831" s="751"/>
    </row>
    <row r="2832" spans="3:9" x14ac:dyDescent="0.25">
      <c r="C2832" s="7"/>
      <c r="D2832" s="749">
        <v>829117012</v>
      </c>
      <c r="H2832" s="751"/>
      <c r="I2832" s="751"/>
    </row>
    <row r="2833" spans="3:9" x14ac:dyDescent="0.25">
      <c r="C2833" s="7"/>
      <c r="D2833" s="749">
        <v>849117002</v>
      </c>
      <c r="H2833" s="751"/>
      <c r="I2833" s="751"/>
    </row>
    <row r="2834" spans="3:9" x14ac:dyDescent="0.25">
      <c r="C2834" s="7"/>
      <c r="D2834" s="749">
        <v>849117046</v>
      </c>
      <c r="H2834" s="751"/>
      <c r="I2834" s="751"/>
    </row>
    <row r="2835" spans="3:9" x14ac:dyDescent="0.25">
      <c r="C2835" s="7"/>
      <c r="D2835" s="749">
        <v>849317032</v>
      </c>
      <c r="H2835" s="751"/>
      <c r="I2835" s="751"/>
    </row>
    <row r="2836" spans="3:9" x14ac:dyDescent="0.25">
      <c r="C2836" s="7"/>
      <c r="D2836" s="749">
        <v>849215008</v>
      </c>
      <c r="H2836" s="751"/>
      <c r="I2836" s="751"/>
    </row>
    <row r="2837" spans="3:9" x14ac:dyDescent="0.25">
      <c r="C2837" s="7"/>
      <c r="D2837" s="749">
        <v>849315037</v>
      </c>
      <c r="H2837" s="751"/>
      <c r="I2837" s="751"/>
    </row>
    <row r="2838" spans="3:9" x14ac:dyDescent="0.25">
      <c r="C2838" s="7"/>
      <c r="D2838" s="749">
        <v>849317005</v>
      </c>
      <c r="H2838" s="751"/>
      <c r="I2838" s="751"/>
    </row>
    <row r="2839" spans="3:9" x14ac:dyDescent="0.25">
      <c r="C2839" s="7"/>
      <c r="D2839" s="749">
        <v>849416010</v>
      </c>
      <c r="H2839" s="751"/>
      <c r="I2839" s="751"/>
    </row>
    <row r="2840" spans="3:9" x14ac:dyDescent="0.25">
      <c r="C2840" s="7"/>
      <c r="D2840" s="749">
        <v>849116032</v>
      </c>
      <c r="H2840" s="751"/>
      <c r="I2840" s="751"/>
    </row>
    <row r="2841" spans="3:9" x14ac:dyDescent="0.25">
      <c r="C2841" s="7"/>
      <c r="D2841" s="749">
        <v>829116009</v>
      </c>
      <c r="H2841" s="751"/>
      <c r="I2841" s="751"/>
    </row>
    <row r="2842" spans="3:9" x14ac:dyDescent="0.25">
      <c r="C2842" s="7"/>
      <c r="D2842" s="749">
        <v>849117005</v>
      </c>
      <c r="H2842" s="751"/>
      <c r="I2842" s="751"/>
    </row>
    <row r="2843" spans="3:9" x14ac:dyDescent="0.25">
      <c r="C2843" s="7"/>
      <c r="D2843" s="749">
        <v>849417008</v>
      </c>
      <c r="H2843" s="751"/>
      <c r="I2843" s="751"/>
    </row>
    <row r="2844" spans="3:9" x14ac:dyDescent="0.25">
      <c r="C2844" s="7"/>
      <c r="D2844" s="749">
        <v>849417007</v>
      </c>
      <c r="H2844" s="751"/>
      <c r="I2844" s="751"/>
    </row>
    <row r="2845" spans="3:9" x14ac:dyDescent="0.25">
      <c r="C2845" s="7"/>
      <c r="D2845" s="749">
        <v>841915001</v>
      </c>
      <c r="H2845" s="751"/>
      <c r="I2845" s="751"/>
    </row>
    <row r="2846" spans="3:9" x14ac:dyDescent="0.25">
      <c r="C2846" s="7"/>
      <c r="D2846" s="749">
        <v>839217015</v>
      </c>
      <c r="H2846" s="751"/>
      <c r="I2846" s="751"/>
    </row>
    <row r="2847" spans="3:9" x14ac:dyDescent="0.25">
      <c r="C2847" s="7"/>
      <c r="D2847" s="749">
        <v>849316028</v>
      </c>
      <c r="H2847" s="751"/>
      <c r="I2847" s="751"/>
    </row>
    <row r="2848" spans="3:9" x14ac:dyDescent="0.25">
      <c r="C2848" s="7"/>
      <c r="D2848" s="749">
        <v>849316036</v>
      </c>
      <c r="H2848" s="751"/>
      <c r="I2848" s="751"/>
    </row>
    <row r="2849" spans="3:9" x14ac:dyDescent="0.25">
      <c r="C2849" s="7"/>
      <c r="D2849" s="749">
        <v>839217029</v>
      </c>
      <c r="H2849" s="751"/>
      <c r="I2849" s="751"/>
    </row>
    <row r="2850" spans="3:9" x14ac:dyDescent="0.25">
      <c r="C2850" s="7"/>
      <c r="D2850" s="749">
        <v>849215007</v>
      </c>
      <c r="H2850" s="751"/>
      <c r="I2850" s="751"/>
    </row>
    <row r="2851" spans="3:9" x14ac:dyDescent="0.25">
      <c r="C2851" s="7"/>
      <c r="D2851" s="749">
        <v>839117002</v>
      </c>
      <c r="H2851" s="751"/>
      <c r="I2851" s="751"/>
    </row>
    <row r="2852" spans="3:9" x14ac:dyDescent="0.25">
      <c r="C2852" s="7"/>
      <c r="D2852" s="749">
        <v>849117016</v>
      </c>
      <c r="H2852" s="751"/>
      <c r="I2852" s="751"/>
    </row>
    <row r="2853" spans="3:9" x14ac:dyDescent="0.25">
      <c r="C2853" s="7"/>
      <c r="D2853" s="749">
        <v>849116012</v>
      </c>
      <c r="H2853" s="751"/>
      <c r="I2853" s="751"/>
    </row>
    <row r="2854" spans="3:9" x14ac:dyDescent="0.25">
      <c r="C2854" s="7"/>
      <c r="D2854" s="749">
        <v>849117042</v>
      </c>
      <c r="H2854" s="751"/>
      <c r="I2854" s="751"/>
    </row>
    <row r="2855" spans="3:9" x14ac:dyDescent="0.25">
      <c r="C2855" s="7"/>
      <c r="D2855" s="749">
        <v>83913002</v>
      </c>
      <c r="H2855" s="751"/>
      <c r="I2855" s="751"/>
    </row>
    <row r="2856" spans="3:9" x14ac:dyDescent="0.25">
      <c r="C2856" s="7"/>
      <c r="D2856" s="749">
        <v>849115025</v>
      </c>
      <c r="H2856" s="751"/>
      <c r="I2856" s="751"/>
    </row>
    <row r="2857" spans="3:9" x14ac:dyDescent="0.25">
      <c r="C2857" s="7"/>
      <c r="D2857" s="749">
        <v>849116036</v>
      </c>
      <c r="H2857" s="751"/>
      <c r="I2857" s="751"/>
    </row>
    <row r="2858" spans="3:9" x14ac:dyDescent="0.25">
      <c r="C2858" s="7"/>
      <c r="D2858" s="742">
        <v>849116012</v>
      </c>
      <c r="H2858" s="751"/>
      <c r="I2858" s="751"/>
    </row>
    <row r="2859" spans="3:9" x14ac:dyDescent="0.25">
      <c r="C2859" s="7"/>
      <c r="D2859" s="742">
        <v>849116032</v>
      </c>
      <c r="H2859" s="751"/>
      <c r="I2859" s="751"/>
    </row>
    <row r="2860" spans="3:9" x14ac:dyDescent="0.25">
      <c r="C2860" s="7"/>
      <c r="D2860" s="742">
        <v>849116010</v>
      </c>
      <c r="H2860" s="751"/>
      <c r="I2860" s="751"/>
    </row>
    <row r="2861" spans="3:9" x14ac:dyDescent="0.25">
      <c r="C2861" s="7"/>
      <c r="D2861" s="742">
        <v>849316005</v>
      </c>
      <c r="H2861" s="751"/>
      <c r="I2861" s="751"/>
    </row>
    <row r="2862" spans="3:9" x14ac:dyDescent="0.25">
      <c r="C2862" s="7"/>
      <c r="D2862" s="742">
        <v>839116006</v>
      </c>
      <c r="H2862" s="751"/>
      <c r="I2862" s="751"/>
    </row>
    <row r="2863" spans="3:9" x14ac:dyDescent="0.25">
      <c r="C2863" s="7"/>
      <c r="D2863" s="742">
        <v>849117046</v>
      </c>
      <c r="H2863" s="751"/>
      <c r="I2863" s="751"/>
    </row>
    <row r="2864" spans="3:9" x14ac:dyDescent="0.25">
      <c r="C2864" s="7"/>
      <c r="D2864" s="742">
        <v>849315037</v>
      </c>
      <c r="H2864" s="751"/>
      <c r="I2864" s="751"/>
    </row>
    <row r="2865" spans="3:9" x14ac:dyDescent="0.25">
      <c r="C2865" s="7"/>
      <c r="D2865" s="742">
        <v>849317005</v>
      </c>
      <c r="H2865" s="751"/>
      <c r="I2865" s="751"/>
    </row>
    <row r="2866" spans="3:9" x14ac:dyDescent="0.25">
      <c r="C2866" s="7"/>
      <c r="D2866" s="742">
        <v>849317032</v>
      </c>
      <c r="H2866" s="751"/>
      <c r="I2866" s="751"/>
    </row>
    <row r="2867" spans="3:9" x14ac:dyDescent="0.25">
      <c r="C2867" s="7"/>
      <c r="D2867" s="742">
        <v>849215007</v>
      </c>
      <c r="H2867" s="751"/>
      <c r="I2867" s="751"/>
    </row>
    <row r="2868" spans="3:9" x14ac:dyDescent="0.25">
      <c r="C2868" s="7"/>
      <c r="D2868" s="742">
        <v>849117016</v>
      </c>
      <c r="H2868" s="751"/>
      <c r="I2868" s="751"/>
    </row>
    <row r="2869" spans="3:9" x14ac:dyDescent="0.25">
      <c r="C2869" s="7"/>
      <c r="D2869" s="742">
        <v>849417007</v>
      </c>
      <c r="H2869" s="751"/>
      <c r="I2869" s="751"/>
    </row>
    <row r="2870" spans="3:9" x14ac:dyDescent="0.25">
      <c r="C2870" s="7"/>
      <c r="D2870" s="742">
        <v>839217015</v>
      </c>
      <c r="H2870" s="751"/>
      <c r="I2870" s="751"/>
    </row>
    <row r="2871" spans="3:9" x14ac:dyDescent="0.25">
      <c r="C2871" s="7"/>
      <c r="D2871" s="742">
        <v>849117005</v>
      </c>
      <c r="H2871" s="751"/>
      <c r="I2871" s="751"/>
    </row>
    <row r="2872" spans="3:9" x14ac:dyDescent="0.25">
      <c r="C2872" s="7"/>
      <c r="D2872" s="742">
        <v>849215008</v>
      </c>
      <c r="H2872" s="751"/>
      <c r="I2872" s="751"/>
    </row>
    <row r="2873" spans="3:9" x14ac:dyDescent="0.25">
      <c r="C2873" s="7"/>
      <c r="D2873" s="742">
        <v>839217030</v>
      </c>
      <c r="H2873" s="751"/>
      <c r="I2873" s="751"/>
    </row>
    <row r="2874" spans="3:9" x14ac:dyDescent="0.25">
      <c r="C2874" s="7"/>
      <c r="D2874" s="742">
        <v>839116009</v>
      </c>
      <c r="H2874" s="751"/>
      <c r="I2874" s="751"/>
    </row>
    <row r="2875" spans="3:9" x14ac:dyDescent="0.25">
      <c r="C2875" s="7"/>
      <c r="D2875" s="742">
        <v>849416002</v>
      </c>
      <c r="H2875" s="751"/>
      <c r="I2875" s="751"/>
    </row>
    <row r="2876" spans="3:9" x14ac:dyDescent="0.25">
      <c r="C2876" s="7"/>
      <c r="D2876" s="742">
        <v>849416010</v>
      </c>
      <c r="H2876" s="751"/>
      <c r="I2876" s="751"/>
    </row>
    <row r="2877" spans="3:9" x14ac:dyDescent="0.25">
      <c r="C2877" s="7"/>
      <c r="D2877" s="742">
        <v>839217029</v>
      </c>
      <c r="H2877" s="751"/>
      <c r="I2877" s="751"/>
    </row>
    <row r="2878" spans="3:9" x14ac:dyDescent="0.25">
      <c r="C2878" s="7"/>
      <c r="D2878" s="742">
        <v>849417008</v>
      </c>
      <c r="H2878" s="751"/>
      <c r="I2878" s="751"/>
    </row>
    <row r="2879" spans="3:9" x14ac:dyDescent="0.25">
      <c r="C2879" s="7"/>
      <c r="D2879" s="742">
        <v>829117012</v>
      </c>
      <c r="H2879" s="751"/>
      <c r="I2879" s="751"/>
    </row>
    <row r="2880" spans="3:9" x14ac:dyDescent="0.25">
      <c r="C2880" s="7"/>
      <c r="D2880" s="742">
        <v>849117002</v>
      </c>
      <c r="H2880" s="751"/>
      <c r="I2880" s="751"/>
    </row>
  </sheetData>
  <mergeCells count="5">
    <mergeCell ref="A2:A4"/>
    <mergeCell ref="B2:B4"/>
    <mergeCell ref="C2:C4"/>
    <mergeCell ref="D2:D4"/>
    <mergeCell ref="E2:E4"/>
  </mergeCells>
  <conditionalFormatting sqref="D2051">
    <cfRule type="duplicateValues" dxfId="5" priority="3"/>
    <cfRule type="duplicateValues" dxfId="4" priority="4"/>
  </conditionalFormatting>
  <conditionalFormatting sqref="D2052">
    <cfRule type="duplicateValues" dxfId="3" priority="5"/>
    <cfRule type="duplicateValues" dxfId="2" priority="6"/>
  </conditionalFormatting>
  <conditionalFormatting sqref="D2201:D2854">
    <cfRule type="duplicateValues" dxfId="1" priority="16"/>
  </conditionalFormatting>
  <conditionalFormatting sqref="D2201:D2857">
    <cfRule type="duplicateValues" dxfId="0" priority="17"/>
  </conditionalFormatting>
  <pageMargins left="0.7" right="0.7" top="0.75" bottom="0.75" header="0.3" footer="0.3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499"/>
  <sheetViews>
    <sheetView topLeftCell="A450" workbookViewId="0">
      <selection activeCell="E470" sqref="E470"/>
    </sheetView>
  </sheetViews>
  <sheetFormatPr defaultColWidth="9.140625" defaultRowHeight="15" x14ac:dyDescent="0.25"/>
  <cols>
    <col min="1" max="1" width="4.28515625" style="32" customWidth="1"/>
    <col min="2" max="2" width="11.42578125" style="771" customWidth="1"/>
    <col min="3" max="3" width="33.85546875" style="758" customWidth="1"/>
    <col min="4" max="4" width="9.5703125" style="1089" customWidth="1"/>
    <col min="5" max="5" width="16.28515625" style="758" customWidth="1"/>
    <col min="6" max="6" width="8.7109375" style="759" customWidth="1"/>
    <col min="7" max="16384" width="9.140625" style="758"/>
  </cols>
  <sheetData>
    <row r="1" spans="1:7" s="1087" customFormat="1" x14ac:dyDescent="0.25">
      <c r="A1" s="1090" t="s">
        <v>2931</v>
      </c>
      <c r="B1" s="1091" t="s">
        <v>2932</v>
      </c>
      <c r="C1" s="1087" t="s">
        <v>2933</v>
      </c>
      <c r="D1" s="1092" t="s">
        <v>2934</v>
      </c>
      <c r="E1" s="1087" t="s">
        <v>3</v>
      </c>
      <c r="F1" s="1087" t="s">
        <v>2935</v>
      </c>
    </row>
    <row r="2" spans="1:7" x14ac:dyDescent="0.25">
      <c r="A2" s="1093">
        <v>1</v>
      </c>
      <c r="B2" s="1094">
        <v>829115002</v>
      </c>
      <c r="C2" s="2306" t="s">
        <v>2936</v>
      </c>
      <c r="D2" s="1096">
        <v>43677</v>
      </c>
      <c r="E2" s="758" t="str">
        <f t="shared" ref="E2:E33" si="0">VLOOKUP(B2,DNIMP,3,FALSE)</f>
        <v>KPI</v>
      </c>
      <c r="F2" s="859">
        <f t="shared" ref="F2:F33" si="1">VLOOKUP(B2,DNIMP,4,FALSE)</f>
        <v>2015</v>
      </c>
      <c r="G2" s="1089"/>
    </row>
    <row r="3" spans="1:7" x14ac:dyDescent="0.25">
      <c r="A3" s="1093">
        <v>2</v>
      </c>
      <c r="B3" s="1094">
        <v>83911024</v>
      </c>
      <c r="C3" s="1088" t="s">
        <v>847</v>
      </c>
      <c r="D3" s="1097">
        <v>42782</v>
      </c>
      <c r="E3" s="758" t="str">
        <f t="shared" si="0"/>
        <v>HK</v>
      </c>
      <c r="F3" s="859">
        <f t="shared" si="1"/>
        <v>2011</v>
      </c>
    </row>
    <row r="4" spans="1:7" x14ac:dyDescent="0.25">
      <c r="A4" s="1093">
        <v>3</v>
      </c>
      <c r="B4" s="1094">
        <v>839131012</v>
      </c>
      <c r="C4" s="1088" t="s">
        <v>1226</v>
      </c>
      <c r="D4" s="1097">
        <v>42767</v>
      </c>
      <c r="E4" s="758" t="str">
        <f t="shared" si="0"/>
        <v>HK</v>
      </c>
      <c r="F4" s="859" t="str">
        <f t="shared" si="1"/>
        <v>2013-</v>
      </c>
    </row>
    <row r="5" spans="1:7" x14ac:dyDescent="0.25">
      <c r="A5" s="1093">
        <v>4</v>
      </c>
      <c r="B5" s="1094">
        <v>829115001</v>
      </c>
      <c r="C5" s="1095" t="s">
        <v>2937</v>
      </c>
      <c r="D5" s="1096">
        <v>43682</v>
      </c>
      <c r="E5" s="758" t="str">
        <f t="shared" si="0"/>
        <v>KPI</v>
      </c>
      <c r="F5" s="859">
        <f t="shared" si="1"/>
        <v>2015</v>
      </c>
    </row>
    <row r="6" spans="1:7" x14ac:dyDescent="0.25">
      <c r="A6" s="1093">
        <v>5</v>
      </c>
      <c r="B6" s="1094">
        <v>829115003</v>
      </c>
      <c r="C6" s="1095" t="s">
        <v>2938</v>
      </c>
      <c r="D6" s="1096">
        <v>43104</v>
      </c>
      <c r="E6" s="758" t="str">
        <f t="shared" si="0"/>
        <v>KPI</v>
      </c>
      <c r="F6" s="859">
        <f t="shared" si="1"/>
        <v>2015</v>
      </c>
    </row>
    <row r="7" spans="1:7" x14ac:dyDescent="0.25">
      <c r="A7" s="1093">
        <v>6</v>
      </c>
      <c r="B7" s="1094">
        <v>829115005</v>
      </c>
      <c r="C7" s="1095" t="s">
        <v>2939</v>
      </c>
      <c r="D7" s="1096">
        <v>43573</v>
      </c>
      <c r="E7" s="758" t="str">
        <f t="shared" si="0"/>
        <v>KPI</v>
      </c>
      <c r="F7" s="859">
        <f t="shared" si="1"/>
        <v>2015</v>
      </c>
    </row>
    <row r="8" spans="1:7" x14ac:dyDescent="0.25">
      <c r="A8" s="1093">
        <v>7</v>
      </c>
      <c r="B8" s="1094">
        <v>829115006</v>
      </c>
      <c r="C8" s="1098" t="s">
        <v>1448</v>
      </c>
      <c r="D8" s="1096">
        <v>43566</v>
      </c>
      <c r="E8" s="758" t="str">
        <f t="shared" si="0"/>
        <v>KPI</v>
      </c>
      <c r="F8" s="859">
        <f t="shared" si="1"/>
        <v>2015</v>
      </c>
    </row>
    <row r="9" spans="1:7" x14ac:dyDescent="0.25">
      <c r="A9" s="1093">
        <v>8</v>
      </c>
      <c r="B9" s="1094">
        <v>829115007</v>
      </c>
      <c r="C9" s="2306" t="s">
        <v>2940</v>
      </c>
      <c r="D9" s="1096">
        <v>43573</v>
      </c>
      <c r="E9" s="758" t="str">
        <f t="shared" si="0"/>
        <v>KPI</v>
      </c>
      <c r="F9" s="859">
        <f t="shared" si="1"/>
        <v>2015</v>
      </c>
    </row>
    <row r="10" spans="1:7" x14ac:dyDescent="0.25">
      <c r="A10" s="1093">
        <v>9</v>
      </c>
      <c r="B10" s="1094">
        <v>829115008</v>
      </c>
      <c r="C10" s="1088" t="s">
        <v>1450</v>
      </c>
      <c r="D10" s="1097">
        <v>43682</v>
      </c>
      <c r="E10" s="758" t="str">
        <f t="shared" si="0"/>
        <v>KPI</v>
      </c>
      <c r="F10" s="859">
        <f t="shared" si="1"/>
        <v>2015</v>
      </c>
    </row>
    <row r="11" spans="1:7" x14ac:dyDescent="0.25">
      <c r="A11" s="1093">
        <v>10</v>
      </c>
      <c r="B11" s="1094">
        <v>829115009</v>
      </c>
      <c r="C11" s="1095" t="s">
        <v>2941</v>
      </c>
      <c r="D11" s="1096">
        <v>43677</v>
      </c>
      <c r="E11" s="758" t="str">
        <f t="shared" si="0"/>
        <v>KPI</v>
      </c>
      <c r="F11" s="859">
        <f t="shared" si="1"/>
        <v>2015</v>
      </c>
    </row>
    <row r="12" spans="1:7" x14ac:dyDescent="0.25">
      <c r="A12" s="1093">
        <v>11</v>
      </c>
      <c r="B12" s="1094">
        <v>829115011</v>
      </c>
      <c r="C12" s="2306" t="s">
        <v>2942</v>
      </c>
      <c r="D12" s="1096">
        <v>43677</v>
      </c>
      <c r="E12" s="758" t="str">
        <f t="shared" si="0"/>
        <v>KPI</v>
      </c>
      <c r="F12" s="859">
        <f t="shared" si="1"/>
        <v>2015</v>
      </c>
    </row>
    <row r="13" spans="1:7" x14ac:dyDescent="0.25">
      <c r="A13" s="1093">
        <v>12</v>
      </c>
      <c r="B13" s="1094">
        <v>829116001</v>
      </c>
      <c r="C13" s="2307" t="s">
        <v>2943</v>
      </c>
      <c r="D13" s="1100">
        <v>43294</v>
      </c>
      <c r="E13" s="758" t="str">
        <f t="shared" si="0"/>
        <v>KPI</v>
      </c>
      <c r="F13" s="859">
        <f t="shared" si="1"/>
        <v>2016</v>
      </c>
    </row>
    <row r="14" spans="1:7" x14ac:dyDescent="0.25">
      <c r="A14" s="1093">
        <v>13</v>
      </c>
      <c r="B14" s="1094">
        <v>829116003</v>
      </c>
      <c r="C14" s="2306" t="s">
        <v>2944</v>
      </c>
      <c r="D14" s="1096">
        <v>43529</v>
      </c>
      <c r="E14" s="758" t="str">
        <f t="shared" si="0"/>
        <v>KPI</v>
      </c>
      <c r="F14" s="859">
        <f t="shared" si="1"/>
        <v>2016</v>
      </c>
    </row>
    <row r="15" spans="1:7" x14ac:dyDescent="0.25">
      <c r="A15" s="1093">
        <v>14</v>
      </c>
      <c r="B15" s="1094">
        <v>839116009</v>
      </c>
      <c r="C15" s="1098" t="s">
        <v>1585</v>
      </c>
      <c r="D15" s="1096">
        <v>43656</v>
      </c>
      <c r="E15" s="758" t="str">
        <f t="shared" si="0"/>
        <v>HK</v>
      </c>
      <c r="F15" s="859">
        <f t="shared" si="1"/>
        <v>2016</v>
      </c>
    </row>
    <row r="16" spans="1:7" x14ac:dyDescent="0.25">
      <c r="A16" s="1093">
        <v>15</v>
      </c>
      <c r="B16" s="1094">
        <v>829117012</v>
      </c>
      <c r="C16" s="2306" t="s">
        <v>1974</v>
      </c>
      <c r="D16" s="1096">
        <v>43580</v>
      </c>
      <c r="E16" s="758" t="str">
        <f t="shared" si="0"/>
        <v>KPI</v>
      </c>
      <c r="F16" s="859">
        <f t="shared" si="1"/>
        <v>2017</v>
      </c>
    </row>
    <row r="17" spans="1:6" x14ac:dyDescent="0.25">
      <c r="A17" s="1093">
        <v>16</v>
      </c>
      <c r="B17" s="1094">
        <v>839114001</v>
      </c>
      <c r="C17" s="1088" t="s">
        <v>384</v>
      </c>
      <c r="D17" s="1097">
        <v>43440</v>
      </c>
      <c r="E17" s="758" t="str">
        <f t="shared" si="0"/>
        <v>HK</v>
      </c>
      <c r="F17" s="859">
        <f t="shared" si="1"/>
        <v>2014</v>
      </c>
    </row>
    <row r="18" spans="1:6" x14ac:dyDescent="0.25">
      <c r="A18" s="1093">
        <v>17</v>
      </c>
      <c r="B18" s="1094">
        <v>839114005</v>
      </c>
      <c r="C18" s="1088" t="s">
        <v>1299</v>
      </c>
      <c r="D18" s="1097">
        <v>43441</v>
      </c>
      <c r="E18" s="758" t="str">
        <f t="shared" si="0"/>
        <v>HK</v>
      </c>
      <c r="F18" s="859">
        <f t="shared" si="1"/>
        <v>2014</v>
      </c>
    </row>
    <row r="19" spans="1:6" x14ac:dyDescent="0.25">
      <c r="A19" s="1093">
        <v>18</v>
      </c>
      <c r="B19" s="1094">
        <v>839114006</v>
      </c>
      <c r="C19" s="1099" t="s">
        <v>1297</v>
      </c>
      <c r="D19" s="1100">
        <v>42900</v>
      </c>
      <c r="E19" s="758" t="str">
        <f t="shared" si="0"/>
        <v>HK</v>
      </c>
      <c r="F19" s="859">
        <f t="shared" si="1"/>
        <v>2014</v>
      </c>
    </row>
    <row r="20" spans="1:6" x14ac:dyDescent="0.25">
      <c r="A20" s="1093">
        <v>19</v>
      </c>
      <c r="B20" s="1094">
        <v>839114008</v>
      </c>
      <c r="C20" s="2307" t="s">
        <v>1300</v>
      </c>
      <c r="D20" s="1100">
        <v>43314</v>
      </c>
      <c r="E20" s="758" t="str">
        <f t="shared" si="0"/>
        <v>HK</v>
      </c>
      <c r="F20" s="859">
        <f t="shared" si="1"/>
        <v>2014</v>
      </c>
    </row>
    <row r="21" spans="1:6" x14ac:dyDescent="0.25">
      <c r="A21" s="1093">
        <v>20</v>
      </c>
      <c r="B21" s="1094">
        <v>839114009</v>
      </c>
      <c r="C21" s="1088" t="s">
        <v>2945</v>
      </c>
      <c r="D21" s="1097">
        <v>43440</v>
      </c>
      <c r="E21" s="758" t="str">
        <f t="shared" si="0"/>
        <v>HK</v>
      </c>
      <c r="F21" s="859">
        <f t="shared" si="1"/>
        <v>2014</v>
      </c>
    </row>
    <row r="22" spans="1:6" x14ac:dyDescent="0.25">
      <c r="A22" s="1093">
        <v>21</v>
      </c>
      <c r="B22" s="1094">
        <v>839114013</v>
      </c>
      <c r="C22" s="1088" t="s">
        <v>2946</v>
      </c>
      <c r="D22" s="1101">
        <v>42733</v>
      </c>
      <c r="E22" s="758" t="str">
        <f t="shared" si="0"/>
        <v>HK</v>
      </c>
      <c r="F22" s="859">
        <f t="shared" si="1"/>
        <v>2014</v>
      </c>
    </row>
    <row r="23" spans="1:6" x14ac:dyDescent="0.25">
      <c r="A23" s="1093">
        <v>22</v>
      </c>
      <c r="B23" s="1094">
        <v>839114014</v>
      </c>
      <c r="C23" s="1088" t="s">
        <v>2878</v>
      </c>
      <c r="D23" s="1101">
        <v>42732</v>
      </c>
      <c r="E23" s="758" t="str">
        <f t="shared" si="0"/>
        <v>HK</v>
      </c>
      <c r="F23" s="859">
        <f t="shared" si="1"/>
        <v>2014</v>
      </c>
    </row>
    <row r="24" spans="1:6" x14ac:dyDescent="0.25">
      <c r="A24" s="1093">
        <v>23</v>
      </c>
      <c r="B24" s="1094">
        <v>839115001</v>
      </c>
      <c r="C24" s="1099" t="s">
        <v>1423</v>
      </c>
      <c r="D24" s="1100">
        <v>42943</v>
      </c>
      <c r="E24" s="758" t="str">
        <f t="shared" si="0"/>
        <v>HK</v>
      </c>
      <c r="F24" s="859">
        <f t="shared" si="1"/>
        <v>2015</v>
      </c>
    </row>
    <row r="25" spans="1:6" x14ac:dyDescent="0.25">
      <c r="A25" s="1093">
        <v>24</v>
      </c>
      <c r="B25" s="1094">
        <v>839115002</v>
      </c>
      <c r="C25" s="1099" t="s">
        <v>1424</v>
      </c>
      <c r="D25" s="1100">
        <v>43061</v>
      </c>
      <c r="E25" s="758" t="str">
        <f t="shared" si="0"/>
        <v>HK</v>
      </c>
      <c r="F25" s="859">
        <f t="shared" si="1"/>
        <v>2015</v>
      </c>
    </row>
    <row r="26" spans="1:6" x14ac:dyDescent="0.25">
      <c r="A26" s="1093">
        <v>25</v>
      </c>
      <c r="B26" s="1094">
        <v>839115004</v>
      </c>
      <c r="C26" s="1088" t="s">
        <v>2892</v>
      </c>
      <c r="D26" s="1101">
        <v>42811</v>
      </c>
      <c r="E26" s="758" t="str">
        <f t="shared" si="0"/>
        <v>HK</v>
      </c>
      <c r="F26" s="859">
        <f t="shared" si="1"/>
        <v>2015</v>
      </c>
    </row>
    <row r="27" spans="1:6" x14ac:dyDescent="0.25">
      <c r="A27" s="1093">
        <v>26</v>
      </c>
      <c r="B27" s="1094">
        <v>839115005</v>
      </c>
      <c r="C27" s="1099" t="s">
        <v>1428</v>
      </c>
      <c r="D27" s="1100">
        <v>42949</v>
      </c>
      <c r="E27" s="758" t="str">
        <f t="shared" si="0"/>
        <v>HK</v>
      </c>
      <c r="F27" s="859">
        <f t="shared" si="1"/>
        <v>2015</v>
      </c>
    </row>
    <row r="28" spans="1:6" x14ac:dyDescent="0.25">
      <c r="A28" s="1093">
        <v>27</v>
      </c>
      <c r="B28" s="1094">
        <v>839115006</v>
      </c>
      <c r="C28" s="2307" t="s">
        <v>1429</v>
      </c>
      <c r="D28" s="1100">
        <v>43251</v>
      </c>
      <c r="E28" s="758" t="str">
        <f t="shared" si="0"/>
        <v>HK</v>
      </c>
      <c r="F28" s="859">
        <f t="shared" si="1"/>
        <v>2015</v>
      </c>
    </row>
    <row r="29" spans="1:6" x14ac:dyDescent="0.25">
      <c r="A29" s="1093">
        <v>28</v>
      </c>
      <c r="B29" s="1094">
        <v>839115007</v>
      </c>
      <c r="C29" s="1098" t="s">
        <v>2947</v>
      </c>
      <c r="D29" s="1096">
        <v>43672</v>
      </c>
      <c r="E29" s="758" t="str">
        <f t="shared" si="0"/>
        <v>HK</v>
      </c>
      <c r="F29" s="859">
        <f t="shared" si="1"/>
        <v>2015</v>
      </c>
    </row>
    <row r="30" spans="1:6" x14ac:dyDescent="0.25">
      <c r="A30" s="1093">
        <v>29</v>
      </c>
      <c r="B30" s="1094">
        <v>839115008</v>
      </c>
      <c r="C30" s="1102" t="s">
        <v>1431</v>
      </c>
      <c r="D30" s="1100">
        <v>42984</v>
      </c>
      <c r="E30" s="758" t="str">
        <f t="shared" si="0"/>
        <v>HK</v>
      </c>
      <c r="F30" s="859">
        <f t="shared" si="1"/>
        <v>2015</v>
      </c>
    </row>
    <row r="31" spans="1:6" x14ac:dyDescent="0.25">
      <c r="A31" s="1093">
        <v>30</v>
      </c>
      <c r="B31" s="1094">
        <v>839115009</v>
      </c>
      <c r="C31" s="2307" t="s">
        <v>1433</v>
      </c>
      <c r="D31" s="1100">
        <v>43109</v>
      </c>
      <c r="E31" s="758" t="str">
        <f t="shared" si="0"/>
        <v>HK</v>
      </c>
      <c r="F31" s="859">
        <f t="shared" si="1"/>
        <v>2015</v>
      </c>
    </row>
    <row r="32" spans="1:6" x14ac:dyDescent="0.25">
      <c r="A32" s="1093">
        <v>31</v>
      </c>
      <c r="B32" s="1094">
        <v>839115010</v>
      </c>
      <c r="C32" s="1099" t="s">
        <v>1434</v>
      </c>
      <c r="D32" s="1100">
        <v>42935</v>
      </c>
      <c r="E32" s="758" t="str">
        <f t="shared" si="0"/>
        <v>HK</v>
      </c>
      <c r="F32" s="859">
        <f t="shared" si="1"/>
        <v>2015</v>
      </c>
    </row>
    <row r="33" spans="1:6" x14ac:dyDescent="0.25">
      <c r="A33" s="1093">
        <v>32</v>
      </c>
      <c r="B33" s="1094">
        <v>839115011</v>
      </c>
      <c r="C33" s="2306" t="s">
        <v>2948</v>
      </c>
      <c r="D33" s="1096">
        <v>43678</v>
      </c>
      <c r="E33" s="758" t="str">
        <f t="shared" si="0"/>
        <v>HK</v>
      </c>
      <c r="F33" s="859">
        <f t="shared" si="1"/>
        <v>2015</v>
      </c>
    </row>
    <row r="34" spans="1:6" x14ac:dyDescent="0.25">
      <c r="A34" s="1093">
        <v>33</v>
      </c>
      <c r="B34" s="1094">
        <v>839115012</v>
      </c>
      <c r="C34" s="1099" t="s">
        <v>1437</v>
      </c>
      <c r="D34" s="1100">
        <v>42943</v>
      </c>
      <c r="E34" s="758" t="str">
        <f t="shared" ref="E34:E64" si="2">VLOOKUP(B34,DNIMP,3,FALSE)</f>
        <v>HK</v>
      </c>
      <c r="F34" s="859">
        <f t="shared" ref="F34:F64" si="3">VLOOKUP(B34,DNIMP,4,FALSE)</f>
        <v>2015</v>
      </c>
    </row>
    <row r="35" spans="1:6" x14ac:dyDescent="0.25">
      <c r="A35" s="1093">
        <v>34</v>
      </c>
      <c r="B35" s="1094">
        <v>839116005</v>
      </c>
      <c r="C35" s="1098" t="s">
        <v>2949</v>
      </c>
      <c r="D35" s="1096">
        <v>43762</v>
      </c>
      <c r="E35" s="758" t="str">
        <f t="shared" si="2"/>
        <v>HK</v>
      </c>
      <c r="F35" s="859">
        <f t="shared" si="3"/>
        <v>2016</v>
      </c>
    </row>
    <row r="36" spans="1:6" x14ac:dyDescent="0.25">
      <c r="A36" s="1093">
        <v>35</v>
      </c>
      <c r="B36" s="1094">
        <v>839116006</v>
      </c>
      <c r="C36" s="1099" t="s">
        <v>2950</v>
      </c>
      <c r="D36" s="1100">
        <v>43412</v>
      </c>
      <c r="E36" s="758" t="str">
        <f t="shared" si="2"/>
        <v>HK</v>
      </c>
      <c r="F36" s="859">
        <f t="shared" si="3"/>
        <v>2016</v>
      </c>
    </row>
    <row r="37" spans="1:6" x14ac:dyDescent="0.25">
      <c r="A37" s="1093">
        <v>36</v>
      </c>
      <c r="B37" s="1094">
        <v>839116007</v>
      </c>
      <c r="C37" s="1098" t="s">
        <v>2951</v>
      </c>
      <c r="D37" s="1096">
        <v>43670</v>
      </c>
      <c r="E37" s="758" t="str">
        <f t="shared" si="2"/>
        <v>HK</v>
      </c>
      <c r="F37" s="859">
        <f t="shared" si="3"/>
        <v>2016</v>
      </c>
    </row>
    <row r="38" spans="1:6" x14ac:dyDescent="0.25">
      <c r="A38" s="1093">
        <v>37</v>
      </c>
      <c r="B38" s="1094">
        <v>839116012</v>
      </c>
      <c r="C38" s="1098" t="s">
        <v>2952</v>
      </c>
      <c r="D38" s="1096">
        <v>43405</v>
      </c>
      <c r="E38" s="758" t="str">
        <f t="shared" si="2"/>
        <v>HK</v>
      </c>
      <c r="F38" s="859">
        <f t="shared" si="3"/>
        <v>2016</v>
      </c>
    </row>
    <row r="39" spans="1:6" x14ac:dyDescent="0.25">
      <c r="A39" s="1093">
        <v>38</v>
      </c>
      <c r="B39" s="1094">
        <v>839116015</v>
      </c>
      <c r="C39" s="1098" t="s">
        <v>2953</v>
      </c>
      <c r="D39" s="1096">
        <v>43732</v>
      </c>
      <c r="E39" s="758" t="str">
        <f t="shared" si="2"/>
        <v>HK</v>
      </c>
      <c r="F39" s="859">
        <f t="shared" si="3"/>
        <v>2016</v>
      </c>
    </row>
    <row r="40" spans="1:6" x14ac:dyDescent="0.25">
      <c r="A40" s="1093">
        <v>39</v>
      </c>
      <c r="B40" s="1094">
        <v>839116017</v>
      </c>
      <c r="C40" s="2307" t="s">
        <v>2954</v>
      </c>
      <c r="D40" s="1100">
        <v>43307</v>
      </c>
      <c r="E40" s="758" t="str">
        <f t="shared" si="2"/>
        <v>HK</v>
      </c>
      <c r="F40" s="859">
        <f t="shared" si="3"/>
        <v>2016</v>
      </c>
    </row>
    <row r="41" spans="1:6" x14ac:dyDescent="0.25">
      <c r="A41" s="1093">
        <v>40</v>
      </c>
      <c r="B41" s="1094">
        <v>839116018</v>
      </c>
      <c r="C41" s="2307" t="s">
        <v>1594</v>
      </c>
      <c r="D41" s="1100">
        <v>43314</v>
      </c>
      <c r="E41" s="758" t="str">
        <f t="shared" si="2"/>
        <v>HK</v>
      </c>
      <c r="F41" s="859">
        <f t="shared" si="3"/>
        <v>2016</v>
      </c>
    </row>
    <row r="42" spans="1:6" x14ac:dyDescent="0.25">
      <c r="A42" s="1093">
        <v>41</v>
      </c>
      <c r="B42" s="1094">
        <v>839116019</v>
      </c>
      <c r="C42" s="1098" t="s">
        <v>2955</v>
      </c>
      <c r="D42" s="1096">
        <v>43678</v>
      </c>
      <c r="E42" s="758" t="str">
        <f t="shared" si="2"/>
        <v>HK</v>
      </c>
      <c r="F42" s="859">
        <f t="shared" si="3"/>
        <v>2016</v>
      </c>
    </row>
    <row r="43" spans="1:6" x14ac:dyDescent="0.25">
      <c r="A43" s="1093">
        <v>42</v>
      </c>
      <c r="B43" s="1094">
        <v>839116020</v>
      </c>
      <c r="C43" s="2306" t="s">
        <v>1596</v>
      </c>
      <c r="D43" s="1096">
        <v>43670</v>
      </c>
      <c r="E43" s="758" t="str">
        <f t="shared" si="2"/>
        <v>HK</v>
      </c>
      <c r="F43" s="859">
        <f t="shared" si="3"/>
        <v>2016</v>
      </c>
    </row>
    <row r="44" spans="1:6" x14ac:dyDescent="0.25">
      <c r="A44" s="1093">
        <v>43</v>
      </c>
      <c r="B44" s="1094">
        <v>839116021</v>
      </c>
      <c r="C44" s="1098" t="s">
        <v>1597</v>
      </c>
      <c r="D44" s="1096">
        <v>43832</v>
      </c>
      <c r="E44" s="758" t="str">
        <f t="shared" si="2"/>
        <v>HK</v>
      </c>
      <c r="F44" s="859">
        <f t="shared" si="3"/>
        <v>2016</v>
      </c>
    </row>
    <row r="45" spans="1:6" x14ac:dyDescent="0.25">
      <c r="A45" s="1093">
        <v>44</v>
      </c>
      <c r="B45" s="1094">
        <v>839117002</v>
      </c>
      <c r="C45" s="1095" t="s">
        <v>2956</v>
      </c>
      <c r="D45" s="1096">
        <v>43670</v>
      </c>
      <c r="E45" s="758" t="str">
        <f t="shared" si="2"/>
        <v>HK</v>
      </c>
      <c r="F45" s="859">
        <f t="shared" si="3"/>
        <v>2017</v>
      </c>
    </row>
    <row r="46" spans="1:6" x14ac:dyDescent="0.25">
      <c r="A46" s="1093">
        <v>45</v>
      </c>
      <c r="B46" s="1094">
        <v>839117004</v>
      </c>
      <c r="C46" s="1098" t="s">
        <v>1949</v>
      </c>
      <c r="D46" s="1096">
        <v>43837</v>
      </c>
      <c r="E46" s="758" t="str">
        <f t="shared" si="2"/>
        <v>HK</v>
      </c>
      <c r="F46" s="859">
        <f t="shared" si="3"/>
        <v>2017</v>
      </c>
    </row>
    <row r="47" spans="1:6" x14ac:dyDescent="0.25">
      <c r="A47" s="1093">
        <v>46</v>
      </c>
      <c r="B47" s="1094">
        <v>839117005</v>
      </c>
      <c r="C47" s="1098" t="s">
        <v>2957</v>
      </c>
      <c r="D47" s="1096">
        <v>43692</v>
      </c>
      <c r="E47" s="758" t="str">
        <f t="shared" si="2"/>
        <v>HK</v>
      </c>
      <c r="F47" s="859">
        <f t="shared" si="3"/>
        <v>2017</v>
      </c>
    </row>
    <row r="48" spans="1:6" x14ac:dyDescent="0.25">
      <c r="A48" s="1093">
        <v>47</v>
      </c>
      <c r="B48" s="1094">
        <v>839117009</v>
      </c>
      <c r="C48" s="1098" t="s">
        <v>2958</v>
      </c>
      <c r="D48" s="1096">
        <v>43836</v>
      </c>
      <c r="E48" s="758" t="str">
        <f t="shared" si="2"/>
        <v>HK</v>
      </c>
      <c r="F48" s="859">
        <f t="shared" si="3"/>
        <v>2017</v>
      </c>
    </row>
    <row r="49" spans="1:6" x14ac:dyDescent="0.25">
      <c r="A49" s="1093">
        <v>48</v>
      </c>
      <c r="B49" s="1094">
        <v>839117011</v>
      </c>
      <c r="C49" s="2306" t="s">
        <v>1957</v>
      </c>
      <c r="D49" s="1096">
        <v>43670</v>
      </c>
      <c r="E49" s="758" t="str">
        <f t="shared" si="2"/>
        <v>HK</v>
      </c>
      <c r="F49" s="859">
        <f t="shared" si="3"/>
        <v>2017</v>
      </c>
    </row>
    <row r="50" spans="1:6" x14ac:dyDescent="0.25">
      <c r="A50" s="1093">
        <v>49</v>
      </c>
      <c r="B50" s="1094">
        <v>839120006</v>
      </c>
      <c r="C50" s="1088" t="s">
        <v>946</v>
      </c>
      <c r="D50" s="1101">
        <v>42782</v>
      </c>
      <c r="E50" s="758" t="str">
        <f t="shared" si="2"/>
        <v>HK</v>
      </c>
      <c r="F50" s="859">
        <f t="shared" si="3"/>
        <v>2011</v>
      </c>
    </row>
    <row r="51" spans="1:6" x14ac:dyDescent="0.25">
      <c r="A51" s="1093">
        <v>50</v>
      </c>
      <c r="B51" s="1094">
        <v>839130002</v>
      </c>
      <c r="C51" s="2307" t="s">
        <v>2959</v>
      </c>
      <c r="D51" s="1100">
        <v>43300</v>
      </c>
      <c r="E51" s="758" t="str">
        <f t="shared" si="2"/>
        <v>HK</v>
      </c>
      <c r="F51" s="859">
        <f t="shared" si="3"/>
        <v>2013</v>
      </c>
    </row>
    <row r="52" spans="1:6" x14ac:dyDescent="0.25">
      <c r="A52" s="1093">
        <v>51</v>
      </c>
      <c r="B52" s="1094">
        <v>839131003</v>
      </c>
      <c r="C52" s="1099" t="s">
        <v>1217</v>
      </c>
      <c r="D52" s="1100">
        <v>43034</v>
      </c>
      <c r="E52" s="758" t="str">
        <f t="shared" si="2"/>
        <v>HK</v>
      </c>
      <c r="F52" s="859" t="str">
        <f t="shared" si="3"/>
        <v>2013-</v>
      </c>
    </row>
    <row r="53" spans="1:6" x14ac:dyDescent="0.25">
      <c r="A53" s="1093">
        <v>52</v>
      </c>
      <c r="B53" s="1094">
        <v>839134009</v>
      </c>
      <c r="C53" s="1099" t="s">
        <v>2960</v>
      </c>
      <c r="D53" s="1100">
        <v>42970</v>
      </c>
      <c r="E53" s="758" t="str">
        <f t="shared" si="2"/>
        <v>ES</v>
      </c>
      <c r="F53" s="859" t="str">
        <f t="shared" si="3"/>
        <v>2013-</v>
      </c>
    </row>
    <row r="54" spans="1:6" x14ac:dyDescent="0.25">
      <c r="A54" s="1093">
        <v>53</v>
      </c>
      <c r="B54" s="1094">
        <v>839134010</v>
      </c>
      <c r="C54" s="1088" t="s">
        <v>2888</v>
      </c>
      <c r="D54" s="1101">
        <v>42768</v>
      </c>
      <c r="E54" s="758" t="str">
        <f t="shared" si="2"/>
        <v>ES</v>
      </c>
      <c r="F54" s="859" t="str">
        <f t="shared" si="3"/>
        <v>2013-</v>
      </c>
    </row>
    <row r="55" spans="1:6" x14ac:dyDescent="0.25">
      <c r="A55" s="1093">
        <v>54</v>
      </c>
      <c r="B55" s="1094">
        <v>839134012</v>
      </c>
      <c r="C55" s="1098" t="s">
        <v>2961</v>
      </c>
      <c r="D55" s="1096">
        <v>43488</v>
      </c>
      <c r="E55" s="758" t="str">
        <f t="shared" si="2"/>
        <v>ES</v>
      </c>
      <c r="F55" s="859">
        <f t="shared" si="3"/>
        <v>2013</v>
      </c>
    </row>
    <row r="56" spans="1:6" x14ac:dyDescent="0.25">
      <c r="A56" s="1093">
        <v>55</v>
      </c>
      <c r="B56" s="1094">
        <v>839134016</v>
      </c>
      <c r="C56" s="1099" t="s">
        <v>1205</v>
      </c>
      <c r="D56" s="1100">
        <v>42984</v>
      </c>
      <c r="E56" s="758" t="str">
        <f t="shared" si="2"/>
        <v>ES</v>
      </c>
      <c r="F56" s="859" t="str">
        <f t="shared" si="3"/>
        <v>2013-</v>
      </c>
    </row>
    <row r="57" spans="1:6" x14ac:dyDescent="0.25">
      <c r="A57" s="1093">
        <v>56</v>
      </c>
      <c r="B57" s="1094">
        <v>849213007</v>
      </c>
      <c r="C57" s="1099" t="s">
        <v>1117</v>
      </c>
      <c r="D57" s="1100">
        <v>43026</v>
      </c>
      <c r="E57" s="758" t="str">
        <f t="shared" si="2"/>
        <v>PBA</v>
      </c>
      <c r="F57" s="859">
        <f t="shared" si="3"/>
        <v>2013</v>
      </c>
    </row>
    <row r="58" spans="1:6" x14ac:dyDescent="0.25">
      <c r="A58" s="1093">
        <v>57</v>
      </c>
      <c r="B58" s="1094">
        <v>849213009</v>
      </c>
      <c r="C58" s="1099" t="s">
        <v>1115</v>
      </c>
      <c r="D58" s="1100">
        <v>42936</v>
      </c>
      <c r="E58" s="758" t="str">
        <f t="shared" si="2"/>
        <v>PBA</v>
      </c>
      <c r="F58" s="859">
        <f t="shared" si="3"/>
        <v>2013</v>
      </c>
    </row>
    <row r="59" spans="1:6" x14ac:dyDescent="0.25">
      <c r="A59" s="1093">
        <v>58</v>
      </c>
      <c r="B59" s="1094">
        <v>839214001</v>
      </c>
      <c r="C59" s="2307" t="s">
        <v>1307</v>
      </c>
      <c r="D59" s="1100">
        <v>43201</v>
      </c>
      <c r="E59" s="758" t="str">
        <f t="shared" si="2"/>
        <v>ES</v>
      </c>
      <c r="F59" s="859">
        <f t="shared" si="3"/>
        <v>2014</v>
      </c>
    </row>
    <row r="60" spans="1:6" x14ac:dyDescent="0.25">
      <c r="A60" s="1093">
        <v>59</v>
      </c>
      <c r="B60" s="1094">
        <v>839214002</v>
      </c>
      <c r="C60" s="1088" t="s">
        <v>2895</v>
      </c>
      <c r="D60" s="1101">
        <v>42824</v>
      </c>
      <c r="E60" s="758" t="str">
        <f t="shared" si="2"/>
        <v>ES</v>
      </c>
      <c r="F60" s="859">
        <f t="shared" si="3"/>
        <v>2014</v>
      </c>
    </row>
    <row r="61" spans="1:6" x14ac:dyDescent="0.25">
      <c r="A61" s="1093">
        <v>60</v>
      </c>
      <c r="B61" s="1094">
        <v>839214003</v>
      </c>
      <c r="C61" s="1088" t="s">
        <v>2871</v>
      </c>
      <c r="D61" s="1101">
        <v>42663</v>
      </c>
      <c r="E61" s="758" t="str">
        <f t="shared" si="2"/>
        <v>ES</v>
      </c>
      <c r="F61" s="859">
        <f t="shared" si="3"/>
        <v>2014</v>
      </c>
    </row>
    <row r="62" spans="1:6" x14ac:dyDescent="0.25">
      <c r="A62" s="1093">
        <v>61</v>
      </c>
      <c r="B62" s="1094">
        <v>839214006</v>
      </c>
      <c r="C62" s="1088" t="s">
        <v>2896</v>
      </c>
      <c r="D62" s="1101">
        <v>42829</v>
      </c>
      <c r="E62" s="758" t="str">
        <f t="shared" si="2"/>
        <v>ES</v>
      </c>
      <c r="F62" s="859">
        <f t="shared" si="3"/>
        <v>2014</v>
      </c>
    </row>
    <row r="63" spans="1:6" x14ac:dyDescent="0.25">
      <c r="A63" s="1093">
        <v>62</v>
      </c>
      <c r="B63" s="1094">
        <v>839214007</v>
      </c>
      <c r="C63" s="1088" t="s">
        <v>2868</v>
      </c>
      <c r="D63" s="1101">
        <v>42661</v>
      </c>
      <c r="E63" s="758" t="str">
        <f t="shared" si="2"/>
        <v>ES</v>
      </c>
      <c r="F63" s="859">
        <f t="shared" si="3"/>
        <v>2014</v>
      </c>
    </row>
    <row r="64" spans="1:6" x14ac:dyDescent="0.25">
      <c r="A64" s="1093">
        <v>63</v>
      </c>
      <c r="B64" s="1094">
        <v>839214010</v>
      </c>
      <c r="C64" s="1088" t="s">
        <v>2894</v>
      </c>
      <c r="D64" s="1101">
        <v>42824</v>
      </c>
      <c r="E64" s="758" t="str">
        <f t="shared" si="2"/>
        <v>ES</v>
      </c>
      <c r="F64" s="859">
        <f t="shared" si="3"/>
        <v>2014</v>
      </c>
    </row>
    <row r="65" spans="1:6" x14ac:dyDescent="0.25">
      <c r="A65" s="1093">
        <v>64</v>
      </c>
      <c r="B65" s="1094">
        <v>839214011</v>
      </c>
      <c r="C65" s="1088" t="s">
        <v>2869</v>
      </c>
      <c r="D65" s="1101">
        <v>42661</v>
      </c>
      <c r="E65" s="758" t="str">
        <f t="shared" ref="E65:E128" si="4">VLOOKUP(B65,DNIMP,3,FALSE)</f>
        <v>ES</v>
      </c>
      <c r="F65" s="859">
        <f t="shared" ref="F65:F128" si="5">VLOOKUP(B65,DNIMP,4,FALSE)</f>
        <v>2014</v>
      </c>
    </row>
    <row r="66" spans="1:6" x14ac:dyDescent="0.25">
      <c r="A66" s="1093">
        <v>65</v>
      </c>
      <c r="B66" s="1094">
        <v>839214012</v>
      </c>
      <c r="C66" s="2307" t="s">
        <v>1318</v>
      </c>
      <c r="D66" s="1100">
        <v>43299</v>
      </c>
      <c r="E66" s="758" t="str">
        <f t="shared" si="4"/>
        <v>ES</v>
      </c>
      <c r="F66" s="859">
        <f t="shared" si="5"/>
        <v>2014</v>
      </c>
    </row>
    <row r="67" spans="1:6" x14ac:dyDescent="0.25">
      <c r="A67" s="1093">
        <v>66</v>
      </c>
      <c r="B67" s="1094">
        <v>839215001</v>
      </c>
      <c r="C67" s="1099" t="s">
        <v>1406</v>
      </c>
      <c r="D67" s="1100">
        <v>42978</v>
      </c>
      <c r="E67" s="758" t="str">
        <f t="shared" si="4"/>
        <v>ES</v>
      </c>
      <c r="F67" s="859">
        <f t="shared" si="5"/>
        <v>2015</v>
      </c>
    </row>
    <row r="68" spans="1:6" x14ac:dyDescent="0.25">
      <c r="A68" s="1093">
        <v>67</v>
      </c>
      <c r="B68" s="1103">
        <v>839215003</v>
      </c>
      <c r="C68" s="1104" t="s">
        <v>1409</v>
      </c>
      <c r="D68" s="1100">
        <v>43047</v>
      </c>
      <c r="E68" s="758" t="str">
        <f t="shared" si="4"/>
        <v>ES</v>
      </c>
      <c r="F68" s="859">
        <f t="shared" si="5"/>
        <v>2015</v>
      </c>
    </row>
    <row r="69" spans="1:6" x14ac:dyDescent="0.25">
      <c r="A69" s="1093">
        <v>68</v>
      </c>
      <c r="B69" s="1094">
        <v>839215004</v>
      </c>
      <c r="C69" s="1099" t="s">
        <v>1411</v>
      </c>
      <c r="D69" s="1100">
        <v>42940</v>
      </c>
      <c r="E69" s="758" t="str">
        <f t="shared" si="4"/>
        <v>ES</v>
      </c>
      <c r="F69" s="859">
        <f t="shared" si="5"/>
        <v>2015</v>
      </c>
    </row>
    <row r="70" spans="1:6" x14ac:dyDescent="0.25">
      <c r="A70" s="1093">
        <v>69</v>
      </c>
      <c r="B70" s="1094">
        <v>839215005</v>
      </c>
      <c r="C70" s="1088" t="s">
        <v>2887</v>
      </c>
      <c r="D70" s="1101">
        <v>42768</v>
      </c>
      <c r="E70" s="758" t="str">
        <f t="shared" si="4"/>
        <v>ES</v>
      </c>
      <c r="F70" s="859">
        <f t="shared" si="5"/>
        <v>2015</v>
      </c>
    </row>
    <row r="71" spans="1:6" x14ac:dyDescent="0.25">
      <c r="A71" s="1093">
        <v>70</v>
      </c>
      <c r="B71" s="1094">
        <v>839215006</v>
      </c>
      <c r="C71" s="1104" t="s">
        <v>1413</v>
      </c>
      <c r="D71" s="1100">
        <v>43020</v>
      </c>
      <c r="E71" s="758" t="str">
        <f t="shared" si="4"/>
        <v>ES</v>
      </c>
      <c r="F71" s="859">
        <f t="shared" si="5"/>
        <v>2015</v>
      </c>
    </row>
    <row r="72" spans="1:6" x14ac:dyDescent="0.25">
      <c r="A72" s="1093">
        <v>71</v>
      </c>
      <c r="B72" s="1094">
        <v>839215007</v>
      </c>
      <c r="C72" s="1088" t="s">
        <v>1414</v>
      </c>
      <c r="D72" s="1097">
        <v>42421</v>
      </c>
      <c r="E72" s="758" t="str">
        <f t="shared" si="4"/>
        <v>ES</v>
      </c>
      <c r="F72" s="859">
        <f t="shared" si="5"/>
        <v>2015</v>
      </c>
    </row>
    <row r="73" spans="1:6" x14ac:dyDescent="0.25">
      <c r="A73" s="1093">
        <v>72</v>
      </c>
      <c r="B73" s="1094">
        <v>839215009</v>
      </c>
      <c r="C73" s="2307" t="s">
        <v>1416</v>
      </c>
      <c r="D73" s="1100">
        <v>43291</v>
      </c>
      <c r="E73" s="758" t="str">
        <f t="shared" si="4"/>
        <v>ES</v>
      </c>
      <c r="F73" s="859">
        <f t="shared" si="5"/>
        <v>2015</v>
      </c>
    </row>
    <row r="74" spans="1:6" x14ac:dyDescent="0.25">
      <c r="A74" s="1093">
        <v>73</v>
      </c>
      <c r="B74" s="1103">
        <v>839215011</v>
      </c>
      <c r="C74" s="1104" t="s">
        <v>1418</v>
      </c>
      <c r="D74" s="1100">
        <v>43047</v>
      </c>
      <c r="E74" s="758" t="str">
        <f t="shared" si="4"/>
        <v>ES</v>
      </c>
      <c r="F74" s="859">
        <f t="shared" si="5"/>
        <v>2015</v>
      </c>
    </row>
    <row r="75" spans="1:6" x14ac:dyDescent="0.25">
      <c r="A75" s="1093">
        <v>74</v>
      </c>
      <c r="B75" s="1094">
        <v>839215013</v>
      </c>
      <c r="C75" s="1088" t="s">
        <v>2893</v>
      </c>
      <c r="D75" s="1101">
        <v>42815</v>
      </c>
      <c r="E75" s="758" t="str">
        <f t="shared" si="4"/>
        <v>ES</v>
      </c>
      <c r="F75" s="859">
        <f t="shared" si="5"/>
        <v>2015</v>
      </c>
    </row>
    <row r="76" spans="1:6" x14ac:dyDescent="0.25">
      <c r="A76" s="1093">
        <v>75</v>
      </c>
      <c r="B76" s="1094">
        <v>839216001</v>
      </c>
      <c r="C76" s="1099" t="s">
        <v>2962</v>
      </c>
      <c r="D76" s="1100">
        <v>43336</v>
      </c>
      <c r="E76" s="758" t="str">
        <f t="shared" si="4"/>
        <v>ES</v>
      </c>
      <c r="F76" s="859">
        <f t="shared" si="5"/>
        <v>2016</v>
      </c>
    </row>
    <row r="77" spans="1:6" x14ac:dyDescent="0.25">
      <c r="A77" s="1093">
        <v>76</v>
      </c>
      <c r="B77" s="1094">
        <v>839216002</v>
      </c>
      <c r="C77" s="1098" t="s">
        <v>2963</v>
      </c>
      <c r="D77" s="1096">
        <v>43609</v>
      </c>
      <c r="E77" s="758" t="str">
        <f t="shared" si="4"/>
        <v>ES</v>
      </c>
      <c r="F77" s="859">
        <f t="shared" si="5"/>
        <v>2016</v>
      </c>
    </row>
    <row r="78" spans="1:6" x14ac:dyDescent="0.25">
      <c r="A78" s="1093">
        <v>77</v>
      </c>
      <c r="B78" s="1094">
        <v>839216003</v>
      </c>
      <c r="C78" s="1099" t="s">
        <v>2964</v>
      </c>
      <c r="D78" s="1100">
        <v>43361</v>
      </c>
      <c r="E78" s="758" t="str">
        <f t="shared" si="4"/>
        <v>ES</v>
      </c>
      <c r="F78" s="859">
        <f t="shared" si="5"/>
        <v>2016</v>
      </c>
    </row>
    <row r="79" spans="1:6" x14ac:dyDescent="0.25">
      <c r="A79" s="1093">
        <v>78</v>
      </c>
      <c r="B79" s="1094">
        <v>839216011</v>
      </c>
      <c r="C79" s="1099" t="s">
        <v>2965</v>
      </c>
      <c r="D79" s="1100">
        <v>43361</v>
      </c>
      <c r="E79" s="758" t="str">
        <f t="shared" si="4"/>
        <v>ES</v>
      </c>
      <c r="F79" s="859">
        <f t="shared" si="5"/>
        <v>2016</v>
      </c>
    </row>
    <row r="80" spans="1:6" x14ac:dyDescent="0.25">
      <c r="A80" s="1093">
        <v>79</v>
      </c>
      <c r="B80" s="1094">
        <v>839216013</v>
      </c>
      <c r="C80" s="2307" t="s">
        <v>2966</v>
      </c>
      <c r="D80" s="1100">
        <v>43285</v>
      </c>
      <c r="E80" s="758" t="str">
        <f t="shared" si="4"/>
        <v>ES</v>
      </c>
      <c r="F80" s="859">
        <f t="shared" si="5"/>
        <v>2016</v>
      </c>
    </row>
    <row r="81" spans="1:6" x14ac:dyDescent="0.25">
      <c r="A81" s="1093">
        <v>80</v>
      </c>
      <c r="B81" s="1094">
        <v>839216014</v>
      </c>
      <c r="C81" s="2308" t="s">
        <v>2967</v>
      </c>
      <c r="D81" s="1101">
        <v>43775</v>
      </c>
      <c r="E81" s="758" t="str">
        <f t="shared" si="4"/>
        <v>ES</v>
      </c>
      <c r="F81" s="859">
        <f t="shared" si="5"/>
        <v>2016</v>
      </c>
    </row>
    <row r="82" spans="1:6" x14ac:dyDescent="0.25">
      <c r="A82" s="1093">
        <v>81</v>
      </c>
      <c r="B82" s="1094">
        <v>839216015</v>
      </c>
      <c r="C82" s="1099" t="s">
        <v>2968</v>
      </c>
      <c r="D82" s="1100">
        <v>43410</v>
      </c>
      <c r="E82" s="758" t="str">
        <f t="shared" si="4"/>
        <v>ES</v>
      </c>
      <c r="F82" s="859">
        <f t="shared" si="5"/>
        <v>2016</v>
      </c>
    </row>
    <row r="83" spans="1:6" x14ac:dyDescent="0.25">
      <c r="A83" s="1093">
        <v>82</v>
      </c>
      <c r="B83" s="1094">
        <v>839216016</v>
      </c>
      <c r="C83" s="2307" t="s">
        <v>2969</v>
      </c>
      <c r="D83" s="1100">
        <v>43291</v>
      </c>
      <c r="E83" s="758" t="str">
        <f t="shared" si="4"/>
        <v>ES</v>
      </c>
      <c r="F83" s="859">
        <f t="shared" si="5"/>
        <v>2016</v>
      </c>
    </row>
    <row r="84" spans="1:6" x14ac:dyDescent="0.25">
      <c r="A84" s="1093">
        <v>83</v>
      </c>
      <c r="B84" s="1094">
        <v>839216017</v>
      </c>
      <c r="C84" s="1099" t="s">
        <v>2970</v>
      </c>
      <c r="D84" s="1100">
        <v>43342</v>
      </c>
      <c r="E84" s="758" t="str">
        <f t="shared" si="4"/>
        <v>ES</v>
      </c>
      <c r="F84" s="859">
        <f t="shared" si="5"/>
        <v>2016</v>
      </c>
    </row>
    <row r="85" spans="1:6" x14ac:dyDescent="0.25">
      <c r="A85" s="1093">
        <v>84</v>
      </c>
      <c r="B85" s="1094">
        <v>839216019</v>
      </c>
      <c r="C85" s="1099" t="s">
        <v>2971</v>
      </c>
      <c r="D85" s="1100">
        <v>43389</v>
      </c>
      <c r="E85" s="758" t="str">
        <f t="shared" si="4"/>
        <v>ES</v>
      </c>
      <c r="F85" s="859">
        <f t="shared" si="5"/>
        <v>2016</v>
      </c>
    </row>
    <row r="86" spans="1:6" x14ac:dyDescent="0.25">
      <c r="A86" s="1093">
        <v>85</v>
      </c>
      <c r="B86" s="1094">
        <v>839216021</v>
      </c>
      <c r="C86" s="2306" t="s">
        <v>1568</v>
      </c>
      <c r="D86" s="1096">
        <v>43648</v>
      </c>
      <c r="E86" s="758" t="str">
        <f t="shared" si="4"/>
        <v>ES</v>
      </c>
      <c r="F86" s="859">
        <f t="shared" si="5"/>
        <v>2016</v>
      </c>
    </row>
    <row r="87" spans="1:6" x14ac:dyDescent="0.25">
      <c r="A87" s="1093">
        <v>86</v>
      </c>
      <c r="B87" s="1094">
        <v>839216023</v>
      </c>
      <c r="C87" s="1099" t="s">
        <v>2972</v>
      </c>
      <c r="D87" s="1100">
        <v>43475</v>
      </c>
      <c r="E87" s="758" t="str">
        <f t="shared" si="4"/>
        <v>ES</v>
      </c>
      <c r="F87" s="859">
        <f t="shared" si="5"/>
        <v>2016</v>
      </c>
    </row>
    <row r="88" spans="1:6" x14ac:dyDescent="0.25">
      <c r="A88" s="1093">
        <v>87</v>
      </c>
      <c r="B88" s="1094">
        <v>839216025</v>
      </c>
      <c r="C88" s="1099" t="s">
        <v>2973</v>
      </c>
      <c r="D88" s="1100">
        <v>43375</v>
      </c>
      <c r="E88" s="758" t="str">
        <f t="shared" si="4"/>
        <v>ES</v>
      </c>
      <c r="F88" s="859">
        <f t="shared" si="5"/>
        <v>2016</v>
      </c>
    </row>
    <row r="89" spans="1:6" x14ac:dyDescent="0.25">
      <c r="A89" s="1093">
        <v>88</v>
      </c>
      <c r="B89" s="1094">
        <v>839217007</v>
      </c>
      <c r="C89" s="2306" t="s">
        <v>2974</v>
      </c>
      <c r="D89" s="1096">
        <v>43655</v>
      </c>
      <c r="E89" s="758" t="str">
        <f t="shared" si="4"/>
        <v>ES</v>
      </c>
      <c r="F89" s="859">
        <f t="shared" si="5"/>
        <v>2017</v>
      </c>
    </row>
    <row r="90" spans="1:6" x14ac:dyDescent="0.25">
      <c r="A90" s="1093">
        <v>89</v>
      </c>
      <c r="B90" s="1094">
        <v>839217009</v>
      </c>
      <c r="C90" s="1095" t="s">
        <v>2975</v>
      </c>
      <c r="D90" s="1096">
        <v>43839</v>
      </c>
      <c r="E90" s="758" t="str">
        <f t="shared" si="4"/>
        <v>ES</v>
      </c>
      <c r="F90" s="859">
        <f t="shared" si="5"/>
        <v>2017</v>
      </c>
    </row>
    <row r="91" spans="1:6" x14ac:dyDescent="0.25">
      <c r="A91" s="1093">
        <v>90</v>
      </c>
      <c r="B91" s="1094">
        <v>839217015</v>
      </c>
      <c r="C91" s="1098" t="s">
        <v>2976</v>
      </c>
      <c r="D91" s="1096">
        <v>43635</v>
      </c>
      <c r="E91" s="758" t="str">
        <f t="shared" si="4"/>
        <v>ES</v>
      </c>
      <c r="F91" s="859">
        <f t="shared" si="5"/>
        <v>2017</v>
      </c>
    </row>
    <row r="92" spans="1:6" x14ac:dyDescent="0.25">
      <c r="A92" s="1093">
        <v>91</v>
      </c>
      <c r="B92" s="1094">
        <v>839217017</v>
      </c>
      <c r="C92" s="1098" t="s">
        <v>1878</v>
      </c>
      <c r="D92" s="1096">
        <v>43837</v>
      </c>
      <c r="E92" s="758" t="str">
        <f t="shared" si="4"/>
        <v>ES</v>
      </c>
      <c r="F92" s="859">
        <f t="shared" si="5"/>
        <v>2017</v>
      </c>
    </row>
    <row r="93" spans="1:6" x14ac:dyDescent="0.25">
      <c r="A93" s="1093">
        <v>92</v>
      </c>
      <c r="B93" s="1094">
        <v>839217018</v>
      </c>
      <c r="C93" s="2306" t="s">
        <v>2977</v>
      </c>
      <c r="D93" s="1096">
        <v>43648</v>
      </c>
      <c r="E93" s="758" t="str">
        <f t="shared" si="4"/>
        <v>ES</v>
      </c>
      <c r="F93" s="859">
        <f t="shared" si="5"/>
        <v>2017</v>
      </c>
    </row>
    <row r="94" spans="1:6" x14ac:dyDescent="0.25">
      <c r="A94" s="1093">
        <v>93</v>
      </c>
      <c r="B94" s="1094">
        <v>839217020</v>
      </c>
      <c r="C94" s="1098" t="s">
        <v>2978</v>
      </c>
      <c r="D94" s="1096">
        <v>43732</v>
      </c>
      <c r="E94" s="758" t="str">
        <f t="shared" si="4"/>
        <v>ES</v>
      </c>
      <c r="F94" s="859">
        <f t="shared" si="5"/>
        <v>2017</v>
      </c>
    </row>
    <row r="95" spans="1:6" x14ac:dyDescent="0.25">
      <c r="A95" s="1093">
        <v>94</v>
      </c>
      <c r="B95" s="1106">
        <v>839217022</v>
      </c>
      <c r="C95" s="2306" t="s">
        <v>1883</v>
      </c>
      <c r="D95" s="1096">
        <v>43838</v>
      </c>
      <c r="E95" s="758" t="str">
        <f t="shared" si="4"/>
        <v>ES</v>
      </c>
      <c r="F95" s="859">
        <f t="shared" si="5"/>
        <v>2017</v>
      </c>
    </row>
    <row r="96" spans="1:6" x14ac:dyDescent="0.25">
      <c r="A96" s="1093">
        <v>95</v>
      </c>
      <c r="B96" s="1094">
        <v>839217027</v>
      </c>
      <c r="C96" s="1099" t="s">
        <v>2979</v>
      </c>
      <c r="D96" s="1100">
        <v>43498</v>
      </c>
      <c r="E96" s="758" t="str">
        <f t="shared" si="4"/>
        <v>ES</v>
      </c>
      <c r="F96" s="859">
        <f t="shared" si="5"/>
        <v>2017</v>
      </c>
    </row>
    <row r="97" spans="1:6" x14ac:dyDescent="0.25">
      <c r="A97" s="1093">
        <v>96</v>
      </c>
      <c r="B97" s="1094">
        <v>839217029</v>
      </c>
      <c r="C97" s="1098" t="s">
        <v>2980</v>
      </c>
      <c r="D97" s="1096">
        <v>43636</v>
      </c>
      <c r="E97" s="758" t="str">
        <f t="shared" si="4"/>
        <v>ES</v>
      </c>
      <c r="F97" s="859">
        <f t="shared" si="5"/>
        <v>2017</v>
      </c>
    </row>
    <row r="98" spans="1:6" x14ac:dyDescent="0.25">
      <c r="A98" s="1093">
        <v>97</v>
      </c>
      <c r="B98" s="1094">
        <v>839217030</v>
      </c>
      <c r="C98" s="1098" t="s">
        <v>2981</v>
      </c>
      <c r="D98" s="1096">
        <v>43635</v>
      </c>
      <c r="E98" s="758" t="str">
        <f t="shared" si="4"/>
        <v>ES</v>
      </c>
      <c r="F98" s="859">
        <f t="shared" si="5"/>
        <v>2017</v>
      </c>
    </row>
    <row r="99" spans="1:6" x14ac:dyDescent="0.25">
      <c r="A99" s="1093">
        <v>98</v>
      </c>
      <c r="B99" s="1094">
        <v>839217031</v>
      </c>
      <c r="C99" s="1095" t="s">
        <v>1893</v>
      </c>
      <c r="D99" s="1096">
        <v>43838</v>
      </c>
      <c r="E99" s="758" t="str">
        <f t="shared" si="4"/>
        <v>ES</v>
      </c>
      <c r="F99" s="859">
        <f t="shared" si="5"/>
        <v>2017</v>
      </c>
    </row>
    <row r="100" spans="1:6" x14ac:dyDescent="0.25">
      <c r="A100" s="1093">
        <v>99</v>
      </c>
      <c r="B100" s="1094">
        <v>839217032</v>
      </c>
      <c r="C100" s="2306" t="s">
        <v>1894</v>
      </c>
      <c r="D100" s="1096">
        <v>43838</v>
      </c>
      <c r="E100" s="758" t="str">
        <f t="shared" si="4"/>
        <v>ES</v>
      </c>
      <c r="F100" s="859">
        <f t="shared" si="5"/>
        <v>2017</v>
      </c>
    </row>
    <row r="101" spans="1:6" x14ac:dyDescent="0.25">
      <c r="A101" s="1093">
        <v>100</v>
      </c>
      <c r="B101" s="1094">
        <v>849113092</v>
      </c>
      <c r="C101" s="1099" t="s">
        <v>2982</v>
      </c>
      <c r="D101" s="1100">
        <v>42874</v>
      </c>
      <c r="E101" s="758" t="str">
        <f t="shared" si="4"/>
        <v>MPI-S2</v>
      </c>
      <c r="F101" s="859" t="str">
        <f t="shared" si="5"/>
        <v>2013-</v>
      </c>
    </row>
    <row r="102" spans="1:6" x14ac:dyDescent="0.25">
      <c r="A102" s="1093">
        <v>101</v>
      </c>
      <c r="B102" s="1094">
        <v>841915001</v>
      </c>
      <c r="C102" s="2306" t="s">
        <v>1476</v>
      </c>
      <c r="D102" s="1096">
        <v>43603</v>
      </c>
      <c r="E102" s="758" t="str">
        <f t="shared" si="4"/>
        <v>MPI-S3</v>
      </c>
      <c r="F102" s="859">
        <f t="shared" si="5"/>
        <v>2015</v>
      </c>
    </row>
    <row r="103" spans="1:6" x14ac:dyDescent="0.25">
      <c r="A103" s="1093">
        <v>102</v>
      </c>
      <c r="B103" s="1094">
        <v>841915005</v>
      </c>
      <c r="C103" s="2306" t="s">
        <v>1481</v>
      </c>
      <c r="D103" s="1096">
        <v>43602</v>
      </c>
      <c r="E103" s="758" t="str">
        <f t="shared" si="4"/>
        <v>MPI-S3</v>
      </c>
      <c r="F103" s="859">
        <f t="shared" si="5"/>
        <v>2015</v>
      </c>
    </row>
    <row r="104" spans="1:6" x14ac:dyDescent="0.25">
      <c r="A104" s="1093">
        <v>103</v>
      </c>
      <c r="B104" s="1094">
        <v>841915007</v>
      </c>
      <c r="C104" s="1099" t="s">
        <v>2983</v>
      </c>
      <c r="D104" s="1096">
        <v>43734</v>
      </c>
      <c r="E104" s="758" t="str">
        <f t="shared" si="4"/>
        <v>MPI-S3</v>
      </c>
      <c r="F104" s="859">
        <f t="shared" si="5"/>
        <v>2015</v>
      </c>
    </row>
    <row r="105" spans="1:6" x14ac:dyDescent="0.25">
      <c r="A105" s="1093">
        <v>104</v>
      </c>
      <c r="B105" s="1094">
        <v>841915040</v>
      </c>
      <c r="C105" s="1098" t="s">
        <v>2984</v>
      </c>
      <c r="D105" s="1096">
        <v>43602</v>
      </c>
      <c r="E105" s="758" t="str">
        <f t="shared" si="4"/>
        <v>5000 Dok</v>
      </c>
      <c r="F105" s="859">
        <f t="shared" si="5"/>
        <v>2015</v>
      </c>
    </row>
    <row r="106" spans="1:6" x14ac:dyDescent="0.25">
      <c r="A106" s="1093">
        <v>105</v>
      </c>
      <c r="B106" s="1094">
        <v>841916011</v>
      </c>
      <c r="C106" s="1095" t="s">
        <v>2985</v>
      </c>
      <c r="D106" s="1096">
        <v>43734</v>
      </c>
      <c r="E106" s="758" t="str">
        <f t="shared" si="4"/>
        <v>5000 Dok</v>
      </c>
      <c r="F106" s="859">
        <f t="shared" si="5"/>
        <v>2016</v>
      </c>
    </row>
    <row r="107" spans="1:6" x14ac:dyDescent="0.25">
      <c r="A107" s="1093">
        <v>106</v>
      </c>
      <c r="B107" s="1094">
        <v>849110269</v>
      </c>
      <c r="C107" s="1088" t="s">
        <v>2897</v>
      </c>
      <c r="D107" s="1101">
        <v>42499</v>
      </c>
      <c r="E107" s="758" t="str">
        <f t="shared" si="4"/>
        <v>PI</v>
      </c>
      <c r="F107" s="859">
        <f t="shared" si="5"/>
        <v>2011</v>
      </c>
    </row>
    <row r="108" spans="1:6" x14ac:dyDescent="0.25">
      <c r="A108" s="1093">
        <v>107</v>
      </c>
      <c r="B108" s="1094">
        <v>849120077</v>
      </c>
      <c r="C108" s="1099" t="s">
        <v>1043</v>
      </c>
      <c r="D108" s="1100">
        <v>42873</v>
      </c>
      <c r="E108" s="758" t="str">
        <f t="shared" si="4"/>
        <v>PERGUNU</v>
      </c>
      <c r="F108" s="859">
        <f t="shared" si="5"/>
        <v>0</v>
      </c>
    </row>
    <row r="109" spans="1:6" x14ac:dyDescent="0.25">
      <c r="A109" s="1093">
        <v>108</v>
      </c>
      <c r="B109" s="1094">
        <v>849120015</v>
      </c>
      <c r="C109" s="1088" t="s">
        <v>2009</v>
      </c>
      <c r="D109" s="1101">
        <v>42803</v>
      </c>
      <c r="E109" s="758" t="str">
        <f t="shared" si="4"/>
        <v>PI</v>
      </c>
      <c r="F109" s="859">
        <f t="shared" si="5"/>
        <v>2011</v>
      </c>
    </row>
    <row r="110" spans="1:6" x14ac:dyDescent="0.25">
      <c r="A110" s="1093">
        <v>109</v>
      </c>
      <c r="B110" s="1107">
        <v>849113005</v>
      </c>
      <c r="C110" s="1108" t="s">
        <v>2804</v>
      </c>
      <c r="D110" s="1101">
        <v>42326</v>
      </c>
      <c r="E110" s="758" t="str">
        <f t="shared" si="4"/>
        <v>MPI-S2</v>
      </c>
      <c r="F110" s="859">
        <f t="shared" si="5"/>
        <v>2013</v>
      </c>
    </row>
    <row r="111" spans="1:6" x14ac:dyDescent="0.25">
      <c r="A111" s="1093">
        <v>110</v>
      </c>
      <c r="B111" s="1094">
        <v>849113008</v>
      </c>
      <c r="C111" s="1099" t="s">
        <v>1093</v>
      </c>
      <c r="D111" s="1100">
        <v>43370</v>
      </c>
      <c r="E111" s="758" t="str">
        <f t="shared" si="4"/>
        <v>MPI-S2</v>
      </c>
      <c r="F111" s="859">
        <f t="shared" si="5"/>
        <v>2013</v>
      </c>
    </row>
    <row r="112" spans="1:6" x14ac:dyDescent="0.25">
      <c r="A112" s="1093">
        <v>111</v>
      </c>
      <c r="B112" s="1094">
        <v>849113019</v>
      </c>
      <c r="C112" s="1099" t="s">
        <v>2986</v>
      </c>
      <c r="D112" s="1100">
        <v>42898</v>
      </c>
      <c r="E112" s="758" t="str">
        <f t="shared" si="4"/>
        <v>MPI-S2</v>
      </c>
      <c r="F112" s="859">
        <f t="shared" si="5"/>
        <v>2013</v>
      </c>
    </row>
    <row r="113" spans="1:6" x14ac:dyDescent="0.25">
      <c r="A113" s="1093">
        <v>112</v>
      </c>
      <c r="B113" s="1094">
        <v>849113036</v>
      </c>
      <c r="C113" s="1099" t="s">
        <v>2987</v>
      </c>
      <c r="D113" s="1100">
        <v>42838</v>
      </c>
      <c r="E113" s="758" t="str">
        <f t="shared" si="4"/>
        <v>MPI-S2</v>
      </c>
      <c r="F113" s="859">
        <f t="shared" si="5"/>
        <v>2013</v>
      </c>
    </row>
    <row r="114" spans="1:6" x14ac:dyDescent="0.25">
      <c r="A114" s="1093">
        <v>113</v>
      </c>
      <c r="B114" s="1094">
        <v>849113040</v>
      </c>
      <c r="C114" s="1088" t="s">
        <v>2879</v>
      </c>
      <c r="D114" s="1101">
        <v>42732</v>
      </c>
      <c r="E114" s="758" t="str">
        <f t="shared" si="4"/>
        <v>MPI-S2</v>
      </c>
      <c r="F114" s="859">
        <f t="shared" si="5"/>
        <v>2013</v>
      </c>
    </row>
    <row r="115" spans="1:6" x14ac:dyDescent="0.25">
      <c r="A115" s="1093">
        <v>114</v>
      </c>
      <c r="B115" s="1094">
        <v>849113047</v>
      </c>
      <c r="C115" s="1088" t="s">
        <v>2988</v>
      </c>
      <c r="D115" s="1097">
        <v>43509</v>
      </c>
      <c r="E115" s="758" t="str">
        <f t="shared" si="4"/>
        <v>MPI-S2</v>
      </c>
      <c r="F115" s="859" t="str">
        <f t="shared" si="5"/>
        <v>2013-</v>
      </c>
    </row>
    <row r="116" spans="1:6" x14ac:dyDescent="0.25">
      <c r="A116" s="1093">
        <v>115</v>
      </c>
      <c r="B116" s="1094">
        <v>849113061</v>
      </c>
      <c r="C116" s="1088" t="s">
        <v>2872</v>
      </c>
      <c r="D116" s="1101">
        <v>42684</v>
      </c>
      <c r="E116" s="758" t="str">
        <f t="shared" si="4"/>
        <v>MPI-S2</v>
      </c>
      <c r="F116" s="859" t="str">
        <f t="shared" si="5"/>
        <v>2013-</v>
      </c>
    </row>
    <row r="117" spans="1:6" x14ac:dyDescent="0.25">
      <c r="A117" s="1093">
        <v>116</v>
      </c>
      <c r="B117" s="1094">
        <v>849113069</v>
      </c>
      <c r="C117" s="1098" t="s">
        <v>2989</v>
      </c>
      <c r="D117" s="1096">
        <v>43467</v>
      </c>
      <c r="E117" s="758" t="str">
        <f t="shared" si="4"/>
        <v>MPI-S2</v>
      </c>
      <c r="F117" s="859">
        <f t="shared" si="5"/>
        <v>2013</v>
      </c>
    </row>
    <row r="118" spans="1:6" x14ac:dyDescent="0.25">
      <c r="A118" s="1093">
        <v>117</v>
      </c>
      <c r="B118" s="1094">
        <v>849113070</v>
      </c>
      <c r="C118" s="1088" t="s">
        <v>1188</v>
      </c>
      <c r="D118" s="1097">
        <v>43486</v>
      </c>
      <c r="E118" s="758" t="str">
        <f t="shared" si="4"/>
        <v>MPI-S2</v>
      </c>
      <c r="F118" s="859">
        <f t="shared" si="5"/>
        <v>2013</v>
      </c>
    </row>
    <row r="119" spans="1:6" x14ac:dyDescent="0.25">
      <c r="A119" s="1093">
        <v>118</v>
      </c>
      <c r="B119" s="1094">
        <v>849113071</v>
      </c>
      <c r="C119" s="1099" t="s">
        <v>2990</v>
      </c>
      <c r="D119" s="1100">
        <v>43055</v>
      </c>
      <c r="E119" s="758" t="str">
        <f t="shared" si="4"/>
        <v>MPI-S2</v>
      </c>
      <c r="F119" s="859">
        <f t="shared" si="5"/>
        <v>2013</v>
      </c>
    </row>
    <row r="120" spans="1:6" x14ac:dyDescent="0.25">
      <c r="A120" s="1093">
        <v>119</v>
      </c>
      <c r="B120" s="1094">
        <v>849113076</v>
      </c>
      <c r="C120" s="1088" t="s">
        <v>2870</v>
      </c>
      <c r="D120" s="1101">
        <v>42663</v>
      </c>
      <c r="E120" s="758" t="str">
        <f t="shared" si="4"/>
        <v>MPI-S2</v>
      </c>
      <c r="F120" s="859">
        <f t="shared" si="5"/>
        <v>2013</v>
      </c>
    </row>
    <row r="121" spans="1:6" x14ac:dyDescent="0.25">
      <c r="A121" s="1093">
        <v>120</v>
      </c>
      <c r="B121" s="1094">
        <v>849113077</v>
      </c>
      <c r="C121" s="1088" t="s">
        <v>1186</v>
      </c>
      <c r="D121" s="1097">
        <v>42767</v>
      </c>
      <c r="E121" s="758" t="str">
        <f t="shared" si="4"/>
        <v>MPI-S2</v>
      </c>
      <c r="F121" s="859">
        <f t="shared" si="5"/>
        <v>2013</v>
      </c>
    </row>
    <row r="122" spans="1:6" x14ac:dyDescent="0.25">
      <c r="A122" s="1093">
        <v>121</v>
      </c>
      <c r="B122" s="1094">
        <v>849113077</v>
      </c>
      <c r="C122" s="1088" t="s">
        <v>1708</v>
      </c>
      <c r="D122" s="1101">
        <v>42753</v>
      </c>
      <c r="E122" s="758" t="str">
        <f t="shared" si="4"/>
        <v>MPI-S2</v>
      </c>
      <c r="F122" s="859">
        <f t="shared" si="5"/>
        <v>2013</v>
      </c>
    </row>
    <row r="123" spans="1:6" x14ac:dyDescent="0.25">
      <c r="A123" s="1093">
        <v>122</v>
      </c>
      <c r="B123" s="1094">
        <v>849113086</v>
      </c>
      <c r="C123" s="1099" t="s">
        <v>2991</v>
      </c>
      <c r="D123" s="1100">
        <v>43481</v>
      </c>
      <c r="E123" s="758" t="str">
        <f t="shared" si="4"/>
        <v>MPI-S2</v>
      </c>
      <c r="F123" s="859" t="str">
        <f t="shared" si="5"/>
        <v>2013-</v>
      </c>
    </row>
    <row r="124" spans="1:6" x14ac:dyDescent="0.25">
      <c r="A124" s="1093">
        <v>123</v>
      </c>
      <c r="B124" s="1094">
        <v>849114003</v>
      </c>
      <c r="C124" s="1099" t="s">
        <v>2992</v>
      </c>
      <c r="D124" s="1100">
        <v>43327</v>
      </c>
      <c r="E124" s="758" t="str">
        <f t="shared" si="4"/>
        <v>MPI-S2</v>
      </c>
      <c r="F124" s="859">
        <f t="shared" si="5"/>
        <v>2014</v>
      </c>
    </row>
    <row r="125" spans="1:6" x14ac:dyDescent="0.25">
      <c r="A125" s="1093">
        <v>124</v>
      </c>
      <c r="B125" s="1094">
        <v>849114005</v>
      </c>
      <c r="C125" s="1099" t="s">
        <v>1238</v>
      </c>
      <c r="D125" s="1100">
        <v>43283</v>
      </c>
      <c r="E125" s="758" t="str">
        <f t="shared" si="4"/>
        <v>MPI-S2</v>
      </c>
      <c r="F125" s="859">
        <f t="shared" si="5"/>
        <v>2014</v>
      </c>
    </row>
    <row r="126" spans="1:6" x14ac:dyDescent="0.25">
      <c r="A126" s="1093">
        <v>125</v>
      </c>
      <c r="B126" s="1094">
        <v>849114006</v>
      </c>
      <c r="C126" s="1088" t="s">
        <v>2509</v>
      </c>
      <c r="D126" s="1101">
        <v>42755</v>
      </c>
      <c r="E126" s="758" t="str">
        <f t="shared" si="4"/>
        <v>MPI-S2</v>
      </c>
      <c r="F126" s="859">
        <f t="shared" si="5"/>
        <v>2014</v>
      </c>
    </row>
    <row r="127" spans="1:6" x14ac:dyDescent="0.25">
      <c r="A127" s="1093">
        <v>126</v>
      </c>
      <c r="B127" s="1094">
        <v>849114007</v>
      </c>
      <c r="C127" s="1088" t="s">
        <v>2876</v>
      </c>
      <c r="D127" s="1101">
        <v>42698</v>
      </c>
      <c r="E127" s="758" t="str">
        <f t="shared" si="4"/>
        <v>MPI-S2</v>
      </c>
      <c r="F127" s="859">
        <f t="shared" si="5"/>
        <v>2014</v>
      </c>
    </row>
    <row r="128" spans="1:6" x14ac:dyDescent="0.25">
      <c r="A128" s="1093">
        <v>127</v>
      </c>
      <c r="B128" s="1094">
        <v>849114008</v>
      </c>
      <c r="C128" s="1088" t="s">
        <v>2875</v>
      </c>
      <c r="D128" s="1101">
        <v>42692</v>
      </c>
      <c r="E128" s="758" t="str">
        <f t="shared" si="4"/>
        <v>MPI-S2</v>
      </c>
      <c r="F128" s="859">
        <f t="shared" si="5"/>
        <v>2014</v>
      </c>
    </row>
    <row r="129" spans="1:6" x14ac:dyDescent="0.25">
      <c r="A129" s="1093">
        <v>128</v>
      </c>
      <c r="B129" s="1094">
        <v>849114012</v>
      </c>
      <c r="C129" s="1088" t="s">
        <v>2884</v>
      </c>
      <c r="D129" s="1101">
        <v>42755</v>
      </c>
      <c r="E129" s="758" t="str">
        <f t="shared" ref="E129:E160" si="6">VLOOKUP(B129,DNIMP,3,FALSE)</f>
        <v>MPI-S2</v>
      </c>
      <c r="F129" s="859">
        <f t="shared" ref="F129:F160" si="7">VLOOKUP(B129,DNIMP,4,FALSE)</f>
        <v>2014</v>
      </c>
    </row>
    <row r="130" spans="1:6" x14ac:dyDescent="0.25">
      <c r="A130" s="1093">
        <v>129</v>
      </c>
      <c r="B130" s="1094">
        <v>849114013</v>
      </c>
      <c r="C130" s="1099" t="s">
        <v>2993</v>
      </c>
      <c r="D130" s="1100">
        <v>43371</v>
      </c>
      <c r="E130" s="758" t="str">
        <f t="shared" si="6"/>
        <v>MPI-S2</v>
      </c>
      <c r="F130" s="859">
        <f t="shared" si="7"/>
        <v>2014</v>
      </c>
    </row>
    <row r="131" spans="1:6" x14ac:dyDescent="0.25">
      <c r="A131" s="1093">
        <v>130</v>
      </c>
      <c r="B131" s="1094">
        <v>849114015</v>
      </c>
      <c r="C131" s="1088" t="s">
        <v>2994</v>
      </c>
      <c r="D131" s="1097">
        <v>42817</v>
      </c>
      <c r="E131" s="758" t="str">
        <f t="shared" si="6"/>
        <v>MPI-S2</v>
      </c>
      <c r="F131" s="859">
        <f t="shared" si="7"/>
        <v>2014</v>
      </c>
    </row>
    <row r="132" spans="1:6" x14ac:dyDescent="0.25">
      <c r="A132" s="1093">
        <v>131</v>
      </c>
      <c r="B132" s="1094">
        <v>849114018</v>
      </c>
      <c r="C132" s="1088" t="s">
        <v>2873</v>
      </c>
      <c r="D132" s="1101">
        <v>42690</v>
      </c>
      <c r="E132" s="758" t="str">
        <f t="shared" si="6"/>
        <v>MPI-S2</v>
      </c>
      <c r="F132" s="859">
        <f t="shared" si="7"/>
        <v>2014</v>
      </c>
    </row>
    <row r="133" spans="1:6" x14ac:dyDescent="0.25">
      <c r="A133" s="1093">
        <v>132</v>
      </c>
      <c r="B133" s="1094">
        <v>849114022</v>
      </c>
      <c r="C133" s="1099" t="s">
        <v>1272</v>
      </c>
      <c r="D133" s="1100">
        <v>43460</v>
      </c>
      <c r="E133" s="758" t="str">
        <f t="shared" si="6"/>
        <v>MPI-S2</v>
      </c>
      <c r="F133" s="859">
        <f t="shared" si="7"/>
        <v>2014</v>
      </c>
    </row>
    <row r="134" spans="1:6" x14ac:dyDescent="0.25">
      <c r="A134" s="1093">
        <v>133</v>
      </c>
      <c r="B134" s="1094">
        <v>849114025</v>
      </c>
      <c r="C134" s="1099" t="s">
        <v>2995</v>
      </c>
      <c r="D134" s="1100">
        <v>43454</v>
      </c>
      <c r="E134" s="758" t="str">
        <f t="shared" si="6"/>
        <v>MPI-S2</v>
      </c>
      <c r="F134" s="859">
        <f t="shared" si="7"/>
        <v>2014</v>
      </c>
    </row>
    <row r="135" spans="1:6" x14ac:dyDescent="0.25">
      <c r="A135" s="1093">
        <v>134</v>
      </c>
      <c r="B135" s="1094">
        <v>849114031</v>
      </c>
      <c r="C135" s="1088" t="s">
        <v>2996</v>
      </c>
      <c r="D135" s="1097">
        <v>42759</v>
      </c>
      <c r="E135" s="758" t="str">
        <f t="shared" si="6"/>
        <v>MPI-S2</v>
      </c>
      <c r="F135" s="859">
        <f t="shared" si="7"/>
        <v>2014</v>
      </c>
    </row>
    <row r="136" spans="1:6" x14ac:dyDescent="0.25">
      <c r="A136" s="1093">
        <v>135</v>
      </c>
      <c r="B136" s="1094">
        <v>849114032</v>
      </c>
      <c r="C136" s="1099" t="s">
        <v>1291</v>
      </c>
      <c r="D136" s="1100">
        <v>43020</v>
      </c>
      <c r="E136" s="758" t="str">
        <f t="shared" si="6"/>
        <v>MPI-S2</v>
      </c>
      <c r="F136" s="859">
        <f t="shared" si="7"/>
        <v>2014</v>
      </c>
    </row>
    <row r="137" spans="1:6" x14ac:dyDescent="0.25">
      <c r="A137" s="1093">
        <v>136</v>
      </c>
      <c r="B137" s="1094">
        <v>849114033</v>
      </c>
      <c r="C137" s="1099" t="s">
        <v>1288</v>
      </c>
      <c r="D137" s="1100">
        <v>43285</v>
      </c>
      <c r="E137" s="758" t="str">
        <f t="shared" si="6"/>
        <v>MPI-S2</v>
      </c>
      <c r="F137" s="859">
        <f t="shared" si="7"/>
        <v>2014</v>
      </c>
    </row>
    <row r="138" spans="1:6" x14ac:dyDescent="0.25">
      <c r="A138" s="1093">
        <v>137</v>
      </c>
      <c r="B138" s="1094">
        <v>849114035</v>
      </c>
      <c r="C138" s="1099" t="s">
        <v>1232</v>
      </c>
      <c r="D138" s="1100">
        <v>42998</v>
      </c>
      <c r="E138" s="758" t="str">
        <f t="shared" si="6"/>
        <v>MPI-S2</v>
      </c>
      <c r="F138" s="859">
        <f t="shared" si="7"/>
        <v>2014</v>
      </c>
    </row>
    <row r="139" spans="1:6" x14ac:dyDescent="0.25">
      <c r="A139" s="1093">
        <v>138</v>
      </c>
      <c r="B139" s="1094">
        <v>849114036</v>
      </c>
      <c r="C139" s="1099" t="s">
        <v>1293</v>
      </c>
      <c r="D139" s="1100">
        <v>43042</v>
      </c>
      <c r="E139" s="758" t="str">
        <f t="shared" si="6"/>
        <v>MPI-S2</v>
      </c>
      <c r="F139" s="859">
        <f t="shared" si="7"/>
        <v>2014</v>
      </c>
    </row>
    <row r="140" spans="1:6" x14ac:dyDescent="0.25">
      <c r="A140" s="1093">
        <v>139</v>
      </c>
      <c r="B140" s="1094">
        <v>849114037</v>
      </c>
      <c r="C140" s="1099" t="s">
        <v>1241</v>
      </c>
      <c r="D140" s="1100">
        <v>43076</v>
      </c>
      <c r="E140" s="758" t="str">
        <f t="shared" si="6"/>
        <v xml:space="preserve">MPI-S2 </v>
      </c>
      <c r="F140" s="859">
        <f t="shared" si="7"/>
        <v>2014</v>
      </c>
    </row>
    <row r="141" spans="1:6" x14ac:dyDescent="0.25">
      <c r="A141" s="1093">
        <v>140</v>
      </c>
      <c r="B141" s="1094">
        <v>849114038</v>
      </c>
      <c r="C141" s="1099" t="s">
        <v>2997</v>
      </c>
      <c r="D141" s="1100">
        <v>43090</v>
      </c>
      <c r="E141" s="758" t="str">
        <f t="shared" si="6"/>
        <v>MPI-S2</v>
      </c>
      <c r="F141" s="859">
        <f t="shared" si="7"/>
        <v>2014</v>
      </c>
    </row>
    <row r="142" spans="1:6" x14ac:dyDescent="0.25">
      <c r="A142" s="1093">
        <v>141</v>
      </c>
      <c r="B142" s="1094">
        <v>849114039</v>
      </c>
      <c r="C142" s="1099" t="s">
        <v>1281</v>
      </c>
      <c r="D142" s="1100">
        <v>42831</v>
      </c>
      <c r="E142" s="758" t="str">
        <f t="shared" si="6"/>
        <v>MPI-S2</v>
      </c>
      <c r="F142" s="859">
        <f t="shared" si="7"/>
        <v>2014</v>
      </c>
    </row>
    <row r="143" spans="1:6" x14ac:dyDescent="0.25">
      <c r="A143" s="1093">
        <v>142</v>
      </c>
      <c r="B143" s="1094">
        <v>849114040</v>
      </c>
      <c r="C143" s="1088" t="s">
        <v>2877</v>
      </c>
      <c r="D143" s="1101">
        <v>42725</v>
      </c>
      <c r="E143" s="758" t="str">
        <f t="shared" si="6"/>
        <v>MPI-S2</v>
      </c>
      <c r="F143" s="859">
        <f t="shared" si="7"/>
        <v>2014</v>
      </c>
    </row>
    <row r="144" spans="1:6" x14ac:dyDescent="0.25">
      <c r="A144" s="1093">
        <v>143</v>
      </c>
      <c r="B144" s="1094">
        <v>849115001</v>
      </c>
      <c r="C144" s="1099" t="s">
        <v>2998</v>
      </c>
      <c r="D144" s="1100">
        <v>43405</v>
      </c>
      <c r="E144" s="758" t="str">
        <f t="shared" si="6"/>
        <v>MPI-S2</v>
      </c>
      <c r="F144" s="859">
        <f t="shared" si="7"/>
        <v>2015</v>
      </c>
    </row>
    <row r="145" spans="1:6" x14ac:dyDescent="0.25">
      <c r="A145" s="1093">
        <v>144</v>
      </c>
      <c r="B145" s="1094">
        <v>849115002</v>
      </c>
      <c r="C145" s="1099" t="s">
        <v>2999</v>
      </c>
      <c r="D145" s="1100">
        <v>43084</v>
      </c>
      <c r="E145" s="758" t="str">
        <f t="shared" si="6"/>
        <v>MPI-S2</v>
      </c>
      <c r="F145" s="859">
        <f t="shared" si="7"/>
        <v>2015</v>
      </c>
    </row>
    <row r="146" spans="1:6" x14ac:dyDescent="0.25">
      <c r="A146" s="1093">
        <v>145</v>
      </c>
      <c r="B146" s="1094">
        <v>849115003</v>
      </c>
      <c r="C146" s="1099" t="s">
        <v>1384</v>
      </c>
      <c r="D146" s="1100">
        <v>43034</v>
      </c>
      <c r="E146" s="758" t="str">
        <f t="shared" si="6"/>
        <v>MPI-S2</v>
      </c>
      <c r="F146" s="859">
        <f t="shared" si="7"/>
        <v>2015</v>
      </c>
    </row>
    <row r="147" spans="1:6" x14ac:dyDescent="0.25">
      <c r="A147" s="1093">
        <v>146</v>
      </c>
      <c r="B147" s="1094">
        <v>849115005</v>
      </c>
      <c r="C147" s="1099" t="s">
        <v>1386</v>
      </c>
      <c r="D147" s="1100">
        <v>43103</v>
      </c>
      <c r="E147" s="758" t="str">
        <f t="shared" si="6"/>
        <v>MPI-S2</v>
      </c>
      <c r="F147" s="859">
        <f t="shared" si="7"/>
        <v>2015</v>
      </c>
    </row>
    <row r="148" spans="1:6" x14ac:dyDescent="0.25">
      <c r="A148" s="1093">
        <v>147</v>
      </c>
      <c r="B148" s="1094">
        <v>849115007</v>
      </c>
      <c r="C148" s="1099" t="s">
        <v>606</v>
      </c>
      <c r="D148" s="1100">
        <v>43248</v>
      </c>
      <c r="E148" s="758" t="str">
        <f t="shared" si="6"/>
        <v>MPI-S2</v>
      </c>
      <c r="F148" s="859">
        <f t="shared" si="7"/>
        <v>2015</v>
      </c>
    </row>
    <row r="149" spans="1:6" x14ac:dyDescent="0.25">
      <c r="A149" s="1093">
        <v>148</v>
      </c>
      <c r="B149" s="1094">
        <v>849115008</v>
      </c>
      <c r="C149" s="1099" t="s">
        <v>3000</v>
      </c>
      <c r="D149" s="1100">
        <v>43388</v>
      </c>
      <c r="E149" s="758" t="str">
        <f t="shared" si="6"/>
        <v>MPI-S2</v>
      </c>
      <c r="F149" s="859">
        <f t="shared" si="7"/>
        <v>2015</v>
      </c>
    </row>
    <row r="150" spans="1:6" x14ac:dyDescent="0.25">
      <c r="A150" s="1093">
        <v>149</v>
      </c>
      <c r="B150" s="1094">
        <v>849115009</v>
      </c>
      <c r="C150" s="1099" t="s">
        <v>1391</v>
      </c>
      <c r="D150" s="1100">
        <v>43076</v>
      </c>
      <c r="E150" s="758" t="str">
        <f t="shared" si="6"/>
        <v>MPI-S2</v>
      </c>
      <c r="F150" s="859">
        <f t="shared" si="7"/>
        <v>2015</v>
      </c>
    </row>
    <row r="151" spans="1:6" x14ac:dyDescent="0.25">
      <c r="A151" s="1093">
        <v>150</v>
      </c>
      <c r="B151" s="1094">
        <v>849115010</v>
      </c>
      <c r="C151" s="1095" t="s">
        <v>3001</v>
      </c>
      <c r="D151" s="1096">
        <v>43675</v>
      </c>
      <c r="E151" s="758" t="str">
        <f t="shared" si="6"/>
        <v>MPI-S2</v>
      </c>
      <c r="F151" s="859">
        <f t="shared" si="7"/>
        <v>2015</v>
      </c>
    </row>
    <row r="152" spans="1:6" x14ac:dyDescent="0.25">
      <c r="A152" s="1093">
        <v>151</v>
      </c>
      <c r="B152" s="1094">
        <v>849115014</v>
      </c>
      <c r="C152" s="1098" t="s">
        <v>3002</v>
      </c>
      <c r="D152" s="1096">
        <v>43482</v>
      </c>
      <c r="E152" s="758" t="str">
        <f t="shared" si="6"/>
        <v>MPI-S2</v>
      </c>
      <c r="F152" s="859">
        <f t="shared" si="7"/>
        <v>2015</v>
      </c>
    </row>
    <row r="153" spans="1:6" x14ac:dyDescent="0.25">
      <c r="A153" s="1093">
        <v>152</v>
      </c>
      <c r="B153" s="1094">
        <v>849115015</v>
      </c>
      <c r="C153" s="1099" t="s">
        <v>3003</v>
      </c>
      <c r="D153" s="1100">
        <v>43480</v>
      </c>
      <c r="E153" s="758" t="str">
        <f t="shared" si="6"/>
        <v>MPI-S2</v>
      </c>
      <c r="F153" s="859">
        <f t="shared" si="7"/>
        <v>2015</v>
      </c>
    </row>
    <row r="154" spans="1:6" x14ac:dyDescent="0.25">
      <c r="A154" s="1093">
        <v>153</v>
      </c>
      <c r="B154" s="1094">
        <v>849115017</v>
      </c>
      <c r="C154" s="1099" t="s">
        <v>1401</v>
      </c>
      <c r="D154" s="1100">
        <v>43020</v>
      </c>
      <c r="E154" s="758" t="str">
        <f t="shared" si="6"/>
        <v>MPI-S2</v>
      </c>
      <c r="F154" s="859">
        <f t="shared" si="7"/>
        <v>2015</v>
      </c>
    </row>
    <row r="155" spans="1:6" x14ac:dyDescent="0.25">
      <c r="A155" s="1093">
        <v>154</v>
      </c>
      <c r="B155" s="1094">
        <v>849115018</v>
      </c>
      <c r="C155" s="1099" t="s">
        <v>1390</v>
      </c>
      <c r="D155" s="1100">
        <v>43062</v>
      </c>
      <c r="E155" s="758" t="str">
        <f t="shared" si="6"/>
        <v>MPI-S2</v>
      </c>
      <c r="F155" s="859">
        <f t="shared" si="7"/>
        <v>2015</v>
      </c>
    </row>
    <row r="156" spans="1:6" x14ac:dyDescent="0.25">
      <c r="A156" s="1093">
        <v>155</v>
      </c>
      <c r="B156" s="1094">
        <v>849115019</v>
      </c>
      <c r="C156" s="2306" t="s">
        <v>3004</v>
      </c>
      <c r="D156" s="1096">
        <v>43643</v>
      </c>
      <c r="E156" s="758" t="str">
        <f t="shared" si="6"/>
        <v>MPI-S2</v>
      </c>
      <c r="F156" s="859">
        <f t="shared" si="7"/>
        <v>2015</v>
      </c>
    </row>
    <row r="157" spans="1:6" x14ac:dyDescent="0.25">
      <c r="A157" s="1093">
        <v>156</v>
      </c>
      <c r="B157" s="1094">
        <v>849115021</v>
      </c>
      <c r="C157" s="1099" t="s">
        <v>3005</v>
      </c>
      <c r="D157" s="1100">
        <v>43248</v>
      </c>
      <c r="E157" s="758" t="str">
        <f t="shared" si="6"/>
        <v>MPI-S2</v>
      </c>
      <c r="F157" s="859">
        <f t="shared" si="7"/>
        <v>2015</v>
      </c>
    </row>
    <row r="158" spans="1:6" x14ac:dyDescent="0.25">
      <c r="A158" s="1093">
        <v>157</v>
      </c>
      <c r="B158" s="1094">
        <v>849115024</v>
      </c>
      <c r="C158" s="1099" t="s">
        <v>3006</v>
      </c>
      <c r="D158" s="1100">
        <v>43398</v>
      </c>
      <c r="E158" s="758" t="str">
        <f t="shared" si="6"/>
        <v>MPI-S2</v>
      </c>
      <c r="F158" s="859">
        <f t="shared" si="7"/>
        <v>2015</v>
      </c>
    </row>
    <row r="159" spans="1:6" x14ac:dyDescent="0.25">
      <c r="A159" s="1093">
        <v>158</v>
      </c>
      <c r="B159" s="1094">
        <v>849116001</v>
      </c>
      <c r="C159" s="1099" t="s">
        <v>2785</v>
      </c>
      <c r="D159" s="1100">
        <v>43286</v>
      </c>
      <c r="E159" s="758" t="str">
        <f t="shared" si="6"/>
        <v>MPI-S2</v>
      </c>
      <c r="F159" s="859">
        <f t="shared" si="7"/>
        <v>2016</v>
      </c>
    </row>
    <row r="160" spans="1:6" x14ac:dyDescent="0.25">
      <c r="A160" s="1093">
        <v>159</v>
      </c>
      <c r="B160" s="1094">
        <v>849116002</v>
      </c>
      <c r="C160" s="1099" t="s">
        <v>3007</v>
      </c>
      <c r="D160" s="1100">
        <v>43391</v>
      </c>
      <c r="E160" s="758" t="str">
        <f t="shared" si="6"/>
        <v>MPI-S2</v>
      </c>
      <c r="F160" s="859">
        <f t="shared" si="7"/>
        <v>2016</v>
      </c>
    </row>
    <row r="161" spans="1:6" x14ac:dyDescent="0.25">
      <c r="A161" s="1093">
        <v>160</v>
      </c>
      <c r="B161" s="1094">
        <v>849116004</v>
      </c>
      <c r="C161" s="1099" t="s">
        <v>3008</v>
      </c>
      <c r="D161" s="1100">
        <v>43391</v>
      </c>
      <c r="E161" s="758" t="str">
        <f t="shared" ref="E161:E191" si="8">VLOOKUP(B161,DNIMP,3,FALSE)</f>
        <v>MPI-S2</v>
      </c>
      <c r="F161" s="859">
        <f t="shared" ref="F161:F191" si="9">VLOOKUP(B161,DNIMP,4,FALSE)</f>
        <v>2016</v>
      </c>
    </row>
    <row r="162" spans="1:6" x14ac:dyDescent="0.25">
      <c r="A162" s="1093">
        <v>161</v>
      </c>
      <c r="B162" s="1094">
        <v>849116006</v>
      </c>
      <c r="C162" s="1099" t="s">
        <v>1686</v>
      </c>
      <c r="D162" s="1100">
        <v>43489</v>
      </c>
      <c r="E162" s="758" t="str">
        <f t="shared" si="8"/>
        <v>MPI-S2</v>
      </c>
      <c r="F162" s="859">
        <f t="shared" si="9"/>
        <v>2016</v>
      </c>
    </row>
    <row r="163" spans="1:6" x14ac:dyDescent="0.25">
      <c r="A163" s="1093">
        <v>162</v>
      </c>
      <c r="B163" s="1094">
        <v>849116008</v>
      </c>
      <c r="C163" s="1099" t="s">
        <v>3009</v>
      </c>
      <c r="D163" s="1100">
        <v>43391</v>
      </c>
      <c r="E163" s="758" t="str">
        <f t="shared" si="8"/>
        <v>MPI-S2</v>
      </c>
      <c r="F163" s="859">
        <f t="shared" si="9"/>
        <v>2016</v>
      </c>
    </row>
    <row r="164" spans="1:6" x14ac:dyDescent="0.25">
      <c r="A164" s="1093">
        <v>163</v>
      </c>
      <c r="B164" s="1094">
        <v>849116010</v>
      </c>
      <c r="C164" s="2306" t="s">
        <v>3010</v>
      </c>
      <c r="D164" s="1096">
        <v>43635</v>
      </c>
      <c r="E164" s="758" t="str">
        <f t="shared" si="8"/>
        <v>MPI-S2</v>
      </c>
      <c r="F164" s="859">
        <f t="shared" si="9"/>
        <v>2016</v>
      </c>
    </row>
    <row r="165" spans="1:6" x14ac:dyDescent="0.25">
      <c r="A165" s="1093">
        <v>164</v>
      </c>
      <c r="B165" s="1094">
        <v>849116012</v>
      </c>
      <c r="C165" s="2306" t="s">
        <v>3011</v>
      </c>
      <c r="D165" s="1096">
        <v>43635</v>
      </c>
      <c r="E165" s="758" t="str">
        <f t="shared" si="8"/>
        <v>MPI-S2</v>
      </c>
      <c r="F165" s="859">
        <f t="shared" si="9"/>
        <v>2016</v>
      </c>
    </row>
    <row r="166" spans="1:6" x14ac:dyDescent="0.25">
      <c r="A166" s="1093">
        <v>165</v>
      </c>
      <c r="B166" s="1094">
        <v>849116016</v>
      </c>
      <c r="C166" s="1095" t="s">
        <v>1696</v>
      </c>
      <c r="D166" s="1096">
        <v>43563</v>
      </c>
      <c r="E166" s="758" t="str">
        <f t="shared" si="8"/>
        <v>MPI-S2</v>
      </c>
      <c r="F166" s="859">
        <f t="shared" si="9"/>
        <v>2016</v>
      </c>
    </row>
    <row r="167" spans="1:6" x14ac:dyDescent="0.25">
      <c r="A167" s="1093">
        <v>166</v>
      </c>
      <c r="B167" s="1094">
        <v>849116019</v>
      </c>
      <c r="C167" s="1099" t="s">
        <v>3012</v>
      </c>
      <c r="D167" s="1100">
        <v>43482</v>
      </c>
      <c r="E167" s="758" t="str">
        <f t="shared" si="8"/>
        <v>MPI-S2</v>
      </c>
      <c r="F167" s="859">
        <f t="shared" si="9"/>
        <v>2016</v>
      </c>
    </row>
    <row r="168" spans="1:6" x14ac:dyDescent="0.25">
      <c r="A168" s="1093">
        <v>167</v>
      </c>
      <c r="B168" s="1094">
        <v>849116020</v>
      </c>
      <c r="C168" s="1099" t="s">
        <v>3013</v>
      </c>
      <c r="D168" s="1100">
        <v>43481</v>
      </c>
      <c r="E168" s="758" t="str">
        <f t="shared" si="8"/>
        <v>MPI-S2</v>
      </c>
      <c r="F168" s="859">
        <f t="shared" si="9"/>
        <v>2016</v>
      </c>
    </row>
    <row r="169" spans="1:6" x14ac:dyDescent="0.25">
      <c r="A169" s="1093">
        <v>168</v>
      </c>
      <c r="B169" s="1094">
        <v>849116024</v>
      </c>
      <c r="C169" s="1099" t="s">
        <v>1705</v>
      </c>
      <c r="D169" s="1100">
        <v>43489</v>
      </c>
      <c r="E169" s="758" t="str">
        <f t="shared" si="8"/>
        <v>MPI-S2</v>
      </c>
      <c r="F169" s="859">
        <f t="shared" si="9"/>
        <v>2016</v>
      </c>
    </row>
    <row r="170" spans="1:6" x14ac:dyDescent="0.25">
      <c r="A170" s="1093">
        <v>169</v>
      </c>
      <c r="B170" s="1094">
        <v>849116026</v>
      </c>
      <c r="C170" s="1098" t="s">
        <v>3014</v>
      </c>
      <c r="D170" s="1096">
        <v>43805</v>
      </c>
      <c r="E170" s="758" t="str">
        <f t="shared" si="8"/>
        <v>MPI-S2</v>
      </c>
      <c r="F170" s="859">
        <f t="shared" si="9"/>
        <v>2016</v>
      </c>
    </row>
    <row r="171" spans="1:6" x14ac:dyDescent="0.25">
      <c r="A171" s="1093">
        <v>170</v>
      </c>
      <c r="B171" s="1094">
        <v>849116032</v>
      </c>
      <c r="C171" s="1098" t="s">
        <v>3015</v>
      </c>
      <c r="D171" s="1096">
        <v>43635</v>
      </c>
      <c r="E171" s="758" t="str">
        <f t="shared" si="8"/>
        <v>MPI-S2</v>
      </c>
      <c r="F171" s="859">
        <f t="shared" si="9"/>
        <v>2016</v>
      </c>
    </row>
    <row r="172" spans="1:6" x14ac:dyDescent="0.25">
      <c r="A172" s="1093">
        <v>171</v>
      </c>
      <c r="B172" s="1094">
        <v>849116033</v>
      </c>
      <c r="C172" s="1099" t="s">
        <v>1713</v>
      </c>
      <c r="D172" s="1100">
        <v>43116</v>
      </c>
      <c r="E172" s="758" t="str">
        <f t="shared" si="8"/>
        <v>MPI-S2</v>
      </c>
      <c r="F172" s="859">
        <f t="shared" si="9"/>
        <v>2016</v>
      </c>
    </row>
    <row r="173" spans="1:6" x14ac:dyDescent="0.25">
      <c r="A173" s="1093">
        <v>172</v>
      </c>
      <c r="B173" s="1094">
        <v>849116034</v>
      </c>
      <c r="C173" s="1099" t="s">
        <v>1714</v>
      </c>
      <c r="D173" s="1100">
        <v>43475</v>
      </c>
      <c r="E173" s="758" t="str">
        <f t="shared" si="8"/>
        <v>MPI-S2</v>
      </c>
      <c r="F173" s="859">
        <f t="shared" si="9"/>
        <v>2016</v>
      </c>
    </row>
    <row r="174" spans="1:6" x14ac:dyDescent="0.25">
      <c r="A174" s="1093">
        <v>173</v>
      </c>
      <c r="B174" s="1094">
        <v>849116036</v>
      </c>
      <c r="C174" s="1099" t="s">
        <v>1716</v>
      </c>
      <c r="D174" s="1100">
        <v>43398</v>
      </c>
      <c r="E174" s="758" t="str">
        <f t="shared" si="8"/>
        <v>MPI-S2</v>
      </c>
      <c r="F174" s="859">
        <f t="shared" si="9"/>
        <v>2016</v>
      </c>
    </row>
    <row r="175" spans="1:6" x14ac:dyDescent="0.25">
      <c r="A175" s="1093">
        <v>174</v>
      </c>
      <c r="B175" s="1094">
        <v>849117002</v>
      </c>
      <c r="C175" s="1098" t="s">
        <v>3016</v>
      </c>
      <c r="D175" s="1096">
        <v>43593</v>
      </c>
      <c r="E175" s="758" t="str">
        <f t="shared" si="8"/>
        <v>MPI-S2</v>
      </c>
      <c r="F175" s="859">
        <f t="shared" si="9"/>
        <v>2017</v>
      </c>
    </row>
    <row r="176" spans="1:6" x14ac:dyDescent="0.25">
      <c r="A176" s="1093">
        <v>175</v>
      </c>
      <c r="B176" s="1094">
        <v>849117005</v>
      </c>
      <c r="C176" s="1098" t="s">
        <v>1815</v>
      </c>
      <c r="D176" s="1096">
        <v>43594</v>
      </c>
      <c r="E176" s="758" t="str">
        <f t="shared" si="8"/>
        <v>MPI-S2</v>
      </c>
      <c r="F176" s="859">
        <f t="shared" si="9"/>
        <v>2017</v>
      </c>
    </row>
    <row r="177" spans="1:6" x14ac:dyDescent="0.25">
      <c r="A177" s="1093">
        <v>176</v>
      </c>
      <c r="B177" s="1094">
        <v>849117016</v>
      </c>
      <c r="C177" s="2306" t="s">
        <v>3017</v>
      </c>
      <c r="D177" s="1096">
        <v>43592</v>
      </c>
      <c r="E177" s="758" t="str">
        <f t="shared" si="8"/>
        <v>MPI-S2</v>
      </c>
      <c r="F177" s="859">
        <f t="shared" si="9"/>
        <v>2017</v>
      </c>
    </row>
    <row r="178" spans="1:6" x14ac:dyDescent="0.25">
      <c r="A178" s="1093">
        <v>177</v>
      </c>
      <c r="B178" s="1094">
        <v>849117028</v>
      </c>
      <c r="C178" s="2306" t="s">
        <v>1840</v>
      </c>
      <c r="D178" s="1096">
        <v>43818</v>
      </c>
      <c r="E178" s="758" t="str">
        <f t="shared" si="8"/>
        <v>MPI-S2</v>
      </c>
      <c r="F178" s="859">
        <f t="shared" si="9"/>
        <v>2017</v>
      </c>
    </row>
    <row r="179" spans="1:6" x14ac:dyDescent="0.25">
      <c r="A179" s="1093">
        <v>178</v>
      </c>
      <c r="B179" s="1094">
        <v>849117033</v>
      </c>
      <c r="C179" s="1098" t="s">
        <v>1847</v>
      </c>
      <c r="D179" s="1096">
        <v>43641</v>
      </c>
      <c r="E179" s="758" t="str">
        <f t="shared" si="8"/>
        <v>MPI-S2</v>
      </c>
      <c r="F179" s="859">
        <f t="shared" si="9"/>
        <v>2017</v>
      </c>
    </row>
    <row r="180" spans="1:6" x14ac:dyDescent="0.25">
      <c r="A180" s="1093">
        <v>179</v>
      </c>
      <c r="B180" s="1094">
        <v>849117037</v>
      </c>
      <c r="C180" s="2306" t="s">
        <v>1851</v>
      </c>
      <c r="D180" s="1096">
        <v>43838</v>
      </c>
      <c r="E180" s="758" t="str">
        <f t="shared" si="8"/>
        <v>MPI-S2</v>
      </c>
      <c r="F180" s="859">
        <f t="shared" si="9"/>
        <v>2017</v>
      </c>
    </row>
    <row r="181" spans="1:6" x14ac:dyDescent="0.25">
      <c r="A181" s="1093">
        <v>180</v>
      </c>
      <c r="B181" s="1094">
        <v>849117040</v>
      </c>
      <c r="C181" s="1095" t="s">
        <v>3018</v>
      </c>
      <c r="D181" s="1096">
        <v>43649</v>
      </c>
      <c r="E181" s="758" t="str">
        <f t="shared" si="8"/>
        <v>MPI-S2</v>
      </c>
      <c r="F181" s="859">
        <f t="shared" si="9"/>
        <v>2017</v>
      </c>
    </row>
    <row r="182" spans="1:6" x14ac:dyDescent="0.25">
      <c r="A182" s="1093">
        <v>181</v>
      </c>
      <c r="B182" s="1094">
        <v>849117042</v>
      </c>
      <c r="C182" s="1098" t="s">
        <v>3019</v>
      </c>
      <c r="D182" s="1096">
        <v>43678</v>
      </c>
      <c r="E182" s="758" t="str">
        <f t="shared" si="8"/>
        <v>MPI-S2</v>
      </c>
      <c r="F182" s="859">
        <f t="shared" si="9"/>
        <v>2017</v>
      </c>
    </row>
    <row r="183" spans="1:6" x14ac:dyDescent="0.25">
      <c r="A183" s="1093">
        <v>182</v>
      </c>
      <c r="B183" s="1094">
        <v>849117044</v>
      </c>
      <c r="C183" s="1099" t="s">
        <v>3020</v>
      </c>
      <c r="D183" s="1096">
        <v>43797</v>
      </c>
      <c r="E183" s="758" t="str">
        <f t="shared" si="8"/>
        <v>MPI-S2</v>
      </c>
      <c r="F183" s="859">
        <f t="shared" si="9"/>
        <v>2017</v>
      </c>
    </row>
    <row r="184" spans="1:6" x14ac:dyDescent="0.25">
      <c r="A184" s="1093">
        <v>183</v>
      </c>
      <c r="B184" s="1094">
        <v>849117046</v>
      </c>
      <c r="C184" s="1098" t="s">
        <v>3021</v>
      </c>
      <c r="D184" s="1096">
        <v>43594</v>
      </c>
      <c r="E184" s="758" t="str">
        <f t="shared" si="8"/>
        <v>MPI-S2</v>
      </c>
      <c r="F184" s="859">
        <f t="shared" si="9"/>
        <v>2017</v>
      </c>
    </row>
    <row r="185" spans="1:6" x14ac:dyDescent="0.25">
      <c r="A185" s="1093">
        <v>184</v>
      </c>
      <c r="B185" s="1094">
        <v>849120001</v>
      </c>
      <c r="C185" s="1109" t="s">
        <v>884</v>
      </c>
      <c r="D185" s="1100">
        <v>42900</v>
      </c>
      <c r="E185" s="758" t="str">
        <f t="shared" si="8"/>
        <v>PI</v>
      </c>
      <c r="F185" s="859">
        <f t="shared" si="9"/>
        <v>2011</v>
      </c>
    </row>
    <row r="186" spans="1:6" x14ac:dyDescent="0.25">
      <c r="A186" s="1093">
        <v>185</v>
      </c>
      <c r="B186" s="1094">
        <v>849120014</v>
      </c>
      <c r="C186" s="1088" t="s">
        <v>2874</v>
      </c>
      <c r="D186" s="1101">
        <v>42691</v>
      </c>
      <c r="E186" s="758" t="str">
        <f t="shared" si="8"/>
        <v>PI</v>
      </c>
      <c r="F186" s="859">
        <f t="shared" si="9"/>
        <v>2011</v>
      </c>
    </row>
    <row r="187" spans="1:6" x14ac:dyDescent="0.25">
      <c r="A187" s="1093">
        <v>186</v>
      </c>
      <c r="B187" s="1094">
        <v>849120039</v>
      </c>
      <c r="C187" s="1099" t="s">
        <v>3022</v>
      </c>
      <c r="D187" s="1100">
        <v>42985</v>
      </c>
      <c r="E187" s="758" t="str">
        <f t="shared" si="8"/>
        <v>PI</v>
      </c>
      <c r="F187" s="859">
        <f t="shared" si="9"/>
        <v>2011</v>
      </c>
    </row>
    <row r="188" spans="1:6" x14ac:dyDescent="0.25">
      <c r="A188" s="1093">
        <v>187</v>
      </c>
      <c r="B188" s="1094">
        <v>849213002</v>
      </c>
      <c r="C188" s="1099" t="s">
        <v>3023</v>
      </c>
      <c r="D188" s="1100">
        <v>43370</v>
      </c>
      <c r="E188" s="758" t="str">
        <f t="shared" si="8"/>
        <v>PBA</v>
      </c>
      <c r="F188" s="859">
        <f t="shared" si="9"/>
        <v>2013</v>
      </c>
    </row>
    <row r="189" spans="1:6" x14ac:dyDescent="0.25">
      <c r="A189" s="1093">
        <v>188</v>
      </c>
      <c r="B189" s="1094">
        <v>849213006</v>
      </c>
      <c r="C189" s="1099" t="s">
        <v>1116</v>
      </c>
      <c r="D189" s="1100">
        <v>43301</v>
      </c>
      <c r="E189" s="758" t="str">
        <f t="shared" si="8"/>
        <v>PBA</v>
      </c>
      <c r="F189" s="859">
        <f t="shared" si="9"/>
        <v>2013</v>
      </c>
    </row>
    <row r="190" spans="1:6" x14ac:dyDescent="0.25">
      <c r="A190" s="1093">
        <v>189</v>
      </c>
      <c r="B190" s="1094">
        <v>849214005</v>
      </c>
      <c r="C190" s="1099" t="s">
        <v>1256</v>
      </c>
      <c r="D190" s="1100">
        <v>43027</v>
      </c>
      <c r="E190" s="758" t="str">
        <f t="shared" si="8"/>
        <v>PBA</v>
      </c>
      <c r="F190" s="859">
        <f t="shared" si="9"/>
        <v>2014</v>
      </c>
    </row>
    <row r="191" spans="1:6" x14ac:dyDescent="0.25">
      <c r="A191" s="1093">
        <v>190</v>
      </c>
      <c r="B191" s="1094">
        <v>849214006</v>
      </c>
      <c r="C191" s="1099" t="s">
        <v>1257</v>
      </c>
      <c r="D191" s="1100">
        <v>43377</v>
      </c>
      <c r="E191" s="758" t="str">
        <f t="shared" si="8"/>
        <v>PBA</v>
      </c>
      <c r="F191" s="859">
        <f t="shared" si="9"/>
        <v>2014</v>
      </c>
    </row>
    <row r="192" spans="1:6" x14ac:dyDescent="0.25">
      <c r="A192" s="1093">
        <v>191</v>
      </c>
      <c r="B192" s="1094">
        <v>849214008</v>
      </c>
      <c r="C192" s="1109" t="s">
        <v>1259</v>
      </c>
      <c r="D192" s="1100">
        <v>42884</v>
      </c>
      <c r="E192" s="758" t="str">
        <f t="shared" ref="E192:E255" si="10">VLOOKUP(B192,DNIMP,3,FALSE)</f>
        <v>PBA</v>
      </c>
      <c r="F192" s="859">
        <f t="shared" ref="F192:F255" si="11">VLOOKUP(B192,DNIMP,4,FALSE)</f>
        <v>2014</v>
      </c>
    </row>
    <row r="193" spans="1:6" x14ac:dyDescent="0.25">
      <c r="A193" s="1093">
        <v>192</v>
      </c>
      <c r="B193" s="1094">
        <v>849214009</v>
      </c>
      <c r="C193" s="1088" t="s">
        <v>1260</v>
      </c>
      <c r="D193" s="1097">
        <v>43613</v>
      </c>
      <c r="E193" s="758" t="str">
        <f t="shared" si="10"/>
        <v>PBA</v>
      </c>
      <c r="F193" s="859">
        <f t="shared" si="11"/>
        <v>2014</v>
      </c>
    </row>
    <row r="194" spans="1:6" x14ac:dyDescent="0.25">
      <c r="A194" s="1093">
        <v>193</v>
      </c>
      <c r="B194" s="1094">
        <v>849214010</v>
      </c>
      <c r="C194" s="1088" t="s">
        <v>3024</v>
      </c>
      <c r="D194" s="1097">
        <v>42753</v>
      </c>
      <c r="E194" s="758" t="str">
        <f t="shared" si="10"/>
        <v>PBA</v>
      </c>
      <c r="F194" s="859">
        <f t="shared" si="11"/>
        <v>2014</v>
      </c>
    </row>
    <row r="195" spans="1:6" x14ac:dyDescent="0.25">
      <c r="A195" s="1093">
        <v>194</v>
      </c>
      <c r="B195" s="1094">
        <v>849214011</v>
      </c>
      <c r="C195" s="1088" t="s">
        <v>1263</v>
      </c>
      <c r="D195" s="1097">
        <v>42814</v>
      </c>
      <c r="E195" s="758" t="str">
        <f t="shared" si="10"/>
        <v>PBA</v>
      </c>
      <c r="F195" s="859">
        <f t="shared" si="11"/>
        <v>2014</v>
      </c>
    </row>
    <row r="196" spans="1:6" x14ac:dyDescent="0.25">
      <c r="A196" s="1093">
        <v>195</v>
      </c>
      <c r="B196" s="1094">
        <v>849214012</v>
      </c>
      <c r="C196" s="1099" t="s">
        <v>3025</v>
      </c>
      <c r="D196" s="1100">
        <v>42835</v>
      </c>
      <c r="E196" s="758" t="str">
        <f t="shared" si="10"/>
        <v>PBA</v>
      </c>
      <c r="F196" s="859">
        <f t="shared" si="11"/>
        <v>2014</v>
      </c>
    </row>
    <row r="197" spans="1:6" x14ac:dyDescent="0.25">
      <c r="A197" s="1093">
        <v>196</v>
      </c>
      <c r="B197" s="1094">
        <v>849214013</v>
      </c>
      <c r="C197" s="1099" t="s">
        <v>1265</v>
      </c>
      <c r="D197" s="1100">
        <v>42852</v>
      </c>
      <c r="E197" s="758" t="str">
        <f t="shared" si="10"/>
        <v>PBA</v>
      </c>
      <c r="F197" s="859">
        <f t="shared" si="11"/>
        <v>2014</v>
      </c>
    </row>
    <row r="198" spans="1:6" x14ac:dyDescent="0.25">
      <c r="A198" s="1093">
        <v>197</v>
      </c>
      <c r="B198" s="1094">
        <v>849214014</v>
      </c>
      <c r="C198" s="1088" t="s">
        <v>1266</v>
      </c>
      <c r="D198" s="1097">
        <v>42753</v>
      </c>
      <c r="E198" s="758" t="str">
        <f t="shared" si="10"/>
        <v>PBA</v>
      </c>
      <c r="F198" s="859">
        <f t="shared" si="11"/>
        <v>2014</v>
      </c>
    </row>
    <row r="199" spans="1:6" x14ac:dyDescent="0.25">
      <c r="A199" s="1093">
        <v>198</v>
      </c>
      <c r="B199" s="1094">
        <v>849214015</v>
      </c>
      <c r="C199" s="1088" t="s">
        <v>3026</v>
      </c>
      <c r="D199" s="1097">
        <v>43656</v>
      </c>
      <c r="E199" s="758" t="str">
        <f t="shared" si="10"/>
        <v>PBA</v>
      </c>
      <c r="F199" s="859">
        <f t="shared" si="11"/>
        <v>2014</v>
      </c>
    </row>
    <row r="200" spans="1:6" x14ac:dyDescent="0.25">
      <c r="A200" s="1093">
        <v>199</v>
      </c>
      <c r="B200" s="1094">
        <v>849215001</v>
      </c>
      <c r="C200" s="1098" t="s">
        <v>3027</v>
      </c>
      <c r="D200" s="1096">
        <v>43650</v>
      </c>
      <c r="E200" s="758" t="str">
        <f t="shared" si="10"/>
        <v>PBA</v>
      </c>
      <c r="F200" s="859">
        <f t="shared" si="11"/>
        <v>2015</v>
      </c>
    </row>
    <row r="201" spans="1:6" x14ac:dyDescent="0.25">
      <c r="A201" s="1093">
        <v>200</v>
      </c>
      <c r="B201" s="1094">
        <v>849215002</v>
      </c>
      <c r="C201" s="2306" t="s">
        <v>3028</v>
      </c>
      <c r="D201" s="1096">
        <v>43832</v>
      </c>
      <c r="E201" s="758" t="str">
        <f t="shared" si="10"/>
        <v>PBA</v>
      </c>
      <c r="F201" s="859">
        <f t="shared" si="11"/>
        <v>2015</v>
      </c>
    </row>
    <row r="202" spans="1:6" x14ac:dyDescent="0.25">
      <c r="A202" s="1093">
        <v>201</v>
      </c>
      <c r="B202" s="1094">
        <v>849215005</v>
      </c>
      <c r="C202" s="1099" t="s">
        <v>1373</v>
      </c>
      <c r="D202" s="1100">
        <v>43082</v>
      </c>
      <c r="E202" s="758" t="str">
        <f t="shared" si="10"/>
        <v>PBA</v>
      </c>
      <c r="F202" s="859">
        <f t="shared" si="11"/>
        <v>2015</v>
      </c>
    </row>
    <row r="203" spans="1:6" x14ac:dyDescent="0.25">
      <c r="A203" s="1093">
        <v>202</v>
      </c>
      <c r="B203" s="1094">
        <v>849215007</v>
      </c>
      <c r="C203" s="1098" t="s">
        <v>3029</v>
      </c>
      <c r="D203" s="1096">
        <v>43613</v>
      </c>
      <c r="E203" s="758" t="str">
        <f t="shared" si="10"/>
        <v>PBA</v>
      </c>
      <c r="F203" s="859">
        <f t="shared" si="11"/>
        <v>2015</v>
      </c>
    </row>
    <row r="204" spans="1:6" x14ac:dyDescent="0.25">
      <c r="A204" s="1093">
        <v>203</v>
      </c>
      <c r="B204" s="1094">
        <v>849215008</v>
      </c>
      <c r="C204" s="1098" t="s">
        <v>3030</v>
      </c>
      <c r="D204" s="1096">
        <v>43481</v>
      </c>
      <c r="E204" s="758" t="str">
        <f t="shared" si="10"/>
        <v>PBA</v>
      </c>
      <c r="F204" s="859">
        <f t="shared" si="11"/>
        <v>2015</v>
      </c>
    </row>
    <row r="205" spans="1:6" x14ac:dyDescent="0.25">
      <c r="A205" s="1093">
        <v>204</v>
      </c>
      <c r="B205" s="1094">
        <v>849216001</v>
      </c>
      <c r="C205" s="1099" t="s">
        <v>3031</v>
      </c>
      <c r="D205" s="1100">
        <v>43502</v>
      </c>
      <c r="E205" s="758" t="str">
        <f t="shared" si="10"/>
        <v>PBA</v>
      </c>
      <c r="F205" s="859">
        <f t="shared" si="11"/>
        <v>2016</v>
      </c>
    </row>
    <row r="206" spans="1:6" x14ac:dyDescent="0.25">
      <c r="A206" s="1093">
        <v>205</v>
      </c>
      <c r="B206" s="1094">
        <v>849216002</v>
      </c>
      <c r="C206" s="1099" t="s">
        <v>3032</v>
      </c>
      <c r="D206" s="1100">
        <v>43290</v>
      </c>
      <c r="E206" s="758" t="str">
        <f t="shared" si="10"/>
        <v>PBA</v>
      </c>
      <c r="F206" s="859">
        <f t="shared" si="11"/>
        <v>2016</v>
      </c>
    </row>
    <row r="207" spans="1:6" x14ac:dyDescent="0.25">
      <c r="A207" s="1093">
        <v>206</v>
      </c>
      <c r="B207" s="1094">
        <v>849216003</v>
      </c>
      <c r="C207" s="1099" t="s">
        <v>3033</v>
      </c>
      <c r="D207" s="1100">
        <v>43251</v>
      </c>
      <c r="E207" s="758" t="str">
        <f t="shared" si="10"/>
        <v>PBA</v>
      </c>
      <c r="F207" s="859">
        <f t="shared" si="11"/>
        <v>2016</v>
      </c>
    </row>
    <row r="208" spans="1:6" x14ac:dyDescent="0.25">
      <c r="A208" s="1093">
        <v>207</v>
      </c>
      <c r="B208" s="1094">
        <v>849216004</v>
      </c>
      <c r="C208" s="1099" t="s">
        <v>3034</v>
      </c>
      <c r="D208" s="1100">
        <v>43286</v>
      </c>
      <c r="E208" s="758" t="str">
        <f t="shared" si="10"/>
        <v>PBA</v>
      </c>
      <c r="F208" s="859">
        <f t="shared" si="11"/>
        <v>2016</v>
      </c>
    </row>
    <row r="209" spans="1:6" x14ac:dyDescent="0.25">
      <c r="A209" s="1093">
        <v>208</v>
      </c>
      <c r="B209" s="1094">
        <v>849216006</v>
      </c>
      <c r="C209" s="1099" t="s">
        <v>3035</v>
      </c>
      <c r="D209" s="1100">
        <v>43285</v>
      </c>
      <c r="E209" s="758" t="str">
        <f t="shared" si="10"/>
        <v>PBA</v>
      </c>
      <c r="F209" s="859">
        <f t="shared" si="11"/>
        <v>2016</v>
      </c>
    </row>
    <row r="210" spans="1:6" x14ac:dyDescent="0.25">
      <c r="A210" s="1093">
        <v>209</v>
      </c>
      <c r="B210" s="1094">
        <v>849216007</v>
      </c>
      <c r="C210" s="2306" t="s">
        <v>3036</v>
      </c>
      <c r="D210" s="1096">
        <v>43651</v>
      </c>
      <c r="E210" s="758" t="str">
        <f t="shared" si="10"/>
        <v>PBA</v>
      </c>
      <c r="F210" s="859">
        <f t="shared" si="11"/>
        <v>2016</v>
      </c>
    </row>
    <row r="211" spans="1:6" x14ac:dyDescent="0.25">
      <c r="A211" s="1093">
        <v>210</v>
      </c>
      <c r="B211" s="1094">
        <v>849216008</v>
      </c>
      <c r="C211" s="1099" t="s">
        <v>226</v>
      </c>
      <c r="D211" s="1100">
        <v>43308</v>
      </c>
      <c r="E211" s="758" t="str">
        <f t="shared" si="10"/>
        <v>PBA</v>
      </c>
      <c r="F211" s="859">
        <f t="shared" si="11"/>
        <v>2016</v>
      </c>
    </row>
    <row r="212" spans="1:6" x14ac:dyDescent="0.25">
      <c r="A212" s="1093">
        <v>211</v>
      </c>
      <c r="B212" s="1094">
        <v>849216009</v>
      </c>
      <c r="C212" s="1099" t="s">
        <v>3037</v>
      </c>
      <c r="D212" s="1100">
        <v>43294</v>
      </c>
      <c r="E212" s="758" t="str">
        <f t="shared" si="10"/>
        <v>PBA</v>
      </c>
      <c r="F212" s="859">
        <f t="shared" si="11"/>
        <v>2016</v>
      </c>
    </row>
    <row r="213" spans="1:6" x14ac:dyDescent="0.25">
      <c r="A213" s="1093">
        <v>212</v>
      </c>
      <c r="B213" s="1094">
        <v>849216010</v>
      </c>
      <c r="C213" s="1099" t="s">
        <v>3038</v>
      </c>
      <c r="D213" s="1100">
        <v>43480</v>
      </c>
      <c r="E213" s="758" t="str">
        <f t="shared" si="10"/>
        <v>PBA</v>
      </c>
      <c r="F213" s="859">
        <f t="shared" si="11"/>
        <v>2016</v>
      </c>
    </row>
    <row r="214" spans="1:6" x14ac:dyDescent="0.25">
      <c r="A214" s="1093">
        <v>213</v>
      </c>
      <c r="B214" s="1094">
        <v>849216012</v>
      </c>
      <c r="C214" s="1099" t="s">
        <v>1535</v>
      </c>
      <c r="D214" s="1100">
        <v>43467</v>
      </c>
      <c r="E214" s="758" t="str">
        <f t="shared" si="10"/>
        <v>PBA</v>
      </c>
      <c r="F214" s="859">
        <f t="shared" si="11"/>
        <v>2016</v>
      </c>
    </row>
    <row r="215" spans="1:6" x14ac:dyDescent="0.25">
      <c r="A215" s="1093">
        <v>214</v>
      </c>
      <c r="B215" s="1094">
        <v>849216015</v>
      </c>
      <c r="C215" s="1099" t="s">
        <v>1537</v>
      </c>
      <c r="D215" s="1100">
        <v>43369</v>
      </c>
      <c r="E215" s="758" t="str">
        <f t="shared" si="10"/>
        <v>PBA</v>
      </c>
      <c r="F215" s="859">
        <f t="shared" si="11"/>
        <v>2016</v>
      </c>
    </row>
    <row r="216" spans="1:6" x14ac:dyDescent="0.25">
      <c r="A216" s="1093">
        <v>215</v>
      </c>
      <c r="B216" s="1094">
        <v>849216017</v>
      </c>
      <c r="C216" s="2306" t="s">
        <v>3039</v>
      </c>
      <c r="D216" s="1096">
        <v>43654</v>
      </c>
      <c r="E216" s="758" t="str">
        <f t="shared" si="10"/>
        <v>PBA</v>
      </c>
      <c r="F216" s="859">
        <f t="shared" si="11"/>
        <v>2016</v>
      </c>
    </row>
    <row r="217" spans="1:6" x14ac:dyDescent="0.25">
      <c r="A217" s="1093">
        <v>216</v>
      </c>
      <c r="B217" s="1094">
        <v>849216020</v>
      </c>
      <c r="C217" s="1099" t="s">
        <v>3040</v>
      </c>
      <c r="D217" s="1100">
        <v>43259</v>
      </c>
      <c r="E217" s="758" t="str">
        <f t="shared" si="10"/>
        <v>PBA</v>
      </c>
      <c r="F217" s="859">
        <f t="shared" si="11"/>
        <v>2016</v>
      </c>
    </row>
    <row r="218" spans="1:6" x14ac:dyDescent="0.25">
      <c r="A218" s="1093">
        <v>217</v>
      </c>
      <c r="B218" s="1094">
        <v>849217001</v>
      </c>
      <c r="C218" s="1095" t="s">
        <v>1924</v>
      </c>
      <c r="D218" s="1096">
        <v>43833</v>
      </c>
      <c r="E218" s="758" t="str">
        <f t="shared" si="10"/>
        <v>PBA</v>
      </c>
      <c r="F218" s="859">
        <f t="shared" si="11"/>
        <v>2017</v>
      </c>
    </row>
    <row r="219" spans="1:6" x14ac:dyDescent="0.25">
      <c r="A219" s="1093">
        <v>218</v>
      </c>
      <c r="B219" s="1094">
        <v>849217003</v>
      </c>
      <c r="C219" s="2306" t="s">
        <v>3041</v>
      </c>
      <c r="D219" s="1096">
        <v>43811</v>
      </c>
      <c r="E219" s="758" t="str">
        <f t="shared" si="10"/>
        <v>PBA</v>
      </c>
      <c r="F219" s="859">
        <f t="shared" si="11"/>
        <v>2017</v>
      </c>
    </row>
    <row r="220" spans="1:6" x14ac:dyDescent="0.25">
      <c r="A220" s="1093">
        <v>219</v>
      </c>
      <c r="B220" s="1094">
        <v>849217005</v>
      </c>
      <c r="C220" s="2306" t="s">
        <v>1928</v>
      </c>
      <c r="D220" s="1096">
        <v>43654</v>
      </c>
      <c r="E220" s="758" t="str">
        <f t="shared" si="10"/>
        <v>PBA</v>
      </c>
      <c r="F220" s="859">
        <f t="shared" si="11"/>
        <v>2017</v>
      </c>
    </row>
    <row r="221" spans="1:6" x14ac:dyDescent="0.25">
      <c r="A221" s="1093">
        <v>220</v>
      </c>
      <c r="B221" s="1094">
        <v>849217008</v>
      </c>
      <c r="C221" s="1095" t="s">
        <v>3042</v>
      </c>
      <c r="D221" s="1096">
        <v>43650</v>
      </c>
      <c r="E221" s="758" t="str">
        <f t="shared" si="10"/>
        <v>PBA</v>
      </c>
      <c r="F221" s="859">
        <f t="shared" si="11"/>
        <v>2017</v>
      </c>
    </row>
    <row r="222" spans="1:6" x14ac:dyDescent="0.25">
      <c r="A222" s="1093">
        <v>221</v>
      </c>
      <c r="B222" s="1094">
        <v>849217014</v>
      </c>
      <c r="C222" s="2306" t="s">
        <v>1938</v>
      </c>
      <c r="D222" s="1096">
        <v>43841</v>
      </c>
      <c r="E222" s="758" t="str">
        <f t="shared" si="10"/>
        <v>PBA</v>
      </c>
      <c r="F222" s="859">
        <f t="shared" si="11"/>
        <v>2017</v>
      </c>
    </row>
    <row r="223" spans="1:6" x14ac:dyDescent="0.25">
      <c r="A223" s="1093">
        <v>222</v>
      </c>
      <c r="B223" s="1094">
        <v>849217019</v>
      </c>
      <c r="C223" s="1095" t="s">
        <v>1943</v>
      </c>
      <c r="D223" s="1096">
        <v>43832</v>
      </c>
      <c r="E223" s="758" t="str">
        <f t="shared" si="10"/>
        <v>PBA</v>
      </c>
      <c r="F223" s="859">
        <f t="shared" si="11"/>
        <v>2017</v>
      </c>
    </row>
    <row r="224" spans="1:6" x14ac:dyDescent="0.25">
      <c r="A224" s="1093">
        <v>223</v>
      </c>
      <c r="B224" s="1094">
        <v>849217020</v>
      </c>
      <c r="C224" s="1098" t="s">
        <v>3043</v>
      </c>
      <c r="D224" s="1096">
        <v>43571</v>
      </c>
      <c r="E224" s="758" t="str">
        <f t="shared" si="10"/>
        <v>PBA</v>
      </c>
      <c r="F224" s="859">
        <f t="shared" si="11"/>
        <v>2017</v>
      </c>
    </row>
    <row r="225" spans="1:6" x14ac:dyDescent="0.25">
      <c r="A225" s="1093">
        <v>224</v>
      </c>
      <c r="B225" s="1094">
        <v>849315001</v>
      </c>
      <c r="C225" s="1099" t="s">
        <v>3044</v>
      </c>
      <c r="D225" s="1100">
        <v>43098</v>
      </c>
      <c r="E225" s="758" t="str">
        <f t="shared" si="10"/>
        <v>PAI</v>
      </c>
      <c r="F225" s="859">
        <f t="shared" si="11"/>
        <v>2015</v>
      </c>
    </row>
    <row r="226" spans="1:6" x14ac:dyDescent="0.25">
      <c r="A226" s="1093">
        <v>225</v>
      </c>
      <c r="B226" s="1094">
        <v>849315003</v>
      </c>
      <c r="C226" s="1099" t="s">
        <v>1330</v>
      </c>
      <c r="D226" s="1100">
        <v>43031</v>
      </c>
      <c r="E226" s="758" t="str">
        <f t="shared" si="10"/>
        <v>PAI</v>
      </c>
      <c r="F226" s="859">
        <f t="shared" si="11"/>
        <v>2015</v>
      </c>
    </row>
    <row r="227" spans="1:6" x14ac:dyDescent="0.25">
      <c r="A227" s="1093">
        <v>226</v>
      </c>
      <c r="B227" s="1094">
        <v>849315004</v>
      </c>
      <c r="C227" s="1099" t="s">
        <v>1332</v>
      </c>
      <c r="D227" s="1100">
        <v>43076</v>
      </c>
      <c r="E227" s="758" t="str">
        <f t="shared" si="10"/>
        <v>PAI</v>
      </c>
      <c r="F227" s="859">
        <f t="shared" si="11"/>
        <v>2015</v>
      </c>
    </row>
    <row r="228" spans="1:6" x14ac:dyDescent="0.25">
      <c r="A228" s="1093">
        <v>227</v>
      </c>
      <c r="B228" s="1094">
        <v>849315007</v>
      </c>
      <c r="C228" s="1099" t="s">
        <v>3045</v>
      </c>
      <c r="D228" s="1100">
        <v>42943</v>
      </c>
      <c r="E228" s="758" t="str">
        <f t="shared" si="10"/>
        <v>PAI</v>
      </c>
      <c r="F228" s="859">
        <f t="shared" si="11"/>
        <v>2015</v>
      </c>
    </row>
    <row r="229" spans="1:6" x14ac:dyDescent="0.25">
      <c r="A229" s="1093">
        <v>228</v>
      </c>
      <c r="B229" s="1094">
        <v>849315008</v>
      </c>
      <c r="C229" s="1099" t="s">
        <v>1337</v>
      </c>
      <c r="D229" s="1100">
        <v>43104</v>
      </c>
      <c r="E229" s="758" t="str">
        <f t="shared" si="10"/>
        <v>PAI</v>
      </c>
      <c r="F229" s="859">
        <f t="shared" si="11"/>
        <v>2015</v>
      </c>
    </row>
    <row r="230" spans="1:6" x14ac:dyDescent="0.25">
      <c r="A230" s="1093">
        <v>229</v>
      </c>
      <c r="B230" s="1094">
        <v>849315009</v>
      </c>
      <c r="C230" s="1099" t="s">
        <v>3046</v>
      </c>
      <c r="D230" s="1100">
        <v>43454</v>
      </c>
      <c r="E230" s="758" t="str">
        <f t="shared" si="10"/>
        <v>PAI</v>
      </c>
      <c r="F230" s="859">
        <f t="shared" si="11"/>
        <v>2015</v>
      </c>
    </row>
    <row r="231" spans="1:6" x14ac:dyDescent="0.25">
      <c r="A231" s="1093">
        <v>230</v>
      </c>
      <c r="B231" s="1094">
        <v>849315010</v>
      </c>
      <c r="C231" s="1102" t="s">
        <v>1339</v>
      </c>
      <c r="D231" s="1100">
        <v>43104</v>
      </c>
      <c r="E231" s="758" t="str">
        <f t="shared" si="10"/>
        <v>PAI</v>
      </c>
      <c r="F231" s="859">
        <f t="shared" si="11"/>
        <v>2015</v>
      </c>
    </row>
    <row r="232" spans="1:6" x14ac:dyDescent="0.25">
      <c r="A232" s="1093">
        <v>231</v>
      </c>
      <c r="B232" s="1094">
        <v>849315013</v>
      </c>
      <c r="C232" s="1099" t="s">
        <v>1342</v>
      </c>
      <c r="D232" s="1100">
        <v>43087</v>
      </c>
      <c r="E232" s="758" t="str">
        <f t="shared" si="10"/>
        <v>PAI</v>
      </c>
      <c r="F232" s="859">
        <f t="shared" si="11"/>
        <v>2015</v>
      </c>
    </row>
    <row r="233" spans="1:6" x14ac:dyDescent="0.25">
      <c r="A233" s="1093">
        <v>232</v>
      </c>
      <c r="B233" s="1094">
        <v>849315014</v>
      </c>
      <c r="C233" s="1098" t="s">
        <v>3047</v>
      </c>
      <c r="D233" s="1096">
        <v>43686</v>
      </c>
      <c r="E233" s="758" t="str">
        <f t="shared" si="10"/>
        <v>PAI</v>
      </c>
      <c r="F233" s="859">
        <f t="shared" si="11"/>
        <v>2015</v>
      </c>
    </row>
    <row r="234" spans="1:6" x14ac:dyDescent="0.25">
      <c r="A234" s="1093">
        <v>233</v>
      </c>
      <c r="B234" s="1094">
        <v>849315016</v>
      </c>
      <c r="C234" s="2307" t="s">
        <v>1345</v>
      </c>
      <c r="D234" s="1100">
        <v>43291</v>
      </c>
      <c r="E234" s="758" t="str">
        <f t="shared" si="10"/>
        <v>PAI</v>
      </c>
      <c r="F234" s="859">
        <f t="shared" si="11"/>
        <v>2015</v>
      </c>
    </row>
    <row r="235" spans="1:6" x14ac:dyDescent="0.25">
      <c r="A235" s="1093">
        <v>234</v>
      </c>
      <c r="B235" s="1094">
        <v>849315017</v>
      </c>
      <c r="C235" s="1088" t="s">
        <v>3048</v>
      </c>
      <c r="D235" s="1097">
        <v>43654</v>
      </c>
      <c r="E235" s="758" t="str">
        <f t="shared" si="10"/>
        <v>PAI</v>
      </c>
      <c r="F235" s="859">
        <f t="shared" si="11"/>
        <v>2015</v>
      </c>
    </row>
    <row r="236" spans="1:6" x14ac:dyDescent="0.25">
      <c r="A236" s="1093">
        <v>235</v>
      </c>
      <c r="B236" s="1094">
        <v>849315018</v>
      </c>
      <c r="C236" s="1099" t="s">
        <v>3049</v>
      </c>
      <c r="D236" s="1100">
        <v>42943</v>
      </c>
      <c r="E236" s="758" t="str">
        <f t="shared" si="10"/>
        <v>PAI</v>
      </c>
      <c r="F236" s="859">
        <f t="shared" si="11"/>
        <v>2015</v>
      </c>
    </row>
    <row r="237" spans="1:6" x14ac:dyDescent="0.25">
      <c r="A237" s="1093">
        <v>236</v>
      </c>
      <c r="B237" s="1094">
        <v>849315019</v>
      </c>
      <c r="C237" s="1099" t="s">
        <v>1352</v>
      </c>
      <c r="D237" s="1100">
        <v>43103</v>
      </c>
      <c r="E237" s="758" t="str">
        <f t="shared" si="10"/>
        <v>PAI</v>
      </c>
      <c r="F237" s="859">
        <f t="shared" si="11"/>
        <v>2015</v>
      </c>
    </row>
    <row r="238" spans="1:6" x14ac:dyDescent="0.25">
      <c r="A238" s="1093">
        <v>237</v>
      </c>
      <c r="B238" s="1094">
        <v>849315020</v>
      </c>
      <c r="C238" s="1099" t="s">
        <v>1353</v>
      </c>
      <c r="D238" s="1100">
        <v>43034</v>
      </c>
      <c r="E238" s="758" t="str">
        <f t="shared" si="10"/>
        <v>PAI</v>
      </c>
      <c r="F238" s="859">
        <f t="shared" si="11"/>
        <v>2015</v>
      </c>
    </row>
    <row r="239" spans="1:6" x14ac:dyDescent="0.25">
      <c r="A239" s="1093">
        <v>238</v>
      </c>
      <c r="B239" s="1094">
        <v>849315021</v>
      </c>
      <c r="C239" s="1099" t="s">
        <v>1355</v>
      </c>
      <c r="D239" s="1100">
        <v>43024</v>
      </c>
      <c r="E239" s="758" t="str">
        <f t="shared" si="10"/>
        <v>PAI</v>
      </c>
      <c r="F239" s="859">
        <f t="shared" si="11"/>
        <v>2015</v>
      </c>
    </row>
    <row r="240" spans="1:6" x14ac:dyDescent="0.25">
      <c r="A240" s="1093">
        <v>239</v>
      </c>
      <c r="B240" s="1094">
        <v>849315023</v>
      </c>
      <c r="C240" s="1095" t="s">
        <v>3050</v>
      </c>
      <c r="D240" s="1096">
        <v>43651</v>
      </c>
      <c r="E240" s="758" t="str">
        <f t="shared" si="10"/>
        <v>PAI</v>
      </c>
      <c r="F240" s="859">
        <f t="shared" si="11"/>
        <v>2015</v>
      </c>
    </row>
    <row r="241" spans="1:6" x14ac:dyDescent="0.25">
      <c r="A241" s="1093">
        <v>240</v>
      </c>
      <c r="B241" s="1094">
        <v>849315024</v>
      </c>
      <c r="C241" s="1099" t="s">
        <v>1358</v>
      </c>
      <c r="D241" s="1100">
        <v>43024</v>
      </c>
      <c r="E241" s="758" t="str">
        <f t="shared" si="10"/>
        <v>PAI</v>
      </c>
      <c r="F241" s="859">
        <f t="shared" si="11"/>
        <v>2015</v>
      </c>
    </row>
    <row r="242" spans="1:6" x14ac:dyDescent="0.25">
      <c r="A242" s="1093">
        <v>241</v>
      </c>
      <c r="B242" s="1094">
        <v>849315025</v>
      </c>
      <c r="C242" s="2307" t="s">
        <v>3051</v>
      </c>
      <c r="D242" s="1100">
        <v>43287</v>
      </c>
      <c r="E242" s="758" t="str">
        <f t="shared" si="10"/>
        <v>PAI</v>
      </c>
      <c r="F242" s="859">
        <f t="shared" si="11"/>
        <v>2015</v>
      </c>
    </row>
    <row r="243" spans="1:6" x14ac:dyDescent="0.25">
      <c r="A243" s="1093">
        <v>242</v>
      </c>
      <c r="B243" s="1094">
        <v>849315027</v>
      </c>
      <c r="C243" s="1099" t="s">
        <v>3052</v>
      </c>
      <c r="D243" s="1100">
        <v>43369</v>
      </c>
      <c r="E243" s="758" t="str">
        <f t="shared" si="10"/>
        <v>PAI</v>
      </c>
      <c r="F243" s="859">
        <f t="shared" si="11"/>
        <v>2015</v>
      </c>
    </row>
    <row r="244" spans="1:6" x14ac:dyDescent="0.25">
      <c r="A244" s="1093">
        <v>243</v>
      </c>
      <c r="B244" s="1094">
        <v>849315032</v>
      </c>
      <c r="C244" s="1099" t="s">
        <v>1348</v>
      </c>
      <c r="D244" s="1100">
        <v>43258</v>
      </c>
      <c r="E244" s="758" t="str">
        <f t="shared" si="10"/>
        <v>PAI</v>
      </c>
      <c r="F244" s="859">
        <f t="shared" si="11"/>
        <v>2015</v>
      </c>
    </row>
    <row r="245" spans="1:6" x14ac:dyDescent="0.25">
      <c r="A245" s="1093">
        <v>244</v>
      </c>
      <c r="B245" s="1094">
        <v>849315033</v>
      </c>
      <c r="C245" s="1098" t="s">
        <v>3053</v>
      </c>
      <c r="D245" s="1096">
        <v>43650</v>
      </c>
      <c r="E245" s="758" t="str">
        <f t="shared" si="10"/>
        <v>PAI</v>
      </c>
      <c r="F245" s="859">
        <f t="shared" si="11"/>
        <v>2015</v>
      </c>
    </row>
    <row r="246" spans="1:6" x14ac:dyDescent="0.25">
      <c r="A246" s="1093">
        <v>245</v>
      </c>
      <c r="B246" s="1094">
        <v>849315035</v>
      </c>
      <c r="C246" s="1098" t="s">
        <v>3054</v>
      </c>
      <c r="D246" s="1096">
        <v>43550</v>
      </c>
      <c r="E246" s="758" t="str">
        <f t="shared" si="10"/>
        <v>PAI</v>
      </c>
      <c r="F246" s="859">
        <f t="shared" si="11"/>
        <v>2015</v>
      </c>
    </row>
    <row r="247" spans="1:6" x14ac:dyDescent="0.25">
      <c r="A247" s="1093">
        <v>246</v>
      </c>
      <c r="B247" s="1094">
        <v>849315036</v>
      </c>
      <c r="C247" s="2307" t="s">
        <v>1362</v>
      </c>
      <c r="D247" s="1100">
        <v>43312</v>
      </c>
      <c r="E247" s="758" t="str">
        <f t="shared" si="10"/>
        <v>PAI</v>
      </c>
      <c r="F247" s="859">
        <f t="shared" si="11"/>
        <v>2015</v>
      </c>
    </row>
    <row r="248" spans="1:6" x14ac:dyDescent="0.25">
      <c r="A248" s="1093">
        <v>247</v>
      </c>
      <c r="B248" s="1094">
        <v>849315037</v>
      </c>
      <c r="C248" s="1098" t="s">
        <v>3055</v>
      </c>
      <c r="D248" s="1096">
        <v>43612</v>
      </c>
      <c r="E248" s="758" t="str">
        <f t="shared" si="10"/>
        <v>PAI</v>
      </c>
      <c r="F248" s="859">
        <f t="shared" si="11"/>
        <v>2015</v>
      </c>
    </row>
    <row r="249" spans="1:6" x14ac:dyDescent="0.25">
      <c r="A249" s="1093">
        <v>248</v>
      </c>
      <c r="B249" s="1094">
        <v>849316001</v>
      </c>
      <c r="C249" s="2307" t="s">
        <v>3056</v>
      </c>
      <c r="D249" s="1100">
        <v>43292</v>
      </c>
      <c r="E249" s="758" t="str">
        <f t="shared" si="10"/>
        <v>PAI</v>
      </c>
      <c r="F249" s="859">
        <f t="shared" si="11"/>
        <v>2016</v>
      </c>
    </row>
    <row r="250" spans="1:6" x14ac:dyDescent="0.25">
      <c r="A250" s="1093">
        <v>249</v>
      </c>
      <c r="B250" s="1094">
        <v>849316005</v>
      </c>
      <c r="C250" s="1098" t="s">
        <v>3057</v>
      </c>
      <c r="D250" s="1096">
        <v>43651</v>
      </c>
      <c r="E250" s="758" t="str">
        <f t="shared" si="10"/>
        <v>PAI</v>
      </c>
      <c r="F250" s="859">
        <f t="shared" si="11"/>
        <v>2016</v>
      </c>
    </row>
    <row r="251" spans="1:6" x14ac:dyDescent="0.25">
      <c r="A251" s="1093">
        <v>250</v>
      </c>
      <c r="B251" s="1094">
        <v>849316006</v>
      </c>
      <c r="C251" s="2307" t="s">
        <v>3058</v>
      </c>
      <c r="D251" s="1100">
        <v>43307</v>
      </c>
      <c r="E251" s="758" t="str">
        <f t="shared" si="10"/>
        <v>PAI</v>
      </c>
      <c r="F251" s="859">
        <f t="shared" si="11"/>
        <v>2016</v>
      </c>
    </row>
    <row r="252" spans="1:6" x14ac:dyDescent="0.25">
      <c r="A252" s="1093">
        <v>251</v>
      </c>
      <c r="B252" s="1094">
        <v>849316008</v>
      </c>
      <c r="C252" s="1098" t="s">
        <v>3059</v>
      </c>
      <c r="D252" s="1096">
        <v>43511</v>
      </c>
      <c r="E252" s="758" t="str">
        <f t="shared" si="10"/>
        <v>PAI</v>
      </c>
      <c r="F252" s="859">
        <f t="shared" si="11"/>
        <v>2016</v>
      </c>
    </row>
    <row r="253" spans="1:6" x14ac:dyDescent="0.25">
      <c r="A253" s="1093">
        <v>252</v>
      </c>
      <c r="B253" s="1094">
        <v>849316009</v>
      </c>
      <c r="C253" s="2307" t="s">
        <v>3060</v>
      </c>
      <c r="D253" s="1100">
        <v>43307</v>
      </c>
      <c r="E253" s="758" t="str">
        <f t="shared" si="10"/>
        <v>PAI</v>
      </c>
      <c r="F253" s="859">
        <f t="shared" si="11"/>
        <v>2016</v>
      </c>
    </row>
    <row r="254" spans="1:6" x14ac:dyDescent="0.25">
      <c r="A254" s="1093">
        <v>253</v>
      </c>
      <c r="B254" s="1094">
        <v>849316010</v>
      </c>
      <c r="C254" s="1098" t="s">
        <v>1620</v>
      </c>
      <c r="D254" s="1096">
        <v>43657</v>
      </c>
      <c r="E254" s="758" t="str">
        <f t="shared" si="10"/>
        <v>PAI</v>
      </c>
      <c r="F254" s="859">
        <f t="shared" si="11"/>
        <v>2016</v>
      </c>
    </row>
    <row r="255" spans="1:6" x14ac:dyDescent="0.25">
      <c r="A255" s="1093">
        <v>254</v>
      </c>
      <c r="B255" s="1094">
        <v>849316011</v>
      </c>
      <c r="C255" s="2306" t="s">
        <v>1621</v>
      </c>
      <c r="D255" s="1096">
        <v>43825</v>
      </c>
      <c r="E255" s="758" t="str">
        <f t="shared" si="10"/>
        <v>PAI</v>
      </c>
      <c r="F255" s="859">
        <f t="shared" si="11"/>
        <v>2016</v>
      </c>
    </row>
    <row r="256" spans="1:6" x14ac:dyDescent="0.25">
      <c r="A256" s="1093">
        <v>255</v>
      </c>
      <c r="B256" s="1094">
        <v>849316012</v>
      </c>
      <c r="C256" s="1095" t="s">
        <v>3061</v>
      </c>
      <c r="D256" s="1096">
        <v>43649</v>
      </c>
      <c r="E256" s="758" t="str">
        <f t="shared" ref="E256:E319" si="12">VLOOKUP(B256,DNIMP,3,FALSE)</f>
        <v>PAI</v>
      </c>
      <c r="F256" s="859">
        <f t="shared" ref="F256:F319" si="13">VLOOKUP(B256,DNIMP,4,FALSE)</f>
        <v>2016</v>
      </c>
    </row>
    <row r="257" spans="1:6" x14ac:dyDescent="0.25">
      <c r="A257" s="1093">
        <v>256</v>
      </c>
      <c r="B257" s="1094">
        <v>849316013</v>
      </c>
      <c r="C257" s="1099" t="s">
        <v>2513</v>
      </c>
      <c r="D257" s="1100">
        <v>43497</v>
      </c>
      <c r="E257" s="758" t="str">
        <f t="shared" si="12"/>
        <v>PAI</v>
      </c>
      <c r="F257" s="859">
        <f t="shared" si="13"/>
        <v>2016</v>
      </c>
    </row>
    <row r="258" spans="1:6" x14ac:dyDescent="0.25">
      <c r="A258" s="1093">
        <v>257</v>
      </c>
      <c r="B258" s="1094">
        <v>849316015</v>
      </c>
      <c r="C258" s="1099" t="s">
        <v>3062</v>
      </c>
      <c r="D258" s="1100">
        <v>43881</v>
      </c>
      <c r="E258" s="758" t="str">
        <f t="shared" si="12"/>
        <v>PAI</v>
      </c>
      <c r="F258" s="859">
        <f t="shared" si="13"/>
        <v>2016</v>
      </c>
    </row>
    <row r="259" spans="1:6" x14ac:dyDescent="0.25">
      <c r="A259" s="1093">
        <v>258</v>
      </c>
      <c r="B259" s="1094">
        <v>849316016</v>
      </c>
      <c r="C259" s="2306" t="s">
        <v>3063</v>
      </c>
      <c r="D259" s="1096">
        <v>43735</v>
      </c>
      <c r="E259" s="758" t="str">
        <f t="shared" si="12"/>
        <v>PAI</v>
      </c>
      <c r="F259" s="859">
        <f t="shared" si="13"/>
        <v>2016</v>
      </c>
    </row>
    <row r="260" spans="1:6" x14ac:dyDescent="0.25">
      <c r="A260" s="1093">
        <v>259</v>
      </c>
      <c r="B260" s="1094">
        <v>849316019</v>
      </c>
      <c r="C260" s="2307" t="s">
        <v>3064</v>
      </c>
      <c r="D260" s="1100">
        <v>43313</v>
      </c>
      <c r="E260" s="758" t="str">
        <f t="shared" si="12"/>
        <v>PAI</v>
      </c>
      <c r="F260" s="859">
        <f t="shared" si="13"/>
        <v>2016</v>
      </c>
    </row>
    <row r="261" spans="1:6" x14ac:dyDescent="0.25">
      <c r="A261" s="1093">
        <v>260</v>
      </c>
      <c r="B261" s="1094">
        <v>849316022</v>
      </c>
      <c r="C261" s="1099" t="s">
        <v>1633</v>
      </c>
      <c r="D261" s="1100">
        <v>43481</v>
      </c>
      <c r="E261" s="758" t="str">
        <f t="shared" si="12"/>
        <v>PAI</v>
      </c>
      <c r="F261" s="859">
        <f t="shared" si="13"/>
        <v>2016</v>
      </c>
    </row>
    <row r="262" spans="1:6" x14ac:dyDescent="0.25">
      <c r="A262" s="1093">
        <v>261</v>
      </c>
      <c r="B262" s="1094">
        <v>849316023</v>
      </c>
      <c r="C262" s="2306" t="s">
        <v>3065</v>
      </c>
      <c r="D262" s="1096">
        <v>43489</v>
      </c>
      <c r="E262" s="758" t="str">
        <f t="shared" si="12"/>
        <v>PAI</v>
      </c>
      <c r="F262" s="859">
        <f t="shared" si="13"/>
        <v>2016</v>
      </c>
    </row>
    <row r="263" spans="1:6" x14ac:dyDescent="0.25">
      <c r="A263" s="1093">
        <v>262</v>
      </c>
      <c r="B263" s="1094">
        <v>849316028</v>
      </c>
      <c r="C263" s="1095" t="s">
        <v>3066</v>
      </c>
      <c r="D263" s="1096">
        <v>43305</v>
      </c>
      <c r="E263" s="758" t="str">
        <f t="shared" si="12"/>
        <v>PAI</v>
      </c>
      <c r="F263" s="859">
        <f t="shared" si="13"/>
        <v>2016</v>
      </c>
    </row>
    <row r="264" spans="1:6" x14ac:dyDescent="0.25">
      <c r="A264" s="1093">
        <v>263</v>
      </c>
      <c r="B264" s="1094">
        <v>849316032</v>
      </c>
      <c r="C264" s="2307" t="s">
        <v>3067</v>
      </c>
      <c r="D264" s="1100">
        <v>43306</v>
      </c>
      <c r="E264" s="758" t="str">
        <f t="shared" si="12"/>
        <v>PAI</v>
      </c>
      <c r="F264" s="859">
        <f t="shared" si="13"/>
        <v>2016</v>
      </c>
    </row>
    <row r="265" spans="1:6" x14ac:dyDescent="0.25">
      <c r="A265" s="1093">
        <v>264</v>
      </c>
      <c r="B265" s="1094">
        <v>849316034</v>
      </c>
      <c r="C265" s="1095" t="s">
        <v>3068</v>
      </c>
      <c r="D265" s="1096">
        <v>43719</v>
      </c>
      <c r="E265" s="758" t="str">
        <f t="shared" si="12"/>
        <v>PAI</v>
      </c>
      <c r="F265" s="859">
        <f t="shared" si="13"/>
        <v>2016</v>
      </c>
    </row>
    <row r="266" spans="1:6" x14ac:dyDescent="0.25">
      <c r="A266" s="1093">
        <v>265</v>
      </c>
      <c r="B266" s="1094">
        <v>849316036</v>
      </c>
      <c r="C266" s="2306" t="s">
        <v>3069</v>
      </c>
      <c r="D266" s="1096">
        <v>43650</v>
      </c>
      <c r="E266" s="758" t="str">
        <f t="shared" si="12"/>
        <v>PAI</v>
      </c>
      <c r="F266" s="859">
        <f t="shared" si="13"/>
        <v>2016</v>
      </c>
    </row>
    <row r="267" spans="1:6" x14ac:dyDescent="0.25">
      <c r="A267" s="1093">
        <v>266</v>
      </c>
      <c r="B267" s="1094">
        <v>849316042</v>
      </c>
      <c r="C267" s="2307" t="s">
        <v>3070</v>
      </c>
      <c r="D267" s="1100">
        <v>43312</v>
      </c>
      <c r="E267" s="758" t="str">
        <f t="shared" si="12"/>
        <v>PAI</v>
      </c>
      <c r="F267" s="859">
        <f t="shared" si="13"/>
        <v>2016</v>
      </c>
    </row>
    <row r="268" spans="1:6" x14ac:dyDescent="0.25">
      <c r="A268" s="1093">
        <v>267</v>
      </c>
      <c r="B268" s="1094">
        <v>849316047</v>
      </c>
      <c r="C268" s="1099" t="s">
        <v>3071</v>
      </c>
      <c r="D268" s="1100">
        <v>43285</v>
      </c>
      <c r="E268" s="758" t="str">
        <f t="shared" si="12"/>
        <v>PAI</v>
      </c>
      <c r="F268" s="859">
        <f t="shared" si="13"/>
        <v>2016</v>
      </c>
    </row>
    <row r="269" spans="1:6" x14ac:dyDescent="0.25">
      <c r="A269" s="1093">
        <v>268</v>
      </c>
      <c r="B269" s="1094">
        <v>849317005</v>
      </c>
      <c r="C269" s="2306" t="s">
        <v>1759</v>
      </c>
      <c r="D269" s="1096">
        <v>43613</v>
      </c>
      <c r="E269" s="758" t="str">
        <f t="shared" si="12"/>
        <v>PAI</v>
      </c>
      <c r="F269" s="859">
        <f t="shared" si="13"/>
        <v>2017</v>
      </c>
    </row>
    <row r="270" spans="1:6" x14ac:dyDescent="0.25">
      <c r="A270" s="1093">
        <v>269</v>
      </c>
      <c r="B270" s="1094">
        <v>849317009</v>
      </c>
      <c r="C270" s="2306" t="s">
        <v>1763</v>
      </c>
      <c r="D270" s="1096">
        <v>43819</v>
      </c>
      <c r="E270" s="758" t="str">
        <f t="shared" si="12"/>
        <v>PAI</v>
      </c>
      <c r="F270" s="859">
        <f t="shared" si="13"/>
        <v>2017</v>
      </c>
    </row>
    <row r="271" spans="1:6" x14ac:dyDescent="0.25">
      <c r="A271" s="1093">
        <v>270</v>
      </c>
      <c r="B271" s="1094">
        <v>849317023</v>
      </c>
      <c r="C271" s="1099" t="s">
        <v>3072</v>
      </c>
      <c r="D271" s="1100">
        <v>43530</v>
      </c>
      <c r="E271" s="758" t="str">
        <f t="shared" si="12"/>
        <v>PAI</v>
      </c>
      <c r="F271" s="859">
        <f t="shared" si="13"/>
        <v>2017</v>
      </c>
    </row>
    <row r="272" spans="1:6" x14ac:dyDescent="0.25">
      <c r="A272" s="1093">
        <v>271</v>
      </c>
      <c r="B272" s="1094">
        <v>849317027</v>
      </c>
      <c r="C272" s="1098" t="s">
        <v>3073</v>
      </c>
      <c r="D272" s="1096">
        <v>43770</v>
      </c>
      <c r="E272" s="758" t="str">
        <f t="shared" si="12"/>
        <v>PAI</v>
      </c>
      <c r="F272" s="859">
        <f t="shared" si="13"/>
        <v>2017</v>
      </c>
    </row>
    <row r="273" spans="1:6" x14ac:dyDescent="0.25">
      <c r="A273" s="1093">
        <v>272</v>
      </c>
      <c r="B273" s="1094">
        <v>849317029</v>
      </c>
      <c r="C273" s="1088" t="s">
        <v>1784</v>
      </c>
      <c r="D273" s="1097"/>
      <c r="E273" s="758" t="str">
        <f t="shared" si="12"/>
        <v>PAI</v>
      </c>
      <c r="F273" s="859">
        <f t="shared" si="13"/>
        <v>2017</v>
      </c>
    </row>
    <row r="274" spans="1:6" x14ac:dyDescent="0.25">
      <c r="A274" s="1093">
        <v>273</v>
      </c>
      <c r="B274" s="1094">
        <v>849317032</v>
      </c>
      <c r="C274" s="1108" t="s">
        <v>3074</v>
      </c>
      <c r="D274" s="1101">
        <v>43612</v>
      </c>
      <c r="E274" s="758" t="str">
        <f t="shared" si="12"/>
        <v>PAI</v>
      </c>
      <c r="F274" s="859">
        <f t="shared" si="13"/>
        <v>2017</v>
      </c>
    </row>
    <row r="275" spans="1:6" x14ac:dyDescent="0.25">
      <c r="A275" s="1093">
        <v>274</v>
      </c>
      <c r="B275" s="1094">
        <v>849317036</v>
      </c>
      <c r="C275" s="2308" t="s">
        <v>3075</v>
      </c>
      <c r="D275" s="1101">
        <v>43649</v>
      </c>
      <c r="E275" s="758" t="str">
        <f t="shared" si="12"/>
        <v>PAI</v>
      </c>
      <c r="F275" s="859">
        <f t="shared" si="13"/>
        <v>2017</v>
      </c>
    </row>
    <row r="276" spans="1:6" x14ac:dyDescent="0.25">
      <c r="A276" s="1093">
        <v>275</v>
      </c>
      <c r="B276" s="1094">
        <v>849317037</v>
      </c>
      <c r="C276" s="2308" t="s">
        <v>3076</v>
      </c>
      <c r="D276" s="1101">
        <v>43755</v>
      </c>
      <c r="E276" s="758" t="str">
        <f t="shared" si="12"/>
        <v>PAI</v>
      </c>
      <c r="F276" s="859">
        <f t="shared" si="13"/>
        <v>2017</v>
      </c>
    </row>
    <row r="277" spans="1:6" x14ac:dyDescent="0.25">
      <c r="A277" s="1093">
        <v>276</v>
      </c>
      <c r="B277" s="1094">
        <v>849317039</v>
      </c>
      <c r="C277" s="2308" t="s">
        <v>1794</v>
      </c>
      <c r="D277" s="1101">
        <v>43838</v>
      </c>
      <c r="E277" s="758" t="str">
        <f t="shared" si="12"/>
        <v>PAI</v>
      </c>
      <c r="F277" s="859">
        <f t="shared" si="13"/>
        <v>2017</v>
      </c>
    </row>
    <row r="278" spans="1:6" x14ac:dyDescent="0.25">
      <c r="A278" s="1093">
        <v>277</v>
      </c>
      <c r="B278" s="1094">
        <v>849317041</v>
      </c>
      <c r="C278" s="1108" t="s">
        <v>1796</v>
      </c>
      <c r="D278" s="1101">
        <v>43550</v>
      </c>
      <c r="E278" s="758" t="str">
        <f t="shared" si="12"/>
        <v>PAI</v>
      </c>
      <c r="F278" s="859">
        <f t="shared" si="13"/>
        <v>2017</v>
      </c>
    </row>
    <row r="279" spans="1:6" x14ac:dyDescent="0.25">
      <c r="A279" s="1093">
        <v>278</v>
      </c>
      <c r="B279" s="1094">
        <v>849317042</v>
      </c>
      <c r="C279" s="2308" t="s">
        <v>3077</v>
      </c>
      <c r="D279" s="1101">
        <v>43837</v>
      </c>
      <c r="E279" s="758" t="str">
        <f t="shared" si="12"/>
        <v>PAI</v>
      </c>
      <c r="F279" s="859">
        <f t="shared" si="13"/>
        <v>2017</v>
      </c>
    </row>
    <row r="280" spans="1:6" x14ac:dyDescent="0.25">
      <c r="A280" s="1093">
        <v>279</v>
      </c>
      <c r="B280" s="1094">
        <v>849317044</v>
      </c>
      <c r="C280" s="1108" t="s">
        <v>1799</v>
      </c>
      <c r="D280" s="1101">
        <v>43650</v>
      </c>
      <c r="E280" s="758" t="str">
        <f t="shared" si="12"/>
        <v>PAI</v>
      </c>
      <c r="F280" s="859">
        <f t="shared" si="13"/>
        <v>2017</v>
      </c>
    </row>
    <row r="281" spans="1:6" x14ac:dyDescent="0.25">
      <c r="A281" s="1093">
        <v>280</v>
      </c>
      <c r="B281" s="1094">
        <v>849317047</v>
      </c>
      <c r="C281" s="1108" t="s">
        <v>3078</v>
      </c>
      <c r="D281" s="1101">
        <v>43656</v>
      </c>
      <c r="E281" s="758" t="str">
        <f t="shared" si="12"/>
        <v>PAI</v>
      </c>
      <c r="F281" s="859">
        <f t="shared" si="13"/>
        <v>2017</v>
      </c>
    </row>
    <row r="282" spans="1:6" x14ac:dyDescent="0.25">
      <c r="A282" s="1093">
        <v>281</v>
      </c>
      <c r="B282" s="1094">
        <v>849317050</v>
      </c>
      <c r="C282" s="1108" t="s">
        <v>1806</v>
      </c>
      <c r="D282" s="1101">
        <v>43843</v>
      </c>
      <c r="E282" s="758" t="str">
        <f t="shared" si="12"/>
        <v>PAI</v>
      </c>
      <c r="F282" s="859">
        <f t="shared" si="13"/>
        <v>2017</v>
      </c>
    </row>
    <row r="283" spans="1:6" x14ac:dyDescent="0.25">
      <c r="A283" s="1093">
        <v>282</v>
      </c>
      <c r="B283" s="1094">
        <v>849317052</v>
      </c>
      <c r="C283" s="1108" t="s">
        <v>3079</v>
      </c>
      <c r="D283" s="1101">
        <v>43832</v>
      </c>
      <c r="E283" s="758" t="str">
        <f t="shared" si="12"/>
        <v>PAI</v>
      </c>
      <c r="F283" s="859">
        <f t="shared" si="13"/>
        <v>2017</v>
      </c>
    </row>
    <row r="284" spans="1:6" x14ac:dyDescent="0.25">
      <c r="A284" s="1093">
        <v>283</v>
      </c>
      <c r="B284" s="1094">
        <v>849415001</v>
      </c>
      <c r="C284" s="2308" t="s">
        <v>3080</v>
      </c>
      <c r="D284" s="1101">
        <v>43678</v>
      </c>
      <c r="E284" s="758" t="str">
        <f t="shared" si="12"/>
        <v>IPDI</v>
      </c>
      <c r="F284" s="859">
        <f t="shared" si="13"/>
        <v>2015</v>
      </c>
    </row>
    <row r="285" spans="1:6" x14ac:dyDescent="0.25">
      <c r="A285" s="1093">
        <v>284</v>
      </c>
      <c r="B285" s="1094">
        <v>849415002</v>
      </c>
      <c r="C285" s="1108" t="s">
        <v>3081</v>
      </c>
      <c r="D285" s="1101">
        <v>43483</v>
      </c>
      <c r="E285" s="758" t="str">
        <f t="shared" si="12"/>
        <v>IPDI</v>
      </c>
      <c r="F285" s="859">
        <f t="shared" si="13"/>
        <v>2015</v>
      </c>
    </row>
    <row r="286" spans="1:6" x14ac:dyDescent="0.25">
      <c r="A286" s="1093">
        <v>285</v>
      </c>
      <c r="B286" s="1094">
        <v>849415003</v>
      </c>
      <c r="C286" s="2309" t="s">
        <v>1459</v>
      </c>
      <c r="D286" s="1097">
        <v>43306</v>
      </c>
      <c r="E286" s="758" t="str">
        <f t="shared" si="12"/>
        <v>IPDI</v>
      </c>
      <c r="F286" s="859">
        <f t="shared" si="13"/>
        <v>2015</v>
      </c>
    </row>
    <row r="287" spans="1:6" x14ac:dyDescent="0.25">
      <c r="A287" s="1093">
        <v>286</v>
      </c>
      <c r="B287" s="1094">
        <v>849415004</v>
      </c>
      <c r="C287" s="1088" t="s">
        <v>1460</v>
      </c>
      <c r="D287" s="1097">
        <v>43006</v>
      </c>
      <c r="E287" s="758" t="str">
        <f t="shared" si="12"/>
        <v>IPDI</v>
      </c>
      <c r="F287" s="859">
        <f t="shared" si="13"/>
        <v>2015</v>
      </c>
    </row>
    <row r="288" spans="1:6" x14ac:dyDescent="0.25">
      <c r="A288" s="1093">
        <v>287</v>
      </c>
      <c r="B288" s="1094">
        <v>849415005</v>
      </c>
      <c r="C288" s="1088" t="s">
        <v>1461</v>
      </c>
      <c r="D288" s="1097">
        <v>43073</v>
      </c>
      <c r="E288" s="758" t="str">
        <f t="shared" si="12"/>
        <v>IPDI</v>
      </c>
      <c r="F288" s="859">
        <f t="shared" si="13"/>
        <v>2015</v>
      </c>
    </row>
    <row r="289" spans="1:6" x14ac:dyDescent="0.25">
      <c r="A289" s="1093">
        <v>288</v>
      </c>
      <c r="B289" s="1094">
        <v>849416001</v>
      </c>
      <c r="C289" s="1088" t="s">
        <v>3082</v>
      </c>
      <c r="D289" s="1097">
        <v>43255</v>
      </c>
      <c r="E289" s="758" t="str">
        <f t="shared" si="12"/>
        <v>PGMI</v>
      </c>
      <c r="F289" s="859">
        <f t="shared" si="13"/>
        <v>2016</v>
      </c>
    </row>
    <row r="290" spans="1:6" x14ac:dyDescent="0.25">
      <c r="A290" s="1093">
        <v>289</v>
      </c>
      <c r="B290" s="1094">
        <v>849416002</v>
      </c>
      <c r="C290" s="2308" t="s">
        <v>3083</v>
      </c>
      <c r="D290" s="1101">
        <v>43633</v>
      </c>
      <c r="E290" s="758" t="str">
        <f t="shared" si="12"/>
        <v>PGMI</v>
      </c>
      <c r="F290" s="859">
        <f t="shared" si="13"/>
        <v>2016</v>
      </c>
    </row>
    <row r="291" spans="1:6" x14ac:dyDescent="0.25">
      <c r="A291" s="1093">
        <v>290</v>
      </c>
      <c r="B291" s="1094">
        <v>849416003</v>
      </c>
      <c r="C291" s="2309" t="s">
        <v>3084</v>
      </c>
      <c r="D291" s="1097">
        <v>43328</v>
      </c>
      <c r="E291" s="758" t="str">
        <f t="shared" si="12"/>
        <v>PGMI</v>
      </c>
      <c r="F291" s="859">
        <f t="shared" si="13"/>
        <v>2016</v>
      </c>
    </row>
    <row r="292" spans="1:6" x14ac:dyDescent="0.25">
      <c r="A292" s="1093">
        <v>291</v>
      </c>
      <c r="B292" s="1094">
        <v>849416004</v>
      </c>
      <c r="C292" s="1108" t="s">
        <v>3085</v>
      </c>
      <c r="D292" s="1101">
        <v>43423</v>
      </c>
      <c r="E292" s="758" t="str">
        <f t="shared" si="12"/>
        <v>PGMI</v>
      </c>
      <c r="F292" s="859">
        <f t="shared" si="13"/>
        <v>2016</v>
      </c>
    </row>
    <row r="293" spans="1:6" x14ac:dyDescent="0.25">
      <c r="A293" s="1093">
        <v>292</v>
      </c>
      <c r="B293" s="1094">
        <v>849416008</v>
      </c>
      <c r="C293" s="1108" t="s">
        <v>3086</v>
      </c>
      <c r="D293" s="1101">
        <v>43649</v>
      </c>
      <c r="E293" s="758" t="str">
        <f t="shared" si="12"/>
        <v>PGMI</v>
      </c>
      <c r="F293" s="859">
        <f t="shared" si="13"/>
        <v>2016</v>
      </c>
    </row>
    <row r="294" spans="1:6" x14ac:dyDescent="0.25">
      <c r="A294" s="1093">
        <v>293</v>
      </c>
      <c r="B294" s="1094">
        <v>849416010</v>
      </c>
      <c r="C294" s="2308" t="s">
        <v>1674</v>
      </c>
      <c r="D294" s="1101">
        <v>43607</v>
      </c>
      <c r="E294" s="758" t="str">
        <f t="shared" si="12"/>
        <v>PGMI</v>
      </c>
      <c r="F294" s="859">
        <f t="shared" si="13"/>
        <v>2016</v>
      </c>
    </row>
    <row r="295" spans="1:6" x14ac:dyDescent="0.25">
      <c r="A295" s="1093">
        <v>294</v>
      </c>
      <c r="B295" s="1094">
        <v>849417003</v>
      </c>
      <c r="C295" s="2308" t="s">
        <v>3087</v>
      </c>
      <c r="D295" s="1101">
        <v>44192</v>
      </c>
      <c r="E295" s="758" t="str">
        <f t="shared" si="12"/>
        <v>PGMI</v>
      </c>
      <c r="F295" s="859">
        <f t="shared" si="13"/>
        <v>2017</v>
      </c>
    </row>
    <row r="296" spans="1:6" x14ac:dyDescent="0.25">
      <c r="A296" s="1093">
        <v>295</v>
      </c>
      <c r="B296" s="1094">
        <v>849417005</v>
      </c>
      <c r="C296" s="1105" t="s">
        <v>1906</v>
      </c>
      <c r="D296" s="1101">
        <v>43839</v>
      </c>
      <c r="E296" s="758" t="str">
        <f t="shared" si="12"/>
        <v>PGMI</v>
      </c>
      <c r="F296" s="859">
        <f t="shared" si="13"/>
        <v>2017</v>
      </c>
    </row>
    <row r="297" spans="1:6" x14ac:dyDescent="0.25">
      <c r="A297" s="1093">
        <v>296</v>
      </c>
      <c r="B297" s="1094">
        <v>849417006</v>
      </c>
      <c r="C297" s="2308" t="s">
        <v>3088</v>
      </c>
      <c r="D297" s="1101">
        <v>43658</v>
      </c>
      <c r="E297" s="758" t="str">
        <f t="shared" si="12"/>
        <v>PGMI</v>
      </c>
      <c r="F297" s="859">
        <f t="shared" si="13"/>
        <v>2017</v>
      </c>
    </row>
    <row r="298" spans="1:6" x14ac:dyDescent="0.25">
      <c r="A298" s="1093">
        <v>297</v>
      </c>
      <c r="B298" s="1094">
        <v>849417007</v>
      </c>
      <c r="C298" s="2308" t="s">
        <v>1908</v>
      </c>
      <c r="D298" s="1101">
        <v>43633</v>
      </c>
      <c r="E298" s="758" t="str">
        <f t="shared" si="12"/>
        <v>PGMI</v>
      </c>
      <c r="F298" s="859">
        <f t="shared" si="13"/>
        <v>2017</v>
      </c>
    </row>
    <row r="299" spans="1:6" x14ac:dyDescent="0.25">
      <c r="A299" s="1093">
        <v>298</v>
      </c>
      <c r="B299" s="1094">
        <v>849417008</v>
      </c>
      <c r="C299" s="1108" t="s">
        <v>3089</v>
      </c>
      <c r="D299" s="1101">
        <v>43633</v>
      </c>
      <c r="E299" s="758" t="str">
        <f t="shared" si="12"/>
        <v>PGMI</v>
      </c>
      <c r="F299" s="859">
        <f t="shared" si="13"/>
        <v>2017</v>
      </c>
    </row>
    <row r="300" spans="1:6" x14ac:dyDescent="0.25">
      <c r="A300" s="1093">
        <v>299</v>
      </c>
      <c r="B300" s="1094">
        <v>849417009</v>
      </c>
      <c r="C300" s="2308" t="s">
        <v>1910</v>
      </c>
      <c r="D300" s="1101">
        <v>43838</v>
      </c>
      <c r="E300" s="758" t="str">
        <f t="shared" si="12"/>
        <v>PGMI</v>
      </c>
      <c r="F300" s="859">
        <f t="shared" si="13"/>
        <v>2017</v>
      </c>
    </row>
    <row r="301" spans="1:6" x14ac:dyDescent="0.25">
      <c r="A301" s="1093">
        <v>300</v>
      </c>
      <c r="B301" s="1094">
        <v>849417010</v>
      </c>
      <c r="C301" s="2308" t="s">
        <v>3090</v>
      </c>
      <c r="D301" s="1101">
        <v>43745</v>
      </c>
      <c r="E301" s="758" t="str">
        <f t="shared" si="12"/>
        <v>PGMI</v>
      </c>
      <c r="F301" s="859">
        <f t="shared" si="13"/>
        <v>2018</v>
      </c>
    </row>
    <row r="302" spans="1:6" x14ac:dyDescent="0.25">
      <c r="A302" s="1093">
        <v>301</v>
      </c>
      <c r="B302" s="1094">
        <v>849417014</v>
      </c>
      <c r="C302" s="1105" t="s">
        <v>1915</v>
      </c>
      <c r="D302" s="1101">
        <v>43832</v>
      </c>
      <c r="E302" s="758" t="str">
        <f t="shared" si="12"/>
        <v>PGMI</v>
      </c>
      <c r="F302" s="859">
        <f t="shared" si="13"/>
        <v>2017</v>
      </c>
    </row>
    <row r="303" spans="1:6" x14ac:dyDescent="0.25">
      <c r="A303" s="1093">
        <v>302</v>
      </c>
      <c r="B303" s="1094">
        <v>849417015</v>
      </c>
      <c r="C303" s="2308" t="s">
        <v>3091</v>
      </c>
      <c r="D303" s="1101">
        <v>43684</v>
      </c>
      <c r="E303" s="758" t="str">
        <f t="shared" si="12"/>
        <v>PGMI</v>
      </c>
      <c r="F303" s="859">
        <f t="shared" si="13"/>
        <v>2017</v>
      </c>
    </row>
    <row r="304" spans="1:6" x14ac:dyDescent="0.25">
      <c r="A304" s="1093">
        <v>303</v>
      </c>
      <c r="B304" s="1094">
        <v>849417016</v>
      </c>
      <c r="C304" s="2308" t="s">
        <v>3092</v>
      </c>
      <c r="D304" s="1101">
        <v>43769</v>
      </c>
      <c r="E304" s="758" t="str">
        <f t="shared" si="12"/>
        <v>PGMI</v>
      </c>
      <c r="F304" s="859">
        <f t="shared" si="13"/>
        <v>2017</v>
      </c>
    </row>
    <row r="305" spans="1:6" x14ac:dyDescent="0.25">
      <c r="A305" s="1093">
        <v>304</v>
      </c>
      <c r="B305" s="1094">
        <v>849417018</v>
      </c>
      <c r="C305" s="1108" t="s">
        <v>1919</v>
      </c>
      <c r="D305" s="1101">
        <v>43649</v>
      </c>
      <c r="E305" s="758" t="str">
        <f t="shared" si="12"/>
        <v>PGMI</v>
      </c>
      <c r="F305" s="859">
        <f t="shared" si="13"/>
        <v>2017</v>
      </c>
    </row>
    <row r="306" spans="1:6" x14ac:dyDescent="0.25">
      <c r="A306" s="1093">
        <v>305</v>
      </c>
      <c r="B306" s="1094">
        <v>849116021</v>
      </c>
      <c r="C306" s="2309" t="s">
        <v>3093</v>
      </c>
      <c r="D306" s="1097">
        <v>43300</v>
      </c>
      <c r="E306" s="758" t="str">
        <f t="shared" si="12"/>
        <v>MPI-S2</v>
      </c>
      <c r="F306" s="859">
        <f t="shared" si="13"/>
        <v>2016</v>
      </c>
    </row>
    <row r="307" spans="1:6" x14ac:dyDescent="0.25">
      <c r="A307" s="1093">
        <v>306</v>
      </c>
      <c r="B307" s="1094">
        <v>839116011</v>
      </c>
      <c r="C307" s="1088" t="s">
        <v>1587</v>
      </c>
      <c r="D307" s="1101">
        <v>43845</v>
      </c>
      <c r="E307" s="758" t="str">
        <f t="shared" si="12"/>
        <v>HK</v>
      </c>
      <c r="F307" s="859">
        <f t="shared" si="13"/>
        <v>2016</v>
      </c>
    </row>
    <row r="308" spans="1:6" x14ac:dyDescent="0.25">
      <c r="A308" s="1093">
        <v>307</v>
      </c>
      <c r="B308" s="1094">
        <v>849117017</v>
      </c>
      <c r="C308" s="1088" t="s">
        <v>1828</v>
      </c>
      <c r="D308" s="1101">
        <v>43852</v>
      </c>
      <c r="E308" s="758" t="str">
        <f t="shared" si="12"/>
        <v>MPI-S2</v>
      </c>
      <c r="F308" s="859">
        <f t="shared" si="13"/>
        <v>2017</v>
      </c>
    </row>
    <row r="309" spans="1:6" x14ac:dyDescent="0.25">
      <c r="A309" s="1093">
        <v>308</v>
      </c>
      <c r="B309" s="1094">
        <v>839117001</v>
      </c>
      <c r="C309" s="1088" t="s">
        <v>1946</v>
      </c>
      <c r="D309" s="1101">
        <v>43839</v>
      </c>
      <c r="E309" s="758" t="str">
        <f t="shared" si="12"/>
        <v>HK</v>
      </c>
      <c r="F309" s="859">
        <f t="shared" si="13"/>
        <v>2017</v>
      </c>
    </row>
    <row r="310" spans="1:6" x14ac:dyDescent="0.25">
      <c r="A310" s="1093">
        <v>309</v>
      </c>
      <c r="B310" s="1094">
        <v>849117024</v>
      </c>
      <c r="C310" s="1088" t="s">
        <v>1836</v>
      </c>
      <c r="D310" s="1101">
        <v>43847</v>
      </c>
      <c r="E310" s="758" t="str">
        <f t="shared" si="12"/>
        <v>MPI-S2</v>
      </c>
      <c r="F310" s="859">
        <f t="shared" si="13"/>
        <v>2017</v>
      </c>
    </row>
    <row r="311" spans="1:6" x14ac:dyDescent="0.25">
      <c r="A311" s="1093">
        <v>310</v>
      </c>
      <c r="B311" s="1094">
        <v>849316030</v>
      </c>
      <c r="C311" s="1088" t="s">
        <v>1641</v>
      </c>
      <c r="D311" s="1101">
        <v>43837</v>
      </c>
      <c r="E311" s="758" t="str">
        <f t="shared" si="12"/>
        <v>PAI</v>
      </c>
      <c r="F311" s="859">
        <f t="shared" si="13"/>
        <v>2016</v>
      </c>
    </row>
    <row r="312" spans="1:6" x14ac:dyDescent="0.25">
      <c r="A312" s="1093">
        <v>311</v>
      </c>
      <c r="B312" s="1094">
        <v>849317035</v>
      </c>
      <c r="C312" s="1088" t="s">
        <v>3094</v>
      </c>
      <c r="D312" s="1101">
        <v>43844</v>
      </c>
      <c r="E312" s="758" t="str">
        <f t="shared" si="12"/>
        <v>PAI</v>
      </c>
      <c r="F312" s="859">
        <f t="shared" si="13"/>
        <v>2017</v>
      </c>
    </row>
    <row r="313" spans="1:6" x14ac:dyDescent="0.25">
      <c r="A313" s="1093">
        <v>312</v>
      </c>
      <c r="B313" s="1094">
        <v>839217019</v>
      </c>
      <c r="C313" s="1088" t="s">
        <v>3095</v>
      </c>
      <c r="D313" s="1101">
        <v>43840</v>
      </c>
      <c r="E313" s="758" t="str">
        <f t="shared" si="12"/>
        <v>ES</v>
      </c>
      <c r="F313" s="859">
        <f t="shared" si="13"/>
        <v>2017</v>
      </c>
    </row>
    <row r="314" spans="1:6" x14ac:dyDescent="0.25">
      <c r="A314" s="1093">
        <v>313</v>
      </c>
      <c r="B314" s="1094">
        <v>849117014</v>
      </c>
      <c r="C314" s="1088" t="s">
        <v>1825</v>
      </c>
      <c r="D314" s="1101">
        <v>43837</v>
      </c>
      <c r="E314" s="758" t="str">
        <f t="shared" si="12"/>
        <v>MPI-S2</v>
      </c>
      <c r="F314" s="859">
        <f t="shared" si="13"/>
        <v>2017</v>
      </c>
    </row>
    <row r="315" spans="1:6" x14ac:dyDescent="0.25">
      <c r="A315" s="1093">
        <v>314</v>
      </c>
      <c r="B315" s="1094">
        <v>839117012</v>
      </c>
      <c r="C315" s="1088" t="s">
        <v>1958</v>
      </c>
      <c r="D315" s="1101">
        <v>43837</v>
      </c>
      <c r="E315" s="758" t="str">
        <f t="shared" si="12"/>
        <v>HK</v>
      </c>
      <c r="F315" s="859">
        <f t="shared" si="13"/>
        <v>2017</v>
      </c>
    </row>
    <row r="316" spans="1:6" x14ac:dyDescent="0.25">
      <c r="A316" s="1093">
        <v>315</v>
      </c>
      <c r="B316" s="1094">
        <v>849316004</v>
      </c>
      <c r="C316" s="1088" t="s">
        <v>1614</v>
      </c>
      <c r="D316" s="1101">
        <v>43844</v>
      </c>
      <c r="E316" s="758" t="str">
        <f t="shared" si="12"/>
        <v>PAI</v>
      </c>
      <c r="F316" s="859">
        <f t="shared" si="13"/>
        <v>2016</v>
      </c>
    </row>
    <row r="317" spans="1:6" x14ac:dyDescent="0.25">
      <c r="A317" s="1093">
        <v>316</v>
      </c>
      <c r="B317" s="1088">
        <v>849317043</v>
      </c>
      <c r="C317" s="1088" t="s">
        <v>1798</v>
      </c>
      <c r="D317" s="1101">
        <v>43822</v>
      </c>
      <c r="E317" s="758" t="str">
        <f t="shared" si="12"/>
        <v>PAI</v>
      </c>
      <c r="F317" s="859">
        <f t="shared" si="13"/>
        <v>2017</v>
      </c>
    </row>
    <row r="318" spans="1:6" x14ac:dyDescent="0.25">
      <c r="A318" s="1093">
        <v>317</v>
      </c>
      <c r="B318" s="1094">
        <v>849116011</v>
      </c>
      <c r="C318" s="1088" t="s">
        <v>1691</v>
      </c>
      <c r="D318" s="1101">
        <v>43845</v>
      </c>
      <c r="E318" s="758" t="str">
        <f t="shared" si="12"/>
        <v>MPI-S2</v>
      </c>
      <c r="F318" s="859">
        <f t="shared" si="13"/>
        <v>2016</v>
      </c>
    </row>
    <row r="319" spans="1:6" x14ac:dyDescent="0.25">
      <c r="A319" s="1093">
        <v>318</v>
      </c>
      <c r="B319" s="1094">
        <v>849317014</v>
      </c>
      <c r="C319" s="1088" t="s">
        <v>3096</v>
      </c>
      <c r="D319" s="1101">
        <v>43836</v>
      </c>
      <c r="E319" s="758" t="str">
        <f t="shared" si="12"/>
        <v>PAI</v>
      </c>
      <c r="F319" s="859">
        <f t="shared" si="13"/>
        <v>2017</v>
      </c>
    </row>
    <row r="320" spans="1:6" x14ac:dyDescent="0.25">
      <c r="A320" s="1093">
        <v>319</v>
      </c>
      <c r="B320" s="1094">
        <v>849416005</v>
      </c>
      <c r="C320" s="1088" t="s">
        <v>1669</v>
      </c>
      <c r="D320" s="1101">
        <v>43840</v>
      </c>
      <c r="E320" s="758" t="str">
        <f t="shared" ref="E320:E351" si="14">VLOOKUP(B320,DNIMP,3,FALSE)</f>
        <v>PGMI</v>
      </c>
      <c r="F320" s="859">
        <f t="shared" ref="F320:F351" si="15">VLOOKUP(B320,DNIMP,4,FALSE)</f>
        <v>2016</v>
      </c>
    </row>
    <row r="321" spans="1:6" x14ac:dyDescent="0.25">
      <c r="A321" s="1093">
        <v>320</v>
      </c>
      <c r="B321" s="1094">
        <v>849317002</v>
      </c>
      <c r="C321" s="1088" t="s">
        <v>1756</v>
      </c>
      <c r="D321" s="1101">
        <v>43852</v>
      </c>
      <c r="E321" s="758" t="str">
        <f t="shared" si="14"/>
        <v>PAI</v>
      </c>
      <c r="F321" s="859">
        <f t="shared" si="15"/>
        <v>2017</v>
      </c>
    </row>
    <row r="322" spans="1:6" x14ac:dyDescent="0.25">
      <c r="A322" s="1093">
        <v>321</v>
      </c>
      <c r="B322" s="1094">
        <v>829117003</v>
      </c>
      <c r="C322" s="1088" t="s">
        <v>1965</v>
      </c>
      <c r="D322" s="1101">
        <v>43845</v>
      </c>
      <c r="E322" s="758" t="str">
        <f t="shared" si="14"/>
        <v>KPI</v>
      </c>
      <c r="F322" s="859">
        <f t="shared" si="15"/>
        <v>2017</v>
      </c>
    </row>
    <row r="323" spans="1:6" x14ac:dyDescent="0.25">
      <c r="A323" s="1093">
        <v>322</v>
      </c>
      <c r="B323" s="1094">
        <v>849117036</v>
      </c>
      <c r="C323" s="1088" t="s">
        <v>1850</v>
      </c>
      <c r="D323" s="1101">
        <v>43873</v>
      </c>
      <c r="E323" s="758" t="str">
        <f t="shared" si="14"/>
        <v>MPI-S2</v>
      </c>
      <c r="F323" s="859">
        <f t="shared" si="15"/>
        <v>2017</v>
      </c>
    </row>
    <row r="324" spans="1:6" x14ac:dyDescent="0.25">
      <c r="A324" s="1093">
        <v>323</v>
      </c>
      <c r="B324" s="1094">
        <v>841915033</v>
      </c>
      <c r="C324" s="1088" t="s">
        <v>1512</v>
      </c>
      <c r="D324" s="1101">
        <v>43903</v>
      </c>
      <c r="E324" s="758" t="str">
        <f t="shared" si="14"/>
        <v>5000 Dok</v>
      </c>
      <c r="F324" s="859">
        <f t="shared" si="15"/>
        <v>2015</v>
      </c>
    </row>
    <row r="325" spans="1:6" x14ac:dyDescent="0.25">
      <c r="A325" s="1093">
        <v>324</v>
      </c>
      <c r="B325" s="1094">
        <v>841915032</v>
      </c>
      <c r="C325" s="1088" t="s">
        <v>1509</v>
      </c>
      <c r="D325" s="1101">
        <v>43902</v>
      </c>
      <c r="E325" s="758" t="str">
        <f t="shared" si="14"/>
        <v>5000 Dok</v>
      </c>
      <c r="F325" s="859">
        <f t="shared" si="15"/>
        <v>2015</v>
      </c>
    </row>
    <row r="326" spans="1:6" x14ac:dyDescent="0.25">
      <c r="A326" s="1093">
        <v>325</v>
      </c>
      <c r="B326" s="1094">
        <v>849317049</v>
      </c>
      <c r="C326" s="1088" t="s">
        <v>3097</v>
      </c>
      <c r="D326" s="1101">
        <v>43872</v>
      </c>
      <c r="E326" s="758" t="str">
        <f t="shared" si="14"/>
        <v>PAI</v>
      </c>
      <c r="F326" s="859">
        <f t="shared" si="15"/>
        <v>2017</v>
      </c>
    </row>
    <row r="327" spans="1:6" x14ac:dyDescent="0.25">
      <c r="A327" s="1093">
        <v>326</v>
      </c>
      <c r="B327" s="1094">
        <v>829117011</v>
      </c>
      <c r="C327" s="1088" t="s">
        <v>3098</v>
      </c>
      <c r="D327" s="1101">
        <v>43944</v>
      </c>
      <c r="E327" s="758" t="str">
        <f t="shared" si="14"/>
        <v>KPI</v>
      </c>
      <c r="F327" s="859">
        <f t="shared" si="15"/>
        <v>2017</v>
      </c>
    </row>
    <row r="328" spans="1:6" x14ac:dyDescent="0.25">
      <c r="A328" s="1093">
        <v>327</v>
      </c>
      <c r="B328" s="1094">
        <v>849118031</v>
      </c>
      <c r="C328" s="1088" t="s">
        <v>2053</v>
      </c>
      <c r="D328" s="1101">
        <v>43961</v>
      </c>
      <c r="E328" s="758" t="str">
        <f t="shared" si="14"/>
        <v>MPI-3C</v>
      </c>
      <c r="F328" s="859">
        <f t="shared" si="15"/>
        <v>2018</v>
      </c>
    </row>
    <row r="329" spans="1:6" x14ac:dyDescent="0.25">
      <c r="A329" s="1093">
        <v>328</v>
      </c>
      <c r="B329" s="1094">
        <v>849316003</v>
      </c>
      <c r="C329" s="1088" t="s">
        <v>3099</v>
      </c>
      <c r="D329" s="1101">
        <v>43894</v>
      </c>
      <c r="E329" s="758" t="str">
        <f t="shared" si="14"/>
        <v>PAI</v>
      </c>
      <c r="F329" s="859">
        <f t="shared" si="15"/>
        <v>2016</v>
      </c>
    </row>
    <row r="330" spans="1:6" x14ac:dyDescent="0.25">
      <c r="A330" s="1093">
        <v>329</v>
      </c>
      <c r="B330" s="1094">
        <v>849317038</v>
      </c>
      <c r="C330" s="1088" t="s">
        <v>3100</v>
      </c>
      <c r="D330" s="1101">
        <v>43950</v>
      </c>
      <c r="E330" s="758" t="str">
        <f t="shared" si="14"/>
        <v>PAI</v>
      </c>
      <c r="F330" s="859">
        <f t="shared" si="15"/>
        <v>2017</v>
      </c>
    </row>
    <row r="331" spans="1:6" x14ac:dyDescent="0.25">
      <c r="A331" s="1093">
        <v>330</v>
      </c>
      <c r="B331" s="1094">
        <v>849416016</v>
      </c>
      <c r="C331" s="1088" t="s">
        <v>3101</v>
      </c>
      <c r="D331" s="1101">
        <v>43970</v>
      </c>
      <c r="E331" s="758" t="str">
        <f t="shared" si="14"/>
        <v>PGMI</v>
      </c>
      <c r="F331" s="859">
        <f t="shared" si="15"/>
        <v>2016</v>
      </c>
    </row>
    <row r="332" spans="1:6" x14ac:dyDescent="0.25">
      <c r="A332" s="1093">
        <v>331</v>
      </c>
      <c r="B332" s="1094">
        <v>849118039</v>
      </c>
      <c r="C332" s="1088" t="s">
        <v>3102</v>
      </c>
      <c r="D332" s="1101">
        <v>43971</v>
      </c>
      <c r="E332" s="758" t="str">
        <f t="shared" si="14"/>
        <v>MPI-3A</v>
      </c>
      <c r="F332" s="859">
        <f t="shared" si="15"/>
        <v>2018</v>
      </c>
    </row>
    <row r="333" spans="1:6" x14ac:dyDescent="0.25">
      <c r="A333" s="1093">
        <v>332</v>
      </c>
      <c r="B333" s="1094">
        <v>839218011</v>
      </c>
      <c r="C333" s="1088" t="s">
        <v>2995</v>
      </c>
      <c r="D333" s="1101">
        <v>43971</v>
      </c>
      <c r="E333" s="758" t="str">
        <f t="shared" si="14"/>
        <v>ES-3C</v>
      </c>
      <c r="F333" s="859">
        <f t="shared" si="15"/>
        <v>2018</v>
      </c>
    </row>
    <row r="334" spans="1:6" x14ac:dyDescent="0.25">
      <c r="A334" s="1093">
        <v>333</v>
      </c>
      <c r="B334" s="1094">
        <v>849317033</v>
      </c>
      <c r="C334" s="1088" t="s">
        <v>3103</v>
      </c>
      <c r="D334" s="1101">
        <v>43851</v>
      </c>
      <c r="E334" s="758" t="str">
        <f t="shared" si="14"/>
        <v>PAI</v>
      </c>
      <c r="F334" s="859">
        <f t="shared" si="15"/>
        <v>2017</v>
      </c>
    </row>
    <row r="335" spans="1:6" x14ac:dyDescent="0.25">
      <c r="A335" s="1093">
        <v>334</v>
      </c>
      <c r="B335" s="1094">
        <v>849118049</v>
      </c>
      <c r="C335" s="1088" t="s">
        <v>2058</v>
      </c>
      <c r="D335" s="1101">
        <v>43984</v>
      </c>
      <c r="E335" s="758" t="str">
        <f t="shared" si="14"/>
        <v>MPI-3C</v>
      </c>
      <c r="F335" s="859">
        <f t="shared" si="15"/>
        <v>2018</v>
      </c>
    </row>
    <row r="336" spans="1:6" x14ac:dyDescent="0.25">
      <c r="A336" s="1093">
        <v>335</v>
      </c>
      <c r="B336" s="1094">
        <v>849117034</v>
      </c>
      <c r="C336" s="1088" t="s">
        <v>3104</v>
      </c>
      <c r="D336" s="1101">
        <v>43962</v>
      </c>
      <c r="E336" s="758" t="str">
        <f t="shared" si="14"/>
        <v>MPI-S2</v>
      </c>
      <c r="F336" s="859">
        <f t="shared" si="15"/>
        <v>2017</v>
      </c>
    </row>
    <row r="337" spans="1:6" x14ac:dyDescent="0.25">
      <c r="A337" s="1093">
        <v>336</v>
      </c>
      <c r="B337" s="1094">
        <v>839218012</v>
      </c>
      <c r="C337" s="1088" t="s">
        <v>3105</v>
      </c>
      <c r="D337" s="1101">
        <v>44000</v>
      </c>
      <c r="E337" s="758" t="str">
        <f t="shared" si="14"/>
        <v>ES-3B</v>
      </c>
      <c r="F337" s="859">
        <f t="shared" si="15"/>
        <v>2018</v>
      </c>
    </row>
    <row r="338" spans="1:6" x14ac:dyDescent="0.25">
      <c r="A338" s="1093">
        <v>337</v>
      </c>
      <c r="B338" s="1094">
        <v>849317011</v>
      </c>
      <c r="C338" s="1088" t="s">
        <v>3106</v>
      </c>
      <c r="D338" s="1101">
        <v>43944</v>
      </c>
      <c r="E338" s="758" t="str">
        <f t="shared" si="14"/>
        <v>PAI</v>
      </c>
      <c r="F338" s="859">
        <f t="shared" si="15"/>
        <v>2017</v>
      </c>
    </row>
    <row r="339" spans="1:6" x14ac:dyDescent="0.25">
      <c r="A339" s="1093">
        <v>338</v>
      </c>
      <c r="B339" s="1094">
        <v>849317046</v>
      </c>
      <c r="C339" s="1088" t="s">
        <v>3107</v>
      </c>
      <c r="D339" s="1101">
        <v>43935</v>
      </c>
      <c r="E339" s="758" t="str">
        <f t="shared" si="14"/>
        <v>PAI</v>
      </c>
      <c r="F339" s="859">
        <f t="shared" si="15"/>
        <v>2016</v>
      </c>
    </row>
    <row r="340" spans="1:6" x14ac:dyDescent="0.25">
      <c r="A340" s="1093">
        <v>339</v>
      </c>
      <c r="B340" s="1094">
        <v>849318012</v>
      </c>
      <c r="C340" s="1088" t="s">
        <v>3108</v>
      </c>
      <c r="D340" s="1101">
        <v>43992</v>
      </c>
      <c r="E340" s="758" t="str">
        <f t="shared" si="14"/>
        <v>PAI-3B</v>
      </c>
      <c r="F340" s="859">
        <f t="shared" si="15"/>
        <v>2018</v>
      </c>
    </row>
    <row r="341" spans="1:6" x14ac:dyDescent="0.25">
      <c r="A341" s="1093">
        <v>340</v>
      </c>
      <c r="B341" s="1094">
        <v>839116004</v>
      </c>
      <c r="C341" s="1088" t="s">
        <v>3109</v>
      </c>
      <c r="D341" s="1101">
        <v>44016</v>
      </c>
      <c r="E341" s="758" t="str">
        <f t="shared" si="14"/>
        <v>HK</v>
      </c>
      <c r="F341" s="859">
        <f t="shared" si="15"/>
        <v>2016</v>
      </c>
    </row>
    <row r="342" spans="1:6" x14ac:dyDescent="0.25">
      <c r="A342" s="1093">
        <v>341</v>
      </c>
      <c r="B342" s="1094">
        <v>849416015</v>
      </c>
      <c r="C342" s="1088" t="s">
        <v>3110</v>
      </c>
      <c r="D342" s="1101">
        <v>43985</v>
      </c>
      <c r="E342" s="758" t="str">
        <f t="shared" si="14"/>
        <v>PGMI</v>
      </c>
      <c r="F342" s="859">
        <f t="shared" si="15"/>
        <v>2016</v>
      </c>
    </row>
    <row r="343" spans="1:6" x14ac:dyDescent="0.25">
      <c r="A343" s="1093">
        <v>342</v>
      </c>
      <c r="B343" s="1094">
        <v>849116009</v>
      </c>
      <c r="C343" s="1088" t="s">
        <v>3111</v>
      </c>
      <c r="D343" s="1101">
        <v>43991</v>
      </c>
      <c r="E343" s="758" t="str">
        <f t="shared" si="14"/>
        <v>MPI-S2</v>
      </c>
      <c r="F343" s="859">
        <f t="shared" si="15"/>
        <v>2016</v>
      </c>
    </row>
    <row r="344" spans="1:6" x14ac:dyDescent="0.25">
      <c r="A344" s="1093">
        <v>343</v>
      </c>
      <c r="B344" s="1094">
        <v>829117009</v>
      </c>
      <c r="C344" s="1088" t="s">
        <v>3112</v>
      </c>
      <c r="D344" s="1101">
        <v>43949</v>
      </c>
      <c r="E344" s="758" t="str">
        <f t="shared" si="14"/>
        <v>KPI</v>
      </c>
      <c r="F344" s="859">
        <f t="shared" si="15"/>
        <v>2017</v>
      </c>
    </row>
    <row r="345" spans="1:6" x14ac:dyDescent="0.25">
      <c r="A345" s="1093">
        <v>344</v>
      </c>
      <c r="B345" s="1094">
        <v>839216010</v>
      </c>
      <c r="C345" s="1088" t="s">
        <v>3113</v>
      </c>
      <c r="D345" s="1101">
        <v>43899</v>
      </c>
      <c r="E345" s="758" t="str">
        <f t="shared" si="14"/>
        <v>ES</v>
      </c>
      <c r="F345" s="859">
        <f t="shared" si="15"/>
        <v>2016</v>
      </c>
    </row>
    <row r="346" spans="1:6" x14ac:dyDescent="0.25">
      <c r="A346" s="1093">
        <v>345</v>
      </c>
      <c r="B346" s="1094">
        <v>849418012</v>
      </c>
      <c r="C346" s="1088" t="s">
        <v>2216</v>
      </c>
      <c r="D346" s="1101">
        <v>43948</v>
      </c>
      <c r="E346" s="758" t="str">
        <f t="shared" si="14"/>
        <v>PGMI-3</v>
      </c>
      <c r="F346" s="859">
        <f t="shared" si="15"/>
        <v>2018</v>
      </c>
    </row>
    <row r="347" spans="1:6" x14ac:dyDescent="0.25">
      <c r="A347" s="1093">
        <v>346</v>
      </c>
      <c r="B347" s="1094">
        <v>839115003</v>
      </c>
      <c r="C347" s="1088" t="s">
        <v>1425</v>
      </c>
      <c r="D347" s="1110">
        <v>43991</v>
      </c>
      <c r="E347" s="758" t="str">
        <f t="shared" si="14"/>
        <v>HK</v>
      </c>
      <c r="F347" s="859">
        <f t="shared" si="15"/>
        <v>2015</v>
      </c>
    </row>
    <row r="348" spans="1:6" x14ac:dyDescent="0.25">
      <c r="A348" s="1093">
        <v>347</v>
      </c>
      <c r="B348" s="1094">
        <v>849318026</v>
      </c>
      <c r="C348" s="1088" t="s">
        <v>2114</v>
      </c>
      <c r="D348" s="1101">
        <v>44001</v>
      </c>
      <c r="E348" s="758" t="str">
        <f t="shared" si="14"/>
        <v>PAI-3C</v>
      </c>
      <c r="F348" s="859">
        <f t="shared" si="15"/>
        <v>2018</v>
      </c>
    </row>
    <row r="349" spans="1:6" x14ac:dyDescent="0.25">
      <c r="A349" s="1093">
        <v>348</v>
      </c>
      <c r="B349" s="1094">
        <v>839218040</v>
      </c>
      <c r="C349" s="1088" t="s">
        <v>3114</v>
      </c>
      <c r="D349" s="1101">
        <v>44004</v>
      </c>
      <c r="E349" s="758" t="str">
        <f t="shared" si="14"/>
        <v>ES-3A</v>
      </c>
      <c r="F349" s="859">
        <f t="shared" si="15"/>
        <v>2018</v>
      </c>
    </row>
    <row r="350" spans="1:6" x14ac:dyDescent="0.25">
      <c r="A350" s="1093">
        <v>349</v>
      </c>
      <c r="B350" s="1094">
        <v>839218024</v>
      </c>
      <c r="C350" s="1088" t="s">
        <v>2165</v>
      </c>
      <c r="D350" s="1101">
        <v>44007</v>
      </c>
      <c r="E350" s="758" t="str">
        <f t="shared" si="14"/>
        <v>ES-3B</v>
      </c>
      <c r="F350" s="859">
        <f t="shared" si="15"/>
        <v>2018</v>
      </c>
    </row>
    <row r="351" spans="1:6" x14ac:dyDescent="0.25">
      <c r="A351" s="1093">
        <v>350</v>
      </c>
      <c r="B351" s="1094">
        <v>839218003</v>
      </c>
      <c r="C351" s="1088" t="s">
        <v>2150</v>
      </c>
      <c r="D351" s="1101">
        <v>44007</v>
      </c>
      <c r="E351" s="758" t="str">
        <f t="shared" si="14"/>
        <v>ES-3B</v>
      </c>
      <c r="F351" s="859">
        <f t="shared" si="15"/>
        <v>2018</v>
      </c>
    </row>
    <row r="352" spans="1:6" x14ac:dyDescent="0.25">
      <c r="A352" s="1093">
        <v>351</v>
      </c>
      <c r="B352" s="1094">
        <v>839218043</v>
      </c>
      <c r="C352" s="1088" t="s">
        <v>3115</v>
      </c>
      <c r="D352" s="1101">
        <v>44014</v>
      </c>
      <c r="E352" s="758" t="str">
        <f t="shared" ref="E352:E383" si="16">VLOOKUP(B352,DNIMP,3,FALSE)</f>
        <v>ES-3C</v>
      </c>
      <c r="F352" s="859">
        <f t="shared" ref="F352:F383" si="17">VLOOKUP(B352,DNIMP,4,FALSE)</f>
        <v>2018</v>
      </c>
    </row>
    <row r="353" spans="1:6" x14ac:dyDescent="0.25">
      <c r="A353" s="1093">
        <v>352</v>
      </c>
      <c r="B353" s="1094">
        <v>829118005</v>
      </c>
      <c r="C353" s="1088" t="s">
        <v>2264</v>
      </c>
      <c r="D353" s="1101">
        <v>44020</v>
      </c>
      <c r="E353" s="758" t="str">
        <f t="shared" si="16"/>
        <v>KPI-3</v>
      </c>
      <c r="F353" s="859">
        <f t="shared" si="17"/>
        <v>2018</v>
      </c>
    </row>
    <row r="354" spans="1:6" x14ac:dyDescent="0.25">
      <c r="A354" s="1093">
        <v>353</v>
      </c>
      <c r="B354" s="1094">
        <v>839216004</v>
      </c>
      <c r="C354" s="1088" t="s">
        <v>3116</v>
      </c>
      <c r="D354" s="1101">
        <v>44019</v>
      </c>
      <c r="E354" s="758" t="str">
        <f t="shared" si="16"/>
        <v>ES</v>
      </c>
      <c r="F354" s="859">
        <f t="shared" si="17"/>
        <v>2016</v>
      </c>
    </row>
    <row r="355" spans="1:6" x14ac:dyDescent="0.25">
      <c r="A355" s="1093">
        <v>354</v>
      </c>
      <c r="B355" s="1094">
        <v>829117013</v>
      </c>
      <c r="C355" s="1088" t="s">
        <v>3117</v>
      </c>
      <c r="D355" s="1101">
        <v>44018</v>
      </c>
      <c r="E355" s="758" t="str">
        <f t="shared" si="16"/>
        <v>KPI</v>
      </c>
      <c r="F355" s="859">
        <f t="shared" si="17"/>
        <v>2017</v>
      </c>
    </row>
    <row r="356" spans="1:6" x14ac:dyDescent="0.25">
      <c r="A356" s="1093">
        <v>355</v>
      </c>
      <c r="B356" s="1094">
        <v>849318057</v>
      </c>
      <c r="C356" s="1088" t="s">
        <v>2130</v>
      </c>
      <c r="D356" s="1101">
        <v>43970</v>
      </c>
      <c r="E356" s="758" t="str">
        <f t="shared" si="16"/>
        <v>PAI-3C</v>
      </c>
      <c r="F356" s="859">
        <f t="shared" si="17"/>
        <v>2018</v>
      </c>
    </row>
    <row r="357" spans="1:6" x14ac:dyDescent="0.25">
      <c r="A357" s="1093">
        <v>356</v>
      </c>
      <c r="B357" s="1094">
        <v>841917017</v>
      </c>
      <c r="C357" s="1088" t="s">
        <v>3118</v>
      </c>
      <c r="D357" s="1101">
        <v>43941</v>
      </c>
      <c r="E357" s="758" t="str">
        <f t="shared" si="16"/>
        <v>5000 Dok</v>
      </c>
      <c r="F357" s="859">
        <f t="shared" si="17"/>
        <v>2017</v>
      </c>
    </row>
    <row r="358" spans="1:6" x14ac:dyDescent="0.25">
      <c r="A358" s="1093">
        <v>357</v>
      </c>
      <c r="B358" s="1094">
        <v>841915038</v>
      </c>
      <c r="C358" s="1088" t="s">
        <v>3119</v>
      </c>
      <c r="D358" s="1101">
        <v>43942</v>
      </c>
      <c r="E358" s="758" t="str">
        <f t="shared" si="16"/>
        <v>5000 Dok</v>
      </c>
      <c r="F358" s="859">
        <f t="shared" si="17"/>
        <v>2015</v>
      </c>
    </row>
    <row r="359" spans="1:6" x14ac:dyDescent="0.25">
      <c r="A359" s="1093">
        <v>358</v>
      </c>
      <c r="B359" s="1094">
        <v>841916009</v>
      </c>
      <c r="C359" s="1088" t="s">
        <v>3120</v>
      </c>
      <c r="D359" s="1101">
        <v>43942</v>
      </c>
      <c r="E359" s="758" t="str">
        <f t="shared" si="16"/>
        <v>5000 Dok</v>
      </c>
      <c r="F359" s="859">
        <f t="shared" si="17"/>
        <v>2016</v>
      </c>
    </row>
    <row r="360" spans="1:6" x14ac:dyDescent="0.25">
      <c r="A360" s="1093">
        <v>359</v>
      </c>
      <c r="B360" s="1094">
        <v>841916012</v>
      </c>
      <c r="C360" s="1088" t="s">
        <v>3121</v>
      </c>
      <c r="D360" s="1101">
        <v>43943</v>
      </c>
      <c r="E360" s="758" t="str">
        <f t="shared" si="16"/>
        <v>5000 Dok</v>
      </c>
      <c r="F360" s="859">
        <f t="shared" si="17"/>
        <v>2016</v>
      </c>
    </row>
    <row r="361" spans="1:6" x14ac:dyDescent="0.25">
      <c r="A361" s="1093">
        <v>360</v>
      </c>
      <c r="B361" s="1094">
        <v>841915016</v>
      </c>
      <c r="C361" s="1088" t="s">
        <v>916</v>
      </c>
      <c r="D361" s="1101">
        <v>43956</v>
      </c>
      <c r="E361" s="758" t="str">
        <f t="shared" si="16"/>
        <v>MPI-S3</v>
      </c>
      <c r="F361" s="859">
        <f t="shared" si="17"/>
        <v>2015</v>
      </c>
    </row>
    <row r="362" spans="1:6" x14ac:dyDescent="0.25">
      <c r="A362" s="1093">
        <v>361</v>
      </c>
      <c r="B362" s="1094">
        <v>841915013</v>
      </c>
      <c r="C362" s="1088" t="s">
        <v>223</v>
      </c>
      <c r="D362" s="1101">
        <v>43978</v>
      </c>
      <c r="E362" s="758" t="str">
        <f t="shared" si="16"/>
        <v>MPI-S3</v>
      </c>
      <c r="F362" s="859">
        <f t="shared" si="17"/>
        <v>2015</v>
      </c>
    </row>
    <row r="363" spans="1:6" x14ac:dyDescent="0.25">
      <c r="A363" s="1093">
        <v>362</v>
      </c>
      <c r="B363" s="1094">
        <v>841916015</v>
      </c>
      <c r="C363" s="1088" t="s">
        <v>3122</v>
      </c>
      <c r="D363" s="1101">
        <v>43979</v>
      </c>
      <c r="E363" s="758" t="str">
        <f t="shared" si="16"/>
        <v>5000 Dok</v>
      </c>
      <c r="F363" s="859">
        <f t="shared" si="17"/>
        <v>2016</v>
      </c>
    </row>
    <row r="364" spans="1:6" x14ac:dyDescent="0.25">
      <c r="A364" s="1093">
        <v>363</v>
      </c>
      <c r="B364" s="1094">
        <v>841915037</v>
      </c>
      <c r="C364" s="1088" t="s">
        <v>3123</v>
      </c>
      <c r="D364" s="1101">
        <v>43980</v>
      </c>
      <c r="E364" s="758" t="str">
        <f t="shared" si="16"/>
        <v>5000 Dok</v>
      </c>
      <c r="F364" s="859">
        <f t="shared" si="17"/>
        <v>2015</v>
      </c>
    </row>
    <row r="365" spans="1:6" x14ac:dyDescent="0.25">
      <c r="A365" s="1093">
        <v>364</v>
      </c>
      <c r="B365" s="1094">
        <v>841915025</v>
      </c>
      <c r="C365" s="1088" t="s">
        <v>1520</v>
      </c>
      <c r="D365" s="1101">
        <v>44042</v>
      </c>
      <c r="E365" s="758" t="str">
        <f t="shared" si="16"/>
        <v>5000 Dok</v>
      </c>
      <c r="F365" s="859">
        <f t="shared" si="17"/>
        <v>2015</v>
      </c>
    </row>
    <row r="366" spans="1:6" x14ac:dyDescent="0.25">
      <c r="A366" s="1093">
        <v>365</v>
      </c>
      <c r="B366" s="1094">
        <v>841917021</v>
      </c>
      <c r="C366" s="1088" t="s">
        <v>2005</v>
      </c>
      <c r="D366" s="1101">
        <v>44040</v>
      </c>
      <c r="E366" s="758" t="str">
        <f t="shared" si="16"/>
        <v>5000 Dok</v>
      </c>
      <c r="F366" s="859">
        <f t="shared" si="17"/>
        <v>2017</v>
      </c>
    </row>
    <row r="367" spans="1:6" x14ac:dyDescent="0.25">
      <c r="A367" s="1093">
        <v>366</v>
      </c>
      <c r="B367" s="1094">
        <v>841915030</v>
      </c>
      <c r="C367" s="1088" t="s">
        <v>1503</v>
      </c>
      <c r="D367" s="1101">
        <v>44056</v>
      </c>
      <c r="E367" s="758" t="str">
        <f t="shared" si="16"/>
        <v>MPI-S3</v>
      </c>
      <c r="F367" s="859">
        <f t="shared" si="17"/>
        <v>2015</v>
      </c>
    </row>
    <row r="368" spans="1:6" x14ac:dyDescent="0.25">
      <c r="A368" s="1093">
        <v>367</v>
      </c>
      <c r="B368" s="1094">
        <v>841915031</v>
      </c>
      <c r="C368" s="1088" t="s">
        <v>1505</v>
      </c>
      <c r="D368" s="1101">
        <v>43516</v>
      </c>
      <c r="E368" s="758" t="str">
        <f t="shared" si="16"/>
        <v>5000 Dok</v>
      </c>
      <c r="F368" s="859">
        <f t="shared" si="17"/>
        <v>2015</v>
      </c>
    </row>
    <row r="369" spans="1:6" x14ac:dyDescent="0.25">
      <c r="A369" s="1093">
        <v>368</v>
      </c>
      <c r="B369" s="1094">
        <v>841915035</v>
      </c>
      <c r="C369" s="1088" t="s">
        <v>1514</v>
      </c>
      <c r="D369" s="1101">
        <v>43516</v>
      </c>
      <c r="E369" s="758" t="str">
        <f t="shared" si="16"/>
        <v>5000 Dok</v>
      </c>
      <c r="F369" s="859">
        <f t="shared" si="17"/>
        <v>2015</v>
      </c>
    </row>
    <row r="370" spans="1:6" x14ac:dyDescent="0.25">
      <c r="A370" s="1093">
        <v>369</v>
      </c>
      <c r="B370" s="1094">
        <v>841915009</v>
      </c>
      <c r="C370" s="1088" t="s">
        <v>1486</v>
      </c>
      <c r="D370" s="1101">
        <v>43543</v>
      </c>
      <c r="E370" s="758" t="str">
        <f t="shared" si="16"/>
        <v>MPI-S3</v>
      </c>
      <c r="F370" s="859">
        <f t="shared" si="17"/>
        <v>2015</v>
      </c>
    </row>
    <row r="371" spans="1:6" x14ac:dyDescent="0.25">
      <c r="A371" s="1093">
        <v>370</v>
      </c>
      <c r="B371" s="1094">
        <v>849117011</v>
      </c>
      <c r="C371" s="1088" t="s">
        <v>3124</v>
      </c>
      <c r="D371" s="1101">
        <v>43944</v>
      </c>
      <c r="E371" s="758" t="str">
        <f t="shared" si="16"/>
        <v>MPI-S2</v>
      </c>
      <c r="F371" s="859">
        <f t="shared" si="17"/>
        <v>2017</v>
      </c>
    </row>
    <row r="372" spans="1:6" x14ac:dyDescent="0.25">
      <c r="A372" s="1093">
        <v>371</v>
      </c>
      <c r="B372" s="1094">
        <v>839118029</v>
      </c>
      <c r="C372" s="1088" t="s">
        <v>709</v>
      </c>
      <c r="D372" s="1101">
        <v>43942</v>
      </c>
      <c r="E372" s="758" t="str">
        <f t="shared" si="16"/>
        <v>HK-Ren</v>
      </c>
      <c r="F372" s="859">
        <f t="shared" si="17"/>
        <v>2018</v>
      </c>
    </row>
    <row r="373" spans="1:6" x14ac:dyDescent="0.25">
      <c r="A373" s="1093">
        <v>372</v>
      </c>
      <c r="B373" s="1094">
        <v>829116006</v>
      </c>
      <c r="C373" s="1088" t="s">
        <v>299</v>
      </c>
      <c r="D373" s="1101">
        <v>43964</v>
      </c>
      <c r="E373" s="758" t="str">
        <f t="shared" si="16"/>
        <v>KPI</v>
      </c>
      <c r="F373" s="859">
        <f t="shared" si="17"/>
        <v>2016</v>
      </c>
    </row>
    <row r="374" spans="1:6" x14ac:dyDescent="0.25">
      <c r="A374" s="1093">
        <v>373</v>
      </c>
      <c r="B374" s="1094">
        <v>839218016</v>
      </c>
      <c r="C374" s="1088" t="s">
        <v>2159</v>
      </c>
      <c r="D374" s="1101">
        <v>44019</v>
      </c>
      <c r="E374" s="758" t="str">
        <f t="shared" si="16"/>
        <v>ES-3B</v>
      </c>
      <c r="F374" s="859">
        <f t="shared" si="17"/>
        <v>2018</v>
      </c>
    </row>
    <row r="375" spans="1:6" x14ac:dyDescent="0.25">
      <c r="A375" s="1093">
        <v>374</v>
      </c>
      <c r="B375" s="1094">
        <v>849316035</v>
      </c>
      <c r="C375" s="1088" t="s">
        <v>3125</v>
      </c>
      <c r="D375" s="1101">
        <v>43997</v>
      </c>
      <c r="E375" s="758" t="str">
        <f t="shared" si="16"/>
        <v>PAI</v>
      </c>
      <c r="F375" s="859">
        <f t="shared" si="17"/>
        <v>2016</v>
      </c>
    </row>
    <row r="376" spans="1:6" x14ac:dyDescent="0.25">
      <c r="A376" s="1093">
        <v>375</v>
      </c>
      <c r="B376" s="1094">
        <v>839218041</v>
      </c>
      <c r="C376" s="1088" t="s">
        <v>2179</v>
      </c>
      <c r="D376" s="1101">
        <v>44036</v>
      </c>
      <c r="E376" s="758" t="str">
        <f t="shared" si="16"/>
        <v>ES-3C</v>
      </c>
      <c r="F376" s="859">
        <f t="shared" si="17"/>
        <v>2018</v>
      </c>
    </row>
    <row r="377" spans="1:6" x14ac:dyDescent="0.25">
      <c r="A377" s="1093">
        <v>376</v>
      </c>
      <c r="B377" s="1094">
        <v>829118004</v>
      </c>
      <c r="C377" s="1088" t="s">
        <v>2263</v>
      </c>
      <c r="D377" s="1101">
        <v>44053</v>
      </c>
      <c r="E377" s="758" t="str">
        <f t="shared" si="16"/>
        <v>KPI-3</v>
      </c>
      <c r="F377" s="859">
        <f t="shared" si="17"/>
        <v>2018</v>
      </c>
    </row>
    <row r="378" spans="1:6" x14ac:dyDescent="0.25">
      <c r="A378" s="1093">
        <v>377</v>
      </c>
      <c r="B378" s="1094">
        <v>839218018</v>
      </c>
      <c r="C378" s="1088" t="s">
        <v>2160</v>
      </c>
      <c r="D378" s="1101">
        <v>44028</v>
      </c>
      <c r="E378" s="758" t="str">
        <f t="shared" si="16"/>
        <v>ES-3B</v>
      </c>
      <c r="F378" s="859">
        <f t="shared" si="17"/>
        <v>2018</v>
      </c>
    </row>
    <row r="379" spans="1:6" x14ac:dyDescent="0.25">
      <c r="A379" s="1093">
        <v>378</v>
      </c>
      <c r="B379" s="1094">
        <v>849418023</v>
      </c>
      <c r="C379" s="1088" t="s">
        <v>2226</v>
      </c>
      <c r="D379" s="1101">
        <v>44035</v>
      </c>
      <c r="E379" s="758" t="str">
        <f t="shared" si="16"/>
        <v>PGMI-3</v>
      </c>
      <c r="F379" s="859">
        <f t="shared" si="17"/>
        <v>2018</v>
      </c>
    </row>
    <row r="380" spans="1:6" x14ac:dyDescent="0.25">
      <c r="A380" s="1093">
        <v>379</v>
      </c>
      <c r="B380" s="1094">
        <v>849118057</v>
      </c>
      <c r="C380" s="1088" t="s">
        <v>754</v>
      </c>
      <c r="D380" s="1101">
        <v>44032</v>
      </c>
      <c r="E380" s="758" t="str">
        <f t="shared" si="16"/>
        <v>MPI-3C</v>
      </c>
      <c r="F380" s="859">
        <f t="shared" si="17"/>
        <v>2018</v>
      </c>
    </row>
    <row r="381" spans="1:6" x14ac:dyDescent="0.25">
      <c r="A381" s="1093">
        <v>380</v>
      </c>
      <c r="B381" s="1094">
        <v>829118002</v>
      </c>
      <c r="C381" s="1088" t="s">
        <v>2261</v>
      </c>
      <c r="D381" s="1101">
        <v>44032</v>
      </c>
      <c r="E381" s="758" t="str">
        <f t="shared" si="16"/>
        <v>KPI-3</v>
      </c>
      <c r="F381" s="859">
        <f t="shared" si="17"/>
        <v>2018</v>
      </c>
    </row>
    <row r="382" spans="1:6" x14ac:dyDescent="0.25">
      <c r="A382" s="1093">
        <v>381</v>
      </c>
      <c r="B382" s="1094">
        <v>839217006</v>
      </c>
      <c r="C382" s="1088" t="s">
        <v>3126</v>
      </c>
      <c r="D382" s="1101">
        <v>44053</v>
      </c>
      <c r="E382" s="758" t="str">
        <f t="shared" si="16"/>
        <v>ES</v>
      </c>
      <c r="F382" s="859">
        <f t="shared" si="17"/>
        <v>2017</v>
      </c>
    </row>
    <row r="383" spans="1:6" x14ac:dyDescent="0.25">
      <c r="A383" s="1093">
        <v>382</v>
      </c>
      <c r="B383" s="1094">
        <v>829117005</v>
      </c>
      <c r="C383" s="1088" t="s">
        <v>3127</v>
      </c>
      <c r="D383" s="1101">
        <v>44053</v>
      </c>
      <c r="E383" s="758" t="str">
        <f t="shared" si="16"/>
        <v>KPI</v>
      </c>
      <c r="F383" s="859">
        <f t="shared" si="17"/>
        <v>2017</v>
      </c>
    </row>
    <row r="384" spans="1:6" x14ac:dyDescent="0.25">
      <c r="A384" s="1093">
        <v>383</v>
      </c>
      <c r="B384" s="1094">
        <v>849316043</v>
      </c>
      <c r="C384" s="1088" t="s">
        <v>3128</v>
      </c>
      <c r="D384" s="1101">
        <v>44039</v>
      </c>
      <c r="E384" s="758" t="str">
        <f t="shared" ref="E384:E415" si="18">VLOOKUP(B384,DNIMP,3,FALSE)</f>
        <v>PAI</v>
      </c>
      <c r="F384" s="859">
        <f t="shared" ref="F384:F415" si="19">VLOOKUP(B384,DNIMP,4,FALSE)</f>
        <v>2016</v>
      </c>
    </row>
    <row r="385" spans="1:7" x14ac:dyDescent="0.25">
      <c r="A385" s="1093">
        <v>384</v>
      </c>
      <c r="B385" s="1094">
        <v>829117004</v>
      </c>
      <c r="C385" s="1088" t="s">
        <v>3129</v>
      </c>
      <c r="D385" s="1101">
        <v>44040</v>
      </c>
      <c r="E385" s="758" t="str">
        <f t="shared" si="18"/>
        <v>KPI</v>
      </c>
      <c r="F385" s="859">
        <f t="shared" si="19"/>
        <v>2017</v>
      </c>
    </row>
    <row r="386" spans="1:7" x14ac:dyDescent="0.25">
      <c r="A386" s="1093">
        <v>385</v>
      </c>
      <c r="B386" s="1094">
        <v>849117023</v>
      </c>
      <c r="C386" s="1088" t="s">
        <v>3130</v>
      </c>
      <c r="D386" s="1101">
        <v>44070</v>
      </c>
      <c r="E386" s="758" t="str">
        <f t="shared" si="18"/>
        <v>MPI-S2</v>
      </c>
      <c r="F386" s="859">
        <f t="shared" si="19"/>
        <v>2017</v>
      </c>
    </row>
    <row r="387" spans="1:7" x14ac:dyDescent="0.25">
      <c r="A387" s="1093">
        <v>386</v>
      </c>
      <c r="B387" s="1094">
        <v>839118025</v>
      </c>
      <c r="C387" s="1088" t="s">
        <v>2253</v>
      </c>
      <c r="D387" s="1101">
        <v>44018</v>
      </c>
      <c r="E387" s="758" t="str">
        <f t="shared" si="18"/>
        <v>HK-3B</v>
      </c>
      <c r="F387" s="859">
        <f t="shared" si="19"/>
        <v>2018</v>
      </c>
      <c r="G387" s="1088"/>
    </row>
    <row r="388" spans="1:7" x14ac:dyDescent="0.25">
      <c r="A388" s="1093">
        <v>387</v>
      </c>
      <c r="B388" s="1094">
        <v>849316041</v>
      </c>
      <c r="C388" s="1088" t="s">
        <v>3131</v>
      </c>
      <c r="D388" s="1101">
        <v>44055</v>
      </c>
      <c r="E388" s="758" t="str">
        <f t="shared" si="18"/>
        <v>PAI</v>
      </c>
      <c r="F388" s="859">
        <f t="shared" si="19"/>
        <v>2016</v>
      </c>
      <c r="G388" s="1088"/>
    </row>
    <row r="389" spans="1:7" x14ac:dyDescent="0.25">
      <c r="A389" s="1093">
        <v>388</v>
      </c>
      <c r="B389" s="1094">
        <v>839218032</v>
      </c>
      <c r="C389" s="1088" t="s">
        <v>2175</v>
      </c>
      <c r="D389" s="1101">
        <v>44054</v>
      </c>
      <c r="E389" s="758" t="str">
        <f t="shared" si="18"/>
        <v>ES-3B</v>
      </c>
      <c r="F389" s="859">
        <f t="shared" si="19"/>
        <v>2018</v>
      </c>
      <c r="G389" s="1088"/>
    </row>
    <row r="390" spans="1:7" x14ac:dyDescent="0.25">
      <c r="A390" s="1093">
        <v>389</v>
      </c>
      <c r="B390" s="1094">
        <v>829118001</v>
      </c>
      <c r="C390" s="1088" t="s">
        <v>2259</v>
      </c>
      <c r="D390" s="1101">
        <v>44046</v>
      </c>
      <c r="E390" s="758" t="str">
        <f t="shared" si="18"/>
        <v>KPI-3</v>
      </c>
      <c r="F390" s="859">
        <f t="shared" si="19"/>
        <v>2018</v>
      </c>
      <c r="G390" s="1088"/>
    </row>
    <row r="391" spans="1:7" x14ac:dyDescent="0.25">
      <c r="A391" s="1093">
        <v>390</v>
      </c>
      <c r="B391" s="1094">
        <v>849117018</v>
      </c>
      <c r="C391" s="1088" t="s">
        <v>3132</v>
      </c>
      <c r="D391" s="1101">
        <v>44025</v>
      </c>
      <c r="E391" s="758" t="str">
        <f t="shared" si="18"/>
        <v>MPI-S2</v>
      </c>
      <c r="F391" s="859">
        <f t="shared" si="19"/>
        <v>2017</v>
      </c>
      <c r="G391" s="1088"/>
    </row>
    <row r="392" spans="1:7" x14ac:dyDescent="0.25">
      <c r="A392" s="1093">
        <v>391</v>
      </c>
      <c r="B392" s="1094">
        <v>849316021</v>
      </c>
      <c r="C392" s="1088" t="s">
        <v>3133</v>
      </c>
      <c r="D392" s="1101">
        <v>44027</v>
      </c>
      <c r="E392" s="758" t="str">
        <f t="shared" si="18"/>
        <v>PAI</v>
      </c>
      <c r="F392" s="859">
        <f t="shared" si="19"/>
        <v>2016</v>
      </c>
      <c r="G392" s="1088"/>
    </row>
    <row r="393" spans="1:7" x14ac:dyDescent="0.25">
      <c r="A393" s="1093">
        <v>392</v>
      </c>
      <c r="B393" s="1094">
        <v>849316048</v>
      </c>
      <c r="C393" s="1088" t="s">
        <v>2034</v>
      </c>
      <c r="D393" s="1101">
        <v>44027</v>
      </c>
      <c r="E393" s="758" t="str">
        <f t="shared" si="18"/>
        <v>PAI</v>
      </c>
      <c r="F393" s="859">
        <f t="shared" si="19"/>
        <v>2016</v>
      </c>
      <c r="G393" s="1088"/>
    </row>
    <row r="394" spans="1:7" x14ac:dyDescent="0.25">
      <c r="A394" s="1093">
        <v>393</v>
      </c>
      <c r="B394" s="1094">
        <v>849118025</v>
      </c>
      <c r="C394" s="1088" t="s">
        <v>2048</v>
      </c>
      <c r="D394" s="1101">
        <v>44061</v>
      </c>
      <c r="E394" s="758" t="str">
        <f t="shared" si="18"/>
        <v>MPI-3C</v>
      </c>
      <c r="F394" s="859">
        <f t="shared" si="19"/>
        <v>2018</v>
      </c>
      <c r="G394" s="1088"/>
    </row>
    <row r="395" spans="1:7" x14ac:dyDescent="0.25">
      <c r="A395" s="1093">
        <v>394</v>
      </c>
      <c r="B395" s="1094">
        <v>849217010</v>
      </c>
      <c r="C395" s="1088" t="s">
        <v>3134</v>
      </c>
      <c r="D395" s="1101">
        <v>44061</v>
      </c>
      <c r="E395" s="758" t="str">
        <f t="shared" si="18"/>
        <v>PBA</v>
      </c>
      <c r="F395" s="859">
        <f t="shared" si="19"/>
        <v>2017</v>
      </c>
      <c r="G395" s="1088"/>
    </row>
    <row r="396" spans="1:7" x14ac:dyDescent="0.25">
      <c r="A396" s="1093">
        <v>395</v>
      </c>
      <c r="B396" s="1094">
        <v>849318002</v>
      </c>
      <c r="C396" s="1088" t="s">
        <v>2090</v>
      </c>
      <c r="D396" s="1101">
        <v>44084</v>
      </c>
      <c r="E396" s="758" t="str">
        <f t="shared" si="18"/>
        <v>PAI-3B</v>
      </c>
      <c r="F396" s="859">
        <f t="shared" si="19"/>
        <v>2018</v>
      </c>
      <c r="G396" s="1088"/>
    </row>
    <row r="397" spans="1:7" x14ac:dyDescent="0.25">
      <c r="A397" s="1093">
        <v>396</v>
      </c>
      <c r="B397" s="1094">
        <v>849117045</v>
      </c>
      <c r="C397" s="1088" t="s">
        <v>3135</v>
      </c>
      <c r="D397" s="1101">
        <v>44074</v>
      </c>
      <c r="E397" s="758" t="str">
        <f t="shared" si="18"/>
        <v>MPI-S2</v>
      </c>
      <c r="F397" s="859">
        <f t="shared" si="19"/>
        <v>2017</v>
      </c>
      <c r="G397" s="1088"/>
    </row>
    <row r="398" spans="1:7" x14ac:dyDescent="0.25">
      <c r="A398" s="1093">
        <v>397</v>
      </c>
      <c r="B398" s="1094">
        <v>849418002</v>
      </c>
      <c r="C398" s="1088" t="s">
        <v>3136</v>
      </c>
      <c r="D398" s="1101">
        <v>44076</v>
      </c>
      <c r="E398" s="758" t="str">
        <f t="shared" si="18"/>
        <v>PGMI-3</v>
      </c>
      <c r="F398" s="859">
        <f t="shared" si="19"/>
        <v>2018</v>
      </c>
      <c r="G398" s="1088"/>
    </row>
    <row r="399" spans="1:7" x14ac:dyDescent="0.25">
      <c r="A399" s="1093">
        <v>398</v>
      </c>
      <c r="B399" s="1094">
        <v>839217035</v>
      </c>
      <c r="C399" s="1088" t="s">
        <v>3137</v>
      </c>
      <c r="D399" s="1101">
        <v>43966</v>
      </c>
      <c r="E399" s="758" t="str">
        <f t="shared" si="18"/>
        <v>ES</v>
      </c>
      <c r="F399" s="859">
        <f t="shared" si="19"/>
        <v>2017</v>
      </c>
      <c r="G399" s="1088"/>
    </row>
    <row r="400" spans="1:7" x14ac:dyDescent="0.25">
      <c r="A400" s="1093">
        <v>399</v>
      </c>
      <c r="B400" s="1094">
        <v>849117026</v>
      </c>
      <c r="C400" s="1088" t="s">
        <v>3138</v>
      </c>
      <c r="D400" s="1101">
        <v>44084</v>
      </c>
      <c r="E400" s="758" t="str">
        <f t="shared" si="18"/>
        <v>MPI-S2</v>
      </c>
      <c r="F400" s="859">
        <f t="shared" si="19"/>
        <v>2017</v>
      </c>
      <c r="G400" s="1088"/>
    </row>
    <row r="401" spans="1:7" x14ac:dyDescent="0.25">
      <c r="A401" s="1093">
        <v>400</v>
      </c>
      <c r="B401" s="1094">
        <v>849117038</v>
      </c>
      <c r="C401" s="1088" t="s">
        <v>3139</v>
      </c>
      <c r="D401" s="1101">
        <v>44084</v>
      </c>
      <c r="E401" s="758" t="str">
        <f t="shared" si="18"/>
        <v>MPI-S2</v>
      </c>
      <c r="F401" s="859">
        <f t="shared" si="19"/>
        <v>2017</v>
      </c>
      <c r="G401" s="1088"/>
    </row>
    <row r="402" spans="1:7" x14ac:dyDescent="0.25">
      <c r="A402" s="1093">
        <v>401</v>
      </c>
      <c r="B402" s="1094">
        <v>839118022</v>
      </c>
      <c r="C402" s="1088" t="s">
        <v>2251</v>
      </c>
      <c r="D402" s="1101">
        <v>44084</v>
      </c>
      <c r="E402" s="758" t="str">
        <f t="shared" si="18"/>
        <v>HK-3B</v>
      </c>
      <c r="F402" s="859">
        <f t="shared" si="19"/>
        <v>2018</v>
      </c>
      <c r="G402" s="1088"/>
    </row>
    <row r="403" spans="1:7" x14ac:dyDescent="0.25">
      <c r="A403" s="1093">
        <v>402</v>
      </c>
      <c r="B403" s="1094">
        <v>849116029</v>
      </c>
      <c r="C403" s="1088" t="s">
        <v>225</v>
      </c>
      <c r="D403" s="1101">
        <v>44083</v>
      </c>
      <c r="E403" s="758" t="str">
        <f t="shared" si="18"/>
        <v>MPI-S2</v>
      </c>
      <c r="F403" s="859">
        <f t="shared" si="19"/>
        <v>2016</v>
      </c>
      <c r="G403" s="1088"/>
    </row>
    <row r="404" spans="1:7" x14ac:dyDescent="0.25">
      <c r="A404" s="1093">
        <v>403</v>
      </c>
      <c r="B404" s="1094">
        <v>849116028</v>
      </c>
      <c r="C404" s="1088" t="s">
        <v>3140</v>
      </c>
      <c r="D404" s="1101">
        <v>44083</v>
      </c>
      <c r="E404" s="758" t="str">
        <f t="shared" si="18"/>
        <v>MPI-S2</v>
      </c>
      <c r="F404" s="859">
        <f t="shared" si="19"/>
        <v>2016</v>
      </c>
      <c r="G404" s="1088"/>
    </row>
    <row r="405" spans="1:7" x14ac:dyDescent="0.25">
      <c r="A405" s="1093">
        <v>404</v>
      </c>
      <c r="B405" s="1094">
        <v>839118019</v>
      </c>
      <c r="C405" s="1088" t="s">
        <v>2248</v>
      </c>
      <c r="D405" s="1101">
        <v>44076</v>
      </c>
      <c r="E405" s="758" t="str">
        <f t="shared" si="18"/>
        <v>HK-3B</v>
      </c>
      <c r="F405" s="859">
        <f t="shared" si="19"/>
        <v>2018</v>
      </c>
      <c r="G405" s="1088"/>
    </row>
    <row r="406" spans="1:7" x14ac:dyDescent="0.25">
      <c r="A406" s="1093">
        <v>405</v>
      </c>
      <c r="B406" s="1094">
        <v>839118001</v>
      </c>
      <c r="C406" s="1088" t="s">
        <v>2228</v>
      </c>
      <c r="D406" s="1101">
        <v>44083</v>
      </c>
      <c r="E406" s="758" t="str">
        <f t="shared" si="18"/>
        <v>HK-3A</v>
      </c>
      <c r="F406" s="859">
        <f t="shared" si="19"/>
        <v>2018</v>
      </c>
      <c r="G406" s="1088"/>
    </row>
    <row r="407" spans="1:7" x14ac:dyDescent="0.25">
      <c r="A407" s="1093">
        <v>406</v>
      </c>
      <c r="B407" s="1094">
        <v>839218029</v>
      </c>
      <c r="C407" s="1088" t="s">
        <v>3141</v>
      </c>
      <c r="D407" s="1101">
        <v>44095</v>
      </c>
      <c r="E407" s="758" t="str">
        <f t="shared" si="18"/>
        <v>ES-3C</v>
      </c>
      <c r="F407" s="859">
        <f t="shared" si="19"/>
        <v>2018</v>
      </c>
      <c r="G407" s="1088"/>
    </row>
    <row r="408" spans="1:7" x14ac:dyDescent="0.25">
      <c r="A408" s="1093">
        <v>407</v>
      </c>
      <c r="B408" s="1094">
        <v>839117013</v>
      </c>
      <c r="C408" s="1088" t="s">
        <v>3142</v>
      </c>
      <c r="D408" s="1101">
        <v>44093</v>
      </c>
      <c r="E408" s="758" t="str">
        <f t="shared" si="18"/>
        <v>HK</v>
      </c>
      <c r="F408" s="859">
        <f t="shared" si="19"/>
        <v>2017</v>
      </c>
      <c r="G408" s="1088"/>
    </row>
    <row r="409" spans="1:7" x14ac:dyDescent="0.25">
      <c r="A409" s="1093">
        <v>408</v>
      </c>
      <c r="B409" s="1094">
        <v>849317030</v>
      </c>
      <c r="C409" s="1088" t="s">
        <v>3143</v>
      </c>
      <c r="D409" s="1101">
        <v>44090</v>
      </c>
      <c r="E409" s="758" t="str">
        <f t="shared" si="18"/>
        <v>PAI</v>
      </c>
      <c r="F409" s="859">
        <f t="shared" si="19"/>
        <v>2017</v>
      </c>
    </row>
    <row r="410" spans="1:7" x14ac:dyDescent="0.25">
      <c r="A410" s="1093">
        <v>409</v>
      </c>
      <c r="B410" s="1094">
        <v>839217021</v>
      </c>
      <c r="C410" s="1088" t="s">
        <v>3144</v>
      </c>
      <c r="D410" s="1101">
        <v>44096</v>
      </c>
      <c r="E410" s="758" t="str">
        <f t="shared" si="18"/>
        <v>ES</v>
      </c>
      <c r="F410" s="859">
        <f t="shared" si="19"/>
        <v>2017</v>
      </c>
    </row>
    <row r="411" spans="1:7" x14ac:dyDescent="0.25">
      <c r="A411" s="1093">
        <v>410</v>
      </c>
      <c r="B411" s="1094">
        <v>839118009</v>
      </c>
      <c r="C411" s="1088" t="s">
        <v>2244</v>
      </c>
      <c r="D411" s="1101">
        <v>44088</v>
      </c>
      <c r="E411" s="758" t="str">
        <f t="shared" si="18"/>
        <v>HK-3B</v>
      </c>
      <c r="F411" s="859">
        <f t="shared" si="19"/>
        <v>2018</v>
      </c>
    </row>
    <row r="412" spans="1:7" x14ac:dyDescent="0.25">
      <c r="A412" s="1093">
        <v>411</v>
      </c>
      <c r="B412" s="1094">
        <v>849316002</v>
      </c>
      <c r="C412" s="1088" t="s">
        <v>1612</v>
      </c>
      <c r="D412" s="1101">
        <v>44093</v>
      </c>
      <c r="E412" s="758" t="str">
        <f t="shared" si="18"/>
        <v>PAI</v>
      </c>
      <c r="F412" s="859">
        <f t="shared" si="19"/>
        <v>2016</v>
      </c>
    </row>
    <row r="413" spans="1:7" x14ac:dyDescent="0.25">
      <c r="A413" s="1093">
        <v>412</v>
      </c>
      <c r="B413" s="1094">
        <v>839118005</v>
      </c>
      <c r="C413" s="1088" t="s">
        <v>2232</v>
      </c>
      <c r="D413" s="1101">
        <v>44031</v>
      </c>
      <c r="E413" s="758" t="str">
        <f t="shared" si="18"/>
        <v>HK-3A</v>
      </c>
      <c r="F413" s="859">
        <f t="shared" si="19"/>
        <v>2018</v>
      </c>
    </row>
    <row r="414" spans="1:7" x14ac:dyDescent="0.25">
      <c r="A414" s="1093">
        <v>413</v>
      </c>
      <c r="B414" s="1094">
        <v>849416013</v>
      </c>
      <c r="C414" s="1088" t="s">
        <v>1642</v>
      </c>
      <c r="D414" s="1101">
        <v>44106</v>
      </c>
      <c r="E414" s="758" t="str">
        <f t="shared" si="18"/>
        <v>PGMI</v>
      </c>
      <c r="F414" s="859">
        <f t="shared" si="19"/>
        <v>2016</v>
      </c>
    </row>
    <row r="415" spans="1:7" x14ac:dyDescent="0.25">
      <c r="A415" s="1093">
        <v>414</v>
      </c>
      <c r="B415" s="1094">
        <v>849416011</v>
      </c>
      <c r="C415" s="1088" t="s">
        <v>1675</v>
      </c>
      <c r="D415" s="1101">
        <v>44106</v>
      </c>
      <c r="E415" s="758" t="str">
        <f t="shared" si="18"/>
        <v>PGMI</v>
      </c>
      <c r="F415" s="859">
        <f t="shared" si="19"/>
        <v>2016</v>
      </c>
    </row>
    <row r="416" spans="1:7" x14ac:dyDescent="0.25">
      <c r="A416" s="1093">
        <v>415</v>
      </c>
      <c r="B416" s="1094">
        <v>849318017</v>
      </c>
      <c r="C416" s="1088" t="s">
        <v>2105</v>
      </c>
      <c r="D416" s="1101">
        <v>44089</v>
      </c>
      <c r="E416" s="758" t="str">
        <f t="shared" ref="E416:E447" si="20">VLOOKUP(B416,DNIMP,3,FALSE)</f>
        <v>PAI-3B</v>
      </c>
      <c r="F416" s="859">
        <f t="shared" ref="F416:F443" si="21">VLOOKUP(B416,DNIMP,4,FALSE)</f>
        <v>2018</v>
      </c>
    </row>
    <row r="417" spans="1:6" x14ac:dyDescent="0.25">
      <c r="A417" s="1093">
        <v>416</v>
      </c>
      <c r="B417" s="1094">
        <v>839216005</v>
      </c>
      <c r="C417" s="1088" t="s">
        <v>1551</v>
      </c>
      <c r="D417" s="1101">
        <v>44096</v>
      </c>
      <c r="E417" s="758" t="str">
        <f t="shared" si="20"/>
        <v>ES</v>
      </c>
      <c r="F417" s="859">
        <f t="shared" si="21"/>
        <v>2016</v>
      </c>
    </row>
    <row r="418" spans="1:6" x14ac:dyDescent="0.25">
      <c r="A418" s="1093">
        <v>417</v>
      </c>
      <c r="B418" s="1094">
        <v>849316026</v>
      </c>
      <c r="C418" s="1088" t="s">
        <v>3145</v>
      </c>
      <c r="D418" s="1101">
        <v>44051</v>
      </c>
      <c r="E418" s="758" t="str">
        <f t="shared" si="20"/>
        <v>PAI</v>
      </c>
      <c r="F418" s="859">
        <f t="shared" si="21"/>
        <v>2016</v>
      </c>
    </row>
    <row r="419" spans="1:6" x14ac:dyDescent="0.25">
      <c r="A419" s="1093">
        <v>418</v>
      </c>
      <c r="B419" s="1094">
        <v>849118055</v>
      </c>
      <c r="C419" s="1088" t="s">
        <v>2062</v>
      </c>
      <c r="D419" s="1101">
        <v>44084</v>
      </c>
      <c r="E419" s="758" t="str">
        <f t="shared" si="20"/>
        <v>MPI-3C</v>
      </c>
      <c r="F419" s="859">
        <f t="shared" si="21"/>
        <v>2018</v>
      </c>
    </row>
    <row r="420" spans="1:6" x14ac:dyDescent="0.25">
      <c r="A420" s="1093">
        <v>419</v>
      </c>
      <c r="B420" s="1094">
        <v>839116016</v>
      </c>
      <c r="C420" s="1088" t="s">
        <v>3146</v>
      </c>
      <c r="D420" s="1101">
        <v>44095</v>
      </c>
      <c r="E420" s="758" t="str">
        <f t="shared" si="20"/>
        <v>HK</v>
      </c>
      <c r="F420" s="859">
        <f t="shared" si="21"/>
        <v>2016</v>
      </c>
    </row>
    <row r="421" spans="1:6" x14ac:dyDescent="0.25">
      <c r="A421" s="1093">
        <v>420</v>
      </c>
      <c r="B421" s="1094">
        <v>849318047</v>
      </c>
      <c r="C421" s="1088" t="s">
        <v>2078</v>
      </c>
      <c r="D421" s="1101">
        <v>44091</v>
      </c>
      <c r="E421" s="758" t="str">
        <f t="shared" si="20"/>
        <v>PAI-3A</v>
      </c>
      <c r="F421" s="859">
        <f t="shared" si="21"/>
        <v>2018</v>
      </c>
    </row>
    <row r="422" spans="1:6" x14ac:dyDescent="0.25">
      <c r="A422" s="1093">
        <v>421</v>
      </c>
      <c r="B422" s="1094">
        <v>849316020</v>
      </c>
      <c r="C422" s="1088" t="s">
        <v>3147</v>
      </c>
      <c r="D422" s="1101">
        <v>44096</v>
      </c>
      <c r="E422" s="758" t="str">
        <f t="shared" si="20"/>
        <v>PAI</v>
      </c>
      <c r="F422" s="859">
        <f t="shared" si="21"/>
        <v>2016</v>
      </c>
    </row>
    <row r="423" spans="1:6" x14ac:dyDescent="0.25">
      <c r="A423" s="1093">
        <v>422</v>
      </c>
      <c r="B423" s="1094">
        <v>841915034</v>
      </c>
      <c r="C423" s="1088" t="s">
        <v>1513</v>
      </c>
      <c r="D423" s="1101">
        <v>44118</v>
      </c>
      <c r="E423" s="758" t="str">
        <f t="shared" si="20"/>
        <v>5000 Dok</v>
      </c>
      <c r="F423" s="859">
        <f t="shared" si="21"/>
        <v>2015</v>
      </c>
    </row>
    <row r="424" spans="1:6" x14ac:dyDescent="0.25">
      <c r="A424" s="1093">
        <v>423</v>
      </c>
      <c r="B424" s="1094">
        <v>849318050</v>
      </c>
      <c r="C424" s="1088" t="s">
        <v>3148</v>
      </c>
      <c r="D424" s="1101">
        <v>44083</v>
      </c>
      <c r="E424" s="758" t="str">
        <f t="shared" si="20"/>
        <v>PAI-3A</v>
      </c>
      <c r="F424" s="859">
        <f t="shared" si="21"/>
        <v>2018</v>
      </c>
    </row>
    <row r="425" spans="1:6" x14ac:dyDescent="0.25">
      <c r="A425" s="1093">
        <v>424</v>
      </c>
      <c r="B425" s="1094">
        <v>849117006</v>
      </c>
      <c r="C425" s="1088" t="s">
        <v>3149</v>
      </c>
      <c r="D425" s="1101">
        <v>44084</v>
      </c>
      <c r="E425" s="758" t="str">
        <f t="shared" si="20"/>
        <v>MPI-S2</v>
      </c>
      <c r="F425" s="859">
        <f t="shared" si="21"/>
        <v>2017</v>
      </c>
    </row>
    <row r="426" spans="1:6" x14ac:dyDescent="0.25">
      <c r="A426" s="1093">
        <v>425</v>
      </c>
      <c r="B426" s="1094">
        <v>841917009</v>
      </c>
      <c r="C426" s="1088" t="s">
        <v>1991</v>
      </c>
      <c r="D426" s="1101">
        <v>44109</v>
      </c>
      <c r="E426" s="758" t="str">
        <f t="shared" si="20"/>
        <v>MPI-S3</v>
      </c>
      <c r="F426" s="859">
        <f t="shared" si="21"/>
        <v>2017</v>
      </c>
    </row>
    <row r="427" spans="1:6" x14ac:dyDescent="0.25">
      <c r="A427" s="1093">
        <v>426</v>
      </c>
      <c r="B427" s="1094">
        <v>849217017</v>
      </c>
      <c r="C427" s="1088" t="s">
        <v>3150</v>
      </c>
      <c r="D427" s="1101">
        <v>44077</v>
      </c>
      <c r="E427" s="758" t="str">
        <f t="shared" si="20"/>
        <v>PBA</v>
      </c>
      <c r="F427" s="859">
        <f t="shared" si="21"/>
        <v>2017</v>
      </c>
    </row>
    <row r="428" spans="1:6" x14ac:dyDescent="0.25">
      <c r="A428" s="1093">
        <v>427</v>
      </c>
      <c r="B428" s="1094">
        <v>841915011</v>
      </c>
      <c r="C428" s="1088" t="s">
        <v>1488</v>
      </c>
      <c r="D428" s="1101">
        <v>44062</v>
      </c>
      <c r="E428" s="758" t="str">
        <f t="shared" si="20"/>
        <v>MPI-S3</v>
      </c>
      <c r="F428" s="859">
        <f t="shared" si="21"/>
        <v>2015</v>
      </c>
    </row>
    <row r="429" spans="1:6" x14ac:dyDescent="0.25">
      <c r="A429" s="1093">
        <v>428</v>
      </c>
      <c r="B429" s="1094">
        <v>839118002</v>
      </c>
      <c r="C429" s="1088" t="s">
        <v>2230</v>
      </c>
      <c r="D429" s="1101">
        <v>44132</v>
      </c>
      <c r="E429" s="758" t="str">
        <f t="shared" si="20"/>
        <v>HK-3A</v>
      </c>
      <c r="F429" s="859">
        <f t="shared" si="21"/>
        <v>2018</v>
      </c>
    </row>
    <row r="430" spans="1:6" x14ac:dyDescent="0.25">
      <c r="A430" s="1093">
        <v>429</v>
      </c>
      <c r="B430" s="1094">
        <v>841918007</v>
      </c>
      <c r="C430" s="1088" t="s">
        <v>364</v>
      </c>
      <c r="D430" s="1101">
        <v>44110</v>
      </c>
      <c r="E430" s="758" t="str">
        <f t="shared" si="20"/>
        <v>MPI3-1</v>
      </c>
      <c r="F430" s="859">
        <f t="shared" si="21"/>
        <v>2018</v>
      </c>
    </row>
    <row r="431" spans="1:6" x14ac:dyDescent="0.25">
      <c r="A431" s="1093">
        <v>430</v>
      </c>
      <c r="B431" s="1094">
        <v>841917024</v>
      </c>
      <c r="C431" s="1088" t="s">
        <v>2008</v>
      </c>
      <c r="D431" s="1101">
        <v>44138</v>
      </c>
      <c r="E431" s="758" t="str">
        <f t="shared" si="20"/>
        <v>5000 Dok</v>
      </c>
      <c r="F431" s="859">
        <f t="shared" si="21"/>
        <v>2017</v>
      </c>
    </row>
    <row r="432" spans="1:6" x14ac:dyDescent="0.25">
      <c r="A432" s="1093">
        <v>431</v>
      </c>
      <c r="B432" s="1094">
        <v>841917016</v>
      </c>
      <c r="C432" s="1088" t="s">
        <v>3151</v>
      </c>
      <c r="D432" s="1101">
        <v>44112</v>
      </c>
      <c r="E432" s="758" t="str">
        <f t="shared" si="20"/>
        <v>5000 Dok</v>
      </c>
      <c r="F432" s="859">
        <f t="shared" si="21"/>
        <v>2017</v>
      </c>
    </row>
    <row r="433" spans="1:6" x14ac:dyDescent="0.25">
      <c r="A433" s="1093">
        <v>432</v>
      </c>
      <c r="B433" s="1094">
        <v>841917026</v>
      </c>
      <c r="C433" s="1088" t="s">
        <v>356</v>
      </c>
      <c r="D433" s="1101">
        <v>44124</v>
      </c>
      <c r="E433" s="758" t="str">
        <f t="shared" si="20"/>
        <v>5000 Dok</v>
      </c>
      <c r="F433" s="859">
        <f t="shared" si="21"/>
        <v>2017</v>
      </c>
    </row>
    <row r="434" spans="1:6" x14ac:dyDescent="0.25">
      <c r="A434" s="1093">
        <v>433</v>
      </c>
      <c r="B434" s="1094">
        <v>839118004</v>
      </c>
      <c r="C434" s="1088" t="s">
        <v>3152</v>
      </c>
      <c r="D434" s="1101">
        <v>44102</v>
      </c>
      <c r="E434" s="758" t="str">
        <f t="shared" si="20"/>
        <v>HK-3A</v>
      </c>
      <c r="F434" s="859">
        <f t="shared" si="21"/>
        <v>2018</v>
      </c>
    </row>
    <row r="435" spans="1:6" x14ac:dyDescent="0.25">
      <c r="A435" s="1093">
        <v>434</v>
      </c>
      <c r="B435" s="1094">
        <v>849318030</v>
      </c>
      <c r="C435" s="1088" t="s">
        <v>1090</v>
      </c>
      <c r="D435" s="1101">
        <v>44046</v>
      </c>
      <c r="E435" s="758" t="str">
        <f t="shared" si="20"/>
        <v>PAI-3C</v>
      </c>
      <c r="F435" s="859">
        <f t="shared" si="21"/>
        <v>2018</v>
      </c>
    </row>
    <row r="436" spans="1:6" x14ac:dyDescent="0.25">
      <c r="A436" s="1093">
        <v>435</v>
      </c>
      <c r="B436" s="1094">
        <v>839217037</v>
      </c>
      <c r="C436" s="1088" t="s">
        <v>3153</v>
      </c>
      <c r="D436" s="1101">
        <v>44029</v>
      </c>
      <c r="E436" s="758" t="str">
        <f t="shared" si="20"/>
        <v>ES</v>
      </c>
      <c r="F436" s="859">
        <f t="shared" si="21"/>
        <v>2017</v>
      </c>
    </row>
    <row r="437" spans="1:6" x14ac:dyDescent="0.25">
      <c r="A437" s="1093">
        <v>436</v>
      </c>
      <c r="B437" s="1094">
        <v>849417017</v>
      </c>
      <c r="C437" s="1088" t="s">
        <v>3154</v>
      </c>
      <c r="D437" s="1101">
        <v>44152</v>
      </c>
      <c r="E437" s="758" t="str">
        <f t="shared" si="20"/>
        <v>PGMI</v>
      </c>
      <c r="F437" s="859">
        <f t="shared" si="21"/>
        <v>2017</v>
      </c>
    </row>
    <row r="438" spans="1:6" s="1088" customFormat="1" x14ac:dyDescent="0.25">
      <c r="A438" s="1093">
        <v>437</v>
      </c>
      <c r="B438" s="1094">
        <v>849117032</v>
      </c>
      <c r="C438" s="1088" t="s">
        <v>3155</v>
      </c>
      <c r="D438" s="1101">
        <v>44152</v>
      </c>
      <c r="E438" s="758" t="str">
        <f t="shared" si="20"/>
        <v>MPI-S2</v>
      </c>
      <c r="F438" s="859">
        <f t="shared" si="21"/>
        <v>2017</v>
      </c>
    </row>
    <row r="439" spans="1:6" x14ac:dyDescent="0.25">
      <c r="A439" s="1093">
        <v>438</v>
      </c>
      <c r="B439" s="1094">
        <v>849118027</v>
      </c>
      <c r="C439" s="1088" t="s">
        <v>2050</v>
      </c>
      <c r="D439" s="1101">
        <v>44046</v>
      </c>
      <c r="E439" s="758" t="str">
        <f t="shared" si="20"/>
        <v>MPI-3C</v>
      </c>
      <c r="F439" s="859">
        <f t="shared" si="21"/>
        <v>2018</v>
      </c>
    </row>
    <row r="440" spans="1:6" s="1088" customFormat="1" x14ac:dyDescent="0.25">
      <c r="A440" s="1093">
        <v>439</v>
      </c>
      <c r="B440" s="1094">
        <v>849316018</v>
      </c>
      <c r="C440" s="1088" t="s">
        <v>3156</v>
      </c>
      <c r="D440" s="1101">
        <v>44057</v>
      </c>
      <c r="E440" s="758" t="str">
        <f t="shared" si="20"/>
        <v>PAI</v>
      </c>
      <c r="F440" s="859">
        <f t="shared" si="21"/>
        <v>2016</v>
      </c>
    </row>
    <row r="441" spans="1:6" x14ac:dyDescent="0.25">
      <c r="A441" s="1093">
        <v>440</v>
      </c>
      <c r="B441" s="1094">
        <v>849318059</v>
      </c>
      <c r="C441" s="1088" t="s">
        <v>2084</v>
      </c>
      <c r="D441" s="1101">
        <v>44077</v>
      </c>
      <c r="E441" s="758" t="str">
        <f t="shared" si="20"/>
        <v>PAI-3A</v>
      </c>
      <c r="F441" s="859">
        <f t="shared" si="21"/>
        <v>2018</v>
      </c>
    </row>
    <row r="442" spans="1:6" x14ac:dyDescent="0.25">
      <c r="B442" s="771">
        <v>841917028</v>
      </c>
      <c r="C442" s="758" t="s">
        <v>3157</v>
      </c>
      <c r="D442" s="1089">
        <v>44119</v>
      </c>
      <c r="E442" s="758" t="str">
        <f t="shared" si="20"/>
        <v>5000 Dok</v>
      </c>
      <c r="F442" s="859">
        <f t="shared" si="21"/>
        <v>2017</v>
      </c>
    </row>
    <row r="443" spans="1:6" x14ac:dyDescent="0.25">
      <c r="B443" s="771">
        <v>841917029</v>
      </c>
      <c r="C443" s="758" t="s">
        <v>3158</v>
      </c>
      <c r="D443" s="1111">
        <v>44140</v>
      </c>
      <c r="E443" s="758" t="str">
        <f t="shared" si="20"/>
        <v>5000 Dok</v>
      </c>
      <c r="F443" s="859">
        <f t="shared" si="21"/>
        <v>2017</v>
      </c>
    </row>
    <row r="444" spans="1:6" x14ac:dyDescent="0.25">
      <c r="B444" s="1112"/>
      <c r="C444" s="1113"/>
      <c r="D444" s="1110" t="s">
        <v>3159</v>
      </c>
      <c r="E444" s="758" t="e">
        <f t="shared" si="20"/>
        <v>#N/A</v>
      </c>
    </row>
    <row r="445" spans="1:6" x14ac:dyDescent="0.25">
      <c r="B445" s="1112">
        <v>849416014</v>
      </c>
      <c r="C445" s="1113" t="s">
        <v>3160</v>
      </c>
      <c r="D445" s="1110">
        <v>44020</v>
      </c>
      <c r="E445" s="758" t="str">
        <f t="shared" si="20"/>
        <v>PGMI</v>
      </c>
    </row>
    <row r="446" spans="1:6" x14ac:dyDescent="0.25">
      <c r="B446" s="1112">
        <v>839116013</v>
      </c>
      <c r="C446" s="1113" t="s">
        <v>935</v>
      </c>
      <c r="D446" s="1110">
        <v>44033</v>
      </c>
      <c r="E446" s="758" t="str">
        <f t="shared" si="20"/>
        <v>HK</v>
      </c>
    </row>
    <row r="447" spans="1:6" x14ac:dyDescent="0.25">
      <c r="B447" s="1112">
        <v>849316033</v>
      </c>
      <c r="C447" s="1113" t="s">
        <v>3161</v>
      </c>
      <c r="D447" s="1110">
        <v>44028</v>
      </c>
      <c r="E447" s="758" t="str">
        <f t="shared" si="20"/>
        <v>PAI</v>
      </c>
    </row>
    <row r="449" spans="1:11" x14ac:dyDescent="0.25">
      <c r="A449" s="1114"/>
      <c r="B449" s="1115"/>
      <c r="C449" s="1116"/>
      <c r="D449" s="1117"/>
      <c r="E449" s="1116"/>
      <c r="F449" s="1118"/>
      <c r="G449" s="1116"/>
      <c r="H449" s="1116"/>
      <c r="I449" s="1116"/>
      <c r="J449" s="1116"/>
      <c r="K449" s="1116"/>
    </row>
    <row r="450" spans="1:11" x14ac:dyDescent="0.25">
      <c r="B450" s="771">
        <v>839217033</v>
      </c>
      <c r="C450" s="758" t="s">
        <v>1895</v>
      </c>
      <c r="D450" s="1089">
        <v>43795</v>
      </c>
      <c r="E450" s="758" t="s">
        <v>1195</v>
      </c>
      <c r="F450" s="859">
        <f t="shared" ref="F450:F481" si="22">VLOOKUP(B450,DNIMP,4,FALSE)</f>
        <v>2017</v>
      </c>
    </row>
    <row r="451" spans="1:11" x14ac:dyDescent="0.25">
      <c r="B451" s="771">
        <v>849114010</v>
      </c>
      <c r="C451" s="758" t="s">
        <v>2835</v>
      </c>
      <c r="D451" s="1089">
        <v>42693</v>
      </c>
      <c r="E451" s="758" t="s">
        <v>32</v>
      </c>
      <c r="F451" s="859">
        <f t="shared" si="22"/>
        <v>2014</v>
      </c>
    </row>
    <row r="452" spans="1:11" x14ac:dyDescent="0.25">
      <c r="B452" s="771">
        <v>849113024</v>
      </c>
      <c r="C452" s="758" t="s">
        <v>2836</v>
      </c>
      <c r="D452" s="1089">
        <v>42693</v>
      </c>
      <c r="E452" s="758" t="s">
        <v>32</v>
      </c>
      <c r="F452" s="859">
        <f t="shared" si="22"/>
        <v>2013</v>
      </c>
    </row>
    <row r="453" spans="1:11" x14ac:dyDescent="0.25">
      <c r="B453" s="771">
        <v>849113055</v>
      </c>
      <c r="C453" s="758" t="s">
        <v>3162</v>
      </c>
      <c r="D453" s="1089">
        <v>42693</v>
      </c>
      <c r="E453" s="758" t="s">
        <v>32</v>
      </c>
      <c r="F453" s="859" t="str">
        <f t="shared" si="22"/>
        <v>2013-</v>
      </c>
    </row>
    <row r="454" spans="1:11" x14ac:dyDescent="0.25">
      <c r="B454" s="771">
        <v>849113056</v>
      </c>
      <c r="C454" s="758" t="s">
        <v>2840</v>
      </c>
      <c r="D454" s="1089">
        <v>42693</v>
      </c>
      <c r="E454" s="758" t="s">
        <v>32</v>
      </c>
      <c r="F454" s="859" t="str">
        <f t="shared" si="22"/>
        <v>2013-</v>
      </c>
    </row>
    <row r="455" spans="1:11" x14ac:dyDescent="0.25">
      <c r="B455" s="771">
        <v>849113083</v>
      </c>
      <c r="C455" s="758" t="s">
        <v>2841</v>
      </c>
      <c r="D455" s="1089">
        <v>42693</v>
      </c>
      <c r="E455" s="758" t="s">
        <v>32</v>
      </c>
      <c r="F455" s="859" t="str">
        <f t="shared" si="22"/>
        <v>2013-</v>
      </c>
    </row>
    <row r="456" spans="1:11" x14ac:dyDescent="0.25">
      <c r="B456" s="771">
        <v>849110250</v>
      </c>
      <c r="C456" s="758" t="s">
        <v>2842</v>
      </c>
      <c r="D456" s="1089">
        <v>42693</v>
      </c>
      <c r="E456" s="758" t="s">
        <v>32</v>
      </c>
      <c r="F456" s="859">
        <f t="shared" si="22"/>
        <v>2011</v>
      </c>
    </row>
    <row r="457" spans="1:11" x14ac:dyDescent="0.25">
      <c r="B457" s="771">
        <v>849113067</v>
      </c>
      <c r="C457" s="758" t="s">
        <v>2843</v>
      </c>
      <c r="D457" s="1089">
        <v>42693</v>
      </c>
      <c r="E457" s="758" t="s">
        <v>32</v>
      </c>
      <c r="F457" s="859" t="str">
        <f t="shared" si="22"/>
        <v>2013-</v>
      </c>
    </row>
    <row r="458" spans="1:11" x14ac:dyDescent="0.25">
      <c r="B458" s="771">
        <v>849114011</v>
      </c>
      <c r="C458" s="758" t="s">
        <v>2009</v>
      </c>
      <c r="D458" s="1089">
        <v>42693</v>
      </c>
      <c r="E458" s="758" t="s">
        <v>32</v>
      </c>
      <c r="F458" s="859">
        <f t="shared" si="22"/>
        <v>2014</v>
      </c>
    </row>
    <row r="459" spans="1:11" x14ac:dyDescent="0.25">
      <c r="B459" s="771">
        <v>849113082</v>
      </c>
      <c r="C459" s="758" t="s">
        <v>2846</v>
      </c>
      <c r="D459" s="1089">
        <v>42693</v>
      </c>
      <c r="E459" s="758" t="s">
        <v>32</v>
      </c>
      <c r="F459" s="859">
        <f t="shared" si="22"/>
        <v>2013</v>
      </c>
    </row>
    <row r="460" spans="1:11" x14ac:dyDescent="0.25">
      <c r="B460" s="771">
        <v>849114001</v>
      </c>
      <c r="C460" s="758" t="s">
        <v>1519</v>
      </c>
      <c r="D460" s="1089">
        <v>42693</v>
      </c>
      <c r="E460" s="758" t="s">
        <v>32</v>
      </c>
      <c r="F460" s="859">
        <f t="shared" si="22"/>
        <v>2014</v>
      </c>
    </row>
    <row r="461" spans="1:11" x14ac:dyDescent="0.25">
      <c r="B461" s="771">
        <v>849113085</v>
      </c>
      <c r="C461" s="758" t="s">
        <v>2847</v>
      </c>
      <c r="D461" s="1089">
        <v>42693</v>
      </c>
      <c r="E461" s="758" t="s">
        <v>32</v>
      </c>
      <c r="F461" s="859" t="str">
        <f t="shared" si="22"/>
        <v>2013-</v>
      </c>
    </row>
    <row r="462" spans="1:11" x14ac:dyDescent="0.25">
      <c r="B462" s="771">
        <v>849113053</v>
      </c>
      <c r="C462" s="758" t="s">
        <v>2850</v>
      </c>
      <c r="D462" s="1089">
        <v>42693</v>
      </c>
      <c r="E462" s="758" t="s">
        <v>32</v>
      </c>
      <c r="F462" s="859" t="str">
        <f t="shared" si="22"/>
        <v>2013-</v>
      </c>
    </row>
    <row r="463" spans="1:11" x14ac:dyDescent="0.25">
      <c r="B463" s="771">
        <v>849113046</v>
      </c>
      <c r="C463" s="758" t="s">
        <v>2851</v>
      </c>
      <c r="D463" s="1089">
        <v>42693</v>
      </c>
      <c r="E463" s="758" t="s">
        <v>32</v>
      </c>
      <c r="F463" s="859" t="str">
        <f t="shared" si="22"/>
        <v>2013-</v>
      </c>
    </row>
    <row r="464" spans="1:11" x14ac:dyDescent="0.25">
      <c r="B464" s="771">
        <v>849113057</v>
      </c>
      <c r="C464" s="758" t="s">
        <v>2852</v>
      </c>
      <c r="D464" s="1089">
        <v>42693</v>
      </c>
      <c r="E464" s="758" t="s">
        <v>32</v>
      </c>
      <c r="F464" s="859" t="str">
        <f t="shared" si="22"/>
        <v>2013-</v>
      </c>
    </row>
    <row r="465" spans="2:6" x14ac:dyDescent="0.25">
      <c r="B465" s="771">
        <v>849113059</v>
      </c>
      <c r="C465" s="758" t="s">
        <v>2853</v>
      </c>
      <c r="D465" s="1089">
        <v>42693</v>
      </c>
      <c r="E465" s="758" t="s">
        <v>32</v>
      </c>
      <c r="F465" s="859" t="str">
        <f t="shared" si="22"/>
        <v>2013-</v>
      </c>
    </row>
    <row r="466" spans="2:6" x14ac:dyDescent="0.25">
      <c r="B466" s="771">
        <v>849113081</v>
      </c>
      <c r="C466" s="758" t="s">
        <v>2859</v>
      </c>
      <c r="D466" s="1089">
        <v>42693</v>
      </c>
      <c r="E466" s="758" t="s">
        <v>32</v>
      </c>
      <c r="F466" s="859">
        <f t="shared" si="22"/>
        <v>2013</v>
      </c>
    </row>
    <row r="467" spans="2:6" x14ac:dyDescent="0.25">
      <c r="B467" s="771">
        <v>849113048</v>
      </c>
      <c r="C467" s="758" t="s">
        <v>1984</v>
      </c>
      <c r="D467" s="1089">
        <v>42693</v>
      </c>
      <c r="E467" s="758" t="s">
        <v>32</v>
      </c>
      <c r="F467" s="859" t="str">
        <f t="shared" si="22"/>
        <v>2013-</v>
      </c>
    </row>
    <row r="468" spans="2:6" x14ac:dyDescent="0.25">
      <c r="B468" s="771">
        <v>849114030</v>
      </c>
      <c r="C468" s="758" t="s">
        <v>2861</v>
      </c>
      <c r="D468" s="1089">
        <v>42693</v>
      </c>
      <c r="E468" s="758" t="s">
        <v>32</v>
      </c>
      <c r="F468" s="859">
        <f t="shared" si="22"/>
        <v>2014</v>
      </c>
    </row>
    <row r="469" spans="2:6" x14ac:dyDescent="0.25">
      <c r="B469" s="771">
        <v>849113066</v>
      </c>
      <c r="C469" s="758" t="s">
        <v>2862</v>
      </c>
      <c r="D469" s="1089">
        <v>42693</v>
      </c>
      <c r="E469" s="758" t="s">
        <v>32</v>
      </c>
      <c r="F469" s="859" t="str">
        <f t="shared" si="22"/>
        <v>2013-</v>
      </c>
    </row>
    <row r="470" spans="2:6" x14ac:dyDescent="0.25">
      <c r="B470" s="771">
        <v>849113090</v>
      </c>
      <c r="C470" s="758" t="s">
        <v>3163</v>
      </c>
      <c r="D470" s="1089">
        <v>42693</v>
      </c>
      <c r="E470" s="758" t="s">
        <v>32</v>
      </c>
      <c r="F470" s="859">
        <f t="shared" si="22"/>
        <v>2013</v>
      </c>
    </row>
    <row r="471" spans="2:6" x14ac:dyDescent="0.25">
      <c r="B471" s="771">
        <v>849113087</v>
      </c>
      <c r="C471" s="758" t="s">
        <v>2864</v>
      </c>
      <c r="D471" s="1089">
        <v>42693</v>
      </c>
      <c r="E471" s="758" t="s">
        <v>32</v>
      </c>
      <c r="F471" s="859">
        <f t="shared" si="22"/>
        <v>2013</v>
      </c>
    </row>
    <row r="472" spans="2:6" x14ac:dyDescent="0.25">
      <c r="B472" s="771">
        <v>849110299</v>
      </c>
      <c r="C472" s="758" t="s">
        <v>2865</v>
      </c>
      <c r="D472" s="1089">
        <v>42693</v>
      </c>
      <c r="E472" s="758" t="s">
        <v>32</v>
      </c>
      <c r="F472" s="859">
        <f t="shared" si="22"/>
        <v>2011</v>
      </c>
    </row>
    <row r="473" spans="2:6" x14ac:dyDescent="0.25">
      <c r="B473" s="771">
        <v>849113074</v>
      </c>
      <c r="C473" s="758" t="s">
        <v>2866</v>
      </c>
      <c r="D473" s="1089">
        <v>42693</v>
      </c>
      <c r="E473" s="758" t="s">
        <v>32</v>
      </c>
      <c r="F473" s="859">
        <f t="shared" si="22"/>
        <v>2013</v>
      </c>
    </row>
    <row r="474" spans="2:6" x14ac:dyDescent="0.25">
      <c r="B474" s="771">
        <v>83911022</v>
      </c>
      <c r="C474" s="758" t="s">
        <v>3164</v>
      </c>
      <c r="D474" s="1089">
        <v>42693</v>
      </c>
      <c r="E474" s="758" t="s">
        <v>848</v>
      </c>
      <c r="F474" s="859">
        <f t="shared" si="22"/>
        <v>2011</v>
      </c>
    </row>
    <row r="475" spans="2:6" x14ac:dyDescent="0.25">
      <c r="B475" s="771">
        <v>839131013</v>
      </c>
      <c r="C475" s="758" t="s">
        <v>2860</v>
      </c>
      <c r="D475" s="1089">
        <v>42693</v>
      </c>
      <c r="E475" s="758" t="s">
        <v>848</v>
      </c>
      <c r="F475" s="859" t="str">
        <f t="shared" si="22"/>
        <v>2013-</v>
      </c>
    </row>
    <row r="476" spans="2:6" x14ac:dyDescent="0.25">
      <c r="B476" s="771">
        <v>839134007</v>
      </c>
      <c r="C476" s="758" t="s">
        <v>2837</v>
      </c>
      <c r="D476" s="1089">
        <v>42693</v>
      </c>
      <c r="E476" s="760" t="s">
        <v>1195</v>
      </c>
      <c r="F476" s="859">
        <f t="shared" si="22"/>
        <v>2013</v>
      </c>
    </row>
    <row r="477" spans="2:6" x14ac:dyDescent="0.25">
      <c r="B477" s="771">
        <v>839214014</v>
      </c>
      <c r="C477" s="758" t="s">
        <v>2838</v>
      </c>
      <c r="D477" s="1089">
        <v>42693</v>
      </c>
      <c r="E477" s="760" t="s">
        <v>1195</v>
      </c>
      <c r="F477" s="859">
        <f t="shared" si="22"/>
        <v>2014</v>
      </c>
    </row>
    <row r="478" spans="2:6" x14ac:dyDescent="0.25">
      <c r="B478" s="771">
        <v>839134019</v>
      </c>
      <c r="C478" s="758" t="s">
        <v>3165</v>
      </c>
      <c r="D478" s="1089">
        <v>42693</v>
      </c>
      <c r="E478" s="760" t="s">
        <v>1195</v>
      </c>
      <c r="F478" s="859" t="str">
        <f t="shared" si="22"/>
        <v>2013-</v>
      </c>
    </row>
    <row r="479" spans="2:6" x14ac:dyDescent="0.25">
      <c r="B479" s="771">
        <v>839134014</v>
      </c>
      <c r="C479" s="758" t="s">
        <v>2854</v>
      </c>
      <c r="D479" s="1089">
        <v>42693</v>
      </c>
      <c r="E479" s="760" t="s">
        <v>1195</v>
      </c>
      <c r="F479" s="859" t="str">
        <f t="shared" si="22"/>
        <v>2013-</v>
      </c>
    </row>
    <row r="480" spans="2:6" x14ac:dyDescent="0.25">
      <c r="B480" s="771">
        <v>839214008</v>
      </c>
      <c r="C480" s="758" t="s">
        <v>3166</v>
      </c>
      <c r="D480" s="1089">
        <v>42693</v>
      </c>
      <c r="E480" s="760" t="s">
        <v>1195</v>
      </c>
      <c r="F480" s="859">
        <f t="shared" si="22"/>
        <v>2014</v>
      </c>
    </row>
    <row r="481" spans="2:6" x14ac:dyDescent="0.25">
      <c r="B481" s="771">
        <v>839214004</v>
      </c>
      <c r="C481" s="758" t="s">
        <v>2856</v>
      </c>
      <c r="D481" s="1089">
        <v>42693</v>
      </c>
      <c r="E481" s="760" t="s">
        <v>1195</v>
      </c>
      <c r="F481" s="859">
        <f t="shared" si="22"/>
        <v>2014</v>
      </c>
    </row>
    <row r="482" spans="2:6" x14ac:dyDescent="0.25">
      <c r="B482" s="771">
        <v>839214015</v>
      </c>
      <c r="C482" s="758" t="s">
        <v>2857</v>
      </c>
      <c r="D482" s="1089">
        <v>42693</v>
      </c>
      <c r="E482" s="760" t="s">
        <v>1195</v>
      </c>
      <c r="F482" s="859">
        <f t="shared" ref="F482:F499" si="23">VLOOKUP(B482,DNIMP,4,FALSE)</f>
        <v>2014</v>
      </c>
    </row>
    <row r="483" spans="2:6" x14ac:dyDescent="0.25">
      <c r="B483" s="771">
        <v>849214002</v>
      </c>
      <c r="C483" s="758" t="s">
        <v>2845</v>
      </c>
      <c r="D483" s="1089">
        <v>42693</v>
      </c>
      <c r="E483" s="758" t="s">
        <v>1110</v>
      </c>
      <c r="F483" s="859">
        <f t="shared" si="23"/>
        <v>2014</v>
      </c>
    </row>
    <row r="484" spans="2:6" x14ac:dyDescent="0.25">
      <c r="B484" s="771">
        <v>849214003</v>
      </c>
      <c r="C484" s="758" t="s">
        <v>2848</v>
      </c>
      <c r="D484" s="1089">
        <v>42693</v>
      </c>
      <c r="E484" s="758" t="s">
        <v>1110</v>
      </c>
      <c r="F484" s="859">
        <f t="shared" si="23"/>
        <v>2014</v>
      </c>
    </row>
    <row r="485" spans="2:6" x14ac:dyDescent="0.25">
      <c r="B485" s="771">
        <v>849214007</v>
      </c>
      <c r="C485" s="758" t="s">
        <v>2849</v>
      </c>
      <c r="D485" s="1089">
        <v>42693</v>
      </c>
      <c r="E485" s="758" t="s">
        <v>1110</v>
      </c>
      <c r="F485" s="859">
        <f t="shared" si="23"/>
        <v>2014</v>
      </c>
    </row>
    <row r="486" spans="2:6" x14ac:dyDescent="0.25">
      <c r="B486" s="771">
        <v>849114002</v>
      </c>
      <c r="C486" s="758" t="s">
        <v>2902</v>
      </c>
      <c r="D486" s="1089">
        <v>42864</v>
      </c>
      <c r="E486" s="758" t="s">
        <v>527</v>
      </c>
      <c r="F486" s="859">
        <f t="shared" si="23"/>
        <v>2014</v>
      </c>
    </row>
    <row r="487" spans="2:6" x14ac:dyDescent="0.25">
      <c r="B487" s="771">
        <v>849115006</v>
      </c>
      <c r="C487" s="758" t="s">
        <v>3167</v>
      </c>
      <c r="D487" s="1089">
        <v>43104</v>
      </c>
      <c r="E487" s="758" t="s">
        <v>527</v>
      </c>
      <c r="F487" s="859">
        <f t="shared" si="23"/>
        <v>2015</v>
      </c>
    </row>
    <row r="488" spans="2:6" x14ac:dyDescent="0.25">
      <c r="B488" s="771">
        <v>849315028</v>
      </c>
      <c r="C488" s="758" t="s">
        <v>3168</v>
      </c>
      <c r="D488" s="1089">
        <v>43034</v>
      </c>
      <c r="E488" s="758" t="s">
        <v>1328</v>
      </c>
      <c r="F488" s="859">
        <f t="shared" si="23"/>
        <v>2015</v>
      </c>
    </row>
    <row r="489" spans="2:6" x14ac:dyDescent="0.25">
      <c r="B489" s="771">
        <v>849315034</v>
      </c>
      <c r="C489" s="758" t="s">
        <v>3169</v>
      </c>
      <c r="D489" s="1089">
        <v>43110</v>
      </c>
      <c r="E489" s="758" t="s">
        <v>1328</v>
      </c>
      <c r="F489" s="859">
        <f t="shared" si="23"/>
        <v>2015</v>
      </c>
    </row>
    <row r="490" spans="2:6" x14ac:dyDescent="0.25">
      <c r="B490" s="771">
        <v>849315006</v>
      </c>
      <c r="C490" s="758" t="s">
        <v>3170</v>
      </c>
      <c r="D490" s="1089">
        <v>43117</v>
      </c>
      <c r="E490" s="758" t="s">
        <v>1328</v>
      </c>
      <c r="F490" s="859">
        <f t="shared" si="23"/>
        <v>2015</v>
      </c>
    </row>
    <row r="491" spans="2:6" x14ac:dyDescent="0.25">
      <c r="B491" s="771">
        <v>839216020</v>
      </c>
      <c r="C491" s="758" t="s">
        <v>1567</v>
      </c>
      <c r="D491" s="1089">
        <v>43175</v>
      </c>
      <c r="E491" s="758" t="s">
        <v>1195</v>
      </c>
      <c r="F491" s="859">
        <f t="shared" si="23"/>
        <v>2016</v>
      </c>
    </row>
    <row r="492" spans="2:6" x14ac:dyDescent="0.25">
      <c r="B492" s="771">
        <v>849114041</v>
      </c>
      <c r="C492" s="758" t="s">
        <v>3171</v>
      </c>
      <c r="D492" s="1089">
        <v>43222</v>
      </c>
      <c r="E492" s="758" t="s">
        <v>527</v>
      </c>
      <c r="F492" s="859">
        <f t="shared" si="23"/>
        <v>2014</v>
      </c>
    </row>
    <row r="493" spans="2:6" x14ac:dyDescent="0.25">
      <c r="B493" s="771">
        <v>849215003</v>
      </c>
      <c r="C493" s="758" t="s">
        <v>3172</v>
      </c>
      <c r="D493" s="1089">
        <v>43244</v>
      </c>
      <c r="E493" s="758" t="s">
        <v>1110</v>
      </c>
      <c r="F493" s="859">
        <f t="shared" si="23"/>
        <v>2015</v>
      </c>
    </row>
    <row r="494" spans="2:6" x14ac:dyDescent="0.25">
      <c r="B494" s="771">
        <v>849315011</v>
      </c>
      <c r="C494" s="758" t="s">
        <v>3173</v>
      </c>
      <c r="D494" s="1089">
        <v>43202</v>
      </c>
      <c r="E494" s="758" t="s">
        <v>1328</v>
      </c>
      <c r="F494" s="859">
        <f t="shared" si="23"/>
        <v>2015</v>
      </c>
    </row>
    <row r="495" spans="2:6" x14ac:dyDescent="0.25">
      <c r="B495" s="771">
        <v>849315029</v>
      </c>
      <c r="C495" s="758" t="s">
        <v>3174</v>
      </c>
      <c r="D495" s="1089">
        <v>43203</v>
      </c>
      <c r="E495" s="758" t="s">
        <v>1328</v>
      </c>
      <c r="F495" s="859">
        <f t="shared" si="23"/>
        <v>2015</v>
      </c>
    </row>
    <row r="496" spans="2:6" x14ac:dyDescent="0.25">
      <c r="B496" s="771">
        <v>849416006</v>
      </c>
      <c r="C496" s="758" t="s">
        <v>1670</v>
      </c>
      <c r="D496" s="1089">
        <v>43327</v>
      </c>
      <c r="E496" s="758" t="s">
        <v>1665</v>
      </c>
      <c r="F496" s="859">
        <f t="shared" si="23"/>
        <v>2016</v>
      </c>
    </row>
    <row r="497" spans="2:6" x14ac:dyDescent="0.25">
      <c r="B497" s="771">
        <v>849316014</v>
      </c>
      <c r="C497" s="758" t="s">
        <v>1624</v>
      </c>
      <c r="D497" s="1089">
        <v>43236</v>
      </c>
      <c r="E497" s="758" t="s">
        <v>1328</v>
      </c>
      <c r="F497" s="859">
        <f t="shared" si="23"/>
        <v>2016</v>
      </c>
    </row>
    <row r="498" spans="2:6" x14ac:dyDescent="0.25">
      <c r="B498" s="771">
        <v>839116002</v>
      </c>
      <c r="C498" s="758" t="s">
        <v>1577</v>
      </c>
      <c r="D498" s="1089">
        <v>43245</v>
      </c>
      <c r="E498" s="758" t="s">
        <v>848</v>
      </c>
      <c r="F498" s="859">
        <f t="shared" si="23"/>
        <v>2016</v>
      </c>
    </row>
    <row r="499" spans="2:6" x14ac:dyDescent="0.25">
      <c r="B499" s="771">
        <v>849316046</v>
      </c>
      <c r="C499" s="758" t="s">
        <v>1658</v>
      </c>
      <c r="D499" s="1089">
        <v>43244</v>
      </c>
      <c r="E499" s="758" t="s">
        <v>1328</v>
      </c>
      <c r="F499" s="859">
        <f t="shared" si="23"/>
        <v>2016</v>
      </c>
    </row>
  </sheetData>
  <autoFilter ref="A1:F447" xr:uid="{00000000-0009-0000-0000-000001000000}"/>
  <conditionalFormatting sqref="B1:B1048576">
    <cfRule type="duplicateValues" dxfId="37" priority="4"/>
    <cfRule type="duplicateValues" dxfId="36" priority="21"/>
  </conditionalFormatting>
  <conditionalFormatting sqref="B2:B306">
    <cfRule type="duplicateValues" dxfId="35" priority="171"/>
  </conditionalFormatting>
  <conditionalFormatting sqref="B2:B222">
    <cfRule type="duplicateValues" dxfId="34" priority="173"/>
  </conditionalFormatting>
  <conditionalFormatting sqref="B167:B178">
    <cfRule type="duplicateValues" dxfId="33" priority="48"/>
  </conditionalFormatting>
  <conditionalFormatting sqref="B207:B220">
    <cfRule type="duplicateValues" dxfId="32" priority="8"/>
    <cfRule type="duplicateValues" dxfId="31" priority="9"/>
    <cfRule type="duplicateValues" dxfId="30" priority="10"/>
  </conditionalFormatting>
  <conditionalFormatting sqref="B209:B220">
    <cfRule type="duplicateValues" dxfId="29" priority="7"/>
  </conditionalFormatting>
  <conditionalFormatting sqref="B284:B301">
    <cfRule type="duplicateValues" dxfId="28" priority="24"/>
    <cfRule type="duplicateValues" dxfId="27" priority="25"/>
    <cfRule type="duplicateValues" dxfId="26" priority="26"/>
  </conditionalFormatting>
  <conditionalFormatting sqref="B286:B301">
    <cfRule type="duplicateValues" dxfId="25" priority="23"/>
  </conditionalFormatting>
  <conditionalFormatting sqref="C2:C306">
    <cfRule type="duplicateValues" dxfId="24" priority="175"/>
  </conditionalFormatting>
  <conditionalFormatting sqref="C207:C220">
    <cfRule type="duplicateValues" dxfId="23" priority="6"/>
  </conditionalFormatting>
  <conditionalFormatting sqref="C284:C301">
    <cfRule type="duplicateValues" dxfId="22" priority="22"/>
  </conditionalFormatting>
  <pageMargins left="0.7" right="0.7" top="0.75" bottom="0.75" header="0.3" footer="0.3"/>
  <pageSetup orientation="portrait" horizontalDpi="360" verticalDpi="36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53"/>
  <sheetViews>
    <sheetView topLeftCell="A10" workbookViewId="0">
      <selection activeCell="E33" sqref="E33"/>
    </sheetView>
  </sheetViews>
  <sheetFormatPr defaultColWidth="9.140625" defaultRowHeight="15" x14ac:dyDescent="0.25"/>
  <cols>
    <col min="1" max="1" width="9.85546875" style="764" customWidth="1"/>
    <col min="2" max="2" width="1.7109375" style="764" customWidth="1"/>
    <col min="3" max="3" width="2.140625" style="764" customWidth="1"/>
    <col min="4" max="4" width="24.140625" style="764" customWidth="1"/>
    <col min="5" max="5" width="12.7109375" style="764" customWidth="1"/>
    <col min="6" max="6" width="12.5703125" style="764" customWidth="1"/>
    <col min="7" max="7" width="16.5703125" style="764" customWidth="1"/>
    <col min="8" max="8" width="12.85546875" style="764" customWidth="1"/>
    <col min="9" max="16384" width="9.140625" style="764"/>
  </cols>
  <sheetData>
    <row r="1" spans="1:9" ht="18.75" x14ac:dyDescent="0.3">
      <c r="C1" s="2354" t="s">
        <v>3175</v>
      </c>
      <c r="D1" s="2354"/>
      <c r="E1" s="2354"/>
      <c r="F1" s="2354"/>
      <c r="G1" s="2354"/>
      <c r="H1" s="2354"/>
      <c r="I1" s="798">
        <v>1223</v>
      </c>
    </row>
    <row r="2" spans="1:9" ht="15.75" x14ac:dyDescent="0.25">
      <c r="C2" s="2355" t="s">
        <v>3176</v>
      </c>
      <c r="D2" s="2355"/>
      <c r="E2" s="2355"/>
      <c r="F2" s="2355"/>
      <c r="G2" s="2355"/>
      <c r="H2" s="2355"/>
    </row>
    <row r="3" spans="1:9" ht="15.75" x14ac:dyDescent="0.25">
      <c r="C3" s="2355" t="s">
        <v>3177</v>
      </c>
      <c r="D3" s="2355"/>
      <c r="E3" s="2355"/>
      <c r="F3" s="2355"/>
      <c r="G3" s="2355"/>
      <c r="H3" s="2355"/>
    </row>
    <row r="4" spans="1:9" x14ac:dyDescent="0.25">
      <c r="C4" s="2356" t="s">
        <v>3178</v>
      </c>
      <c r="D4" s="2356"/>
      <c r="E4" s="2356"/>
      <c r="F4" s="2356"/>
      <c r="G4" s="2356"/>
      <c r="H4" s="2356"/>
    </row>
    <row r="5" spans="1:9" x14ac:dyDescent="0.25">
      <c r="A5" s="765"/>
      <c r="B5" s="765"/>
      <c r="C5" s="2357" t="s">
        <v>3179</v>
      </c>
      <c r="D5" s="2357"/>
      <c r="E5" s="2357"/>
      <c r="F5" s="2357"/>
      <c r="G5" s="2357"/>
      <c r="H5" s="2357"/>
    </row>
    <row r="6" spans="1:9" ht="8.25" customHeight="1" x14ac:dyDescent="0.25">
      <c r="A6" s="767"/>
      <c r="B6" s="767"/>
      <c r="C6" s="767"/>
      <c r="D6" s="767"/>
      <c r="E6" s="767"/>
      <c r="F6" s="767"/>
      <c r="G6" s="767"/>
      <c r="H6" s="767"/>
    </row>
    <row r="7" spans="1:9" ht="14.1" customHeight="1" x14ac:dyDescent="0.25">
      <c r="A7" s="764" t="s">
        <v>3180</v>
      </c>
      <c r="B7" s="764" t="s">
        <v>3181</v>
      </c>
      <c r="C7" s="764" t="s">
        <v>3182</v>
      </c>
      <c r="G7" s="2351">
        <v>44076</v>
      </c>
      <c r="H7" s="2351"/>
    </row>
    <row r="8" spans="1:9" ht="14.1" customHeight="1" x14ac:dyDescent="0.25">
      <c r="A8" s="764" t="s">
        <v>3183</v>
      </c>
      <c r="B8" s="764" t="s">
        <v>3181</v>
      </c>
      <c r="C8" s="2310" t="s">
        <v>3184</v>
      </c>
    </row>
    <row r="9" spans="1:9" ht="14.1" customHeight="1" x14ac:dyDescent="0.25">
      <c r="A9" s="764" t="s">
        <v>3185</v>
      </c>
      <c r="B9" s="764" t="s">
        <v>3181</v>
      </c>
      <c r="C9" s="760" t="s">
        <v>3186</v>
      </c>
    </row>
    <row r="10" spans="1:9" ht="14.1" customHeight="1" x14ac:dyDescent="0.25"/>
    <row r="11" spans="1:9" ht="14.1" customHeight="1" x14ac:dyDescent="0.25">
      <c r="A11" s="760" t="s">
        <v>3187</v>
      </c>
    </row>
    <row r="12" spans="1:9" ht="14.1" customHeight="1" x14ac:dyDescent="0.25">
      <c r="A12" s="768">
        <f>VLOOKUP(I1,DB,3,FALSE)</f>
        <v>849117012</v>
      </c>
    </row>
    <row r="13" spans="1:9" ht="14.1" customHeight="1" x14ac:dyDescent="0.25">
      <c r="A13" s="764" t="s">
        <v>783</v>
      </c>
    </row>
    <row r="14" spans="1:9" ht="14.1" customHeight="1" x14ac:dyDescent="0.25">
      <c r="A14" s="760" t="s">
        <v>3188</v>
      </c>
    </row>
    <row r="15" spans="1:9" ht="14.1" customHeight="1" x14ac:dyDescent="0.25"/>
    <row r="16" spans="1:9" ht="14.1" customHeight="1" x14ac:dyDescent="0.25">
      <c r="A16" s="2352" t="s">
        <v>3189</v>
      </c>
      <c r="B16" s="2352"/>
      <c r="C16" s="2352"/>
      <c r="D16" s="2352"/>
      <c r="E16" s="2352"/>
      <c r="F16" s="2352"/>
      <c r="G16" s="2352"/>
      <c r="H16" s="2352"/>
    </row>
    <row r="17" spans="1:8" ht="14.1" customHeight="1" x14ac:dyDescent="0.25">
      <c r="A17" s="770" t="s">
        <v>3190</v>
      </c>
      <c r="B17" s="769"/>
      <c r="C17" s="769"/>
      <c r="D17" s="769"/>
      <c r="E17" s="769"/>
      <c r="F17" s="769"/>
      <c r="G17" s="769"/>
      <c r="H17" s="769"/>
    </row>
    <row r="18" spans="1:8" ht="14.1" customHeight="1" x14ac:dyDescent="0.25">
      <c r="A18" s="770" t="s">
        <v>3191</v>
      </c>
      <c r="B18" s="771"/>
      <c r="C18" s="771"/>
      <c r="D18" s="771"/>
      <c r="E18" s="771"/>
      <c r="F18" s="769"/>
      <c r="G18" s="769"/>
      <c r="H18" s="769"/>
    </row>
    <row r="19" spans="1:8" ht="14.1" customHeight="1" x14ac:dyDescent="0.25">
      <c r="A19" s="2353" t="s">
        <v>3192</v>
      </c>
      <c r="B19" s="2353"/>
      <c r="C19" s="2353"/>
      <c r="D19" s="2353"/>
      <c r="E19" s="2353"/>
      <c r="F19" s="769"/>
      <c r="G19" s="769"/>
      <c r="H19" s="769"/>
    </row>
    <row r="20" spans="1:8" ht="14.1" customHeight="1" x14ac:dyDescent="0.25">
      <c r="A20" s="772" t="s">
        <v>3193</v>
      </c>
      <c r="B20" s="773" t="s">
        <v>3181</v>
      </c>
      <c r="C20" s="2344" t="str">
        <f>VLOOKUP(I1,DB,4,FALSE)</f>
        <v>FARID ROSYIDI</v>
      </c>
      <c r="D20" s="2345"/>
      <c r="E20" s="2345"/>
    </row>
    <row r="21" spans="1:8" ht="14.1" customHeight="1" x14ac:dyDescent="0.25">
      <c r="A21" s="772" t="s">
        <v>3194</v>
      </c>
      <c r="B21" s="773" t="s">
        <v>3181</v>
      </c>
      <c r="C21" s="2344" t="str">
        <f>VLOOKUP(I1,DB,5,FALSE)</f>
        <v>MPI-S2</v>
      </c>
      <c r="D21" s="2345"/>
      <c r="E21" s="2345"/>
    </row>
    <row r="22" spans="1:8" ht="14.1" customHeight="1" x14ac:dyDescent="0.25">
      <c r="A22" s="772" t="s">
        <v>1</v>
      </c>
      <c r="B22" s="773" t="s">
        <v>3181</v>
      </c>
      <c r="C22" s="2343">
        <f>VLOOKUP(I1,DB,3,FALSE)</f>
        <v>849117012</v>
      </c>
      <c r="D22" s="2343"/>
      <c r="E22" s="2343"/>
    </row>
    <row r="23" spans="1:8" ht="14.1" customHeight="1" x14ac:dyDescent="0.25">
      <c r="A23" s="772" t="s">
        <v>3195</v>
      </c>
      <c r="B23" s="773" t="s">
        <v>3181</v>
      </c>
      <c r="C23" s="2344" t="str">
        <f>VLOOKUP($I$1,DB,7,FALSE)</f>
        <v>AKTIF</v>
      </c>
      <c r="D23" s="2345"/>
      <c r="E23" s="2345"/>
    </row>
    <row r="24" spans="1:8" ht="14.1" customHeight="1" x14ac:dyDescent="0.25">
      <c r="A24" s="768"/>
      <c r="B24" s="768"/>
      <c r="C24" s="768"/>
      <c r="D24" s="768"/>
      <c r="E24" s="768"/>
    </row>
    <row r="25" spans="1:8" ht="14.1" customHeight="1" x14ac:dyDescent="0.25">
      <c r="A25" s="768"/>
      <c r="B25" s="768"/>
      <c r="C25" s="768"/>
      <c r="D25" s="774" t="s">
        <v>3196</v>
      </c>
      <c r="E25" s="774" t="s">
        <v>29</v>
      </c>
      <c r="F25" s="774" t="s">
        <v>30</v>
      </c>
      <c r="G25" s="774" t="s">
        <v>3197</v>
      </c>
    </row>
    <row r="26" spans="1:8" ht="14.1" customHeight="1" x14ac:dyDescent="0.25">
      <c r="A26" s="768"/>
      <c r="B26" s="768"/>
      <c r="C26" s="768"/>
      <c r="D26" s="775" t="s">
        <v>6</v>
      </c>
      <c r="E26" s="776">
        <f>VLOOKUP(I1,DB,10)</f>
        <v>600000</v>
      </c>
      <c r="F26" s="777">
        <f>IF(LEN(VLOOKUP(I1,DB,11,FALSE))=0,"-",(VLOOKUP(I1,DB,11,FALSE)))</f>
        <v>42941</v>
      </c>
      <c r="G26" s="778" t="s">
        <v>3198</v>
      </c>
    </row>
    <row r="27" spans="1:8" ht="14.1" customHeight="1" x14ac:dyDescent="0.25">
      <c r="A27" s="768"/>
      <c r="B27" s="768"/>
      <c r="C27" s="768"/>
      <c r="D27" s="775" t="s">
        <v>3199</v>
      </c>
      <c r="E27" s="776">
        <f>VLOOKUP(I1,DB,12,FALSE)</f>
        <v>3000000</v>
      </c>
      <c r="F27" s="777">
        <f>IF(LEN(VLOOKUP(I1,DB,13,FALSE))=0," ",(VLOOKUP(I1,DB,13,FALSE)))</f>
        <v>42941</v>
      </c>
      <c r="G27" s="778" t="s">
        <v>3198</v>
      </c>
    </row>
    <row r="28" spans="1:8" ht="14.1" customHeight="1" x14ac:dyDescent="0.25">
      <c r="A28" s="768"/>
      <c r="B28" s="768"/>
      <c r="C28" s="768"/>
      <c r="D28" s="775" t="s">
        <v>3200</v>
      </c>
      <c r="E28" s="776">
        <f>VLOOKUP(I1,DB,14)</f>
        <v>3000000</v>
      </c>
      <c r="F28" s="777">
        <f>IF(LEN(VLOOKUP(I1,DB,15,FALSE))=0," ",(VLOOKUP(I1,DB,15,FALSE)))</f>
        <v>43116</v>
      </c>
      <c r="G28" s="778" t="s">
        <v>3198</v>
      </c>
    </row>
    <row r="29" spans="1:8" ht="14.1" customHeight="1" x14ac:dyDescent="0.25">
      <c r="A29" s="768"/>
      <c r="B29" s="768"/>
      <c r="C29" s="768"/>
      <c r="D29" s="775" t="s">
        <v>3201</v>
      </c>
      <c r="E29" s="776">
        <f>VLOOKUP(I1,DB,16)</f>
        <v>3000000</v>
      </c>
      <c r="F29" s="777">
        <f>IF(LEN(VLOOKUP(I1,DB,17,FALSE))=0," ",(VLOOKUP(I1,DB,17,FALSE)))</f>
        <v>43293</v>
      </c>
      <c r="G29" s="778" t="s">
        <v>3198</v>
      </c>
    </row>
    <row r="30" spans="1:8" ht="14.1" customHeight="1" x14ac:dyDescent="0.25">
      <c r="A30" s="768"/>
      <c r="B30" s="768"/>
      <c r="C30" s="768"/>
      <c r="D30" s="779" t="s">
        <v>3202</v>
      </c>
      <c r="E30" s="776">
        <f>VLOOKUP(I1,DB,18)</f>
        <v>3000000</v>
      </c>
      <c r="F30" s="777">
        <f>IF(LEN(VLOOKUP(I1,DB,19,FALSE))=0," ",(VLOOKUP(I1,DB,19,FALSE)))</f>
        <v>43483</v>
      </c>
      <c r="G30" s="778" t="s">
        <v>3198</v>
      </c>
    </row>
    <row r="31" spans="1:8" ht="14.1" customHeight="1" x14ac:dyDescent="0.25">
      <c r="A31" s="768"/>
      <c r="B31" s="768"/>
      <c r="C31" s="768"/>
      <c r="D31" s="779" t="s">
        <v>3203</v>
      </c>
      <c r="E31" s="776">
        <f>VLOOKUP(I1,DB,20)</f>
        <v>3000000</v>
      </c>
      <c r="F31" s="777">
        <f>IF(LEN(VLOOKUP(I1,DB,21,FALSE))=0," ",(VLOOKUP(I1,DB,21,FALSE)))</f>
        <v>43643</v>
      </c>
      <c r="G31" s="778" t="s">
        <v>3204</v>
      </c>
    </row>
    <row r="32" spans="1:8" ht="14.1" customHeight="1" x14ac:dyDescent="0.25">
      <c r="A32" s="768"/>
      <c r="B32" s="768"/>
      <c r="C32" s="768"/>
      <c r="D32" s="779" t="s">
        <v>3205</v>
      </c>
      <c r="E32" s="776">
        <f>VLOOKUP(I1,DB,22)</f>
        <v>3000000</v>
      </c>
      <c r="F32" s="777">
        <f>IF(LEN(VLOOKUP(I1,DB,23,FALSE))=0," ",(VLOOKUP(I1,DB,23,FALSE)))</f>
        <v>44118</v>
      </c>
      <c r="G32" s="778" t="s">
        <v>3206</v>
      </c>
    </row>
    <row r="33" spans="1:8" ht="14.1" customHeight="1" x14ac:dyDescent="0.25">
      <c r="A33" s="768"/>
      <c r="B33" s="768"/>
      <c r="C33" s="768"/>
      <c r="D33" s="779" t="s">
        <v>3207</v>
      </c>
      <c r="E33" s="776">
        <f>VLOOKUP(I1,DB,24)</f>
        <v>3000000</v>
      </c>
      <c r="F33" s="777">
        <f>IF(LEN(VLOOKUP(I1,DB,25,FALSE))=0," ",(VLOOKUP(I1,DB,25,FALSE)))</f>
        <v>44118</v>
      </c>
      <c r="G33" s="778" t="s">
        <v>3208</v>
      </c>
    </row>
    <row r="34" spans="1:8" ht="14.1" customHeight="1" x14ac:dyDescent="0.25">
      <c r="A34" s="768"/>
      <c r="B34" s="768"/>
      <c r="C34" s="768"/>
      <c r="D34" s="779" t="s">
        <v>3209</v>
      </c>
      <c r="E34" s="776" t="str">
        <f>VLOOKUP(I1,DB,26)</f>
        <v xml:space="preserve">  </v>
      </c>
      <c r="F34" s="777" t="str">
        <f>IF(LEN(VLOOKUP(I1,DB,27,FALSE))=0," ",(VLOOKUP(I1,DB,27,FALSE)))</f>
        <v xml:space="preserve">  </v>
      </c>
      <c r="G34" s="778"/>
    </row>
    <row r="35" spans="1:8" ht="14.1" customHeight="1" x14ac:dyDescent="0.25">
      <c r="A35" s="768"/>
      <c r="B35" s="768"/>
      <c r="C35" s="768"/>
      <c r="D35" s="1084" t="s">
        <v>3210</v>
      </c>
      <c r="E35" s="1085"/>
      <c r="F35" s="777"/>
      <c r="G35" s="778"/>
    </row>
    <row r="36" spans="1:8" ht="14.1" customHeight="1" x14ac:dyDescent="0.25">
      <c r="C36" s="787"/>
      <c r="D36" s="1086" t="s">
        <v>3211</v>
      </c>
      <c r="E36" s="1085">
        <f>VLOOKUP(I1,DB,28)</f>
        <v>1000000</v>
      </c>
      <c r="F36" s="777">
        <f>IF(LEN(VLOOKUP(I1,DB,29,FALSE))=0," ",(VLOOKUP(I1,DB,29,FALSE)))</f>
        <v>43826</v>
      </c>
      <c r="G36" s="778"/>
    </row>
    <row r="37" spans="1:8" ht="14.1" customHeight="1" x14ac:dyDescent="0.25">
      <c r="C37" s="787"/>
      <c r="D37" s="1086" t="s">
        <v>22</v>
      </c>
      <c r="E37" s="1085" t="str">
        <f>IFERROR(VLOOKUP(A19,DB,30,FALSE),"  ")</f>
        <v xml:space="preserve">  </v>
      </c>
      <c r="F37" s="777" t="str">
        <f>IF(LEN(VLOOKUP(I1,DB,31,FALSE))=0," ",(VLOOKUP(I1,DB,31,FALSE)))</f>
        <v xml:space="preserve"> </v>
      </c>
      <c r="G37" s="791" t="str">
        <f>IF(LEN(VLOOKUP(I1,DB,8,FALSE))=0,"-",(VLOOKUP(I1,DB,8,FALSE)))</f>
        <v xml:space="preserve">   </v>
      </c>
    </row>
    <row r="38" spans="1:8" ht="14.1" customHeight="1" x14ac:dyDescent="0.25">
      <c r="C38" s="787"/>
      <c r="D38" s="775" t="s">
        <v>3212</v>
      </c>
      <c r="E38" s="792">
        <f>VLOOKUP(I1,DB,35)</f>
        <v>23350000</v>
      </c>
      <c r="F38" s="2347"/>
      <c r="G38" s="2348"/>
    </row>
    <row r="39" spans="1:8" ht="14.1" customHeight="1" x14ac:dyDescent="0.25">
      <c r="C39" s="787"/>
      <c r="D39" s="775" t="s">
        <v>25</v>
      </c>
      <c r="E39" s="793" t="e">
        <f>VLOOKUP(I1,DB,36)</f>
        <v>#VALUE!</v>
      </c>
      <c r="F39" s="2347"/>
      <c r="G39" s="2348"/>
    </row>
    <row r="40" spans="1:8" ht="14.1" customHeight="1" x14ac:dyDescent="0.25">
      <c r="C40" s="794"/>
      <c r="D40" s="795" t="s">
        <v>3213</v>
      </c>
      <c r="E40" s="796" t="e">
        <f>VLOOKUP(I1,DB,37)</f>
        <v>#VALUE!</v>
      </c>
      <c r="F40" s="2349"/>
      <c r="G40" s="2350"/>
    </row>
    <row r="41" spans="1:8" ht="14.1" customHeight="1" x14ac:dyDescent="0.25"/>
    <row r="42" spans="1:8" ht="14.1" customHeight="1" x14ac:dyDescent="0.25">
      <c r="A42" s="2346" t="s">
        <v>3214</v>
      </c>
      <c r="B42" s="2346"/>
      <c r="C42" s="2346"/>
      <c r="D42" s="2346"/>
      <c r="E42" s="2346"/>
      <c r="F42" s="2346"/>
      <c r="G42" s="2346"/>
      <c r="H42" s="2346"/>
    </row>
    <row r="43" spans="1:8" ht="14.1" customHeight="1" x14ac:dyDescent="0.25"/>
    <row r="44" spans="1:8" ht="14.1" customHeight="1" x14ac:dyDescent="0.25">
      <c r="A44" s="760" t="s">
        <v>3215</v>
      </c>
    </row>
    <row r="45" spans="1:8" ht="14.1" customHeight="1" x14ac:dyDescent="0.25">
      <c r="A45" s="760" t="s">
        <v>3216</v>
      </c>
    </row>
    <row r="46" spans="1:8" ht="14.1" customHeight="1" x14ac:dyDescent="0.25"/>
    <row r="47" spans="1:8" ht="14.1" customHeight="1" x14ac:dyDescent="0.25">
      <c r="A47" s="760" t="s">
        <v>3217</v>
      </c>
    </row>
    <row r="50" spans="4:7" x14ac:dyDescent="0.25">
      <c r="D50" s="797"/>
      <c r="G50" s="758" t="s">
        <v>3218</v>
      </c>
    </row>
    <row r="51" spans="4:7" x14ac:dyDescent="0.25">
      <c r="G51" s="758"/>
    </row>
    <row r="52" spans="4:7" ht="27" customHeight="1" x14ac:dyDescent="0.25"/>
    <row r="53" spans="4:7" x14ac:dyDescent="0.25">
      <c r="G53" s="760" t="s">
        <v>3219</v>
      </c>
    </row>
  </sheetData>
  <mergeCells count="14">
    <mergeCell ref="C1:H1"/>
    <mergeCell ref="C2:H2"/>
    <mergeCell ref="C3:H3"/>
    <mergeCell ref="C4:H4"/>
    <mergeCell ref="C5:H5"/>
    <mergeCell ref="C22:E22"/>
    <mergeCell ref="C23:E23"/>
    <mergeCell ref="A42:H42"/>
    <mergeCell ref="F38:G40"/>
    <mergeCell ref="G7:H7"/>
    <mergeCell ref="A16:H16"/>
    <mergeCell ref="A19:E19"/>
    <mergeCell ref="C20:E20"/>
    <mergeCell ref="C21:E21"/>
  </mergeCells>
  <pageMargins left="0.511811023622047" right="0.511811023622047" top="0.35433070866141703" bottom="0.35433070866141703" header="0.31496062992126" footer="0.31496062992126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H2476"/>
  <sheetViews>
    <sheetView workbookViewId="0"/>
  </sheetViews>
  <sheetFormatPr defaultColWidth="9" defaultRowHeight="15" x14ac:dyDescent="0.25"/>
  <sheetData>
    <row r="1" spans="1:34" ht="15.75" x14ac:dyDescent="0.25">
      <c r="A1" s="865" t="s">
        <v>3220</v>
      </c>
      <c r="B1" s="865"/>
      <c r="C1" s="865"/>
      <c r="D1" s="865"/>
      <c r="E1" s="866" t="s">
        <v>3221</v>
      </c>
      <c r="F1" s="867" t="s">
        <v>1483</v>
      </c>
      <c r="G1" s="868" t="s">
        <v>33</v>
      </c>
      <c r="H1" s="869" t="s">
        <v>1833</v>
      </c>
      <c r="I1" s="933" t="s">
        <v>1077</v>
      </c>
      <c r="J1" s="933" t="s">
        <v>28</v>
      </c>
      <c r="L1" s="934" t="s">
        <v>3222</v>
      </c>
      <c r="M1" s="934" t="s">
        <v>3223</v>
      </c>
      <c r="N1" s="934" t="s">
        <v>3223</v>
      </c>
      <c r="O1" s="934"/>
      <c r="R1" s="951" t="s">
        <v>3224</v>
      </c>
      <c r="S1" s="952"/>
      <c r="T1" s="952"/>
      <c r="U1" s="952"/>
      <c r="V1" s="952"/>
      <c r="Y1" s="972" t="s">
        <v>3225</v>
      </c>
      <c r="Z1" s="972"/>
      <c r="AA1" s="972"/>
      <c r="AB1" s="972"/>
      <c r="AC1" s="972"/>
      <c r="AD1" s="972"/>
      <c r="AE1" s="972"/>
      <c r="AF1" s="972"/>
      <c r="AG1" s="972"/>
      <c r="AH1" s="972"/>
    </row>
    <row r="2" spans="1:34" ht="15.75" x14ac:dyDescent="0.25">
      <c r="A2" s="870" t="s">
        <v>3226</v>
      </c>
      <c r="B2" s="870"/>
      <c r="C2" s="870"/>
      <c r="D2" s="870"/>
      <c r="E2" s="871">
        <f>E15+E26+E36+E47+E55+E63+E71+E89+E90+E95</f>
        <v>1509</v>
      </c>
      <c r="F2" s="872">
        <f>F15+F26+F36+F47+F55+F63+F71+F89+F95</f>
        <v>634</v>
      </c>
      <c r="G2" s="873">
        <f>G15+G26+G36+G47+G55+G63+G71+G89+G95</f>
        <v>542</v>
      </c>
      <c r="H2" s="874">
        <f>H15+H26+H36+H47+H55+H63+H71+H89+H95</f>
        <v>46</v>
      </c>
      <c r="I2" s="935">
        <f>I15+I26+I36+I47+I55+I63+I71+I89+I95</f>
        <v>120</v>
      </c>
      <c r="J2" s="935">
        <f>J15+J26+J36+J47+J55+J63+J71+J89+J95</f>
        <v>168</v>
      </c>
      <c r="L2" s="934" t="s">
        <v>3227</v>
      </c>
      <c r="M2" s="934" t="s">
        <v>3228</v>
      </c>
      <c r="N2" s="934" t="s">
        <v>20</v>
      </c>
      <c r="O2" s="934"/>
      <c r="R2" s="951" t="s">
        <v>3229</v>
      </c>
      <c r="S2" s="952"/>
      <c r="T2" s="952"/>
      <c r="U2" s="952"/>
      <c r="V2" s="952"/>
      <c r="Y2" s="972" t="s">
        <v>3230</v>
      </c>
      <c r="Z2" s="972"/>
      <c r="AA2" s="972"/>
      <c r="AB2" s="972"/>
      <c r="AC2" s="972"/>
      <c r="AD2" s="972"/>
      <c r="AE2" s="972"/>
      <c r="AF2" s="972"/>
      <c r="AG2" s="972"/>
      <c r="AH2" s="972"/>
    </row>
    <row r="3" spans="1:34" ht="15.75" x14ac:dyDescent="0.25">
      <c r="A3" s="875" t="s">
        <v>3231</v>
      </c>
      <c r="B3" s="876">
        <v>1</v>
      </c>
      <c r="C3" s="877" t="str">
        <f>A102</f>
        <v>S2-MPI 2013/2014</v>
      </c>
      <c r="D3" s="878"/>
      <c r="E3" s="879">
        <f t="shared" ref="E3:E14" si="0">SUM(F3,G3,H3,I3,J3)</f>
        <v>22</v>
      </c>
      <c r="F3" s="880">
        <f>L102</f>
        <v>0</v>
      </c>
      <c r="G3" s="881">
        <f>M102</f>
        <v>19</v>
      </c>
      <c r="H3" s="882">
        <f>N102</f>
        <v>0</v>
      </c>
      <c r="I3" s="882">
        <f>O102</f>
        <v>3</v>
      </c>
      <c r="J3" s="936">
        <f>P102</f>
        <v>0</v>
      </c>
      <c r="L3" s="937"/>
      <c r="M3" s="937"/>
      <c r="N3" s="937"/>
      <c r="O3" s="937"/>
      <c r="P3" s="938"/>
      <c r="Q3" s="938"/>
      <c r="R3" s="951" t="s">
        <v>3232</v>
      </c>
      <c r="S3" s="952"/>
      <c r="T3" s="952"/>
      <c r="U3" s="952"/>
      <c r="V3" s="952"/>
      <c r="Y3" s="972" t="s">
        <v>3233</v>
      </c>
      <c r="Z3" s="972"/>
      <c r="AA3" s="972"/>
      <c r="AB3" s="972"/>
      <c r="AC3" s="972"/>
      <c r="AD3" s="972"/>
      <c r="AE3" s="972"/>
      <c r="AF3" s="972"/>
      <c r="AG3" s="972"/>
      <c r="AH3" s="972"/>
    </row>
    <row r="4" spans="1:34" ht="15.75" x14ac:dyDescent="0.25">
      <c r="A4" s="883"/>
      <c r="B4" s="884">
        <v>2</v>
      </c>
      <c r="C4" s="885" t="str">
        <f>A150</f>
        <v>S2-MPI 2013/2014 (GEL II)</v>
      </c>
      <c r="D4" s="886"/>
      <c r="E4" s="879">
        <f t="shared" si="0"/>
        <v>18</v>
      </c>
      <c r="F4" s="887">
        <f>L150</f>
        <v>0</v>
      </c>
      <c r="G4" s="888">
        <f>M150</f>
        <v>15</v>
      </c>
      <c r="H4" s="889">
        <f>N150</f>
        <v>0</v>
      </c>
      <c r="I4" s="889">
        <f>O150</f>
        <v>3</v>
      </c>
      <c r="J4" s="939">
        <f>P150</f>
        <v>0</v>
      </c>
      <c r="L4" s="937"/>
      <c r="M4" s="937"/>
      <c r="N4" s="937"/>
      <c r="O4" s="937"/>
      <c r="P4" s="938"/>
      <c r="Q4" s="938"/>
      <c r="R4" s="951" t="s">
        <v>3234</v>
      </c>
      <c r="S4" s="952"/>
      <c r="T4" s="952"/>
      <c r="U4" s="952"/>
      <c r="V4" s="952"/>
      <c r="Y4" s="972" t="s">
        <v>3235</v>
      </c>
      <c r="Z4" s="972"/>
      <c r="AA4" s="972"/>
      <c r="AB4" s="972"/>
      <c r="AC4" s="972"/>
      <c r="AD4" s="972"/>
      <c r="AE4" s="972"/>
      <c r="AF4" s="972"/>
      <c r="AG4" s="972"/>
      <c r="AH4" s="972"/>
    </row>
    <row r="5" spans="1:34" ht="15.75" x14ac:dyDescent="0.25">
      <c r="A5" s="883"/>
      <c r="B5" s="884">
        <v>3</v>
      </c>
      <c r="C5" s="885" t="str">
        <f>A170</f>
        <v>S2-MPI 2013/2014 (GEL II)</v>
      </c>
      <c r="D5" s="886"/>
      <c r="E5" s="879">
        <f t="shared" si="0"/>
        <v>25</v>
      </c>
      <c r="F5" s="887">
        <f>L170</f>
        <v>0</v>
      </c>
      <c r="G5" s="888">
        <f>M170</f>
        <v>16</v>
      </c>
      <c r="H5" s="889">
        <f>N170</f>
        <v>0</v>
      </c>
      <c r="I5" s="889">
        <f>O170</f>
        <v>9</v>
      </c>
      <c r="J5" s="939">
        <f>P170</f>
        <v>0</v>
      </c>
      <c r="L5" s="937"/>
      <c r="M5" s="937"/>
      <c r="N5" s="937"/>
      <c r="O5" s="937"/>
      <c r="P5" s="938"/>
      <c r="Q5" s="938"/>
      <c r="R5" s="951"/>
      <c r="S5" s="952" t="s">
        <v>3236</v>
      </c>
      <c r="T5" s="952"/>
      <c r="U5" s="952"/>
      <c r="V5" s="952"/>
      <c r="Y5" s="972"/>
      <c r="Z5" s="972"/>
      <c r="AA5" s="972"/>
      <c r="AB5" s="972"/>
      <c r="AC5" s="972"/>
      <c r="AD5" s="972"/>
      <c r="AE5" s="972"/>
      <c r="AF5" s="972"/>
      <c r="AG5" s="972"/>
      <c r="AH5" s="972"/>
    </row>
    <row r="6" spans="1:34" x14ac:dyDescent="0.25">
      <c r="A6" s="883"/>
      <c r="B6" s="884">
        <v>4</v>
      </c>
      <c r="C6" s="885" t="str">
        <f>A197</f>
        <v>S2-PI 2013/2014 (GEL II)</v>
      </c>
      <c r="D6" s="886"/>
      <c r="E6" s="879">
        <f t="shared" si="0"/>
        <v>18</v>
      </c>
      <c r="F6" s="887">
        <f>L197</f>
        <v>0</v>
      </c>
      <c r="G6" s="888">
        <f>M197</f>
        <v>12</v>
      </c>
      <c r="H6" s="889">
        <f>N197</f>
        <v>0</v>
      </c>
      <c r="I6" s="889">
        <f>O197</f>
        <v>6</v>
      </c>
      <c r="J6" s="939">
        <f>P197</f>
        <v>0</v>
      </c>
      <c r="L6" s="937"/>
      <c r="M6" s="937"/>
      <c r="N6" s="937"/>
      <c r="O6" s="937"/>
      <c r="P6" s="938"/>
      <c r="Q6" s="938"/>
      <c r="R6" s="759"/>
      <c r="Y6" s="973"/>
      <c r="Z6" s="974"/>
      <c r="AA6" s="974"/>
      <c r="AB6" s="974"/>
      <c r="AC6" s="974"/>
      <c r="AD6" s="974"/>
      <c r="AE6" s="974"/>
      <c r="AF6" s="974"/>
      <c r="AG6" s="974"/>
      <c r="AH6" s="974"/>
    </row>
    <row r="7" spans="1:34" ht="25.5" x14ac:dyDescent="0.25">
      <c r="A7" s="883"/>
      <c r="B7" s="884">
        <v>5</v>
      </c>
      <c r="C7" s="885" t="str">
        <f>A251</f>
        <v>S2-PI 2014/2015 (GEL I)</v>
      </c>
      <c r="D7" s="886"/>
      <c r="E7" s="879">
        <f t="shared" si="0"/>
        <v>19</v>
      </c>
      <c r="F7" s="887">
        <f>L251</f>
        <v>0</v>
      </c>
      <c r="G7" s="888">
        <f>M251</f>
        <v>14</v>
      </c>
      <c r="H7" s="889">
        <f>N251</f>
        <v>0</v>
      </c>
      <c r="I7" s="889">
        <f>O251</f>
        <v>5</v>
      </c>
      <c r="J7" s="939">
        <f>P251</f>
        <v>0</v>
      </c>
      <c r="L7" s="937"/>
      <c r="M7" s="937"/>
      <c r="N7" s="937"/>
      <c r="O7" s="937"/>
      <c r="P7" s="938"/>
      <c r="Q7" s="938"/>
      <c r="R7" s="953" t="s">
        <v>0</v>
      </c>
      <c r="S7" s="954" t="s">
        <v>3237</v>
      </c>
      <c r="T7" s="955" t="s">
        <v>3238</v>
      </c>
      <c r="U7" s="956"/>
      <c r="V7" s="955" t="s">
        <v>3239</v>
      </c>
      <c r="W7" s="957" t="s">
        <v>3240</v>
      </c>
      <c r="Y7" s="975" t="s">
        <v>3241</v>
      </c>
      <c r="Z7" s="975" t="s">
        <v>3242</v>
      </c>
      <c r="AA7" s="976" t="s">
        <v>3243</v>
      </c>
      <c r="AB7" s="977"/>
      <c r="AC7" s="977"/>
      <c r="AD7" s="977"/>
      <c r="AE7" s="978"/>
      <c r="AF7" s="979" t="s">
        <v>3244</v>
      </c>
      <c r="AG7" s="975" t="s">
        <v>3245</v>
      </c>
      <c r="AH7" s="975" t="s">
        <v>3246</v>
      </c>
    </row>
    <row r="8" spans="1:34" ht="15.75" x14ac:dyDescent="0.25">
      <c r="A8" s="883"/>
      <c r="B8" s="884">
        <v>6</v>
      </c>
      <c r="C8" s="885" t="str">
        <f>A290</f>
        <v>S2-MPI ANGK XII 2014/2015 (GEL II)</v>
      </c>
      <c r="D8" s="886"/>
      <c r="E8" s="879">
        <f t="shared" si="0"/>
        <v>22</v>
      </c>
      <c r="F8" s="887">
        <f>L290</f>
        <v>0</v>
      </c>
      <c r="G8" s="888">
        <f>M290</f>
        <v>13</v>
      </c>
      <c r="H8" s="889">
        <f>N290</f>
        <v>0</v>
      </c>
      <c r="I8" s="889">
        <f>O290</f>
        <v>9</v>
      </c>
      <c r="J8" s="939">
        <f>P290</f>
        <v>0</v>
      </c>
      <c r="L8" s="937"/>
      <c r="M8" s="937"/>
      <c r="N8" s="937"/>
      <c r="O8" s="937"/>
      <c r="P8" s="938"/>
      <c r="Q8" s="938"/>
      <c r="R8" s="953"/>
      <c r="S8" s="958"/>
      <c r="T8" s="958" t="s">
        <v>3247</v>
      </c>
      <c r="U8" s="958" t="s">
        <v>3248</v>
      </c>
      <c r="V8" s="959"/>
      <c r="W8" s="960">
        <f>SUM(W9:W26)</f>
        <v>8932900000</v>
      </c>
      <c r="Y8" s="980"/>
      <c r="Z8" s="980"/>
      <c r="AA8" s="981"/>
      <c r="AB8" s="982"/>
      <c r="AC8" s="982"/>
      <c r="AD8" s="982"/>
      <c r="AE8" s="983"/>
      <c r="AF8" s="984"/>
      <c r="AG8" s="980"/>
      <c r="AH8" s="980"/>
    </row>
    <row r="9" spans="1:34" x14ac:dyDescent="0.25">
      <c r="A9" s="883"/>
      <c r="B9" s="884">
        <v>7</v>
      </c>
      <c r="C9" s="890" t="str">
        <f>A395</f>
        <v xml:space="preserve">S2-MPI 2015/2016 </v>
      </c>
      <c r="D9" s="886"/>
      <c r="E9" s="879">
        <f t="shared" si="0"/>
        <v>23</v>
      </c>
      <c r="F9" s="887">
        <f>L395</f>
        <v>0</v>
      </c>
      <c r="G9" s="888">
        <f>M395</f>
        <v>16</v>
      </c>
      <c r="H9" s="889">
        <f>N395</f>
        <v>0</v>
      </c>
      <c r="I9" s="889">
        <f>O395</f>
        <v>7</v>
      </c>
      <c r="J9" s="939">
        <f>P395</f>
        <v>0</v>
      </c>
      <c r="L9" s="937"/>
      <c r="M9" s="937"/>
      <c r="N9" s="937"/>
      <c r="O9" s="937"/>
      <c r="P9" s="938"/>
      <c r="Q9" s="938"/>
      <c r="R9" s="961">
        <v>1</v>
      </c>
      <c r="S9" s="962" t="s">
        <v>3249</v>
      </c>
      <c r="T9" s="963">
        <v>3750000</v>
      </c>
      <c r="U9" s="963">
        <v>8000000</v>
      </c>
      <c r="V9" s="962" t="s">
        <v>3250</v>
      </c>
      <c r="W9" s="964">
        <f>((T9*SUM((F15+H15),(F26+H26),(F36+H36),(F47+H47),(F55+H55),(F63+H63),(F71+H71))+(U9*(E89+E90))))*2</f>
        <v>6547500000</v>
      </c>
      <c r="Y9" s="985" t="s">
        <v>3251</v>
      </c>
      <c r="Z9" s="986" t="s">
        <v>3252</v>
      </c>
      <c r="AA9" s="987"/>
      <c r="AB9" s="987"/>
      <c r="AC9" s="987"/>
      <c r="AD9" s="987"/>
      <c r="AE9" s="987"/>
      <c r="AF9" s="987"/>
      <c r="AG9" s="987"/>
      <c r="AH9" s="986"/>
    </row>
    <row r="10" spans="1:34" x14ac:dyDescent="0.25">
      <c r="A10" s="883"/>
      <c r="B10" s="884">
        <v>8</v>
      </c>
      <c r="C10" s="890" t="str">
        <f>A668</f>
        <v>S2-MPI 2016/2017</v>
      </c>
      <c r="D10" s="891"/>
      <c r="E10" s="879">
        <f t="shared" si="0"/>
        <v>36</v>
      </c>
      <c r="F10" s="892">
        <f>L668</f>
        <v>2</v>
      </c>
      <c r="G10" s="893">
        <f>M668</f>
        <v>21</v>
      </c>
      <c r="H10" s="889">
        <f>N668</f>
        <v>0</v>
      </c>
      <c r="I10" s="889">
        <f>O668</f>
        <v>5</v>
      </c>
      <c r="J10" s="939">
        <f>P668</f>
        <v>8</v>
      </c>
      <c r="L10" s="937"/>
      <c r="M10" s="937"/>
      <c r="N10" s="937"/>
      <c r="O10" s="937"/>
      <c r="P10" s="938"/>
      <c r="Q10" s="938"/>
      <c r="R10" s="961">
        <v>2</v>
      </c>
      <c r="S10" s="962" t="s">
        <v>3253</v>
      </c>
      <c r="T10" s="963">
        <v>500000</v>
      </c>
      <c r="U10" s="963">
        <v>750000</v>
      </c>
      <c r="V10" s="962"/>
      <c r="W10" s="964">
        <f>(T10*300)+(U10*30)</f>
        <v>172500000</v>
      </c>
      <c r="Y10" s="2311" t="s">
        <v>3254</v>
      </c>
      <c r="Z10" s="989" t="s">
        <v>3255</v>
      </c>
      <c r="AA10" s="990">
        <v>1</v>
      </c>
      <c r="AB10" s="990" t="s">
        <v>3256</v>
      </c>
      <c r="AC10" s="990" t="s">
        <v>3257</v>
      </c>
      <c r="AD10" s="991">
        <v>16</v>
      </c>
      <c r="AE10" s="990" t="s">
        <v>3258</v>
      </c>
      <c r="AF10" s="990">
        <f>AA10*AD10</f>
        <v>16</v>
      </c>
      <c r="AG10" s="1004">
        <v>500000</v>
      </c>
      <c r="AH10" s="1005">
        <f>AG10*AF10</f>
        <v>8000000</v>
      </c>
    </row>
    <row r="11" spans="1:34" x14ac:dyDescent="0.25">
      <c r="A11" s="883"/>
      <c r="B11" s="884">
        <v>9</v>
      </c>
      <c r="C11" s="894" t="str">
        <f>A787</f>
        <v>S2-MPI 2017/2018</v>
      </c>
      <c r="D11" s="895"/>
      <c r="E11" s="879">
        <f t="shared" si="0"/>
        <v>46</v>
      </c>
      <c r="F11" s="896">
        <f>L787</f>
        <v>11</v>
      </c>
      <c r="G11" s="889">
        <f>M787</f>
        <v>23</v>
      </c>
      <c r="H11" s="889">
        <f>N787</f>
        <v>1</v>
      </c>
      <c r="I11" s="889">
        <f>O787</f>
        <v>1</v>
      </c>
      <c r="J11" s="939">
        <f>P787</f>
        <v>10</v>
      </c>
      <c r="L11" s="937"/>
      <c r="M11" s="937"/>
      <c r="N11" s="937"/>
      <c r="O11" s="937"/>
      <c r="P11" s="938"/>
      <c r="Q11" s="938"/>
      <c r="R11" s="961"/>
      <c r="S11" s="962" t="s">
        <v>3259</v>
      </c>
      <c r="T11" s="963">
        <v>500000</v>
      </c>
      <c r="U11" s="963">
        <v>750000</v>
      </c>
      <c r="V11" s="962"/>
      <c r="W11" s="964">
        <f>(T11*50)+(U11*10)</f>
        <v>32500000</v>
      </c>
      <c r="Y11" s="992"/>
      <c r="Z11" s="993"/>
      <c r="AA11" s="994"/>
      <c r="AB11" s="994"/>
      <c r="AC11" s="994"/>
      <c r="AD11" s="994"/>
      <c r="AE11" s="994"/>
      <c r="AF11" s="994"/>
      <c r="AG11" s="1006" t="s">
        <v>3246</v>
      </c>
      <c r="AH11" s="1007">
        <f>SUM(AH10)</f>
        <v>8000000</v>
      </c>
    </row>
    <row r="12" spans="1:34" x14ac:dyDescent="0.25">
      <c r="A12" s="883"/>
      <c r="B12" s="884">
        <v>10</v>
      </c>
      <c r="C12" s="894" t="str">
        <f>A982</f>
        <v>S2-MPI 2018/2019</v>
      </c>
      <c r="D12" s="895"/>
      <c r="E12" s="879">
        <f t="shared" si="0"/>
        <v>50</v>
      </c>
      <c r="F12" s="896">
        <f>L982</f>
        <v>29</v>
      </c>
      <c r="G12" s="889">
        <f>M982</f>
        <v>6</v>
      </c>
      <c r="H12" s="889">
        <f>N982</f>
        <v>3</v>
      </c>
      <c r="I12" s="889">
        <f>O982</f>
        <v>0</v>
      </c>
      <c r="J12" s="939">
        <f>P982</f>
        <v>12</v>
      </c>
      <c r="L12" s="937"/>
      <c r="M12" s="937"/>
      <c r="N12" s="937"/>
      <c r="O12" s="937"/>
      <c r="P12" s="938"/>
      <c r="Q12" s="938"/>
      <c r="R12" s="961">
        <v>3</v>
      </c>
      <c r="S12" s="962" t="s">
        <v>3260</v>
      </c>
      <c r="T12" s="963">
        <v>1750000</v>
      </c>
      <c r="U12" s="963">
        <v>1750000</v>
      </c>
      <c r="V12" s="962" t="s">
        <v>3261</v>
      </c>
      <c r="W12" s="964">
        <f>(T12*250)+(U12*30)</f>
        <v>490000000</v>
      </c>
      <c r="Y12" s="992"/>
      <c r="Z12" s="993"/>
      <c r="AA12" s="994"/>
      <c r="AB12" s="994"/>
      <c r="AC12" s="994"/>
      <c r="AD12" s="994"/>
      <c r="AE12" s="994"/>
      <c r="AF12" s="994"/>
      <c r="AG12" s="1006"/>
      <c r="AH12" s="1007"/>
    </row>
    <row r="13" spans="1:34" x14ac:dyDescent="0.25">
      <c r="A13" s="883"/>
      <c r="B13" s="884">
        <v>10</v>
      </c>
      <c r="C13" s="894" t="str">
        <f>A1326</f>
        <v>S2-MPI 2019/2020</v>
      </c>
      <c r="D13" s="895"/>
      <c r="E13" s="879">
        <f t="shared" si="0"/>
        <v>40</v>
      </c>
      <c r="F13" s="896">
        <f>L1326</f>
        <v>35</v>
      </c>
      <c r="G13" s="889">
        <f>M1326</f>
        <v>0</v>
      </c>
      <c r="H13" s="889">
        <f>N1326</f>
        <v>1</v>
      </c>
      <c r="I13" s="889">
        <f>O1326</f>
        <v>0</v>
      </c>
      <c r="J13" s="939">
        <f>P1326</f>
        <v>4</v>
      </c>
      <c r="L13" s="937"/>
      <c r="M13" s="937">
        <v>45</v>
      </c>
      <c r="N13" s="937">
        <v>41</v>
      </c>
      <c r="O13" s="937"/>
      <c r="P13" s="938"/>
      <c r="Q13" s="938"/>
      <c r="R13" s="961">
        <v>3</v>
      </c>
      <c r="S13" s="962" t="s">
        <v>3260</v>
      </c>
      <c r="T13" s="963">
        <v>1750000</v>
      </c>
      <c r="U13" s="963">
        <v>1750000</v>
      </c>
      <c r="V13" s="962" t="s">
        <v>3261</v>
      </c>
      <c r="W13" s="964">
        <f>(T13*250)+(U13*30)</f>
        <v>490000000</v>
      </c>
      <c r="Y13" s="992"/>
      <c r="Z13" s="993"/>
      <c r="AA13" s="994"/>
      <c r="AB13" s="994"/>
      <c r="AC13" s="994"/>
      <c r="AD13" s="994"/>
      <c r="AE13" s="994"/>
      <c r="AF13" s="994"/>
      <c r="AG13" s="1006"/>
      <c r="AH13" s="1007"/>
    </row>
    <row r="14" spans="1:34" x14ac:dyDescent="0.25">
      <c r="A14" s="897"/>
      <c r="B14" s="898">
        <v>11</v>
      </c>
      <c r="C14" s="899" t="str">
        <f>A1531</f>
        <v>S2-MPI 2020/2021</v>
      </c>
      <c r="D14" s="900"/>
      <c r="E14" s="901">
        <f t="shared" si="0"/>
        <v>37</v>
      </c>
      <c r="F14" s="902">
        <f>L1531</f>
        <v>37</v>
      </c>
      <c r="G14" s="903">
        <f>M1531</f>
        <v>0</v>
      </c>
      <c r="H14" s="903">
        <f>N1531</f>
        <v>0</v>
      </c>
      <c r="I14" s="903">
        <f>O1531</f>
        <v>0</v>
      </c>
      <c r="J14" s="940">
        <f>P1531</f>
        <v>0</v>
      </c>
      <c r="L14" s="937"/>
      <c r="M14" s="937"/>
      <c r="N14" s="937"/>
      <c r="O14" s="937"/>
      <c r="P14" s="938"/>
      <c r="Q14" s="938"/>
      <c r="R14" s="961">
        <v>4</v>
      </c>
      <c r="S14" s="962" t="s">
        <v>3262</v>
      </c>
      <c r="T14" s="963"/>
      <c r="U14" s="963">
        <v>2000000</v>
      </c>
      <c r="V14" s="962"/>
      <c r="W14" s="965">
        <f>(U14*30)</f>
        <v>60000000</v>
      </c>
      <c r="Y14" s="992"/>
      <c r="Z14" s="993"/>
      <c r="AA14" s="994"/>
      <c r="AB14" s="994"/>
      <c r="AC14" s="994"/>
      <c r="AD14" s="994"/>
      <c r="AE14" s="994"/>
      <c r="AF14" s="994"/>
      <c r="AG14" s="1006" t="s">
        <v>3246</v>
      </c>
      <c r="AH14" s="1007">
        <f>SUM(AH12)</f>
        <v>0</v>
      </c>
    </row>
    <row r="15" spans="1:34" x14ac:dyDescent="0.25">
      <c r="A15" s="904"/>
      <c r="B15" s="905"/>
      <c r="C15" s="905"/>
      <c r="D15" s="906"/>
      <c r="E15" s="907">
        <f>SUM(E3:E14)</f>
        <v>356</v>
      </c>
      <c r="F15" s="908">
        <f>SUM(F3:F14)</f>
        <v>114</v>
      </c>
      <c r="G15" s="909">
        <f>SUM(G3:G14)</f>
        <v>155</v>
      </c>
      <c r="H15" s="910">
        <f t="shared" ref="H15:J15" si="1">SUM(H3:H14)</f>
        <v>5</v>
      </c>
      <c r="I15" s="941">
        <f t="shared" si="1"/>
        <v>48</v>
      </c>
      <c r="J15" s="942">
        <f t="shared" si="1"/>
        <v>34</v>
      </c>
      <c r="L15" s="938"/>
      <c r="M15" s="938"/>
      <c r="N15" s="938"/>
      <c r="O15" s="938"/>
      <c r="P15" s="938"/>
      <c r="Q15" s="938"/>
      <c r="S15" s="752" t="s">
        <v>3263</v>
      </c>
      <c r="T15" s="963"/>
      <c r="U15" s="963">
        <v>2000000</v>
      </c>
      <c r="V15" s="962"/>
      <c r="W15" s="965">
        <f>(U15*20)</f>
        <v>40000000</v>
      </c>
      <c r="Y15" s="985" t="s">
        <v>3264</v>
      </c>
      <c r="Z15" s="995" t="s">
        <v>3265</v>
      </c>
      <c r="AA15" s="996"/>
      <c r="AB15" s="996"/>
      <c r="AC15" s="996"/>
      <c r="AD15" s="996"/>
      <c r="AE15" s="996"/>
      <c r="AF15" s="996"/>
      <c r="AG15" s="1008"/>
      <c r="AH15" s="1005"/>
    </row>
    <row r="16" spans="1:34" x14ac:dyDescent="0.25">
      <c r="A16" s="904"/>
      <c r="B16" s="905"/>
      <c r="C16" s="905"/>
      <c r="D16" s="906"/>
      <c r="E16" s="911"/>
      <c r="F16" s="912"/>
      <c r="G16" s="905"/>
      <c r="H16" s="912"/>
      <c r="I16" s="912"/>
      <c r="J16" s="943"/>
      <c r="L16" s="938"/>
      <c r="M16" s="938"/>
      <c r="N16" s="938"/>
      <c r="O16" s="938"/>
      <c r="P16" s="938"/>
      <c r="Q16" s="938"/>
      <c r="R16" s="961">
        <v>5</v>
      </c>
      <c r="S16" s="962" t="s">
        <v>3266</v>
      </c>
      <c r="T16" s="963">
        <v>750000</v>
      </c>
      <c r="U16" s="963">
        <v>1500000</v>
      </c>
      <c r="V16" s="962"/>
      <c r="W16" s="964">
        <f>(T16*100)+(U16*20)</f>
        <v>105000000</v>
      </c>
      <c r="Y16" s="2312" t="s">
        <v>3254</v>
      </c>
      <c r="Z16" s="998" t="s">
        <v>3249</v>
      </c>
      <c r="AA16" s="999">
        <v>2</v>
      </c>
      <c r="AB16" s="999" t="s">
        <v>3267</v>
      </c>
      <c r="AC16" s="999" t="s">
        <v>3257</v>
      </c>
      <c r="AD16" s="999">
        <v>44</v>
      </c>
      <c r="AE16" s="1000" t="s">
        <v>3268</v>
      </c>
      <c r="AF16" s="1000">
        <f>AA16*AD16</f>
        <v>88</v>
      </c>
      <c r="AG16" s="1009">
        <v>6000000</v>
      </c>
      <c r="AH16" s="1010">
        <f t="shared" ref="AH16:AH38" si="2">AG16*AF16</f>
        <v>528000000</v>
      </c>
    </row>
    <row r="17" spans="1:34" x14ac:dyDescent="0.25">
      <c r="A17" s="875" t="s">
        <v>848</v>
      </c>
      <c r="B17" s="876">
        <v>1</v>
      </c>
      <c r="C17" s="877" t="str">
        <f>A126</f>
        <v>S2-HK 2013/2014</v>
      </c>
      <c r="D17" s="878"/>
      <c r="E17" s="913">
        <f t="shared" ref="E17:E25" si="3">SUM(F17,G17,H17,I17,J17)</f>
        <v>10</v>
      </c>
      <c r="F17" s="914">
        <f>L126</f>
        <v>0</v>
      </c>
      <c r="G17" s="915">
        <f>M126</f>
        <v>3</v>
      </c>
      <c r="H17" s="916">
        <f>N126</f>
        <v>0</v>
      </c>
      <c r="I17" s="916">
        <f>O126</f>
        <v>7</v>
      </c>
      <c r="J17" s="944">
        <f>P126</f>
        <v>0</v>
      </c>
      <c r="L17" s="937"/>
      <c r="M17" s="937"/>
      <c r="N17" s="937"/>
      <c r="O17" s="937"/>
      <c r="P17" s="938"/>
      <c r="Q17" s="938"/>
      <c r="R17" s="961">
        <v>6</v>
      </c>
      <c r="S17" s="962" t="s">
        <v>3269</v>
      </c>
      <c r="T17" s="963">
        <v>750000</v>
      </c>
      <c r="U17" s="963">
        <v>1500000</v>
      </c>
      <c r="V17" s="962"/>
      <c r="W17" s="964">
        <f>(T17*100)+(U17*20)</f>
        <v>105000000</v>
      </c>
      <c r="Y17" s="2312" t="s">
        <v>3270</v>
      </c>
      <c r="Z17" s="998" t="s">
        <v>3271</v>
      </c>
      <c r="AA17" s="999">
        <v>2</v>
      </c>
      <c r="AB17" s="999" t="s">
        <v>3267</v>
      </c>
      <c r="AC17" s="999" t="s">
        <v>3257</v>
      </c>
      <c r="AD17" s="999">
        <v>44</v>
      </c>
      <c r="AE17" s="1000" t="s">
        <v>3268</v>
      </c>
      <c r="AF17" s="1000">
        <f t="shared" ref="AF17:AF38" si="4">AA17*AD17</f>
        <v>88</v>
      </c>
      <c r="AG17" s="1011">
        <v>500000</v>
      </c>
      <c r="AH17" s="1012">
        <f t="shared" si="2"/>
        <v>44000000</v>
      </c>
    </row>
    <row r="18" spans="1:34" x14ac:dyDescent="0.25">
      <c r="A18" s="883"/>
      <c r="B18" s="884">
        <v>2</v>
      </c>
      <c r="C18" s="885" t="str">
        <f>A239</f>
        <v>S2-HK 2013/2014 (GEL II)</v>
      </c>
      <c r="D18" s="886"/>
      <c r="E18" s="879">
        <f t="shared" si="3"/>
        <v>10</v>
      </c>
      <c r="F18" s="917">
        <f>L239</f>
        <v>0</v>
      </c>
      <c r="G18" s="918">
        <f>M239</f>
        <v>7</v>
      </c>
      <c r="H18" s="919">
        <f>N239</f>
        <v>0</v>
      </c>
      <c r="I18" s="919">
        <f>O239</f>
        <v>3</v>
      </c>
      <c r="J18" s="945">
        <f>P239</f>
        <v>0</v>
      </c>
      <c r="L18" s="937"/>
      <c r="M18" s="937"/>
      <c r="N18" s="937"/>
      <c r="O18" s="937"/>
      <c r="P18" s="938"/>
      <c r="Q18" s="938"/>
      <c r="R18" s="961">
        <v>7</v>
      </c>
      <c r="S18" s="962" t="s">
        <v>3272</v>
      </c>
      <c r="T18" s="963">
        <v>1000000</v>
      </c>
      <c r="U18" s="963">
        <v>2000000</v>
      </c>
      <c r="V18" s="962"/>
      <c r="W18" s="964">
        <f>(T18*100)+(U18*30)</f>
        <v>160000000</v>
      </c>
      <c r="Y18" s="2312" t="s">
        <v>3273</v>
      </c>
      <c r="Z18" s="998" t="s">
        <v>3274</v>
      </c>
      <c r="AA18" s="999">
        <v>1</v>
      </c>
      <c r="AB18" s="999" t="s">
        <v>3275</v>
      </c>
      <c r="AC18" s="999" t="s">
        <v>3257</v>
      </c>
      <c r="AD18" s="999">
        <v>44</v>
      </c>
      <c r="AE18" s="1000" t="s">
        <v>3268</v>
      </c>
      <c r="AF18" s="1000">
        <f t="shared" si="4"/>
        <v>44</v>
      </c>
      <c r="AG18" s="1011">
        <v>600000</v>
      </c>
      <c r="AH18" s="1012">
        <f t="shared" si="2"/>
        <v>26400000</v>
      </c>
    </row>
    <row r="19" spans="1:34" x14ac:dyDescent="0.25">
      <c r="A19" s="883"/>
      <c r="B19" s="884">
        <v>3</v>
      </c>
      <c r="C19" s="885" t="str">
        <f>A314</f>
        <v>S2-HK 2014/2015</v>
      </c>
      <c r="D19" s="886"/>
      <c r="E19" s="920">
        <f t="shared" si="3"/>
        <v>12</v>
      </c>
      <c r="F19" s="917">
        <f>L314</f>
        <v>0</v>
      </c>
      <c r="G19" s="918">
        <f>M314</f>
        <v>8</v>
      </c>
      <c r="H19" s="919">
        <f>N314</f>
        <v>0</v>
      </c>
      <c r="I19" s="919">
        <f>O314</f>
        <v>4</v>
      </c>
      <c r="J19" s="945">
        <f>P314</f>
        <v>0</v>
      </c>
      <c r="L19" s="937"/>
      <c r="M19" s="937"/>
      <c r="N19" s="937"/>
      <c r="O19" s="937"/>
      <c r="P19" s="938"/>
      <c r="Q19" s="938"/>
      <c r="R19" s="961">
        <v>8</v>
      </c>
      <c r="S19" s="962" t="s">
        <v>3276</v>
      </c>
      <c r="T19" s="963">
        <v>1000000</v>
      </c>
      <c r="U19" s="963">
        <v>2000000</v>
      </c>
      <c r="V19" s="962"/>
      <c r="W19" s="964">
        <f>(T19*100)+(U19*30)</f>
        <v>160000000</v>
      </c>
      <c r="Y19" s="2312" t="s">
        <v>3277</v>
      </c>
      <c r="Z19" s="998" t="s">
        <v>3278</v>
      </c>
      <c r="AA19" s="999">
        <v>3</v>
      </c>
      <c r="AB19" s="999" t="s">
        <v>3279</v>
      </c>
      <c r="AC19" s="999" t="s">
        <v>3257</v>
      </c>
      <c r="AD19" s="999">
        <v>1</v>
      </c>
      <c r="AE19" s="1000" t="s">
        <v>3280</v>
      </c>
      <c r="AF19" s="1000">
        <f t="shared" si="4"/>
        <v>3</v>
      </c>
      <c r="AG19" s="1013">
        <v>20454545</v>
      </c>
      <c r="AH19" s="1012">
        <f t="shared" si="2"/>
        <v>61363635</v>
      </c>
    </row>
    <row r="20" spans="1:34" x14ac:dyDescent="0.25">
      <c r="A20" s="883"/>
      <c r="B20" s="884">
        <v>4</v>
      </c>
      <c r="C20" s="885" t="str">
        <f>A435</f>
        <v>S2-HK 2015/2016</v>
      </c>
      <c r="D20" s="886"/>
      <c r="E20" s="879">
        <f t="shared" si="3"/>
        <v>14</v>
      </c>
      <c r="F20" s="917">
        <f>L435</f>
        <v>0</v>
      </c>
      <c r="G20" s="918">
        <f>M435</f>
        <v>12</v>
      </c>
      <c r="H20" s="919">
        <f>N435</f>
        <v>0</v>
      </c>
      <c r="I20" s="919">
        <f>O435</f>
        <v>2</v>
      </c>
      <c r="J20" s="945">
        <f>P435</f>
        <v>0</v>
      </c>
      <c r="L20" s="937"/>
      <c r="M20" s="937"/>
      <c r="N20" s="937"/>
      <c r="O20" s="937"/>
      <c r="P20" s="938"/>
      <c r="Q20" s="938"/>
      <c r="R20" s="966">
        <v>9</v>
      </c>
      <c r="S20" s="962" t="s">
        <v>3281</v>
      </c>
      <c r="T20" s="963">
        <v>1500000</v>
      </c>
      <c r="U20" s="963">
        <v>4000000</v>
      </c>
      <c r="V20" s="962"/>
      <c r="W20" s="964">
        <f>(T20*100)+(U20*30)</f>
        <v>270000000</v>
      </c>
      <c r="Y20" s="2312" t="s">
        <v>3282</v>
      </c>
      <c r="Z20" s="998" t="s">
        <v>3283</v>
      </c>
      <c r="AA20" s="999">
        <v>1</v>
      </c>
      <c r="AB20" s="999" t="s">
        <v>3275</v>
      </c>
      <c r="AC20" s="999" t="s">
        <v>3257</v>
      </c>
      <c r="AD20" s="999">
        <v>44</v>
      </c>
      <c r="AE20" s="1000" t="s">
        <v>3268</v>
      </c>
      <c r="AF20" s="1000">
        <f t="shared" si="4"/>
        <v>44</v>
      </c>
      <c r="AG20" s="1011">
        <v>400000</v>
      </c>
      <c r="AH20" s="1012">
        <f t="shared" si="2"/>
        <v>17600000</v>
      </c>
    </row>
    <row r="21" spans="1:34" x14ac:dyDescent="0.25">
      <c r="A21" s="883"/>
      <c r="B21" s="884">
        <v>5</v>
      </c>
      <c r="C21" s="890" t="str">
        <f>A565</f>
        <v>S2-HK 2016/2017</v>
      </c>
      <c r="D21" s="891"/>
      <c r="E21" s="879">
        <f t="shared" si="3"/>
        <v>22</v>
      </c>
      <c r="F21" s="921">
        <f>L565</f>
        <v>1</v>
      </c>
      <c r="G21" s="922">
        <f>M565</f>
        <v>16</v>
      </c>
      <c r="H21" s="919">
        <f>N565</f>
        <v>0</v>
      </c>
      <c r="I21" s="919">
        <f>O565</f>
        <v>0</v>
      </c>
      <c r="J21" s="945">
        <f>P565</f>
        <v>5</v>
      </c>
      <c r="L21" s="937"/>
      <c r="M21" s="937"/>
      <c r="N21" s="937"/>
      <c r="O21" s="937"/>
      <c r="P21" s="938"/>
      <c r="Q21" s="938"/>
      <c r="R21" s="966">
        <v>10</v>
      </c>
      <c r="S21" s="962" t="s">
        <v>3284</v>
      </c>
      <c r="T21" s="963">
        <v>1500000</v>
      </c>
      <c r="U21" s="963">
        <v>4000000</v>
      </c>
      <c r="V21" s="962"/>
      <c r="W21" s="964">
        <f>(T21*100)+(U21*30)</f>
        <v>270000000</v>
      </c>
      <c r="Y21" s="2312" t="s">
        <v>3285</v>
      </c>
      <c r="Z21" s="998" t="s">
        <v>3286</v>
      </c>
      <c r="AA21" s="999">
        <v>1</v>
      </c>
      <c r="AB21" s="999" t="s">
        <v>3275</v>
      </c>
      <c r="AC21" s="999" t="s">
        <v>3257</v>
      </c>
      <c r="AD21" s="999">
        <v>44</v>
      </c>
      <c r="AE21" s="1000" t="s">
        <v>3268</v>
      </c>
      <c r="AF21" s="1000">
        <f t="shared" si="4"/>
        <v>44</v>
      </c>
      <c r="AG21" s="1011">
        <v>25000</v>
      </c>
      <c r="AH21" s="1012">
        <f t="shared" si="2"/>
        <v>1100000</v>
      </c>
    </row>
    <row r="22" spans="1:34" x14ac:dyDescent="0.25">
      <c r="A22" s="883"/>
      <c r="B22" s="884">
        <v>6</v>
      </c>
      <c r="C22" s="894" t="str">
        <f>A917</f>
        <v>S2-HK 2017/2018</v>
      </c>
      <c r="D22" s="895"/>
      <c r="E22" s="879">
        <f t="shared" si="3"/>
        <v>14</v>
      </c>
      <c r="F22" s="923">
        <f>L917</f>
        <v>3</v>
      </c>
      <c r="G22" s="919">
        <f>M917</f>
        <v>8</v>
      </c>
      <c r="H22" s="919">
        <f>N917</f>
        <v>0</v>
      </c>
      <c r="I22" s="919">
        <f>O917</f>
        <v>0</v>
      </c>
      <c r="J22" s="945">
        <f>P917</f>
        <v>3</v>
      </c>
      <c r="L22" s="937"/>
      <c r="M22" s="937"/>
      <c r="N22" s="937"/>
      <c r="O22" s="937"/>
      <c r="P22" s="938"/>
      <c r="Q22" s="938"/>
      <c r="R22" s="966">
        <v>11</v>
      </c>
      <c r="S22" s="962" t="s">
        <v>3287</v>
      </c>
      <c r="T22" s="963"/>
      <c r="U22" s="963">
        <v>10000000</v>
      </c>
      <c r="V22" s="962"/>
      <c r="W22" s="964">
        <f>(T22*0)+(U22*0)</f>
        <v>0</v>
      </c>
      <c r="Y22" s="2312" t="s">
        <v>3288</v>
      </c>
      <c r="Z22" s="998" t="s">
        <v>3289</v>
      </c>
      <c r="AA22" s="999">
        <v>1</v>
      </c>
      <c r="AB22" s="999" t="s">
        <v>3275</v>
      </c>
      <c r="AC22" s="999" t="s">
        <v>3257</v>
      </c>
      <c r="AD22" s="999">
        <v>44</v>
      </c>
      <c r="AE22" s="1000" t="s">
        <v>3268</v>
      </c>
      <c r="AF22" s="1000">
        <f t="shared" si="4"/>
        <v>44</v>
      </c>
      <c r="AG22" s="1011">
        <v>100000</v>
      </c>
      <c r="AH22" s="1012">
        <f t="shared" si="2"/>
        <v>4400000</v>
      </c>
    </row>
    <row r="23" spans="1:34" x14ac:dyDescent="0.25">
      <c r="A23" s="883"/>
      <c r="B23" s="884">
        <v>7</v>
      </c>
      <c r="C23" s="894" t="str">
        <f>A1194</f>
        <v>S2-HK 2018/2019</v>
      </c>
      <c r="D23" s="895"/>
      <c r="E23" s="879">
        <f t="shared" si="3"/>
        <v>28</v>
      </c>
      <c r="F23" s="923">
        <f>L1194</f>
        <v>14</v>
      </c>
      <c r="G23" s="919">
        <f>M1194</f>
        <v>9</v>
      </c>
      <c r="H23" s="919">
        <f>N1194</f>
        <v>1</v>
      </c>
      <c r="I23" s="919">
        <f>O1194</f>
        <v>0</v>
      </c>
      <c r="J23" s="945">
        <f>P1194</f>
        <v>4</v>
      </c>
      <c r="L23" s="937"/>
      <c r="M23" s="937"/>
      <c r="N23" s="937"/>
      <c r="O23" s="937"/>
      <c r="P23" s="938"/>
      <c r="Q23" s="938"/>
      <c r="R23" s="966">
        <v>12</v>
      </c>
      <c r="S23" s="962" t="s">
        <v>3290</v>
      </c>
      <c r="T23" s="963"/>
      <c r="U23" s="963"/>
      <c r="V23" s="962"/>
      <c r="W23" s="967"/>
      <c r="Y23" s="997"/>
      <c r="Z23" s="998"/>
      <c r="AA23" s="999"/>
      <c r="AB23" s="999"/>
      <c r="AC23" s="999"/>
      <c r="AD23" s="999"/>
      <c r="AE23" s="1000"/>
      <c r="AF23" s="1000"/>
      <c r="AG23" s="1011"/>
      <c r="AH23" s="1012"/>
    </row>
    <row r="24" spans="1:34" x14ac:dyDescent="0.25">
      <c r="A24" s="883"/>
      <c r="B24" s="884">
        <v>7</v>
      </c>
      <c r="C24" s="894" t="str">
        <f>A1421</f>
        <v>S2-HK 2019/2020</v>
      </c>
      <c r="D24" s="895"/>
      <c r="E24" s="879">
        <f t="shared" si="3"/>
        <v>17</v>
      </c>
      <c r="F24" s="923">
        <f>L1421</f>
        <v>15</v>
      </c>
      <c r="G24" s="919">
        <f>M1421</f>
        <v>0</v>
      </c>
      <c r="H24" s="919">
        <f>N1421</f>
        <v>0</v>
      </c>
      <c r="I24" s="919">
        <f>O1421</f>
        <v>0</v>
      </c>
      <c r="J24" s="945">
        <f>P1421</f>
        <v>2</v>
      </c>
      <c r="L24" s="937"/>
      <c r="M24" s="937">
        <v>21</v>
      </c>
      <c r="N24" s="937">
        <v>19</v>
      </c>
      <c r="O24" s="937"/>
      <c r="P24" s="938"/>
      <c r="Q24" s="938"/>
      <c r="R24" s="966"/>
      <c r="S24" s="962" t="s">
        <v>3291</v>
      </c>
      <c r="T24" s="963">
        <v>2500</v>
      </c>
      <c r="U24" s="963">
        <v>2500</v>
      </c>
      <c r="V24" s="962" t="s">
        <v>3292</v>
      </c>
      <c r="W24" s="964">
        <f>(T24*100)+(U24*0)</f>
        <v>250000</v>
      </c>
      <c r="Y24" s="997"/>
      <c r="Z24" s="998"/>
      <c r="AA24" s="999"/>
      <c r="AB24" s="999"/>
      <c r="AC24" s="999"/>
      <c r="AD24" s="999"/>
      <c r="AE24" s="1000"/>
      <c r="AF24" s="1000"/>
      <c r="AG24" s="1011"/>
      <c r="AH24" s="1012"/>
    </row>
    <row r="25" spans="1:34" x14ac:dyDescent="0.25">
      <c r="A25" s="897"/>
      <c r="B25" s="898">
        <v>8</v>
      </c>
      <c r="C25" s="899" t="str">
        <f>A1570</f>
        <v>S2-HK 2020/2021</v>
      </c>
      <c r="D25" s="900"/>
      <c r="E25" s="901">
        <f t="shared" si="3"/>
        <v>30</v>
      </c>
      <c r="F25" s="924">
        <f>L1570</f>
        <v>30</v>
      </c>
      <c r="G25" s="925">
        <f>M1570</f>
        <v>0</v>
      </c>
      <c r="H25" s="925">
        <f>N1570</f>
        <v>0</v>
      </c>
      <c r="I25" s="925">
        <f>O1570</f>
        <v>0</v>
      </c>
      <c r="J25" s="946">
        <f>P1570</f>
        <v>0</v>
      </c>
      <c r="L25" s="937"/>
      <c r="M25" s="937"/>
      <c r="N25" s="937"/>
      <c r="O25" s="937"/>
      <c r="P25" s="938"/>
      <c r="Q25" s="938"/>
      <c r="R25" s="968"/>
      <c r="S25" s="962" t="s">
        <v>3293</v>
      </c>
      <c r="T25" s="963">
        <v>100000</v>
      </c>
      <c r="U25" s="963">
        <v>100000</v>
      </c>
      <c r="V25" s="962" t="s">
        <v>3294</v>
      </c>
      <c r="W25" s="964">
        <f>(T25*250)+(U25*50)</f>
        <v>30000000</v>
      </c>
      <c r="Y25" s="2312" t="s">
        <v>3295</v>
      </c>
      <c r="Z25" s="998" t="s">
        <v>3296</v>
      </c>
      <c r="AA25" s="999">
        <v>1</v>
      </c>
      <c r="AB25" s="999" t="s">
        <v>3275</v>
      </c>
      <c r="AC25" s="999" t="s">
        <v>3257</v>
      </c>
      <c r="AD25" s="999">
        <v>44</v>
      </c>
      <c r="AE25" s="1000" t="s">
        <v>3268</v>
      </c>
      <c r="AF25" s="1000">
        <f t="shared" si="4"/>
        <v>44</v>
      </c>
      <c r="AG25" s="1011">
        <v>75000</v>
      </c>
      <c r="AH25" s="1012">
        <f t="shared" si="2"/>
        <v>3300000</v>
      </c>
    </row>
    <row r="26" spans="1:34" x14ac:dyDescent="0.25">
      <c r="A26" s="904"/>
      <c r="B26" s="905"/>
      <c r="C26" s="905"/>
      <c r="D26" s="906"/>
      <c r="E26" s="907">
        <f>SUM(E17:E25)</f>
        <v>157</v>
      </c>
      <c r="F26" s="926">
        <f>SUM(F17:F25)</f>
        <v>63</v>
      </c>
      <c r="G26" s="927">
        <f t="shared" ref="G26:J26" si="5">SUM(G17:G25)</f>
        <v>63</v>
      </c>
      <c r="H26" s="928">
        <f t="shared" si="5"/>
        <v>1</v>
      </c>
      <c r="I26" s="947">
        <f t="shared" si="5"/>
        <v>16</v>
      </c>
      <c r="J26" s="948">
        <f t="shared" si="5"/>
        <v>14</v>
      </c>
      <c r="L26" s="938"/>
      <c r="M26" s="938"/>
      <c r="N26" s="938"/>
      <c r="O26" s="938"/>
      <c r="P26" s="938"/>
      <c r="Q26" s="938"/>
      <c r="R26" s="969"/>
      <c r="S26" s="962" t="s">
        <v>3297</v>
      </c>
      <c r="T26" s="963">
        <v>1000</v>
      </c>
      <c r="U26" s="963">
        <v>1000</v>
      </c>
      <c r="V26" s="962" t="s">
        <v>3298</v>
      </c>
      <c r="W26" s="964">
        <f>(T26*100)+(U26*50)</f>
        <v>150000</v>
      </c>
      <c r="Y26" s="2312" t="s">
        <v>3299</v>
      </c>
      <c r="Z26" s="998" t="s">
        <v>3300</v>
      </c>
      <c r="AA26" s="999">
        <v>1</v>
      </c>
      <c r="AB26" s="999" t="s">
        <v>3275</v>
      </c>
      <c r="AC26" s="999" t="s">
        <v>3257</v>
      </c>
      <c r="AD26" s="999">
        <v>44</v>
      </c>
      <c r="AE26" s="1000" t="s">
        <v>3268</v>
      </c>
      <c r="AF26" s="1000">
        <f t="shared" si="4"/>
        <v>44</v>
      </c>
      <c r="AG26" s="1011">
        <v>250000</v>
      </c>
      <c r="AH26" s="1012">
        <f t="shared" si="2"/>
        <v>11000000</v>
      </c>
    </row>
    <row r="27" spans="1:34" x14ac:dyDescent="0.25">
      <c r="A27" s="904"/>
      <c r="B27" s="905"/>
      <c r="C27" s="905"/>
      <c r="D27" s="906"/>
      <c r="E27" s="911"/>
      <c r="F27" s="912"/>
      <c r="G27" s="905"/>
      <c r="H27" s="912"/>
      <c r="I27" s="912"/>
      <c r="J27" s="912"/>
      <c r="L27" s="938"/>
      <c r="M27" s="938"/>
      <c r="N27" s="938"/>
      <c r="O27" s="938"/>
      <c r="P27" s="938"/>
      <c r="Q27" s="938"/>
      <c r="Y27" s="2312" t="s">
        <v>3301</v>
      </c>
      <c r="Z27" s="998" t="s">
        <v>3302</v>
      </c>
      <c r="AA27" s="999">
        <v>1</v>
      </c>
      <c r="AB27" s="999" t="s">
        <v>3275</v>
      </c>
      <c r="AC27" s="999" t="s">
        <v>3257</v>
      </c>
      <c r="AD27" s="999">
        <v>13</v>
      </c>
      <c r="AE27" s="1000" t="s">
        <v>3268</v>
      </c>
      <c r="AF27" s="1000">
        <v>13</v>
      </c>
      <c r="AG27" s="1011">
        <v>1500000</v>
      </c>
      <c r="AH27" s="1012">
        <f t="shared" si="2"/>
        <v>19500000</v>
      </c>
    </row>
    <row r="28" spans="1:34" x14ac:dyDescent="0.25">
      <c r="A28" s="875" t="s">
        <v>1110</v>
      </c>
      <c r="B28" s="876">
        <v>1</v>
      </c>
      <c r="C28" s="877" t="str">
        <f>A138</f>
        <v>S2-PBA 2013/2014 - (GEL II)</v>
      </c>
      <c r="D28" s="878"/>
      <c r="E28" s="913">
        <f t="shared" ref="E28:E35" si="6">SUM(F28,G28,H28,I28,J28)</f>
        <v>10</v>
      </c>
      <c r="F28" s="914">
        <f>L138</f>
        <v>0</v>
      </c>
      <c r="G28" s="915">
        <f>M138</f>
        <v>8</v>
      </c>
      <c r="H28" s="916">
        <f>N138</f>
        <v>0</v>
      </c>
      <c r="I28" s="916">
        <f>O138</f>
        <v>2</v>
      </c>
      <c r="J28" s="944">
        <f>P138</f>
        <v>0</v>
      </c>
      <c r="L28" s="937"/>
      <c r="M28" s="937"/>
      <c r="N28" s="937"/>
      <c r="O28" s="937"/>
      <c r="P28" s="938"/>
      <c r="Q28" s="938"/>
      <c r="T28" s="970"/>
      <c r="U28" s="970"/>
      <c r="Y28" s="2312" t="s">
        <v>3303</v>
      </c>
      <c r="Z28" s="998" t="s">
        <v>3304</v>
      </c>
      <c r="AA28" s="999">
        <v>1</v>
      </c>
      <c r="AB28" s="999" t="s">
        <v>3275</v>
      </c>
      <c r="AC28" s="999" t="s">
        <v>3257</v>
      </c>
      <c r="AD28" s="999">
        <v>13</v>
      </c>
      <c r="AE28" s="1000" t="s">
        <v>3268</v>
      </c>
      <c r="AF28" s="1000">
        <v>13</v>
      </c>
      <c r="AG28" s="1011">
        <v>1500000</v>
      </c>
      <c r="AH28" s="1012">
        <f t="shared" si="2"/>
        <v>19500000</v>
      </c>
    </row>
    <row r="29" spans="1:34" x14ac:dyDescent="0.25">
      <c r="A29" s="883"/>
      <c r="B29" s="884">
        <v>2</v>
      </c>
      <c r="C29" s="885" t="str">
        <f>A272</f>
        <v xml:space="preserve">S2-PBA 2014/2015 </v>
      </c>
      <c r="D29" s="886"/>
      <c r="E29" s="879">
        <f t="shared" si="6"/>
        <v>16</v>
      </c>
      <c r="F29" s="917">
        <f>L272</f>
        <v>0</v>
      </c>
      <c r="G29" s="918">
        <f>M272</f>
        <v>14</v>
      </c>
      <c r="H29" s="919">
        <f>N272</f>
        <v>0</v>
      </c>
      <c r="I29" s="919">
        <f>O272</f>
        <v>2</v>
      </c>
      <c r="J29" s="945">
        <f>P272</f>
        <v>0</v>
      </c>
      <c r="L29" s="937"/>
      <c r="M29" s="937"/>
      <c r="N29" s="937"/>
      <c r="O29" s="937"/>
      <c r="P29" s="938"/>
      <c r="Q29" s="938"/>
      <c r="T29" s="970"/>
      <c r="U29" s="970"/>
      <c r="Y29" s="2312" t="s">
        <v>3305</v>
      </c>
      <c r="Z29" s="998" t="s">
        <v>3306</v>
      </c>
      <c r="AA29" s="999">
        <v>1</v>
      </c>
      <c r="AB29" s="999" t="s">
        <v>3275</v>
      </c>
      <c r="AC29" s="999" t="s">
        <v>3257</v>
      </c>
      <c r="AD29" s="999">
        <v>13</v>
      </c>
      <c r="AE29" s="1000" t="s">
        <v>3268</v>
      </c>
      <c r="AF29" s="1000">
        <v>13</v>
      </c>
      <c r="AG29" s="1011">
        <v>2000000</v>
      </c>
      <c r="AH29" s="1012">
        <f t="shared" si="2"/>
        <v>26000000</v>
      </c>
    </row>
    <row r="30" spans="1:34" x14ac:dyDescent="0.25">
      <c r="A30" s="883"/>
      <c r="B30" s="884">
        <v>3</v>
      </c>
      <c r="C30" s="885" t="str">
        <f>A383</f>
        <v xml:space="preserve">S2-PBA 2015/2016 </v>
      </c>
      <c r="D30" s="886"/>
      <c r="E30" s="879">
        <f t="shared" si="6"/>
        <v>10</v>
      </c>
      <c r="F30" s="917">
        <f>L383</f>
        <v>0</v>
      </c>
      <c r="G30" s="918">
        <f>M383</f>
        <v>6</v>
      </c>
      <c r="H30" s="919">
        <f>N383</f>
        <v>0</v>
      </c>
      <c r="I30" s="919">
        <f>O383</f>
        <v>4</v>
      </c>
      <c r="J30" s="945">
        <f>P383</f>
        <v>0</v>
      </c>
      <c r="L30" s="937"/>
      <c r="M30" s="937"/>
      <c r="N30" s="937"/>
      <c r="O30" s="937"/>
      <c r="P30" s="938"/>
      <c r="Q30" s="938"/>
      <c r="R30" s="971" t="s">
        <v>1096</v>
      </c>
      <c r="S30" s="752" t="s">
        <v>3266</v>
      </c>
      <c r="T30" s="970">
        <v>750000</v>
      </c>
      <c r="U30" s="970">
        <v>1500000</v>
      </c>
      <c r="Y30" s="2312" t="s">
        <v>3307</v>
      </c>
      <c r="Z30" s="998" t="s">
        <v>3308</v>
      </c>
      <c r="AA30" s="999">
        <v>1</v>
      </c>
      <c r="AB30" s="999" t="s">
        <v>3275</v>
      </c>
      <c r="AC30" s="999" t="s">
        <v>3257</v>
      </c>
      <c r="AD30" s="999">
        <v>13</v>
      </c>
      <c r="AE30" s="1000" t="s">
        <v>3268</v>
      </c>
      <c r="AF30" s="1000">
        <v>13</v>
      </c>
      <c r="AG30" s="1011">
        <v>4000000</v>
      </c>
      <c r="AH30" s="1012">
        <f t="shared" si="2"/>
        <v>52000000</v>
      </c>
    </row>
    <row r="31" spans="1:34" x14ac:dyDescent="0.25">
      <c r="A31" s="883"/>
      <c r="B31" s="884">
        <v>4</v>
      </c>
      <c r="C31" s="890" t="str">
        <f>A515</f>
        <v>S2-PBA 2016/2017</v>
      </c>
      <c r="D31" s="891"/>
      <c r="E31" s="879">
        <f t="shared" si="6"/>
        <v>19</v>
      </c>
      <c r="F31" s="921">
        <f>L515</f>
        <v>2</v>
      </c>
      <c r="G31" s="922">
        <f>M515</f>
        <v>13</v>
      </c>
      <c r="H31" s="919">
        <f>N515</f>
        <v>0</v>
      </c>
      <c r="I31" s="919">
        <f>O515</f>
        <v>0</v>
      </c>
      <c r="J31" s="945">
        <f>P515</f>
        <v>4</v>
      </c>
      <c r="K31" s="949"/>
      <c r="L31" s="937"/>
      <c r="M31" s="937"/>
      <c r="N31" s="937"/>
      <c r="O31" s="937"/>
      <c r="P31" s="938"/>
      <c r="Q31" s="938"/>
      <c r="S31" s="752" t="s">
        <v>3269</v>
      </c>
      <c r="T31" s="970">
        <v>750000</v>
      </c>
      <c r="U31" s="970">
        <v>1500000</v>
      </c>
      <c r="Y31" s="2312" t="s">
        <v>3309</v>
      </c>
      <c r="Z31" s="998" t="s">
        <v>3310</v>
      </c>
      <c r="AA31" s="999">
        <v>1</v>
      </c>
      <c r="AB31" s="999" t="s">
        <v>3275</v>
      </c>
      <c r="AC31" s="999" t="s">
        <v>3257</v>
      </c>
      <c r="AD31" s="999">
        <v>13</v>
      </c>
      <c r="AE31" s="1000" t="s">
        <v>3268</v>
      </c>
      <c r="AF31" s="1000">
        <f t="shared" si="4"/>
        <v>13</v>
      </c>
      <c r="AG31" s="1011">
        <v>10000000</v>
      </c>
      <c r="AH31" s="1012">
        <f t="shared" si="2"/>
        <v>130000000</v>
      </c>
    </row>
    <row r="32" spans="1:34" x14ac:dyDescent="0.25">
      <c r="A32" s="883"/>
      <c r="B32" s="884">
        <v>5</v>
      </c>
      <c r="C32" s="894" t="str">
        <f>A895</f>
        <v>S2-PBA 2017/2018</v>
      </c>
      <c r="D32" s="895"/>
      <c r="E32" s="879">
        <f t="shared" si="6"/>
        <v>20</v>
      </c>
      <c r="F32" s="923">
        <f>L895</f>
        <v>3</v>
      </c>
      <c r="G32" s="919">
        <f>M895</f>
        <v>9</v>
      </c>
      <c r="H32" s="919">
        <f>N895</f>
        <v>0</v>
      </c>
      <c r="I32" s="919">
        <f>O895</f>
        <v>0</v>
      </c>
      <c r="J32" s="945">
        <f>P895</f>
        <v>8</v>
      </c>
      <c r="K32" s="949"/>
      <c r="L32" s="937"/>
      <c r="M32" s="937"/>
      <c r="N32" s="937"/>
      <c r="O32" s="937"/>
      <c r="P32" s="938"/>
      <c r="Q32" s="938"/>
      <c r="S32" s="752" t="s">
        <v>3272</v>
      </c>
      <c r="T32" s="970">
        <v>1000000</v>
      </c>
      <c r="U32" s="970">
        <v>2000000</v>
      </c>
      <c r="Y32" s="997"/>
      <c r="Z32" s="998"/>
      <c r="AA32" s="999"/>
      <c r="AB32" s="999"/>
      <c r="AC32" s="999"/>
      <c r="AD32" s="999"/>
      <c r="AE32" s="1000"/>
      <c r="AF32" s="1000"/>
      <c r="AG32" s="1011"/>
      <c r="AH32" s="1012"/>
    </row>
    <row r="33" spans="1:34" x14ac:dyDescent="0.25">
      <c r="A33" s="883"/>
      <c r="B33" s="884">
        <v>6</v>
      </c>
      <c r="C33" s="894" t="str">
        <f>A1152</f>
        <v>S2-PBA 2018/2019</v>
      </c>
      <c r="D33" s="895"/>
      <c r="E33" s="879">
        <f t="shared" si="6"/>
        <v>13</v>
      </c>
      <c r="F33" s="923">
        <f>L1152</f>
        <v>7</v>
      </c>
      <c r="G33" s="919">
        <f>M1152</f>
        <v>0</v>
      </c>
      <c r="H33" s="919">
        <f>N1152</f>
        <v>2</v>
      </c>
      <c r="I33" s="919">
        <f>O1152</f>
        <v>0</v>
      </c>
      <c r="J33" s="945">
        <f>P1152</f>
        <v>4</v>
      </c>
      <c r="K33" s="949"/>
      <c r="L33" s="937"/>
      <c r="M33" s="937"/>
      <c r="N33" s="937"/>
      <c r="O33" s="937"/>
      <c r="P33" s="938"/>
      <c r="Q33" s="938"/>
      <c r="S33" s="752" t="s">
        <v>3276</v>
      </c>
      <c r="T33" s="970">
        <v>1000000</v>
      </c>
      <c r="U33" s="970">
        <v>2000000</v>
      </c>
      <c r="Y33" s="997"/>
      <c r="Z33" s="998"/>
      <c r="AA33" s="999"/>
      <c r="AB33" s="999"/>
      <c r="AC33" s="999"/>
      <c r="AD33" s="999"/>
      <c r="AE33" s="1000"/>
      <c r="AF33" s="1000"/>
      <c r="AG33" s="1011"/>
      <c r="AH33" s="1012"/>
    </row>
    <row r="34" spans="1:34" x14ac:dyDescent="0.25">
      <c r="A34" s="883"/>
      <c r="B34" s="884">
        <v>6</v>
      </c>
      <c r="C34" s="894" t="str">
        <f>A1406</f>
        <v>S2-PBA 2019/2020</v>
      </c>
      <c r="D34" s="895"/>
      <c r="E34" s="879">
        <f t="shared" si="6"/>
        <v>12</v>
      </c>
      <c r="F34" s="923">
        <f>L1406</f>
        <v>8</v>
      </c>
      <c r="G34" s="919">
        <f>M1406</f>
        <v>0</v>
      </c>
      <c r="H34" s="919">
        <f>N1406</f>
        <v>0</v>
      </c>
      <c r="I34" s="919">
        <f>O1406</f>
        <v>0</v>
      </c>
      <c r="J34" s="945">
        <f>P1406</f>
        <v>4</v>
      </c>
      <c r="K34" s="949"/>
      <c r="L34" s="937"/>
      <c r="M34" s="937">
        <v>11</v>
      </c>
      <c r="N34" s="937">
        <v>11</v>
      </c>
      <c r="O34" s="937"/>
      <c r="P34" s="938"/>
      <c r="Q34" s="938"/>
      <c r="S34" s="752" t="s">
        <v>3311</v>
      </c>
      <c r="T34" s="970">
        <v>2850000</v>
      </c>
      <c r="U34" s="970">
        <v>4000000</v>
      </c>
      <c r="Y34" s="997"/>
      <c r="Z34" s="998"/>
      <c r="AA34" s="999"/>
      <c r="AB34" s="999"/>
      <c r="AC34" s="999"/>
      <c r="AD34" s="999"/>
      <c r="AE34" s="1000"/>
      <c r="AF34" s="1000"/>
      <c r="AG34" s="1011"/>
      <c r="AH34" s="1012"/>
    </row>
    <row r="35" spans="1:34" x14ac:dyDescent="0.25">
      <c r="A35" s="897"/>
      <c r="B35" s="898">
        <v>7</v>
      </c>
      <c r="C35" s="899" t="str">
        <f>A1602</f>
        <v>S2-PBA 2020/2021</v>
      </c>
      <c r="D35" s="900"/>
      <c r="E35" s="901">
        <f t="shared" si="6"/>
        <v>20</v>
      </c>
      <c r="F35" s="924">
        <f>L1602</f>
        <v>20</v>
      </c>
      <c r="G35" s="925">
        <f>M1602</f>
        <v>0</v>
      </c>
      <c r="H35" s="925">
        <f>N1602</f>
        <v>0</v>
      </c>
      <c r="I35" s="925">
        <f>O1602</f>
        <v>0</v>
      </c>
      <c r="J35" s="946">
        <f>P1602</f>
        <v>0</v>
      </c>
      <c r="K35" s="949"/>
      <c r="L35" s="937"/>
      <c r="M35" s="937"/>
      <c r="N35" s="937"/>
      <c r="O35" s="937"/>
      <c r="P35" s="938"/>
      <c r="Q35" s="938"/>
      <c r="S35" s="752" t="s">
        <v>3312</v>
      </c>
      <c r="T35" s="970">
        <v>2850000</v>
      </c>
      <c r="U35" s="970">
        <v>4000000</v>
      </c>
      <c r="Y35" s="2312" t="s">
        <v>3313</v>
      </c>
      <c r="Z35" s="998" t="s">
        <v>3314</v>
      </c>
      <c r="AA35" s="999">
        <v>1</v>
      </c>
      <c r="AB35" s="999" t="s">
        <v>3275</v>
      </c>
      <c r="AC35" s="999" t="s">
        <v>3257</v>
      </c>
      <c r="AD35" s="999">
        <v>0</v>
      </c>
      <c r="AE35" s="1000" t="s">
        <v>3268</v>
      </c>
      <c r="AF35" s="1000">
        <f t="shared" si="4"/>
        <v>0</v>
      </c>
      <c r="AG35" s="1011">
        <v>750000</v>
      </c>
      <c r="AH35" s="1012">
        <f t="shared" si="2"/>
        <v>0</v>
      </c>
    </row>
    <row r="36" spans="1:34" x14ac:dyDescent="0.25">
      <c r="A36" s="904"/>
      <c r="B36" s="905"/>
      <c r="C36" s="905"/>
      <c r="D36" s="906"/>
      <c r="E36" s="907">
        <f>SUM(E28:E35)</f>
        <v>120</v>
      </c>
      <c r="F36" s="926">
        <f>SUM(F28:F35)</f>
        <v>40</v>
      </c>
      <c r="G36" s="927">
        <f t="shared" ref="G36:J36" si="7">SUM(G28:G35)</f>
        <v>50</v>
      </c>
      <c r="H36" s="928">
        <f t="shared" si="7"/>
        <v>2</v>
      </c>
      <c r="I36" s="947">
        <f t="shared" si="7"/>
        <v>8</v>
      </c>
      <c r="J36" s="948">
        <f t="shared" si="7"/>
        <v>20</v>
      </c>
      <c r="K36" s="949"/>
      <c r="L36" s="938"/>
      <c r="M36" s="938"/>
      <c r="N36" s="938"/>
      <c r="O36" s="938"/>
      <c r="P36" s="938"/>
      <c r="Q36" s="938"/>
      <c r="S36" s="752" t="s">
        <v>3315</v>
      </c>
      <c r="T36" s="970"/>
      <c r="U36" s="970">
        <v>10000000</v>
      </c>
      <c r="Y36" s="2312" t="s">
        <v>3316</v>
      </c>
      <c r="Z36" s="998" t="s">
        <v>3317</v>
      </c>
      <c r="AA36" s="999">
        <v>2</v>
      </c>
      <c r="AB36" s="999" t="s">
        <v>3267</v>
      </c>
      <c r="AC36" s="999" t="s">
        <v>3257</v>
      </c>
      <c r="AD36" s="999">
        <v>44</v>
      </c>
      <c r="AE36" s="1000" t="s">
        <v>3268</v>
      </c>
      <c r="AF36" s="1000">
        <f t="shared" si="4"/>
        <v>88</v>
      </c>
      <c r="AG36" s="1011">
        <v>600000</v>
      </c>
      <c r="AH36" s="1012">
        <f t="shared" si="2"/>
        <v>52800000</v>
      </c>
    </row>
    <row r="37" spans="1:34" x14ac:dyDescent="0.25">
      <c r="A37" s="904"/>
      <c r="B37" s="905"/>
      <c r="C37" s="905"/>
      <c r="D37" s="906"/>
      <c r="E37" s="911"/>
      <c r="F37" s="912"/>
      <c r="G37" s="905"/>
      <c r="H37" s="912"/>
      <c r="I37" s="912"/>
      <c r="J37" s="912"/>
      <c r="K37" s="949"/>
      <c r="L37" s="938"/>
      <c r="M37" s="938"/>
      <c r="N37" s="938"/>
      <c r="O37" s="938"/>
      <c r="P37" s="938"/>
      <c r="Q37" s="938"/>
      <c r="Y37" s="2312" t="s">
        <v>3318</v>
      </c>
      <c r="Z37" s="998" t="s">
        <v>3319</v>
      </c>
      <c r="AA37" s="999">
        <v>1</v>
      </c>
      <c r="AB37" s="999" t="s">
        <v>3275</v>
      </c>
      <c r="AC37" s="999" t="s">
        <v>3257</v>
      </c>
      <c r="AD37" s="999">
        <v>20</v>
      </c>
      <c r="AE37" s="1000" t="s">
        <v>3268</v>
      </c>
      <c r="AF37" s="1000">
        <f t="shared" si="4"/>
        <v>20</v>
      </c>
      <c r="AG37" s="1011">
        <v>500000</v>
      </c>
      <c r="AH37" s="1012">
        <f t="shared" si="2"/>
        <v>10000000</v>
      </c>
    </row>
    <row r="38" spans="1:34" x14ac:dyDescent="0.25">
      <c r="A38" s="875" t="s">
        <v>1195</v>
      </c>
      <c r="B38" s="876">
        <v>1</v>
      </c>
      <c r="C38" s="877" t="str">
        <f>A217</f>
        <v>S2-ES 2013/2014 (GEL I)</v>
      </c>
      <c r="D38" s="878"/>
      <c r="E38" s="913">
        <f t="shared" ref="E38:E46" si="8">SUM(F38,G38,H38,I38,J38)</f>
        <v>7</v>
      </c>
      <c r="F38" s="914">
        <f>L217</f>
        <v>0</v>
      </c>
      <c r="G38" s="915">
        <f>M217</f>
        <v>7</v>
      </c>
      <c r="H38" s="916">
        <f>N217</f>
        <v>0</v>
      </c>
      <c r="I38" s="916">
        <f>O217</f>
        <v>0</v>
      </c>
      <c r="J38" s="944">
        <f>P217</f>
        <v>0</v>
      </c>
      <c r="K38" s="950"/>
      <c r="L38" s="937"/>
      <c r="M38" s="937"/>
      <c r="N38" s="937"/>
      <c r="O38" s="937"/>
      <c r="P38" s="938"/>
      <c r="Q38" s="938"/>
      <c r="Y38" s="2312" t="s">
        <v>3320</v>
      </c>
      <c r="Z38" s="998" t="s">
        <v>3321</v>
      </c>
      <c r="AA38" s="999">
        <v>1</v>
      </c>
      <c r="AB38" s="999" t="s">
        <v>3275</v>
      </c>
      <c r="AC38" s="999" t="s">
        <v>3257</v>
      </c>
      <c r="AD38" s="999">
        <v>16</v>
      </c>
      <c r="AE38" s="1000" t="s">
        <v>3268</v>
      </c>
      <c r="AF38" s="1000">
        <f t="shared" si="4"/>
        <v>16</v>
      </c>
      <c r="AG38" s="1011">
        <v>600000</v>
      </c>
      <c r="AH38" s="1012">
        <f t="shared" si="2"/>
        <v>9600000</v>
      </c>
    </row>
    <row r="39" spans="1:34" x14ac:dyDescent="0.25">
      <c r="A39" s="883"/>
      <c r="B39" s="884">
        <v>2</v>
      </c>
      <c r="C39" s="885" t="str">
        <f>A226</f>
        <v>S2-ES 2013/2014 (GEL II)</v>
      </c>
      <c r="D39" s="886"/>
      <c r="E39" s="879">
        <f t="shared" si="8"/>
        <v>11</v>
      </c>
      <c r="F39" s="917">
        <f>L226</f>
        <v>0</v>
      </c>
      <c r="G39" s="918">
        <f>M226</f>
        <v>8</v>
      </c>
      <c r="H39" s="919">
        <f>N226</f>
        <v>0</v>
      </c>
      <c r="I39" s="919">
        <f>O226</f>
        <v>3</v>
      </c>
      <c r="J39" s="945">
        <f>P226</f>
        <v>0</v>
      </c>
      <c r="K39" s="950"/>
      <c r="L39" s="937"/>
      <c r="M39" s="937"/>
      <c r="N39" s="937"/>
      <c r="O39" s="937"/>
      <c r="P39" s="938"/>
      <c r="Q39" s="938"/>
      <c r="Y39" s="988"/>
      <c r="Z39" s="1001"/>
      <c r="AA39" s="1002"/>
      <c r="AB39" s="1002"/>
      <c r="AC39" s="1002"/>
      <c r="AD39" s="1002"/>
      <c r="AE39" s="1002"/>
      <c r="AF39" s="1002"/>
      <c r="AG39" s="1006" t="s">
        <v>3246</v>
      </c>
      <c r="AH39" s="1014">
        <f>SUM(AH16:AH38)</f>
        <v>1016563635</v>
      </c>
    </row>
    <row r="40" spans="1:34" x14ac:dyDescent="0.25">
      <c r="A40" s="883"/>
      <c r="B40" s="884">
        <v>3</v>
      </c>
      <c r="C40" s="885" t="str">
        <f>A328</f>
        <v>S2-ES 2014/2015</v>
      </c>
      <c r="D40" s="886"/>
      <c r="E40" s="879">
        <f t="shared" si="8"/>
        <v>15</v>
      </c>
      <c r="F40" s="917">
        <f>L328</f>
        <v>0</v>
      </c>
      <c r="G40" s="918">
        <f>M328</f>
        <v>12</v>
      </c>
      <c r="H40" s="919">
        <f>N328</f>
        <v>0</v>
      </c>
      <c r="I40" s="919">
        <f>O328</f>
        <v>3</v>
      </c>
      <c r="J40" s="945">
        <f>P328</f>
        <v>0</v>
      </c>
      <c r="K40" s="950"/>
      <c r="L40" s="937"/>
      <c r="M40" s="937"/>
      <c r="N40" s="937"/>
      <c r="O40" s="937"/>
      <c r="P40" s="938"/>
      <c r="Q40" s="938"/>
      <c r="Y40" s="1003"/>
      <c r="Z40" s="1003"/>
      <c r="AA40" s="974"/>
      <c r="AB40" s="974"/>
      <c r="AC40" s="974"/>
      <c r="AD40" s="974"/>
      <c r="AE40" s="974"/>
      <c r="AF40" s="974"/>
      <c r="AG40" s="974"/>
      <c r="AH40" s="974"/>
    </row>
    <row r="41" spans="1:34" x14ac:dyDescent="0.25">
      <c r="A41" s="883"/>
      <c r="B41" s="884">
        <v>4</v>
      </c>
      <c r="C41" s="885" t="str">
        <f>A420</f>
        <v xml:space="preserve">S2-ES 2015/2016 </v>
      </c>
      <c r="D41" s="886"/>
      <c r="E41" s="879">
        <f t="shared" si="8"/>
        <v>11</v>
      </c>
      <c r="F41" s="917">
        <f>L420</f>
        <v>0</v>
      </c>
      <c r="G41" s="918">
        <f>M420</f>
        <v>9</v>
      </c>
      <c r="H41" s="919">
        <f>N420</f>
        <v>0</v>
      </c>
      <c r="I41" s="919">
        <f>O420</f>
        <v>2</v>
      </c>
      <c r="J41" s="945">
        <f>P420</f>
        <v>0</v>
      </c>
      <c r="K41" s="950"/>
      <c r="L41" s="937"/>
      <c r="M41" s="937"/>
      <c r="N41" s="937"/>
      <c r="O41" s="937"/>
      <c r="P41" s="938"/>
      <c r="Q41" s="938"/>
      <c r="Y41" s="1003"/>
      <c r="Z41" s="1003"/>
      <c r="AA41" s="974"/>
      <c r="AB41" s="974"/>
      <c r="AC41" s="974"/>
      <c r="AD41" s="974"/>
      <c r="AE41" s="974"/>
      <c r="AF41" s="974"/>
      <c r="AG41" s="974"/>
      <c r="AH41" s="974"/>
    </row>
    <row r="42" spans="1:34" x14ac:dyDescent="0.25">
      <c r="A42" s="883"/>
      <c r="B42" s="884">
        <v>5</v>
      </c>
      <c r="C42" s="890" t="str">
        <f>A536</f>
        <v>S2-ES 2016/2017</v>
      </c>
      <c r="D42" s="891"/>
      <c r="E42" s="879">
        <f t="shared" si="8"/>
        <v>27</v>
      </c>
      <c r="F42" s="921">
        <f>L536</f>
        <v>1</v>
      </c>
      <c r="G42" s="922">
        <f>M536</f>
        <v>17</v>
      </c>
      <c r="H42" s="919">
        <f>N536</f>
        <v>0</v>
      </c>
      <c r="I42" s="919">
        <f>O536</f>
        <v>2</v>
      </c>
      <c r="J42" s="945">
        <f>P536</f>
        <v>7</v>
      </c>
      <c r="K42" s="950"/>
      <c r="L42" s="937"/>
      <c r="M42" s="937"/>
      <c r="N42" s="937"/>
      <c r="O42" s="937"/>
      <c r="P42" s="938"/>
      <c r="Q42" s="938"/>
      <c r="Y42" s="1003"/>
      <c r="Z42" s="1003"/>
      <c r="AA42" s="974"/>
      <c r="AB42" s="974"/>
      <c r="AC42" s="974"/>
      <c r="AD42" s="974"/>
      <c r="AE42" s="974"/>
      <c r="AF42" s="974"/>
      <c r="AG42" s="974"/>
      <c r="AH42" s="974"/>
    </row>
    <row r="43" spans="1:34" x14ac:dyDescent="0.25">
      <c r="A43" s="883"/>
      <c r="B43" s="884">
        <v>6</v>
      </c>
      <c r="C43" s="894" t="str">
        <f>A835</f>
        <v>S2-ES 2017/2018</v>
      </c>
      <c r="D43" s="895"/>
      <c r="E43" s="929">
        <f t="shared" si="8"/>
        <v>37</v>
      </c>
      <c r="F43" s="923">
        <f>L835</f>
        <v>4</v>
      </c>
      <c r="G43" s="919">
        <f>M835</f>
        <v>18</v>
      </c>
      <c r="H43" s="919">
        <f>N835</f>
        <v>1</v>
      </c>
      <c r="I43" s="919">
        <f>O835</f>
        <v>0</v>
      </c>
      <c r="J43" s="945">
        <f>P835</f>
        <v>14</v>
      </c>
      <c r="K43" s="950"/>
      <c r="L43" s="937"/>
      <c r="M43" s="937"/>
      <c r="N43" s="937"/>
      <c r="O43" s="937"/>
      <c r="P43" s="938"/>
      <c r="Q43" s="938"/>
      <c r="Y43" s="1003"/>
      <c r="Z43" s="1003"/>
      <c r="AA43" s="974"/>
      <c r="AB43" s="974"/>
      <c r="AC43" s="974"/>
      <c r="AD43" s="974"/>
      <c r="AE43" s="974"/>
      <c r="AF43" s="974"/>
      <c r="AG43" s="974"/>
      <c r="AH43" s="974"/>
    </row>
    <row r="44" spans="1:34" x14ac:dyDescent="0.25">
      <c r="A44" s="883"/>
      <c r="B44" s="884">
        <v>7</v>
      </c>
      <c r="C44" s="894" t="str">
        <f>A1095</f>
        <v>S2-ES 2018/2019</v>
      </c>
      <c r="D44" s="895"/>
      <c r="E44" s="929">
        <f t="shared" si="8"/>
        <v>54</v>
      </c>
      <c r="F44" s="923">
        <f>L1095</f>
        <v>27</v>
      </c>
      <c r="G44" s="919">
        <f>M1095</f>
        <v>11</v>
      </c>
      <c r="H44" s="919">
        <f>N1095</f>
        <v>7</v>
      </c>
      <c r="I44" s="919">
        <f>O1095</f>
        <v>2</v>
      </c>
      <c r="J44" s="945">
        <f>P1095</f>
        <v>7</v>
      </c>
      <c r="K44" s="950"/>
      <c r="L44" s="937"/>
      <c r="M44" s="937"/>
      <c r="N44" s="937"/>
      <c r="O44" s="937"/>
      <c r="P44" s="938"/>
      <c r="Q44" s="938"/>
      <c r="Y44" s="1003"/>
      <c r="Z44" s="1003"/>
      <c r="AA44" s="974"/>
      <c r="AB44" s="974"/>
      <c r="AC44" s="974"/>
      <c r="AD44" s="974"/>
      <c r="AE44" s="974"/>
      <c r="AF44" s="974"/>
      <c r="AG44" s="974"/>
      <c r="AH44" s="974"/>
    </row>
    <row r="45" spans="1:34" x14ac:dyDescent="0.25">
      <c r="A45" s="883"/>
      <c r="B45" s="884">
        <v>7</v>
      </c>
      <c r="C45" s="894" t="str">
        <f>A1369</f>
        <v>S2-ES 2019/2020</v>
      </c>
      <c r="D45" s="895"/>
      <c r="E45" s="929">
        <f t="shared" ref="E45" si="9">SUM(F45,G45,H45,I45,J45)</f>
        <v>34</v>
      </c>
      <c r="F45" s="923">
        <f>L1369</f>
        <v>33</v>
      </c>
      <c r="G45" s="919">
        <f>M1369</f>
        <v>0</v>
      </c>
      <c r="H45" s="919">
        <f>N1369</f>
        <v>1</v>
      </c>
      <c r="I45" s="919">
        <f>O1369</f>
        <v>0</v>
      </c>
      <c r="J45" s="945">
        <f>P1369</f>
        <v>0</v>
      </c>
      <c r="K45" s="950"/>
      <c r="L45" s="937"/>
      <c r="M45" s="937">
        <v>43</v>
      </c>
      <c r="N45" s="937">
        <v>39</v>
      </c>
      <c r="O45" s="937"/>
      <c r="P45" s="938"/>
      <c r="Q45" s="938"/>
      <c r="Y45" s="1003"/>
      <c r="Z45" s="1003"/>
      <c r="AA45" s="974"/>
      <c r="AB45" s="974"/>
      <c r="AC45" s="974"/>
      <c r="AD45" s="974"/>
      <c r="AE45" s="974"/>
      <c r="AF45" s="974"/>
      <c r="AG45" s="974"/>
      <c r="AH45" s="974"/>
    </row>
    <row r="46" spans="1:34" x14ac:dyDescent="0.25">
      <c r="A46" s="897"/>
      <c r="B46" s="898">
        <v>8</v>
      </c>
      <c r="C46" s="930" t="str">
        <f>A1624</f>
        <v>S2-ES 2020/2021</v>
      </c>
      <c r="D46" s="900"/>
      <c r="E46" s="931">
        <f t="shared" si="8"/>
        <v>31</v>
      </c>
      <c r="F46" s="924">
        <f>L1624</f>
        <v>31</v>
      </c>
      <c r="G46" s="925">
        <f>M1624</f>
        <v>0</v>
      </c>
      <c r="H46" s="925">
        <f>N1624</f>
        <v>0</v>
      </c>
      <c r="I46" s="925">
        <f>O1624</f>
        <v>0</v>
      </c>
      <c r="J46" s="946">
        <f>P1624</f>
        <v>0</v>
      </c>
      <c r="K46" s="950"/>
      <c r="L46" s="937"/>
      <c r="M46" s="937"/>
      <c r="N46" s="937"/>
      <c r="O46" s="937"/>
      <c r="P46" s="938"/>
      <c r="Q46" s="938"/>
      <c r="Y46" s="1003"/>
      <c r="Z46" s="1003"/>
      <c r="AA46" s="974"/>
      <c r="AB46" s="974"/>
      <c r="AC46" s="974"/>
      <c r="AD46" s="974"/>
      <c r="AE46" s="974"/>
      <c r="AF46" s="974"/>
      <c r="AG46" s="974"/>
      <c r="AH46" s="974"/>
    </row>
    <row r="47" spans="1:34" x14ac:dyDescent="0.25">
      <c r="A47" s="904"/>
      <c r="B47" s="905"/>
      <c r="C47" s="905"/>
      <c r="D47" s="906"/>
      <c r="E47" s="907">
        <f>SUM(E38:E46)</f>
        <v>227</v>
      </c>
      <c r="F47" s="926">
        <f>SUM(F38:F46)</f>
        <v>96</v>
      </c>
      <c r="G47" s="927">
        <f t="shared" ref="G47:J47" si="10">SUM(G38:G46)</f>
        <v>82</v>
      </c>
      <c r="H47" s="928">
        <f t="shared" si="10"/>
        <v>9</v>
      </c>
      <c r="I47" s="947">
        <f t="shared" si="10"/>
        <v>12</v>
      </c>
      <c r="J47" s="948">
        <f t="shared" si="10"/>
        <v>28</v>
      </c>
      <c r="L47" s="938"/>
      <c r="M47" s="938"/>
      <c r="N47" s="938"/>
      <c r="O47" s="938"/>
      <c r="P47" s="938"/>
      <c r="Q47" s="938"/>
      <c r="Y47" s="1003"/>
      <c r="Z47" s="1003"/>
      <c r="AA47" s="974"/>
      <c r="AB47" s="974"/>
      <c r="AC47" s="974"/>
      <c r="AD47" s="974"/>
      <c r="AE47" s="974"/>
      <c r="AF47" s="974"/>
      <c r="AG47" s="974"/>
      <c r="AH47" s="974"/>
    </row>
    <row r="48" spans="1:34" x14ac:dyDescent="0.25">
      <c r="A48" s="904"/>
      <c r="B48" s="905"/>
      <c r="C48" s="905"/>
      <c r="D48" s="906"/>
      <c r="E48" s="911"/>
      <c r="F48" s="932"/>
      <c r="G48" s="932"/>
      <c r="H48" s="932"/>
      <c r="I48" s="932"/>
      <c r="J48" s="932"/>
      <c r="L48" s="938"/>
      <c r="M48" s="938"/>
      <c r="N48" s="938"/>
      <c r="O48" s="938"/>
      <c r="P48" s="938"/>
      <c r="Q48" s="938"/>
      <c r="Y48" s="1003"/>
      <c r="Z48" s="1003"/>
      <c r="AA48" s="974"/>
      <c r="AB48" s="974"/>
      <c r="AC48" s="974"/>
      <c r="AD48" s="974"/>
      <c r="AE48" s="974"/>
      <c r="AF48" s="974"/>
      <c r="AG48" s="974"/>
      <c r="AH48" s="974"/>
    </row>
    <row r="49" spans="1:34" x14ac:dyDescent="0.25">
      <c r="A49" s="875" t="s">
        <v>1328</v>
      </c>
      <c r="B49" s="876">
        <v>1</v>
      </c>
      <c r="C49" s="877" t="str">
        <f>A345</f>
        <v>S2-PAI 2015/2016</v>
      </c>
      <c r="D49" s="878"/>
      <c r="E49" s="913">
        <f t="shared" ref="E49:E54" si="11">SUM(F49,G49,H49,I49,J49)</f>
        <v>36</v>
      </c>
      <c r="F49" s="914">
        <f>L345</f>
        <v>0</v>
      </c>
      <c r="G49" s="915">
        <f>M345</f>
        <v>29</v>
      </c>
      <c r="H49" s="916">
        <f>N345</f>
        <v>0</v>
      </c>
      <c r="I49" s="916">
        <f>O345</f>
        <v>7</v>
      </c>
      <c r="J49" s="944">
        <f>P345</f>
        <v>0</v>
      </c>
      <c r="L49" s="937">
        <v>40</v>
      </c>
      <c r="M49" s="937"/>
      <c r="N49" s="937"/>
      <c r="O49" s="937"/>
      <c r="P49" s="938"/>
      <c r="Q49" s="938"/>
      <c r="Y49" s="1003"/>
      <c r="Z49" s="1003"/>
      <c r="AA49" s="974"/>
      <c r="AB49" s="974"/>
      <c r="AC49" s="974"/>
      <c r="AD49" s="974"/>
      <c r="AE49" s="974"/>
      <c r="AF49" s="974"/>
      <c r="AG49" s="974"/>
      <c r="AH49" s="974"/>
    </row>
    <row r="50" spans="1:34" x14ac:dyDescent="0.25">
      <c r="A50" s="883"/>
      <c r="B50" s="884">
        <v>2</v>
      </c>
      <c r="C50" s="890" t="str">
        <f>A598</f>
        <v>S2-PAI 2016/2017</v>
      </c>
      <c r="D50" s="891"/>
      <c r="E50" s="879">
        <f t="shared" si="11"/>
        <v>50</v>
      </c>
      <c r="F50" s="921">
        <f>L598</f>
        <v>2</v>
      </c>
      <c r="G50" s="922">
        <f>M598</f>
        <v>35</v>
      </c>
      <c r="H50" s="919">
        <f>N598</f>
        <v>0</v>
      </c>
      <c r="I50" s="919">
        <f>O598</f>
        <v>5</v>
      </c>
      <c r="J50" s="945">
        <f>P598</f>
        <v>8</v>
      </c>
      <c r="L50" s="937">
        <v>60</v>
      </c>
      <c r="M50" s="937"/>
      <c r="N50" s="937"/>
      <c r="O50" s="937"/>
      <c r="P50" s="938"/>
      <c r="Q50" s="938"/>
      <c r="Y50" s="1003"/>
      <c r="Z50" s="1003"/>
      <c r="AA50" s="974"/>
      <c r="AB50" s="974"/>
      <c r="AC50" s="974"/>
      <c r="AD50" s="974"/>
      <c r="AE50" s="974"/>
      <c r="AF50" s="974"/>
      <c r="AG50" s="974"/>
      <c r="AH50" s="974"/>
    </row>
    <row r="51" spans="1:34" x14ac:dyDescent="0.25">
      <c r="A51" s="883"/>
      <c r="B51" s="884">
        <v>3</v>
      </c>
      <c r="C51" s="894" t="str">
        <f>A732</f>
        <v>S2-PAI 2017/2018</v>
      </c>
      <c r="D51" s="895"/>
      <c r="E51" s="879">
        <f t="shared" si="11"/>
        <v>53</v>
      </c>
      <c r="F51" s="923">
        <f>L732</f>
        <v>17</v>
      </c>
      <c r="G51" s="919">
        <f>M732</f>
        <v>25</v>
      </c>
      <c r="H51" s="919">
        <f>N732</f>
        <v>0</v>
      </c>
      <c r="I51" s="919">
        <f>O732</f>
        <v>2</v>
      </c>
      <c r="J51" s="945">
        <f>P732</f>
        <v>9</v>
      </c>
      <c r="L51" s="937">
        <v>60</v>
      </c>
      <c r="M51" s="937"/>
      <c r="N51" s="937"/>
      <c r="O51" s="937"/>
      <c r="P51" s="938"/>
      <c r="Q51" s="938"/>
      <c r="Y51" s="1003"/>
      <c r="Z51" s="1003"/>
      <c r="AA51" s="974"/>
      <c r="AB51" s="974"/>
      <c r="AC51" s="974"/>
      <c r="AD51" s="974"/>
      <c r="AE51" s="974"/>
      <c r="AF51" s="974"/>
      <c r="AG51" s="974"/>
      <c r="AH51" s="974"/>
    </row>
    <row r="52" spans="1:34" x14ac:dyDescent="0.25">
      <c r="A52" s="883"/>
      <c r="B52" s="884">
        <v>4</v>
      </c>
      <c r="C52" s="894" t="str">
        <f>A1035</f>
        <v>S2-PAI 2018/2019</v>
      </c>
      <c r="D52" s="895"/>
      <c r="E52" s="879">
        <f t="shared" si="11"/>
        <v>57</v>
      </c>
      <c r="F52" s="923">
        <f>L1035</f>
        <v>25</v>
      </c>
      <c r="G52" s="919">
        <f>M1035</f>
        <v>9</v>
      </c>
      <c r="H52" s="919">
        <f>N1035</f>
        <v>15</v>
      </c>
      <c r="I52" s="919">
        <f>O1035</f>
        <v>2</v>
      </c>
      <c r="J52" s="945">
        <f>P1035</f>
        <v>6</v>
      </c>
      <c r="L52" s="937">
        <v>60</v>
      </c>
      <c r="M52" s="937"/>
      <c r="N52" s="937"/>
      <c r="O52" s="937"/>
      <c r="P52" s="938"/>
      <c r="Q52" s="938"/>
      <c r="Y52" s="1003"/>
      <c r="Z52" s="1003"/>
      <c r="AA52" s="974"/>
      <c r="AB52" s="974"/>
      <c r="AC52" s="974"/>
      <c r="AD52" s="974"/>
      <c r="AE52" s="974"/>
      <c r="AF52" s="974"/>
      <c r="AG52" s="974"/>
      <c r="AH52" s="974"/>
    </row>
    <row r="53" spans="1:34" x14ac:dyDescent="0.25">
      <c r="A53" s="883"/>
      <c r="B53" s="884">
        <v>4</v>
      </c>
      <c r="C53" s="894" t="str">
        <f>A1250</f>
        <v>S2-PAI 2019/2020</v>
      </c>
      <c r="D53" s="895"/>
      <c r="E53" s="879">
        <f t="shared" ref="E53" si="12">SUM(F53,G53,H53,I53,J53)</f>
        <v>73</v>
      </c>
      <c r="F53" s="923">
        <f>L1250</f>
        <v>66</v>
      </c>
      <c r="G53" s="919">
        <f>M1250</f>
        <v>0</v>
      </c>
      <c r="H53" s="919">
        <f>N1250</f>
        <v>3</v>
      </c>
      <c r="I53" s="919">
        <f>O1250</f>
        <v>0</v>
      </c>
      <c r="J53" s="945">
        <f>P1250</f>
        <v>4</v>
      </c>
      <c r="L53" s="937">
        <v>80</v>
      </c>
      <c r="M53" s="937">
        <v>400</v>
      </c>
      <c r="N53" s="937">
        <v>77</v>
      </c>
      <c r="O53" s="937"/>
      <c r="P53" s="938"/>
      <c r="Q53" s="938"/>
      <c r="Y53" s="1003"/>
      <c r="Z53" s="1003"/>
      <c r="AA53" s="974"/>
      <c r="AB53" s="974"/>
      <c r="AC53" s="974"/>
      <c r="AD53" s="974"/>
      <c r="AE53" s="974"/>
      <c r="AF53" s="974"/>
      <c r="AG53" s="974"/>
      <c r="AH53" s="974"/>
    </row>
    <row r="54" spans="1:34" x14ac:dyDescent="0.25">
      <c r="A54" s="897"/>
      <c r="B54" s="898">
        <v>5</v>
      </c>
      <c r="C54" s="930" t="str">
        <f>A1657</f>
        <v>S2-PAI 2020/2021</v>
      </c>
      <c r="D54" s="900"/>
      <c r="E54" s="901">
        <f t="shared" si="11"/>
        <v>54</v>
      </c>
      <c r="F54" s="924">
        <f>L1657</f>
        <v>54</v>
      </c>
      <c r="G54" s="925">
        <f>M1657</f>
        <v>0</v>
      </c>
      <c r="H54" s="925">
        <f>N1657</f>
        <v>0</v>
      </c>
      <c r="I54" s="925">
        <f>O1657</f>
        <v>0</v>
      </c>
      <c r="J54" s="946">
        <f>P1657</f>
        <v>0</v>
      </c>
      <c r="L54" s="937">
        <v>80</v>
      </c>
      <c r="M54" s="937"/>
      <c r="N54" s="937"/>
      <c r="O54" s="937"/>
      <c r="P54" s="938"/>
      <c r="Q54" s="938"/>
      <c r="Y54" s="1003"/>
      <c r="Z54" s="1003"/>
      <c r="AA54" s="974"/>
      <c r="AB54" s="974"/>
      <c r="AC54" s="974"/>
      <c r="AD54" s="974"/>
      <c r="AE54" s="974"/>
      <c r="AF54" s="974"/>
      <c r="AG54" s="974"/>
      <c r="AH54" s="974"/>
    </row>
    <row r="55" spans="1:34" x14ac:dyDescent="0.25">
      <c r="A55" s="904"/>
      <c r="B55" s="905"/>
      <c r="C55" s="905"/>
      <c r="D55" s="906"/>
      <c r="E55" s="907">
        <f>SUM(E49:E54)</f>
        <v>323</v>
      </c>
      <c r="F55" s="926">
        <f>SUM(F49:F54)</f>
        <v>164</v>
      </c>
      <c r="G55" s="927">
        <f t="shared" ref="G55:J55" si="13">SUM(G49:G54)</f>
        <v>98</v>
      </c>
      <c r="H55" s="928">
        <f t="shared" si="13"/>
        <v>18</v>
      </c>
      <c r="I55" s="947">
        <f t="shared" si="13"/>
        <v>16</v>
      </c>
      <c r="J55" s="948">
        <f t="shared" si="13"/>
        <v>27</v>
      </c>
      <c r="L55" s="938"/>
      <c r="M55" s="938"/>
      <c r="N55" s="938"/>
      <c r="O55" s="938"/>
      <c r="P55" s="938"/>
      <c r="Q55" s="938"/>
      <c r="Y55" s="1003"/>
      <c r="Z55" s="1003"/>
      <c r="AA55" s="974"/>
      <c r="AB55" s="974"/>
      <c r="AC55" s="974"/>
      <c r="AD55" s="974"/>
      <c r="AE55" s="974"/>
      <c r="AF55" s="974"/>
      <c r="AG55" s="974"/>
      <c r="AH55" s="974"/>
    </row>
    <row r="56" spans="1:34" x14ac:dyDescent="0.25">
      <c r="A56" s="904"/>
      <c r="B56" s="905"/>
      <c r="C56" s="905"/>
      <c r="D56" s="906"/>
      <c r="E56" s="911"/>
      <c r="F56" s="932"/>
      <c r="G56" s="932"/>
      <c r="H56" s="932"/>
      <c r="I56" s="932"/>
      <c r="J56" s="932"/>
      <c r="L56" s="938"/>
      <c r="M56" s="938"/>
      <c r="N56" s="938"/>
      <c r="O56" s="938"/>
      <c r="P56" s="938"/>
      <c r="Q56" s="938"/>
      <c r="Y56" s="1003"/>
      <c r="Z56" s="1003"/>
      <c r="AA56" s="974"/>
      <c r="AB56" s="974"/>
      <c r="AC56" s="974"/>
      <c r="AD56" s="974"/>
      <c r="AE56" s="974"/>
      <c r="AF56" s="974"/>
      <c r="AG56" s="974"/>
      <c r="AH56" s="974"/>
    </row>
    <row r="57" spans="1:34" x14ac:dyDescent="0.25">
      <c r="A57" s="875" t="s">
        <v>1441</v>
      </c>
      <c r="B57" s="876">
        <v>1</v>
      </c>
      <c r="C57" s="877" t="str">
        <f>A451</f>
        <v>S2-KPI 2015/2016</v>
      </c>
      <c r="D57" s="878"/>
      <c r="E57" s="913">
        <f t="shared" ref="E57:E62" si="14">SUM(F57,G57,H57,I57,J57)</f>
        <v>12</v>
      </c>
      <c r="F57" s="914">
        <f>L451</f>
        <v>0</v>
      </c>
      <c r="G57" s="915">
        <f>M451</f>
        <v>9</v>
      </c>
      <c r="H57" s="916">
        <f>N451</f>
        <v>0</v>
      </c>
      <c r="I57" s="916">
        <f>O451</f>
        <v>3</v>
      </c>
      <c r="J57" s="944">
        <f>P451</f>
        <v>0</v>
      </c>
      <c r="L57" s="937"/>
      <c r="M57" s="937"/>
      <c r="N57" s="937"/>
      <c r="O57" s="937"/>
      <c r="P57" s="938"/>
      <c r="Q57" s="938"/>
      <c r="Y57" s="1003"/>
      <c r="Z57" s="1003"/>
      <c r="AA57" s="974"/>
      <c r="AB57" s="974"/>
      <c r="AC57" s="974"/>
      <c r="AD57" s="974"/>
      <c r="AE57" s="974"/>
      <c r="AF57" s="974"/>
      <c r="AG57" s="974"/>
      <c r="AH57" s="974"/>
    </row>
    <row r="58" spans="1:34" x14ac:dyDescent="0.25">
      <c r="A58" s="883"/>
      <c r="B58" s="884">
        <v>2</v>
      </c>
      <c r="C58" s="890" t="str">
        <f>A589</f>
        <v>S2-KPI 2016/2017</v>
      </c>
      <c r="D58" s="891"/>
      <c r="E58" s="879">
        <f t="shared" si="14"/>
        <v>7</v>
      </c>
      <c r="F58" s="921">
        <f>L589</f>
        <v>1</v>
      </c>
      <c r="G58" s="922">
        <f>M589</f>
        <v>4</v>
      </c>
      <c r="H58" s="919">
        <f>N589</f>
        <v>0</v>
      </c>
      <c r="I58" s="919">
        <f>O589</f>
        <v>1</v>
      </c>
      <c r="J58" s="945">
        <f>P589</f>
        <v>1</v>
      </c>
      <c r="L58" s="937"/>
      <c r="M58" s="937"/>
      <c r="N58" s="937"/>
      <c r="O58" s="937"/>
      <c r="P58" s="938"/>
      <c r="Q58" s="938"/>
      <c r="Y58" s="1003"/>
      <c r="Z58" s="1003"/>
      <c r="AA58" s="974"/>
      <c r="AB58" s="974"/>
      <c r="AC58" s="974"/>
      <c r="AD58" s="974"/>
      <c r="AE58" s="974"/>
      <c r="AF58" s="974"/>
      <c r="AG58" s="974"/>
      <c r="AH58" s="974"/>
    </row>
    <row r="59" spans="1:34" x14ac:dyDescent="0.25">
      <c r="A59" s="883"/>
      <c r="B59" s="884">
        <v>3</v>
      </c>
      <c r="C59" s="894" t="str">
        <f>A933</f>
        <v>S2-KPI 2017/2018</v>
      </c>
      <c r="D59" s="895"/>
      <c r="E59" s="879">
        <f t="shared" si="14"/>
        <v>14</v>
      </c>
      <c r="F59" s="923">
        <f>L933</f>
        <v>2</v>
      </c>
      <c r="G59" s="919">
        <f>M933</f>
        <v>8</v>
      </c>
      <c r="H59" s="919">
        <f>N933</f>
        <v>0</v>
      </c>
      <c r="I59" s="919">
        <f>O933</f>
        <v>1</v>
      </c>
      <c r="J59" s="945">
        <f>P933</f>
        <v>3</v>
      </c>
      <c r="L59" s="937"/>
      <c r="M59" s="937"/>
      <c r="N59" s="937"/>
      <c r="O59" s="937"/>
      <c r="P59" s="938"/>
      <c r="Q59" s="938"/>
      <c r="Y59" s="1003"/>
      <c r="Z59" s="1003"/>
      <c r="AA59" s="974"/>
      <c r="AB59" s="974"/>
      <c r="AC59" s="974"/>
      <c r="AD59" s="974"/>
      <c r="AE59" s="974"/>
      <c r="AF59" s="974"/>
      <c r="AG59" s="974"/>
      <c r="AH59" s="974"/>
    </row>
    <row r="60" spans="1:34" x14ac:dyDescent="0.25">
      <c r="A60" s="883"/>
      <c r="B60" s="884">
        <v>4</v>
      </c>
      <c r="C60" s="894" t="str">
        <f>A1225</f>
        <v>S2-KPI 2018/2019</v>
      </c>
      <c r="D60" s="895"/>
      <c r="E60" s="879">
        <f t="shared" si="14"/>
        <v>8</v>
      </c>
      <c r="F60" s="923">
        <f>L1225</f>
        <v>1</v>
      </c>
      <c r="G60" s="919">
        <f>M1225</f>
        <v>4</v>
      </c>
      <c r="H60" s="919">
        <f>N1225</f>
        <v>0</v>
      </c>
      <c r="I60" s="919">
        <f>O1225</f>
        <v>1</v>
      </c>
      <c r="J60" s="945">
        <f>P1225</f>
        <v>2</v>
      </c>
      <c r="L60" s="937"/>
      <c r="M60" s="937"/>
      <c r="N60" s="937"/>
      <c r="O60" s="937"/>
      <c r="P60" s="938"/>
      <c r="Q60" s="938"/>
      <c r="Y60" s="1003"/>
      <c r="Z60" s="1003"/>
      <c r="AA60" s="974"/>
      <c r="AB60" s="974"/>
      <c r="AC60" s="974"/>
      <c r="AD60" s="974"/>
      <c r="AE60" s="974"/>
      <c r="AF60" s="974"/>
      <c r="AG60" s="974"/>
      <c r="AH60" s="974"/>
    </row>
    <row r="61" spans="1:34" x14ac:dyDescent="0.25">
      <c r="A61" s="883"/>
      <c r="B61" s="884">
        <v>4</v>
      </c>
      <c r="C61" s="894" t="str">
        <f>A1440</f>
        <v>S2-KPI 2019/2020</v>
      </c>
      <c r="D61" s="895"/>
      <c r="E61" s="879">
        <f t="shared" ref="E61" si="15">SUM(F61,G61,H61,I61,J61)</f>
        <v>11</v>
      </c>
      <c r="F61" s="923">
        <f>L1440</f>
        <v>9</v>
      </c>
      <c r="G61" s="919">
        <f>M1440</f>
        <v>0</v>
      </c>
      <c r="H61" s="919">
        <f>N1440</f>
        <v>0</v>
      </c>
      <c r="I61" s="919">
        <f>O1440</f>
        <v>0</v>
      </c>
      <c r="J61" s="945">
        <f>P1440</f>
        <v>2</v>
      </c>
      <c r="L61" s="937"/>
      <c r="M61" s="937">
        <v>15</v>
      </c>
      <c r="N61" s="937">
        <v>12</v>
      </c>
      <c r="O61" s="937"/>
      <c r="P61" s="938"/>
      <c r="Q61" s="938"/>
      <c r="Y61" s="1003"/>
      <c r="Z61" s="1003"/>
      <c r="AA61" s="974"/>
      <c r="AB61" s="974"/>
      <c r="AC61" s="974"/>
      <c r="AD61" s="974"/>
      <c r="AE61" s="974"/>
      <c r="AF61" s="974"/>
      <c r="AG61" s="974"/>
      <c r="AH61" s="974"/>
    </row>
    <row r="62" spans="1:34" x14ac:dyDescent="0.25">
      <c r="A62" s="897"/>
      <c r="B62" s="898">
        <v>5</v>
      </c>
      <c r="C62" s="930" t="str">
        <f>A1713</f>
        <v>S2-KPI 2020/2021</v>
      </c>
      <c r="D62" s="900"/>
      <c r="E62" s="901">
        <f t="shared" si="14"/>
        <v>9</v>
      </c>
      <c r="F62" s="924">
        <f>L1713</f>
        <v>9</v>
      </c>
      <c r="G62" s="925">
        <f>M1713</f>
        <v>0</v>
      </c>
      <c r="H62" s="925">
        <f>N1713</f>
        <v>0</v>
      </c>
      <c r="I62" s="925">
        <f>O1713</f>
        <v>0</v>
      </c>
      <c r="J62" s="946">
        <f>P1713</f>
        <v>0</v>
      </c>
      <c r="L62" s="937"/>
      <c r="M62" s="937"/>
      <c r="N62" s="937"/>
      <c r="O62" s="937"/>
      <c r="P62" s="938"/>
      <c r="Q62" s="938"/>
      <c r="Y62" s="1003"/>
      <c r="Z62" s="1003"/>
      <c r="AA62" s="974"/>
      <c r="AB62" s="974"/>
      <c r="AC62" s="974"/>
      <c r="AD62" s="974"/>
      <c r="AE62" s="974"/>
      <c r="AF62" s="974"/>
      <c r="AG62" s="974"/>
      <c r="AH62" s="974"/>
    </row>
    <row r="63" spans="1:34" x14ac:dyDescent="0.25">
      <c r="A63" s="904"/>
      <c r="B63" s="905"/>
      <c r="C63" s="905"/>
      <c r="D63" s="906"/>
      <c r="E63" s="907">
        <f>SUM(E57:E62)</f>
        <v>61</v>
      </c>
      <c r="F63" s="926">
        <f>SUM(F57:F62)</f>
        <v>22</v>
      </c>
      <c r="G63" s="927">
        <f t="shared" ref="G63:J63" si="16">SUM(G57:G62)</f>
        <v>25</v>
      </c>
      <c r="H63" s="928">
        <f t="shared" si="16"/>
        <v>0</v>
      </c>
      <c r="I63" s="947">
        <f t="shared" si="16"/>
        <v>6</v>
      </c>
      <c r="J63" s="948">
        <f t="shared" si="16"/>
        <v>8</v>
      </c>
      <c r="L63" s="938"/>
      <c r="M63" s="938"/>
      <c r="N63" s="938"/>
      <c r="O63" s="938"/>
      <c r="P63" s="938"/>
      <c r="Q63" s="938"/>
      <c r="Y63" s="1003"/>
      <c r="Z63" s="1003"/>
      <c r="AA63" s="974"/>
      <c r="AB63" s="974"/>
      <c r="AC63" s="974"/>
      <c r="AD63" s="974"/>
      <c r="AE63" s="974"/>
      <c r="AF63" s="974"/>
      <c r="AG63" s="974"/>
      <c r="AH63" s="974"/>
    </row>
    <row r="64" spans="1:34" x14ac:dyDescent="0.25">
      <c r="A64" s="904"/>
      <c r="B64" s="905"/>
      <c r="C64" s="905"/>
      <c r="D64" s="906"/>
      <c r="E64" s="911"/>
      <c r="F64" s="932"/>
      <c r="G64" s="932"/>
      <c r="H64" s="932"/>
      <c r="I64" s="932"/>
      <c r="J64" s="932"/>
      <c r="L64" s="938"/>
      <c r="M64" s="938"/>
      <c r="N64" s="938"/>
      <c r="O64" s="938"/>
      <c r="P64" s="938"/>
      <c r="Q64" s="938"/>
      <c r="Y64" s="1003"/>
      <c r="Z64" s="1003"/>
      <c r="AA64" s="974"/>
      <c r="AB64" s="974"/>
      <c r="AC64" s="974"/>
      <c r="AD64" s="974"/>
      <c r="AE64" s="974"/>
      <c r="AF64" s="974"/>
      <c r="AG64" s="974"/>
      <c r="AH64" s="974"/>
    </row>
    <row r="65" spans="1:34" x14ac:dyDescent="0.25">
      <c r="A65" s="875" t="s">
        <v>3322</v>
      </c>
      <c r="B65" s="876">
        <v>1</v>
      </c>
      <c r="C65" s="877" t="str">
        <f>A465</f>
        <v xml:space="preserve">S2-IPDI 2015/2016 </v>
      </c>
      <c r="D65" s="878"/>
      <c r="E65" s="913">
        <f t="shared" ref="E65:E70" si="17">SUM(F65,G65,H65,I65,J65)</f>
        <v>5</v>
      </c>
      <c r="F65" s="914">
        <f>L465</f>
        <v>0</v>
      </c>
      <c r="G65" s="915">
        <f>M465</f>
        <v>5</v>
      </c>
      <c r="H65" s="916">
        <f>N465</f>
        <v>0</v>
      </c>
      <c r="I65" s="916">
        <f>O465</f>
        <v>0</v>
      </c>
      <c r="J65" s="944">
        <f>P465</f>
        <v>0</v>
      </c>
      <c r="L65" s="937"/>
      <c r="M65" s="937"/>
      <c r="N65" s="937"/>
      <c r="O65" s="937"/>
      <c r="P65" s="938"/>
      <c r="Q65" s="938"/>
      <c r="Y65" s="1003"/>
      <c r="Z65" s="1003"/>
      <c r="AA65" s="974"/>
      <c r="AB65" s="974"/>
      <c r="AC65" s="974"/>
      <c r="AD65" s="974"/>
      <c r="AE65" s="974"/>
      <c r="AF65" s="974"/>
      <c r="AG65" s="974"/>
      <c r="AH65" s="974"/>
    </row>
    <row r="66" spans="1:34" x14ac:dyDescent="0.25">
      <c r="A66" s="883"/>
      <c r="B66" s="884">
        <v>2</v>
      </c>
      <c r="C66" s="890" t="str">
        <f>A650</f>
        <v>S2-PGMI 2016/2017</v>
      </c>
      <c r="D66" s="891"/>
      <c r="E66" s="879">
        <f t="shared" si="17"/>
        <v>16</v>
      </c>
      <c r="F66" s="921">
        <f>L650</f>
        <v>0</v>
      </c>
      <c r="G66" s="922">
        <f>M650</f>
        <v>13</v>
      </c>
      <c r="H66" s="919">
        <f>N650</f>
        <v>0</v>
      </c>
      <c r="I66" s="919">
        <f>O650</f>
        <v>1</v>
      </c>
      <c r="J66" s="945">
        <f>P650</f>
        <v>2</v>
      </c>
      <c r="L66" s="937"/>
      <c r="M66" s="937"/>
      <c r="N66" s="937"/>
      <c r="O66" s="937"/>
      <c r="P66" s="938"/>
      <c r="Q66" s="938"/>
      <c r="Y66" s="1003"/>
      <c r="Z66" s="1003"/>
      <c r="AA66" s="974"/>
      <c r="AB66" s="974"/>
      <c r="AC66" s="974"/>
      <c r="AD66" s="974"/>
      <c r="AE66" s="974"/>
      <c r="AF66" s="974"/>
      <c r="AG66" s="974"/>
      <c r="AH66" s="974"/>
    </row>
    <row r="67" spans="1:34" x14ac:dyDescent="0.25">
      <c r="A67" s="883"/>
      <c r="B67" s="884">
        <v>3</v>
      </c>
      <c r="C67" s="894" t="str">
        <f>A874</f>
        <v>S2-PGMI 2017/2018</v>
      </c>
      <c r="D67" s="895"/>
      <c r="E67" s="879">
        <f t="shared" si="17"/>
        <v>19</v>
      </c>
      <c r="F67" s="923">
        <f>L874</f>
        <v>3</v>
      </c>
      <c r="G67" s="919">
        <f>M874</f>
        <v>12</v>
      </c>
      <c r="H67" s="919">
        <f>N874</f>
        <v>1</v>
      </c>
      <c r="I67" s="919">
        <f>O874</f>
        <v>1</v>
      </c>
      <c r="J67" s="945">
        <f>P874</f>
        <v>2</v>
      </c>
      <c r="L67" s="937"/>
      <c r="M67" s="937"/>
      <c r="N67" s="937"/>
      <c r="O67" s="937"/>
      <c r="P67" s="938"/>
      <c r="Q67" s="938"/>
      <c r="Y67" s="1003"/>
      <c r="Z67" s="1003"/>
      <c r="AA67" s="974"/>
      <c r="AB67" s="974"/>
      <c r="AC67" s="974"/>
      <c r="AD67" s="974"/>
      <c r="AE67" s="974"/>
      <c r="AF67" s="974"/>
      <c r="AG67" s="974"/>
      <c r="AH67" s="974"/>
    </row>
    <row r="68" spans="1:34" x14ac:dyDescent="0.25">
      <c r="A68" s="883"/>
      <c r="B68" s="884">
        <v>4</v>
      </c>
      <c r="C68" s="894" t="str">
        <f>A1168</f>
        <v>S2-PGMI 2018/2019</v>
      </c>
      <c r="D68" s="895"/>
      <c r="E68" s="879">
        <f t="shared" si="17"/>
        <v>23</v>
      </c>
      <c r="F68" s="923">
        <f>L1168</f>
        <v>9</v>
      </c>
      <c r="G68" s="919">
        <f>M1168</f>
        <v>3</v>
      </c>
      <c r="H68" s="919">
        <f>N1168</f>
        <v>7</v>
      </c>
      <c r="I68" s="919">
        <f>O1168</f>
        <v>1</v>
      </c>
      <c r="J68" s="945">
        <f>P1168</f>
        <v>3</v>
      </c>
      <c r="L68" s="937"/>
      <c r="M68" s="937"/>
      <c r="N68" s="937"/>
      <c r="O68" s="937"/>
      <c r="P68" s="938"/>
      <c r="Q68" s="938"/>
      <c r="Y68" s="1003"/>
      <c r="Z68" s="1003"/>
      <c r="AA68" s="974"/>
      <c r="AB68" s="974"/>
      <c r="AC68" s="974"/>
      <c r="AD68" s="974"/>
      <c r="AE68" s="974"/>
      <c r="AF68" s="974"/>
      <c r="AG68" s="974"/>
      <c r="AH68" s="974"/>
    </row>
    <row r="69" spans="1:34" x14ac:dyDescent="0.25">
      <c r="A69" s="883"/>
      <c r="B69" s="884">
        <v>4</v>
      </c>
      <c r="C69" s="894" t="str">
        <f>A1453</f>
        <v>S2-PGMI 2019/2020</v>
      </c>
      <c r="D69" s="895"/>
      <c r="E69" s="879">
        <f t="shared" ref="E69" si="18">SUM(F69,G69,H69,I69,J69)</f>
        <v>20</v>
      </c>
      <c r="F69" s="923">
        <f>L1453</f>
        <v>18</v>
      </c>
      <c r="G69" s="919">
        <f>M1453</f>
        <v>0</v>
      </c>
      <c r="H69" s="919">
        <f>N1453</f>
        <v>1</v>
      </c>
      <c r="I69" s="919">
        <f>O1453</f>
        <v>0</v>
      </c>
      <c r="J69" s="945">
        <f>P1453</f>
        <v>1</v>
      </c>
      <c r="L69" s="937"/>
      <c r="M69" s="937">
        <v>21</v>
      </c>
      <c r="N69" s="937">
        <v>21</v>
      </c>
      <c r="O69" s="937"/>
      <c r="P69" s="938"/>
      <c r="Q69" s="938"/>
      <c r="Y69" s="1003"/>
      <c r="Z69" s="1003"/>
      <c r="AA69" s="974"/>
      <c r="AB69" s="974"/>
      <c r="AC69" s="974"/>
      <c r="AD69" s="974"/>
      <c r="AE69" s="974"/>
      <c r="AF69" s="974"/>
      <c r="AG69" s="974"/>
      <c r="AH69" s="974"/>
    </row>
    <row r="70" spans="1:34" x14ac:dyDescent="0.25">
      <c r="A70" s="897"/>
      <c r="B70" s="898">
        <v>5</v>
      </c>
      <c r="C70" s="930" t="str">
        <f>A1724</f>
        <v>S2-PGMI 2020/2021</v>
      </c>
      <c r="D70" s="900"/>
      <c r="E70" s="901">
        <f t="shared" si="17"/>
        <v>12</v>
      </c>
      <c r="F70" s="924">
        <f>L1724</f>
        <v>12</v>
      </c>
      <c r="G70" s="925">
        <f>M1724</f>
        <v>0</v>
      </c>
      <c r="H70" s="925">
        <f>N1724</f>
        <v>0</v>
      </c>
      <c r="I70" s="925">
        <f>O1724</f>
        <v>0</v>
      </c>
      <c r="J70" s="946">
        <f>P1724</f>
        <v>0</v>
      </c>
      <c r="L70" s="937"/>
      <c r="M70" s="937"/>
      <c r="N70" s="937"/>
      <c r="O70" s="937"/>
      <c r="P70" s="938"/>
      <c r="Q70" s="938"/>
    </row>
    <row r="71" spans="1:34" x14ac:dyDescent="0.25">
      <c r="A71" s="904"/>
      <c r="B71" s="905"/>
      <c r="C71" s="905"/>
      <c r="D71" s="906"/>
      <c r="E71" s="907">
        <f>SUM(E65:E70)</f>
        <v>95</v>
      </c>
      <c r="F71" s="926">
        <f>SUM(F65:F70)</f>
        <v>42</v>
      </c>
      <c r="G71" s="927">
        <f t="shared" ref="G71:J71" si="19">SUM(G65:G70)</f>
        <v>33</v>
      </c>
      <c r="H71" s="928">
        <f t="shared" si="19"/>
        <v>9</v>
      </c>
      <c r="I71" s="947">
        <f t="shared" si="19"/>
        <v>3</v>
      </c>
      <c r="J71" s="948">
        <f t="shared" si="19"/>
        <v>8</v>
      </c>
      <c r="L71" s="938"/>
      <c r="M71" s="938"/>
      <c r="N71" s="938"/>
      <c r="O71" s="938"/>
      <c r="P71" s="938"/>
      <c r="Q71" s="938"/>
    </row>
    <row r="72" spans="1:34" x14ac:dyDescent="0.25">
      <c r="A72" s="758"/>
      <c r="B72" s="758"/>
      <c r="C72" s="758"/>
      <c r="E72" s="758"/>
      <c r="F72" s="1015"/>
      <c r="G72" s="1015"/>
      <c r="H72" s="1015"/>
      <c r="I72" s="1015"/>
      <c r="J72" s="1015"/>
      <c r="L72" s="1044"/>
      <c r="M72" s="1044"/>
      <c r="N72" s="1044"/>
      <c r="O72" s="1044"/>
      <c r="P72" s="1044"/>
      <c r="Q72" s="1044"/>
      <c r="R72" s="971"/>
      <c r="S72" s="752"/>
      <c r="T72" s="752"/>
      <c r="U72" s="752"/>
      <c r="V72" s="752"/>
      <c r="W72" s="752"/>
      <c r="X72" s="752"/>
      <c r="Y72" s="773"/>
      <c r="Z72" s="773"/>
      <c r="AA72" s="773"/>
      <c r="AB72" s="773"/>
      <c r="AC72" s="773"/>
      <c r="AD72" s="773"/>
      <c r="AE72" s="773"/>
      <c r="AF72" s="773"/>
      <c r="AG72" s="773"/>
      <c r="AH72" s="773"/>
    </row>
    <row r="73" spans="1:34" x14ac:dyDescent="0.25">
      <c r="A73" s="875" t="s">
        <v>3323</v>
      </c>
      <c r="B73" s="876">
        <v>1</v>
      </c>
      <c r="C73" s="876" t="str">
        <f>A1475</f>
        <v>S2-SI 2019/2020</v>
      </c>
      <c r="D73" s="1016"/>
      <c r="E73" s="913">
        <f t="shared" ref="E73:E75" si="20">SUM(F73,G73,H73,I73)</f>
        <v>5</v>
      </c>
      <c r="F73" s="1017">
        <f>L1475</f>
        <v>5</v>
      </c>
      <c r="G73" s="916">
        <f>P1475</f>
        <v>0</v>
      </c>
      <c r="H73" s="916">
        <f>M1475</f>
        <v>0</v>
      </c>
      <c r="I73" s="916">
        <f>N1475</f>
        <v>0</v>
      </c>
      <c r="J73" s="944">
        <f>O1475</f>
        <v>0</v>
      </c>
      <c r="L73" s="937"/>
      <c r="M73" s="937"/>
      <c r="N73" s="937"/>
      <c r="O73" s="937"/>
      <c r="P73" s="938"/>
      <c r="Q73" s="938"/>
      <c r="Y73" s="1003"/>
      <c r="Z73" s="1003"/>
      <c r="AA73" s="974"/>
      <c r="AB73" s="974"/>
      <c r="AC73" s="974"/>
      <c r="AD73" s="974"/>
      <c r="AE73" s="974"/>
      <c r="AF73" s="974"/>
      <c r="AG73" s="974"/>
      <c r="AH73" s="974"/>
    </row>
    <row r="74" spans="1:34" x14ac:dyDescent="0.25">
      <c r="A74" s="883"/>
      <c r="B74" s="884">
        <v>2</v>
      </c>
      <c r="C74" s="1018" t="str">
        <f>A1738</f>
        <v>S2-SI 2020/2021</v>
      </c>
      <c r="D74" s="895"/>
      <c r="E74" s="879">
        <f t="shared" ref="E74" si="21">SUM(F74,G74,H74,I74)</f>
        <v>17</v>
      </c>
      <c r="F74" s="923">
        <f>L1738</f>
        <v>17</v>
      </c>
      <c r="G74" s="919">
        <f>P1738</f>
        <v>0</v>
      </c>
      <c r="H74" s="919">
        <f>M1738</f>
        <v>0</v>
      </c>
      <c r="I74" s="919">
        <f>N1738</f>
        <v>0</v>
      </c>
      <c r="J74" s="945">
        <f>O1738</f>
        <v>0</v>
      </c>
      <c r="L74" s="937"/>
      <c r="M74" s="937"/>
      <c r="N74" s="937"/>
      <c r="O74" s="937"/>
      <c r="P74" s="938"/>
      <c r="Q74" s="938"/>
      <c r="Y74" s="1003"/>
      <c r="Z74" s="1003"/>
      <c r="AA74" s="974"/>
      <c r="AB74" s="974"/>
      <c r="AC74" s="974"/>
      <c r="AD74" s="974"/>
      <c r="AE74" s="974"/>
      <c r="AF74" s="974"/>
      <c r="AG74" s="974"/>
      <c r="AH74" s="974"/>
    </row>
    <row r="75" spans="1:34" x14ac:dyDescent="0.25">
      <c r="A75" s="897"/>
      <c r="B75" s="898">
        <v>3</v>
      </c>
      <c r="C75" s="898"/>
      <c r="D75" s="900"/>
      <c r="E75" s="901">
        <f t="shared" si="20"/>
        <v>0</v>
      </c>
      <c r="F75" s="924"/>
      <c r="G75" s="925"/>
      <c r="H75" s="925"/>
      <c r="I75" s="925"/>
      <c r="J75" s="946"/>
      <c r="L75" s="937"/>
      <c r="M75" s="937"/>
      <c r="N75" s="937"/>
      <c r="O75" s="937"/>
      <c r="P75" s="938"/>
      <c r="Q75" s="938"/>
    </row>
    <row r="76" spans="1:34" x14ac:dyDescent="0.25">
      <c r="A76" s="904"/>
      <c r="B76" s="905"/>
      <c r="C76" s="905"/>
      <c r="D76" s="906"/>
      <c r="E76" s="907">
        <f t="shared" ref="E76:J76" si="22">SUM(E73:E75)</f>
        <v>22</v>
      </c>
      <c r="F76" s="926">
        <f t="shared" si="22"/>
        <v>22</v>
      </c>
      <c r="G76" s="927">
        <f t="shared" si="22"/>
        <v>0</v>
      </c>
      <c r="H76" s="928">
        <f t="shared" si="22"/>
        <v>0</v>
      </c>
      <c r="I76" s="947">
        <f t="shared" si="22"/>
        <v>0</v>
      </c>
      <c r="J76" s="1045">
        <f t="shared" si="22"/>
        <v>0</v>
      </c>
      <c r="L76" s="938"/>
      <c r="M76" s="938"/>
      <c r="N76" s="938"/>
      <c r="O76" s="938"/>
      <c r="P76" s="938"/>
      <c r="Q76" s="938"/>
      <c r="R76" s="1064" t="s">
        <v>3324</v>
      </c>
      <c r="S76" s="1064"/>
      <c r="T76" s="1064"/>
      <c r="U76" s="1064"/>
      <c r="V76" s="1064"/>
      <c r="W76" s="1064"/>
    </row>
    <row r="77" spans="1:34" x14ac:dyDescent="0.25">
      <c r="A77" s="904"/>
      <c r="B77" s="905"/>
      <c r="C77" s="905"/>
      <c r="D77" s="906"/>
      <c r="E77" s="911"/>
      <c r="F77" s="932"/>
      <c r="G77" s="932"/>
      <c r="H77" s="932"/>
      <c r="I77" s="932"/>
      <c r="J77" s="932"/>
      <c r="K77" s="752"/>
      <c r="L77" s="938"/>
      <c r="M77" s="938"/>
      <c r="N77" s="938"/>
      <c r="O77" s="938"/>
      <c r="P77" s="938"/>
      <c r="Q77" s="938"/>
    </row>
    <row r="78" spans="1:34" x14ac:dyDescent="0.25">
      <c r="A78" s="875" t="s">
        <v>1477</v>
      </c>
      <c r="B78" s="876">
        <v>1</v>
      </c>
      <c r="C78" s="1019" t="str">
        <f>A472</f>
        <v>S3-MPI 2015/2016 - Reg</v>
      </c>
      <c r="D78" s="1016"/>
      <c r="E78" s="879">
        <f t="shared" ref="E78:E87" si="23">SUM(F78,G78,H78,I78,J78)</f>
        <v>26</v>
      </c>
      <c r="F78" s="1017">
        <f>L472</f>
        <v>4</v>
      </c>
      <c r="G78" s="916">
        <f>M472</f>
        <v>8</v>
      </c>
      <c r="H78" s="916">
        <f>N472</f>
        <v>0</v>
      </c>
      <c r="I78" s="916">
        <f>O472</f>
        <v>3</v>
      </c>
      <c r="J78" s="944">
        <f>P472</f>
        <v>11</v>
      </c>
      <c r="L78" s="937"/>
      <c r="M78" s="937"/>
      <c r="N78" s="937"/>
      <c r="O78" s="937"/>
      <c r="P78" s="938"/>
      <c r="Q78" s="938"/>
    </row>
    <row r="79" spans="1:34" x14ac:dyDescent="0.25">
      <c r="A79" s="883"/>
      <c r="B79" s="884"/>
      <c r="C79" s="894" t="str">
        <f>A500</f>
        <v>S3-MPI 2015/2016 - Bea 5000 Dok (I)</v>
      </c>
      <c r="D79" s="895"/>
      <c r="E79" s="1020">
        <f t="shared" si="23"/>
        <v>13</v>
      </c>
      <c r="F79" s="923">
        <f>L500</f>
        <v>0</v>
      </c>
      <c r="G79" s="919">
        <f>M500</f>
        <v>9</v>
      </c>
      <c r="H79" s="919">
        <f>N500</f>
        <v>0</v>
      </c>
      <c r="I79" s="919">
        <f>O500</f>
        <v>0</v>
      </c>
      <c r="J79" s="945">
        <f>P500</f>
        <v>4</v>
      </c>
      <c r="L79" s="937"/>
      <c r="M79" s="937"/>
      <c r="N79" s="937"/>
      <c r="O79" s="937"/>
      <c r="P79" s="938"/>
      <c r="Q79" s="938"/>
    </row>
    <row r="80" spans="1:34" x14ac:dyDescent="0.25">
      <c r="A80" s="883"/>
      <c r="B80" s="884">
        <v>2</v>
      </c>
      <c r="C80" s="894" t="str">
        <f>A723</f>
        <v>S3-MPI ANGK II 2016/2017</v>
      </c>
      <c r="D80" s="895"/>
      <c r="E80" s="879">
        <f t="shared" si="23"/>
        <v>7</v>
      </c>
      <c r="F80" s="923">
        <f>L723</f>
        <v>3</v>
      </c>
      <c r="G80" s="919">
        <f>M723</f>
        <v>0</v>
      </c>
      <c r="H80" s="919">
        <f>N723</f>
        <v>0</v>
      </c>
      <c r="I80" s="919">
        <f>O723</f>
        <v>4</v>
      </c>
      <c r="J80" s="945">
        <f>P723</f>
        <v>0</v>
      </c>
      <c r="L80" s="937"/>
      <c r="M80" s="937"/>
      <c r="N80" s="937"/>
      <c r="O80" s="937"/>
      <c r="P80" s="938"/>
      <c r="Q80" s="938"/>
    </row>
    <row r="81" spans="1:34" x14ac:dyDescent="0.25">
      <c r="A81" s="883"/>
      <c r="B81" s="884"/>
      <c r="C81" s="894" t="str">
        <f>A706</f>
        <v>S3-MPI 2016/2017 - Bea 5000 Dok (II)</v>
      </c>
      <c r="D81" s="895"/>
      <c r="E81" s="1020">
        <f t="shared" si="23"/>
        <v>15</v>
      </c>
      <c r="F81" s="923">
        <f>L706</f>
        <v>5</v>
      </c>
      <c r="G81" s="919">
        <f>M706</f>
        <v>6</v>
      </c>
      <c r="H81" s="919">
        <f>N706</f>
        <v>0</v>
      </c>
      <c r="I81" s="919">
        <f>O706</f>
        <v>0</v>
      </c>
      <c r="J81" s="945">
        <f>P706</f>
        <v>4</v>
      </c>
      <c r="L81" s="937"/>
      <c r="M81" s="937"/>
      <c r="N81" s="937"/>
      <c r="O81" s="937"/>
      <c r="P81" s="938"/>
      <c r="Q81" s="938"/>
    </row>
    <row r="82" spans="1:34" x14ac:dyDescent="0.25">
      <c r="A82" s="883"/>
      <c r="B82" s="884">
        <v>3</v>
      </c>
      <c r="C82" s="894" t="str">
        <f>A949</f>
        <v>S3-MPI 2017/2018</v>
      </c>
      <c r="D82" s="895"/>
      <c r="E82" s="879">
        <f t="shared" si="23"/>
        <v>13</v>
      </c>
      <c r="F82" s="923">
        <f>L949</f>
        <v>3</v>
      </c>
      <c r="G82" s="919">
        <f>M949</f>
        <v>1</v>
      </c>
      <c r="H82" s="919">
        <f>N949</f>
        <v>0</v>
      </c>
      <c r="I82" s="919">
        <f>O949</f>
        <v>1</v>
      </c>
      <c r="J82" s="945">
        <f>P949</f>
        <v>8</v>
      </c>
      <c r="L82" s="937"/>
      <c r="M82" s="937"/>
      <c r="N82" s="937"/>
      <c r="O82" s="937"/>
      <c r="P82" s="938"/>
      <c r="Q82" s="938"/>
    </row>
    <row r="83" spans="1:34" x14ac:dyDescent="0.25">
      <c r="A83" s="883"/>
      <c r="B83" s="884"/>
      <c r="C83" s="894" t="str">
        <f>A964</f>
        <v>S3-MPI 2017/2018 - Bea 5000 Dok (III)</v>
      </c>
      <c r="D83" s="895"/>
      <c r="E83" s="1020">
        <f t="shared" si="23"/>
        <v>16</v>
      </c>
      <c r="F83" s="923">
        <f>L964</f>
        <v>6</v>
      </c>
      <c r="G83" s="919">
        <f>M964</f>
        <v>10</v>
      </c>
      <c r="H83" s="919">
        <f>N964</f>
        <v>0</v>
      </c>
      <c r="I83" s="919">
        <f>O964</f>
        <v>0</v>
      </c>
      <c r="J83" s="945">
        <f>P964</f>
        <v>0</v>
      </c>
      <c r="L83" s="937"/>
      <c r="M83" s="937"/>
      <c r="N83" s="937"/>
      <c r="O83" s="937"/>
      <c r="P83" s="938"/>
      <c r="Q83" s="938"/>
    </row>
    <row r="84" spans="1:34" x14ac:dyDescent="0.25">
      <c r="A84" s="1021"/>
      <c r="B84" s="884">
        <v>4</v>
      </c>
      <c r="C84" s="894" t="str">
        <f>A1235</f>
        <v>S3-MPI 2018/2019</v>
      </c>
      <c r="D84" s="895"/>
      <c r="E84" s="879">
        <f t="shared" si="23"/>
        <v>8</v>
      </c>
      <c r="F84" s="923">
        <f>SUM(L1236:L1243)</f>
        <v>3</v>
      </c>
      <c r="G84" s="919">
        <f>SUM(M1236:M1243)</f>
        <v>1</v>
      </c>
      <c r="H84" s="919">
        <f>SUM(N1236:N1243)</f>
        <v>2</v>
      </c>
      <c r="I84" s="919">
        <f>SUM(O1236:O1243)</f>
        <v>2</v>
      </c>
      <c r="J84" s="945">
        <f>SUM(P1236:P1243)</f>
        <v>0</v>
      </c>
      <c r="L84" s="937"/>
      <c r="M84" s="937"/>
      <c r="N84" s="937"/>
      <c r="O84" s="937"/>
      <c r="P84" s="938"/>
      <c r="Q84" s="938"/>
    </row>
    <row r="85" spans="1:34" x14ac:dyDescent="0.25">
      <c r="A85" s="1021"/>
      <c r="B85" s="884"/>
      <c r="C85" s="894" t="s">
        <v>3325</v>
      </c>
      <c r="D85" s="895"/>
      <c r="E85" s="1020">
        <f t="shared" si="23"/>
        <v>4</v>
      </c>
      <c r="F85" s="923">
        <f>SUM(L1244:L1247)</f>
        <v>4</v>
      </c>
      <c r="G85" s="919">
        <f>SUM(M1244:M1247)</f>
        <v>0</v>
      </c>
      <c r="H85" s="919">
        <f>SUM(N1244:N1247)</f>
        <v>0</v>
      </c>
      <c r="I85" s="919">
        <f>SUM(O1244:O1247)</f>
        <v>0</v>
      </c>
      <c r="J85" s="945">
        <f>SUM(P1244:P1247)</f>
        <v>0</v>
      </c>
      <c r="L85" s="937"/>
      <c r="M85" s="937"/>
      <c r="N85" s="937"/>
      <c r="O85" s="937"/>
      <c r="P85" s="938"/>
      <c r="Q85" s="938"/>
    </row>
    <row r="86" spans="1:34" x14ac:dyDescent="0.25">
      <c r="A86" s="1021"/>
      <c r="B86" s="884">
        <v>5</v>
      </c>
      <c r="C86" s="894" t="str">
        <f>A1483</f>
        <v>S3-MPI 2019/2020</v>
      </c>
      <c r="D86" s="895"/>
      <c r="E86" s="879">
        <f t="shared" si="23"/>
        <v>20</v>
      </c>
      <c r="F86" s="923">
        <f>SUM(L1484:L1503)</f>
        <v>18</v>
      </c>
      <c r="G86" s="919">
        <f>SUM(M1484:M1503)</f>
        <v>0</v>
      </c>
      <c r="H86" s="919">
        <f>SUM(N1484:N1503)</f>
        <v>0</v>
      </c>
      <c r="I86" s="919">
        <f>SUM(O1484:O1503)</f>
        <v>1</v>
      </c>
      <c r="J86" s="945">
        <f>SUM(P1484:P1503)</f>
        <v>1</v>
      </c>
      <c r="L86" s="937"/>
      <c r="M86" s="937">
        <v>18</v>
      </c>
      <c r="N86" s="937">
        <v>18</v>
      </c>
      <c r="O86" s="937"/>
      <c r="P86" s="938"/>
      <c r="Q86" s="938"/>
    </row>
    <row r="87" spans="1:34" x14ac:dyDescent="0.25">
      <c r="A87" s="1021"/>
      <c r="B87" s="884"/>
      <c r="C87" s="894" t="s">
        <v>3326</v>
      </c>
      <c r="D87" s="895"/>
      <c r="E87" s="879">
        <f t="shared" si="23"/>
        <v>6</v>
      </c>
      <c r="F87" s="923">
        <f>SUM(L1504:L1509)</f>
        <v>6</v>
      </c>
      <c r="G87" s="919">
        <f>SUM(M1504:M1509)</f>
        <v>0</v>
      </c>
      <c r="H87" s="919">
        <f>SUM(N1504:N1509)</f>
        <v>0</v>
      </c>
      <c r="I87" s="919">
        <f>SUM(O1504:O1509)</f>
        <v>0</v>
      </c>
      <c r="J87" s="945">
        <f>SUM(P1504:P1509)</f>
        <v>0</v>
      </c>
      <c r="L87" s="937"/>
      <c r="M87" s="937"/>
      <c r="N87" s="937"/>
      <c r="O87" s="937"/>
      <c r="P87" s="938"/>
      <c r="Q87" s="938"/>
      <c r="R87" s="758"/>
    </row>
    <row r="88" spans="1:34" x14ac:dyDescent="0.25">
      <c r="A88" s="1021"/>
      <c r="B88" s="884">
        <v>6</v>
      </c>
      <c r="C88" s="884" t="str">
        <f>A1757</f>
        <v>S3-MPI 2020/2021</v>
      </c>
      <c r="D88" s="895"/>
      <c r="E88" s="879">
        <f t="shared" ref="E88" si="24">SUM(F88,G88,H88,I88,J88)</f>
        <v>7</v>
      </c>
      <c r="F88" s="924">
        <f>L1757</f>
        <v>7</v>
      </c>
      <c r="G88" s="925">
        <f>M1757</f>
        <v>0</v>
      </c>
      <c r="H88" s="925">
        <f>N1757</f>
        <v>0</v>
      </c>
      <c r="I88" s="925">
        <f>O1757</f>
        <v>0</v>
      </c>
      <c r="J88" s="946">
        <f>P1757</f>
        <v>0</v>
      </c>
      <c r="L88" s="937"/>
      <c r="M88" s="937"/>
      <c r="N88" s="937"/>
      <c r="O88" s="937"/>
      <c r="P88" s="938"/>
      <c r="Q88" s="938"/>
    </row>
    <row r="89" spans="1:34" x14ac:dyDescent="0.25">
      <c r="D89" s="1022" t="s">
        <v>3327</v>
      </c>
      <c r="E89" s="1023">
        <f>E78+E80+E82+E84+E86+E88</f>
        <v>81</v>
      </c>
      <c r="F89" s="926">
        <f>SUM(F78:F88)</f>
        <v>59</v>
      </c>
      <c r="G89" s="927">
        <f>SUM(G78:G88)</f>
        <v>35</v>
      </c>
      <c r="H89" s="928">
        <f>SUM(H78:H88)</f>
        <v>2</v>
      </c>
      <c r="I89" s="947">
        <f>SUM(I78:I88)</f>
        <v>11</v>
      </c>
      <c r="J89" s="1045">
        <f>SUM(J78:J88)</f>
        <v>28</v>
      </c>
      <c r="L89" s="938"/>
      <c r="M89" s="938"/>
      <c r="N89" s="938"/>
      <c r="O89" s="938"/>
      <c r="P89" s="938"/>
      <c r="Q89" s="938"/>
      <c r="R89" s="758"/>
    </row>
    <row r="90" spans="1:34" x14ac:dyDescent="0.25">
      <c r="A90" s="758"/>
      <c r="B90" s="758"/>
      <c r="C90" s="758"/>
      <c r="D90" s="1022" t="s">
        <v>1507</v>
      </c>
      <c r="E90" s="1023">
        <f>E79+E81+E83+E85+E87</f>
        <v>54</v>
      </c>
      <c r="F90" s="1015"/>
      <c r="G90" s="1015"/>
      <c r="H90" s="1015"/>
      <c r="I90" s="1015"/>
      <c r="J90" s="1015"/>
      <c r="L90" s="1044"/>
      <c r="M90" s="1044"/>
      <c r="N90" s="1044"/>
      <c r="O90" s="1044"/>
      <c r="P90" s="1044"/>
      <c r="Q90" s="1044"/>
      <c r="R90" s="758"/>
      <c r="Y90" s="773"/>
      <c r="Z90" s="773"/>
      <c r="AA90" s="773"/>
      <c r="AB90" s="773"/>
      <c r="AC90" s="773"/>
      <c r="AD90" s="773"/>
      <c r="AE90" s="773"/>
      <c r="AF90" s="773"/>
      <c r="AG90" s="773"/>
      <c r="AH90" s="773"/>
    </row>
    <row r="91" spans="1:34" x14ac:dyDescent="0.25">
      <c r="A91" s="758"/>
      <c r="B91" s="758"/>
      <c r="C91" s="758"/>
      <c r="E91" s="758"/>
      <c r="F91" s="1015"/>
      <c r="G91" s="1015"/>
      <c r="H91" s="1015"/>
      <c r="I91" s="1015"/>
      <c r="J91" s="1015"/>
      <c r="L91" s="1044"/>
      <c r="M91" s="1044"/>
      <c r="N91" s="1044"/>
      <c r="O91" s="1044"/>
      <c r="P91" s="1044"/>
      <c r="Q91" s="1044"/>
      <c r="R91" s="971"/>
      <c r="S91" s="752"/>
      <c r="T91" s="752"/>
      <c r="U91" s="752"/>
      <c r="V91" s="752"/>
      <c r="W91" s="752"/>
      <c r="X91" s="752"/>
      <c r="Y91" s="773"/>
      <c r="Z91" s="773"/>
      <c r="AA91" s="773"/>
      <c r="AB91" s="773"/>
      <c r="AC91" s="773"/>
      <c r="AD91" s="773"/>
      <c r="AE91" s="773"/>
      <c r="AF91" s="773"/>
      <c r="AG91" s="773"/>
      <c r="AH91" s="773"/>
    </row>
    <row r="92" spans="1:34" x14ac:dyDescent="0.25">
      <c r="A92" s="875" t="s">
        <v>3328</v>
      </c>
      <c r="B92" s="876">
        <v>1</v>
      </c>
      <c r="C92" s="876" t="str">
        <f>A1511</f>
        <v>S3-PAI 2019/2020</v>
      </c>
      <c r="D92" s="1016"/>
      <c r="E92" s="913">
        <f t="shared" ref="E92:E94" si="25">SUM(F92,G92,H92,I92)</f>
        <v>17</v>
      </c>
      <c r="F92" s="1017">
        <f>L1511</f>
        <v>16</v>
      </c>
      <c r="G92" s="916">
        <f t="shared" ref="G92" si="26">P1511</f>
        <v>1</v>
      </c>
      <c r="H92" s="916">
        <f>M1511</f>
        <v>0</v>
      </c>
      <c r="I92" s="916">
        <f>N1511</f>
        <v>0</v>
      </c>
      <c r="J92" s="944">
        <f>O1511</f>
        <v>1</v>
      </c>
      <c r="L92" s="937"/>
      <c r="M92" s="937"/>
      <c r="N92" s="937"/>
      <c r="O92" s="937"/>
      <c r="P92" s="938"/>
      <c r="Q92" s="938"/>
      <c r="Y92" s="1003"/>
      <c r="Z92" s="1003"/>
      <c r="AA92" s="974"/>
      <c r="AB92" s="974"/>
      <c r="AC92" s="974"/>
      <c r="AD92" s="974"/>
      <c r="AE92" s="974"/>
      <c r="AF92" s="974"/>
      <c r="AG92" s="974"/>
      <c r="AH92" s="974"/>
    </row>
    <row r="93" spans="1:34" x14ac:dyDescent="0.25">
      <c r="A93" s="883"/>
      <c r="B93" s="884">
        <v>2</v>
      </c>
      <c r="C93" s="884" t="str">
        <f>A1766</f>
        <v>S3-PAI 2020/2021</v>
      </c>
      <c r="D93" s="895"/>
      <c r="E93" s="879">
        <f t="shared" si="25"/>
        <v>18</v>
      </c>
      <c r="F93" s="923">
        <f>L1766</f>
        <v>18</v>
      </c>
      <c r="G93" s="919">
        <f>P1766</f>
        <v>0</v>
      </c>
      <c r="H93" s="919">
        <f>M1766</f>
        <v>0</v>
      </c>
      <c r="I93" s="919">
        <f>N1766</f>
        <v>0</v>
      </c>
      <c r="J93" s="945">
        <f>O1766</f>
        <v>0</v>
      </c>
      <c r="L93" s="937"/>
      <c r="M93" s="937"/>
      <c r="N93" s="937"/>
      <c r="O93" s="937"/>
      <c r="P93" s="938"/>
      <c r="Q93" s="938"/>
      <c r="Y93" s="1003"/>
      <c r="Z93" s="1003"/>
      <c r="AA93" s="974"/>
      <c r="AB93" s="974"/>
      <c r="AC93" s="974"/>
      <c r="AD93" s="974"/>
      <c r="AE93" s="974"/>
      <c r="AF93" s="974"/>
      <c r="AG93" s="974"/>
      <c r="AH93" s="974"/>
    </row>
    <row r="94" spans="1:34" x14ac:dyDescent="0.25">
      <c r="A94" s="897"/>
      <c r="B94" s="898">
        <v>3</v>
      </c>
      <c r="C94" s="898"/>
      <c r="D94" s="900"/>
      <c r="E94" s="901">
        <f t="shared" si="25"/>
        <v>0</v>
      </c>
      <c r="F94" s="924"/>
      <c r="G94" s="925"/>
      <c r="H94" s="925"/>
      <c r="I94" s="925"/>
      <c r="J94" s="946"/>
      <c r="L94" s="937"/>
      <c r="M94" s="937"/>
      <c r="N94" s="937"/>
      <c r="O94" s="937"/>
      <c r="P94" s="938"/>
      <c r="Q94" s="938"/>
    </row>
    <row r="95" spans="1:34" x14ac:dyDescent="0.25">
      <c r="A95" s="904"/>
      <c r="B95" s="905"/>
      <c r="C95" s="905"/>
      <c r="D95" s="906"/>
      <c r="E95" s="907">
        <f t="shared" ref="E95:J95" si="27">SUM(E92:E94)</f>
        <v>35</v>
      </c>
      <c r="F95" s="926">
        <f t="shared" si="27"/>
        <v>34</v>
      </c>
      <c r="G95" s="927">
        <f t="shared" si="27"/>
        <v>1</v>
      </c>
      <c r="H95" s="928">
        <f t="shared" si="27"/>
        <v>0</v>
      </c>
      <c r="I95" s="947">
        <f t="shared" si="27"/>
        <v>0</v>
      </c>
      <c r="J95" s="1045">
        <f t="shared" si="27"/>
        <v>1</v>
      </c>
      <c r="L95" s="938"/>
      <c r="M95" s="938"/>
      <c r="N95" s="938"/>
      <c r="O95" s="938"/>
      <c r="P95" s="938"/>
      <c r="Q95" s="938"/>
      <c r="R95" s="1064" t="s">
        <v>3324</v>
      </c>
      <c r="S95" s="1064"/>
      <c r="T95" s="1064"/>
      <c r="U95" s="1064"/>
      <c r="V95" s="1064"/>
      <c r="W95" s="1064"/>
    </row>
    <row r="96" spans="1:34" x14ac:dyDescent="0.25">
      <c r="A96" s="1024"/>
      <c r="B96" s="1024"/>
      <c r="C96" s="1024"/>
      <c r="D96" s="1025"/>
      <c r="E96" s="1024"/>
      <c r="F96" s="1025"/>
      <c r="G96" s="1024"/>
      <c r="H96" s="1025"/>
      <c r="I96" s="1025"/>
      <c r="J96" s="1025"/>
      <c r="K96" s="1025"/>
      <c r="L96" s="1025"/>
      <c r="M96" s="1025"/>
      <c r="N96" s="1025"/>
      <c r="O96" s="1025"/>
      <c r="P96" s="1025"/>
      <c r="Q96" s="1025"/>
      <c r="R96" s="758"/>
      <c r="Y96" s="773"/>
      <c r="Z96" s="773"/>
      <c r="AA96" s="773"/>
      <c r="AB96" s="773"/>
      <c r="AC96" s="773"/>
      <c r="AD96" s="773"/>
      <c r="AE96" s="773"/>
      <c r="AF96" s="773"/>
      <c r="AG96" s="773"/>
      <c r="AH96" s="773"/>
    </row>
    <row r="97" spans="1:34" x14ac:dyDescent="0.25">
      <c r="A97" s="758"/>
      <c r="B97" s="758"/>
      <c r="C97" s="758"/>
      <c r="E97" s="758"/>
      <c r="G97" s="758"/>
      <c r="R97" s="758"/>
      <c r="Y97" s="773"/>
      <c r="Z97" s="773"/>
      <c r="AA97" s="773"/>
      <c r="AB97" s="773"/>
      <c r="AC97" s="773"/>
      <c r="AD97" s="773"/>
      <c r="AE97" s="773"/>
      <c r="AF97" s="773"/>
      <c r="AG97" s="773"/>
      <c r="AH97" s="773"/>
    </row>
    <row r="98" spans="1:34" ht="15.75" x14ac:dyDescent="0.25">
      <c r="A98" s="758"/>
      <c r="B98" s="758"/>
      <c r="C98" s="758"/>
      <c r="E98" s="758"/>
      <c r="G98" s="758"/>
      <c r="R98" s="953" t="s">
        <v>0</v>
      </c>
      <c r="S98" s="954" t="s">
        <v>3237</v>
      </c>
      <c r="T98" s="955" t="s">
        <v>3238</v>
      </c>
      <c r="U98" s="956"/>
      <c r="V98" s="955" t="s">
        <v>3239</v>
      </c>
      <c r="W98" s="957" t="s">
        <v>3240</v>
      </c>
      <c r="Y98" s="773"/>
      <c r="Z98" s="773"/>
      <c r="AA98" s="773"/>
      <c r="AB98" s="773"/>
      <c r="AC98" s="773"/>
      <c r="AD98" s="773"/>
      <c r="AE98" s="773"/>
      <c r="AF98" s="773"/>
      <c r="AG98" s="773"/>
      <c r="AH98" s="773"/>
    </row>
    <row r="99" spans="1:34" ht="15.75" x14ac:dyDescent="0.25">
      <c r="A99" s="758"/>
      <c r="B99" s="758"/>
      <c r="C99" s="758"/>
      <c r="E99" s="758"/>
      <c r="G99" s="758"/>
      <c r="R99" s="953"/>
      <c r="S99" s="958"/>
      <c r="T99" s="958" t="s">
        <v>3247</v>
      </c>
      <c r="U99" s="958" t="s">
        <v>3329</v>
      </c>
      <c r="V99" s="959"/>
      <c r="W99" s="960">
        <f>SUM(W100:W123)</f>
        <v>2216400000</v>
      </c>
      <c r="X99" s="752"/>
      <c r="Y99" s="773"/>
      <c r="Z99" s="773"/>
      <c r="AA99" s="773"/>
      <c r="AB99" s="773"/>
      <c r="AC99" s="773"/>
      <c r="AD99" s="773"/>
      <c r="AE99" s="773"/>
      <c r="AF99" s="773"/>
      <c r="AG99" s="773"/>
      <c r="AH99" s="773"/>
    </row>
    <row r="100" spans="1:34" ht="24" x14ac:dyDescent="0.25">
      <c r="A100" s="1026" t="s">
        <v>3330</v>
      </c>
      <c r="B100" s="1026" t="s">
        <v>0</v>
      </c>
      <c r="C100" s="1026" t="s">
        <v>2</v>
      </c>
      <c r="D100" s="1027" t="s">
        <v>3</v>
      </c>
      <c r="E100" s="1026" t="s">
        <v>4</v>
      </c>
      <c r="F100" s="1027" t="s">
        <v>3195</v>
      </c>
      <c r="G100" s="1026" t="s">
        <v>1</v>
      </c>
      <c r="H100" s="1028" t="s">
        <v>3331</v>
      </c>
      <c r="I100" s="1028" t="s">
        <v>3332</v>
      </c>
      <c r="J100" s="1027" t="s">
        <v>3333</v>
      </c>
      <c r="L100" s="1046">
        <f>L102+L126+L138+L150+L170+L197+L217+L226+L239+L251+L272+L290+L314+L328+L345+L383+L395+L420+L435+L451+L465+L472+L500+L515+L536+L565+L589+L598+L650+L668+L706+L723+L732+L787+L835+L874+L895+L917+L933+L949+L964+L982+L1035+L1095+L1152+L1168+L1194+L1225+L1235+L1250+L1326+L1369+L1406+L1421+L1440+L1453+L1483+L1511</f>
        <v>416</v>
      </c>
      <c r="M100" s="1047">
        <f>M102+M126+M138+M150+M170+M197+M217+M226+M239+M251+M272+M290+M314+M328+M345+M383+M395+M420+M435+M451+M465+M472+M500+M515+M536+M565+M589+M598+M650+M668+M706+M723+M732+M787+M835+M874+M895+M917+M933+M949+M964+M982+M1035+M1095+M1152+M1168+M1194+M1225+M1235+M1250+M1326+M1369+M1406+M1421+M1440+M1453+M1483+M1511</f>
        <v>541</v>
      </c>
      <c r="N100" s="1048">
        <f>N102+N126+N138+N150+N170+N197+N217+N226+N239+N251+N272+N290+N314+N328+N345+N383+N395+N420+N435+N451+N465+N472+N500+N515+N536+N565+N589+N598+N650+N668+N706+N723+N732+N787+N835+N874+N895+N917+N933+N949+N964+N982+N1035+N1095+N1152+N1168+N1194+N1225+N1235+N1250+N1326+N1369+N1406+N1421+N1440+N1453+N1483+N1511</f>
        <v>46</v>
      </c>
      <c r="O100" s="1049">
        <f>O102+O126+O138+O150+O170+O197+O217+O226+O239+O251+O272+O290+O314+O328+O345+O383+O395+O420+O435+O451+O465+O472+O500+O515+O536+O565+O589+O598+O650+O668+O706+O723+O732+O787+O835+O874+O895+O917+O933+O949+O964+O982+O1035+O1095+O1152+O1168+O1194+O1225+O1235+O1250+O1326+O1369+O1406+O1421+O1440+O1453+O1483+O1511</f>
        <v>121</v>
      </c>
      <c r="P100" s="1047">
        <f>P102+P126+P138+P150+P170+P197+P217+P226+P239+P251+P272+P290+P314+P328+P345+P383+P395+P420+P435+P451+P465+P472+P500+P515+P536+P565+P589+P598+P650+P668+P706+P723+P732+P787+P835+P874+P895+P917+P933+P949+P964+P982+P1035+P1095+P1152+P1168+P1194+P1225+P1235+P1250+P1326+P1369+P1406+P1421+P1440+P1453+P1483+P1511</f>
        <v>168</v>
      </c>
      <c r="R100" s="961">
        <v>1</v>
      </c>
      <c r="S100" s="962" t="s">
        <v>3249</v>
      </c>
      <c r="T100" s="963">
        <f>SUM(T101:T107)</f>
        <v>338750000</v>
      </c>
      <c r="U100" s="963">
        <f>SUM(U108:U109)</f>
        <v>252000000</v>
      </c>
      <c r="V100" s="962" t="s">
        <v>3334</v>
      </c>
      <c r="W100" s="964">
        <f>T100+U100</f>
        <v>590750000</v>
      </c>
    </row>
    <row r="101" spans="1:34" x14ac:dyDescent="0.25">
      <c r="A101" s="1026"/>
      <c r="B101" s="1026"/>
      <c r="C101" s="1026"/>
      <c r="D101" s="1029"/>
      <c r="E101" s="1030"/>
      <c r="F101" s="1029"/>
      <c r="G101" s="1030"/>
      <c r="H101" s="1028"/>
      <c r="I101" s="1028"/>
      <c r="J101" s="1050">
        <f>J102+J126+J138+J150+J170+J197+J217+J226+J239+J251+J272+J290+J314+J328+J345+J383+J395+J420+J435+J451+J465+J472+J500+J515+J536+J565+J589+J598+J650+J668+J706+J723+J732+J787+J835+J874+J895+J917+J933+J949+J964</f>
        <v>590750000</v>
      </c>
      <c r="L101" s="1051" t="s">
        <v>3335</v>
      </c>
      <c r="M101" s="1052" t="s">
        <v>20</v>
      </c>
      <c r="N101" s="1053" t="s">
        <v>3336</v>
      </c>
      <c r="O101" s="1054" t="s">
        <v>3337</v>
      </c>
      <c r="P101" s="1052" t="s">
        <v>3338</v>
      </c>
      <c r="R101" s="1065"/>
      <c r="S101" s="2313" t="s">
        <v>3339</v>
      </c>
      <c r="T101" s="964">
        <f>J102+J150+J170+J197+J251+J290+J395+J668+J787</f>
        <v>84000000</v>
      </c>
      <c r="U101" s="967"/>
      <c r="V101" s="967" t="s">
        <v>3340</v>
      </c>
      <c r="W101" s="967"/>
    </row>
    <row r="102" spans="1:34" x14ac:dyDescent="0.25">
      <c r="A102" s="1031" t="str">
        <f>'Rekap SPP'!A623</f>
        <v>S2-MPI 2013/2014</v>
      </c>
      <c r="B102" s="1032"/>
      <c r="C102" s="1032"/>
      <c r="D102" s="1033" t="s">
        <v>3</v>
      </c>
      <c r="E102" s="1032" t="s">
        <v>4</v>
      </c>
      <c r="F102" s="1033" t="s">
        <v>3195</v>
      </c>
      <c r="G102" s="1032" t="s">
        <v>1</v>
      </c>
      <c r="H102" s="1033" t="s">
        <v>3341</v>
      </c>
      <c r="I102" s="1033" t="s">
        <v>3342</v>
      </c>
      <c r="J102" s="1055">
        <f>SUM(J103:J124)</f>
        <v>0</v>
      </c>
      <c r="L102" s="1056">
        <f>SUM(L103:L124)</f>
        <v>0</v>
      </c>
      <c r="M102" s="1057">
        <f>SUM(M103:M124)</f>
        <v>19</v>
      </c>
      <c r="N102" s="1057">
        <f>SUM(N103:N124)</f>
        <v>0</v>
      </c>
      <c r="O102" s="1058">
        <f>SUM(O103:O124)</f>
        <v>3</v>
      </c>
      <c r="P102" s="1057">
        <f>SUM(P103:P124)</f>
        <v>0</v>
      </c>
      <c r="R102" s="1065"/>
      <c r="S102" s="2313" t="s">
        <v>3343</v>
      </c>
      <c r="T102" s="964">
        <f>J126+J239+J314+J435+J565+J917</f>
        <v>24000000</v>
      </c>
      <c r="U102" s="967"/>
      <c r="V102" s="967" t="s">
        <v>3340</v>
      </c>
      <c r="W102" s="967"/>
    </row>
    <row r="103" spans="1:34" x14ac:dyDescent="0.25">
      <c r="A103" s="1034">
        <v>593</v>
      </c>
      <c r="B103" s="1034">
        <f t="shared" ref="B103:B174" si="28">IFERROR(VLOOKUP(A103,DB,2,FALSE),"")</f>
        <v>1</v>
      </c>
      <c r="C103" s="1034" t="str">
        <f t="shared" ref="C103:C124" si="29">IFERROR(VLOOKUP(A103,DB,4,FALSE),"")</f>
        <v>Kukuh Ahmad P</v>
      </c>
      <c r="D103" s="1035" t="str">
        <f t="shared" ref="D103:D124" si="30">IFERROR(VLOOKUP(A103,DB,5,FALSE),"")</f>
        <v>MPI-S2</v>
      </c>
      <c r="E103" s="1036">
        <f t="shared" ref="E103:E124" si="31">IFERROR(VLOOKUP(A103,DB,6,FALSE),"")</f>
        <v>2013</v>
      </c>
      <c r="F103" s="1035" t="str">
        <f t="shared" ref="F103:F124" si="32">IFERROR(VLOOKUP(A103,DB,7,FALSE),"")</f>
        <v>LULUS</v>
      </c>
      <c r="G103" s="1037">
        <f t="shared" ref="G103:G124" si="33">IFERROR(VLOOKUP(A103,DB,3,FALSE),"")</f>
        <v>849113019</v>
      </c>
      <c r="H103" s="1038">
        <f>IF(F103="AKTIF",3000000,IF(F103="CUTI",3000000,0))</f>
        <v>0</v>
      </c>
      <c r="I103" s="1038">
        <f t="shared" ref="I103:I123" si="34">IFERROR(VLOOKUP(A103,DB,37,FALSE),"")-H103</f>
        <v>0</v>
      </c>
      <c r="J103" s="1038">
        <f>I103+H103</f>
        <v>0</v>
      </c>
      <c r="L103" s="1059">
        <f>IF(F103="AKTIF",1,0)</f>
        <v>0</v>
      </c>
      <c r="M103" s="1059">
        <f t="shared" ref="M103:M124" si="35">IF(F103="LULUS",1,0)</f>
        <v>1</v>
      </c>
      <c r="N103" s="1059">
        <f t="shared" ref="N103:N124" si="36">IF(F103="CUTI",1,0)</f>
        <v>0</v>
      </c>
      <c r="O103" s="1059">
        <f t="shared" ref="O103:O124" si="37">IF(F103="DROP OUT",1,0)</f>
        <v>0</v>
      </c>
      <c r="P103" s="1059">
        <f t="shared" ref="P103:P124" si="38">IF(F103="PASIF",1,0)</f>
        <v>0</v>
      </c>
      <c r="R103" s="1065"/>
      <c r="S103" s="2313" t="s">
        <v>3344</v>
      </c>
      <c r="T103" s="964">
        <f>J138+J272+J383+J895+J515</f>
        <v>38750000</v>
      </c>
      <c r="U103" s="967"/>
      <c r="V103" s="967" t="s">
        <v>3340</v>
      </c>
      <c r="W103" s="967"/>
    </row>
    <row r="104" spans="1:34" x14ac:dyDescent="0.25">
      <c r="A104" s="1034">
        <v>594</v>
      </c>
      <c r="B104" s="1034">
        <f t="shared" si="28"/>
        <v>2</v>
      </c>
      <c r="C104" s="1034" t="str">
        <f t="shared" si="29"/>
        <v>Miftahul Hidayat</v>
      </c>
      <c r="D104" s="1035" t="str">
        <f t="shared" si="30"/>
        <v>MPI-S2</v>
      </c>
      <c r="E104" s="1036">
        <f t="shared" si="31"/>
        <v>2013</v>
      </c>
      <c r="F104" s="1035" t="str">
        <f t="shared" si="32"/>
        <v>LULUS</v>
      </c>
      <c r="G104" s="1036">
        <f t="shared" si="33"/>
        <v>849113020</v>
      </c>
      <c r="H104" s="1038">
        <f t="shared" ref="H104:H124" si="39">IF(F104="AKTIF",3000000,IF(F104="CUTI",3000000,0))</f>
        <v>0</v>
      </c>
      <c r="I104" s="1038">
        <f t="shared" si="34"/>
        <v>0</v>
      </c>
      <c r="J104" s="1038">
        <f t="shared" ref="J104:J124" si="40">I104+H104</f>
        <v>0</v>
      </c>
      <c r="L104" s="1060">
        <f t="shared" ref="L104:L175" si="41">IF(F104="AKTIF",1,0)</f>
        <v>0</v>
      </c>
      <c r="M104" s="1060">
        <f t="shared" si="35"/>
        <v>1</v>
      </c>
      <c r="N104" s="1060">
        <f t="shared" si="36"/>
        <v>0</v>
      </c>
      <c r="O104" s="1060">
        <f t="shared" si="37"/>
        <v>0</v>
      </c>
      <c r="P104" s="1059">
        <f t="shared" si="38"/>
        <v>0</v>
      </c>
      <c r="R104" s="1065"/>
      <c r="S104" s="2313" t="s">
        <v>3345</v>
      </c>
      <c r="T104" s="964">
        <f>J217+J226+J328+J420+J536+J835</f>
        <v>36000000</v>
      </c>
      <c r="U104" s="967"/>
      <c r="V104" s="967" t="s">
        <v>3340</v>
      </c>
      <c r="W104" s="967"/>
    </row>
    <row r="105" spans="1:34" x14ac:dyDescent="0.25">
      <c r="A105" s="1034">
        <v>595</v>
      </c>
      <c r="B105" s="1034">
        <f t="shared" si="28"/>
        <v>3</v>
      </c>
      <c r="C105" s="1034" t="str">
        <f t="shared" si="29"/>
        <v>Ahmad Yusron Arafat</v>
      </c>
      <c r="D105" s="1035" t="str">
        <f t="shared" si="30"/>
        <v>MPI-S2</v>
      </c>
      <c r="E105" s="1036">
        <f t="shared" si="31"/>
        <v>2013</v>
      </c>
      <c r="F105" s="1035" t="str">
        <f t="shared" si="32"/>
        <v>LULUS</v>
      </c>
      <c r="G105" s="1036">
        <f t="shared" si="33"/>
        <v>849113021</v>
      </c>
      <c r="H105" s="1038">
        <f t="shared" si="39"/>
        <v>0</v>
      </c>
      <c r="I105" s="1038">
        <f t="shared" si="34"/>
        <v>0</v>
      </c>
      <c r="J105" s="1038">
        <f t="shared" si="40"/>
        <v>0</v>
      </c>
      <c r="L105" s="1060">
        <f t="shared" si="41"/>
        <v>0</v>
      </c>
      <c r="M105" s="1060">
        <f t="shared" si="35"/>
        <v>1</v>
      </c>
      <c r="N105" s="1060">
        <f t="shared" si="36"/>
        <v>0</v>
      </c>
      <c r="O105" s="1060">
        <f t="shared" si="37"/>
        <v>0</v>
      </c>
      <c r="P105" s="1059">
        <f t="shared" si="38"/>
        <v>0</v>
      </c>
      <c r="R105" s="1065"/>
      <c r="S105" s="2313" t="s">
        <v>3346</v>
      </c>
      <c r="T105" s="964">
        <f>J345+J598+J732</f>
        <v>114000000</v>
      </c>
      <c r="U105" s="967"/>
      <c r="V105" s="967" t="s">
        <v>3340</v>
      </c>
      <c r="W105" s="967"/>
    </row>
    <row r="106" spans="1:34" x14ac:dyDescent="0.25">
      <c r="A106" s="1034">
        <v>596</v>
      </c>
      <c r="B106" s="1034">
        <f t="shared" si="28"/>
        <v>4</v>
      </c>
      <c r="C106" s="1034" t="str">
        <f t="shared" si="29"/>
        <v>Mukhtar Fitriawan Bilawal</v>
      </c>
      <c r="D106" s="1035" t="str">
        <f t="shared" si="30"/>
        <v>MPI-S2</v>
      </c>
      <c r="E106" s="1036">
        <f t="shared" si="31"/>
        <v>2013</v>
      </c>
      <c r="F106" s="1035" t="str">
        <f t="shared" si="32"/>
        <v>LULUS</v>
      </c>
      <c r="G106" s="1036">
        <f t="shared" si="33"/>
        <v>849113022</v>
      </c>
      <c r="H106" s="1038">
        <f t="shared" si="39"/>
        <v>0</v>
      </c>
      <c r="I106" s="1038">
        <f t="shared" si="34"/>
        <v>0</v>
      </c>
      <c r="J106" s="1038">
        <f t="shared" si="40"/>
        <v>0</v>
      </c>
      <c r="L106" s="1060">
        <f t="shared" si="41"/>
        <v>0</v>
      </c>
      <c r="M106" s="1060">
        <f t="shared" si="35"/>
        <v>1</v>
      </c>
      <c r="N106" s="1060">
        <f t="shared" si="36"/>
        <v>0</v>
      </c>
      <c r="O106" s="1060">
        <f t="shared" si="37"/>
        <v>0</v>
      </c>
      <c r="P106" s="1059">
        <f t="shared" si="38"/>
        <v>0</v>
      </c>
      <c r="R106" s="1065"/>
      <c r="S106" s="2313" t="s">
        <v>3347</v>
      </c>
      <c r="T106" s="964">
        <f>J451+J589+J933</f>
        <v>18000000</v>
      </c>
      <c r="U106" s="967"/>
      <c r="V106" s="967" t="s">
        <v>3340</v>
      </c>
      <c r="W106" s="967"/>
    </row>
    <row r="107" spans="1:34" x14ac:dyDescent="0.25">
      <c r="A107" s="1034">
        <v>597</v>
      </c>
      <c r="B107" s="1034">
        <f t="shared" si="28"/>
        <v>5</v>
      </c>
      <c r="C107" s="1034" t="str">
        <f t="shared" si="29"/>
        <v>Lailatul Hasanah</v>
      </c>
      <c r="D107" s="1035" t="str">
        <f t="shared" si="30"/>
        <v>MPI-S2</v>
      </c>
      <c r="E107" s="1036">
        <f t="shared" si="31"/>
        <v>2013</v>
      </c>
      <c r="F107" s="1035" t="str">
        <f t="shared" si="32"/>
        <v>LULUS</v>
      </c>
      <c r="G107" s="1036">
        <f t="shared" si="33"/>
        <v>849113035</v>
      </c>
      <c r="H107" s="1038">
        <f t="shared" si="39"/>
        <v>0</v>
      </c>
      <c r="I107" s="1038">
        <f t="shared" si="34"/>
        <v>0</v>
      </c>
      <c r="J107" s="1038">
        <f t="shared" si="40"/>
        <v>0</v>
      </c>
      <c r="L107" s="1060">
        <f t="shared" si="41"/>
        <v>0</v>
      </c>
      <c r="M107" s="1060">
        <f t="shared" si="35"/>
        <v>1</v>
      </c>
      <c r="N107" s="1060">
        <f t="shared" si="36"/>
        <v>0</v>
      </c>
      <c r="O107" s="1060">
        <f t="shared" si="37"/>
        <v>0</v>
      </c>
      <c r="P107" s="1059">
        <f t="shared" si="38"/>
        <v>0</v>
      </c>
      <c r="R107" s="1065"/>
      <c r="S107" s="2313" t="s">
        <v>3348</v>
      </c>
      <c r="T107" s="964">
        <f>J465+J650+J874</f>
        <v>24000000</v>
      </c>
      <c r="U107" s="967"/>
      <c r="V107" s="967" t="s">
        <v>3340</v>
      </c>
      <c r="W107" s="967"/>
    </row>
    <row r="108" spans="1:34" x14ac:dyDescent="0.25">
      <c r="A108" s="1034">
        <v>598</v>
      </c>
      <c r="B108" s="1034">
        <f t="shared" si="28"/>
        <v>6</v>
      </c>
      <c r="C108" s="1034" t="str">
        <f t="shared" si="29"/>
        <v>Ahmad Dhiyaa Ul Haqq</v>
      </c>
      <c r="D108" s="1035" t="str">
        <f t="shared" si="30"/>
        <v>MPI-S2</v>
      </c>
      <c r="E108" s="1036">
        <f t="shared" si="31"/>
        <v>2013</v>
      </c>
      <c r="F108" s="1035" t="str">
        <f t="shared" si="32"/>
        <v>LULUS</v>
      </c>
      <c r="G108" s="1036">
        <f t="shared" si="33"/>
        <v>849113024</v>
      </c>
      <c r="H108" s="1038">
        <f t="shared" si="39"/>
        <v>0</v>
      </c>
      <c r="I108" s="1038">
        <f t="shared" si="34"/>
        <v>0</v>
      </c>
      <c r="J108" s="1038">
        <f t="shared" si="40"/>
        <v>0</v>
      </c>
      <c r="L108" s="1060">
        <f t="shared" si="41"/>
        <v>0</v>
      </c>
      <c r="M108" s="1061">
        <f t="shared" si="35"/>
        <v>1</v>
      </c>
      <c r="N108" s="1060">
        <f t="shared" si="36"/>
        <v>0</v>
      </c>
      <c r="O108" s="1060">
        <f t="shared" si="37"/>
        <v>0</v>
      </c>
      <c r="P108" s="1059">
        <f t="shared" si="38"/>
        <v>0</v>
      </c>
      <c r="R108" s="1065"/>
      <c r="S108" s="2313" t="s">
        <v>3349</v>
      </c>
      <c r="T108" s="967"/>
      <c r="U108" s="964">
        <f>J472+J723+J949</f>
        <v>120000000</v>
      </c>
      <c r="V108" s="967"/>
      <c r="W108" s="967"/>
    </row>
    <row r="109" spans="1:34" x14ac:dyDescent="0.25">
      <c r="A109" s="1034">
        <v>599</v>
      </c>
      <c r="B109" s="1034">
        <f t="shared" si="28"/>
        <v>7</v>
      </c>
      <c r="C109" s="1034" t="str">
        <f t="shared" si="29"/>
        <v>Andi Amin</v>
      </c>
      <c r="D109" s="1035" t="str">
        <f t="shared" si="30"/>
        <v>MPI-S2</v>
      </c>
      <c r="E109" s="1036">
        <f t="shared" si="31"/>
        <v>2013</v>
      </c>
      <c r="F109" s="1035" t="str">
        <f t="shared" si="32"/>
        <v>DROP OUT</v>
      </c>
      <c r="G109" s="1036">
        <f t="shared" si="33"/>
        <v>849113026</v>
      </c>
      <c r="H109" s="1038">
        <f t="shared" si="39"/>
        <v>0</v>
      </c>
      <c r="I109" s="1038">
        <f t="shared" si="34"/>
        <v>0</v>
      </c>
      <c r="J109" s="1038">
        <f t="shared" si="40"/>
        <v>0</v>
      </c>
      <c r="L109" s="1060">
        <f t="shared" si="41"/>
        <v>0</v>
      </c>
      <c r="M109" s="1060">
        <f t="shared" si="35"/>
        <v>0</v>
      </c>
      <c r="N109" s="1060">
        <f t="shared" si="36"/>
        <v>0</v>
      </c>
      <c r="O109" s="1060">
        <f t="shared" si="37"/>
        <v>1</v>
      </c>
      <c r="P109" s="1059">
        <f t="shared" si="38"/>
        <v>0</v>
      </c>
      <c r="R109" s="1065"/>
      <c r="S109" s="2313" t="s">
        <v>3350</v>
      </c>
      <c r="T109" s="967"/>
      <c r="U109" s="964">
        <f>J500+J706+J964</f>
        <v>132000000</v>
      </c>
      <c r="V109" s="967"/>
      <c r="W109" s="967"/>
    </row>
    <row r="110" spans="1:34" x14ac:dyDescent="0.25">
      <c r="A110" s="1034">
        <v>600</v>
      </c>
      <c r="B110" s="1034">
        <f t="shared" si="28"/>
        <v>8</v>
      </c>
      <c r="C110" s="1034" t="str">
        <f t="shared" si="29"/>
        <v>Moh. Hafid</v>
      </c>
      <c r="D110" s="1035" t="str">
        <f t="shared" si="30"/>
        <v>MPI-S2</v>
      </c>
      <c r="E110" s="1036">
        <f t="shared" si="31"/>
        <v>2013</v>
      </c>
      <c r="F110" s="1035" t="str">
        <f t="shared" si="32"/>
        <v>LULUS</v>
      </c>
      <c r="G110" s="1036">
        <f t="shared" si="33"/>
        <v>849113036</v>
      </c>
      <c r="H110" s="1038">
        <f t="shared" si="39"/>
        <v>0</v>
      </c>
      <c r="I110" s="1038">
        <f t="shared" si="34"/>
        <v>0</v>
      </c>
      <c r="J110" s="1038">
        <f t="shared" si="40"/>
        <v>0</v>
      </c>
      <c r="L110" s="1060">
        <f t="shared" si="41"/>
        <v>0</v>
      </c>
      <c r="M110" s="1060">
        <f t="shared" si="35"/>
        <v>1</v>
      </c>
      <c r="N110" s="1060">
        <f t="shared" si="36"/>
        <v>0</v>
      </c>
      <c r="O110" s="1060">
        <f t="shared" si="37"/>
        <v>0</v>
      </c>
      <c r="P110" s="1059">
        <f t="shared" si="38"/>
        <v>0</v>
      </c>
      <c r="R110" s="961">
        <v>2</v>
      </c>
      <c r="S110" s="962" t="s">
        <v>3351</v>
      </c>
      <c r="T110" s="963">
        <v>500000</v>
      </c>
      <c r="U110" s="963">
        <v>750000</v>
      </c>
      <c r="V110" s="962" t="s">
        <v>3352</v>
      </c>
      <c r="W110" s="964">
        <f>(T110*300)+(U110*100)</f>
        <v>225000000</v>
      </c>
    </row>
    <row r="111" spans="1:34" x14ac:dyDescent="0.25">
      <c r="A111" s="1034">
        <v>601</v>
      </c>
      <c r="B111" s="1034">
        <f t="shared" si="28"/>
        <v>9</v>
      </c>
      <c r="C111" s="1034" t="str">
        <f t="shared" si="29"/>
        <v>Mohammad Masfur Rahman</v>
      </c>
      <c r="D111" s="1035" t="str">
        <f t="shared" si="30"/>
        <v>MPI-S2</v>
      </c>
      <c r="E111" s="1036">
        <f t="shared" si="31"/>
        <v>2013</v>
      </c>
      <c r="F111" s="1035" t="str">
        <f t="shared" si="32"/>
        <v>LULUS</v>
      </c>
      <c r="G111" s="1036">
        <f t="shared" si="33"/>
        <v>849113012</v>
      </c>
      <c r="H111" s="1038">
        <f t="shared" si="39"/>
        <v>0</v>
      </c>
      <c r="I111" s="1038">
        <f t="shared" si="34"/>
        <v>0</v>
      </c>
      <c r="J111" s="1038">
        <f t="shared" si="40"/>
        <v>0</v>
      </c>
      <c r="L111" s="1060">
        <f t="shared" si="41"/>
        <v>0</v>
      </c>
      <c r="M111" s="1060">
        <f t="shared" si="35"/>
        <v>1</v>
      </c>
      <c r="N111" s="1060">
        <f t="shared" si="36"/>
        <v>0</v>
      </c>
      <c r="O111" s="1060">
        <f t="shared" si="37"/>
        <v>0</v>
      </c>
      <c r="P111" s="1059">
        <f t="shared" si="38"/>
        <v>0</v>
      </c>
      <c r="R111" s="961">
        <v>3</v>
      </c>
      <c r="S111" s="962" t="s">
        <v>3260</v>
      </c>
      <c r="T111" s="963">
        <v>250000</v>
      </c>
      <c r="U111" s="963">
        <v>500000</v>
      </c>
      <c r="V111" s="962" t="s">
        <v>3261</v>
      </c>
      <c r="W111" s="964">
        <f>(T111*250)+(U111*30)</f>
        <v>77500000</v>
      </c>
    </row>
    <row r="112" spans="1:34" x14ac:dyDescent="0.25">
      <c r="A112" s="1034">
        <v>602</v>
      </c>
      <c r="B112" s="1034">
        <f t="shared" si="28"/>
        <v>10</v>
      </c>
      <c r="C112" s="1034" t="str">
        <f t="shared" si="29"/>
        <v>Fadhullah</v>
      </c>
      <c r="D112" s="1035" t="str">
        <f t="shared" si="30"/>
        <v>MPI-S2</v>
      </c>
      <c r="E112" s="1036">
        <f t="shared" si="31"/>
        <v>2013</v>
      </c>
      <c r="F112" s="1035" t="str">
        <f t="shared" si="32"/>
        <v>LULUS</v>
      </c>
      <c r="G112" s="1036">
        <f t="shared" si="33"/>
        <v>849113006</v>
      </c>
      <c r="H112" s="1038">
        <f t="shared" si="39"/>
        <v>0</v>
      </c>
      <c r="I112" s="1038">
        <f t="shared" si="34"/>
        <v>0</v>
      </c>
      <c r="J112" s="1038">
        <f t="shared" si="40"/>
        <v>0</v>
      </c>
      <c r="L112" s="1060">
        <f t="shared" si="41"/>
        <v>0</v>
      </c>
      <c r="M112" s="1060">
        <f t="shared" si="35"/>
        <v>1</v>
      </c>
      <c r="N112" s="1060">
        <f t="shared" si="36"/>
        <v>0</v>
      </c>
      <c r="O112" s="1060">
        <f t="shared" si="37"/>
        <v>0</v>
      </c>
      <c r="P112" s="1059">
        <f t="shared" si="38"/>
        <v>0</v>
      </c>
      <c r="R112" s="961">
        <v>4</v>
      </c>
      <c r="S112" s="962" t="s">
        <v>3353</v>
      </c>
      <c r="T112" s="963">
        <v>600000</v>
      </c>
      <c r="U112" s="963">
        <v>750000</v>
      </c>
      <c r="V112" s="962" t="s">
        <v>3354</v>
      </c>
      <c r="W112" s="965">
        <f>(T112*250)+(U112*30)</f>
        <v>172500000</v>
      </c>
    </row>
    <row r="113" spans="1:23" x14ac:dyDescent="0.25">
      <c r="A113" s="1034">
        <v>603</v>
      </c>
      <c r="B113" s="1034">
        <f t="shared" si="28"/>
        <v>11</v>
      </c>
      <c r="C113" s="1034" t="str">
        <f t="shared" si="29"/>
        <v>Elok Indriyani</v>
      </c>
      <c r="D113" s="1035" t="str">
        <f t="shared" si="30"/>
        <v>MPI-S2</v>
      </c>
      <c r="E113" s="1036">
        <f t="shared" si="31"/>
        <v>2013</v>
      </c>
      <c r="F113" s="1035" t="str">
        <f t="shared" si="32"/>
        <v>LULUS</v>
      </c>
      <c r="G113" s="1036">
        <f t="shared" si="33"/>
        <v>849113005</v>
      </c>
      <c r="H113" s="1038">
        <f t="shared" si="39"/>
        <v>0</v>
      </c>
      <c r="I113" s="1038">
        <f t="shared" si="34"/>
        <v>0</v>
      </c>
      <c r="J113" s="1038">
        <f t="shared" si="40"/>
        <v>0</v>
      </c>
      <c r="L113" s="1060">
        <f t="shared" si="41"/>
        <v>0</v>
      </c>
      <c r="M113" s="1060">
        <f t="shared" si="35"/>
        <v>1</v>
      </c>
      <c r="N113" s="1060">
        <f t="shared" si="36"/>
        <v>0</v>
      </c>
      <c r="O113" s="1060">
        <f t="shared" si="37"/>
        <v>0</v>
      </c>
      <c r="P113" s="1059">
        <f t="shared" si="38"/>
        <v>0</v>
      </c>
      <c r="R113" s="961">
        <v>5</v>
      </c>
      <c r="S113" s="962" t="s">
        <v>3266</v>
      </c>
      <c r="T113" s="963">
        <v>750000</v>
      </c>
      <c r="U113" s="963">
        <v>1500000</v>
      </c>
      <c r="V113" s="962" t="s">
        <v>3355</v>
      </c>
      <c r="W113" s="964">
        <f>(T113*100)+(U113*20)</f>
        <v>105000000</v>
      </c>
    </row>
    <row r="114" spans="1:23" x14ac:dyDescent="0.25">
      <c r="A114" s="1034">
        <v>604</v>
      </c>
      <c r="B114" s="1034">
        <f t="shared" si="28"/>
        <v>12</v>
      </c>
      <c r="C114" s="1034" t="str">
        <f t="shared" si="29"/>
        <v>Moh. Ba'its Sulthon</v>
      </c>
      <c r="D114" s="1035" t="str">
        <f t="shared" si="30"/>
        <v>MPI-S2</v>
      </c>
      <c r="E114" s="1036">
        <f t="shared" si="31"/>
        <v>2013</v>
      </c>
      <c r="F114" s="1035" t="str">
        <f t="shared" si="32"/>
        <v>LULUS</v>
      </c>
      <c r="G114" s="1036">
        <f t="shared" si="33"/>
        <v>849113011</v>
      </c>
      <c r="H114" s="1038">
        <f t="shared" si="39"/>
        <v>0</v>
      </c>
      <c r="I114" s="1038">
        <f t="shared" si="34"/>
        <v>0</v>
      </c>
      <c r="J114" s="1038">
        <f t="shared" si="40"/>
        <v>0</v>
      </c>
      <c r="L114" s="1060">
        <f t="shared" si="41"/>
        <v>0</v>
      </c>
      <c r="M114" s="1060">
        <f t="shared" si="35"/>
        <v>1</v>
      </c>
      <c r="N114" s="1060">
        <f t="shared" si="36"/>
        <v>0</v>
      </c>
      <c r="O114" s="1060">
        <f t="shared" si="37"/>
        <v>0</v>
      </c>
      <c r="P114" s="1059">
        <f t="shared" si="38"/>
        <v>0</v>
      </c>
      <c r="R114" s="961">
        <v>6</v>
      </c>
      <c r="S114" s="962" t="s">
        <v>3269</v>
      </c>
      <c r="T114" s="963">
        <v>750000</v>
      </c>
      <c r="U114" s="963">
        <v>1500000</v>
      </c>
      <c r="V114" s="962" t="s">
        <v>3355</v>
      </c>
      <c r="W114" s="964">
        <f>(T114*100)+(U114*20)</f>
        <v>105000000</v>
      </c>
    </row>
    <row r="115" spans="1:23" x14ac:dyDescent="0.25">
      <c r="A115" s="1034">
        <v>605</v>
      </c>
      <c r="B115" s="1034">
        <f t="shared" si="28"/>
        <v>13</v>
      </c>
      <c r="C115" s="1034" t="str">
        <f t="shared" si="29"/>
        <v>Rista Eko Muji Lestari Ningsih</v>
      </c>
      <c r="D115" s="1035" t="str">
        <f t="shared" si="30"/>
        <v>MPI-S2</v>
      </c>
      <c r="E115" s="1036">
        <f t="shared" si="31"/>
        <v>2013</v>
      </c>
      <c r="F115" s="1035" t="str">
        <f t="shared" si="32"/>
        <v>LULUS</v>
      </c>
      <c r="G115" s="1036">
        <f t="shared" si="33"/>
        <v>849113017</v>
      </c>
      <c r="H115" s="1038">
        <f t="shared" si="39"/>
        <v>0</v>
      </c>
      <c r="I115" s="1038">
        <f t="shared" si="34"/>
        <v>0</v>
      </c>
      <c r="J115" s="1038">
        <f t="shared" si="40"/>
        <v>0</v>
      </c>
      <c r="L115" s="1060">
        <f t="shared" si="41"/>
        <v>0</v>
      </c>
      <c r="M115" s="1060">
        <f t="shared" si="35"/>
        <v>1</v>
      </c>
      <c r="N115" s="1060">
        <f t="shared" si="36"/>
        <v>0</v>
      </c>
      <c r="O115" s="1060">
        <f t="shared" si="37"/>
        <v>0</v>
      </c>
      <c r="P115" s="1059">
        <f t="shared" si="38"/>
        <v>0</v>
      </c>
      <c r="R115" s="961">
        <v>7</v>
      </c>
      <c r="S115" s="962" t="s">
        <v>3272</v>
      </c>
      <c r="T115" s="963">
        <v>1000000</v>
      </c>
      <c r="U115" s="963">
        <v>2000000</v>
      </c>
      <c r="V115" s="962" t="s">
        <v>3356</v>
      </c>
      <c r="W115" s="964">
        <f>(T115*100)+(U115*30)</f>
        <v>160000000</v>
      </c>
    </row>
    <row r="116" spans="1:23" x14ac:dyDescent="0.25">
      <c r="A116" s="1034">
        <v>606</v>
      </c>
      <c r="B116" s="1034">
        <f t="shared" si="28"/>
        <v>14</v>
      </c>
      <c r="C116" s="1034" t="str">
        <f t="shared" si="29"/>
        <v>Agus Arifandi</v>
      </c>
      <c r="D116" s="1035" t="str">
        <f t="shared" si="30"/>
        <v>MPI-S2</v>
      </c>
      <c r="E116" s="1036">
        <f t="shared" si="31"/>
        <v>2013</v>
      </c>
      <c r="F116" s="1035" t="str">
        <f t="shared" si="32"/>
        <v>LULUS</v>
      </c>
      <c r="G116" s="1036">
        <f t="shared" si="33"/>
        <v>849113002</v>
      </c>
      <c r="H116" s="1038">
        <f t="shared" si="39"/>
        <v>0</v>
      </c>
      <c r="I116" s="1038">
        <f t="shared" si="34"/>
        <v>0</v>
      </c>
      <c r="J116" s="1038">
        <f t="shared" si="40"/>
        <v>0</v>
      </c>
      <c r="L116" s="1060">
        <f t="shared" si="41"/>
        <v>0</v>
      </c>
      <c r="M116" s="1060">
        <f t="shared" si="35"/>
        <v>1</v>
      </c>
      <c r="N116" s="1060">
        <f t="shared" si="36"/>
        <v>0</v>
      </c>
      <c r="O116" s="1060">
        <f t="shared" si="37"/>
        <v>0</v>
      </c>
      <c r="P116" s="1059">
        <f t="shared" si="38"/>
        <v>0</v>
      </c>
      <c r="R116" s="961">
        <v>8</v>
      </c>
      <c r="S116" s="962" t="s">
        <v>3276</v>
      </c>
      <c r="T116" s="963">
        <v>1000000</v>
      </c>
      <c r="U116" s="963">
        <v>2000000</v>
      </c>
      <c r="V116" s="962" t="s">
        <v>3356</v>
      </c>
      <c r="W116" s="964">
        <f>(T116*100)+(U116*30)</f>
        <v>160000000</v>
      </c>
    </row>
    <row r="117" spans="1:23" x14ac:dyDescent="0.25">
      <c r="A117" s="1034">
        <v>607</v>
      </c>
      <c r="B117" s="1034">
        <f t="shared" si="28"/>
        <v>15</v>
      </c>
      <c r="C117" s="1034" t="str">
        <f t="shared" si="29"/>
        <v>Mawaddah Yayang Efendi</v>
      </c>
      <c r="D117" s="1035" t="str">
        <f t="shared" si="30"/>
        <v>MPI-S2</v>
      </c>
      <c r="E117" s="1036">
        <f t="shared" si="31"/>
        <v>2013</v>
      </c>
      <c r="F117" s="1035" t="str">
        <f t="shared" si="32"/>
        <v>DROP OUT</v>
      </c>
      <c r="G117" s="1036">
        <f t="shared" si="33"/>
        <v>849113010</v>
      </c>
      <c r="H117" s="1038">
        <f t="shared" si="39"/>
        <v>0</v>
      </c>
      <c r="I117" s="1038">
        <f t="shared" si="34"/>
        <v>0</v>
      </c>
      <c r="J117" s="1038">
        <f t="shared" si="40"/>
        <v>0</v>
      </c>
      <c r="L117" s="1060">
        <f t="shared" si="41"/>
        <v>0</v>
      </c>
      <c r="M117" s="1060">
        <f t="shared" si="35"/>
        <v>0</v>
      </c>
      <c r="N117" s="1060">
        <f t="shared" si="36"/>
        <v>0</v>
      </c>
      <c r="O117" s="1060">
        <f t="shared" si="37"/>
        <v>1</v>
      </c>
      <c r="P117" s="1059">
        <f t="shared" si="38"/>
        <v>0</v>
      </c>
      <c r="R117" s="966">
        <v>9</v>
      </c>
      <c r="S117" s="962" t="s">
        <v>3281</v>
      </c>
      <c r="T117" s="963">
        <v>1500000</v>
      </c>
      <c r="U117" s="963">
        <v>4000000</v>
      </c>
      <c r="V117" s="962" t="s">
        <v>3356</v>
      </c>
      <c r="W117" s="964">
        <f>(T117*100)+(U117*30)</f>
        <v>270000000</v>
      </c>
    </row>
    <row r="118" spans="1:23" x14ac:dyDescent="0.25">
      <c r="A118" s="1034">
        <v>608</v>
      </c>
      <c r="B118" s="1034">
        <f t="shared" si="28"/>
        <v>17</v>
      </c>
      <c r="C118" s="1034" t="str">
        <f t="shared" si="29"/>
        <v>Nur Ittihadul Ummah</v>
      </c>
      <c r="D118" s="1035" t="str">
        <f t="shared" si="30"/>
        <v>MPI-S2</v>
      </c>
      <c r="E118" s="1036">
        <f t="shared" si="31"/>
        <v>2013</v>
      </c>
      <c r="F118" s="1035" t="str">
        <f t="shared" si="32"/>
        <v>LULUS</v>
      </c>
      <c r="G118" s="1036">
        <f t="shared" si="33"/>
        <v>849113014</v>
      </c>
      <c r="H118" s="1038">
        <f t="shared" si="39"/>
        <v>0</v>
      </c>
      <c r="I118" s="1038">
        <f t="shared" si="34"/>
        <v>0</v>
      </c>
      <c r="J118" s="1038">
        <f t="shared" si="40"/>
        <v>0</v>
      </c>
      <c r="L118" s="1060">
        <f t="shared" si="41"/>
        <v>0</v>
      </c>
      <c r="M118" s="1060">
        <f t="shared" si="35"/>
        <v>1</v>
      </c>
      <c r="N118" s="1060">
        <f t="shared" si="36"/>
        <v>0</v>
      </c>
      <c r="O118" s="1060">
        <f t="shared" si="37"/>
        <v>0</v>
      </c>
      <c r="P118" s="1059">
        <f t="shared" si="38"/>
        <v>0</v>
      </c>
      <c r="R118" s="966">
        <v>10</v>
      </c>
      <c r="S118" s="962" t="s">
        <v>3284</v>
      </c>
      <c r="T118" s="963">
        <v>1500000</v>
      </c>
      <c r="U118" s="963">
        <v>4000000</v>
      </c>
      <c r="V118" s="962" t="s">
        <v>3356</v>
      </c>
      <c r="W118" s="964">
        <f>(T118*100)+(U118*30)</f>
        <v>270000000</v>
      </c>
    </row>
    <row r="119" spans="1:23" x14ac:dyDescent="0.25">
      <c r="A119" s="1034">
        <v>609</v>
      </c>
      <c r="B119" s="1034">
        <f t="shared" si="28"/>
        <v>19</v>
      </c>
      <c r="C119" s="1034" t="str">
        <f t="shared" si="29"/>
        <v>Achmad Karimulah</v>
      </c>
      <c r="D119" s="1035" t="str">
        <f t="shared" si="30"/>
        <v>MPI-S2</v>
      </c>
      <c r="E119" s="1036">
        <f t="shared" si="31"/>
        <v>2013</v>
      </c>
      <c r="F119" s="1035" t="str">
        <f t="shared" si="32"/>
        <v>LULUS</v>
      </c>
      <c r="G119" s="1036">
        <f t="shared" si="33"/>
        <v>849113001</v>
      </c>
      <c r="H119" s="1038">
        <f t="shared" si="39"/>
        <v>0</v>
      </c>
      <c r="I119" s="1038">
        <f t="shared" si="34"/>
        <v>0</v>
      </c>
      <c r="J119" s="1038">
        <f t="shared" si="40"/>
        <v>0</v>
      </c>
      <c r="L119" s="1060">
        <f t="shared" si="41"/>
        <v>0</v>
      </c>
      <c r="M119" s="1060">
        <f t="shared" si="35"/>
        <v>1</v>
      </c>
      <c r="N119" s="1060">
        <f t="shared" si="36"/>
        <v>0</v>
      </c>
      <c r="O119" s="1060">
        <f t="shared" si="37"/>
        <v>0</v>
      </c>
      <c r="P119" s="1059">
        <f t="shared" si="38"/>
        <v>0</v>
      </c>
      <c r="R119" s="966">
        <v>11</v>
      </c>
      <c r="S119" s="962" t="s">
        <v>3287</v>
      </c>
      <c r="T119" s="963"/>
      <c r="U119" s="963">
        <v>10000000</v>
      </c>
      <c r="V119" s="962" t="s">
        <v>3357</v>
      </c>
      <c r="W119" s="964">
        <f>(T119*0)+(U119*5)</f>
        <v>50000000</v>
      </c>
    </row>
    <row r="120" spans="1:23" x14ac:dyDescent="0.25">
      <c r="A120" s="1034">
        <v>610</v>
      </c>
      <c r="B120" s="1034">
        <f t="shared" si="28"/>
        <v>20</v>
      </c>
      <c r="C120" s="1034" t="str">
        <f t="shared" si="29"/>
        <v>Siti Aisyah</v>
      </c>
      <c r="D120" s="1035" t="str">
        <f t="shared" si="30"/>
        <v>MPI-S2</v>
      </c>
      <c r="E120" s="1036">
        <f t="shared" si="31"/>
        <v>2013</v>
      </c>
      <c r="F120" s="1035" t="str">
        <f t="shared" si="32"/>
        <v>LULUS</v>
      </c>
      <c r="G120" s="1036">
        <f t="shared" si="33"/>
        <v>849113018</v>
      </c>
      <c r="H120" s="1038">
        <f t="shared" si="39"/>
        <v>0</v>
      </c>
      <c r="I120" s="1038">
        <f t="shared" si="34"/>
        <v>0</v>
      </c>
      <c r="J120" s="1038">
        <f t="shared" si="40"/>
        <v>0</v>
      </c>
      <c r="L120" s="1060">
        <f t="shared" si="41"/>
        <v>0</v>
      </c>
      <c r="M120" s="1060">
        <f t="shared" si="35"/>
        <v>1</v>
      </c>
      <c r="N120" s="1060">
        <f t="shared" si="36"/>
        <v>0</v>
      </c>
      <c r="O120" s="1060">
        <f t="shared" si="37"/>
        <v>0</v>
      </c>
      <c r="P120" s="1059">
        <f t="shared" si="38"/>
        <v>0</v>
      </c>
      <c r="R120" s="966">
        <v>12</v>
      </c>
      <c r="S120" s="962" t="s">
        <v>3290</v>
      </c>
      <c r="T120" s="963"/>
      <c r="U120" s="963"/>
      <c r="V120" s="962"/>
      <c r="W120" s="967"/>
    </row>
    <row r="121" spans="1:23" x14ac:dyDescent="0.25">
      <c r="A121" s="1034">
        <v>611</v>
      </c>
      <c r="B121" s="1034">
        <f t="shared" si="28"/>
        <v>21</v>
      </c>
      <c r="C121" s="1034" t="str">
        <f t="shared" si="29"/>
        <v>Hana Sa'diyah</v>
      </c>
      <c r="D121" s="1035" t="str">
        <f t="shared" si="30"/>
        <v>MPI-S2</v>
      </c>
      <c r="E121" s="1036">
        <f t="shared" si="31"/>
        <v>2013</v>
      </c>
      <c r="F121" s="1035" t="str">
        <f t="shared" si="32"/>
        <v>DROP OUT</v>
      </c>
      <c r="G121" s="1036">
        <f t="shared" si="33"/>
        <v>849113007</v>
      </c>
      <c r="H121" s="1038">
        <f t="shared" si="39"/>
        <v>0</v>
      </c>
      <c r="I121" s="1038">
        <f t="shared" si="34"/>
        <v>0</v>
      </c>
      <c r="J121" s="1038">
        <f t="shared" si="40"/>
        <v>0</v>
      </c>
      <c r="L121" s="1060">
        <f t="shared" si="41"/>
        <v>0</v>
      </c>
      <c r="M121" s="1060">
        <f t="shared" si="35"/>
        <v>0</v>
      </c>
      <c r="N121" s="1060">
        <f t="shared" si="36"/>
        <v>0</v>
      </c>
      <c r="O121" s="1060">
        <f t="shared" si="37"/>
        <v>1</v>
      </c>
      <c r="P121" s="1059">
        <f t="shared" si="38"/>
        <v>0</v>
      </c>
      <c r="R121" s="966"/>
      <c r="S121" s="962" t="s">
        <v>3291</v>
      </c>
      <c r="T121" s="963">
        <v>2500</v>
      </c>
      <c r="U121" s="963">
        <v>2500</v>
      </c>
      <c r="V121" s="962" t="s">
        <v>3292</v>
      </c>
      <c r="W121" s="964">
        <f>(T121*200)+(U121*0)</f>
        <v>500000</v>
      </c>
    </row>
    <row r="122" spans="1:23" x14ac:dyDescent="0.25">
      <c r="A122" s="1034">
        <v>612</v>
      </c>
      <c r="B122" s="1034">
        <f t="shared" si="28"/>
        <v>22</v>
      </c>
      <c r="C122" s="1034" t="str">
        <f t="shared" si="29"/>
        <v>Mokhammad Khosim</v>
      </c>
      <c r="D122" s="1035" t="str">
        <f t="shared" si="30"/>
        <v>MPI-S2</v>
      </c>
      <c r="E122" s="1036">
        <f t="shared" si="31"/>
        <v>2013</v>
      </c>
      <c r="F122" s="1035" t="str">
        <f t="shared" si="32"/>
        <v>LULUS</v>
      </c>
      <c r="G122" s="1036">
        <f t="shared" si="33"/>
        <v>849113013</v>
      </c>
      <c r="H122" s="1038">
        <f t="shared" si="39"/>
        <v>0</v>
      </c>
      <c r="I122" s="1038">
        <f t="shared" si="34"/>
        <v>0</v>
      </c>
      <c r="J122" s="1038">
        <f t="shared" si="40"/>
        <v>0</v>
      </c>
      <c r="L122" s="1060">
        <f t="shared" si="41"/>
        <v>0</v>
      </c>
      <c r="M122" s="1060">
        <f t="shared" si="35"/>
        <v>1</v>
      </c>
      <c r="N122" s="1060">
        <f t="shared" si="36"/>
        <v>0</v>
      </c>
      <c r="O122" s="1060">
        <f t="shared" si="37"/>
        <v>0</v>
      </c>
      <c r="P122" s="1059">
        <f t="shared" si="38"/>
        <v>0</v>
      </c>
      <c r="R122" s="968"/>
      <c r="S122" s="962" t="s">
        <v>3293</v>
      </c>
      <c r="T122" s="963">
        <v>100000</v>
      </c>
      <c r="U122" s="963">
        <v>100000</v>
      </c>
      <c r="V122" s="962" t="s">
        <v>3294</v>
      </c>
      <c r="W122" s="964">
        <f>(T122*250)+(U122*50)</f>
        <v>30000000</v>
      </c>
    </row>
    <row r="123" spans="1:23" x14ac:dyDescent="0.25">
      <c r="A123" s="1034">
        <v>613</v>
      </c>
      <c r="B123" s="1034">
        <f t="shared" si="28"/>
        <v>23</v>
      </c>
      <c r="C123" s="1034" t="str">
        <f t="shared" si="29"/>
        <v>Helmi A. Khalili</v>
      </c>
      <c r="D123" s="1035" t="str">
        <f t="shared" si="30"/>
        <v>MPI-S2</v>
      </c>
      <c r="E123" s="1036">
        <f t="shared" si="31"/>
        <v>2013</v>
      </c>
      <c r="F123" s="1035" t="str">
        <f t="shared" si="32"/>
        <v>LULUS</v>
      </c>
      <c r="G123" s="1036">
        <f t="shared" si="33"/>
        <v>849113008</v>
      </c>
      <c r="H123" s="1038">
        <f t="shared" si="39"/>
        <v>0</v>
      </c>
      <c r="I123" s="1038">
        <f t="shared" si="34"/>
        <v>0</v>
      </c>
      <c r="J123" s="1038">
        <f t="shared" si="40"/>
        <v>0</v>
      </c>
      <c r="L123" s="1060">
        <f t="shared" si="41"/>
        <v>0</v>
      </c>
      <c r="M123" s="1060">
        <f t="shared" si="35"/>
        <v>1</v>
      </c>
      <c r="N123" s="1060">
        <f t="shared" si="36"/>
        <v>0</v>
      </c>
      <c r="O123" s="1060">
        <f t="shared" si="37"/>
        <v>0</v>
      </c>
      <c r="P123" s="1059">
        <f t="shared" si="38"/>
        <v>0</v>
      </c>
      <c r="R123" s="969"/>
      <c r="S123" s="962" t="s">
        <v>3297</v>
      </c>
      <c r="T123" s="963">
        <v>1000</v>
      </c>
      <c r="U123" s="963">
        <v>1000</v>
      </c>
      <c r="V123" s="962" t="s">
        <v>3358</v>
      </c>
      <c r="W123" s="964">
        <f>(T123*100)+(U123*50)</f>
        <v>150000</v>
      </c>
    </row>
    <row r="124" spans="1:23" x14ac:dyDescent="0.25">
      <c r="A124" s="1034">
        <v>614</v>
      </c>
      <c r="B124" s="1034">
        <f t="shared" si="28"/>
        <v>24</v>
      </c>
      <c r="C124" s="1034" t="str">
        <f t="shared" si="29"/>
        <v>Mohammad Faris</v>
      </c>
      <c r="D124" s="1035" t="str">
        <f t="shared" si="30"/>
        <v>MPI-S2</v>
      </c>
      <c r="E124" s="1036">
        <f t="shared" si="31"/>
        <v>2013</v>
      </c>
      <c r="F124" s="1035" t="str">
        <f t="shared" si="32"/>
        <v>LULUS</v>
      </c>
      <c r="G124" s="1036">
        <f t="shared" si="33"/>
        <v>849113003</v>
      </c>
      <c r="H124" s="1038">
        <f t="shared" si="39"/>
        <v>0</v>
      </c>
      <c r="I124" s="1038">
        <f>IFERROR(VLOOKUP(A124,DB,37,FALSE),"")</f>
        <v>0</v>
      </c>
      <c r="J124" s="1038">
        <f t="shared" si="40"/>
        <v>0</v>
      </c>
      <c r="L124" s="1060">
        <f t="shared" si="41"/>
        <v>0</v>
      </c>
      <c r="M124" s="1060">
        <f t="shared" si="35"/>
        <v>1</v>
      </c>
      <c r="N124" s="1060">
        <f t="shared" si="36"/>
        <v>0</v>
      </c>
      <c r="O124" s="1060">
        <f t="shared" si="37"/>
        <v>0</v>
      </c>
      <c r="P124" s="1059">
        <f t="shared" si="38"/>
        <v>0</v>
      </c>
    </row>
    <row r="125" spans="1:23" x14ac:dyDescent="0.25">
      <c r="A125" s="1039"/>
      <c r="B125" s="1039"/>
      <c r="C125" s="1039"/>
      <c r="D125" s="1040"/>
      <c r="E125" s="1041"/>
      <c r="F125" s="1040"/>
      <c r="G125" s="1041"/>
      <c r="H125" s="1042"/>
      <c r="I125" s="1042"/>
      <c r="J125" s="1042"/>
      <c r="L125" s="1042"/>
      <c r="M125" s="1042"/>
      <c r="N125" s="1042"/>
      <c r="O125" s="1042"/>
      <c r="P125" s="1042"/>
    </row>
    <row r="126" spans="1:23" x14ac:dyDescent="0.25">
      <c r="A126" s="1043" t="str">
        <f>'Rekap SPP'!A647</f>
        <v>S2-HK 2013/2014</v>
      </c>
      <c r="B126" s="1043"/>
      <c r="C126" s="1043"/>
      <c r="D126" s="1033" t="s">
        <v>3</v>
      </c>
      <c r="E126" s="1032" t="s">
        <v>4</v>
      </c>
      <c r="F126" s="1033" t="s">
        <v>3195</v>
      </c>
      <c r="G126" s="1032" t="s">
        <v>1</v>
      </c>
      <c r="H126" s="1033" t="s">
        <v>3341</v>
      </c>
      <c r="I126" s="1033" t="s">
        <v>3342</v>
      </c>
      <c r="J126" s="1062">
        <f>SUM(J127:J136)</f>
        <v>0</v>
      </c>
      <c r="L126" s="1063">
        <f>SUM(L127:L136)</f>
        <v>0</v>
      </c>
      <c r="M126" s="1063">
        <f>SUM(M127:M136)</f>
        <v>3</v>
      </c>
      <c r="N126" s="1063">
        <f>SUM(N127:N136)</f>
        <v>0</v>
      </c>
      <c r="O126" s="1063">
        <f>SUM(O127:O136)</f>
        <v>7</v>
      </c>
      <c r="P126" s="1063">
        <f>SUM(P127:P136)</f>
        <v>0</v>
      </c>
      <c r="V126" s="752" t="s">
        <v>3359</v>
      </c>
    </row>
    <row r="127" spans="1:23" x14ac:dyDescent="0.25">
      <c r="A127" s="1034">
        <v>615</v>
      </c>
      <c r="B127" s="1034">
        <f t="shared" si="28"/>
        <v>1</v>
      </c>
      <c r="C127" s="1034" t="str">
        <f t="shared" ref="C127:C136" si="42">IFERROR(VLOOKUP(A127,DB,4,FALSE),"")</f>
        <v>Ahmad Zuhairuz Zaman</v>
      </c>
      <c r="D127" s="1035" t="str">
        <f t="shared" ref="D127:D136" si="43">IFERROR(VLOOKUP(A127,DB,5,FALSE),"")</f>
        <v>HK</v>
      </c>
      <c r="E127" s="1036">
        <f t="shared" ref="E127:E136" si="44">IFERROR(VLOOKUP(A127,DB,6,FALSE),"")</f>
        <v>2013</v>
      </c>
      <c r="F127" s="1035" t="str">
        <f t="shared" ref="F127:F136" si="45">IFERROR(VLOOKUP(A127,DB,7,FALSE),"")</f>
        <v>LULUS</v>
      </c>
      <c r="G127" s="1036">
        <f t="shared" ref="G127:G136" si="46">IFERROR(VLOOKUP(A127,DB,3,FALSE),"")</f>
        <v>839130002</v>
      </c>
      <c r="H127" s="1038">
        <f t="shared" ref="H127:H136" si="47">IF(F127="AKTIF",3000000,IF(F127="CUTI",3000000,0))</f>
        <v>0</v>
      </c>
      <c r="I127" s="1038">
        <f t="shared" ref="I127:I136" si="48">IFERROR(VLOOKUP(A127,DB,37,FALSE),"")-H127</f>
        <v>0</v>
      </c>
      <c r="J127" s="1038">
        <f t="shared" ref="J127:J136" si="49">I127+H127</f>
        <v>0</v>
      </c>
      <c r="L127" s="1060">
        <f t="shared" si="41"/>
        <v>0</v>
      </c>
      <c r="M127" s="1060">
        <f t="shared" ref="M127:M136" si="50">IF(F127="LULUS",1,0)</f>
        <v>1</v>
      </c>
      <c r="N127" s="1060">
        <f t="shared" ref="N127:N136" si="51">IF(F127="CUTI",1,0)</f>
        <v>0</v>
      </c>
      <c r="O127" s="1060">
        <f t="shared" ref="O127:O136" si="52">IF(F127="DROP OUT",1,0)</f>
        <v>0</v>
      </c>
      <c r="P127" s="1059">
        <f t="shared" ref="P127:P136" si="53">IF(F127="PASIF",1,0)</f>
        <v>0</v>
      </c>
    </row>
    <row r="128" spans="1:23" x14ac:dyDescent="0.25">
      <c r="A128" s="1034">
        <v>616</v>
      </c>
      <c r="B128" s="1034">
        <f t="shared" si="28"/>
        <v>2</v>
      </c>
      <c r="C128" s="1034" t="str">
        <f t="shared" si="42"/>
        <v>Robiyatul Lailiyah</v>
      </c>
      <c r="D128" s="1035" t="str">
        <f t="shared" si="43"/>
        <v>HK</v>
      </c>
      <c r="E128" s="1036">
        <f t="shared" si="44"/>
        <v>2013</v>
      </c>
      <c r="F128" s="1035" t="str">
        <f t="shared" si="45"/>
        <v>DROP OUT</v>
      </c>
      <c r="G128" s="1036">
        <f t="shared" si="46"/>
        <v>839130006</v>
      </c>
      <c r="H128" s="1038">
        <f t="shared" si="47"/>
        <v>0</v>
      </c>
      <c r="I128" s="1038">
        <f t="shared" si="48"/>
        <v>0</v>
      </c>
      <c r="J128" s="1038">
        <f t="shared" si="49"/>
        <v>0</v>
      </c>
      <c r="L128" s="1060">
        <f t="shared" si="41"/>
        <v>0</v>
      </c>
      <c r="M128" s="1060">
        <f t="shared" si="50"/>
        <v>0</v>
      </c>
      <c r="N128" s="1060">
        <f t="shared" si="51"/>
        <v>0</v>
      </c>
      <c r="O128" s="1060">
        <f t="shared" si="52"/>
        <v>1</v>
      </c>
      <c r="P128" s="1059">
        <f t="shared" si="53"/>
        <v>0</v>
      </c>
    </row>
    <row r="129" spans="1:22" x14ac:dyDescent="0.25">
      <c r="A129" s="1034">
        <v>617</v>
      </c>
      <c r="B129" s="1034">
        <f t="shared" si="28"/>
        <v>3</v>
      </c>
      <c r="C129" s="1034" t="str">
        <f t="shared" si="42"/>
        <v>Sa'adatu Mukarromatil Arifah</v>
      </c>
      <c r="D129" s="1035" t="str">
        <f t="shared" si="43"/>
        <v>HK</v>
      </c>
      <c r="E129" s="1036">
        <f t="shared" si="44"/>
        <v>2013</v>
      </c>
      <c r="F129" s="1035" t="str">
        <f t="shared" si="45"/>
        <v>LULUS</v>
      </c>
      <c r="G129" s="1036">
        <f t="shared" si="46"/>
        <v>839130007</v>
      </c>
      <c r="H129" s="1038">
        <f t="shared" si="47"/>
        <v>0</v>
      </c>
      <c r="I129" s="1038">
        <f t="shared" si="48"/>
        <v>0</v>
      </c>
      <c r="J129" s="1038">
        <f t="shared" si="49"/>
        <v>0</v>
      </c>
      <c r="L129" s="1060">
        <f t="shared" si="41"/>
        <v>0</v>
      </c>
      <c r="M129" s="1060">
        <f t="shared" si="50"/>
        <v>1</v>
      </c>
      <c r="N129" s="1060">
        <f t="shared" si="51"/>
        <v>0</v>
      </c>
      <c r="O129" s="1060">
        <f t="shared" si="52"/>
        <v>0</v>
      </c>
      <c r="P129" s="1059">
        <f t="shared" si="53"/>
        <v>0</v>
      </c>
    </row>
    <row r="130" spans="1:22" x14ac:dyDescent="0.25">
      <c r="A130" s="1034">
        <v>618</v>
      </c>
      <c r="B130" s="1034">
        <f t="shared" si="28"/>
        <v>4</v>
      </c>
      <c r="C130" s="1034" t="str">
        <f t="shared" si="42"/>
        <v>Robiatul Adawiyah</v>
      </c>
      <c r="D130" s="1035" t="str">
        <f t="shared" si="43"/>
        <v>HK</v>
      </c>
      <c r="E130" s="1036">
        <f t="shared" si="44"/>
        <v>2013</v>
      </c>
      <c r="F130" s="1035" t="str">
        <f t="shared" si="45"/>
        <v>DROP OUT</v>
      </c>
      <c r="G130" s="1036">
        <f t="shared" si="46"/>
        <v>839130005</v>
      </c>
      <c r="H130" s="1038">
        <f t="shared" si="47"/>
        <v>0</v>
      </c>
      <c r="I130" s="1038">
        <f t="shared" si="48"/>
        <v>0</v>
      </c>
      <c r="J130" s="1038">
        <f t="shared" si="49"/>
        <v>0</v>
      </c>
      <c r="L130" s="1060">
        <f t="shared" si="41"/>
        <v>0</v>
      </c>
      <c r="M130" s="1060">
        <f t="shared" si="50"/>
        <v>0</v>
      </c>
      <c r="N130" s="1060">
        <f t="shared" si="51"/>
        <v>0</v>
      </c>
      <c r="O130" s="1060">
        <f t="shared" si="52"/>
        <v>1</v>
      </c>
      <c r="P130" s="1059">
        <f t="shared" si="53"/>
        <v>0</v>
      </c>
      <c r="V130" s="1066" t="s">
        <v>3360</v>
      </c>
    </row>
    <row r="131" spans="1:22" x14ac:dyDescent="0.25">
      <c r="A131" s="1034">
        <v>619</v>
      </c>
      <c r="B131" s="1034">
        <f t="shared" si="28"/>
        <v>5</v>
      </c>
      <c r="C131" s="1034" t="str">
        <f t="shared" si="42"/>
        <v>Wildany El Kautsar</v>
      </c>
      <c r="D131" s="1035" t="str">
        <f t="shared" si="43"/>
        <v>HK</v>
      </c>
      <c r="E131" s="1036">
        <f t="shared" si="44"/>
        <v>2013</v>
      </c>
      <c r="F131" s="1035" t="str">
        <f t="shared" si="45"/>
        <v>DROP OUT</v>
      </c>
      <c r="G131" s="1036">
        <f t="shared" si="46"/>
        <v>839130010</v>
      </c>
      <c r="H131" s="1038">
        <f t="shared" si="47"/>
        <v>0</v>
      </c>
      <c r="I131" s="1038">
        <f t="shared" si="48"/>
        <v>0</v>
      </c>
      <c r="J131" s="1038">
        <f t="shared" si="49"/>
        <v>0</v>
      </c>
      <c r="L131" s="1060">
        <f t="shared" si="41"/>
        <v>0</v>
      </c>
      <c r="M131" s="1060">
        <f t="shared" si="50"/>
        <v>0</v>
      </c>
      <c r="N131" s="1060">
        <f t="shared" si="51"/>
        <v>0</v>
      </c>
      <c r="O131" s="1060">
        <f t="shared" si="52"/>
        <v>1</v>
      </c>
      <c r="P131" s="1059">
        <f t="shared" si="53"/>
        <v>0</v>
      </c>
      <c r="V131" s="752" t="s">
        <v>3361</v>
      </c>
    </row>
    <row r="132" spans="1:22" x14ac:dyDescent="0.25">
      <c r="A132" s="1034">
        <v>620</v>
      </c>
      <c r="B132" s="1034">
        <f t="shared" si="28"/>
        <v>6</v>
      </c>
      <c r="C132" s="1034" t="str">
        <f t="shared" si="42"/>
        <v>Ahmad Mubarok</v>
      </c>
      <c r="D132" s="1035" t="str">
        <f t="shared" si="43"/>
        <v>HK</v>
      </c>
      <c r="E132" s="1036">
        <f t="shared" si="44"/>
        <v>2013</v>
      </c>
      <c r="F132" s="1035" t="str">
        <f t="shared" si="45"/>
        <v>DROP OUT</v>
      </c>
      <c r="G132" s="1036">
        <f t="shared" si="46"/>
        <v>839130001</v>
      </c>
      <c r="H132" s="1038">
        <f t="shared" si="47"/>
        <v>0</v>
      </c>
      <c r="I132" s="1038">
        <f t="shared" si="48"/>
        <v>0</v>
      </c>
      <c r="J132" s="1038">
        <f t="shared" si="49"/>
        <v>0</v>
      </c>
      <c r="L132" s="1060">
        <f t="shared" si="41"/>
        <v>0</v>
      </c>
      <c r="M132" s="1060">
        <f t="shared" si="50"/>
        <v>0</v>
      </c>
      <c r="N132" s="1060">
        <f t="shared" si="51"/>
        <v>0</v>
      </c>
      <c r="O132" s="1060">
        <f t="shared" si="52"/>
        <v>1</v>
      </c>
      <c r="P132" s="1059">
        <f t="shared" si="53"/>
        <v>0</v>
      </c>
    </row>
    <row r="133" spans="1:22" x14ac:dyDescent="0.25">
      <c r="A133" s="1034">
        <v>621</v>
      </c>
      <c r="B133" s="1034">
        <f t="shared" si="28"/>
        <v>7</v>
      </c>
      <c r="C133" s="1034" t="str">
        <f t="shared" si="42"/>
        <v>Nibrosatul Hana</v>
      </c>
      <c r="D133" s="1035" t="str">
        <f t="shared" si="43"/>
        <v>HK</v>
      </c>
      <c r="E133" s="1036">
        <f t="shared" si="44"/>
        <v>2013</v>
      </c>
      <c r="F133" s="1035" t="str">
        <f t="shared" si="45"/>
        <v>DROP OUT</v>
      </c>
      <c r="G133" s="1036">
        <f t="shared" si="46"/>
        <v>839130004</v>
      </c>
      <c r="H133" s="1038">
        <f t="shared" si="47"/>
        <v>0</v>
      </c>
      <c r="I133" s="1038">
        <f t="shared" si="48"/>
        <v>0</v>
      </c>
      <c r="J133" s="1038">
        <f t="shared" si="49"/>
        <v>0</v>
      </c>
      <c r="L133" s="1060">
        <f t="shared" si="41"/>
        <v>0</v>
      </c>
      <c r="M133" s="1060">
        <f t="shared" si="50"/>
        <v>0</v>
      </c>
      <c r="N133" s="1060">
        <f t="shared" si="51"/>
        <v>0</v>
      </c>
      <c r="O133" s="1060">
        <f t="shared" si="52"/>
        <v>1</v>
      </c>
      <c r="P133" s="1059">
        <f t="shared" si="53"/>
        <v>0</v>
      </c>
    </row>
    <row r="134" spans="1:22" x14ac:dyDescent="0.25">
      <c r="A134" s="1034">
        <v>622</v>
      </c>
      <c r="B134" s="1034">
        <f t="shared" si="28"/>
        <v>8</v>
      </c>
      <c r="C134" s="1034" t="str">
        <f t="shared" si="42"/>
        <v>Shalihin</v>
      </c>
      <c r="D134" s="1035" t="str">
        <f t="shared" si="43"/>
        <v>HK</v>
      </c>
      <c r="E134" s="1036">
        <f t="shared" si="44"/>
        <v>2013</v>
      </c>
      <c r="F134" s="1035" t="str">
        <f t="shared" si="45"/>
        <v>DROP OUT</v>
      </c>
      <c r="G134" s="1036">
        <f t="shared" si="46"/>
        <v>839130008</v>
      </c>
      <c r="H134" s="1038">
        <f t="shared" si="47"/>
        <v>0</v>
      </c>
      <c r="I134" s="1038">
        <f t="shared" si="48"/>
        <v>0</v>
      </c>
      <c r="J134" s="1038">
        <f t="shared" si="49"/>
        <v>0</v>
      </c>
      <c r="L134" s="1060">
        <f t="shared" si="41"/>
        <v>0</v>
      </c>
      <c r="M134" s="1060">
        <f t="shared" si="50"/>
        <v>0</v>
      </c>
      <c r="N134" s="1060">
        <f t="shared" si="51"/>
        <v>0</v>
      </c>
      <c r="O134" s="1060">
        <f t="shared" si="52"/>
        <v>1</v>
      </c>
      <c r="P134" s="1059">
        <f t="shared" si="53"/>
        <v>0</v>
      </c>
    </row>
    <row r="135" spans="1:22" x14ac:dyDescent="0.25">
      <c r="A135" s="1034">
        <v>623</v>
      </c>
      <c r="B135" s="1034">
        <f t="shared" si="28"/>
        <v>9</v>
      </c>
      <c r="C135" s="1034" t="str">
        <f t="shared" si="42"/>
        <v>Syihabul Muttaqin</v>
      </c>
      <c r="D135" s="1035" t="str">
        <f t="shared" si="43"/>
        <v>HK</v>
      </c>
      <c r="E135" s="1036">
        <f t="shared" si="44"/>
        <v>2013</v>
      </c>
      <c r="F135" s="1035" t="str">
        <f t="shared" si="45"/>
        <v>LULUS</v>
      </c>
      <c r="G135" s="1036">
        <f t="shared" si="46"/>
        <v>839130009</v>
      </c>
      <c r="H135" s="1038">
        <f t="shared" si="47"/>
        <v>0</v>
      </c>
      <c r="I135" s="1038">
        <f t="shared" si="48"/>
        <v>0</v>
      </c>
      <c r="J135" s="1038">
        <f t="shared" si="49"/>
        <v>0</v>
      </c>
      <c r="L135" s="1060">
        <f t="shared" si="41"/>
        <v>0</v>
      </c>
      <c r="M135" s="1060">
        <f t="shared" si="50"/>
        <v>1</v>
      </c>
      <c r="N135" s="1060">
        <f t="shared" si="51"/>
        <v>0</v>
      </c>
      <c r="O135" s="1060">
        <f t="shared" si="52"/>
        <v>0</v>
      </c>
      <c r="P135" s="1059">
        <f t="shared" si="53"/>
        <v>0</v>
      </c>
      <c r="R135" s="1039"/>
    </row>
    <row r="136" spans="1:22" x14ac:dyDescent="0.25">
      <c r="A136" s="1034">
        <v>624</v>
      </c>
      <c r="B136" s="1034">
        <f t="shared" si="28"/>
        <v>10</v>
      </c>
      <c r="C136" s="1034" t="str">
        <f t="shared" si="42"/>
        <v>Muhammad Mugfis Naufal</v>
      </c>
      <c r="D136" s="1035" t="str">
        <f t="shared" si="43"/>
        <v>HK</v>
      </c>
      <c r="E136" s="1036">
        <f t="shared" si="44"/>
        <v>2013</v>
      </c>
      <c r="F136" s="1035" t="str">
        <f t="shared" si="45"/>
        <v>DROP OUT</v>
      </c>
      <c r="G136" s="1036">
        <f t="shared" si="46"/>
        <v>839130011</v>
      </c>
      <c r="H136" s="1038">
        <f t="shared" si="47"/>
        <v>0</v>
      </c>
      <c r="I136" s="1038">
        <f t="shared" si="48"/>
        <v>0</v>
      </c>
      <c r="J136" s="1038">
        <f t="shared" si="49"/>
        <v>0</v>
      </c>
      <c r="L136" s="1060">
        <f t="shared" si="41"/>
        <v>0</v>
      </c>
      <c r="M136" s="1060">
        <f t="shared" si="50"/>
        <v>0</v>
      </c>
      <c r="N136" s="1060">
        <f t="shared" si="51"/>
        <v>0</v>
      </c>
      <c r="O136" s="1060">
        <f t="shared" si="52"/>
        <v>1</v>
      </c>
      <c r="P136" s="1059">
        <f t="shared" si="53"/>
        <v>0</v>
      </c>
    </row>
    <row r="137" spans="1:22" x14ac:dyDescent="0.25">
      <c r="A137" s="1039"/>
      <c r="B137" s="1039"/>
      <c r="C137" s="1039"/>
      <c r="D137" s="1040"/>
      <c r="E137" s="1041"/>
      <c r="F137" s="1040"/>
      <c r="G137" s="1041"/>
      <c r="H137" s="1042"/>
      <c r="I137" s="1042"/>
      <c r="J137" s="1042"/>
      <c r="L137" s="1042"/>
      <c r="M137" s="1042"/>
      <c r="N137" s="1042"/>
      <c r="O137" s="1042"/>
      <c r="P137" s="1042"/>
    </row>
    <row r="138" spans="1:22" x14ac:dyDescent="0.25">
      <c r="A138" s="1043" t="str">
        <f>'Rekap SPP'!A659</f>
        <v>S2-PBA 2013/2014 - (GEL II)</v>
      </c>
      <c r="B138" s="1043"/>
      <c r="C138" s="1043"/>
      <c r="D138" s="1033" t="s">
        <v>3</v>
      </c>
      <c r="E138" s="1032" t="s">
        <v>4</v>
      </c>
      <c r="F138" s="1033" t="s">
        <v>3195</v>
      </c>
      <c r="G138" s="1032" t="s">
        <v>1</v>
      </c>
      <c r="H138" s="1033" t="s">
        <v>3341</v>
      </c>
      <c r="I138" s="1033" t="s">
        <v>3342</v>
      </c>
      <c r="J138" s="1062">
        <f>SUM(J139:J148)</f>
        <v>8750000</v>
      </c>
      <c r="L138" s="1063">
        <f>SUM(L139:L148)</f>
        <v>0</v>
      </c>
      <c r="M138" s="1063">
        <f>SUM(M139:M148)</f>
        <v>8</v>
      </c>
      <c r="N138" s="1063">
        <f>SUM(N139:N148)</f>
        <v>0</v>
      </c>
      <c r="O138" s="1063">
        <f>SUM(O139:O148)</f>
        <v>2</v>
      </c>
      <c r="P138" s="1063">
        <f>SUM(P139:P148)</f>
        <v>0</v>
      </c>
    </row>
    <row r="139" spans="1:22" x14ac:dyDescent="0.25">
      <c r="A139" s="1034">
        <v>625</v>
      </c>
      <c r="B139" s="1034">
        <f t="shared" si="28"/>
        <v>8</v>
      </c>
      <c r="C139" s="1034" t="str">
        <f t="shared" ref="C139:C148" si="54">IFERROR(VLOOKUP(A139,DB,4,FALSE),"")</f>
        <v>Ahmad Yanil Falahi</v>
      </c>
      <c r="D139" s="1035" t="str">
        <f t="shared" ref="D139:D148" si="55">IFERROR(VLOOKUP(A139,DB,5,FALSE),"")</f>
        <v>PBA</v>
      </c>
      <c r="E139" s="1036">
        <f t="shared" ref="E139:E148" si="56">IFERROR(VLOOKUP(A139,DB,6,FALSE),"")</f>
        <v>2013</v>
      </c>
      <c r="F139" s="1035" t="str">
        <f t="shared" ref="F139:F148" si="57">IFERROR(VLOOKUP(A139,DB,7,FALSE),"")</f>
        <v>LULUS</v>
      </c>
      <c r="G139" s="1036">
        <f t="shared" ref="G139:G148" si="58">IFERROR(VLOOKUP(A139,DB,3,FALSE),"")</f>
        <v>849213001</v>
      </c>
      <c r="H139" s="1038">
        <f t="shared" ref="H139:H148" si="59">IF(F139="AKTIF",3000000,IF(F139="CUTI",3000000,0))</f>
        <v>0</v>
      </c>
      <c r="I139" s="1038">
        <f t="shared" ref="I139:I148" si="60">IFERROR(VLOOKUP(A139,DB,37,FALSE),"")-H139</f>
        <v>0</v>
      </c>
      <c r="J139" s="1038">
        <f t="shared" ref="J139:J148" si="61">I139+H139</f>
        <v>0</v>
      </c>
      <c r="L139" s="1060">
        <f t="shared" si="41"/>
        <v>0</v>
      </c>
      <c r="M139" s="1060">
        <f t="shared" ref="M139:M148" si="62">IF(F139="LULUS",1,0)</f>
        <v>1</v>
      </c>
      <c r="N139" s="1060">
        <f t="shared" ref="N139:N148" si="63">IF(F139="CUTI",1,0)</f>
        <v>0</v>
      </c>
      <c r="O139" s="1060">
        <f t="shared" ref="O139:O148" si="64">IF(F139="DROP OUT",1,0)</f>
        <v>0</v>
      </c>
      <c r="P139" s="1059">
        <f t="shared" ref="P139:P148" si="65">IF(F139="PASIF",1,0)</f>
        <v>0</v>
      </c>
    </row>
    <row r="140" spans="1:22" x14ac:dyDescent="0.25">
      <c r="A140" s="1034">
        <v>626</v>
      </c>
      <c r="B140" s="1034">
        <f t="shared" si="28"/>
        <v>9</v>
      </c>
      <c r="C140" s="1034" t="str">
        <f t="shared" si="54"/>
        <v>Armie setia gani</v>
      </c>
      <c r="D140" s="1035" t="str">
        <f t="shared" si="55"/>
        <v>PBA</v>
      </c>
      <c r="E140" s="1036">
        <f t="shared" si="56"/>
        <v>2013</v>
      </c>
      <c r="F140" s="1035" t="str">
        <f t="shared" si="57"/>
        <v>LULUS</v>
      </c>
      <c r="G140" s="1036">
        <f t="shared" si="58"/>
        <v>849213002</v>
      </c>
      <c r="H140" s="1038">
        <f t="shared" si="59"/>
        <v>0</v>
      </c>
      <c r="I140" s="1038">
        <f t="shared" si="60"/>
        <v>0</v>
      </c>
      <c r="J140" s="1038">
        <f t="shared" si="61"/>
        <v>0</v>
      </c>
      <c r="L140" s="1060">
        <f t="shared" si="41"/>
        <v>0</v>
      </c>
      <c r="M140" s="1060">
        <f t="shared" si="62"/>
        <v>1</v>
      </c>
      <c r="N140" s="1060">
        <f t="shared" si="63"/>
        <v>0</v>
      </c>
      <c r="O140" s="1060">
        <f t="shared" si="64"/>
        <v>0</v>
      </c>
      <c r="P140" s="1059">
        <f t="shared" si="65"/>
        <v>0</v>
      </c>
    </row>
    <row r="141" spans="1:22" x14ac:dyDescent="0.25">
      <c r="A141" s="1034">
        <v>627</v>
      </c>
      <c r="B141" s="1034">
        <f t="shared" si="28"/>
        <v>4</v>
      </c>
      <c r="C141" s="1034" t="str">
        <f t="shared" si="54"/>
        <v>Devi Suci Windariyah</v>
      </c>
      <c r="D141" s="1035" t="str">
        <f t="shared" si="55"/>
        <v>PBA</v>
      </c>
      <c r="E141" s="1036">
        <f t="shared" si="56"/>
        <v>2013</v>
      </c>
      <c r="F141" s="1035" t="str">
        <f t="shared" si="57"/>
        <v>LULUS</v>
      </c>
      <c r="G141" s="1036">
        <f t="shared" si="58"/>
        <v>849213003</v>
      </c>
      <c r="H141" s="1038">
        <f t="shared" si="59"/>
        <v>0</v>
      </c>
      <c r="I141" s="1038">
        <f t="shared" si="60"/>
        <v>0</v>
      </c>
      <c r="J141" s="1038">
        <f t="shared" si="61"/>
        <v>0</v>
      </c>
      <c r="L141" s="1060">
        <f t="shared" si="41"/>
        <v>0</v>
      </c>
      <c r="M141" s="1060">
        <f t="shared" si="62"/>
        <v>1</v>
      </c>
      <c r="N141" s="1060">
        <f t="shared" si="63"/>
        <v>0</v>
      </c>
      <c r="O141" s="1060">
        <f t="shared" si="64"/>
        <v>0</v>
      </c>
      <c r="P141" s="1059">
        <f t="shared" si="65"/>
        <v>0</v>
      </c>
    </row>
    <row r="142" spans="1:22" x14ac:dyDescent="0.25">
      <c r="A142" s="1034">
        <v>628</v>
      </c>
      <c r="B142" s="1034">
        <f t="shared" si="28"/>
        <v>3</v>
      </c>
      <c r="C142" s="1034" t="str">
        <f t="shared" si="54"/>
        <v>Elok Rufaiqoh</v>
      </c>
      <c r="D142" s="1035" t="str">
        <f t="shared" si="55"/>
        <v>PBA</v>
      </c>
      <c r="E142" s="1036">
        <f t="shared" si="56"/>
        <v>2013</v>
      </c>
      <c r="F142" s="1035" t="str">
        <f t="shared" si="57"/>
        <v>LULUS</v>
      </c>
      <c r="G142" s="1036">
        <f t="shared" si="58"/>
        <v>849213004</v>
      </c>
      <c r="H142" s="1038">
        <f t="shared" si="59"/>
        <v>0</v>
      </c>
      <c r="I142" s="1038">
        <f t="shared" si="60"/>
        <v>0</v>
      </c>
      <c r="J142" s="1038">
        <f t="shared" si="61"/>
        <v>0</v>
      </c>
      <c r="L142" s="1060">
        <f t="shared" si="41"/>
        <v>0</v>
      </c>
      <c r="M142" s="1060">
        <f t="shared" si="62"/>
        <v>1</v>
      </c>
      <c r="N142" s="1060">
        <f t="shared" si="63"/>
        <v>0</v>
      </c>
      <c r="O142" s="1060">
        <f t="shared" si="64"/>
        <v>0</v>
      </c>
      <c r="P142" s="1059">
        <f t="shared" si="65"/>
        <v>0</v>
      </c>
    </row>
    <row r="143" spans="1:22" x14ac:dyDescent="0.25">
      <c r="A143" s="1034">
        <v>629</v>
      </c>
      <c r="B143" s="1034">
        <f t="shared" si="28"/>
        <v>6</v>
      </c>
      <c r="C143" s="1034" t="str">
        <f t="shared" si="54"/>
        <v>Ufrotul Hasanah</v>
      </c>
      <c r="D143" s="1035" t="str">
        <f t="shared" si="55"/>
        <v>PBA</v>
      </c>
      <c r="E143" s="1036">
        <f t="shared" si="56"/>
        <v>2013</v>
      </c>
      <c r="F143" s="1035" t="str">
        <f t="shared" si="57"/>
        <v>LULUS</v>
      </c>
      <c r="G143" s="1036">
        <f t="shared" si="58"/>
        <v>849213009</v>
      </c>
      <c r="H143" s="1038">
        <f t="shared" si="59"/>
        <v>0</v>
      </c>
      <c r="I143" s="1038">
        <f t="shared" si="60"/>
        <v>8750000</v>
      </c>
      <c r="J143" s="1038">
        <f t="shared" si="61"/>
        <v>8750000</v>
      </c>
      <c r="L143" s="1060">
        <f t="shared" si="41"/>
        <v>0</v>
      </c>
      <c r="M143" s="1060">
        <f t="shared" si="62"/>
        <v>1</v>
      </c>
      <c r="N143" s="1060">
        <f t="shared" si="63"/>
        <v>0</v>
      </c>
      <c r="O143" s="1060">
        <f t="shared" si="64"/>
        <v>0</v>
      </c>
      <c r="P143" s="1059">
        <f t="shared" si="65"/>
        <v>0</v>
      </c>
    </row>
    <row r="144" spans="1:22" x14ac:dyDescent="0.25">
      <c r="A144" s="1034">
        <v>630</v>
      </c>
      <c r="B144" s="1034">
        <f t="shared" si="28"/>
        <v>1</v>
      </c>
      <c r="C144" s="1034" t="str">
        <f t="shared" si="54"/>
        <v>Muhammad Shahibusy Syafaat</v>
      </c>
      <c r="D144" s="1035" t="str">
        <f t="shared" si="55"/>
        <v>PBA</v>
      </c>
      <c r="E144" s="1036">
        <f t="shared" si="56"/>
        <v>2013</v>
      </c>
      <c r="F144" s="1035" t="str">
        <f t="shared" si="57"/>
        <v>LULUS</v>
      </c>
      <c r="G144" s="1036">
        <f t="shared" si="58"/>
        <v>849213006</v>
      </c>
      <c r="H144" s="1038">
        <f t="shared" si="59"/>
        <v>0</v>
      </c>
      <c r="I144" s="1038">
        <f t="shared" si="60"/>
        <v>0</v>
      </c>
      <c r="J144" s="1038">
        <f t="shared" si="61"/>
        <v>0</v>
      </c>
      <c r="L144" s="1060">
        <f t="shared" si="41"/>
        <v>0</v>
      </c>
      <c r="M144" s="1060">
        <f t="shared" si="62"/>
        <v>1</v>
      </c>
      <c r="N144" s="1060">
        <f t="shared" si="63"/>
        <v>0</v>
      </c>
      <c r="O144" s="1060">
        <f t="shared" si="64"/>
        <v>0</v>
      </c>
      <c r="P144" s="1059">
        <f t="shared" si="65"/>
        <v>0</v>
      </c>
    </row>
    <row r="145" spans="1:18" x14ac:dyDescent="0.25">
      <c r="A145" s="1034">
        <v>631</v>
      </c>
      <c r="B145" s="1034">
        <f t="shared" si="28"/>
        <v>10</v>
      </c>
      <c r="C145" s="1034" t="str">
        <f t="shared" si="54"/>
        <v>Ni'matul Mukharomah</v>
      </c>
      <c r="D145" s="1035" t="str">
        <f t="shared" si="55"/>
        <v>PBA</v>
      </c>
      <c r="E145" s="1036">
        <f t="shared" si="56"/>
        <v>2013</v>
      </c>
      <c r="F145" s="1035" t="str">
        <f t="shared" si="57"/>
        <v>LULUS</v>
      </c>
      <c r="G145" s="1036">
        <f t="shared" si="58"/>
        <v>849213007</v>
      </c>
      <c r="H145" s="1038">
        <f t="shared" si="59"/>
        <v>0</v>
      </c>
      <c r="I145" s="1038">
        <f t="shared" si="60"/>
        <v>0</v>
      </c>
      <c r="J145" s="1038">
        <f t="shared" si="61"/>
        <v>0</v>
      </c>
      <c r="L145" s="1060">
        <f t="shared" si="41"/>
        <v>0</v>
      </c>
      <c r="M145" s="1060">
        <f t="shared" si="62"/>
        <v>1</v>
      </c>
      <c r="N145" s="1060">
        <f t="shared" si="63"/>
        <v>0</v>
      </c>
      <c r="O145" s="1060">
        <f t="shared" si="64"/>
        <v>0</v>
      </c>
      <c r="P145" s="1059">
        <f t="shared" si="65"/>
        <v>0</v>
      </c>
    </row>
    <row r="146" spans="1:18" x14ac:dyDescent="0.25">
      <c r="A146" s="1034">
        <v>632</v>
      </c>
      <c r="B146" s="1034">
        <f t="shared" si="28"/>
        <v>2</v>
      </c>
      <c r="C146" s="1034" t="str">
        <f t="shared" si="54"/>
        <v>Rahmatilla</v>
      </c>
      <c r="D146" s="1035" t="str">
        <f t="shared" si="55"/>
        <v>PBA</v>
      </c>
      <c r="E146" s="1036">
        <f t="shared" si="56"/>
        <v>2013</v>
      </c>
      <c r="F146" s="1035" t="str">
        <f t="shared" si="57"/>
        <v>DROP OUT</v>
      </c>
      <c r="G146" s="1036">
        <f t="shared" si="58"/>
        <v>849213008</v>
      </c>
      <c r="H146" s="1038">
        <f t="shared" si="59"/>
        <v>0</v>
      </c>
      <c r="I146" s="1038">
        <f t="shared" si="60"/>
        <v>0</v>
      </c>
      <c r="J146" s="1038">
        <f t="shared" si="61"/>
        <v>0</v>
      </c>
      <c r="L146" s="1060">
        <f t="shared" si="41"/>
        <v>0</v>
      </c>
      <c r="M146" s="1060">
        <f t="shared" si="62"/>
        <v>0</v>
      </c>
      <c r="N146" s="1060">
        <f t="shared" si="63"/>
        <v>0</v>
      </c>
      <c r="O146" s="1060">
        <f t="shared" si="64"/>
        <v>1</v>
      </c>
      <c r="P146" s="1059">
        <f t="shared" si="65"/>
        <v>0</v>
      </c>
    </row>
    <row r="147" spans="1:18" x14ac:dyDescent="0.25">
      <c r="A147" s="1034">
        <v>633</v>
      </c>
      <c r="B147" s="1034">
        <f t="shared" si="28"/>
        <v>5</v>
      </c>
      <c r="C147" s="1034" t="str">
        <f t="shared" si="54"/>
        <v xml:space="preserve">Zaimatil Asfiya </v>
      </c>
      <c r="D147" s="1035" t="str">
        <f t="shared" si="55"/>
        <v>PBA</v>
      </c>
      <c r="E147" s="1036">
        <f t="shared" si="56"/>
        <v>2013</v>
      </c>
      <c r="F147" s="1035" t="str">
        <f t="shared" si="57"/>
        <v>LULUS</v>
      </c>
      <c r="G147" s="1036">
        <f t="shared" si="58"/>
        <v>849213010</v>
      </c>
      <c r="H147" s="1038">
        <f t="shared" si="59"/>
        <v>0</v>
      </c>
      <c r="I147" s="1038">
        <f t="shared" si="60"/>
        <v>0</v>
      </c>
      <c r="J147" s="1038">
        <f t="shared" si="61"/>
        <v>0</v>
      </c>
      <c r="L147" s="1060">
        <f t="shared" si="41"/>
        <v>0</v>
      </c>
      <c r="M147" s="1060">
        <f t="shared" si="62"/>
        <v>1</v>
      </c>
      <c r="N147" s="1060">
        <f t="shared" si="63"/>
        <v>0</v>
      </c>
      <c r="O147" s="1060">
        <f t="shared" si="64"/>
        <v>0</v>
      </c>
      <c r="P147" s="1059">
        <f t="shared" si="65"/>
        <v>0</v>
      </c>
      <c r="R147" s="1039"/>
    </row>
    <row r="148" spans="1:18" x14ac:dyDescent="0.25">
      <c r="A148" s="1034">
        <v>634</v>
      </c>
      <c r="B148" s="1034">
        <f t="shared" si="28"/>
        <v>7</v>
      </c>
      <c r="C148" s="1034" t="str">
        <f t="shared" si="54"/>
        <v>Zen Alfan</v>
      </c>
      <c r="D148" s="1035" t="str">
        <f t="shared" si="55"/>
        <v>PBA</v>
      </c>
      <c r="E148" s="1036">
        <f t="shared" si="56"/>
        <v>2013</v>
      </c>
      <c r="F148" s="1035" t="str">
        <f t="shared" si="57"/>
        <v>DROP OUT</v>
      </c>
      <c r="G148" s="1036">
        <f t="shared" si="58"/>
        <v>849213011</v>
      </c>
      <c r="H148" s="1038">
        <f t="shared" si="59"/>
        <v>0</v>
      </c>
      <c r="I148" s="1038">
        <f t="shared" si="60"/>
        <v>0</v>
      </c>
      <c r="J148" s="1038">
        <f t="shared" si="61"/>
        <v>0</v>
      </c>
      <c r="L148" s="1060">
        <f t="shared" si="41"/>
        <v>0</v>
      </c>
      <c r="M148" s="1060">
        <f t="shared" si="62"/>
        <v>0</v>
      </c>
      <c r="N148" s="1060">
        <f t="shared" si="63"/>
        <v>0</v>
      </c>
      <c r="O148" s="1060">
        <f t="shared" si="64"/>
        <v>1</v>
      </c>
      <c r="P148" s="1059">
        <f t="shared" si="65"/>
        <v>0</v>
      </c>
    </row>
    <row r="149" spans="1:18" x14ac:dyDescent="0.25">
      <c r="A149" s="1039"/>
      <c r="B149" s="1039"/>
      <c r="C149" s="1039"/>
      <c r="D149" s="1040"/>
      <c r="E149" s="1041"/>
      <c r="F149" s="1040"/>
      <c r="G149" s="1041"/>
      <c r="H149" s="1042"/>
      <c r="I149" s="1042"/>
      <c r="J149" s="1042"/>
      <c r="L149" s="1042"/>
      <c r="M149" s="1042"/>
      <c r="N149" s="1042"/>
      <c r="O149" s="1042"/>
      <c r="P149" s="1042"/>
    </row>
    <row r="150" spans="1:18" x14ac:dyDescent="0.25">
      <c r="A150" s="1043" t="str">
        <f>'Rekap SPP'!A671</f>
        <v>S2-MPI 2013/2014 (GEL II)</v>
      </c>
      <c r="B150" s="1043"/>
      <c r="C150" s="1043"/>
      <c r="D150" s="1033" t="s">
        <v>3</v>
      </c>
      <c r="E150" s="1032" t="s">
        <v>4</v>
      </c>
      <c r="F150" s="1033" t="s">
        <v>3195</v>
      </c>
      <c r="G150" s="1032" t="s">
        <v>1</v>
      </c>
      <c r="H150" s="1033" t="s">
        <v>3341</v>
      </c>
      <c r="I150" s="1033" t="s">
        <v>3342</v>
      </c>
      <c r="J150" s="1062">
        <f>SUM(J151:J168)</f>
        <v>0</v>
      </c>
      <c r="L150" s="1063">
        <f>SUM(L151:L168)</f>
        <v>0</v>
      </c>
      <c r="M150" s="1063">
        <f>SUM(M151:M168)</f>
        <v>15</v>
      </c>
      <c r="N150" s="1063">
        <f>SUM(N151:N168)</f>
        <v>0</v>
      </c>
      <c r="O150" s="1063">
        <f>SUM(O151:O168)</f>
        <v>3</v>
      </c>
      <c r="P150" s="1063">
        <f>SUM(P151:P168)</f>
        <v>0</v>
      </c>
    </row>
    <row r="151" spans="1:18" x14ac:dyDescent="0.25">
      <c r="A151" s="1034">
        <v>635</v>
      </c>
      <c r="B151" s="1034">
        <f t="shared" si="28"/>
        <v>1</v>
      </c>
      <c r="C151" s="1034" t="str">
        <f t="shared" ref="C151:C168" si="66">IFERROR(VLOOKUP(A151,DB,4,FALSE),"")</f>
        <v>Ahmadi</v>
      </c>
      <c r="D151" s="1035" t="str">
        <f t="shared" ref="D151:D168" si="67">IFERROR(VLOOKUP(A151,DB,5,FALSE),"")</f>
        <v>MPI-S2</v>
      </c>
      <c r="E151" s="1036">
        <f t="shared" ref="E151:E168" si="68">IFERROR(VLOOKUP(A151,DB,6,FALSE),"")</f>
        <v>2013</v>
      </c>
      <c r="F151" s="1035" t="str">
        <f t="shared" ref="F151:F168" si="69">IFERROR(VLOOKUP(A151,DB,7,FALSE),"")</f>
        <v>LULUS</v>
      </c>
      <c r="G151" s="1036">
        <f t="shared" ref="G151:G168" si="70">IFERROR(VLOOKUP(A151,DB,3,FALSE),"")</f>
        <v>849113004</v>
      </c>
      <c r="H151" s="1038">
        <f t="shared" ref="H151:H168" si="71">IF(F151="AKTIF",3000000,IF(F151="CUTI",3000000,0))</f>
        <v>0</v>
      </c>
      <c r="I151" s="1038">
        <f t="shared" ref="I151:I168" si="72">IFERROR(VLOOKUP(A151,DB,37,FALSE),"")-H151</f>
        <v>0</v>
      </c>
      <c r="J151" s="1038">
        <f t="shared" ref="J151:J168" si="73">I151+H151</f>
        <v>0</v>
      </c>
      <c r="L151" s="1060">
        <f t="shared" si="41"/>
        <v>0</v>
      </c>
      <c r="M151" s="1060">
        <f t="shared" ref="M151:M168" si="74">IF(F151="LULUS",1,0)</f>
        <v>1</v>
      </c>
      <c r="N151" s="1060">
        <f t="shared" ref="N151:N168" si="75">IF(F151="CUTI",1,0)</f>
        <v>0</v>
      </c>
      <c r="O151" s="1060">
        <f t="shared" ref="O151:O168" si="76">IF(F151="DROP OUT",1,0)</f>
        <v>0</v>
      </c>
      <c r="P151" s="1059">
        <f t="shared" ref="P151:P168" si="77">IF(F151="PASIF",1,0)</f>
        <v>0</v>
      </c>
    </row>
    <row r="152" spans="1:18" x14ac:dyDescent="0.25">
      <c r="A152" s="1034">
        <v>636</v>
      </c>
      <c r="B152" s="1034">
        <f t="shared" si="28"/>
        <v>2</v>
      </c>
      <c r="C152" s="1034" t="str">
        <f t="shared" si="66"/>
        <v>Ifa Kristiani</v>
      </c>
      <c r="D152" s="1035" t="str">
        <f t="shared" si="67"/>
        <v>MPI-S2</v>
      </c>
      <c r="E152" s="1036">
        <f t="shared" si="68"/>
        <v>2013</v>
      </c>
      <c r="F152" s="1035" t="str">
        <f t="shared" si="69"/>
        <v>LULUS</v>
      </c>
      <c r="G152" s="1036">
        <f t="shared" si="70"/>
        <v>849113009</v>
      </c>
      <c r="H152" s="1038">
        <f t="shared" si="71"/>
        <v>0</v>
      </c>
      <c r="I152" s="1038">
        <f t="shared" si="72"/>
        <v>0</v>
      </c>
      <c r="J152" s="1038">
        <f t="shared" si="73"/>
        <v>0</v>
      </c>
      <c r="L152" s="1060">
        <f t="shared" si="41"/>
        <v>0</v>
      </c>
      <c r="M152" s="1060">
        <f t="shared" si="74"/>
        <v>1</v>
      </c>
      <c r="N152" s="1060">
        <f t="shared" si="75"/>
        <v>0</v>
      </c>
      <c r="O152" s="1060">
        <f t="shared" si="76"/>
        <v>0</v>
      </c>
      <c r="P152" s="1059">
        <f t="shared" si="77"/>
        <v>0</v>
      </c>
    </row>
    <row r="153" spans="1:18" x14ac:dyDescent="0.25">
      <c r="A153" s="1034">
        <v>637</v>
      </c>
      <c r="B153" s="1034">
        <f t="shared" si="28"/>
        <v>3</v>
      </c>
      <c r="C153" s="1034" t="str">
        <f t="shared" si="66"/>
        <v>Amila Sholihah</v>
      </c>
      <c r="D153" s="1035" t="str">
        <f t="shared" si="67"/>
        <v>MPI-S2</v>
      </c>
      <c r="E153" s="1036">
        <f t="shared" si="68"/>
        <v>2013</v>
      </c>
      <c r="F153" s="1035" t="str">
        <f t="shared" si="69"/>
        <v>LULUS</v>
      </c>
      <c r="G153" s="1036">
        <f t="shared" si="70"/>
        <v>849113025</v>
      </c>
      <c r="H153" s="1038">
        <f t="shared" si="71"/>
        <v>0</v>
      </c>
      <c r="I153" s="1038">
        <f t="shared" si="72"/>
        <v>0</v>
      </c>
      <c r="J153" s="1038">
        <f t="shared" si="73"/>
        <v>0</v>
      </c>
      <c r="L153" s="1060">
        <f t="shared" si="41"/>
        <v>0</v>
      </c>
      <c r="M153" s="1060">
        <f t="shared" si="74"/>
        <v>1</v>
      </c>
      <c r="N153" s="1060">
        <f t="shared" si="75"/>
        <v>0</v>
      </c>
      <c r="O153" s="1060">
        <f t="shared" si="76"/>
        <v>0</v>
      </c>
      <c r="P153" s="1059">
        <f t="shared" si="77"/>
        <v>0</v>
      </c>
    </row>
    <row r="154" spans="1:18" x14ac:dyDescent="0.25">
      <c r="A154" s="1034">
        <v>638</v>
      </c>
      <c r="B154" s="1034">
        <f t="shared" si="28"/>
        <v>4</v>
      </c>
      <c r="C154" s="1034" t="str">
        <f t="shared" si="66"/>
        <v>Bahrudin Agung Rosi Iswanto</v>
      </c>
      <c r="D154" s="1035" t="str">
        <f t="shared" si="67"/>
        <v>MPI-S2</v>
      </c>
      <c r="E154" s="1036">
        <f t="shared" si="68"/>
        <v>2013</v>
      </c>
      <c r="F154" s="1035" t="str">
        <f t="shared" si="69"/>
        <v>LULUS</v>
      </c>
      <c r="G154" s="1036">
        <f t="shared" si="70"/>
        <v>849113027</v>
      </c>
      <c r="H154" s="1038">
        <f t="shared" si="71"/>
        <v>0</v>
      </c>
      <c r="I154" s="1038">
        <f t="shared" si="72"/>
        <v>0</v>
      </c>
      <c r="J154" s="1038">
        <f t="shared" si="73"/>
        <v>0</v>
      </c>
      <c r="L154" s="1060">
        <f t="shared" si="41"/>
        <v>0</v>
      </c>
      <c r="M154" s="1060">
        <f t="shared" si="74"/>
        <v>1</v>
      </c>
      <c r="N154" s="1060">
        <f t="shared" si="75"/>
        <v>0</v>
      </c>
      <c r="O154" s="1060">
        <f t="shared" si="76"/>
        <v>0</v>
      </c>
      <c r="P154" s="1059">
        <f t="shared" si="77"/>
        <v>0</v>
      </c>
    </row>
    <row r="155" spans="1:18" x14ac:dyDescent="0.25">
      <c r="A155" s="1034">
        <v>639</v>
      </c>
      <c r="B155" s="1034">
        <f t="shared" si="28"/>
        <v>5</v>
      </c>
      <c r="C155" s="1034" t="str">
        <f t="shared" si="66"/>
        <v>Dhian Wahana Putra</v>
      </c>
      <c r="D155" s="1035" t="str">
        <f t="shared" si="67"/>
        <v>MPI-S2</v>
      </c>
      <c r="E155" s="1036">
        <f t="shared" si="68"/>
        <v>2013</v>
      </c>
      <c r="F155" s="1035" t="str">
        <f t="shared" si="69"/>
        <v>LULUS</v>
      </c>
      <c r="G155" s="1036">
        <f t="shared" si="70"/>
        <v>849113028</v>
      </c>
      <c r="H155" s="1038">
        <f t="shared" si="71"/>
        <v>0</v>
      </c>
      <c r="I155" s="1038">
        <f t="shared" si="72"/>
        <v>0</v>
      </c>
      <c r="J155" s="1038">
        <f t="shared" si="73"/>
        <v>0</v>
      </c>
      <c r="L155" s="1060">
        <f t="shared" si="41"/>
        <v>0</v>
      </c>
      <c r="M155" s="1060">
        <f t="shared" si="74"/>
        <v>1</v>
      </c>
      <c r="N155" s="1060">
        <f t="shared" si="75"/>
        <v>0</v>
      </c>
      <c r="O155" s="1060">
        <f t="shared" si="76"/>
        <v>0</v>
      </c>
      <c r="P155" s="1059">
        <f t="shared" si="77"/>
        <v>0</v>
      </c>
    </row>
    <row r="156" spans="1:18" x14ac:dyDescent="0.25">
      <c r="A156" s="1034">
        <v>640</v>
      </c>
      <c r="B156" s="1034">
        <f t="shared" si="28"/>
        <v>6</v>
      </c>
      <c r="C156" s="1034" t="str">
        <f t="shared" si="66"/>
        <v>Emsikhu Ira Gunawan</v>
      </c>
      <c r="D156" s="1035" t="str">
        <f t="shared" si="67"/>
        <v>MPI-S2</v>
      </c>
      <c r="E156" s="1036">
        <f t="shared" si="68"/>
        <v>2013</v>
      </c>
      <c r="F156" s="1035" t="str">
        <f t="shared" si="69"/>
        <v>LULUS</v>
      </c>
      <c r="G156" s="1036">
        <f t="shared" si="70"/>
        <v>849113029</v>
      </c>
      <c r="H156" s="1038">
        <f t="shared" si="71"/>
        <v>0</v>
      </c>
      <c r="I156" s="1038">
        <f t="shared" si="72"/>
        <v>0</v>
      </c>
      <c r="J156" s="1038">
        <f t="shared" si="73"/>
        <v>0</v>
      </c>
      <c r="L156" s="1060">
        <f t="shared" si="41"/>
        <v>0</v>
      </c>
      <c r="M156" s="1060">
        <f t="shared" si="74"/>
        <v>1</v>
      </c>
      <c r="N156" s="1060">
        <f t="shared" si="75"/>
        <v>0</v>
      </c>
      <c r="O156" s="1060">
        <f t="shared" si="76"/>
        <v>0</v>
      </c>
      <c r="P156" s="1059">
        <f t="shared" si="77"/>
        <v>0</v>
      </c>
    </row>
    <row r="157" spans="1:18" x14ac:dyDescent="0.25">
      <c r="A157" s="1034">
        <v>641</v>
      </c>
      <c r="B157" s="1034">
        <f t="shared" si="28"/>
        <v>7</v>
      </c>
      <c r="C157" s="1034" t="str">
        <f t="shared" si="66"/>
        <v>Erlina Aniata Sari</v>
      </c>
      <c r="D157" s="1035" t="str">
        <f t="shared" si="67"/>
        <v>MPI-S2</v>
      </c>
      <c r="E157" s="1036">
        <f t="shared" si="68"/>
        <v>2013</v>
      </c>
      <c r="F157" s="1035" t="str">
        <f t="shared" si="69"/>
        <v>LULUS</v>
      </c>
      <c r="G157" s="1036">
        <f t="shared" si="70"/>
        <v>849113030</v>
      </c>
      <c r="H157" s="1038">
        <f t="shared" si="71"/>
        <v>0</v>
      </c>
      <c r="I157" s="1038">
        <f t="shared" si="72"/>
        <v>0</v>
      </c>
      <c r="J157" s="1038">
        <f t="shared" si="73"/>
        <v>0</v>
      </c>
      <c r="L157" s="1060">
        <f t="shared" si="41"/>
        <v>0</v>
      </c>
      <c r="M157" s="1060">
        <f t="shared" si="74"/>
        <v>1</v>
      </c>
      <c r="N157" s="1060">
        <f t="shared" si="75"/>
        <v>0</v>
      </c>
      <c r="O157" s="1060">
        <f t="shared" si="76"/>
        <v>0</v>
      </c>
      <c r="P157" s="1059">
        <f t="shared" si="77"/>
        <v>0</v>
      </c>
    </row>
    <row r="158" spans="1:18" x14ac:dyDescent="0.25">
      <c r="A158" s="1034">
        <v>642</v>
      </c>
      <c r="B158" s="1034">
        <f t="shared" si="28"/>
        <v>8</v>
      </c>
      <c r="C158" s="1034" t="str">
        <f t="shared" si="66"/>
        <v>Faqih Yahullahbi</v>
      </c>
      <c r="D158" s="1035" t="str">
        <f t="shared" si="67"/>
        <v>MPI-S2</v>
      </c>
      <c r="E158" s="1036">
        <f t="shared" si="68"/>
        <v>2013</v>
      </c>
      <c r="F158" s="1035" t="str">
        <f t="shared" si="69"/>
        <v>DROP OUT</v>
      </c>
      <c r="G158" s="1036">
        <f t="shared" si="70"/>
        <v>849113031</v>
      </c>
      <c r="H158" s="1038">
        <f t="shared" si="71"/>
        <v>0</v>
      </c>
      <c r="I158" s="1038">
        <f t="shared" si="72"/>
        <v>0</v>
      </c>
      <c r="J158" s="1038">
        <f t="shared" si="73"/>
        <v>0</v>
      </c>
      <c r="L158" s="1060">
        <f t="shared" si="41"/>
        <v>0</v>
      </c>
      <c r="M158" s="1060">
        <f t="shared" si="74"/>
        <v>0</v>
      </c>
      <c r="N158" s="1060">
        <f t="shared" si="75"/>
        <v>0</v>
      </c>
      <c r="O158" s="1060">
        <f t="shared" si="76"/>
        <v>1</v>
      </c>
      <c r="P158" s="1059">
        <f t="shared" si="77"/>
        <v>0</v>
      </c>
    </row>
    <row r="159" spans="1:18" x14ac:dyDescent="0.25">
      <c r="A159" s="1034">
        <v>643</v>
      </c>
      <c r="B159" s="1034">
        <f t="shared" si="28"/>
        <v>9</v>
      </c>
      <c r="C159" s="1034" t="str">
        <f t="shared" si="66"/>
        <v>Fathor Rosi</v>
      </c>
      <c r="D159" s="1035" t="str">
        <f t="shared" si="67"/>
        <v>MPI-S2</v>
      </c>
      <c r="E159" s="1036">
        <f t="shared" si="68"/>
        <v>2013</v>
      </c>
      <c r="F159" s="1035" t="str">
        <f t="shared" si="69"/>
        <v>LULUS</v>
      </c>
      <c r="G159" s="1036">
        <f t="shared" si="70"/>
        <v>849113032</v>
      </c>
      <c r="H159" s="1038">
        <f t="shared" si="71"/>
        <v>0</v>
      </c>
      <c r="I159" s="1038">
        <f t="shared" si="72"/>
        <v>0</v>
      </c>
      <c r="J159" s="1038">
        <f t="shared" si="73"/>
        <v>0</v>
      </c>
      <c r="L159" s="1060">
        <f t="shared" si="41"/>
        <v>0</v>
      </c>
      <c r="M159" s="1060">
        <f t="shared" si="74"/>
        <v>1</v>
      </c>
      <c r="N159" s="1060">
        <f t="shared" si="75"/>
        <v>0</v>
      </c>
      <c r="O159" s="1060">
        <f t="shared" si="76"/>
        <v>0</v>
      </c>
      <c r="P159" s="1059">
        <f t="shared" si="77"/>
        <v>0</v>
      </c>
    </row>
    <row r="160" spans="1:18" x14ac:dyDescent="0.25">
      <c r="A160" s="1034">
        <v>644</v>
      </c>
      <c r="B160" s="1034">
        <f t="shared" si="28"/>
        <v>10</v>
      </c>
      <c r="C160" s="1034" t="str">
        <f t="shared" si="66"/>
        <v>Kurdianto Al Laily</v>
      </c>
      <c r="D160" s="1035" t="str">
        <f t="shared" si="67"/>
        <v>MPI-S2</v>
      </c>
      <c r="E160" s="1036">
        <f t="shared" si="68"/>
        <v>2013</v>
      </c>
      <c r="F160" s="1035" t="str">
        <f t="shared" si="69"/>
        <v>LULUS</v>
      </c>
      <c r="G160" s="1036">
        <f t="shared" si="70"/>
        <v>849113034</v>
      </c>
      <c r="H160" s="1038">
        <f t="shared" si="71"/>
        <v>0</v>
      </c>
      <c r="I160" s="1038">
        <f t="shared" si="72"/>
        <v>0</v>
      </c>
      <c r="J160" s="1038">
        <f t="shared" si="73"/>
        <v>0</v>
      </c>
      <c r="L160" s="1060">
        <f t="shared" si="41"/>
        <v>0</v>
      </c>
      <c r="M160" s="1060">
        <f t="shared" si="74"/>
        <v>1</v>
      </c>
      <c r="N160" s="1060">
        <f t="shared" si="75"/>
        <v>0</v>
      </c>
      <c r="O160" s="1060">
        <f t="shared" si="76"/>
        <v>0</v>
      </c>
      <c r="P160" s="1059">
        <f t="shared" si="77"/>
        <v>0</v>
      </c>
    </row>
    <row r="161" spans="1:18" x14ac:dyDescent="0.25">
      <c r="A161" s="1034">
        <v>645</v>
      </c>
      <c r="B161" s="1034">
        <f t="shared" si="28"/>
        <v>11</v>
      </c>
      <c r="C161" s="1034" t="str">
        <f t="shared" si="66"/>
        <v>Nadhirotus Suhriyah</v>
      </c>
      <c r="D161" s="1035" t="str">
        <f t="shared" si="67"/>
        <v>MPI-S2</v>
      </c>
      <c r="E161" s="1036">
        <f t="shared" si="68"/>
        <v>2013</v>
      </c>
      <c r="F161" s="1035" t="str">
        <f t="shared" si="69"/>
        <v>DROP OUT</v>
      </c>
      <c r="G161" s="1036">
        <f t="shared" si="70"/>
        <v>849113037</v>
      </c>
      <c r="H161" s="1038">
        <f t="shared" si="71"/>
        <v>0</v>
      </c>
      <c r="I161" s="1038">
        <f t="shared" si="72"/>
        <v>0</v>
      </c>
      <c r="J161" s="1038">
        <f t="shared" si="73"/>
        <v>0</v>
      </c>
      <c r="L161" s="1060">
        <f t="shared" si="41"/>
        <v>0</v>
      </c>
      <c r="M161" s="1060">
        <f t="shared" si="74"/>
        <v>0</v>
      </c>
      <c r="N161" s="1060">
        <f t="shared" si="75"/>
        <v>0</v>
      </c>
      <c r="O161" s="1060">
        <f t="shared" si="76"/>
        <v>1</v>
      </c>
      <c r="P161" s="1059">
        <f t="shared" si="77"/>
        <v>0</v>
      </c>
    </row>
    <row r="162" spans="1:18" x14ac:dyDescent="0.25">
      <c r="A162" s="1034">
        <v>646</v>
      </c>
      <c r="B162" s="1034">
        <f t="shared" si="28"/>
        <v>12</v>
      </c>
      <c r="C162" s="1034" t="str">
        <f t="shared" si="66"/>
        <v>Nur Khovivah</v>
      </c>
      <c r="D162" s="1035" t="str">
        <f t="shared" si="67"/>
        <v>MPI-S2</v>
      </c>
      <c r="E162" s="1036">
        <f t="shared" si="68"/>
        <v>2013</v>
      </c>
      <c r="F162" s="1035" t="str">
        <f t="shared" si="69"/>
        <v>LULUS</v>
      </c>
      <c r="G162" s="1036">
        <f t="shared" si="70"/>
        <v>849113038</v>
      </c>
      <c r="H162" s="1038">
        <f t="shared" si="71"/>
        <v>0</v>
      </c>
      <c r="I162" s="1038">
        <f t="shared" si="72"/>
        <v>0</v>
      </c>
      <c r="J162" s="1038">
        <f t="shared" si="73"/>
        <v>0</v>
      </c>
      <c r="L162" s="1060">
        <f t="shared" si="41"/>
        <v>0</v>
      </c>
      <c r="M162" s="1060">
        <f t="shared" si="74"/>
        <v>1</v>
      </c>
      <c r="N162" s="1060">
        <f t="shared" si="75"/>
        <v>0</v>
      </c>
      <c r="O162" s="1060">
        <f t="shared" si="76"/>
        <v>0</v>
      </c>
      <c r="P162" s="1059">
        <f t="shared" si="77"/>
        <v>0</v>
      </c>
    </row>
    <row r="163" spans="1:18" x14ac:dyDescent="0.25">
      <c r="A163" s="1034">
        <v>647</v>
      </c>
      <c r="B163" s="1034">
        <f t="shared" si="28"/>
        <v>13</v>
      </c>
      <c r="C163" s="1034" t="str">
        <f t="shared" si="66"/>
        <v>Nurul Iflaha</v>
      </c>
      <c r="D163" s="1035" t="str">
        <f t="shared" si="67"/>
        <v>MPI-S2</v>
      </c>
      <c r="E163" s="1036">
        <f t="shared" si="68"/>
        <v>2013</v>
      </c>
      <c r="F163" s="1035" t="str">
        <f t="shared" si="69"/>
        <v>LULUS</v>
      </c>
      <c r="G163" s="1036">
        <f t="shared" si="70"/>
        <v>849113039</v>
      </c>
      <c r="H163" s="1038">
        <f t="shared" si="71"/>
        <v>0</v>
      </c>
      <c r="I163" s="1038">
        <f t="shared" si="72"/>
        <v>0</v>
      </c>
      <c r="J163" s="1038">
        <f t="shared" si="73"/>
        <v>0</v>
      </c>
      <c r="L163" s="1060">
        <f t="shared" si="41"/>
        <v>0</v>
      </c>
      <c r="M163" s="1060">
        <f t="shared" si="74"/>
        <v>1</v>
      </c>
      <c r="N163" s="1060">
        <f t="shared" si="75"/>
        <v>0</v>
      </c>
      <c r="O163" s="1060">
        <f t="shared" si="76"/>
        <v>0</v>
      </c>
      <c r="P163" s="1059">
        <f t="shared" si="77"/>
        <v>0</v>
      </c>
    </row>
    <row r="164" spans="1:18" x14ac:dyDescent="0.25">
      <c r="A164" s="1034">
        <v>648</v>
      </c>
      <c r="B164" s="1034">
        <f t="shared" si="28"/>
        <v>14</v>
      </c>
      <c r="C164" s="1034" t="str">
        <f t="shared" si="66"/>
        <v>Rofiq Hidayat</v>
      </c>
      <c r="D164" s="1035" t="str">
        <f t="shared" si="67"/>
        <v>MPI-S2</v>
      </c>
      <c r="E164" s="1036">
        <f t="shared" si="68"/>
        <v>2013</v>
      </c>
      <c r="F164" s="1035" t="str">
        <f t="shared" si="69"/>
        <v>LULUS</v>
      </c>
      <c r="G164" s="1036">
        <f t="shared" si="70"/>
        <v>849113040</v>
      </c>
      <c r="H164" s="1038">
        <f t="shared" si="71"/>
        <v>0</v>
      </c>
      <c r="I164" s="1038">
        <f t="shared" si="72"/>
        <v>0</v>
      </c>
      <c r="J164" s="1038">
        <f t="shared" si="73"/>
        <v>0</v>
      </c>
      <c r="L164" s="1060">
        <f t="shared" si="41"/>
        <v>0</v>
      </c>
      <c r="M164" s="1060">
        <f t="shared" si="74"/>
        <v>1</v>
      </c>
      <c r="N164" s="1060">
        <f t="shared" si="75"/>
        <v>0</v>
      </c>
      <c r="O164" s="1060">
        <f t="shared" si="76"/>
        <v>0</v>
      </c>
      <c r="P164" s="1059">
        <f t="shared" si="77"/>
        <v>0</v>
      </c>
    </row>
    <row r="165" spans="1:18" x14ac:dyDescent="0.25">
      <c r="A165" s="1034">
        <v>649</v>
      </c>
      <c r="B165" s="1034">
        <f t="shared" si="28"/>
        <v>15</v>
      </c>
      <c r="C165" s="1034" t="str">
        <f t="shared" si="66"/>
        <v>Septian Faizal Mista</v>
      </c>
      <c r="D165" s="1035" t="str">
        <f t="shared" si="67"/>
        <v>MPI-S2</v>
      </c>
      <c r="E165" s="1036">
        <f t="shared" si="68"/>
        <v>2013</v>
      </c>
      <c r="F165" s="1035" t="str">
        <f t="shared" si="69"/>
        <v>LULUS</v>
      </c>
      <c r="G165" s="1036">
        <f t="shared" si="70"/>
        <v>849113041</v>
      </c>
      <c r="H165" s="1038">
        <f t="shared" si="71"/>
        <v>0</v>
      </c>
      <c r="I165" s="1038">
        <f t="shared" si="72"/>
        <v>0</v>
      </c>
      <c r="J165" s="1038">
        <f t="shared" si="73"/>
        <v>0</v>
      </c>
      <c r="L165" s="1060">
        <f t="shared" si="41"/>
        <v>0</v>
      </c>
      <c r="M165" s="1060">
        <f t="shared" si="74"/>
        <v>1</v>
      </c>
      <c r="N165" s="1060">
        <f t="shared" si="75"/>
        <v>0</v>
      </c>
      <c r="O165" s="1060">
        <f t="shared" si="76"/>
        <v>0</v>
      </c>
      <c r="P165" s="1059">
        <f t="shared" si="77"/>
        <v>0</v>
      </c>
    </row>
    <row r="166" spans="1:18" x14ac:dyDescent="0.25">
      <c r="A166" s="1034">
        <v>650</v>
      </c>
      <c r="B166" s="1034">
        <f t="shared" si="28"/>
        <v>16</v>
      </c>
      <c r="C166" s="1034" t="str">
        <f t="shared" si="66"/>
        <v>Sudarsono</v>
      </c>
      <c r="D166" s="1035" t="str">
        <f t="shared" si="67"/>
        <v>MPI-S2</v>
      </c>
      <c r="E166" s="1036">
        <f t="shared" si="68"/>
        <v>2013</v>
      </c>
      <c r="F166" s="1035" t="str">
        <f t="shared" si="69"/>
        <v>LULUS</v>
      </c>
      <c r="G166" s="1036">
        <f t="shared" si="70"/>
        <v>849113042</v>
      </c>
      <c r="H166" s="1038">
        <f t="shared" si="71"/>
        <v>0</v>
      </c>
      <c r="I166" s="1038">
        <f t="shared" si="72"/>
        <v>0</v>
      </c>
      <c r="J166" s="1038">
        <f t="shared" si="73"/>
        <v>0</v>
      </c>
      <c r="L166" s="1060">
        <f t="shared" si="41"/>
        <v>0</v>
      </c>
      <c r="M166" s="1060">
        <f t="shared" si="74"/>
        <v>1</v>
      </c>
      <c r="N166" s="1060">
        <f t="shared" si="75"/>
        <v>0</v>
      </c>
      <c r="O166" s="1060">
        <f t="shared" si="76"/>
        <v>0</v>
      </c>
      <c r="P166" s="1059">
        <f t="shared" si="77"/>
        <v>0</v>
      </c>
    </row>
    <row r="167" spans="1:18" x14ac:dyDescent="0.25">
      <c r="A167" s="1034">
        <v>651</v>
      </c>
      <c r="B167" s="1034">
        <f t="shared" si="28"/>
        <v>17</v>
      </c>
      <c r="C167" s="1034" t="str">
        <f t="shared" si="66"/>
        <v>Susi Handayani</v>
      </c>
      <c r="D167" s="1035" t="str">
        <f t="shared" si="67"/>
        <v>MPI-S2</v>
      </c>
      <c r="E167" s="1036">
        <f t="shared" si="68"/>
        <v>2013</v>
      </c>
      <c r="F167" s="1035" t="str">
        <f t="shared" si="69"/>
        <v>LULUS</v>
      </c>
      <c r="G167" s="1036">
        <f t="shared" si="70"/>
        <v>849113043</v>
      </c>
      <c r="H167" s="1038">
        <f t="shared" si="71"/>
        <v>0</v>
      </c>
      <c r="I167" s="1038">
        <f t="shared" si="72"/>
        <v>0</v>
      </c>
      <c r="J167" s="1038">
        <f t="shared" si="73"/>
        <v>0</v>
      </c>
      <c r="L167" s="1060">
        <f t="shared" si="41"/>
        <v>0</v>
      </c>
      <c r="M167" s="1060">
        <f t="shared" si="74"/>
        <v>1</v>
      </c>
      <c r="N167" s="1060">
        <f t="shared" si="75"/>
        <v>0</v>
      </c>
      <c r="O167" s="1060">
        <f t="shared" si="76"/>
        <v>0</v>
      </c>
      <c r="P167" s="1059">
        <f t="shared" si="77"/>
        <v>0</v>
      </c>
      <c r="R167" s="1039"/>
    </row>
    <row r="168" spans="1:18" x14ac:dyDescent="0.25">
      <c r="A168" s="1034">
        <v>652</v>
      </c>
      <c r="B168" s="1034">
        <f t="shared" si="28"/>
        <v>18</v>
      </c>
      <c r="C168" s="1034" t="str">
        <f t="shared" si="66"/>
        <v>Suyanto</v>
      </c>
      <c r="D168" s="1035" t="str">
        <f t="shared" si="67"/>
        <v>MPI-S2</v>
      </c>
      <c r="E168" s="1036">
        <f t="shared" si="68"/>
        <v>2013</v>
      </c>
      <c r="F168" s="1035" t="str">
        <f t="shared" si="69"/>
        <v>DROP OUT</v>
      </c>
      <c r="G168" s="1036">
        <f t="shared" si="70"/>
        <v>849113044</v>
      </c>
      <c r="H168" s="1038">
        <f t="shared" si="71"/>
        <v>0</v>
      </c>
      <c r="I168" s="1038">
        <f t="shared" si="72"/>
        <v>0</v>
      </c>
      <c r="J168" s="1038">
        <f t="shared" si="73"/>
        <v>0</v>
      </c>
      <c r="L168" s="1060">
        <f t="shared" si="41"/>
        <v>0</v>
      </c>
      <c r="M168" s="1060">
        <f t="shared" si="74"/>
        <v>0</v>
      </c>
      <c r="N168" s="1060">
        <f t="shared" si="75"/>
        <v>0</v>
      </c>
      <c r="O168" s="1060">
        <f t="shared" si="76"/>
        <v>1</v>
      </c>
      <c r="P168" s="1059">
        <f t="shared" si="77"/>
        <v>0</v>
      </c>
    </row>
    <row r="169" spans="1:18" x14ac:dyDescent="0.25">
      <c r="A169" s="1039"/>
      <c r="B169" s="1039"/>
      <c r="C169" s="1039"/>
      <c r="D169" s="1040"/>
      <c r="E169" s="1041"/>
      <c r="F169" s="1040"/>
      <c r="G169" s="1041"/>
      <c r="H169" s="1042"/>
      <c r="I169" s="1042"/>
      <c r="J169" s="1042"/>
      <c r="L169" s="1042"/>
      <c r="M169" s="1042"/>
      <c r="N169" s="1042"/>
      <c r="O169" s="1042"/>
      <c r="P169" s="1042"/>
    </row>
    <row r="170" spans="1:18" x14ac:dyDescent="0.25">
      <c r="A170" s="1043" t="str">
        <f>'Rekap SPP'!A691</f>
        <v>S2-MPI 2013/2014 (GEL II)</v>
      </c>
      <c r="B170" s="1043"/>
      <c r="C170" s="1043"/>
      <c r="D170" s="1033" t="s">
        <v>3</v>
      </c>
      <c r="E170" s="1032" t="s">
        <v>4</v>
      </c>
      <c r="F170" s="1033" t="s">
        <v>3195</v>
      </c>
      <c r="G170" s="1032" t="s">
        <v>1</v>
      </c>
      <c r="H170" s="1033" t="s">
        <v>3341</v>
      </c>
      <c r="I170" s="1033" t="s">
        <v>3342</v>
      </c>
      <c r="J170" s="1062">
        <f>SUM(J171:J195)</f>
        <v>0</v>
      </c>
      <c r="L170" s="1063">
        <f>SUM(L171:L195)</f>
        <v>0</v>
      </c>
      <c r="M170" s="1063">
        <f>SUM(M171:M195)</f>
        <v>16</v>
      </c>
      <c r="N170" s="1063">
        <f>SUM(N171:N195)</f>
        <v>0</v>
      </c>
      <c r="O170" s="1063">
        <f>SUM(O171:O195)</f>
        <v>9</v>
      </c>
      <c r="P170" s="1063">
        <f>SUM(P171:P195)</f>
        <v>0</v>
      </c>
    </row>
    <row r="171" spans="1:18" x14ac:dyDescent="0.25">
      <c r="A171" s="1034">
        <v>653</v>
      </c>
      <c r="B171" s="1034">
        <f t="shared" si="28"/>
        <v>1</v>
      </c>
      <c r="C171" s="1034" t="str">
        <f t="shared" ref="C171:C195" si="78">IFERROR(VLOOKUP(A171,DB,4,FALSE),"")</f>
        <v xml:space="preserve">Husbadiatul Husna </v>
      </c>
      <c r="D171" s="1035" t="str">
        <f t="shared" ref="D171:D195" si="79">IFERROR(VLOOKUP(A171,DB,5,FALSE),"")</f>
        <v>MPI-S2</v>
      </c>
      <c r="E171" s="1036" t="str">
        <f t="shared" ref="E171:E195" si="80">IFERROR(VLOOKUP(A171,DB,6,FALSE),"")</f>
        <v>2013-</v>
      </c>
      <c r="F171" s="1035" t="str">
        <f t="shared" ref="F171:F195" si="81">IFERROR(VLOOKUP(A171,DB,7,FALSE),"")</f>
        <v>LULUS</v>
      </c>
      <c r="G171" s="1036">
        <f t="shared" ref="G171:G195" si="82">IFERROR(VLOOKUP(A171,DB,3,FALSE),"")</f>
        <v>849113052</v>
      </c>
      <c r="H171" s="1038">
        <f t="shared" ref="H171:H195" si="83">IF(F171="AKTIF",3000000,IF(F171="CUTI",3000000,0))</f>
        <v>0</v>
      </c>
      <c r="I171" s="1038">
        <f t="shared" ref="I171:I195" si="84">IFERROR(VLOOKUP(A171,DB,37,FALSE),"")-H171</f>
        <v>0</v>
      </c>
      <c r="J171" s="1038">
        <f t="shared" ref="J171:J195" si="85">I171+H171</f>
        <v>0</v>
      </c>
      <c r="L171" s="1060">
        <f t="shared" si="41"/>
        <v>0</v>
      </c>
      <c r="M171" s="1060">
        <f t="shared" ref="M171:M195" si="86">IF(F171="LULUS",1,0)</f>
        <v>1</v>
      </c>
      <c r="N171" s="1060">
        <f t="shared" ref="N171:N195" si="87">IF(F171="CUTI",1,0)</f>
        <v>0</v>
      </c>
      <c r="O171" s="1060">
        <f t="shared" ref="O171:O195" si="88">IF(F171="DROP OUT",1,0)</f>
        <v>0</v>
      </c>
      <c r="P171" s="1059">
        <f t="shared" ref="P171:P195" si="89">IF(F171="PASIF",1,0)</f>
        <v>0</v>
      </c>
    </row>
    <row r="172" spans="1:18" x14ac:dyDescent="0.25">
      <c r="A172" s="1034">
        <v>654</v>
      </c>
      <c r="B172" s="1034">
        <f t="shared" si="28"/>
        <v>2</v>
      </c>
      <c r="C172" s="1034" t="str">
        <f t="shared" si="78"/>
        <v xml:space="preserve">Ikhwan Nur Huda </v>
      </c>
      <c r="D172" s="1035" t="str">
        <f t="shared" si="79"/>
        <v>MPI-S2</v>
      </c>
      <c r="E172" s="1036" t="str">
        <f t="shared" si="80"/>
        <v>2013-</v>
      </c>
      <c r="F172" s="1035" t="str">
        <f t="shared" si="81"/>
        <v>LULUS</v>
      </c>
      <c r="G172" s="1036">
        <f t="shared" si="82"/>
        <v>849113053</v>
      </c>
      <c r="H172" s="1038">
        <f t="shared" si="83"/>
        <v>0</v>
      </c>
      <c r="I172" s="1038">
        <f t="shared" si="84"/>
        <v>0</v>
      </c>
      <c r="J172" s="1038">
        <f t="shared" si="85"/>
        <v>0</v>
      </c>
      <c r="L172" s="1060">
        <f t="shared" si="41"/>
        <v>0</v>
      </c>
      <c r="M172" s="1060">
        <f t="shared" si="86"/>
        <v>1</v>
      </c>
      <c r="N172" s="1060">
        <f t="shared" si="87"/>
        <v>0</v>
      </c>
      <c r="O172" s="1060">
        <f t="shared" si="88"/>
        <v>0</v>
      </c>
      <c r="P172" s="1059">
        <f t="shared" si="89"/>
        <v>0</v>
      </c>
    </row>
    <row r="173" spans="1:18" x14ac:dyDescent="0.25">
      <c r="A173" s="1034">
        <v>655</v>
      </c>
      <c r="B173" s="1034">
        <f t="shared" si="28"/>
        <v>3</v>
      </c>
      <c r="C173" s="1034" t="str">
        <f t="shared" si="78"/>
        <v>Luthfiyatun Nawiroh</v>
      </c>
      <c r="D173" s="1035" t="str">
        <f t="shared" si="79"/>
        <v>MPI-S2</v>
      </c>
      <c r="E173" s="1036" t="str">
        <f t="shared" si="80"/>
        <v>2013-</v>
      </c>
      <c r="F173" s="1035" t="str">
        <f t="shared" si="81"/>
        <v>LULUS</v>
      </c>
      <c r="G173" s="1036">
        <f t="shared" si="82"/>
        <v>849113056</v>
      </c>
      <c r="H173" s="1038">
        <f t="shared" si="83"/>
        <v>0</v>
      </c>
      <c r="I173" s="1038">
        <f t="shared" si="84"/>
        <v>0</v>
      </c>
      <c r="J173" s="1038">
        <f t="shared" si="85"/>
        <v>0</v>
      </c>
      <c r="L173" s="1060">
        <f t="shared" si="41"/>
        <v>0</v>
      </c>
      <c r="M173" s="1060">
        <f t="shared" si="86"/>
        <v>1</v>
      </c>
      <c r="N173" s="1060">
        <f t="shared" si="87"/>
        <v>0</v>
      </c>
      <c r="O173" s="1060">
        <f t="shared" si="88"/>
        <v>0</v>
      </c>
      <c r="P173" s="1059">
        <f t="shared" si="89"/>
        <v>0</v>
      </c>
    </row>
    <row r="174" spans="1:18" x14ac:dyDescent="0.25">
      <c r="A174" s="1034">
        <v>656</v>
      </c>
      <c r="B174" s="1034">
        <f t="shared" si="28"/>
        <v>4</v>
      </c>
      <c r="C174" s="1034" t="str">
        <f t="shared" si="78"/>
        <v>Muhamad Rofiqi</v>
      </c>
      <c r="D174" s="1035" t="str">
        <f t="shared" si="79"/>
        <v>MPI-S2</v>
      </c>
      <c r="E174" s="1036" t="str">
        <f t="shared" si="80"/>
        <v>2013-</v>
      </c>
      <c r="F174" s="1035" t="str">
        <f t="shared" si="81"/>
        <v>DROP OUT</v>
      </c>
      <c r="G174" s="1036">
        <f t="shared" si="82"/>
        <v>849113060</v>
      </c>
      <c r="H174" s="1038">
        <f t="shared" si="83"/>
        <v>0</v>
      </c>
      <c r="I174" s="1038">
        <f t="shared" si="84"/>
        <v>0</v>
      </c>
      <c r="J174" s="1038">
        <f t="shared" si="85"/>
        <v>0</v>
      </c>
      <c r="L174" s="1060">
        <f t="shared" si="41"/>
        <v>0</v>
      </c>
      <c r="M174" s="1060">
        <f t="shared" si="86"/>
        <v>0</v>
      </c>
      <c r="N174" s="1060">
        <f t="shared" si="87"/>
        <v>0</v>
      </c>
      <c r="O174" s="1060">
        <f t="shared" si="88"/>
        <v>1</v>
      </c>
      <c r="P174" s="1059">
        <f t="shared" si="89"/>
        <v>0</v>
      </c>
    </row>
    <row r="175" spans="1:18" x14ac:dyDescent="0.25">
      <c r="A175" s="1034">
        <v>657</v>
      </c>
      <c r="B175" s="1034">
        <f t="shared" ref="B175:B195" si="90">IFERROR(VLOOKUP(A175,DB,2,FALSE),"")</f>
        <v>5</v>
      </c>
      <c r="C175" s="1034" t="str">
        <f t="shared" si="78"/>
        <v xml:space="preserve">Bambang Eko Aditia </v>
      </c>
      <c r="D175" s="1035" t="str">
        <f t="shared" si="79"/>
        <v>MPI-S2</v>
      </c>
      <c r="E175" s="1036" t="str">
        <f t="shared" si="80"/>
        <v>2013-</v>
      </c>
      <c r="F175" s="1035" t="str">
        <f t="shared" si="81"/>
        <v>LULUS</v>
      </c>
      <c r="G175" s="1036">
        <f t="shared" si="82"/>
        <v>849113048</v>
      </c>
      <c r="H175" s="1038">
        <f t="shared" si="83"/>
        <v>0</v>
      </c>
      <c r="I175" s="1038">
        <f t="shared" si="84"/>
        <v>0</v>
      </c>
      <c r="J175" s="1038">
        <f t="shared" si="85"/>
        <v>0</v>
      </c>
      <c r="L175" s="1060">
        <f t="shared" si="41"/>
        <v>0</v>
      </c>
      <c r="M175" s="1060">
        <f t="shared" si="86"/>
        <v>1</v>
      </c>
      <c r="N175" s="1060">
        <f t="shared" si="87"/>
        <v>0</v>
      </c>
      <c r="O175" s="1060">
        <f t="shared" si="88"/>
        <v>0</v>
      </c>
      <c r="P175" s="1059">
        <f t="shared" si="89"/>
        <v>0</v>
      </c>
    </row>
    <row r="176" spans="1:18" x14ac:dyDescent="0.25">
      <c r="A176" s="1034">
        <v>658</v>
      </c>
      <c r="B176" s="1034">
        <f t="shared" si="90"/>
        <v>6</v>
      </c>
      <c r="C176" s="1034" t="str">
        <f t="shared" si="78"/>
        <v>Fitratul Laili</v>
      </c>
      <c r="D176" s="1035" t="str">
        <f t="shared" si="79"/>
        <v>MPI-S2</v>
      </c>
      <c r="E176" s="1036" t="str">
        <f t="shared" si="80"/>
        <v>2013-</v>
      </c>
      <c r="F176" s="1035" t="str">
        <f t="shared" si="81"/>
        <v>DROP OUT</v>
      </c>
      <c r="G176" s="1036">
        <f t="shared" si="82"/>
        <v>849113050</v>
      </c>
      <c r="H176" s="1038">
        <f t="shared" si="83"/>
        <v>0</v>
      </c>
      <c r="I176" s="1038">
        <f t="shared" si="84"/>
        <v>0</v>
      </c>
      <c r="J176" s="1038">
        <f t="shared" si="85"/>
        <v>0</v>
      </c>
      <c r="L176" s="1060">
        <f t="shared" ref="L176:L195" si="91">IF(F176="AKTIF",1,0)</f>
        <v>0</v>
      </c>
      <c r="M176" s="1060">
        <f t="shared" si="86"/>
        <v>0</v>
      </c>
      <c r="N176" s="1060">
        <f t="shared" si="87"/>
        <v>0</v>
      </c>
      <c r="O176" s="1060">
        <f t="shared" si="88"/>
        <v>1</v>
      </c>
      <c r="P176" s="1059">
        <f t="shared" si="89"/>
        <v>0</v>
      </c>
    </row>
    <row r="177" spans="1:16" x14ac:dyDescent="0.25">
      <c r="A177" s="1034">
        <v>659</v>
      </c>
      <c r="B177" s="1034">
        <f t="shared" si="90"/>
        <v>7</v>
      </c>
      <c r="C177" s="1034" t="str">
        <f t="shared" si="78"/>
        <v>Sri Winarni</v>
      </c>
      <c r="D177" s="1035" t="str">
        <f t="shared" si="79"/>
        <v>MPI-S2</v>
      </c>
      <c r="E177" s="1036" t="str">
        <f t="shared" si="80"/>
        <v>2013-</v>
      </c>
      <c r="F177" s="1035" t="str">
        <f t="shared" si="81"/>
        <v>LULUS</v>
      </c>
      <c r="G177" s="1036">
        <f t="shared" si="82"/>
        <v>849113083</v>
      </c>
      <c r="H177" s="1038">
        <f t="shared" si="83"/>
        <v>0</v>
      </c>
      <c r="I177" s="1038">
        <f t="shared" si="84"/>
        <v>0</v>
      </c>
      <c r="J177" s="1038">
        <f t="shared" si="85"/>
        <v>0</v>
      </c>
      <c r="L177" s="1060">
        <f t="shared" si="91"/>
        <v>0</v>
      </c>
      <c r="M177" s="1060">
        <f t="shared" si="86"/>
        <v>1</v>
      </c>
      <c r="N177" s="1060">
        <f t="shared" si="87"/>
        <v>0</v>
      </c>
      <c r="O177" s="1060">
        <f t="shared" si="88"/>
        <v>0</v>
      </c>
      <c r="P177" s="1059">
        <f t="shared" si="89"/>
        <v>0</v>
      </c>
    </row>
    <row r="178" spans="1:16" x14ac:dyDescent="0.25">
      <c r="A178" s="1034">
        <v>660</v>
      </c>
      <c r="B178" s="1034">
        <f t="shared" si="90"/>
        <v>8</v>
      </c>
      <c r="C178" s="1034" t="str">
        <f t="shared" si="78"/>
        <v xml:space="preserve">M. Hudaifa Salim </v>
      </c>
      <c r="D178" s="1035" t="str">
        <f t="shared" si="79"/>
        <v>MPI-S2</v>
      </c>
      <c r="E178" s="1036" t="str">
        <f t="shared" si="80"/>
        <v>2013-</v>
      </c>
      <c r="F178" s="1035" t="str">
        <f t="shared" si="81"/>
        <v>LULUS</v>
      </c>
      <c r="G178" s="1036">
        <f t="shared" si="82"/>
        <v>849113057</v>
      </c>
      <c r="H178" s="1038">
        <f t="shared" si="83"/>
        <v>0</v>
      </c>
      <c r="I178" s="1038">
        <f t="shared" si="84"/>
        <v>0</v>
      </c>
      <c r="J178" s="1038">
        <f t="shared" si="85"/>
        <v>0</v>
      </c>
      <c r="L178" s="1060">
        <f t="shared" si="91"/>
        <v>0</v>
      </c>
      <c r="M178" s="1060">
        <f t="shared" si="86"/>
        <v>1</v>
      </c>
      <c r="N178" s="1060">
        <f t="shared" si="87"/>
        <v>0</v>
      </c>
      <c r="O178" s="1060">
        <f t="shared" si="88"/>
        <v>0</v>
      </c>
      <c r="P178" s="1059">
        <f t="shared" si="89"/>
        <v>0</v>
      </c>
    </row>
    <row r="179" spans="1:16" x14ac:dyDescent="0.25">
      <c r="A179" s="1034">
        <v>661</v>
      </c>
      <c r="B179" s="1034">
        <f t="shared" si="90"/>
        <v>9</v>
      </c>
      <c r="C179" s="1034" t="str">
        <f t="shared" si="78"/>
        <v>Luluk Fajriah Izzah Maulidah</v>
      </c>
      <c r="D179" s="1035" t="str">
        <f t="shared" si="79"/>
        <v>MPI-S2</v>
      </c>
      <c r="E179" s="1036" t="str">
        <f t="shared" si="80"/>
        <v>2013-</v>
      </c>
      <c r="F179" s="1035" t="str">
        <f t="shared" si="81"/>
        <v>LULUS</v>
      </c>
      <c r="G179" s="1036">
        <f t="shared" si="82"/>
        <v>849113055</v>
      </c>
      <c r="H179" s="1038">
        <f t="shared" si="83"/>
        <v>0</v>
      </c>
      <c r="I179" s="1038">
        <f t="shared" si="84"/>
        <v>0</v>
      </c>
      <c r="J179" s="1038">
        <f t="shared" si="85"/>
        <v>0</v>
      </c>
      <c r="L179" s="1060">
        <f t="shared" si="91"/>
        <v>0</v>
      </c>
      <c r="M179" s="1060">
        <f t="shared" si="86"/>
        <v>1</v>
      </c>
      <c r="N179" s="1060">
        <f t="shared" si="87"/>
        <v>0</v>
      </c>
      <c r="O179" s="1060">
        <f t="shared" si="88"/>
        <v>0</v>
      </c>
      <c r="P179" s="1059">
        <f t="shared" si="89"/>
        <v>0</v>
      </c>
    </row>
    <row r="180" spans="1:16" x14ac:dyDescent="0.25">
      <c r="A180" s="1034">
        <v>662</v>
      </c>
      <c r="B180" s="1034">
        <f t="shared" si="90"/>
        <v>10</v>
      </c>
      <c r="C180" s="1034" t="str">
        <f t="shared" si="78"/>
        <v xml:space="preserve">Ahmad Fais Ali </v>
      </c>
      <c r="D180" s="1035" t="str">
        <f t="shared" si="79"/>
        <v>MPI-S2</v>
      </c>
      <c r="E180" s="1036" t="str">
        <f t="shared" si="80"/>
        <v>2013-</v>
      </c>
      <c r="F180" s="1035" t="str">
        <f t="shared" si="81"/>
        <v>LULUS</v>
      </c>
      <c r="G180" s="1036">
        <f t="shared" si="82"/>
        <v>849113046</v>
      </c>
      <c r="H180" s="1038">
        <f t="shared" si="83"/>
        <v>0</v>
      </c>
      <c r="I180" s="1038">
        <f t="shared" si="84"/>
        <v>0</v>
      </c>
      <c r="J180" s="1038">
        <f t="shared" si="85"/>
        <v>0</v>
      </c>
      <c r="L180" s="1060">
        <f t="shared" si="91"/>
        <v>0</v>
      </c>
      <c r="M180" s="1060">
        <f t="shared" si="86"/>
        <v>1</v>
      </c>
      <c r="N180" s="1060">
        <f t="shared" si="87"/>
        <v>0</v>
      </c>
      <c r="O180" s="1060">
        <f t="shared" si="88"/>
        <v>0</v>
      </c>
      <c r="P180" s="1059">
        <f t="shared" si="89"/>
        <v>0</v>
      </c>
    </row>
    <row r="181" spans="1:16" x14ac:dyDescent="0.25">
      <c r="A181" s="1034">
        <v>663</v>
      </c>
      <c r="B181" s="1034">
        <f t="shared" si="90"/>
        <v>11</v>
      </c>
      <c r="C181" s="1034" t="str">
        <f t="shared" si="78"/>
        <v xml:space="preserve">Zainuddin </v>
      </c>
      <c r="D181" s="1035" t="str">
        <f t="shared" si="79"/>
        <v>MPI-S2</v>
      </c>
      <c r="E181" s="1036" t="str">
        <f t="shared" si="80"/>
        <v>2013-</v>
      </c>
      <c r="F181" s="1035" t="str">
        <f t="shared" si="81"/>
        <v>LULUS</v>
      </c>
      <c r="G181" s="1036">
        <f t="shared" si="82"/>
        <v>849113086</v>
      </c>
      <c r="H181" s="1038">
        <f t="shared" si="83"/>
        <v>0</v>
      </c>
      <c r="I181" s="1038">
        <f t="shared" si="84"/>
        <v>0</v>
      </c>
      <c r="J181" s="1038">
        <f t="shared" si="85"/>
        <v>0</v>
      </c>
      <c r="L181" s="1060">
        <f t="shared" si="91"/>
        <v>0</v>
      </c>
      <c r="M181" s="1060">
        <f t="shared" si="86"/>
        <v>1</v>
      </c>
      <c r="N181" s="1060">
        <f t="shared" si="87"/>
        <v>0</v>
      </c>
      <c r="O181" s="1060">
        <f t="shared" si="88"/>
        <v>0</v>
      </c>
      <c r="P181" s="1059">
        <f t="shared" si="89"/>
        <v>0</v>
      </c>
    </row>
    <row r="182" spans="1:16" x14ac:dyDescent="0.25">
      <c r="A182" s="1034">
        <v>664</v>
      </c>
      <c r="B182" s="1034">
        <f t="shared" si="90"/>
        <v>12</v>
      </c>
      <c r="C182" s="1034" t="str">
        <f t="shared" si="78"/>
        <v xml:space="preserve">Moh. Sugeng </v>
      </c>
      <c r="D182" s="1035" t="str">
        <f t="shared" si="79"/>
        <v>MPI-S2</v>
      </c>
      <c r="E182" s="1036" t="str">
        <f t="shared" si="80"/>
        <v>2013-</v>
      </c>
      <c r="F182" s="1035" t="str">
        <f t="shared" si="81"/>
        <v>LULUS</v>
      </c>
      <c r="G182" s="1036">
        <f t="shared" si="82"/>
        <v>849113059</v>
      </c>
      <c r="H182" s="1038">
        <f t="shared" si="83"/>
        <v>0</v>
      </c>
      <c r="I182" s="1038">
        <f t="shared" si="84"/>
        <v>0</v>
      </c>
      <c r="J182" s="1038">
        <f t="shared" si="85"/>
        <v>0</v>
      </c>
      <c r="L182" s="1060">
        <f t="shared" si="91"/>
        <v>0</v>
      </c>
      <c r="M182" s="1060">
        <f t="shared" si="86"/>
        <v>1</v>
      </c>
      <c r="N182" s="1060">
        <f t="shared" si="87"/>
        <v>0</v>
      </c>
      <c r="O182" s="1060">
        <f t="shared" si="88"/>
        <v>0</v>
      </c>
      <c r="P182" s="1059">
        <f t="shared" si="89"/>
        <v>0</v>
      </c>
    </row>
    <row r="183" spans="1:16" x14ac:dyDescent="0.25">
      <c r="A183" s="1034">
        <v>665</v>
      </c>
      <c r="B183" s="1034">
        <f t="shared" si="90"/>
        <v>13</v>
      </c>
      <c r="C183" s="1034" t="str">
        <f t="shared" si="78"/>
        <v>Yuli Anista Marwindah</v>
      </c>
      <c r="D183" s="1035" t="str">
        <f t="shared" si="79"/>
        <v>MPI-S2</v>
      </c>
      <c r="E183" s="1036" t="str">
        <f t="shared" si="80"/>
        <v>2013-</v>
      </c>
      <c r="F183" s="1035" t="str">
        <f t="shared" si="81"/>
        <v>LULUS</v>
      </c>
      <c r="G183" s="1036">
        <f t="shared" si="82"/>
        <v>849113085</v>
      </c>
      <c r="H183" s="1038">
        <f t="shared" si="83"/>
        <v>0</v>
      </c>
      <c r="I183" s="1038">
        <f t="shared" si="84"/>
        <v>0</v>
      </c>
      <c r="J183" s="1038">
        <f t="shared" si="85"/>
        <v>0</v>
      </c>
      <c r="L183" s="1060">
        <f t="shared" si="91"/>
        <v>0</v>
      </c>
      <c r="M183" s="1060">
        <f t="shared" si="86"/>
        <v>1</v>
      </c>
      <c r="N183" s="1060">
        <f t="shared" si="87"/>
        <v>0</v>
      </c>
      <c r="O183" s="1060">
        <f t="shared" si="88"/>
        <v>0</v>
      </c>
      <c r="P183" s="1059">
        <f t="shared" si="89"/>
        <v>0</v>
      </c>
    </row>
    <row r="184" spans="1:16" x14ac:dyDescent="0.25">
      <c r="A184" s="1034">
        <v>666</v>
      </c>
      <c r="B184" s="1034">
        <f t="shared" si="90"/>
        <v>14</v>
      </c>
      <c r="C184" s="1034" t="str">
        <f t="shared" si="78"/>
        <v xml:space="preserve">Rohillah Birriyah </v>
      </c>
      <c r="D184" s="1035" t="str">
        <f t="shared" si="79"/>
        <v>MPI-S2</v>
      </c>
      <c r="E184" s="1036" t="str">
        <f t="shared" si="80"/>
        <v>2013-</v>
      </c>
      <c r="F184" s="1035" t="str">
        <f t="shared" si="81"/>
        <v>LULUS</v>
      </c>
      <c r="G184" s="1036">
        <f t="shared" si="82"/>
        <v>849113066</v>
      </c>
      <c r="H184" s="1038">
        <f t="shared" si="83"/>
        <v>0</v>
      </c>
      <c r="I184" s="1038">
        <f t="shared" si="84"/>
        <v>0</v>
      </c>
      <c r="J184" s="1038">
        <f t="shared" si="85"/>
        <v>0</v>
      </c>
      <c r="L184" s="1060">
        <f t="shared" si="91"/>
        <v>0</v>
      </c>
      <c r="M184" s="1060">
        <f t="shared" si="86"/>
        <v>1</v>
      </c>
      <c r="N184" s="1060">
        <f t="shared" si="87"/>
        <v>0</v>
      </c>
      <c r="O184" s="1060">
        <f t="shared" si="88"/>
        <v>0</v>
      </c>
      <c r="P184" s="1059">
        <f t="shared" si="89"/>
        <v>0</v>
      </c>
    </row>
    <row r="185" spans="1:16" x14ac:dyDescent="0.25">
      <c r="A185" s="1034">
        <v>667</v>
      </c>
      <c r="B185" s="1034">
        <f t="shared" si="90"/>
        <v>15</v>
      </c>
      <c r="C185" s="1034" t="str">
        <f t="shared" si="78"/>
        <v>Achmad Rastiadi</v>
      </c>
      <c r="D185" s="1035" t="str">
        <f t="shared" si="79"/>
        <v>MPI-S2</v>
      </c>
      <c r="E185" s="1036" t="str">
        <f t="shared" si="80"/>
        <v>2013-</v>
      </c>
      <c r="F185" s="1035" t="str">
        <f t="shared" si="81"/>
        <v>DROP OUT</v>
      </c>
      <c r="G185" s="1036">
        <f t="shared" si="82"/>
        <v>849113045</v>
      </c>
      <c r="H185" s="1038">
        <f t="shared" si="83"/>
        <v>0</v>
      </c>
      <c r="I185" s="1038">
        <f t="shared" si="84"/>
        <v>0</v>
      </c>
      <c r="J185" s="1038">
        <f t="shared" si="85"/>
        <v>0</v>
      </c>
      <c r="L185" s="1060">
        <f t="shared" si="91"/>
        <v>0</v>
      </c>
      <c r="M185" s="1060">
        <f t="shared" si="86"/>
        <v>0</v>
      </c>
      <c r="N185" s="1060">
        <f t="shared" si="87"/>
        <v>0</v>
      </c>
      <c r="O185" s="1060">
        <f t="shared" si="88"/>
        <v>1</v>
      </c>
      <c r="P185" s="1059">
        <f t="shared" si="89"/>
        <v>0</v>
      </c>
    </row>
    <row r="186" spans="1:16" x14ac:dyDescent="0.25">
      <c r="A186" s="1034">
        <v>668</v>
      </c>
      <c r="B186" s="1034">
        <f t="shared" si="90"/>
        <v>16</v>
      </c>
      <c r="C186" s="1034" t="str">
        <f t="shared" si="78"/>
        <v xml:space="preserve">Anisatur Rahmah </v>
      </c>
      <c r="D186" s="1035" t="str">
        <f t="shared" si="79"/>
        <v>MPI-S2</v>
      </c>
      <c r="E186" s="1036" t="str">
        <f t="shared" si="80"/>
        <v>2013-</v>
      </c>
      <c r="F186" s="1035" t="str">
        <f t="shared" si="81"/>
        <v>LULUS</v>
      </c>
      <c r="G186" s="1036">
        <f t="shared" si="82"/>
        <v>849113047</v>
      </c>
      <c r="H186" s="1038">
        <f t="shared" si="83"/>
        <v>0</v>
      </c>
      <c r="I186" s="1038">
        <f t="shared" si="84"/>
        <v>0</v>
      </c>
      <c r="J186" s="1038">
        <f t="shared" si="85"/>
        <v>0</v>
      </c>
      <c r="L186" s="1060">
        <f t="shared" si="91"/>
        <v>0</v>
      </c>
      <c r="M186" s="1060">
        <f t="shared" si="86"/>
        <v>1</v>
      </c>
      <c r="N186" s="1060">
        <f t="shared" si="87"/>
        <v>0</v>
      </c>
      <c r="O186" s="1060">
        <f t="shared" si="88"/>
        <v>0</v>
      </c>
      <c r="P186" s="1059">
        <f t="shared" si="89"/>
        <v>0</v>
      </c>
    </row>
    <row r="187" spans="1:16" x14ac:dyDescent="0.25">
      <c r="A187" s="1034">
        <v>669</v>
      </c>
      <c r="B187" s="1034">
        <f t="shared" si="90"/>
        <v>17</v>
      </c>
      <c r="C187" s="1034" t="str">
        <f t="shared" si="78"/>
        <v xml:space="preserve">Leny Marinda </v>
      </c>
      <c r="D187" s="1035" t="str">
        <f t="shared" si="79"/>
        <v>MPI-S2</v>
      </c>
      <c r="E187" s="1036" t="str">
        <f t="shared" si="80"/>
        <v>2013-</v>
      </c>
      <c r="F187" s="1035" t="str">
        <f t="shared" si="81"/>
        <v>DROP OUT</v>
      </c>
      <c r="G187" s="1036">
        <f t="shared" si="82"/>
        <v>849113054</v>
      </c>
      <c r="H187" s="1038">
        <f t="shared" si="83"/>
        <v>0</v>
      </c>
      <c r="I187" s="1038">
        <f t="shared" si="84"/>
        <v>0</v>
      </c>
      <c r="J187" s="1038">
        <f t="shared" si="85"/>
        <v>0</v>
      </c>
      <c r="L187" s="1060">
        <f t="shared" si="91"/>
        <v>0</v>
      </c>
      <c r="M187" s="1060">
        <f t="shared" si="86"/>
        <v>0</v>
      </c>
      <c r="N187" s="1060">
        <f t="shared" si="87"/>
        <v>0</v>
      </c>
      <c r="O187" s="1060">
        <f t="shared" si="88"/>
        <v>1</v>
      </c>
      <c r="P187" s="1059">
        <f t="shared" si="89"/>
        <v>0</v>
      </c>
    </row>
    <row r="188" spans="1:16" x14ac:dyDescent="0.25">
      <c r="A188" s="1034">
        <v>670</v>
      </c>
      <c r="B188" s="1034">
        <f t="shared" si="90"/>
        <v>18</v>
      </c>
      <c r="C188" s="1034" t="str">
        <f t="shared" si="78"/>
        <v xml:space="preserve">Syamsul Arifin </v>
      </c>
      <c r="D188" s="1035" t="str">
        <f t="shared" si="79"/>
        <v>MPI-S2</v>
      </c>
      <c r="E188" s="1036" t="str">
        <f t="shared" si="80"/>
        <v>2013-</v>
      </c>
      <c r="F188" s="1035" t="str">
        <f t="shared" si="81"/>
        <v>DROP OUT</v>
      </c>
      <c r="G188" s="1036">
        <f t="shared" si="82"/>
        <v>849113084</v>
      </c>
      <c r="H188" s="1038">
        <f t="shared" si="83"/>
        <v>0</v>
      </c>
      <c r="I188" s="1038">
        <f t="shared" si="84"/>
        <v>0</v>
      </c>
      <c r="J188" s="1038">
        <f t="shared" si="85"/>
        <v>0</v>
      </c>
      <c r="L188" s="1060">
        <f t="shared" si="91"/>
        <v>0</v>
      </c>
      <c r="M188" s="1060">
        <f t="shared" si="86"/>
        <v>0</v>
      </c>
      <c r="N188" s="1060">
        <f t="shared" si="87"/>
        <v>0</v>
      </c>
      <c r="O188" s="1060">
        <f t="shared" si="88"/>
        <v>1</v>
      </c>
      <c r="P188" s="1059">
        <f t="shared" si="89"/>
        <v>0</v>
      </c>
    </row>
    <row r="189" spans="1:16" x14ac:dyDescent="0.25">
      <c r="A189" s="1034">
        <v>671</v>
      </c>
      <c r="B189" s="1034">
        <f t="shared" si="90"/>
        <v>19</v>
      </c>
      <c r="C189" s="1034" t="str">
        <f t="shared" si="78"/>
        <v>Didit Ghozali</v>
      </c>
      <c r="D189" s="1035" t="str">
        <f t="shared" si="79"/>
        <v>MPI-S2</v>
      </c>
      <c r="E189" s="1036" t="str">
        <f t="shared" si="80"/>
        <v>2013-</v>
      </c>
      <c r="F189" s="1035" t="str">
        <f t="shared" si="81"/>
        <v>DROP OUT</v>
      </c>
      <c r="G189" s="1036">
        <f t="shared" si="82"/>
        <v>849113049</v>
      </c>
      <c r="H189" s="1038">
        <f t="shared" si="83"/>
        <v>0</v>
      </c>
      <c r="I189" s="1038">
        <f t="shared" si="84"/>
        <v>0</v>
      </c>
      <c r="J189" s="1038">
        <f t="shared" si="85"/>
        <v>0</v>
      </c>
      <c r="L189" s="1060">
        <f t="shared" si="91"/>
        <v>0</v>
      </c>
      <c r="M189" s="1060">
        <f t="shared" si="86"/>
        <v>0</v>
      </c>
      <c r="N189" s="1060">
        <f t="shared" si="87"/>
        <v>0</v>
      </c>
      <c r="O189" s="1060">
        <f t="shared" si="88"/>
        <v>1</v>
      </c>
      <c r="P189" s="1059">
        <f t="shared" si="89"/>
        <v>0</v>
      </c>
    </row>
    <row r="190" spans="1:16" x14ac:dyDescent="0.25">
      <c r="A190" s="1034">
        <v>672</v>
      </c>
      <c r="B190" s="1034">
        <f t="shared" si="90"/>
        <v>20</v>
      </c>
      <c r="C190" s="1034" t="str">
        <f t="shared" si="78"/>
        <v>Nur Alifah Yudianingsih</v>
      </c>
      <c r="D190" s="1035" t="str">
        <f t="shared" si="79"/>
        <v>MPI-S2</v>
      </c>
      <c r="E190" s="1036" t="str">
        <f t="shared" si="80"/>
        <v>2013-</v>
      </c>
      <c r="F190" s="1035" t="str">
        <f t="shared" si="81"/>
        <v>DROP OUT</v>
      </c>
      <c r="G190" s="1036">
        <f t="shared" si="82"/>
        <v>849113065</v>
      </c>
      <c r="H190" s="1038">
        <f t="shared" si="83"/>
        <v>0</v>
      </c>
      <c r="I190" s="1038">
        <f t="shared" si="84"/>
        <v>0</v>
      </c>
      <c r="J190" s="1038">
        <f t="shared" si="85"/>
        <v>0</v>
      </c>
      <c r="L190" s="1060">
        <f t="shared" si="91"/>
        <v>0</v>
      </c>
      <c r="M190" s="1060">
        <f t="shared" si="86"/>
        <v>0</v>
      </c>
      <c r="N190" s="1060">
        <f t="shared" si="87"/>
        <v>0</v>
      </c>
      <c r="O190" s="1060">
        <f t="shared" si="88"/>
        <v>1</v>
      </c>
      <c r="P190" s="1059">
        <f t="shared" si="89"/>
        <v>0</v>
      </c>
    </row>
    <row r="191" spans="1:16" x14ac:dyDescent="0.25">
      <c r="A191" s="1034">
        <v>673</v>
      </c>
      <c r="B191" s="1034">
        <f t="shared" si="90"/>
        <v>21</v>
      </c>
      <c r="C191" s="1034" t="str">
        <f t="shared" si="78"/>
        <v xml:space="preserve">Muthiah </v>
      </c>
      <c r="D191" s="1035" t="str">
        <f t="shared" si="79"/>
        <v>MPI-S2</v>
      </c>
      <c r="E191" s="1036" t="str">
        <f t="shared" si="80"/>
        <v>2013-</v>
      </c>
      <c r="F191" s="1035" t="str">
        <f t="shared" si="81"/>
        <v>DROP OUT</v>
      </c>
      <c r="G191" s="1036">
        <f t="shared" si="82"/>
        <v>849113063</v>
      </c>
      <c r="H191" s="1038">
        <f t="shared" si="83"/>
        <v>0</v>
      </c>
      <c r="I191" s="1038">
        <f t="shared" si="84"/>
        <v>0</v>
      </c>
      <c r="J191" s="1038">
        <f t="shared" si="85"/>
        <v>0</v>
      </c>
      <c r="L191" s="1060">
        <f t="shared" si="91"/>
        <v>0</v>
      </c>
      <c r="M191" s="1060">
        <f t="shared" si="86"/>
        <v>0</v>
      </c>
      <c r="N191" s="1060">
        <f t="shared" si="87"/>
        <v>0</v>
      </c>
      <c r="O191" s="1060">
        <f t="shared" si="88"/>
        <v>1</v>
      </c>
      <c r="P191" s="1059">
        <f t="shared" si="89"/>
        <v>0</v>
      </c>
    </row>
    <row r="192" spans="1:16" x14ac:dyDescent="0.25">
      <c r="A192" s="1034">
        <v>674</v>
      </c>
      <c r="B192" s="1034">
        <f t="shared" si="90"/>
        <v>22</v>
      </c>
      <c r="C192" s="1034" t="str">
        <f t="shared" si="78"/>
        <v>Muflikhah</v>
      </c>
      <c r="D192" s="1035" t="str">
        <f t="shared" si="79"/>
        <v>MPI-S2</v>
      </c>
      <c r="E192" s="1036" t="str">
        <f t="shared" si="80"/>
        <v>2013-</v>
      </c>
      <c r="F192" s="1035" t="str">
        <f t="shared" si="81"/>
        <v>LULUS</v>
      </c>
      <c r="G192" s="1036">
        <f t="shared" si="82"/>
        <v>849113061</v>
      </c>
      <c r="H192" s="1038">
        <f t="shared" si="83"/>
        <v>0</v>
      </c>
      <c r="I192" s="1038">
        <f t="shared" si="84"/>
        <v>0</v>
      </c>
      <c r="J192" s="1038">
        <f t="shared" si="85"/>
        <v>0</v>
      </c>
      <c r="L192" s="1060">
        <f t="shared" si="91"/>
        <v>0</v>
      </c>
      <c r="M192" s="1060">
        <f t="shared" si="86"/>
        <v>1</v>
      </c>
      <c r="N192" s="1060">
        <f t="shared" si="87"/>
        <v>0</v>
      </c>
      <c r="O192" s="1060">
        <f t="shared" si="88"/>
        <v>0</v>
      </c>
      <c r="P192" s="1059">
        <f t="shared" si="89"/>
        <v>0</v>
      </c>
    </row>
    <row r="193" spans="1:16" x14ac:dyDescent="0.25">
      <c r="A193" s="1034">
        <v>675</v>
      </c>
      <c r="B193" s="1034">
        <f t="shared" si="90"/>
        <v>23</v>
      </c>
      <c r="C193" s="1034" t="str">
        <f t="shared" si="78"/>
        <v>Siti Wahyuni</v>
      </c>
      <c r="D193" s="1035" t="str">
        <f t="shared" si="79"/>
        <v>MPI-S2</v>
      </c>
      <c r="E193" s="1036" t="str">
        <f t="shared" si="80"/>
        <v>2013-</v>
      </c>
      <c r="F193" s="1035" t="str">
        <f t="shared" si="81"/>
        <v>LULUS</v>
      </c>
      <c r="G193" s="1036">
        <f t="shared" si="82"/>
        <v>849113067</v>
      </c>
      <c r="H193" s="1038">
        <f t="shared" si="83"/>
        <v>0</v>
      </c>
      <c r="I193" s="1038">
        <f t="shared" si="84"/>
        <v>0</v>
      </c>
      <c r="J193" s="1038">
        <f t="shared" si="85"/>
        <v>0</v>
      </c>
      <c r="L193" s="1060">
        <f t="shared" si="91"/>
        <v>0</v>
      </c>
      <c r="M193" s="1060">
        <f t="shared" si="86"/>
        <v>1</v>
      </c>
      <c r="N193" s="1060">
        <f t="shared" si="87"/>
        <v>0</v>
      </c>
      <c r="O193" s="1060">
        <f t="shared" si="88"/>
        <v>0</v>
      </c>
      <c r="P193" s="1059">
        <f t="shared" si="89"/>
        <v>0</v>
      </c>
    </row>
    <row r="194" spans="1:16" x14ac:dyDescent="0.25">
      <c r="A194" s="1034">
        <v>676</v>
      </c>
      <c r="B194" s="1034">
        <f t="shared" si="90"/>
        <v>24</v>
      </c>
      <c r="C194" s="1034" t="str">
        <f t="shared" si="78"/>
        <v xml:space="preserve">Nito Subroto </v>
      </c>
      <c r="D194" s="1035" t="str">
        <f t="shared" si="79"/>
        <v>MPI-S2</v>
      </c>
      <c r="E194" s="1036" t="str">
        <f t="shared" si="80"/>
        <v>2013-</v>
      </c>
      <c r="F194" s="1035" t="str">
        <f t="shared" si="81"/>
        <v>DROP OUT</v>
      </c>
      <c r="G194" s="1036">
        <f t="shared" si="82"/>
        <v>849113064</v>
      </c>
      <c r="H194" s="1038">
        <f t="shared" si="83"/>
        <v>0</v>
      </c>
      <c r="I194" s="1038">
        <f t="shared" si="84"/>
        <v>0</v>
      </c>
      <c r="J194" s="1038">
        <f t="shared" si="85"/>
        <v>0</v>
      </c>
      <c r="L194" s="1060">
        <f t="shared" si="91"/>
        <v>0</v>
      </c>
      <c r="M194" s="1060">
        <f t="shared" si="86"/>
        <v>0</v>
      </c>
      <c r="N194" s="1060">
        <f t="shared" si="87"/>
        <v>0</v>
      </c>
      <c r="O194" s="1060">
        <f t="shared" si="88"/>
        <v>1</v>
      </c>
      <c r="P194" s="1059">
        <f t="shared" si="89"/>
        <v>0</v>
      </c>
    </row>
    <row r="195" spans="1:16" x14ac:dyDescent="0.25">
      <c r="A195" s="1034">
        <v>677</v>
      </c>
      <c r="B195" s="1034">
        <f t="shared" si="90"/>
        <v>25</v>
      </c>
      <c r="C195" s="1034" t="str">
        <f t="shared" si="78"/>
        <v>Ardiyan Firdausiyah</v>
      </c>
      <c r="D195" s="1035" t="str">
        <f t="shared" si="79"/>
        <v>MPI-S2</v>
      </c>
      <c r="E195" s="1036" t="str">
        <f t="shared" si="80"/>
        <v>2013-</v>
      </c>
      <c r="F195" s="1035" t="str">
        <f t="shared" si="81"/>
        <v>LULUS</v>
      </c>
      <c r="G195" s="1036">
        <f t="shared" si="82"/>
        <v>849113092</v>
      </c>
      <c r="H195" s="1038">
        <f t="shared" si="83"/>
        <v>0</v>
      </c>
      <c r="I195" s="1038">
        <f t="shared" si="84"/>
        <v>0</v>
      </c>
      <c r="J195" s="1038">
        <f t="shared" si="85"/>
        <v>0</v>
      </c>
      <c r="L195" s="1060">
        <f t="shared" si="91"/>
        <v>0</v>
      </c>
      <c r="M195" s="1060">
        <f t="shared" si="86"/>
        <v>1</v>
      </c>
      <c r="N195" s="1060">
        <f t="shared" si="87"/>
        <v>0</v>
      </c>
      <c r="O195" s="1060">
        <f t="shared" si="88"/>
        <v>0</v>
      </c>
      <c r="P195" s="1059">
        <f t="shared" si="89"/>
        <v>0</v>
      </c>
    </row>
    <row r="196" spans="1:16" x14ac:dyDescent="0.25">
      <c r="A196" s="1039"/>
      <c r="B196" s="1039"/>
      <c r="C196" s="1039"/>
      <c r="D196" s="1040"/>
      <c r="E196" s="1041"/>
      <c r="F196" s="1040"/>
      <c r="G196" s="1041"/>
      <c r="H196" s="1042"/>
      <c r="I196" s="1042"/>
      <c r="J196" s="1042"/>
      <c r="L196" s="1042"/>
      <c r="M196" s="1042"/>
      <c r="N196" s="1042"/>
      <c r="O196" s="1042"/>
      <c r="P196" s="1042"/>
    </row>
    <row r="197" spans="1:16" x14ac:dyDescent="0.25">
      <c r="A197" s="1043" t="str">
        <f>'Rekap SPP'!A718</f>
        <v>S2-PI 2013/2014 (GEL II)</v>
      </c>
      <c r="B197" s="1043"/>
      <c r="C197" s="1043"/>
      <c r="D197" s="1033" t="s">
        <v>3</v>
      </c>
      <c r="E197" s="1032" t="s">
        <v>4</v>
      </c>
      <c r="F197" s="1033" t="s">
        <v>3195</v>
      </c>
      <c r="G197" s="1032" t="s">
        <v>1</v>
      </c>
      <c r="H197" s="1033" t="s">
        <v>3341</v>
      </c>
      <c r="I197" s="1033" t="s">
        <v>3342</v>
      </c>
      <c r="J197" s="1062">
        <f>SUM(J198:J215)</f>
        <v>0</v>
      </c>
      <c r="L197" s="1063">
        <f>SUM(L198:L215)</f>
        <v>0</v>
      </c>
      <c r="M197" s="1063">
        <f>SUM(M198:M215)</f>
        <v>12</v>
      </c>
      <c r="N197" s="1063">
        <f>SUM(N198:N215)</f>
        <v>0</v>
      </c>
      <c r="O197" s="1063">
        <f>SUM(O198:O215)</f>
        <v>6</v>
      </c>
      <c r="P197" s="1063">
        <f>SUM(P198:P215)</f>
        <v>0</v>
      </c>
    </row>
    <row r="198" spans="1:16" x14ac:dyDescent="0.25">
      <c r="A198" s="1034">
        <v>678</v>
      </c>
      <c r="B198" s="1034">
        <f t="shared" ref="B198:B321" si="92">IFERROR(VLOOKUP(A198,DB,2,FALSE),"")</f>
        <v>1</v>
      </c>
      <c r="C198" s="1034" t="str">
        <f t="shared" ref="C198:C215" si="93">IFERROR(VLOOKUP(A198,DB,4,FALSE),"")</f>
        <v xml:space="preserve">Nurhidayati </v>
      </c>
      <c r="D198" s="1035" t="str">
        <f t="shared" ref="D198:D215" si="94">IFERROR(VLOOKUP(A198,DB,5,FALSE),"")</f>
        <v>MPI-S2</v>
      </c>
      <c r="E198" s="1036">
        <f t="shared" ref="E198:E215" si="95">IFERROR(VLOOKUP(A198,DB,6,FALSE),"")</f>
        <v>2013</v>
      </c>
      <c r="F198" s="1035" t="str">
        <f t="shared" ref="F198:F215" si="96">IFERROR(VLOOKUP(A198,DB,7,FALSE),"")</f>
        <v>LULUS</v>
      </c>
      <c r="G198" s="1036">
        <f t="shared" ref="G198:G215" si="97">IFERROR(VLOOKUP(A198,DB,3,FALSE),"")</f>
        <v>849113080</v>
      </c>
      <c r="H198" s="1038">
        <f t="shared" ref="H198:H215" si="98">IF(F198="AKTIF",3000000,IF(F198="CUTI",3000000,0))</f>
        <v>0</v>
      </c>
      <c r="I198" s="1038">
        <f t="shared" ref="I198:I215" si="99">IFERROR(VLOOKUP(A198,DB,37,FALSE),"")-H198</f>
        <v>0</v>
      </c>
      <c r="J198" s="1038">
        <f t="shared" ref="J198:J215" si="100">I198+H198</f>
        <v>0</v>
      </c>
      <c r="L198" s="1060">
        <f t="shared" ref="L198:L260" si="101">IF(F198="AKTIF",1,0)</f>
        <v>0</v>
      </c>
      <c r="M198" s="1060">
        <f t="shared" ref="M198:M215" si="102">IF(F198="LULUS",1,0)</f>
        <v>1</v>
      </c>
      <c r="N198" s="1060">
        <f t="shared" ref="N198:N215" si="103">IF(F198="CUTI",1,0)</f>
        <v>0</v>
      </c>
      <c r="O198" s="1060">
        <f t="shared" ref="O198:O215" si="104">IF(F198="DROP OUT",1,0)</f>
        <v>0</v>
      </c>
      <c r="P198" s="1059">
        <f t="shared" ref="P198:P215" si="105">IF(F198="PASIF",1,0)</f>
        <v>0</v>
      </c>
    </row>
    <row r="199" spans="1:16" x14ac:dyDescent="0.25">
      <c r="A199" s="1034">
        <v>679</v>
      </c>
      <c r="B199" s="1034">
        <f t="shared" si="92"/>
        <v>2</v>
      </c>
      <c r="C199" s="1034" t="str">
        <f t="shared" si="93"/>
        <v>Tolib Bur Rozak</v>
      </c>
      <c r="D199" s="1035" t="str">
        <f t="shared" si="94"/>
        <v>MPI-S2</v>
      </c>
      <c r="E199" s="1036">
        <f t="shared" si="95"/>
        <v>2013</v>
      </c>
      <c r="F199" s="1035" t="str">
        <f t="shared" si="96"/>
        <v>LULUS</v>
      </c>
      <c r="G199" s="1036">
        <f t="shared" si="97"/>
        <v>849113082</v>
      </c>
      <c r="H199" s="1038">
        <f t="shared" si="98"/>
        <v>0</v>
      </c>
      <c r="I199" s="1038">
        <f t="shared" si="99"/>
        <v>0</v>
      </c>
      <c r="J199" s="1038">
        <f t="shared" si="100"/>
        <v>0</v>
      </c>
      <c r="L199" s="1060">
        <f t="shared" si="101"/>
        <v>0</v>
      </c>
      <c r="M199" s="1060">
        <f t="shared" si="102"/>
        <v>1</v>
      </c>
      <c r="N199" s="1060">
        <f t="shared" si="103"/>
        <v>0</v>
      </c>
      <c r="O199" s="1060">
        <f t="shared" si="104"/>
        <v>0</v>
      </c>
      <c r="P199" s="1059">
        <f t="shared" si="105"/>
        <v>0</v>
      </c>
    </row>
    <row r="200" spans="1:16" x14ac:dyDescent="0.25">
      <c r="A200" s="1034">
        <v>680</v>
      </c>
      <c r="B200" s="1034">
        <f t="shared" si="92"/>
        <v>3</v>
      </c>
      <c r="C200" s="1034" t="str">
        <f t="shared" si="93"/>
        <v>Siti mawadah AR</v>
      </c>
      <c r="D200" s="1035" t="str">
        <f t="shared" si="94"/>
        <v>MPI-S2</v>
      </c>
      <c r="E200" s="1036">
        <f t="shared" si="95"/>
        <v>2013</v>
      </c>
      <c r="F200" s="1035" t="str">
        <f t="shared" si="96"/>
        <v>LULUS</v>
      </c>
      <c r="G200" s="1036">
        <f t="shared" si="97"/>
        <v>849113081</v>
      </c>
      <c r="H200" s="1038">
        <f t="shared" si="98"/>
        <v>0</v>
      </c>
      <c r="I200" s="1038">
        <f t="shared" si="99"/>
        <v>0</v>
      </c>
      <c r="J200" s="1038">
        <f t="shared" si="100"/>
        <v>0</v>
      </c>
      <c r="L200" s="1060">
        <f t="shared" si="101"/>
        <v>0</v>
      </c>
      <c r="M200" s="1060">
        <f t="shared" si="102"/>
        <v>1</v>
      </c>
      <c r="N200" s="1060">
        <f t="shared" si="103"/>
        <v>0</v>
      </c>
      <c r="O200" s="1060">
        <f t="shared" si="104"/>
        <v>0</v>
      </c>
      <c r="P200" s="1059">
        <f t="shared" si="105"/>
        <v>0</v>
      </c>
    </row>
    <row r="201" spans="1:16" x14ac:dyDescent="0.25">
      <c r="A201" s="1034">
        <v>681</v>
      </c>
      <c r="B201" s="1034">
        <f t="shared" si="92"/>
        <v>4</v>
      </c>
      <c r="C201" s="1034" t="str">
        <f t="shared" si="93"/>
        <v xml:space="preserve">Fina Alvi Farihah </v>
      </c>
      <c r="D201" s="1035" t="str">
        <f t="shared" si="94"/>
        <v>MPI-S2</v>
      </c>
      <c r="E201" s="1036">
        <f t="shared" si="95"/>
        <v>2013</v>
      </c>
      <c r="F201" s="1035" t="str">
        <f t="shared" si="96"/>
        <v>DROP OUT</v>
      </c>
      <c r="G201" s="1036">
        <f t="shared" si="97"/>
        <v>849113072</v>
      </c>
      <c r="H201" s="1038">
        <f t="shared" si="98"/>
        <v>0</v>
      </c>
      <c r="I201" s="1038">
        <f t="shared" si="99"/>
        <v>0</v>
      </c>
      <c r="J201" s="1038">
        <f t="shared" si="100"/>
        <v>0</v>
      </c>
      <c r="L201" s="1060">
        <f t="shared" si="101"/>
        <v>0</v>
      </c>
      <c r="M201" s="1060">
        <f t="shared" si="102"/>
        <v>0</v>
      </c>
      <c r="N201" s="1060">
        <f t="shared" si="103"/>
        <v>0</v>
      </c>
      <c r="O201" s="1060">
        <f t="shared" si="104"/>
        <v>1</v>
      </c>
      <c r="P201" s="1059">
        <f t="shared" si="105"/>
        <v>0</v>
      </c>
    </row>
    <row r="202" spans="1:16" x14ac:dyDescent="0.25">
      <c r="A202" s="1034">
        <v>682</v>
      </c>
      <c r="B202" s="1034">
        <f t="shared" si="92"/>
        <v>5</v>
      </c>
      <c r="C202" s="1034" t="str">
        <f t="shared" si="93"/>
        <v xml:space="preserve">Husni Mubarok </v>
      </c>
      <c r="D202" s="1035" t="str">
        <f t="shared" si="94"/>
        <v>MPI-S2</v>
      </c>
      <c r="E202" s="1036">
        <f t="shared" si="95"/>
        <v>2013</v>
      </c>
      <c r="F202" s="1035" t="str">
        <f t="shared" si="96"/>
        <v>DROP OUT</v>
      </c>
      <c r="G202" s="1036">
        <f t="shared" si="97"/>
        <v>849113075</v>
      </c>
      <c r="H202" s="1038">
        <f t="shared" si="98"/>
        <v>0</v>
      </c>
      <c r="I202" s="1038">
        <f t="shared" si="99"/>
        <v>0</v>
      </c>
      <c r="J202" s="1038">
        <f t="shared" si="100"/>
        <v>0</v>
      </c>
      <c r="L202" s="1060">
        <f t="shared" si="101"/>
        <v>0</v>
      </c>
      <c r="M202" s="1060">
        <f t="shared" si="102"/>
        <v>0</v>
      </c>
      <c r="N202" s="1060">
        <f t="shared" si="103"/>
        <v>0</v>
      </c>
      <c r="O202" s="1060">
        <f t="shared" si="104"/>
        <v>1</v>
      </c>
      <c r="P202" s="1059">
        <f t="shared" si="105"/>
        <v>0</v>
      </c>
    </row>
    <row r="203" spans="1:16" x14ac:dyDescent="0.25">
      <c r="A203" s="1034">
        <v>683</v>
      </c>
      <c r="B203" s="1034">
        <f t="shared" si="92"/>
        <v>6</v>
      </c>
      <c r="C203" s="1034" t="str">
        <f t="shared" si="93"/>
        <v xml:space="preserve">Mokhamad Farid </v>
      </c>
      <c r="D203" s="1035" t="str">
        <f t="shared" si="94"/>
        <v>MPI-S2</v>
      </c>
      <c r="E203" s="1036">
        <f t="shared" si="95"/>
        <v>2013</v>
      </c>
      <c r="F203" s="1035" t="str">
        <f t="shared" si="96"/>
        <v>LULUS</v>
      </c>
      <c r="G203" s="1036">
        <f t="shared" si="97"/>
        <v>849113078</v>
      </c>
      <c r="H203" s="1038">
        <f t="shared" si="98"/>
        <v>0</v>
      </c>
      <c r="I203" s="1038">
        <f t="shared" si="99"/>
        <v>0</v>
      </c>
      <c r="J203" s="1038">
        <f t="shared" si="100"/>
        <v>0</v>
      </c>
      <c r="L203" s="1060">
        <f t="shared" si="101"/>
        <v>0</v>
      </c>
      <c r="M203" s="1060">
        <f t="shared" si="102"/>
        <v>1</v>
      </c>
      <c r="N203" s="1060">
        <f t="shared" si="103"/>
        <v>0</v>
      </c>
      <c r="O203" s="1060">
        <f t="shared" si="104"/>
        <v>0</v>
      </c>
      <c r="P203" s="1059">
        <f t="shared" si="105"/>
        <v>0</v>
      </c>
    </row>
    <row r="204" spans="1:16" x14ac:dyDescent="0.25">
      <c r="A204" s="1034">
        <v>684</v>
      </c>
      <c r="B204" s="1034">
        <f t="shared" si="92"/>
        <v>7</v>
      </c>
      <c r="C204" s="1034" t="str">
        <f t="shared" si="93"/>
        <v>Hatman Hadib</v>
      </c>
      <c r="D204" s="1035" t="str">
        <f t="shared" si="94"/>
        <v>MPI-S2</v>
      </c>
      <c r="E204" s="1036">
        <f t="shared" si="95"/>
        <v>2013</v>
      </c>
      <c r="F204" s="1035" t="str">
        <f t="shared" si="96"/>
        <v>DROP OUT</v>
      </c>
      <c r="G204" s="1036">
        <f t="shared" si="97"/>
        <v>849113073</v>
      </c>
      <c r="H204" s="1038">
        <f t="shared" si="98"/>
        <v>0</v>
      </c>
      <c r="I204" s="1038">
        <f t="shared" si="99"/>
        <v>0</v>
      </c>
      <c r="J204" s="1038">
        <f t="shared" si="100"/>
        <v>0</v>
      </c>
      <c r="L204" s="1060">
        <f t="shared" si="101"/>
        <v>0</v>
      </c>
      <c r="M204" s="1060">
        <f t="shared" si="102"/>
        <v>0</v>
      </c>
      <c r="N204" s="1060">
        <f t="shared" si="103"/>
        <v>0</v>
      </c>
      <c r="O204" s="1060">
        <f t="shared" si="104"/>
        <v>1</v>
      </c>
      <c r="P204" s="1059">
        <f t="shared" si="105"/>
        <v>0</v>
      </c>
    </row>
    <row r="205" spans="1:16" x14ac:dyDescent="0.25">
      <c r="A205" s="1034">
        <v>685</v>
      </c>
      <c r="B205" s="1034">
        <f t="shared" si="92"/>
        <v>8</v>
      </c>
      <c r="C205" s="1034" t="str">
        <f t="shared" si="93"/>
        <v>Ahmat Safiudin</v>
      </c>
      <c r="D205" s="1035" t="str">
        <f t="shared" si="94"/>
        <v>MPI-S2</v>
      </c>
      <c r="E205" s="1036">
        <f t="shared" si="95"/>
        <v>2013</v>
      </c>
      <c r="F205" s="1035" t="str">
        <f t="shared" si="96"/>
        <v>LULUS</v>
      </c>
      <c r="G205" s="1036">
        <f t="shared" si="97"/>
        <v>849113069</v>
      </c>
      <c r="H205" s="1038">
        <f t="shared" si="98"/>
        <v>0</v>
      </c>
      <c r="I205" s="1038">
        <f t="shared" si="99"/>
        <v>0</v>
      </c>
      <c r="J205" s="1038">
        <f t="shared" si="100"/>
        <v>0</v>
      </c>
      <c r="L205" s="1060">
        <f t="shared" si="101"/>
        <v>0</v>
      </c>
      <c r="M205" s="1060">
        <f t="shared" si="102"/>
        <v>1</v>
      </c>
      <c r="N205" s="1060">
        <f t="shared" si="103"/>
        <v>0</v>
      </c>
      <c r="O205" s="1060">
        <f t="shared" si="104"/>
        <v>0</v>
      </c>
      <c r="P205" s="1059">
        <f t="shared" si="105"/>
        <v>0</v>
      </c>
    </row>
    <row r="206" spans="1:16" x14ac:dyDescent="0.25">
      <c r="A206" s="1034">
        <v>686</v>
      </c>
      <c r="B206" s="1034">
        <f t="shared" si="92"/>
        <v>9</v>
      </c>
      <c r="C206" s="1034" t="str">
        <f t="shared" si="93"/>
        <v xml:space="preserve">Eko Mulyadi </v>
      </c>
      <c r="D206" s="1035" t="str">
        <f t="shared" si="94"/>
        <v>MPI-S2</v>
      </c>
      <c r="E206" s="1036">
        <f t="shared" si="95"/>
        <v>2013</v>
      </c>
      <c r="F206" s="1035" t="str">
        <f t="shared" si="96"/>
        <v>LULUS</v>
      </c>
      <c r="G206" s="1036">
        <f t="shared" si="97"/>
        <v>849113071</v>
      </c>
      <c r="H206" s="1038">
        <f t="shared" si="98"/>
        <v>0</v>
      </c>
      <c r="I206" s="1038">
        <f t="shared" si="99"/>
        <v>0</v>
      </c>
      <c r="J206" s="1038">
        <f t="shared" si="100"/>
        <v>0</v>
      </c>
      <c r="L206" s="1060">
        <f t="shared" si="101"/>
        <v>0</v>
      </c>
      <c r="M206" s="1060">
        <f t="shared" si="102"/>
        <v>1</v>
      </c>
      <c r="N206" s="1060">
        <f t="shared" si="103"/>
        <v>0</v>
      </c>
      <c r="O206" s="1060">
        <f t="shared" si="104"/>
        <v>0</v>
      </c>
      <c r="P206" s="1059">
        <f t="shared" si="105"/>
        <v>0</v>
      </c>
    </row>
    <row r="207" spans="1:16" x14ac:dyDescent="0.25">
      <c r="A207" s="1034">
        <v>687</v>
      </c>
      <c r="B207" s="1034">
        <f t="shared" si="92"/>
        <v>10</v>
      </c>
      <c r="C207" s="1034" t="str">
        <f t="shared" si="93"/>
        <v xml:space="preserve">Muhammad Hasim </v>
      </c>
      <c r="D207" s="1035" t="str">
        <f t="shared" si="94"/>
        <v>MPI-S2</v>
      </c>
      <c r="E207" s="1036">
        <f t="shared" si="95"/>
        <v>2013</v>
      </c>
      <c r="F207" s="1035" t="str">
        <f t="shared" si="96"/>
        <v>DROP OUT</v>
      </c>
      <c r="G207" s="1036">
        <f t="shared" si="97"/>
        <v>849113079</v>
      </c>
      <c r="H207" s="1038">
        <f t="shared" si="98"/>
        <v>0</v>
      </c>
      <c r="I207" s="1038">
        <f t="shared" si="99"/>
        <v>0</v>
      </c>
      <c r="J207" s="1038">
        <f t="shared" si="100"/>
        <v>0</v>
      </c>
      <c r="L207" s="1060">
        <f t="shared" si="101"/>
        <v>0</v>
      </c>
      <c r="M207" s="1060">
        <f t="shared" si="102"/>
        <v>0</v>
      </c>
      <c r="N207" s="1060">
        <f t="shared" si="103"/>
        <v>0</v>
      </c>
      <c r="O207" s="1060">
        <f t="shared" si="104"/>
        <v>1</v>
      </c>
      <c r="P207" s="1059">
        <f t="shared" si="105"/>
        <v>0</v>
      </c>
    </row>
    <row r="208" spans="1:16" x14ac:dyDescent="0.25">
      <c r="A208" s="1034">
        <v>688</v>
      </c>
      <c r="B208" s="1034">
        <f t="shared" si="92"/>
        <v>11</v>
      </c>
      <c r="C208" s="1034" t="str">
        <f t="shared" si="93"/>
        <v>Hodriansah</v>
      </c>
      <c r="D208" s="1035" t="str">
        <f t="shared" si="94"/>
        <v>MPI-S2</v>
      </c>
      <c r="E208" s="1036">
        <f t="shared" si="95"/>
        <v>2013</v>
      </c>
      <c r="F208" s="1035" t="str">
        <f t="shared" si="96"/>
        <v>LULUS</v>
      </c>
      <c r="G208" s="1036">
        <f t="shared" si="97"/>
        <v>849113074</v>
      </c>
      <c r="H208" s="1038">
        <f t="shared" si="98"/>
        <v>0</v>
      </c>
      <c r="I208" s="1038">
        <f t="shared" si="99"/>
        <v>0</v>
      </c>
      <c r="J208" s="1038">
        <f t="shared" si="100"/>
        <v>0</v>
      </c>
      <c r="L208" s="1060">
        <f t="shared" si="101"/>
        <v>0</v>
      </c>
      <c r="M208" s="1060">
        <f t="shared" si="102"/>
        <v>1</v>
      </c>
      <c r="N208" s="1060">
        <f t="shared" si="103"/>
        <v>0</v>
      </c>
      <c r="O208" s="1060">
        <f t="shared" si="104"/>
        <v>0</v>
      </c>
      <c r="P208" s="1059">
        <f t="shared" si="105"/>
        <v>0</v>
      </c>
    </row>
    <row r="209" spans="1:18" x14ac:dyDescent="0.25">
      <c r="A209" s="1034">
        <v>689</v>
      </c>
      <c r="B209" s="1034">
        <f t="shared" si="92"/>
        <v>12</v>
      </c>
      <c r="C209" s="1034" t="str">
        <f t="shared" si="93"/>
        <v xml:space="preserve">Misbahul Munir </v>
      </c>
      <c r="D209" s="1035" t="str">
        <f t="shared" si="94"/>
        <v>MPI-S2</v>
      </c>
      <c r="E209" s="1036">
        <f t="shared" si="95"/>
        <v>2013</v>
      </c>
      <c r="F209" s="1035" t="str">
        <f t="shared" si="96"/>
        <v>LULUS</v>
      </c>
      <c r="G209" s="1036">
        <f t="shared" si="97"/>
        <v>849113077</v>
      </c>
      <c r="H209" s="1038">
        <f t="shared" si="98"/>
        <v>0</v>
      </c>
      <c r="I209" s="1038">
        <f t="shared" si="99"/>
        <v>0</v>
      </c>
      <c r="J209" s="1038">
        <f t="shared" si="100"/>
        <v>0</v>
      </c>
      <c r="L209" s="1060">
        <f t="shared" si="101"/>
        <v>0</v>
      </c>
      <c r="M209" s="1060">
        <f t="shared" si="102"/>
        <v>1</v>
      </c>
      <c r="N209" s="1060">
        <f t="shared" si="103"/>
        <v>0</v>
      </c>
      <c r="O209" s="1060">
        <f t="shared" si="104"/>
        <v>0</v>
      </c>
      <c r="P209" s="1059">
        <f t="shared" si="105"/>
        <v>0</v>
      </c>
    </row>
    <row r="210" spans="1:18" x14ac:dyDescent="0.25">
      <c r="A210" s="1034">
        <v>690</v>
      </c>
      <c r="B210" s="1034">
        <f t="shared" si="92"/>
        <v>13</v>
      </c>
      <c r="C210" s="1034" t="str">
        <f t="shared" si="93"/>
        <v xml:space="preserve">Mashuri </v>
      </c>
      <c r="D210" s="1035" t="str">
        <f t="shared" si="94"/>
        <v>MPI-S2</v>
      </c>
      <c r="E210" s="1036">
        <f t="shared" si="95"/>
        <v>2013</v>
      </c>
      <c r="F210" s="1035" t="str">
        <f t="shared" si="96"/>
        <v>LULUS</v>
      </c>
      <c r="G210" s="1036">
        <f t="shared" si="97"/>
        <v>849113076</v>
      </c>
      <c r="H210" s="1038">
        <f t="shared" si="98"/>
        <v>0</v>
      </c>
      <c r="I210" s="1038">
        <f t="shared" si="99"/>
        <v>0</v>
      </c>
      <c r="J210" s="1038">
        <f t="shared" si="100"/>
        <v>0</v>
      </c>
      <c r="L210" s="1060">
        <f t="shared" si="101"/>
        <v>0</v>
      </c>
      <c r="M210" s="1060">
        <f t="shared" si="102"/>
        <v>1</v>
      </c>
      <c r="N210" s="1060">
        <f t="shared" si="103"/>
        <v>0</v>
      </c>
      <c r="O210" s="1060">
        <f t="shared" si="104"/>
        <v>0</v>
      </c>
      <c r="P210" s="1059">
        <f t="shared" si="105"/>
        <v>0</v>
      </c>
    </row>
    <row r="211" spans="1:18" x14ac:dyDescent="0.25">
      <c r="A211" s="1034">
        <v>691</v>
      </c>
      <c r="B211" s="1034">
        <f t="shared" si="92"/>
        <v>14</v>
      </c>
      <c r="C211" s="1034" t="str">
        <f t="shared" si="93"/>
        <v>Dzulqornain</v>
      </c>
      <c r="D211" s="1035" t="str">
        <f t="shared" si="94"/>
        <v>MPI-S2</v>
      </c>
      <c r="E211" s="1036">
        <f t="shared" si="95"/>
        <v>2013</v>
      </c>
      <c r="F211" s="1035" t="str">
        <f t="shared" si="96"/>
        <v>LULUS</v>
      </c>
      <c r="G211" s="1036">
        <f t="shared" si="97"/>
        <v>849113070</v>
      </c>
      <c r="H211" s="1038">
        <f t="shared" si="98"/>
        <v>0</v>
      </c>
      <c r="I211" s="1038">
        <f t="shared" si="99"/>
        <v>0</v>
      </c>
      <c r="J211" s="1038">
        <f t="shared" si="100"/>
        <v>0</v>
      </c>
      <c r="L211" s="1060">
        <f t="shared" si="101"/>
        <v>0</v>
      </c>
      <c r="M211" s="1060">
        <f t="shared" si="102"/>
        <v>1</v>
      </c>
      <c r="N211" s="1060">
        <f t="shared" si="103"/>
        <v>0</v>
      </c>
      <c r="O211" s="1060">
        <f t="shared" si="104"/>
        <v>0</v>
      </c>
      <c r="P211" s="1059">
        <f t="shared" si="105"/>
        <v>0</v>
      </c>
    </row>
    <row r="212" spans="1:18" x14ac:dyDescent="0.25">
      <c r="A212" s="1034">
        <v>692</v>
      </c>
      <c r="B212" s="1034">
        <f t="shared" si="92"/>
        <v>15</v>
      </c>
      <c r="C212" s="1034" t="str">
        <f t="shared" si="93"/>
        <v>Zainul Hasan</v>
      </c>
      <c r="D212" s="1035" t="str">
        <f t="shared" si="94"/>
        <v>MPI-S2</v>
      </c>
      <c r="E212" s="1036">
        <f t="shared" si="95"/>
        <v>2013</v>
      </c>
      <c r="F212" s="1035" t="str">
        <f t="shared" si="96"/>
        <v>LULUS</v>
      </c>
      <c r="G212" s="1036">
        <f t="shared" si="97"/>
        <v>849113087</v>
      </c>
      <c r="H212" s="1038">
        <f t="shared" si="98"/>
        <v>0</v>
      </c>
      <c r="I212" s="1038">
        <f t="shared" si="99"/>
        <v>0</v>
      </c>
      <c r="J212" s="1038">
        <f t="shared" si="100"/>
        <v>0</v>
      </c>
      <c r="L212" s="1060">
        <f t="shared" si="101"/>
        <v>0</v>
      </c>
      <c r="M212" s="1060">
        <f t="shared" si="102"/>
        <v>1</v>
      </c>
      <c r="N212" s="1060">
        <f t="shared" si="103"/>
        <v>0</v>
      </c>
      <c r="O212" s="1060">
        <f t="shared" si="104"/>
        <v>0</v>
      </c>
      <c r="P212" s="1059">
        <f t="shared" si="105"/>
        <v>0</v>
      </c>
    </row>
    <row r="213" spans="1:18" x14ac:dyDescent="0.25">
      <c r="A213" s="1034">
        <v>693</v>
      </c>
      <c r="B213" s="1034">
        <f t="shared" si="92"/>
        <v>16</v>
      </c>
      <c r="C213" s="1034" t="str">
        <f t="shared" si="93"/>
        <v>Woro Fatmawati</v>
      </c>
      <c r="D213" s="1035" t="str">
        <f t="shared" si="94"/>
        <v>MPI-S2</v>
      </c>
      <c r="E213" s="1036">
        <f t="shared" si="95"/>
        <v>2013</v>
      </c>
      <c r="F213" s="1035" t="str">
        <f t="shared" si="96"/>
        <v>DROP OUT</v>
      </c>
      <c r="G213" s="1036">
        <f t="shared" si="97"/>
        <v>849113089</v>
      </c>
      <c r="H213" s="1038">
        <f t="shared" si="98"/>
        <v>0</v>
      </c>
      <c r="I213" s="1038">
        <f t="shared" si="99"/>
        <v>0</v>
      </c>
      <c r="J213" s="1038">
        <f t="shared" si="100"/>
        <v>0</v>
      </c>
      <c r="L213" s="1060">
        <f t="shared" si="101"/>
        <v>0</v>
      </c>
      <c r="M213" s="1060">
        <f t="shared" si="102"/>
        <v>0</v>
      </c>
      <c r="N213" s="1060">
        <f t="shared" si="103"/>
        <v>0</v>
      </c>
      <c r="O213" s="1060">
        <f t="shared" si="104"/>
        <v>1</v>
      </c>
      <c r="P213" s="1059">
        <f t="shared" si="105"/>
        <v>0</v>
      </c>
    </row>
    <row r="214" spans="1:18" x14ac:dyDescent="0.25">
      <c r="A214" s="1034">
        <v>694</v>
      </c>
      <c r="B214" s="1034">
        <f t="shared" si="92"/>
        <v>17</v>
      </c>
      <c r="C214" s="1034" t="str">
        <f t="shared" si="93"/>
        <v>Ja'far Sodiq</v>
      </c>
      <c r="D214" s="1035" t="str">
        <f t="shared" si="94"/>
        <v>MPI-S2</v>
      </c>
      <c r="E214" s="1036">
        <f t="shared" si="95"/>
        <v>2013</v>
      </c>
      <c r="F214" s="1035" t="str">
        <f t="shared" si="96"/>
        <v>DROP OUT</v>
      </c>
      <c r="G214" s="1036">
        <f t="shared" si="97"/>
        <v>849113091</v>
      </c>
      <c r="H214" s="1038">
        <f t="shared" si="98"/>
        <v>0</v>
      </c>
      <c r="I214" s="1038">
        <f t="shared" si="99"/>
        <v>0</v>
      </c>
      <c r="J214" s="1038">
        <f t="shared" si="100"/>
        <v>0</v>
      </c>
      <c r="L214" s="1060">
        <f t="shared" si="101"/>
        <v>0</v>
      </c>
      <c r="M214" s="1060">
        <f t="shared" si="102"/>
        <v>0</v>
      </c>
      <c r="N214" s="1060">
        <f t="shared" si="103"/>
        <v>0</v>
      </c>
      <c r="O214" s="1060">
        <f t="shared" si="104"/>
        <v>1</v>
      </c>
      <c r="P214" s="1059">
        <f t="shared" si="105"/>
        <v>0</v>
      </c>
      <c r="R214" s="1039"/>
    </row>
    <row r="215" spans="1:18" x14ac:dyDescent="0.25">
      <c r="A215" s="1034">
        <v>695</v>
      </c>
      <c r="B215" s="1034">
        <f t="shared" si="92"/>
        <v>18</v>
      </c>
      <c r="C215" s="1034" t="str">
        <f t="shared" si="93"/>
        <v>Umi Nur Hayati</v>
      </c>
      <c r="D215" s="1035" t="str">
        <f t="shared" si="94"/>
        <v>MPI-S2</v>
      </c>
      <c r="E215" s="1036">
        <f t="shared" si="95"/>
        <v>2013</v>
      </c>
      <c r="F215" s="1035" t="str">
        <f t="shared" si="96"/>
        <v>LULUS</v>
      </c>
      <c r="G215" s="1036">
        <f t="shared" si="97"/>
        <v>849113090</v>
      </c>
      <c r="H215" s="1038">
        <f t="shared" si="98"/>
        <v>0</v>
      </c>
      <c r="I215" s="1038">
        <f t="shared" si="99"/>
        <v>0</v>
      </c>
      <c r="J215" s="1038">
        <f t="shared" si="100"/>
        <v>0</v>
      </c>
      <c r="L215" s="1060">
        <f t="shared" si="101"/>
        <v>0</v>
      </c>
      <c r="M215" s="1060">
        <f t="shared" si="102"/>
        <v>1</v>
      </c>
      <c r="N215" s="1060">
        <f t="shared" si="103"/>
        <v>0</v>
      </c>
      <c r="O215" s="1060">
        <f t="shared" si="104"/>
        <v>0</v>
      </c>
      <c r="P215" s="1059">
        <f t="shared" si="105"/>
        <v>0</v>
      </c>
    </row>
    <row r="216" spans="1:18" x14ac:dyDescent="0.25">
      <c r="A216" s="1039"/>
      <c r="B216" s="1039"/>
      <c r="C216" s="1039"/>
      <c r="D216" s="1040"/>
      <c r="E216" s="1041"/>
      <c r="F216" s="1040"/>
      <c r="G216" s="1041"/>
      <c r="H216" s="1042"/>
      <c r="I216" s="1042"/>
      <c r="J216" s="1042"/>
      <c r="L216" s="1042"/>
      <c r="M216" s="1042"/>
      <c r="N216" s="1042"/>
      <c r="O216" s="1042"/>
      <c r="P216" s="1042"/>
    </row>
    <row r="217" spans="1:18" x14ac:dyDescent="0.25">
      <c r="A217" s="1043" t="str">
        <f>'Rekap SPP'!A738</f>
        <v>S2-ES 2013/2014 (GEL I)</v>
      </c>
      <c r="B217" s="1043"/>
      <c r="C217" s="1043"/>
      <c r="D217" s="1033" t="s">
        <v>3</v>
      </c>
      <c r="E217" s="1032" t="s">
        <v>4</v>
      </c>
      <c r="F217" s="1033" t="s">
        <v>3195</v>
      </c>
      <c r="G217" s="1032" t="s">
        <v>1</v>
      </c>
      <c r="H217" s="1033" t="s">
        <v>3341</v>
      </c>
      <c r="I217" s="1033" t="s">
        <v>3342</v>
      </c>
      <c r="J217" s="1062">
        <f>SUM(J218:J224)</f>
        <v>0</v>
      </c>
      <c r="L217" s="1063">
        <f>SUM(L218:L224)</f>
        <v>0</v>
      </c>
      <c r="M217" s="1063">
        <f>SUM(M218:M224)</f>
        <v>7</v>
      </c>
      <c r="N217" s="1063">
        <f>SUM(N218:N224)</f>
        <v>0</v>
      </c>
      <c r="O217" s="1063">
        <f>SUM(O218:O224)</f>
        <v>0</v>
      </c>
      <c r="P217" s="1063">
        <f>SUM(P218:P224)</f>
        <v>0</v>
      </c>
    </row>
    <row r="218" spans="1:18" x14ac:dyDescent="0.25">
      <c r="A218" s="1034">
        <v>696</v>
      </c>
      <c r="B218" s="1034">
        <f t="shared" si="92"/>
        <v>1</v>
      </c>
      <c r="C218" s="1034" t="str">
        <f t="shared" ref="C218:C224" si="106">IFERROR(VLOOKUP(A218,DB,4,FALSE),"")</f>
        <v>Imroatus Sholiha</v>
      </c>
      <c r="D218" s="1035" t="str">
        <f t="shared" ref="D218:D224" si="107">IFERROR(VLOOKUP(A218,DB,5,FALSE),"")</f>
        <v>ES</v>
      </c>
      <c r="E218" s="1036">
        <f t="shared" ref="E218:E224" si="108">IFERROR(VLOOKUP(A218,DB,6,FALSE),"")</f>
        <v>2013</v>
      </c>
      <c r="F218" s="1035" t="str">
        <f t="shared" ref="F218:F224" si="109">IFERROR(VLOOKUP(A218,DB,7,FALSE),"")</f>
        <v>LULUS</v>
      </c>
      <c r="G218" s="1036">
        <f t="shared" ref="G218:G224" si="110">IFERROR(VLOOKUP(A218,DB,3,FALSE),"")</f>
        <v>839134006</v>
      </c>
      <c r="H218" s="1038">
        <f t="shared" ref="H218:H224" si="111">IF(F218="AKTIF",3000000,IF(F218="CUTI",3000000,0))</f>
        <v>0</v>
      </c>
      <c r="I218" s="1038">
        <f t="shared" ref="I218:I224" si="112">IFERROR(VLOOKUP(A218,DB,37,FALSE),"")-H218</f>
        <v>0</v>
      </c>
      <c r="J218" s="1038">
        <f t="shared" ref="J218:J224" si="113">I218+H218</f>
        <v>0</v>
      </c>
      <c r="L218" s="1060">
        <f t="shared" si="101"/>
        <v>0</v>
      </c>
      <c r="M218" s="1060">
        <f t="shared" ref="M218:M224" si="114">IF(F218="LULUS",1,0)</f>
        <v>1</v>
      </c>
      <c r="N218" s="1060">
        <f t="shared" ref="N218:N224" si="115">IF(F218="CUTI",1,0)</f>
        <v>0</v>
      </c>
      <c r="O218" s="1060">
        <f t="shared" ref="O218:O224" si="116">IF(F218="DROP OUT",1,0)</f>
        <v>0</v>
      </c>
      <c r="P218" s="1059">
        <f t="shared" ref="P218:P224" si="117">IF(F218="PASIF",1,0)</f>
        <v>0</v>
      </c>
    </row>
    <row r="219" spans="1:18" x14ac:dyDescent="0.25">
      <c r="A219" s="1034">
        <v>697</v>
      </c>
      <c r="B219" s="1034">
        <f t="shared" si="92"/>
        <v>2</v>
      </c>
      <c r="C219" s="1034" t="str">
        <f t="shared" si="106"/>
        <v>Uliyyatul Muawwanah</v>
      </c>
      <c r="D219" s="1035" t="str">
        <f t="shared" si="107"/>
        <v>ES</v>
      </c>
      <c r="E219" s="1036">
        <f t="shared" si="108"/>
        <v>2013</v>
      </c>
      <c r="F219" s="1035" t="str">
        <f t="shared" si="109"/>
        <v>LULUS</v>
      </c>
      <c r="G219" s="1036">
        <f t="shared" si="110"/>
        <v>839134018</v>
      </c>
      <c r="H219" s="1038">
        <f t="shared" si="111"/>
        <v>0</v>
      </c>
      <c r="I219" s="1038">
        <f t="shared" si="112"/>
        <v>0</v>
      </c>
      <c r="J219" s="1038">
        <f t="shared" si="113"/>
        <v>0</v>
      </c>
      <c r="L219" s="1060">
        <f t="shared" si="101"/>
        <v>0</v>
      </c>
      <c r="M219" s="1060">
        <f t="shared" si="114"/>
        <v>1</v>
      </c>
      <c r="N219" s="1060">
        <f t="shared" si="115"/>
        <v>0</v>
      </c>
      <c r="O219" s="1060">
        <f t="shared" si="116"/>
        <v>0</v>
      </c>
      <c r="P219" s="1059">
        <f t="shared" si="117"/>
        <v>0</v>
      </c>
    </row>
    <row r="220" spans="1:18" x14ac:dyDescent="0.25">
      <c r="A220" s="1034">
        <v>698</v>
      </c>
      <c r="B220" s="1034">
        <f t="shared" si="92"/>
        <v>3</v>
      </c>
      <c r="C220" s="1034" t="str">
        <f t="shared" si="106"/>
        <v>Siti Khaisyatuzahro Nur</v>
      </c>
      <c r="D220" s="1035" t="str">
        <f t="shared" si="107"/>
        <v>ES</v>
      </c>
      <c r="E220" s="1036">
        <f t="shared" si="108"/>
        <v>2013</v>
      </c>
      <c r="F220" s="1035" t="str">
        <f t="shared" si="109"/>
        <v>LULUS</v>
      </c>
      <c r="G220" s="1036">
        <f t="shared" si="110"/>
        <v>839134017</v>
      </c>
      <c r="H220" s="1038">
        <f t="shared" si="111"/>
        <v>0</v>
      </c>
      <c r="I220" s="1038">
        <f t="shared" si="112"/>
        <v>0</v>
      </c>
      <c r="J220" s="1038">
        <f t="shared" si="113"/>
        <v>0</v>
      </c>
      <c r="L220" s="1060">
        <f t="shared" si="101"/>
        <v>0</v>
      </c>
      <c r="M220" s="1060">
        <f t="shared" si="114"/>
        <v>1</v>
      </c>
      <c r="N220" s="1060">
        <f t="shared" si="115"/>
        <v>0</v>
      </c>
      <c r="O220" s="1060">
        <f t="shared" si="116"/>
        <v>0</v>
      </c>
      <c r="P220" s="1059">
        <f t="shared" si="117"/>
        <v>0</v>
      </c>
    </row>
    <row r="221" spans="1:18" x14ac:dyDescent="0.25">
      <c r="A221" s="1034">
        <v>699</v>
      </c>
      <c r="B221" s="1034">
        <f t="shared" si="92"/>
        <v>4</v>
      </c>
      <c r="C221" s="1034" t="str">
        <f t="shared" si="106"/>
        <v>Inud Danis Ikhwan Merati</v>
      </c>
      <c r="D221" s="1035" t="str">
        <f t="shared" si="107"/>
        <v>ES</v>
      </c>
      <c r="E221" s="1036">
        <f t="shared" si="108"/>
        <v>2013</v>
      </c>
      <c r="F221" s="1035" t="str">
        <f t="shared" si="109"/>
        <v>LULUS</v>
      </c>
      <c r="G221" s="1036">
        <f t="shared" si="110"/>
        <v>839134007</v>
      </c>
      <c r="H221" s="1038">
        <f t="shared" si="111"/>
        <v>0</v>
      </c>
      <c r="I221" s="1038">
        <f t="shared" si="112"/>
        <v>0</v>
      </c>
      <c r="J221" s="1038">
        <f t="shared" si="113"/>
        <v>0</v>
      </c>
      <c r="L221" s="1060">
        <f t="shared" si="101"/>
        <v>0</v>
      </c>
      <c r="M221" s="1060">
        <f t="shared" si="114"/>
        <v>1</v>
      </c>
      <c r="N221" s="1060">
        <f t="shared" si="115"/>
        <v>0</v>
      </c>
      <c r="O221" s="1060">
        <f t="shared" si="116"/>
        <v>0</v>
      </c>
      <c r="P221" s="1059">
        <f t="shared" si="117"/>
        <v>0</v>
      </c>
    </row>
    <row r="222" spans="1:18" x14ac:dyDescent="0.25">
      <c r="A222" s="1034">
        <v>700</v>
      </c>
      <c r="B222" s="1034">
        <f t="shared" si="92"/>
        <v>5</v>
      </c>
      <c r="C222" s="1034" t="str">
        <f t="shared" si="106"/>
        <v>Mu'awanah</v>
      </c>
      <c r="D222" s="1035" t="str">
        <f t="shared" si="107"/>
        <v>ES</v>
      </c>
      <c r="E222" s="1036">
        <f t="shared" si="108"/>
        <v>2013</v>
      </c>
      <c r="F222" s="1035" t="str">
        <f t="shared" si="109"/>
        <v>LULUS</v>
      </c>
      <c r="G222" s="1036">
        <f t="shared" si="110"/>
        <v>839134012</v>
      </c>
      <c r="H222" s="1038">
        <f t="shared" si="111"/>
        <v>0</v>
      </c>
      <c r="I222" s="1038">
        <f t="shared" si="112"/>
        <v>0</v>
      </c>
      <c r="J222" s="1038">
        <f t="shared" si="113"/>
        <v>0</v>
      </c>
      <c r="L222" s="1060">
        <f t="shared" si="101"/>
        <v>0</v>
      </c>
      <c r="M222" s="1060">
        <f t="shared" si="114"/>
        <v>1</v>
      </c>
      <c r="N222" s="1060">
        <f t="shared" si="115"/>
        <v>0</v>
      </c>
      <c r="O222" s="1060">
        <f t="shared" si="116"/>
        <v>0</v>
      </c>
      <c r="P222" s="1059">
        <f t="shared" si="117"/>
        <v>0</v>
      </c>
    </row>
    <row r="223" spans="1:18" x14ac:dyDescent="0.25">
      <c r="A223" s="1034">
        <v>701</v>
      </c>
      <c r="B223" s="1034">
        <f t="shared" si="92"/>
        <v>6</v>
      </c>
      <c r="C223" s="1034" t="str">
        <f t="shared" si="106"/>
        <v>Nani Hanifah</v>
      </c>
      <c r="D223" s="1035" t="str">
        <f t="shared" si="107"/>
        <v>ES</v>
      </c>
      <c r="E223" s="1036">
        <f t="shared" si="108"/>
        <v>2013</v>
      </c>
      <c r="F223" s="1035" t="str">
        <f t="shared" si="109"/>
        <v>LULUS</v>
      </c>
      <c r="G223" s="1036">
        <f t="shared" si="110"/>
        <v>839134015</v>
      </c>
      <c r="H223" s="1038">
        <f t="shared" si="111"/>
        <v>0</v>
      </c>
      <c r="I223" s="1038">
        <f t="shared" si="112"/>
        <v>0</v>
      </c>
      <c r="J223" s="1038">
        <f t="shared" si="113"/>
        <v>0</v>
      </c>
      <c r="L223" s="1060">
        <f t="shared" si="101"/>
        <v>0</v>
      </c>
      <c r="M223" s="1060">
        <f t="shared" si="114"/>
        <v>1</v>
      </c>
      <c r="N223" s="1060">
        <f t="shared" si="115"/>
        <v>0</v>
      </c>
      <c r="O223" s="1060">
        <f t="shared" si="116"/>
        <v>0</v>
      </c>
      <c r="P223" s="1059">
        <f t="shared" si="117"/>
        <v>0</v>
      </c>
    </row>
    <row r="224" spans="1:18" x14ac:dyDescent="0.25">
      <c r="A224" s="1034">
        <v>702</v>
      </c>
      <c r="B224" s="1034">
        <f t="shared" si="92"/>
        <v>7</v>
      </c>
      <c r="C224" s="1034" t="str">
        <f t="shared" si="106"/>
        <v>Miftahul Hasanah</v>
      </c>
      <c r="D224" s="1035" t="str">
        <f t="shared" si="107"/>
        <v>ES</v>
      </c>
      <c r="E224" s="1036">
        <f t="shared" si="108"/>
        <v>2013</v>
      </c>
      <c r="F224" s="1035" t="str">
        <f t="shared" si="109"/>
        <v>LULUS</v>
      </c>
      <c r="G224" s="1036">
        <f t="shared" si="110"/>
        <v>839134011</v>
      </c>
      <c r="H224" s="1038">
        <f t="shared" si="111"/>
        <v>0</v>
      </c>
      <c r="I224" s="1038">
        <f t="shared" si="112"/>
        <v>0</v>
      </c>
      <c r="J224" s="1038">
        <f t="shared" si="113"/>
        <v>0</v>
      </c>
      <c r="L224" s="1060">
        <f t="shared" si="101"/>
        <v>0</v>
      </c>
      <c r="M224" s="1060">
        <f t="shared" si="114"/>
        <v>1</v>
      </c>
      <c r="N224" s="1060">
        <f t="shared" si="115"/>
        <v>0</v>
      </c>
      <c r="O224" s="1060">
        <f t="shared" si="116"/>
        <v>0</v>
      </c>
      <c r="P224" s="1059">
        <f t="shared" si="117"/>
        <v>0</v>
      </c>
    </row>
    <row r="225" spans="1:16" x14ac:dyDescent="0.25">
      <c r="A225" s="1039"/>
      <c r="B225" s="1039"/>
      <c r="C225" s="1039"/>
      <c r="D225" s="1040"/>
      <c r="E225" s="1041"/>
      <c r="F225" s="1040"/>
      <c r="G225" s="1041"/>
      <c r="H225" s="1042"/>
      <c r="I225" s="1042"/>
      <c r="J225" s="1042"/>
      <c r="L225" s="1042"/>
      <c r="M225" s="1042"/>
      <c r="N225" s="1042"/>
      <c r="O225" s="1042"/>
      <c r="P225" s="1042"/>
    </row>
    <row r="226" spans="1:16" x14ac:dyDescent="0.25">
      <c r="A226" s="1043" t="str">
        <f>'Rekap SPP'!A747</f>
        <v>S2-ES 2013/2014 (GEL II)</v>
      </c>
      <c r="B226" s="1043"/>
      <c r="C226" s="1043"/>
      <c r="D226" s="1033" t="s">
        <v>3</v>
      </c>
      <c r="E226" s="1032" t="s">
        <v>4</v>
      </c>
      <c r="F226" s="1033" t="s">
        <v>3195</v>
      </c>
      <c r="G226" s="1032" t="s">
        <v>1</v>
      </c>
      <c r="H226" s="1033" t="s">
        <v>3341</v>
      </c>
      <c r="I226" s="1033" t="s">
        <v>3342</v>
      </c>
      <c r="J226" s="1062">
        <f>SUM(J227:J237)</f>
        <v>0</v>
      </c>
      <c r="L226" s="1063">
        <f>SUM(L227:L237)</f>
        <v>0</v>
      </c>
      <c r="M226" s="1063">
        <f>SUM(M227:M237)</f>
        <v>8</v>
      </c>
      <c r="N226" s="1063">
        <f>SUM(N227:N237)</f>
        <v>0</v>
      </c>
      <c r="O226" s="1063">
        <f>SUM(O227:O237)</f>
        <v>3</v>
      </c>
      <c r="P226" s="1063">
        <f>SUM(P227:P237)</f>
        <v>0</v>
      </c>
    </row>
    <row r="227" spans="1:16" x14ac:dyDescent="0.25">
      <c r="A227" s="1034">
        <v>703</v>
      </c>
      <c r="B227" s="1034">
        <f t="shared" si="92"/>
        <v>1</v>
      </c>
      <c r="C227" s="1034" t="str">
        <f t="shared" ref="C227:C237" si="118">IFERROR(VLOOKUP(A227,DB,4,FALSE),"")</f>
        <v>Abd. Rohman Fahruddin</v>
      </c>
      <c r="D227" s="1035" t="str">
        <f t="shared" ref="D227:D237" si="119">IFERROR(VLOOKUP(A227,DB,5,FALSE),"")</f>
        <v>ES</v>
      </c>
      <c r="E227" s="1036" t="str">
        <f t="shared" ref="E227:E237" si="120">IFERROR(VLOOKUP(A227,DB,6,FALSE),"")</f>
        <v>2013-</v>
      </c>
      <c r="F227" s="1035" t="str">
        <f t="shared" ref="F227:F237" si="121">IFERROR(VLOOKUP(A227,DB,7,FALSE),"")</f>
        <v>LULUS</v>
      </c>
      <c r="G227" s="1036">
        <f t="shared" ref="G227:G237" si="122">IFERROR(VLOOKUP(A227,DB,3,FALSE),"")</f>
        <v>839134002</v>
      </c>
      <c r="H227" s="1038">
        <f t="shared" ref="H227:H237" si="123">IF(F227="AKTIF",3000000,IF(F227="CUTI",3000000,0))</f>
        <v>0</v>
      </c>
      <c r="I227" s="1038">
        <f t="shared" ref="I227:I237" si="124">IFERROR(VLOOKUP(A227,DB,37,FALSE),"")-H227</f>
        <v>0</v>
      </c>
      <c r="J227" s="1038">
        <f t="shared" ref="J227:J237" si="125">I227+H227</f>
        <v>0</v>
      </c>
      <c r="L227" s="1060">
        <f t="shared" si="101"/>
        <v>0</v>
      </c>
      <c r="M227" s="1060">
        <f t="shared" ref="M227:M237" si="126">IF(F227="LULUS",1,0)</f>
        <v>1</v>
      </c>
      <c r="N227" s="1060">
        <f t="shared" ref="N227:N237" si="127">IF(F227="CUTI",1,0)</f>
        <v>0</v>
      </c>
      <c r="O227" s="1060">
        <f t="shared" ref="O227:O237" si="128">IF(F227="DROP OUT",1,0)</f>
        <v>0</v>
      </c>
      <c r="P227" s="1059">
        <f t="shared" ref="P227:P237" si="129">IF(F227="PASIF",1,0)</f>
        <v>0</v>
      </c>
    </row>
    <row r="228" spans="1:16" x14ac:dyDescent="0.25">
      <c r="A228" s="1034">
        <v>704</v>
      </c>
      <c r="B228" s="1034">
        <f t="shared" si="92"/>
        <v>2</v>
      </c>
      <c r="C228" s="1034" t="str">
        <f t="shared" si="118"/>
        <v>Siti Alfiyah</v>
      </c>
      <c r="D228" s="1035" t="str">
        <f t="shared" si="119"/>
        <v>ES</v>
      </c>
      <c r="E228" s="1036" t="str">
        <f t="shared" si="120"/>
        <v>2013-</v>
      </c>
      <c r="F228" s="1035" t="str">
        <f t="shared" si="121"/>
        <v>LULUS</v>
      </c>
      <c r="G228" s="1036">
        <f t="shared" si="122"/>
        <v>839134016</v>
      </c>
      <c r="H228" s="1038">
        <f t="shared" si="123"/>
        <v>0</v>
      </c>
      <c r="I228" s="1038">
        <f t="shared" si="124"/>
        <v>0</v>
      </c>
      <c r="J228" s="1038">
        <f t="shared" si="125"/>
        <v>0</v>
      </c>
      <c r="L228" s="1060">
        <f t="shared" si="101"/>
        <v>0</v>
      </c>
      <c r="M228" s="1060">
        <f t="shared" si="126"/>
        <v>1</v>
      </c>
      <c r="N228" s="1060">
        <f t="shared" si="127"/>
        <v>0</v>
      </c>
      <c r="O228" s="1060">
        <f t="shared" si="128"/>
        <v>0</v>
      </c>
      <c r="P228" s="1059">
        <f t="shared" si="129"/>
        <v>0</v>
      </c>
    </row>
    <row r="229" spans="1:16" x14ac:dyDescent="0.25">
      <c r="A229" s="1034">
        <v>705</v>
      </c>
      <c r="B229" s="1034">
        <f t="shared" si="92"/>
        <v>3</v>
      </c>
      <c r="C229" s="1034" t="str">
        <f t="shared" si="118"/>
        <v>Muhammad Syafi</v>
      </c>
      <c r="D229" s="1035" t="str">
        <f t="shared" si="119"/>
        <v>ES</v>
      </c>
      <c r="E229" s="1036" t="str">
        <f t="shared" si="120"/>
        <v>2013-</v>
      </c>
      <c r="F229" s="1035" t="str">
        <f t="shared" si="121"/>
        <v>LULUS</v>
      </c>
      <c r="G229" s="1036">
        <f t="shared" si="122"/>
        <v>839134013</v>
      </c>
      <c r="H229" s="1038">
        <f t="shared" si="123"/>
        <v>0</v>
      </c>
      <c r="I229" s="1038">
        <f t="shared" si="124"/>
        <v>0</v>
      </c>
      <c r="J229" s="1038">
        <f t="shared" si="125"/>
        <v>0</v>
      </c>
      <c r="L229" s="1060">
        <f t="shared" si="101"/>
        <v>0</v>
      </c>
      <c r="M229" s="1060">
        <f t="shared" si="126"/>
        <v>1</v>
      </c>
      <c r="N229" s="1060">
        <f t="shared" si="127"/>
        <v>0</v>
      </c>
      <c r="O229" s="1060">
        <f t="shared" si="128"/>
        <v>0</v>
      </c>
      <c r="P229" s="1059">
        <f t="shared" si="129"/>
        <v>0</v>
      </c>
    </row>
    <row r="230" spans="1:16" x14ac:dyDescent="0.25">
      <c r="A230" s="1034">
        <v>706</v>
      </c>
      <c r="B230" s="1034">
        <f t="shared" si="92"/>
        <v>4</v>
      </c>
      <c r="C230" s="1034" t="str">
        <f t="shared" si="118"/>
        <v>M. Daud Rosyidy</v>
      </c>
      <c r="D230" s="1035" t="str">
        <f t="shared" si="119"/>
        <v>ES</v>
      </c>
      <c r="E230" s="1036" t="str">
        <f t="shared" si="120"/>
        <v>2013-</v>
      </c>
      <c r="F230" s="1035" t="str">
        <f t="shared" si="121"/>
        <v>LULUS</v>
      </c>
      <c r="G230" s="1036">
        <f t="shared" si="122"/>
        <v>839134009</v>
      </c>
      <c r="H230" s="1038">
        <f t="shared" si="123"/>
        <v>0</v>
      </c>
      <c r="I230" s="1038">
        <f t="shared" si="124"/>
        <v>0</v>
      </c>
      <c r="J230" s="1038">
        <f t="shared" si="125"/>
        <v>0</v>
      </c>
      <c r="L230" s="1060">
        <f t="shared" si="101"/>
        <v>0</v>
      </c>
      <c r="M230" s="1060">
        <f t="shared" si="126"/>
        <v>1</v>
      </c>
      <c r="N230" s="1060">
        <f t="shared" si="127"/>
        <v>0</v>
      </c>
      <c r="O230" s="1060">
        <f t="shared" si="128"/>
        <v>0</v>
      </c>
      <c r="P230" s="1059">
        <f t="shared" si="129"/>
        <v>0</v>
      </c>
    </row>
    <row r="231" spans="1:16" x14ac:dyDescent="0.25">
      <c r="A231" s="1034">
        <v>707</v>
      </c>
      <c r="B231" s="1034">
        <f t="shared" si="92"/>
        <v>5</v>
      </c>
      <c r="C231" s="1034" t="str">
        <f t="shared" si="118"/>
        <v>Muhammad Jauzi</v>
      </c>
      <c r="D231" s="1035" t="str">
        <f t="shared" si="119"/>
        <v>ES</v>
      </c>
      <c r="E231" s="1036" t="str">
        <f t="shared" si="120"/>
        <v>2013-</v>
      </c>
      <c r="F231" s="1035" t="str">
        <f t="shared" si="121"/>
        <v>LULUS</v>
      </c>
      <c r="G231" s="1036">
        <f t="shared" si="122"/>
        <v>839134010</v>
      </c>
      <c r="H231" s="1038">
        <f t="shared" si="123"/>
        <v>0</v>
      </c>
      <c r="I231" s="1038">
        <f t="shared" si="124"/>
        <v>0</v>
      </c>
      <c r="J231" s="1038">
        <f t="shared" si="125"/>
        <v>0</v>
      </c>
      <c r="L231" s="1060">
        <f t="shared" si="101"/>
        <v>0</v>
      </c>
      <c r="M231" s="1060">
        <f t="shared" si="126"/>
        <v>1</v>
      </c>
      <c r="N231" s="1060">
        <f t="shared" si="127"/>
        <v>0</v>
      </c>
      <c r="O231" s="1060">
        <f t="shared" si="128"/>
        <v>0</v>
      </c>
      <c r="P231" s="1059">
        <f t="shared" si="129"/>
        <v>0</v>
      </c>
    </row>
    <row r="232" spans="1:16" x14ac:dyDescent="0.25">
      <c r="A232" s="1034">
        <v>708</v>
      </c>
      <c r="B232" s="1034">
        <f t="shared" si="92"/>
        <v>6</v>
      </c>
      <c r="C232" s="1034" t="str">
        <f t="shared" si="118"/>
        <v>Jannatin Kholidah</v>
      </c>
      <c r="D232" s="1035" t="str">
        <f t="shared" si="119"/>
        <v>ES</v>
      </c>
      <c r="E232" s="1036" t="str">
        <f t="shared" si="120"/>
        <v>2013-</v>
      </c>
      <c r="F232" s="1035" t="str">
        <f t="shared" si="121"/>
        <v>DROP OUT</v>
      </c>
      <c r="G232" s="1036">
        <f t="shared" si="122"/>
        <v>839134008</v>
      </c>
      <c r="H232" s="1038">
        <f t="shared" si="123"/>
        <v>0</v>
      </c>
      <c r="I232" s="1038">
        <f t="shared" si="124"/>
        <v>0</v>
      </c>
      <c r="J232" s="1038">
        <f t="shared" si="125"/>
        <v>0</v>
      </c>
      <c r="L232" s="1060">
        <f t="shared" si="101"/>
        <v>0</v>
      </c>
      <c r="M232" s="1060">
        <f t="shared" si="126"/>
        <v>0</v>
      </c>
      <c r="N232" s="1060">
        <f t="shared" si="127"/>
        <v>0</v>
      </c>
      <c r="O232" s="1060">
        <f t="shared" si="128"/>
        <v>1</v>
      </c>
      <c r="P232" s="1059">
        <f t="shared" si="129"/>
        <v>0</v>
      </c>
    </row>
    <row r="233" spans="1:16" x14ac:dyDescent="0.25">
      <c r="A233" s="1034">
        <v>709</v>
      </c>
      <c r="B233" s="1034">
        <f t="shared" si="92"/>
        <v>7</v>
      </c>
      <c r="C233" s="1034" t="str">
        <f t="shared" si="118"/>
        <v>Muzayyin</v>
      </c>
      <c r="D233" s="1035" t="str">
        <f t="shared" si="119"/>
        <v>ES</v>
      </c>
      <c r="E233" s="1036" t="str">
        <f t="shared" si="120"/>
        <v>2013-</v>
      </c>
      <c r="F233" s="1035" t="str">
        <f t="shared" si="121"/>
        <v>LULUS</v>
      </c>
      <c r="G233" s="1036">
        <f t="shared" si="122"/>
        <v>839134014</v>
      </c>
      <c r="H233" s="1038">
        <f t="shared" si="123"/>
        <v>0</v>
      </c>
      <c r="I233" s="1038">
        <f t="shared" si="124"/>
        <v>0</v>
      </c>
      <c r="J233" s="1038">
        <f t="shared" si="125"/>
        <v>0</v>
      </c>
      <c r="L233" s="1060">
        <f t="shared" si="101"/>
        <v>0</v>
      </c>
      <c r="M233" s="1060">
        <f t="shared" si="126"/>
        <v>1</v>
      </c>
      <c r="N233" s="1060">
        <f t="shared" si="127"/>
        <v>0</v>
      </c>
      <c r="O233" s="1060">
        <f t="shared" si="128"/>
        <v>0</v>
      </c>
      <c r="P233" s="1059">
        <f t="shared" si="129"/>
        <v>0</v>
      </c>
    </row>
    <row r="234" spans="1:16" x14ac:dyDescent="0.25">
      <c r="A234" s="1034">
        <v>710</v>
      </c>
      <c r="B234" s="1034">
        <f t="shared" si="92"/>
        <v>8</v>
      </c>
      <c r="C234" s="1034" t="str">
        <f t="shared" si="118"/>
        <v>Abd. Ghafur</v>
      </c>
      <c r="D234" s="1035" t="str">
        <f t="shared" si="119"/>
        <v>ES</v>
      </c>
      <c r="E234" s="1036" t="str">
        <f t="shared" si="120"/>
        <v>2013-</v>
      </c>
      <c r="F234" s="1035" t="str">
        <f t="shared" si="121"/>
        <v>LULUS</v>
      </c>
      <c r="G234" s="1036">
        <f t="shared" si="122"/>
        <v>839134001</v>
      </c>
      <c r="H234" s="1038">
        <f t="shared" si="123"/>
        <v>0</v>
      </c>
      <c r="I234" s="1038">
        <f t="shared" si="124"/>
        <v>0</v>
      </c>
      <c r="J234" s="1038">
        <f t="shared" si="125"/>
        <v>0</v>
      </c>
      <c r="L234" s="1060">
        <f t="shared" si="101"/>
        <v>0</v>
      </c>
      <c r="M234" s="1060">
        <f t="shared" si="126"/>
        <v>1</v>
      </c>
      <c r="N234" s="1060">
        <f t="shared" si="127"/>
        <v>0</v>
      </c>
      <c r="O234" s="1060">
        <f t="shared" si="128"/>
        <v>0</v>
      </c>
      <c r="P234" s="1059">
        <f t="shared" si="129"/>
        <v>0</v>
      </c>
    </row>
    <row r="235" spans="1:16" x14ac:dyDescent="0.25">
      <c r="A235" s="1034">
        <v>711</v>
      </c>
      <c r="B235" s="1034">
        <f t="shared" si="92"/>
        <v>9</v>
      </c>
      <c r="C235" s="1034" t="str">
        <f t="shared" si="118"/>
        <v>Ainul Yaqin</v>
      </c>
      <c r="D235" s="1035" t="str">
        <f t="shared" si="119"/>
        <v>ES</v>
      </c>
      <c r="E235" s="1036" t="str">
        <f t="shared" si="120"/>
        <v>2013-</v>
      </c>
      <c r="F235" s="1035" t="str">
        <f t="shared" si="121"/>
        <v>DROP OUT</v>
      </c>
      <c r="G235" s="1036">
        <f t="shared" si="122"/>
        <v>839134003</v>
      </c>
      <c r="H235" s="1038">
        <f t="shared" si="123"/>
        <v>0</v>
      </c>
      <c r="I235" s="1038">
        <f t="shared" si="124"/>
        <v>0</v>
      </c>
      <c r="J235" s="1038">
        <f t="shared" si="125"/>
        <v>0</v>
      </c>
      <c r="L235" s="1060">
        <f t="shared" si="101"/>
        <v>0</v>
      </c>
      <c r="M235" s="1060">
        <f t="shared" si="126"/>
        <v>0</v>
      </c>
      <c r="N235" s="1060">
        <f t="shared" si="127"/>
        <v>0</v>
      </c>
      <c r="O235" s="1060">
        <f t="shared" si="128"/>
        <v>1</v>
      </c>
      <c r="P235" s="1059">
        <f t="shared" si="129"/>
        <v>0</v>
      </c>
    </row>
    <row r="236" spans="1:16" x14ac:dyDescent="0.25">
      <c r="A236" s="1034">
        <v>712</v>
      </c>
      <c r="B236" s="1034">
        <f t="shared" si="92"/>
        <v>10</v>
      </c>
      <c r="C236" s="1034" t="str">
        <f t="shared" si="118"/>
        <v>Arief Nazar</v>
      </c>
      <c r="D236" s="1035" t="str">
        <f t="shared" si="119"/>
        <v>ES</v>
      </c>
      <c r="E236" s="1036" t="str">
        <f t="shared" si="120"/>
        <v>2013-</v>
      </c>
      <c r="F236" s="1035" t="str">
        <f t="shared" si="121"/>
        <v>DROP OUT</v>
      </c>
      <c r="G236" s="1036">
        <f t="shared" si="122"/>
        <v>839134005</v>
      </c>
      <c r="H236" s="1038">
        <f t="shared" si="123"/>
        <v>0</v>
      </c>
      <c r="I236" s="1038">
        <f t="shared" si="124"/>
        <v>0</v>
      </c>
      <c r="J236" s="1038">
        <f t="shared" si="125"/>
        <v>0</v>
      </c>
      <c r="L236" s="1060">
        <f t="shared" si="101"/>
        <v>0</v>
      </c>
      <c r="M236" s="1060">
        <f t="shared" si="126"/>
        <v>0</v>
      </c>
      <c r="N236" s="1060">
        <f t="shared" si="127"/>
        <v>0</v>
      </c>
      <c r="O236" s="1060">
        <f t="shared" si="128"/>
        <v>1</v>
      </c>
      <c r="P236" s="1059">
        <f t="shared" si="129"/>
        <v>0</v>
      </c>
    </row>
    <row r="237" spans="1:16" x14ac:dyDescent="0.25">
      <c r="A237" s="1034">
        <v>713</v>
      </c>
      <c r="B237" s="1034">
        <f t="shared" si="92"/>
        <v>11</v>
      </c>
      <c r="C237" s="1034" t="str">
        <f t="shared" si="118"/>
        <v>Sofiah</v>
      </c>
      <c r="D237" s="1035" t="str">
        <f t="shared" si="119"/>
        <v>ES</v>
      </c>
      <c r="E237" s="1036" t="str">
        <f t="shared" si="120"/>
        <v>2013-</v>
      </c>
      <c r="F237" s="1035" t="str">
        <f t="shared" si="121"/>
        <v>LULUS</v>
      </c>
      <c r="G237" s="1036">
        <f t="shared" si="122"/>
        <v>839134019</v>
      </c>
      <c r="H237" s="1038">
        <f t="shared" si="123"/>
        <v>0</v>
      </c>
      <c r="I237" s="1038">
        <f t="shared" si="124"/>
        <v>0</v>
      </c>
      <c r="J237" s="1038">
        <f t="shared" si="125"/>
        <v>0</v>
      </c>
      <c r="L237" s="1060">
        <f t="shared" si="101"/>
        <v>0</v>
      </c>
      <c r="M237" s="1060">
        <f t="shared" si="126"/>
        <v>1</v>
      </c>
      <c r="N237" s="1060">
        <f t="shared" si="127"/>
        <v>0</v>
      </c>
      <c r="O237" s="1060">
        <f t="shared" si="128"/>
        <v>0</v>
      </c>
      <c r="P237" s="1059">
        <f t="shared" si="129"/>
        <v>0</v>
      </c>
    </row>
    <row r="238" spans="1:16" x14ac:dyDescent="0.25">
      <c r="A238" s="1039"/>
      <c r="B238" s="1039"/>
      <c r="C238" s="1039"/>
      <c r="D238" s="1040"/>
      <c r="E238" s="1041"/>
      <c r="F238" s="1040"/>
      <c r="G238" s="1041"/>
      <c r="H238" s="1042"/>
      <c r="I238" s="1042"/>
      <c r="J238" s="1042"/>
      <c r="L238" s="1042"/>
      <c r="M238" s="1042"/>
      <c r="N238" s="1042"/>
      <c r="O238" s="1042"/>
      <c r="P238" s="1042"/>
    </row>
    <row r="239" spans="1:16" x14ac:dyDescent="0.25">
      <c r="A239" s="1043" t="str">
        <f>'Rekap SPP'!A760</f>
        <v>S2-HK 2013/2014 (GEL II)</v>
      </c>
      <c r="B239" s="1043"/>
      <c r="C239" s="1043"/>
      <c r="D239" s="1033" t="s">
        <v>3</v>
      </c>
      <c r="E239" s="1032" t="s">
        <v>4</v>
      </c>
      <c r="F239" s="1033" t="s">
        <v>3195</v>
      </c>
      <c r="G239" s="1032" t="s">
        <v>1</v>
      </c>
      <c r="H239" s="1033" t="s">
        <v>3341</v>
      </c>
      <c r="I239" s="1033" t="s">
        <v>3342</v>
      </c>
      <c r="J239" s="1062">
        <f>SUM(J240:J249)</f>
        <v>0</v>
      </c>
      <c r="L239" s="1063">
        <f>SUM(L240:L249)</f>
        <v>0</v>
      </c>
      <c r="M239" s="1063">
        <f>SUM(M240:M249)</f>
        <v>7</v>
      </c>
      <c r="N239" s="1063">
        <f>SUM(N240:N249)</f>
        <v>0</v>
      </c>
      <c r="O239" s="1063">
        <f>SUM(O240:O249)</f>
        <v>3</v>
      </c>
      <c r="P239" s="1063">
        <f>SUM(P240:P249)</f>
        <v>0</v>
      </c>
    </row>
    <row r="240" spans="1:16" x14ac:dyDescent="0.25">
      <c r="A240" s="1034">
        <v>714</v>
      </c>
      <c r="B240" s="1034">
        <f t="shared" si="92"/>
        <v>1</v>
      </c>
      <c r="C240" s="1034" t="str">
        <f t="shared" ref="C240:C249" si="130">IFERROR(VLOOKUP(A240,DB,4,FALSE),"")</f>
        <v>Ahmad Hoiri</v>
      </c>
      <c r="D240" s="1035" t="str">
        <f t="shared" ref="D240:D249" si="131">IFERROR(VLOOKUP(A240,DB,5,FALSE),"")</f>
        <v>HK</v>
      </c>
      <c r="E240" s="1036" t="str">
        <f t="shared" ref="E240:E249" si="132">IFERROR(VLOOKUP(A240,DB,6,FALSE),"")</f>
        <v>2013-</v>
      </c>
      <c r="F240" s="1035" t="str">
        <f t="shared" ref="F240:F249" si="133">IFERROR(VLOOKUP(A240,DB,7,FALSE),"")</f>
        <v>LULUS</v>
      </c>
      <c r="G240" s="1036">
        <f t="shared" ref="G240:G249" si="134">IFERROR(VLOOKUP(A240,DB,3,FALSE),"")</f>
        <v>839131002</v>
      </c>
      <c r="H240" s="1038">
        <f t="shared" ref="H240:H249" si="135">IF(F240="AKTIF",3000000,IF(F240="CUTI",3000000,0))</f>
        <v>0</v>
      </c>
      <c r="I240" s="1038">
        <f t="shared" ref="I240:I249" si="136">IFERROR(VLOOKUP(A240,DB,37,FALSE),"")-H240</f>
        <v>0</v>
      </c>
      <c r="J240" s="1038">
        <f t="shared" ref="J240:J249" si="137">I240+H240</f>
        <v>0</v>
      </c>
      <c r="L240" s="1060">
        <f t="shared" si="101"/>
        <v>0</v>
      </c>
      <c r="M240" s="1060">
        <f t="shared" ref="M240:M249" si="138">IF(F240="LULUS",1,0)</f>
        <v>1</v>
      </c>
      <c r="N240" s="1060">
        <f t="shared" ref="N240:N249" si="139">IF(F240="CUTI",1,0)</f>
        <v>0</v>
      </c>
      <c r="O240" s="1060">
        <f t="shared" ref="O240:O249" si="140">IF(F240="DROP OUT",1,0)</f>
        <v>0</v>
      </c>
      <c r="P240" s="1059">
        <f t="shared" ref="P240:P249" si="141">IF(F240="PASIF",1,0)</f>
        <v>0</v>
      </c>
    </row>
    <row r="241" spans="1:18" x14ac:dyDescent="0.25">
      <c r="A241" s="1034">
        <v>715</v>
      </c>
      <c r="B241" s="1034">
        <f t="shared" si="92"/>
        <v>2</v>
      </c>
      <c r="C241" s="1034" t="str">
        <f t="shared" si="130"/>
        <v>Andika Ronggo Gumuruh</v>
      </c>
      <c r="D241" s="1035" t="str">
        <f t="shared" si="131"/>
        <v>HK</v>
      </c>
      <c r="E241" s="1036" t="str">
        <f t="shared" si="132"/>
        <v>2013-</v>
      </c>
      <c r="F241" s="1035" t="str">
        <f t="shared" si="133"/>
        <v>LULUS</v>
      </c>
      <c r="G241" s="1036">
        <f t="shared" si="134"/>
        <v>839131003</v>
      </c>
      <c r="H241" s="1038">
        <f t="shared" si="135"/>
        <v>0</v>
      </c>
      <c r="I241" s="1038">
        <f t="shared" si="136"/>
        <v>0</v>
      </c>
      <c r="J241" s="1038">
        <f t="shared" si="137"/>
        <v>0</v>
      </c>
      <c r="L241" s="1060">
        <f t="shared" si="101"/>
        <v>0</v>
      </c>
      <c r="M241" s="1060">
        <f t="shared" si="138"/>
        <v>1</v>
      </c>
      <c r="N241" s="1060">
        <f t="shared" si="139"/>
        <v>0</v>
      </c>
      <c r="O241" s="1060">
        <f t="shared" si="140"/>
        <v>0</v>
      </c>
      <c r="P241" s="1059">
        <f t="shared" si="141"/>
        <v>0</v>
      </c>
    </row>
    <row r="242" spans="1:18" x14ac:dyDescent="0.25">
      <c r="A242" s="1034">
        <v>716</v>
      </c>
      <c r="B242" s="1034">
        <f t="shared" si="92"/>
        <v>3</v>
      </c>
      <c r="C242" s="1034" t="str">
        <f t="shared" si="130"/>
        <v>As'ari</v>
      </c>
      <c r="D242" s="1035" t="str">
        <f t="shared" si="131"/>
        <v>HK</v>
      </c>
      <c r="E242" s="1036" t="str">
        <f t="shared" si="132"/>
        <v>2013-</v>
      </c>
      <c r="F242" s="1035" t="str">
        <f t="shared" si="133"/>
        <v>DROP OUT</v>
      </c>
      <c r="G242" s="1036">
        <f t="shared" si="134"/>
        <v>839131004</v>
      </c>
      <c r="H242" s="1038">
        <f t="shared" si="135"/>
        <v>0</v>
      </c>
      <c r="I242" s="1038">
        <f t="shared" si="136"/>
        <v>0</v>
      </c>
      <c r="J242" s="1038">
        <f t="shared" si="137"/>
        <v>0</v>
      </c>
      <c r="L242" s="1060">
        <f t="shared" si="101"/>
        <v>0</v>
      </c>
      <c r="M242" s="1060">
        <f t="shared" si="138"/>
        <v>0</v>
      </c>
      <c r="N242" s="1060">
        <f t="shared" si="139"/>
        <v>0</v>
      </c>
      <c r="O242" s="1060">
        <f t="shared" si="140"/>
        <v>1</v>
      </c>
      <c r="P242" s="1059">
        <f t="shared" si="141"/>
        <v>0</v>
      </c>
    </row>
    <row r="243" spans="1:18" x14ac:dyDescent="0.25">
      <c r="A243" s="1034">
        <v>717</v>
      </c>
      <c r="B243" s="1034">
        <f t="shared" si="92"/>
        <v>4</v>
      </c>
      <c r="C243" s="1034" t="str">
        <f t="shared" si="130"/>
        <v>Erlinawati</v>
      </c>
      <c r="D243" s="1035" t="str">
        <f t="shared" si="131"/>
        <v>HK</v>
      </c>
      <c r="E243" s="1036" t="str">
        <f t="shared" si="132"/>
        <v>2013-</v>
      </c>
      <c r="F243" s="1035" t="str">
        <f t="shared" si="133"/>
        <v>DROP OUT</v>
      </c>
      <c r="G243" s="1036">
        <f t="shared" si="134"/>
        <v>839131005</v>
      </c>
      <c r="H243" s="1038">
        <f t="shared" si="135"/>
        <v>0</v>
      </c>
      <c r="I243" s="1038">
        <f t="shared" si="136"/>
        <v>0</v>
      </c>
      <c r="J243" s="1038">
        <f t="shared" si="137"/>
        <v>0</v>
      </c>
      <c r="L243" s="1060">
        <f t="shared" si="101"/>
        <v>0</v>
      </c>
      <c r="M243" s="1060">
        <f t="shared" si="138"/>
        <v>0</v>
      </c>
      <c r="N243" s="1060">
        <f t="shared" si="139"/>
        <v>0</v>
      </c>
      <c r="O243" s="1060">
        <f t="shared" si="140"/>
        <v>1</v>
      </c>
      <c r="P243" s="1059">
        <f t="shared" si="141"/>
        <v>0</v>
      </c>
    </row>
    <row r="244" spans="1:18" x14ac:dyDescent="0.25">
      <c r="A244" s="1034">
        <v>718</v>
      </c>
      <c r="B244" s="1034">
        <f t="shared" si="92"/>
        <v>5</v>
      </c>
      <c r="C244" s="1034" t="str">
        <f t="shared" si="130"/>
        <v>hamid salama</v>
      </c>
      <c r="D244" s="1035" t="str">
        <f t="shared" si="131"/>
        <v>HK</v>
      </c>
      <c r="E244" s="1036" t="str">
        <f t="shared" si="132"/>
        <v>2013-</v>
      </c>
      <c r="F244" s="1035" t="str">
        <f t="shared" si="133"/>
        <v>LULUS</v>
      </c>
      <c r="G244" s="1036">
        <f t="shared" si="134"/>
        <v>839131006</v>
      </c>
      <c r="H244" s="1038">
        <f t="shared" si="135"/>
        <v>0</v>
      </c>
      <c r="I244" s="1038">
        <f t="shared" si="136"/>
        <v>0</v>
      </c>
      <c r="J244" s="1038">
        <f t="shared" si="137"/>
        <v>0</v>
      </c>
      <c r="L244" s="1060">
        <f t="shared" si="101"/>
        <v>0</v>
      </c>
      <c r="M244" s="1060">
        <f t="shared" si="138"/>
        <v>1</v>
      </c>
      <c r="N244" s="1060">
        <f t="shared" si="139"/>
        <v>0</v>
      </c>
      <c r="O244" s="1060">
        <f t="shared" si="140"/>
        <v>0</v>
      </c>
      <c r="P244" s="1059">
        <f t="shared" si="141"/>
        <v>0</v>
      </c>
    </row>
    <row r="245" spans="1:18" x14ac:dyDescent="0.25">
      <c r="A245" s="1034">
        <v>719</v>
      </c>
      <c r="B245" s="1034">
        <f t="shared" si="92"/>
        <v>6</v>
      </c>
      <c r="C245" s="1034" t="str">
        <f t="shared" si="130"/>
        <v>khoirun Nasikhin</v>
      </c>
      <c r="D245" s="1035" t="str">
        <f t="shared" si="131"/>
        <v>HK</v>
      </c>
      <c r="E245" s="1036" t="str">
        <f t="shared" si="132"/>
        <v>2013-</v>
      </c>
      <c r="F245" s="1035" t="str">
        <f t="shared" si="133"/>
        <v>DROP OUT</v>
      </c>
      <c r="G245" s="1036">
        <f t="shared" si="134"/>
        <v>839131008</v>
      </c>
      <c r="H245" s="1038">
        <f t="shared" si="135"/>
        <v>0</v>
      </c>
      <c r="I245" s="1038">
        <f t="shared" si="136"/>
        <v>0</v>
      </c>
      <c r="J245" s="1038">
        <f t="shared" si="137"/>
        <v>0</v>
      </c>
      <c r="L245" s="1060">
        <f t="shared" si="101"/>
        <v>0</v>
      </c>
      <c r="M245" s="1060">
        <f t="shared" si="138"/>
        <v>0</v>
      </c>
      <c r="N245" s="1060">
        <f t="shared" si="139"/>
        <v>0</v>
      </c>
      <c r="O245" s="1060">
        <f t="shared" si="140"/>
        <v>1</v>
      </c>
      <c r="P245" s="1059">
        <f t="shared" si="141"/>
        <v>0</v>
      </c>
    </row>
    <row r="246" spans="1:18" x14ac:dyDescent="0.25">
      <c r="A246" s="1034">
        <v>720</v>
      </c>
      <c r="B246" s="1034">
        <f t="shared" si="92"/>
        <v>7</v>
      </c>
      <c r="C246" s="1034" t="str">
        <f t="shared" si="130"/>
        <v>Muhammad Zainuddin Sunarto</v>
      </c>
      <c r="D246" s="1035" t="str">
        <f t="shared" si="131"/>
        <v>HK</v>
      </c>
      <c r="E246" s="1036" t="str">
        <f t="shared" si="132"/>
        <v>2013-</v>
      </c>
      <c r="F246" s="1035" t="str">
        <f t="shared" si="133"/>
        <v>LULUS</v>
      </c>
      <c r="G246" s="1036">
        <f t="shared" si="134"/>
        <v>839131009</v>
      </c>
      <c r="H246" s="1038">
        <f t="shared" si="135"/>
        <v>0</v>
      </c>
      <c r="I246" s="1038">
        <f t="shared" si="136"/>
        <v>0</v>
      </c>
      <c r="J246" s="1038">
        <f t="shared" si="137"/>
        <v>0</v>
      </c>
      <c r="L246" s="1060">
        <f t="shared" si="101"/>
        <v>0</v>
      </c>
      <c r="M246" s="1060">
        <f t="shared" si="138"/>
        <v>1</v>
      </c>
      <c r="N246" s="1060">
        <f t="shared" si="139"/>
        <v>0</v>
      </c>
      <c r="O246" s="1060">
        <f t="shared" si="140"/>
        <v>0</v>
      </c>
      <c r="P246" s="1059">
        <f t="shared" si="141"/>
        <v>0</v>
      </c>
    </row>
    <row r="247" spans="1:18" x14ac:dyDescent="0.25">
      <c r="A247" s="1034">
        <v>721</v>
      </c>
      <c r="B247" s="1034">
        <f t="shared" si="92"/>
        <v>8</v>
      </c>
      <c r="C247" s="1034" t="str">
        <f t="shared" si="130"/>
        <v>Nur Yasin</v>
      </c>
      <c r="D247" s="1035" t="str">
        <f t="shared" si="131"/>
        <v>HK</v>
      </c>
      <c r="E247" s="1036" t="str">
        <f t="shared" si="132"/>
        <v>2013-</v>
      </c>
      <c r="F247" s="1035" t="str">
        <f t="shared" si="133"/>
        <v>LULUS</v>
      </c>
      <c r="G247" s="1036">
        <f t="shared" si="134"/>
        <v>839131011</v>
      </c>
      <c r="H247" s="1038">
        <f t="shared" si="135"/>
        <v>0</v>
      </c>
      <c r="I247" s="1038">
        <f t="shared" si="136"/>
        <v>0</v>
      </c>
      <c r="J247" s="1038">
        <f t="shared" si="137"/>
        <v>0</v>
      </c>
      <c r="L247" s="1060">
        <f t="shared" si="101"/>
        <v>0</v>
      </c>
      <c r="M247" s="1060">
        <f t="shared" si="138"/>
        <v>1</v>
      </c>
      <c r="N247" s="1060">
        <f t="shared" si="139"/>
        <v>0</v>
      </c>
      <c r="O247" s="1060">
        <f t="shared" si="140"/>
        <v>0</v>
      </c>
      <c r="P247" s="1059">
        <f t="shared" si="141"/>
        <v>0</v>
      </c>
    </row>
    <row r="248" spans="1:18" x14ac:dyDescent="0.25">
      <c r="A248" s="1034">
        <v>722</v>
      </c>
      <c r="B248" s="1034">
        <f t="shared" si="92"/>
        <v>9</v>
      </c>
      <c r="C248" s="1034" t="str">
        <f t="shared" si="130"/>
        <v>Purwadi</v>
      </c>
      <c r="D248" s="1035" t="str">
        <f t="shared" si="131"/>
        <v>HK</v>
      </c>
      <c r="E248" s="1036" t="str">
        <f t="shared" si="132"/>
        <v>2013-</v>
      </c>
      <c r="F248" s="1035" t="str">
        <f t="shared" si="133"/>
        <v>LULUS</v>
      </c>
      <c r="G248" s="1036">
        <f t="shared" si="134"/>
        <v>839131012</v>
      </c>
      <c r="H248" s="1038">
        <f t="shared" si="135"/>
        <v>0</v>
      </c>
      <c r="I248" s="1038">
        <f t="shared" si="136"/>
        <v>0</v>
      </c>
      <c r="J248" s="1038">
        <f t="shared" si="137"/>
        <v>0</v>
      </c>
      <c r="L248" s="1060">
        <f t="shared" si="101"/>
        <v>0</v>
      </c>
      <c r="M248" s="1060">
        <f t="shared" si="138"/>
        <v>1</v>
      </c>
      <c r="N248" s="1060">
        <f t="shared" si="139"/>
        <v>0</v>
      </c>
      <c r="O248" s="1060">
        <f t="shared" si="140"/>
        <v>0</v>
      </c>
      <c r="P248" s="1059">
        <f t="shared" si="141"/>
        <v>0</v>
      </c>
      <c r="R248" s="1039"/>
    </row>
    <row r="249" spans="1:18" x14ac:dyDescent="0.25">
      <c r="A249" s="1034">
        <v>723</v>
      </c>
      <c r="B249" s="1034">
        <f t="shared" si="92"/>
        <v>10</v>
      </c>
      <c r="C249" s="1034" t="str">
        <f t="shared" si="130"/>
        <v>Riza Amalia</v>
      </c>
      <c r="D249" s="1035" t="str">
        <f t="shared" si="131"/>
        <v>HK</v>
      </c>
      <c r="E249" s="1036" t="str">
        <f t="shared" si="132"/>
        <v>2013-</v>
      </c>
      <c r="F249" s="1035" t="str">
        <f t="shared" si="133"/>
        <v>LULUS</v>
      </c>
      <c r="G249" s="1036">
        <f t="shared" si="134"/>
        <v>839131013</v>
      </c>
      <c r="H249" s="1038">
        <f t="shared" si="135"/>
        <v>0</v>
      </c>
      <c r="I249" s="1038">
        <f t="shared" si="136"/>
        <v>0</v>
      </c>
      <c r="J249" s="1038">
        <f t="shared" si="137"/>
        <v>0</v>
      </c>
      <c r="L249" s="1060">
        <f t="shared" si="101"/>
        <v>0</v>
      </c>
      <c r="M249" s="1060">
        <f t="shared" si="138"/>
        <v>1</v>
      </c>
      <c r="N249" s="1060">
        <f t="shared" si="139"/>
        <v>0</v>
      </c>
      <c r="O249" s="1060">
        <f t="shared" si="140"/>
        <v>0</v>
      </c>
      <c r="P249" s="1059">
        <f t="shared" si="141"/>
        <v>0</v>
      </c>
    </row>
    <row r="250" spans="1:18" x14ac:dyDescent="0.25">
      <c r="A250" s="1039"/>
      <c r="B250" s="1039"/>
      <c r="C250" s="1039"/>
      <c r="D250" s="1040"/>
      <c r="E250" s="1041"/>
      <c r="F250" s="1040"/>
      <c r="G250" s="1041"/>
      <c r="H250" s="1042"/>
      <c r="I250" s="1042"/>
      <c r="J250" s="1042"/>
      <c r="L250" s="1042"/>
      <c r="M250" s="1042"/>
      <c r="N250" s="1042"/>
      <c r="O250" s="1042"/>
      <c r="P250" s="1042"/>
    </row>
    <row r="251" spans="1:18" x14ac:dyDescent="0.25">
      <c r="A251" s="1043" t="str">
        <f>'Rekap SPP'!A773</f>
        <v>S2-PI 2014/2015 (GEL I)</v>
      </c>
      <c r="B251" s="1043"/>
      <c r="C251" s="1043"/>
      <c r="D251" s="1033" t="s">
        <v>3</v>
      </c>
      <c r="E251" s="1032" t="s">
        <v>4</v>
      </c>
      <c r="F251" s="1033" t="s">
        <v>3195</v>
      </c>
      <c r="G251" s="1032" t="s">
        <v>1</v>
      </c>
      <c r="H251" s="1033" t="s">
        <v>3341</v>
      </c>
      <c r="I251" s="1033" t="s">
        <v>3342</v>
      </c>
      <c r="J251" s="1062">
        <f>SUM(J252:J269)</f>
        <v>0</v>
      </c>
      <c r="L251" s="1063">
        <f>SUM(L252:L270)</f>
        <v>0</v>
      </c>
      <c r="M251" s="1063">
        <f>SUM(M252:M270)</f>
        <v>14</v>
      </c>
      <c r="N251" s="1063">
        <f>SUM(N252:N270)</f>
        <v>0</v>
      </c>
      <c r="O251" s="1063">
        <f>SUM(O252:O270)</f>
        <v>5</v>
      </c>
      <c r="P251" s="1063">
        <f>SUM(P252:P270)</f>
        <v>0</v>
      </c>
    </row>
    <row r="252" spans="1:18" x14ac:dyDescent="0.25">
      <c r="A252" s="1034">
        <v>724</v>
      </c>
      <c r="B252" s="1034">
        <f t="shared" si="92"/>
        <v>1</v>
      </c>
      <c r="C252" s="1034" t="str">
        <f t="shared" ref="C252:C270" si="142">IFERROR(VLOOKUP(A252,DB,4,FALSE),"")</f>
        <v>Moh. Hasan Al- Basri</v>
      </c>
      <c r="D252" s="1035" t="str">
        <f t="shared" ref="D252:D270" si="143">IFERROR(VLOOKUP(A252,DB,5,FALSE),"")</f>
        <v>MPI-S2</v>
      </c>
      <c r="E252" s="1036">
        <f t="shared" ref="E252:E270" si="144">IFERROR(VLOOKUP(A252,DB,6,FALSE),"")</f>
        <v>2014</v>
      </c>
      <c r="F252" s="1035" t="str">
        <f t="shared" ref="F252:F270" si="145">IFERROR(VLOOKUP(A252,DB,7,FALSE),"")</f>
        <v>DROP OUT</v>
      </c>
      <c r="G252" s="1036">
        <f t="shared" ref="G252:G270" si="146">IFERROR(VLOOKUP(A252,DB,3,FALSE),"")</f>
        <v>849114009</v>
      </c>
      <c r="H252" s="1038">
        <f t="shared" ref="H252:H269" si="147">IF(F252="AKTIF",3000000,IF(F252="CUTI",3000000,0))</f>
        <v>0</v>
      </c>
      <c r="I252" s="1038">
        <f t="shared" ref="I252:I270" si="148">IFERROR(VLOOKUP(A252,DB,37,FALSE),"")-H252</f>
        <v>0</v>
      </c>
      <c r="J252" s="1038">
        <f t="shared" ref="J252:J269" si="149">I252+H252</f>
        <v>0</v>
      </c>
      <c r="L252" s="1060">
        <f t="shared" si="101"/>
        <v>0</v>
      </c>
      <c r="M252" s="1060">
        <f t="shared" ref="M252:M269" si="150">IF(F252="LULUS",1,0)</f>
        <v>0</v>
      </c>
      <c r="N252" s="1060">
        <f t="shared" ref="N252:N269" si="151">IF(F252="CUTI",1,0)</f>
        <v>0</v>
      </c>
      <c r="O252" s="1060">
        <f t="shared" ref="O252:O269" si="152">IF(F252="DROP OUT",1,0)</f>
        <v>1</v>
      </c>
      <c r="P252" s="1059">
        <f t="shared" ref="P252:P269" si="153">IF(F252="PASIF",1,0)</f>
        <v>0</v>
      </c>
    </row>
    <row r="253" spans="1:18" x14ac:dyDescent="0.25">
      <c r="A253" s="1034">
        <v>725</v>
      </c>
      <c r="B253" s="1034">
        <f t="shared" si="92"/>
        <v>2</v>
      </c>
      <c r="C253" s="1034" t="str">
        <f t="shared" si="142"/>
        <v>Yonansari Fitrotiningrum Muyasaroh</v>
      </c>
      <c r="D253" s="1035" t="str">
        <f t="shared" si="143"/>
        <v>MPI-S2</v>
      </c>
      <c r="E253" s="1036">
        <f t="shared" si="144"/>
        <v>2014</v>
      </c>
      <c r="F253" s="1035" t="str">
        <f t="shared" si="145"/>
        <v>LULUS</v>
      </c>
      <c r="G253" s="1036">
        <f t="shared" si="146"/>
        <v>849114035</v>
      </c>
      <c r="H253" s="1038">
        <f t="shared" si="147"/>
        <v>0</v>
      </c>
      <c r="I253" s="1038">
        <f t="shared" si="148"/>
        <v>0</v>
      </c>
      <c r="J253" s="1038">
        <f t="shared" si="149"/>
        <v>0</v>
      </c>
      <c r="L253" s="1060">
        <f t="shared" si="101"/>
        <v>0</v>
      </c>
      <c r="M253" s="1060">
        <f t="shared" si="150"/>
        <v>1</v>
      </c>
      <c r="N253" s="1060">
        <f t="shared" si="151"/>
        <v>0</v>
      </c>
      <c r="O253" s="1060">
        <f t="shared" si="152"/>
        <v>0</v>
      </c>
      <c r="P253" s="1059">
        <f t="shared" si="153"/>
        <v>0</v>
      </c>
    </row>
    <row r="254" spans="1:18" x14ac:dyDescent="0.25">
      <c r="A254" s="1034">
        <v>726</v>
      </c>
      <c r="B254" s="1034">
        <f t="shared" si="92"/>
        <v>3</v>
      </c>
      <c r="C254" s="1034" t="str">
        <f t="shared" si="142"/>
        <v>Moh. Nahrowi</v>
      </c>
      <c r="D254" s="1035" t="str">
        <f t="shared" si="143"/>
        <v>MPI-S2</v>
      </c>
      <c r="E254" s="1036">
        <f t="shared" si="144"/>
        <v>2014</v>
      </c>
      <c r="F254" s="1035" t="str">
        <f t="shared" si="145"/>
        <v>LULUS</v>
      </c>
      <c r="G254" s="1036">
        <f t="shared" si="146"/>
        <v>849114010</v>
      </c>
      <c r="H254" s="1038">
        <f t="shared" si="147"/>
        <v>0</v>
      </c>
      <c r="I254" s="1038">
        <f t="shared" si="148"/>
        <v>0</v>
      </c>
      <c r="J254" s="1038">
        <f t="shared" si="149"/>
        <v>0</v>
      </c>
      <c r="L254" s="1060">
        <f t="shared" si="101"/>
        <v>0</v>
      </c>
      <c r="M254" s="1060">
        <f t="shared" si="150"/>
        <v>1</v>
      </c>
      <c r="N254" s="1060">
        <f t="shared" si="151"/>
        <v>0</v>
      </c>
      <c r="O254" s="1060">
        <f t="shared" si="152"/>
        <v>0</v>
      </c>
      <c r="P254" s="1059">
        <f t="shared" si="153"/>
        <v>0</v>
      </c>
    </row>
    <row r="255" spans="1:18" x14ac:dyDescent="0.25">
      <c r="A255" s="1034">
        <v>727</v>
      </c>
      <c r="B255" s="1034">
        <f t="shared" si="92"/>
        <v>4</v>
      </c>
      <c r="C255" s="1034" t="str">
        <f t="shared" si="142"/>
        <v>Nurul Millah</v>
      </c>
      <c r="D255" s="1035" t="str">
        <f t="shared" si="143"/>
        <v>MPI-S2</v>
      </c>
      <c r="E255" s="1036">
        <f t="shared" si="144"/>
        <v>2014</v>
      </c>
      <c r="F255" s="1035" t="str">
        <f t="shared" si="145"/>
        <v>LULUS</v>
      </c>
      <c r="G255" s="1036">
        <f t="shared" si="146"/>
        <v>849114012</v>
      </c>
      <c r="H255" s="1038">
        <f t="shared" si="147"/>
        <v>0</v>
      </c>
      <c r="I255" s="1038">
        <f t="shared" si="148"/>
        <v>0</v>
      </c>
      <c r="J255" s="1038">
        <f t="shared" si="149"/>
        <v>0</v>
      </c>
      <c r="L255" s="1060">
        <f t="shared" si="101"/>
        <v>0</v>
      </c>
      <c r="M255" s="1060">
        <f t="shared" si="150"/>
        <v>1</v>
      </c>
      <c r="N255" s="1060">
        <f t="shared" si="151"/>
        <v>0</v>
      </c>
      <c r="O255" s="1060">
        <f t="shared" si="152"/>
        <v>0</v>
      </c>
      <c r="P255" s="1059">
        <f t="shared" si="153"/>
        <v>0</v>
      </c>
    </row>
    <row r="256" spans="1:18" x14ac:dyDescent="0.25">
      <c r="A256" s="1034">
        <v>728</v>
      </c>
      <c r="B256" s="1034">
        <f t="shared" si="92"/>
        <v>5</v>
      </c>
      <c r="C256" s="1034" t="str">
        <f t="shared" si="142"/>
        <v>Nawawi</v>
      </c>
      <c r="D256" s="1035" t="str">
        <f t="shared" si="143"/>
        <v>MPI-S2</v>
      </c>
      <c r="E256" s="1036">
        <f t="shared" si="144"/>
        <v>2014</v>
      </c>
      <c r="F256" s="1035" t="str">
        <f t="shared" si="145"/>
        <v>LULUS</v>
      </c>
      <c r="G256" s="1036">
        <f t="shared" si="146"/>
        <v>849114011</v>
      </c>
      <c r="H256" s="1038">
        <f t="shared" si="147"/>
        <v>0</v>
      </c>
      <c r="I256" s="1038">
        <f t="shared" si="148"/>
        <v>0</v>
      </c>
      <c r="J256" s="1038">
        <f t="shared" si="149"/>
        <v>0</v>
      </c>
      <c r="L256" s="1060">
        <f t="shared" si="101"/>
        <v>0</v>
      </c>
      <c r="M256" s="1060">
        <f t="shared" si="150"/>
        <v>1</v>
      </c>
      <c r="N256" s="1060">
        <f t="shared" si="151"/>
        <v>0</v>
      </c>
      <c r="O256" s="1060">
        <f t="shared" si="152"/>
        <v>0</v>
      </c>
      <c r="P256" s="1059">
        <f t="shared" si="153"/>
        <v>0</v>
      </c>
    </row>
    <row r="257" spans="1:18" x14ac:dyDescent="0.25">
      <c r="A257" s="1034">
        <v>729</v>
      </c>
      <c r="B257" s="1034">
        <f t="shared" si="92"/>
        <v>6</v>
      </c>
      <c r="C257" s="1034" t="str">
        <f t="shared" si="142"/>
        <v>Ivana Septia Maharani</v>
      </c>
      <c r="D257" s="1035" t="str">
        <f t="shared" si="143"/>
        <v>MPI-S2</v>
      </c>
      <c r="E257" s="1036">
        <f t="shared" si="144"/>
        <v>2014</v>
      </c>
      <c r="F257" s="1035" t="str">
        <f t="shared" si="145"/>
        <v>LULUS</v>
      </c>
      <c r="G257" s="1036">
        <f t="shared" si="146"/>
        <v>849114006</v>
      </c>
      <c r="H257" s="1038">
        <f t="shared" si="147"/>
        <v>0</v>
      </c>
      <c r="I257" s="1038">
        <f t="shared" si="148"/>
        <v>0</v>
      </c>
      <c r="J257" s="1038">
        <f t="shared" si="149"/>
        <v>0</v>
      </c>
      <c r="L257" s="1060">
        <f t="shared" si="101"/>
        <v>0</v>
      </c>
      <c r="M257" s="1060">
        <f t="shared" si="150"/>
        <v>1</v>
      </c>
      <c r="N257" s="1060">
        <f t="shared" si="151"/>
        <v>0</v>
      </c>
      <c r="O257" s="1060">
        <f t="shared" si="152"/>
        <v>0</v>
      </c>
      <c r="P257" s="1059">
        <f t="shared" si="153"/>
        <v>0</v>
      </c>
    </row>
    <row r="258" spans="1:18" x14ac:dyDescent="0.25">
      <c r="A258" s="1034">
        <v>730</v>
      </c>
      <c r="B258" s="1034">
        <f t="shared" si="92"/>
        <v>7</v>
      </c>
      <c r="C258" s="1034" t="str">
        <f t="shared" si="142"/>
        <v>Atiqoh</v>
      </c>
      <c r="D258" s="1035" t="str">
        <f t="shared" si="143"/>
        <v>MPI-S2</v>
      </c>
      <c r="E258" s="1036">
        <f t="shared" si="144"/>
        <v>2014</v>
      </c>
      <c r="F258" s="1035" t="str">
        <f t="shared" si="145"/>
        <v>LULUS</v>
      </c>
      <c r="G258" s="1036">
        <f t="shared" si="146"/>
        <v>849114003</v>
      </c>
      <c r="H258" s="1038">
        <f t="shared" si="147"/>
        <v>0</v>
      </c>
      <c r="I258" s="1038">
        <f t="shared" si="148"/>
        <v>0</v>
      </c>
      <c r="J258" s="1038">
        <f t="shared" si="149"/>
        <v>0</v>
      </c>
      <c r="L258" s="1060">
        <f t="shared" si="101"/>
        <v>0</v>
      </c>
      <c r="M258" s="1060">
        <f t="shared" si="150"/>
        <v>1</v>
      </c>
      <c r="N258" s="1060">
        <f t="shared" si="151"/>
        <v>0</v>
      </c>
      <c r="O258" s="1060">
        <f t="shared" si="152"/>
        <v>0</v>
      </c>
      <c r="P258" s="1059">
        <f t="shared" si="153"/>
        <v>0</v>
      </c>
    </row>
    <row r="259" spans="1:18" x14ac:dyDescent="0.25">
      <c r="A259" s="1034">
        <v>731</v>
      </c>
      <c r="B259" s="1034">
        <f t="shared" si="92"/>
        <v>8</v>
      </c>
      <c r="C259" s="1034" t="str">
        <f t="shared" si="142"/>
        <v>Hanip</v>
      </c>
      <c r="D259" s="1035" t="str">
        <f t="shared" si="143"/>
        <v>MPI-S2</v>
      </c>
      <c r="E259" s="1036">
        <f t="shared" si="144"/>
        <v>2014</v>
      </c>
      <c r="F259" s="1035" t="str">
        <f t="shared" si="145"/>
        <v>LULUS</v>
      </c>
      <c r="G259" s="1036">
        <f t="shared" si="146"/>
        <v>849114005</v>
      </c>
      <c r="H259" s="1038">
        <f t="shared" si="147"/>
        <v>0</v>
      </c>
      <c r="I259" s="1038">
        <f t="shared" si="148"/>
        <v>0</v>
      </c>
      <c r="J259" s="1038">
        <f t="shared" si="149"/>
        <v>0</v>
      </c>
      <c r="L259" s="1060">
        <f t="shared" si="101"/>
        <v>0</v>
      </c>
      <c r="M259" s="1060">
        <f t="shared" si="150"/>
        <v>1</v>
      </c>
      <c r="N259" s="1060">
        <f t="shared" si="151"/>
        <v>0</v>
      </c>
      <c r="O259" s="1060">
        <f t="shared" si="152"/>
        <v>0</v>
      </c>
      <c r="P259" s="1059">
        <f t="shared" si="153"/>
        <v>0</v>
      </c>
    </row>
    <row r="260" spans="1:18" x14ac:dyDescent="0.25">
      <c r="A260" s="1034">
        <v>732</v>
      </c>
      <c r="B260" s="1034">
        <f t="shared" si="92"/>
        <v>9</v>
      </c>
      <c r="C260" s="1034" t="str">
        <f t="shared" si="142"/>
        <v>Malihatil Uyun</v>
      </c>
      <c r="D260" s="1035" t="str">
        <f t="shared" si="143"/>
        <v>MPI-S2</v>
      </c>
      <c r="E260" s="1036">
        <f t="shared" si="144"/>
        <v>2014</v>
      </c>
      <c r="F260" s="1035" t="str">
        <f t="shared" si="145"/>
        <v>LULUS</v>
      </c>
      <c r="G260" s="1036">
        <f t="shared" si="146"/>
        <v>849114008</v>
      </c>
      <c r="H260" s="1038">
        <f t="shared" si="147"/>
        <v>0</v>
      </c>
      <c r="I260" s="1038">
        <f t="shared" si="148"/>
        <v>0</v>
      </c>
      <c r="J260" s="1038">
        <f t="shared" si="149"/>
        <v>0</v>
      </c>
      <c r="L260" s="1060">
        <f t="shared" si="101"/>
        <v>0</v>
      </c>
      <c r="M260" s="1060">
        <f t="shared" si="150"/>
        <v>1</v>
      </c>
      <c r="N260" s="1060">
        <f t="shared" si="151"/>
        <v>0</v>
      </c>
      <c r="O260" s="1060">
        <f t="shared" si="152"/>
        <v>0</v>
      </c>
      <c r="P260" s="1059">
        <f t="shared" si="153"/>
        <v>0</v>
      </c>
    </row>
    <row r="261" spans="1:18" x14ac:dyDescent="0.25">
      <c r="A261" s="1034">
        <v>733</v>
      </c>
      <c r="B261" s="1034">
        <f t="shared" si="92"/>
        <v>10</v>
      </c>
      <c r="C261" s="1034" t="str">
        <f t="shared" si="142"/>
        <v>M.Ridwan Al - Amin</v>
      </c>
      <c r="D261" s="1035" t="str">
        <f t="shared" si="143"/>
        <v>MPI-S2</v>
      </c>
      <c r="E261" s="1036">
        <f t="shared" si="144"/>
        <v>2014</v>
      </c>
      <c r="F261" s="1035" t="str">
        <f t="shared" si="145"/>
        <v>LULUS</v>
      </c>
      <c r="G261" s="1036">
        <f t="shared" si="146"/>
        <v>849114007</v>
      </c>
      <c r="H261" s="1038">
        <f t="shared" si="147"/>
        <v>0</v>
      </c>
      <c r="I261" s="1038">
        <f t="shared" si="148"/>
        <v>0</v>
      </c>
      <c r="J261" s="1038">
        <f t="shared" si="149"/>
        <v>0</v>
      </c>
      <c r="L261" s="1060">
        <f t="shared" ref="L261:L333" si="154">IF(F261="AKTIF",1,0)</f>
        <v>0</v>
      </c>
      <c r="M261" s="1060">
        <f t="shared" si="150"/>
        <v>1</v>
      </c>
      <c r="N261" s="1060">
        <f t="shared" si="151"/>
        <v>0</v>
      </c>
      <c r="O261" s="1060">
        <f t="shared" si="152"/>
        <v>0</v>
      </c>
      <c r="P261" s="1059">
        <f t="shared" si="153"/>
        <v>0</v>
      </c>
    </row>
    <row r="262" spans="1:18" x14ac:dyDescent="0.25">
      <c r="A262" s="1034">
        <v>734</v>
      </c>
      <c r="B262" s="1034">
        <f t="shared" si="92"/>
        <v>11</v>
      </c>
      <c r="C262" s="1034" t="str">
        <f t="shared" si="142"/>
        <v>Zamilul Mas'ad</v>
      </c>
      <c r="D262" s="1035" t="str">
        <f t="shared" si="143"/>
        <v xml:space="preserve">MPI-S2 </v>
      </c>
      <c r="E262" s="1036">
        <f t="shared" si="144"/>
        <v>2014</v>
      </c>
      <c r="F262" s="1035" t="str">
        <f t="shared" si="145"/>
        <v>LULUS</v>
      </c>
      <c r="G262" s="1036">
        <f t="shared" si="146"/>
        <v>849114037</v>
      </c>
      <c r="H262" s="1038">
        <f t="shared" si="147"/>
        <v>0</v>
      </c>
      <c r="I262" s="1038">
        <f t="shared" si="148"/>
        <v>0</v>
      </c>
      <c r="J262" s="1038">
        <f t="shared" si="149"/>
        <v>0</v>
      </c>
      <c r="L262" s="1060">
        <f t="shared" si="154"/>
        <v>0</v>
      </c>
      <c r="M262" s="1060">
        <f t="shared" si="150"/>
        <v>1</v>
      </c>
      <c r="N262" s="1060">
        <f t="shared" si="151"/>
        <v>0</v>
      </c>
      <c r="O262" s="1060">
        <f t="shared" si="152"/>
        <v>0</v>
      </c>
      <c r="P262" s="1059">
        <f t="shared" si="153"/>
        <v>0</v>
      </c>
    </row>
    <row r="263" spans="1:18" x14ac:dyDescent="0.25">
      <c r="A263" s="1034">
        <v>735</v>
      </c>
      <c r="B263" s="1034">
        <f t="shared" si="92"/>
        <v>12</v>
      </c>
      <c r="C263" s="1034" t="str">
        <f t="shared" si="142"/>
        <v>Wasito</v>
      </c>
      <c r="D263" s="1035" t="str">
        <f t="shared" si="143"/>
        <v>MPI-S2</v>
      </c>
      <c r="E263" s="1036">
        <f t="shared" si="144"/>
        <v>2014</v>
      </c>
      <c r="F263" s="1035" t="str">
        <f t="shared" si="145"/>
        <v>DROP OUT</v>
      </c>
      <c r="G263" s="1036">
        <f t="shared" si="146"/>
        <v>849114043</v>
      </c>
      <c r="H263" s="1038">
        <f t="shared" si="147"/>
        <v>0</v>
      </c>
      <c r="I263" s="1038">
        <f t="shared" si="148"/>
        <v>0</v>
      </c>
      <c r="J263" s="1038">
        <f t="shared" si="149"/>
        <v>0</v>
      </c>
      <c r="L263" s="1060">
        <f t="shared" si="154"/>
        <v>0</v>
      </c>
      <c r="M263" s="1060">
        <f t="shared" si="150"/>
        <v>0</v>
      </c>
      <c r="N263" s="1060">
        <f t="shared" si="151"/>
        <v>0</v>
      </c>
      <c r="O263" s="1060">
        <f t="shared" si="152"/>
        <v>1</v>
      </c>
      <c r="P263" s="1059">
        <f t="shared" si="153"/>
        <v>0</v>
      </c>
    </row>
    <row r="264" spans="1:18" x14ac:dyDescent="0.25">
      <c r="A264" s="1034">
        <v>736</v>
      </c>
      <c r="B264" s="1034">
        <f t="shared" si="92"/>
        <v>13</v>
      </c>
      <c r="C264" s="1034" t="str">
        <f t="shared" si="142"/>
        <v>Bel'it Kiadi</v>
      </c>
      <c r="D264" s="1035" t="str">
        <f t="shared" si="143"/>
        <v>MPI-S2</v>
      </c>
      <c r="E264" s="1036">
        <f t="shared" si="144"/>
        <v>2014</v>
      </c>
      <c r="F264" s="1035" t="str">
        <f t="shared" si="145"/>
        <v>LULUS</v>
      </c>
      <c r="G264" s="1036">
        <f t="shared" si="146"/>
        <v>849114018</v>
      </c>
      <c r="H264" s="1038">
        <f t="shared" si="147"/>
        <v>0</v>
      </c>
      <c r="I264" s="1038">
        <f t="shared" si="148"/>
        <v>0</v>
      </c>
      <c r="J264" s="1038">
        <f t="shared" si="149"/>
        <v>0</v>
      </c>
      <c r="L264" s="1060">
        <f t="shared" si="154"/>
        <v>0</v>
      </c>
      <c r="M264" s="1060">
        <f t="shared" si="150"/>
        <v>1</v>
      </c>
      <c r="N264" s="1060">
        <f t="shared" si="151"/>
        <v>0</v>
      </c>
      <c r="O264" s="1060">
        <f t="shared" si="152"/>
        <v>0</v>
      </c>
      <c r="P264" s="1059">
        <f t="shared" si="153"/>
        <v>0</v>
      </c>
    </row>
    <row r="265" spans="1:18" x14ac:dyDescent="0.25">
      <c r="A265" s="1034">
        <v>737</v>
      </c>
      <c r="B265" s="1034">
        <f t="shared" si="92"/>
        <v>14</v>
      </c>
      <c r="C265" s="1034" t="str">
        <f t="shared" si="142"/>
        <v>Dluha Muthiatul Amroini</v>
      </c>
      <c r="D265" s="1035" t="str">
        <f t="shared" si="143"/>
        <v>MPI-S2</v>
      </c>
      <c r="E265" s="1036">
        <f t="shared" si="144"/>
        <v>2014</v>
      </c>
      <c r="F265" s="1035" t="str">
        <f t="shared" si="145"/>
        <v>DROP OUT</v>
      </c>
      <c r="G265" s="1036">
        <f t="shared" si="146"/>
        <v>849114004</v>
      </c>
      <c r="H265" s="1038">
        <f t="shared" si="147"/>
        <v>0</v>
      </c>
      <c r="I265" s="1038">
        <f t="shared" si="148"/>
        <v>0</v>
      </c>
      <c r="J265" s="1038">
        <f t="shared" si="149"/>
        <v>0</v>
      </c>
      <c r="L265" s="1060">
        <f t="shared" si="154"/>
        <v>0</v>
      </c>
      <c r="M265" s="1060">
        <f t="shared" si="150"/>
        <v>0</v>
      </c>
      <c r="N265" s="1060">
        <f t="shared" si="151"/>
        <v>0</v>
      </c>
      <c r="O265" s="1060">
        <f t="shared" si="152"/>
        <v>1</v>
      </c>
      <c r="P265" s="1059">
        <f t="shared" si="153"/>
        <v>0</v>
      </c>
    </row>
    <row r="266" spans="1:18" x14ac:dyDescent="0.25">
      <c r="A266" s="1034">
        <v>738</v>
      </c>
      <c r="B266" s="1034">
        <f t="shared" si="92"/>
        <v>15</v>
      </c>
      <c r="C266" s="1034" t="str">
        <f t="shared" si="142"/>
        <v>Abdul AziS</v>
      </c>
      <c r="D266" s="1035" t="str">
        <f t="shared" si="143"/>
        <v>MPI-S2</v>
      </c>
      <c r="E266" s="1036">
        <f t="shared" si="144"/>
        <v>2014</v>
      </c>
      <c r="F266" s="1035" t="str">
        <f t="shared" si="145"/>
        <v>LULUS</v>
      </c>
      <c r="G266" s="1036">
        <f t="shared" si="146"/>
        <v>849114001</v>
      </c>
      <c r="H266" s="1038">
        <f t="shared" si="147"/>
        <v>0</v>
      </c>
      <c r="I266" s="1038">
        <f t="shared" si="148"/>
        <v>0</v>
      </c>
      <c r="J266" s="1038">
        <f t="shared" si="149"/>
        <v>0</v>
      </c>
      <c r="L266" s="1060">
        <f t="shared" si="154"/>
        <v>0</v>
      </c>
      <c r="M266" s="1060">
        <f t="shared" si="150"/>
        <v>1</v>
      </c>
      <c r="N266" s="1060">
        <f t="shared" si="151"/>
        <v>0</v>
      </c>
      <c r="O266" s="1060">
        <f t="shared" si="152"/>
        <v>0</v>
      </c>
      <c r="P266" s="1059">
        <f t="shared" si="153"/>
        <v>0</v>
      </c>
    </row>
    <row r="267" spans="1:18" x14ac:dyDescent="0.25">
      <c r="A267" s="1034">
        <v>739</v>
      </c>
      <c r="B267" s="1034">
        <f t="shared" si="92"/>
        <v>16</v>
      </c>
      <c r="C267" s="1034" t="str">
        <f t="shared" si="142"/>
        <v>Abdul Hamid BasHori</v>
      </c>
      <c r="D267" s="1035" t="str">
        <f t="shared" si="143"/>
        <v>MPI-S2</v>
      </c>
      <c r="E267" s="1036">
        <f t="shared" si="144"/>
        <v>2014</v>
      </c>
      <c r="F267" s="1035" t="str">
        <f t="shared" si="145"/>
        <v>LULUS</v>
      </c>
      <c r="G267" s="1036">
        <f t="shared" si="146"/>
        <v>849114002</v>
      </c>
      <c r="H267" s="1038">
        <f t="shared" si="147"/>
        <v>0</v>
      </c>
      <c r="I267" s="1038">
        <f t="shared" si="148"/>
        <v>0</v>
      </c>
      <c r="J267" s="1038">
        <f t="shared" si="149"/>
        <v>0</v>
      </c>
      <c r="L267" s="1060">
        <f t="shared" si="154"/>
        <v>0</v>
      </c>
      <c r="M267" s="1060">
        <f t="shared" si="150"/>
        <v>1</v>
      </c>
      <c r="N267" s="1060">
        <f t="shared" si="151"/>
        <v>0</v>
      </c>
      <c r="O267" s="1060">
        <f t="shared" si="152"/>
        <v>0</v>
      </c>
      <c r="P267" s="1059">
        <f t="shared" si="153"/>
        <v>0</v>
      </c>
    </row>
    <row r="268" spans="1:18" x14ac:dyDescent="0.25">
      <c r="A268" s="1034">
        <v>740</v>
      </c>
      <c r="B268" s="1034">
        <f t="shared" si="92"/>
        <v>17</v>
      </c>
      <c r="C268" s="1034" t="str">
        <f t="shared" si="142"/>
        <v>Mohammad Zakki Nur Fahmi</v>
      </c>
      <c r="D268" s="1035" t="str">
        <f t="shared" si="143"/>
        <v>MPI-S2</v>
      </c>
      <c r="E268" s="1036">
        <f t="shared" si="144"/>
        <v>2014</v>
      </c>
      <c r="F268" s="1035" t="str">
        <f t="shared" si="145"/>
        <v>DROP OUT</v>
      </c>
      <c r="G268" s="1036">
        <f t="shared" si="146"/>
        <v>849114026</v>
      </c>
      <c r="H268" s="1038">
        <f t="shared" si="147"/>
        <v>0</v>
      </c>
      <c r="I268" s="1038">
        <f t="shared" si="148"/>
        <v>0</v>
      </c>
      <c r="J268" s="1038">
        <f t="shared" si="149"/>
        <v>0</v>
      </c>
      <c r="L268" s="1060">
        <f t="shared" si="154"/>
        <v>0</v>
      </c>
      <c r="M268" s="1060">
        <f t="shared" si="150"/>
        <v>0</v>
      </c>
      <c r="N268" s="1060">
        <f t="shared" si="151"/>
        <v>0</v>
      </c>
      <c r="O268" s="1060">
        <f t="shared" si="152"/>
        <v>1</v>
      </c>
      <c r="P268" s="1059">
        <f t="shared" si="153"/>
        <v>0</v>
      </c>
      <c r="R268" s="1039"/>
    </row>
    <row r="269" spans="1:18" x14ac:dyDescent="0.25">
      <c r="A269" s="1034">
        <v>741</v>
      </c>
      <c r="B269" s="1034">
        <f t="shared" si="92"/>
        <v>18</v>
      </c>
      <c r="C269" s="1034" t="str">
        <f t="shared" si="142"/>
        <v>Fuad Abdul Baqie Masrur</v>
      </c>
      <c r="D269" s="1035" t="str">
        <f t="shared" si="143"/>
        <v>MPI-S2</v>
      </c>
      <c r="E269" s="1036">
        <f t="shared" si="144"/>
        <v>2014</v>
      </c>
      <c r="F269" s="1035" t="str">
        <f t="shared" si="145"/>
        <v>DROP OUT</v>
      </c>
      <c r="G269" s="1036">
        <f t="shared" si="146"/>
        <v>849114020</v>
      </c>
      <c r="H269" s="1038">
        <f t="shared" si="147"/>
        <v>0</v>
      </c>
      <c r="I269" s="1038">
        <f t="shared" si="148"/>
        <v>0</v>
      </c>
      <c r="J269" s="1038">
        <f t="shared" si="149"/>
        <v>0</v>
      </c>
      <c r="L269" s="1060">
        <f t="shared" si="154"/>
        <v>0</v>
      </c>
      <c r="M269" s="1060">
        <f t="shared" si="150"/>
        <v>0</v>
      </c>
      <c r="N269" s="1060">
        <f t="shared" si="151"/>
        <v>0</v>
      </c>
      <c r="O269" s="1060">
        <f t="shared" si="152"/>
        <v>1</v>
      </c>
      <c r="P269" s="1059">
        <f t="shared" si="153"/>
        <v>0</v>
      </c>
    </row>
    <row r="270" spans="1:18" x14ac:dyDescent="0.25">
      <c r="A270" s="1034">
        <v>742</v>
      </c>
      <c r="B270" s="1034">
        <f t="shared" ref="B270" si="155">IFERROR(VLOOKUP(A270,DB,2,FALSE),"")</f>
        <v>18</v>
      </c>
      <c r="C270" s="1034" t="str">
        <f t="shared" si="142"/>
        <v>M. Kanzul Fikri</v>
      </c>
      <c r="D270" s="1035" t="str">
        <f t="shared" si="143"/>
        <v>MPI-S2</v>
      </c>
      <c r="E270" s="1036">
        <f t="shared" si="144"/>
        <v>2014</v>
      </c>
      <c r="F270" s="1035" t="str">
        <f t="shared" si="145"/>
        <v>LULUS</v>
      </c>
      <c r="G270" s="1036">
        <f t="shared" si="146"/>
        <v>849114025</v>
      </c>
      <c r="H270" s="1038">
        <f t="shared" ref="H270" si="156">IF(F270="AKTIF",3000000,IF(F270="CUTI",3000000,0))</f>
        <v>0</v>
      </c>
      <c r="I270" s="1038">
        <f t="shared" si="148"/>
        <v>0</v>
      </c>
      <c r="J270" s="1038">
        <f t="shared" ref="J270" si="157">I270+H270</f>
        <v>0</v>
      </c>
      <c r="L270" s="1060">
        <f t="shared" ref="L270" si="158">IF(F270="AKTIF",1,0)</f>
        <v>0</v>
      </c>
      <c r="M270" s="1060">
        <f t="shared" ref="M270" si="159">IF(F270="LULUS",1,0)</f>
        <v>1</v>
      </c>
      <c r="N270" s="1060">
        <f t="shared" ref="N270" si="160">IF(F270="CUTI",1,0)</f>
        <v>0</v>
      </c>
      <c r="O270" s="1060">
        <f t="shared" ref="O270" si="161">IF(F270="DROP OUT",1,0)</f>
        <v>0</v>
      </c>
      <c r="P270" s="1059">
        <f t="shared" ref="P270" si="162">IF(F270="PASIF",1,0)</f>
        <v>0</v>
      </c>
    </row>
    <row r="271" spans="1:18" x14ac:dyDescent="0.25">
      <c r="A271" s="1039"/>
      <c r="B271" s="1039"/>
      <c r="C271" s="1039"/>
      <c r="D271" s="1040"/>
      <c r="E271" s="1041"/>
      <c r="F271" s="1040"/>
      <c r="G271" s="1041"/>
      <c r="H271" s="1042"/>
      <c r="I271" s="1042"/>
      <c r="J271" s="1042"/>
      <c r="L271" s="1042"/>
      <c r="M271" s="1042"/>
      <c r="N271" s="1042"/>
      <c r="O271" s="1042"/>
      <c r="P271" s="1042"/>
    </row>
    <row r="272" spans="1:18" x14ac:dyDescent="0.25">
      <c r="A272" s="1043" t="str">
        <f>'Rekap SPP'!A794</f>
        <v xml:space="preserve">S2-PBA 2014/2015 </v>
      </c>
      <c r="B272" s="1043"/>
      <c r="C272" s="1043"/>
      <c r="D272" s="1033" t="s">
        <v>3</v>
      </c>
      <c r="E272" s="1032" t="s">
        <v>4</v>
      </c>
      <c r="F272" s="1033" t="s">
        <v>3195</v>
      </c>
      <c r="G272" s="1032" t="s">
        <v>1</v>
      </c>
      <c r="H272" s="1033" t="s">
        <v>3341</v>
      </c>
      <c r="I272" s="1033" t="s">
        <v>3342</v>
      </c>
      <c r="J272" s="1062">
        <f>SUM(J273:J288)</f>
        <v>0</v>
      </c>
      <c r="L272" s="1063">
        <f>SUM(L273:L288)</f>
        <v>0</v>
      </c>
      <c r="M272" s="1063">
        <f>SUM(M273:M288)</f>
        <v>14</v>
      </c>
      <c r="N272" s="1063">
        <f>SUM(N273:N288)</f>
        <v>0</v>
      </c>
      <c r="O272" s="1063">
        <f>SUM(O273:O288)</f>
        <v>2</v>
      </c>
      <c r="P272" s="1063">
        <f>SUM(P273:P288)</f>
        <v>0</v>
      </c>
    </row>
    <row r="273" spans="1:16" x14ac:dyDescent="0.25">
      <c r="A273" s="1034">
        <v>743</v>
      </c>
      <c r="B273" s="1034">
        <f t="shared" si="92"/>
        <v>1</v>
      </c>
      <c r="C273" s="1034" t="str">
        <f t="shared" ref="C273:C288" si="163">IFERROR(VLOOKUP(A273,DB,4,FALSE),"")</f>
        <v>Achmad Syaiful Amin</v>
      </c>
      <c r="D273" s="1035" t="str">
        <f t="shared" ref="D273:D288" si="164">IFERROR(VLOOKUP(A273,DB,5,FALSE),"")</f>
        <v>PBA</v>
      </c>
      <c r="E273" s="1036">
        <f t="shared" ref="E273:E288" si="165">IFERROR(VLOOKUP(A273,DB,6,FALSE),"")</f>
        <v>2014</v>
      </c>
      <c r="F273" s="1035" t="str">
        <f t="shared" ref="F273:F288" si="166">IFERROR(VLOOKUP(A273,DB,7,FALSE),"")</f>
        <v>LULUS</v>
      </c>
      <c r="G273" s="1036">
        <f t="shared" ref="G273:G288" si="167">IFERROR(VLOOKUP(A273,DB,3,FALSE),"")</f>
        <v>849214001</v>
      </c>
      <c r="H273" s="1038">
        <f t="shared" ref="H273:H288" si="168">IF(F273="AKTIF",3000000,IF(F273="CUTI",3000000,0))</f>
        <v>0</v>
      </c>
      <c r="I273" s="1038">
        <f t="shared" ref="I273:I288" si="169">IFERROR(VLOOKUP(A273,DB,37,FALSE),"")-H273</f>
        <v>0</v>
      </c>
      <c r="J273" s="1038">
        <f t="shared" ref="J273:J287" si="170">I273+H273</f>
        <v>0</v>
      </c>
      <c r="L273" s="1060">
        <f t="shared" si="154"/>
        <v>0</v>
      </c>
      <c r="M273" s="1060">
        <f t="shared" ref="M273:M288" si="171">IF(F273="LULUS",1,0)</f>
        <v>1</v>
      </c>
      <c r="N273" s="1060">
        <f t="shared" ref="N273:N288" si="172">IF(F273="CUTI",1,0)</f>
        <v>0</v>
      </c>
      <c r="O273" s="1060">
        <f t="shared" ref="O273:O288" si="173">IF(F273="DROP OUT",1,0)</f>
        <v>0</v>
      </c>
      <c r="P273" s="1060">
        <f t="shared" ref="P273:P288" si="174">IF(F273="PASIF",1,0)</f>
        <v>0</v>
      </c>
    </row>
    <row r="274" spans="1:16" x14ac:dyDescent="0.25">
      <c r="A274" s="1034">
        <v>744</v>
      </c>
      <c r="B274" s="1034">
        <f t="shared" si="92"/>
        <v>2</v>
      </c>
      <c r="C274" s="1034" t="str">
        <f t="shared" si="163"/>
        <v>Aan Andriana</v>
      </c>
      <c r="D274" s="1035" t="str">
        <f t="shared" si="164"/>
        <v>PBA</v>
      </c>
      <c r="E274" s="1036">
        <f t="shared" si="165"/>
        <v>2014</v>
      </c>
      <c r="F274" s="1035" t="str">
        <f t="shared" si="166"/>
        <v>LULUS</v>
      </c>
      <c r="G274" s="1036">
        <f t="shared" si="167"/>
        <v>849214002</v>
      </c>
      <c r="H274" s="1038">
        <f t="shared" si="168"/>
        <v>0</v>
      </c>
      <c r="I274" s="1038">
        <f t="shared" si="169"/>
        <v>0</v>
      </c>
      <c r="J274" s="1038">
        <f t="shared" si="170"/>
        <v>0</v>
      </c>
      <c r="L274" s="1060">
        <f t="shared" si="154"/>
        <v>0</v>
      </c>
      <c r="M274" s="1060">
        <f t="shared" si="171"/>
        <v>1</v>
      </c>
      <c r="N274" s="1060">
        <f t="shared" si="172"/>
        <v>0</v>
      </c>
      <c r="O274" s="1060">
        <f t="shared" si="173"/>
        <v>0</v>
      </c>
      <c r="P274" s="1060">
        <f t="shared" si="174"/>
        <v>0</v>
      </c>
    </row>
    <row r="275" spans="1:16" x14ac:dyDescent="0.25">
      <c r="A275" s="1034">
        <v>745</v>
      </c>
      <c r="B275" s="1034">
        <f t="shared" si="92"/>
        <v>3</v>
      </c>
      <c r="C275" s="1034" t="str">
        <f t="shared" si="163"/>
        <v>Afifah</v>
      </c>
      <c r="D275" s="1035" t="str">
        <f t="shared" si="164"/>
        <v>PBA</v>
      </c>
      <c r="E275" s="1036">
        <f t="shared" si="165"/>
        <v>2014</v>
      </c>
      <c r="F275" s="1035" t="str">
        <f t="shared" si="166"/>
        <v>LULUS</v>
      </c>
      <c r="G275" s="1036">
        <f t="shared" si="167"/>
        <v>849214003</v>
      </c>
      <c r="H275" s="1038">
        <f t="shared" si="168"/>
        <v>0</v>
      </c>
      <c r="I275" s="1038">
        <f t="shared" si="169"/>
        <v>0</v>
      </c>
      <c r="J275" s="1038">
        <f t="shared" si="170"/>
        <v>0</v>
      </c>
      <c r="L275" s="1060">
        <f t="shared" si="154"/>
        <v>0</v>
      </c>
      <c r="M275" s="1060">
        <f t="shared" si="171"/>
        <v>1</v>
      </c>
      <c r="N275" s="1060">
        <f t="shared" si="172"/>
        <v>0</v>
      </c>
      <c r="O275" s="1060">
        <f t="shared" si="173"/>
        <v>0</v>
      </c>
      <c r="P275" s="1060">
        <f t="shared" si="174"/>
        <v>0</v>
      </c>
    </row>
    <row r="276" spans="1:16" x14ac:dyDescent="0.25">
      <c r="A276" s="1034">
        <v>746</v>
      </c>
      <c r="B276" s="1034">
        <f t="shared" si="92"/>
        <v>4</v>
      </c>
      <c r="C276" s="1034" t="str">
        <f t="shared" si="163"/>
        <v>Hosi'in Zailani</v>
      </c>
      <c r="D276" s="1035" t="str">
        <f t="shared" si="164"/>
        <v>PBA</v>
      </c>
      <c r="E276" s="1036">
        <f t="shared" si="165"/>
        <v>2014</v>
      </c>
      <c r="F276" s="1035" t="str">
        <f t="shared" si="166"/>
        <v>DROP OUT</v>
      </c>
      <c r="G276" s="1036">
        <f t="shared" si="167"/>
        <v>849214004</v>
      </c>
      <c r="H276" s="1038">
        <f t="shared" si="168"/>
        <v>0</v>
      </c>
      <c r="I276" s="1038">
        <f t="shared" si="169"/>
        <v>0</v>
      </c>
      <c r="J276" s="1038">
        <f t="shared" si="170"/>
        <v>0</v>
      </c>
      <c r="L276" s="1060">
        <f t="shared" si="154"/>
        <v>0</v>
      </c>
      <c r="M276" s="1060">
        <f t="shared" si="171"/>
        <v>0</v>
      </c>
      <c r="N276" s="1060">
        <f t="shared" si="172"/>
        <v>0</v>
      </c>
      <c r="O276" s="1060">
        <f t="shared" si="173"/>
        <v>1</v>
      </c>
      <c r="P276" s="1060">
        <f t="shared" si="174"/>
        <v>0</v>
      </c>
    </row>
    <row r="277" spans="1:16" x14ac:dyDescent="0.25">
      <c r="A277" s="1034">
        <v>747</v>
      </c>
      <c r="B277" s="1034">
        <f t="shared" si="92"/>
        <v>5</v>
      </c>
      <c r="C277" s="1034" t="str">
        <f t="shared" si="163"/>
        <v>Hidayatul Laili</v>
      </c>
      <c r="D277" s="1035" t="str">
        <f t="shared" si="164"/>
        <v>PBA</v>
      </c>
      <c r="E277" s="1036">
        <f t="shared" si="165"/>
        <v>2014</v>
      </c>
      <c r="F277" s="1035" t="str">
        <f t="shared" si="166"/>
        <v>LULUS</v>
      </c>
      <c r="G277" s="1036">
        <f t="shared" si="167"/>
        <v>849214005</v>
      </c>
      <c r="H277" s="1038">
        <f t="shared" si="168"/>
        <v>0</v>
      </c>
      <c r="I277" s="1038">
        <f t="shared" si="169"/>
        <v>0</v>
      </c>
      <c r="J277" s="1038">
        <f t="shared" si="170"/>
        <v>0</v>
      </c>
      <c r="L277" s="1060">
        <f t="shared" si="154"/>
        <v>0</v>
      </c>
      <c r="M277" s="1060">
        <f t="shared" si="171"/>
        <v>1</v>
      </c>
      <c r="N277" s="1060">
        <f t="shared" si="172"/>
        <v>0</v>
      </c>
      <c r="O277" s="1060">
        <f t="shared" si="173"/>
        <v>0</v>
      </c>
      <c r="P277" s="1060">
        <f t="shared" si="174"/>
        <v>0</v>
      </c>
    </row>
    <row r="278" spans="1:16" x14ac:dyDescent="0.25">
      <c r="A278" s="1034">
        <v>748</v>
      </c>
      <c r="B278" s="1034">
        <f t="shared" si="92"/>
        <v>6</v>
      </c>
      <c r="C278" s="1034" t="str">
        <f t="shared" si="163"/>
        <v>Lutvatul Vaicko</v>
      </c>
      <c r="D278" s="1035" t="str">
        <f t="shared" si="164"/>
        <v>PBA</v>
      </c>
      <c r="E278" s="1036">
        <f t="shared" si="165"/>
        <v>2014</v>
      </c>
      <c r="F278" s="1035" t="str">
        <f t="shared" si="166"/>
        <v>LULUS</v>
      </c>
      <c r="G278" s="1036">
        <f t="shared" si="167"/>
        <v>849214006</v>
      </c>
      <c r="H278" s="1038">
        <f t="shared" si="168"/>
        <v>0</v>
      </c>
      <c r="I278" s="1038">
        <f t="shared" si="169"/>
        <v>0</v>
      </c>
      <c r="J278" s="1038">
        <f t="shared" si="170"/>
        <v>0</v>
      </c>
      <c r="L278" s="1060">
        <f t="shared" si="154"/>
        <v>0</v>
      </c>
      <c r="M278" s="1060">
        <f t="shared" si="171"/>
        <v>1</v>
      </c>
      <c r="N278" s="1060">
        <f t="shared" si="172"/>
        <v>0</v>
      </c>
      <c r="O278" s="1060">
        <f t="shared" si="173"/>
        <v>0</v>
      </c>
      <c r="P278" s="1060">
        <f t="shared" si="174"/>
        <v>0</v>
      </c>
    </row>
    <row r="279" spans="1:16" x14ac:dyDescent="0.25">
      <c r="A279" s="1034">
        <v>749</v>
      </c>
      <c r="B279" s="1034">
        <f t="shared" si="92"/>
        <v>7</v>
      </c>
      <c r="C279" s="1034" t="str">
        <f t="shared" si="163"/>
        <v>Masul Latif</v>
      </c>
      <c r="D279" s="1035" t="str">
        <f t="shared" si="164"/>
        <v>PBA</v>
      </c>
      <c r="E279" s="1036">
        <f t="shared" si="165"/>
        <v>2014</v>
      </c>
      <c r="F279" s="1035" t="str">
        <f t="shared" si="166"/>
        <v>LULUS</v>
      </c>
      <c r="G279" s="1036">
        <f t="shared" si="167"/>
        <v>849214007</v>
      </c>
      <c r="H279" s="1038">
        <f t="shared" si="168"/>
        <v>0</v>
      </c>
      <c r="I279" s="1038">
        <f t="shared" si="169"/>
        <v>0</v>
      </c>
      <c r="J279" s="1038">
        <f t="shared" si="170"/>
        <v>0</v>
      </c>
      <c r="L279" s="1060">
        <f t="shared" si="154"/>
        <v>0</v>
      </c>
      <c r="M279" s="1060">
        <f t="shared" si="171"/>
        <v>1</v>
      </c>
      <c r="N279" s="1060">
        <f t="shared" si="172"/>
        <v>0</v>
      </c>
      <c r="O279" s="1060">
        <f t="shared" si="173"/>
        <v>0</v>
      </c>
      <c r="P279" s="1060">
        <f t="shared" si="174"/>
        <v>0</v>
      </c>
    </row>
    <row r="280" spans="1:16" x14ac:dyDescent="0.25">
      <c r="A280" s="1034">
        <v>750</v>
      </c>
      <c r="B280" s="1034">
        <f t="shared" si="92"/>
        <v>8</v>
      </c>
      <c r="C280" s="1034" t="str">
        <f t="shared" si="163"/>
        <v>MUHAMAD BISRI IHWAN</v>
      </c>
      <c r="D280" s="1035" t="str">
        <f t="shared" si="164"/>
        <v>PBA</v>
      </c>
      <c r="E280" s="1036">
        <f t="shared" si="165"/>
        <v>2014</v>
      </c>
      <c r="F280" s="1035" t="str">
        <f t="shared" si="166"/>
        <v>LULUS</v>
      </c>
      <c r="G280" s="1036">
        <f t="shared" si="167"/>
        <v>849214008</v>
      </c>
      <c r="H280" s="1038">
        <f t="shared" si="168"/>
        <v>0</v>
      </c>
      <c r="I280" s="1038">
        <f t="shared" si="169"/>
        <v>0</v>
      </c>
      <c r="J280" s="1038">
        <f t="shared" si="170"/>
        <v>0</v>
      </c>
      <c r="L280" s="1060">
        <f t="shared" si="154"/>
        <v>0</v>
      </c>
      <c r="M280" s="1060">
        <f t="shared" si="171"/>
        <v>1</v>
      </c>
      <c r="N280" s="1060">
        <f t="shared" si="172"/>
        <v>0</v>
      </c>
      <c r="O280" s="1060">
        <f t="shared" si="173"/>
        <v>0</v>
      </c>
      <c r="P280" s="1060">
        <f t="shared" si="174"/>
        <v>0</v>
      </c>
    </row>
    <row r="281" spans="1:16" x14ac:dyDescent="0.25">
      <c r="A281" s="1034">
        <v>751</v>
      </c>
      <c r="B281" s="1034">
        <f t="shared" si="92"/>
        <v>9</v>
      </c>
      <c r="C281" s="1034" t="str">
        <f t="shared" si="163"/>
        <v>Muklasin</v>
      </c>
      <c r="D281" s="1035" t="str">
        <f t="shared" si="164"/>
        <v>PBA</v>
      </c>
      <c r="E281" s="1036">
        <f t="shared" si="165"/>
        <v>2014</v>
      </c>
      <c r="F281" s="1035" t="str">
        <f t="shared" si="166"/>
        <v>LULUS</v>
      </c>
      <c r="G281" s="1036">
        <f t="shared" si="167"/>
        <v>849214009</v>
      </c>
      <c r="H281" s="1038">
        <f t="shared" si="168"/>
        <v>0</v>
      </c>
      <c r="I281" s="1038">
        <f t="shared" si="169"/>
        <v>0</v>
      </c>
      <c r="J281" s="1038">
        <f t="shared" si="170"/>
        <v>0</v>
      </c>
      <c r="L281" s="1060">
        <f t="shared" si="154"/>
        <v>0</v>
      </c>
      <c r="M281" s="1060">
        <f t="shared" si="171"/>
        <v>1</v>
      </c>
      <c r="N281" s="1060">
        <f t="shared" si="172"/>
        <v>0</v>
      </c>
      <c r="O281" s="1060">
        <f t="shared" si="173"/>
        <v>0</v>
      </c>
      <c r="P281" s="1060">
        <f t="shared" si="174"/>
        <v>0</v>
      </c>
    </row>
    <row r="282" spans="1:16" x14ac:dyDescent="0.25">
      <c r="A282" s="1034">
        <v>752</v>
      </c>
      <c r="B282" s="1034">
        <f t="shared" si="92"/>
        <v>10</v>
      </c>
      <c r="C282" s="1034" t="str">
        <f t="shared" si="163"/>
        <v>Qurrotul A'yun</v>
      </c>
      <c r="D282" s="1035" t="str">
        <f t="shared" si="164"/>
        <v>PBA</v>
      </c>
      <c r="E282" s="1036">
        <f t="shared" si="165"/>
        <v>2014</v>
      </c>
      <c r="F282" s="1035" t="str">
        <f t="shared" si="166"/>
        <v>LULUS</v>
      </c>
      <c r="G282" s="1036">
        <f t="shared" si="167"/>
        <v>849214010</v>
      </c>
      <c r="H282" s="1038">
        <f t="shared" si="168"/>
        <v>0</v>
      </c>
      <c r="I282" s="1038">
        <f t="shared" si="169"/>
        <v>0</v>
      </c>
      <c r="J282" s="1038">
        <f t="shared" si="170"/>
        <v>0</v>
      </c>
      <c r="L282" s="1060">
        <f t="shared" si="154"/>
        <v>0</v>
      </c>
      <c r="M282" s="1060">
        <f t="shared" si="171"/>
        <v>1</v>
      </c>
      <c r="N282" s="1060">
        <f t="shared" si="172"/>
        <v>0</v>
      </c>
      <c r="O282" s="1060">
        <f t="shared" si="173"/>
        <v>0</v>
      </c>
      <c r="P282" s="1060">
        <f t="shared" si="174"/>
        <v>0</v>
      </c>
    </row>
    <row r="283" spans="1:16" x14ac:dyDescent="0.25">
      <c r="A283" s="1034">
        <v>753</v>
      </c>
      <c r="B283" s="1034">
        <f t="shared" si="92"/>
        <v>11</v>
      </c>
      <c r="C283" s="1034" t="str">
        <f t="shared" si="163"/>
        <v>SITI MUDMA'INAH</v>
      </c>
      <c r="D283" s="1035" t="str">
        <f t="shared" si="164"/>
        <v>PBA</v>
      </c>
      <c r="E283" s="1036">
        <f t="shared" si="165"/>
        <v>2014</v>
      </c>
      <c r="F283" s="1035" t="str">
        <f t="shared" si="166"/>
        <v>LULUS</v>
      </c>
      <c r="G283" s="1036">
        <f t="shared" si="167"/>
        <v>849214011</v>
      </c>
      <c r="H283" s="1038">
        <f t="shared" si="168"/>
        <v>0</v>
      </c>
      <c r="I283" s="1038">
        <f t="shared" si="169"/>
        <v>0</v>
      </c>
      <c r="J283" s="1038">
        <f t="shared" si="170"/>
        <v>0</v>
      </c>
      <c r="L283" s="1060">
        <f t="shared" si="154"/>
        <v>0</v>
      </c>
      <c r="M283" s="1060">
        <f t="shared" si="171"/>
        <v>1</v>
      </c>
      <c r="N283" s="1060">
        <f t="shared" si="172"/>
        <v>0</v>
      </c>
      <c r="O283" s="1060">
        <f t="shared" si="173"/>
        <v>0</v>
      </c>
      <c r="P283" s="1060">
        <f t="shared" si="174"/>
        <v>0</v>
      </c>
    </row>
    <row r="284" spans="1:16" x14ac:dyDescent="0.25">
      <c r="A284" s="1034">
        <v>754</v>
      </c>
      <c r="B284" s="1034">
        <f t="shared" si="92"/>
        <v>12</v>
      </c>
      <c r="C284" s="1034" t="str">
        <f t="shared" si="163"/>
        <v>So'im</v>
      </c>
      <c r="D284" s="1035" t="str">
        <f t="shared" si="164"/>
        <v>PBA</v>
      </c>
      <c r="E284" s="1036">
        <f t="shared" si="165"/>
        <v>2014</v>
      </c>
      <c r="F284" s="1035" t="str">
        <f t="shared" si="166"/>
        <v>LULUS</v>
      </c>
      <c r="G284" s="1036">
        <f t="shared" si="167"/>
        <v>849214012</v>
      </c>
      <c r="H284" s="1038">
        <f t="shared" si="168"/>
        <v>0</v>
      </c>
      <c r="I284" s="1038">
        <f t="shared" si="169"/>
        <v>0</v>
      </c>
      <c r="J284" s="1038">
        <f t="shared" si="170"/>
        <v>0</v>
      </c>
      <c r="L284" s="1060">
        <f t="shared" si="154"/>
        <v>0</v>
      </c>
      <c r="M284" s="1060">
        <f t="shared" si="171"/>
        <v>1</v>
      </c>
      <c r="N284" s="1060">
        <f t="shared" si="172"/>
        <v>0</v>
      </c>
      <c r="O284" s="1060">
        <f t="shared" si="173"/>
        <v>0</v>
      </c>
      <c r="P284" s="1060">
        <f t="shared" si="174"/>
        <v>0</v>
      </c>
    </row>
    <row r="285" spans="1:16" x14ac:dyDescent="0.25">
      <c r="A285" s="1034">
        <v>755</v>
      </c>
      <c r="B285" s="1034">
        <f t="shared" si="92"/>
        <v>13</v>
      </c>
      <c r="C285" s="1034" t="str">
        <f t="shared" si="163"/>
        <v>Zainuri</v>
      </c>
      <c r="D285" s="1035" t="str">
        <f t="shared" si="164"/>
        <v>PBA</v>
      </c>
      <c r="E285" s="1036">
        <f t="shared" si="165"/>
        <v>2014</v>
      </c>
      <c r="F285" s="1035" t="str">
        <f t="shared" si="166"/>
        <v>LULUS</v>
      </c>
      <c r="G285" s="1036">
        <f t="shared" si="167"/>
        <v>849214013</v>
      </c>
      <c r="H285" s="1038">
        <f t="shared" si="168"/>
        <v>0</v>
      </c>
      <c r="I285" s="1038">
        <f t="shared" si="169"/>
        <v>0</v>
      </c>
      <c r="J285" s="1038">
        <f t="shared" si="170"/>
        <v>0</v>
      </c>
      <c r="L285" s="1060">
        <f t="shared" si="154"/>
        <v>0</v>
      </c>
      <c r="M285" s="1060">
        <f t="shared" si="171"/>
        <v>1</v>
      </c>
      <c r="N285" s="1060">
        <f t="shared" si="172"/>
        <v>0</v>
      </c>
      <c r="O285" s="1060">
        <f t="shared" si="173"/>
        <v>0</v>
      </c>
      <c r="P285" s="1060">
        <f t="shared" si="174"/>
        <v>0</v>
      </c>
    </row>
    <row r="286" spans="1:16" x14ac:dyDescent="0.25">
      <c r="A286" s="1034">
        <v>756</v>
      </c>
      <c r="B286" s="1034">
        <f t="shared" si="92"/>
        <v>14</v>
      </c>
      <c r="C286" s="1034" t="str">
        <f t="shared" si="163"/>
        <v>Zidni Ilma</v>
      </c>
      <c r="D286" s="1035" t="str">
        <f t="shared" si="164"/>
        <v>PBA</v>
      </c>
      <c r="E286" s="1036">
        <f t="shared" si="165"/>
        <v>2014</v>
      </c>
      <c r="F286" s="1035" t="str">
        <f t="shared" si="166"/>
        <v>LULUS</v>
      </c>
      <c r="G286" s="1036">
        <f t="shared" si="167"/>
        <v>849214014</v>
      </c>
      <c r="H286" s="1038">
        <f t="shared" si="168"/>
        <v>0</v>
      </c>
      <c r="I286" s="1038">
        <f t="shared" si="169"/>
        <v>0</v>
      </c>
      <c r="J286" s="1038">
        <f t="shared" si="170"/>
        <v>0</v>
      </c>
      <c r="L286" s="1060">
        <f t="shared" si="154"/>
        <v>0</v>
      </c>
      <c r="M286" s="1060">
        <f t="shared" si="171"/>
        <v>1</v>
      </c>
      <c r="N286" s="1060">
        <f t="shared" si="172"/>
        <v>0</v>
      </c>
      <c r="O286" s="1060">
        <f t="shared" si="173"/>
        <v>0</v>
      </c>
      <c r="P286" s="1060">
        <f t="shared" si="174"/>
        <v>0</v>
      </c>
    </row>
    <row r="287" spans="1:16" x14ac:dyDescent="0.25">
      <c r="A287" s="1034">
        <v>757</v>
      </c>
      <c r="B287" s="1034">
        <f t="shared" si="92"/>
        <v>15</v>
      </c>
      <c r="C287" s="1034" t="str">
        <f t="shared" si="163"/>
        <v>Indayani</v>
      </c>
      <c r="D287" s="1035" t="str">
        <f t="shared" si="164"/>
        <v>PBA</v>
      </c>
      <c r="E287" s="1036">
        <f t="shared" si="165"/>
        <v>2014</v>
      </c>
      <c r="F287" s="1035" t="str">
        <f t="shared" si="166"/>
        <v>LULUS</v>
      </c>
      <c r="G287" s="1036">
        <f t="shared" si="167"/>
        <v>849214015</v>
      </c>
      <c r="H287" s="1038">
        <f t="shared" si="168"/>
        <v>0</v>
      </c>
      <c r="I287" s="1038">
        <f t="shared" si="169"/>
        <v>0</v>
      </c>
      <c r="J287" s="1038">
        <f t="shared" si="170"/>
        <v>0</v>
      </c>
      <c r="L287" s="1060">
        <f t="shared" si="154"/>
        <v>0</v>
      </c>
      <c r="M287" s="1060">
        <f t="shared" si="171"/>
        <v>1</v>
      </c>
      <c r="N287" s="1060">
        <f t="shared" si="172"/>
        <v>0</v>
      </c>
      <c r="O287" s="1060">
        <f t="shared" si="173"/>
        <v>0</v>
      </c>
      <c r="P287" s="1060">
        <f t="shared" si="174"/>
        <v>0</v>
      </c>
    </row>
    <row r="288" spans="1:16" x14ac:dyDescent="0.25">
      <c r="A288" s="1034">
        <v>758</v>
      </c>
      <c r="B288" s="1034">
        <f t="shared" si="92"/>
        <v>16</v>
      </c>
      <c r="C288" s="1034" t="str">
        <f t="shared" si="163"/>
        <v>Hosni tamrin</v>
      </c>
      <c r="D288" s="1035" t="str">
        <f t="shared" si="164"/>
        <v>-</v>
      </c>
      <c r="E288" s="1036" t="str">
        <f t="shared" si="165"/>
        <v>-</v>
      </c>
      <c r="F288" s="1035" t="str">
        <f t="shared" si="166"/>
        <v>DROP OUT</v>
      </c>
      <c r="G288" s="1036">
        <f t="shared" si="167"/>
        <v>849214016</v>
      </c>
      <c r="H288" s="1038">
        <f t="shared" si="168"/>
        <v>0</v>
      </c>
      <c r="I288" s="1038">
        <f t="shared" si="169"/>
        <v>0</v>
      </c>
      <c r="J288" s="1038">
        <f>IFERROR(VLOOKUP(A288,DB,47,FALSE),"")</f>
        <v>0</v>
      </c>
      <c r="L288" s="1060">
        <f t="shared" si="154"/>
        <v>0</v>
      </c>
      <c r="M288" s="1060">
        <f t="shared" si="171"/>
        <v>0</v>
      </c>
      <c r="N288" s="1060">
        <f t="shared" si="172"/>
        <v>0</v>
      </c>
      <c r="O288" s="1060">
        <f t="shared" si="173"/>
        <v>1</v>
      </c>
      <c r="P288" s="1060">
        <f t="shared" si="174"/>
        <v>0</v>
      </c>
    </row>
    <row r="289" spans="1:16" x14ac:dyDescent="0.25">
      <c r="A289" s="1039"/>
      <c r="B289" s="1039"/>
      <c r="C289" s="1039"/>
      <c r="D289" s="1040"/>
      <c r="E289" s="1041"/>
      <c r="F289" s="1040"/>
      <c r="G289" s="1041"/>
      <c r="H289" s="1042"/>
      <c r="I289" s="1042"/>
      <c r="J289" s="1042"/>
      <c r="L289" s="1042"/>
      <c r="M289" s="1042"/>
      <c r="N289" s="1042"/>
      <c r="O289" s="1042"/>
      <c r="P289" s="1042"/>
    </row>
    <row r="290" spans="1:16" x14ac:dyDescent="0.25">
      <c r="A290" s="1043" t="str">
        <f>'Rekap SPP'!A812</f>
        <v>S2-MPI ANGK XII 2014/2015 (GEL II)</v>
      </c>
      <c r="B290" s="1043"/>
      <c r="C290" s="1043"/>
      <c r="D290" s="1033" t="s">
        <v>3</v>
      </c>
      <c r="E290" s="1032" t="s">
        <v>4</v>
      </c>
      <c r="F290" s="1033" t="s">
        <v>3195</v>
      </c>
      <c r="G290" s="1032" t="s">
        <v>1</v>
      </c>
      <c r="H290" s="1033" t="s">
        <v>3341</v>
      </c>
      <c r="I290" s="1033" t="s">
        <v>3342</v>
      </c>
      <c r="J290" s="1062">
        <f>SUM(J291:J312)</f>
        <v>0</v>
      </c>
      <c r="L290" s="1063">
        <f>SUM(L291:L312)</f>
        <v>0</v>
      </c>
      <c r="M290" s="1063">
        <f>SUM(M291:M312)</f>
        <v>13</v>
      </c>
      <c r="N290" s="1063">
        <f>SUM(N291:N312)</f>
        <v>0</v>
      </c>
      <c r="O290" s="1063">
        <f>SUM(O291:O312)</f>
        <v>9</v>
      </c>
      <c r="P290" s="1063">
        <f>SUM(P291:P312)</f>
        <v>0</v>
      </c>
    </row>
    <row r="291" spans="1:16" x14ac:dyDescent="0.25">
      <c r="A291" s="1034">
        <v>759</v>
      </c>
      <c r="B291" s="1034">
        <f t="shared" si="92"/>
        <v>1</v>
      </c>
      <c r="C291" s="1034" t="str">
        <f t="shared" ref="C291:C312" si="175">IFERROR(VLOOKUP(A291,DB,4,FALSE),"")</f>
        <v>Khoirus Solihin</v>
      </c>
      <c r="D291" s="1035" t="str">
        <f t="shared" ref="D291:D312" si="176">IFERROR(VLOOKUP(A291,DB,5,FALSE),"")</f>
        <v>MPI-S2</v>
      </c>
      <c r="E291" s="1036">
        <f t="shared" ref="E291:E312" si="177">IFERROR(VLOOKUP(A291,DB,6,FALSE),"")</f>
        <v>2014</v>
      </c>
      <c r="F291" s="1035" t="str">
        <f t="shared" ref="F291:F312" si="178">IFERROR(VLOOKUP(A291,DB,7,FALSE),"")</f>
        <v>DROP OUT</v>
      </c>
      <c r="G291" s="1036">
        <f t="shared" ref="G291:G312" si="179">IFERROR(VLOOKUP(A291,DB,3,FALSE),"")</f>
        <v>849114023</v>
      </c>
      <c r="H291" s="1038">
        <f t="shared" ref="H291:H312" si="180">IF(F291="AKTIF",3000000,IF(F291="CUTI",3000000,0))</f>
        <v>0</v>
      </c>
      <c r="I291" s="1038">
        <f t="shared" ref="I291:I312" si="181">IFERROR(VLOOKUP(A291,DB,37,FALSE),"")-H291</f>
        <v>0</v>
      </c>
      <c r="J291" s="1038">
        <f t="shared" ref="J291:J312" si="182">I291+H291</f>
        <v>0</v>
      </c>
      <c r="L291" s="1060">
        <f t="shared" si="154"/>
        <v>0</v>
      </c>
      <c r="M291" s="1060">
        <f t="shared" ref="M291:M312" si="183">IF(F291="LULUS",1,0)</f>
        <v>0</v>
      </c>
      <c r="N291" s="1060">
        <f t="shared" ref="N291:N312" si="184">IF(F291="CUTI",1,0)</f>
        <v>0</v>
      </c>
      <c r="O291" s="1060">
        <f t="shared" ref="O291:O312" si="185">IF(F291="DROP OUT",1,0)</f>
        <v>1</v>
      </c>
      <c r="P291" s="1060">
        <f t="shared" ref="P291:P312" si="186">IF(F291="PASIF",1,0)</f>
        <v>0</v>
      </c>
    </row>
    <row r="292" spans="1:16" x14ac:dyDescent="0.25">
      <c r="A292" s="1034">
        <v>760</v>
      </c>
      <c r="B292" s="1034">
        <f t="shared" si="92"/>
        <v>2</v>
      </c>
      <c r="C292" s="1034" t="str">
        <f t="shared" si="175"/>
        <v>Khadiq Kharisma</v>
      </c>
      <c r="D292" s="1035" t="str">
        <f t="shared" si="176"/>
        <v>MPI-S2</v>
      </c>
      <c r="E292" s="1036">
        <f t="shared" si="177"/>
        <v>2014</v>
      </c>
      <c r="F292" s="1035" t="str">
        <f t="shared" si="178"/>
        <v>LULUS</v>
      </c>
      <c r="G292" s="1036">
        <f t="shared" si="179"/>
        <v>849114022</v>
      </c>
      <c r="H292" s="1038">
        <f t="shared" si="180"/>
        <v>0</v>
      </c>
      <c r="I292" s="1038">
        <f t="shared" si="181"/>
        <v>0</v>
      </c>
      <c r="J292" s="1038">
        <f t="shared" si="182"/>
        <v>0</v>
      </c>
      <c r="L292" s="1060">
        <f t="shared" si="154"/>
        <v>0</v>
      </c>
      <c r="M292" s="1060">
        <f t="shared" si="183"/>
        <v>1</v>
      </c>
      <c r="N292" s="1060">
        <f t="shared" si="184"/>
        <v>0</v>
      </c>
      <c r="O292" s="1060">
        <f t="shared" si="185"/>
        <v>0</v>
      </c>
      <c r="P292" s="1060">
        <f t="shared" si="186"/>
        <v>0</v>
      </c>
    </row>
    <row r="293" spans="1:16" x14ac:dyDescent="0.25">
      <c r="A293" s="1034">
        <v>761</v>
      </c>
      <c r="B293" s="1034">
        <f t="shared" si="92"/>
        <v>3</v>
      </c>
      <c r="C293" s="1034" t="str">
        <f t="shared" si="175"/>
        <v>Andriati Komala</v>
      </c>
      <c r="D293" s="1035" t="str">
        <f t="shared" si="176"/>
        <v>MPI-S2</v>
      </c>
      <c r="E293" s="1036">
        <f t="shared" si="177"/>
        <v>2014</v>
      </c>
      <c r="F293" s="1035" t="str">
        <f t="shared" si="178"/>
        <v>DROP OUT</v>
      </c>
      <c r="G293" s="1036">
        <f t="shared" si="179"/>
        <v>849114017</v>
      </c>
      <c r="H293" s="1038">
        <f t="shared" si="180"/>
        <v>0</v>
      </c>
      <c r="I293" s="1038">
        <f t="shared" si="181"/>
        <v>0</v>
      </c>
      <c r="J293" s="1038">
        <f t="shared" si="182"/>
        <v>0</v>
      </c>
      <c r="L293" s="1060">
        <f t="shared" si="154"/>
        <v>0</v>
      </c>
      <c r="M293" s="1060">
        <f t="shared" si="183"/>
        <v>0</v>
      </c>
      <c r="N293" s="1060">
        <f t="shared" si="184"/>
        <v>0</v>
      </c>
      <c r="O293" s="1060">
        <f t="shared" si="185"/>
        <v>1</v>
      </c>
      <c r="P293" s="1060">
        <f t="shared" si="186"/>
        <v>0</v>
      </c>
    </row>
    <row r="294" spans="1:16" x14ac:dyDescent="0.25">
      <c r="A294" s="1034">
        <v>762</v>
      </c>
      <c r="B294" s="1034">
        <f t="shared" si="92"/>
        <v>4</v>
      </c>
      <c r="C294" s="1034" t="str">
        <f t="shared" si="175"/>
        <v>Nur Azizatul Fitriyah</v>
      </c>
      <c r="D294" s="1035" t="str">
        <f t="shared" si="176"/>
        <v>MPI-S2</v>
      </c>
      <c r="E294" s="1036">
        <f t="shared" si="177"/>
        <v>2014</v>
      </c>
      <c r="F294" s="1035" t="str">
        <f t="shared" si="178"/>
        <v>DROP OUT</v>
      </c>
      <c r="G294" s="1036">
        <f t="shared" si="179"/>
        <v>849114028</v>
      </c>
      <c r="H294" s="1038">
        <f t="shared" si="180"/>
        <v>0</v>
      </c>
      <c r="I294" s="1038">
        <f t="shared" si="181"/>
        <v>0</v>
      </c>
      <c r="J294" s="1038">
        <f t="shared" si="182"/>
        <v>0</v>
      </c>
      <c r="L294" s="1060">
        <f t="shared" si="154"/>
        <v>0</v>
      </c>
      <c r="M294" s="1060">
        <f t="shared" si="183"/>
        <v>0</v>
      </c>
      <c r="N294" s="1060">
        <f t="shared" si="184"/>
        <v>0</v>
      </c>
      <c r="O294" s="1060">
        <f t="shared" si="185"/>
        <v>1</v>
      </c>
      <c r="P294" s="1060">
        <f t="shared" si="186"/>
        <v>0</v>
      </c>
    </row>
    <row r="295" spans="1:16" x14ac:dyDescent="0.25">
      <c r="A295" s="1034">
        <v>763</v>
      </c>
      <c r="B295" s="1034">
        <f t="shared" si="92"/>
        <v>5</v>
      </c>
      <c r="C295" s="1034" t="str">
        <f t="shared" si="175"/>
        <v>Lilik Nur Hariyani</v>
      </c>
      <c r="D295" s="1035" t="str">
        <f t="shared" si="176"/>
        <v>MPI-S2</v>
      </c>
      <c r="E295" s="1036">
        <f t="shared" si="177"/>
        <v>2014</v>
      </c>
      <c r="F295" s="1035" t="str">
        <f t="shared" si="178"/>
        <v>DROP OUT</v>
      </c>
      <c r="G295" s="1036">
        <f t="shared" si="179"/>
        <v>849114024</v>
      </c>
      <c r="H295" s="1038">
        <f t="shared" si="180"/>
        <v>0</v>
      </c>
      <c r="I295" s="1038">
        <f t="shared" si="181"/>
        <v>0</v>
      </c>
      <c r="J295" s="1038">
        <f t="shared" si="182"/>
        <v>0</v>
      </c>
      <c r="L295" s="1060">
        <f t="shared" si="154"/>
        <v>0</v>
      </c>
      <c r="M295" s="1060">
        <f t="shared" si="183"/>
        <v>0</v>
      </c>
      <c r="N295" s="1060">
        <f t="shared" si="184"/>
        <v>0</v>
      </c>
      <c r="O295" s="1060">
        <f t="shared" si="185"/>
        <v>1</v>
      </c>
      <c r="P295" s="1060">
        <f t="shared" si="186"/>
        <v>0</v>
      </c>
    </row>
    <row r="296" spans="1:16" x14ac:dyDescent="0.25">
      <c r="A296" s="1034">
        <v>764</v>
      </c>
      <c r="B296" s="1034">
        <f t="shared" si="92"/>
        <v>6</v>
      </c>
      <c r="C296" s="1034" t="str">
        <f t="shared" si="175"/>
        <v>Santono</v>
      </c>
      <c r="D296" s="1035" t="str">
        <f t="shared" si="176"/>
        <v>MPI-S2</v>
      </c>
      <c r="E296" s="1036">
        <f t="shared" si="177"/>
        <v>2014</v>
      </c>
      <c r="F296" s="1035" t="str">
        <f t="shared" si="178"/>
        <v>LULUS</v>
      </c>
      <c r="G296" s="1036">
        <f t="shared" si="179"/>
        <v>849114038</v>
      </c>
      <c r="H296" s="1038">
        <f t="shared" si="180"/>
        <v>0</v>
      </c>
      <c r="I296" s="1038">
        <f t="shared" si="181"/>
        <v>0</v>
      </c>
      <c r="J296" s="1038">
        <f t="shared" si="182"/>
        <v>0</v>
      </c>
      <c r="L296" s="1060">
        <f t="shared" si="154"/>
        <v>0</v>
      </c>
      <c r="M296" s="1060">
        <f t="shared" si="183"/>
        <v>1</v>
      </c>
      <c r="N296" s="1060">
        <f t="shared" si="184"/>
        <v>0</v>
      </c>
      <c r="O296" s="1060">
        <f t="shared" si="185"/>
        <v>0</v>
      </c>
      <c r="P296" s="1060">
        <f t="shared" si="186"/>
        <v>0</v>
      </c>
    </row>
    <row r="297" spans="1:16" x14ac:dyDescent="0.25">
      <c r="A297" s="1034">
        <v>765</v>
      </c>
      <c r="B297" s="1034">
        <f t="shared" si="92"/>
        <v>5</v>
      </c>
      <c r="C297" s="1034" t="str">
        <f t="shared" si="175"/>
        <v>Subaidi</v>
      </c>
      <c r="D297" s="1035" t="str">
        <f t="shared" si="176"/>
        <v>MPI-S2</v>
      </c>
      <c r="E297" s="1036">
        <f t="shared" si="177"/>
        <v>2014</v>
      </c>
      <c r="F297" s="1035" t="str">
        <f t="shared" si="178"/>
        <v>LULUS</v>
      </c>
      <c r="G297" s="1036">
        <f t="shared" si="179"/>
        <v>849114040</v>
      </c>
      <c r="H297" s="1038">
        <f t="shared" si="180"/>
        <v>0</v>
      </c>
      <c r="I297" s="1038">
        <f t="shared" si="181"/>
        <v>0</v>
      </c>
      <c r="J297" s="1038">
        <f t="shared" si="182"/>
        <v>0</v>
      </c>
      <c r="L297" s="1060">
        <f t="shared" si="154"/>
        <v>0</v>
      </c>
      <c r="M297" s="1060">
        <f t="shared" si="183"/>
        <v>1</v>
      </c>
      <c r="N297" s="1060">
        <f t="shared" si="184"/>
        <v>0</v>
      </c>
      <c r="O297" s="1060">
        <f t="shared" si="185"/>
        <v>0</v>
      </c>
      <c r="P297" s="1060">
        <f t="shared" si="186"/>
        <v>0</v>
      </c>
    </row>
    <row r="298" spans="1:16" x14ac:dyDescent="0.25">
      <c r="A298" s="1034">
        <v>766</v>
      </c>
      <c r="B298" s="1034">
        <f t="shared" si="92"/>
        <v>8</v>
      </c>
      <c r="C298" s="1034" t="str">
        <f t="shared" si="175"/>
        <v>Fahim Abu Romadlan</v>
      </c>
      <c r="D298" s="1035" t="str">
        <f t="shared" si="176"/>
        <v>MPI-S2</v>
      </c>
      <c r="E298" s="1036">
        <f t="shared" si="177"/>
        <v>2014</v>
      </c>
      <c r="F298" s="1035" t="str">
        <f t="shared" si="178"/>
        <v>DROP OUT</v>
      </c>
      <c r="G298" s="1036">
        <f t="shared" si="179"/>
        <v>849114019</v>
      </c>
      <c r="H298" s="1038">
        <f t="shared" si="180"/>
        <v>0</v>
      </c>
      <c r="I298" s="1038">
        <f t="shared" si="181"/>
        <v>0</v>
      </c>
      <c r="J298" s="1038">
        <f t="shared" si="182"/>
        <v>0</v>
      </c>
      <c r="L298" s="1060">
        <f t="shared" si="154"/>
        <v>0</v>
      </c>
      <c r="M298" s="1060">
        <f t="shared" si="183"/>
        <v>0</v>
      </c>
      <c r="N298" s="1060">
        <f t="shared" si="184"/>
        <v>0</v>
      </c>
      <c r="O298" s="1060">
        <f t="shared" si="185"/>
        <v>1</v>
      </c>
      <c r="P298" s="1060">
        <f t="shared" si="186"/>
        <v>0</v>
      </c>
    </row>
    <row r="299" spans="1:16" x14ac:dyDescent="0.25">
      <c r="A299" s="1034">
        <v>767</v>
      </c>
      <c r="B299" s="1034">
        <f t="shared" si="92"/>
        <v>9</v>
      </c>
      <c r="C299" s="1034" t="str">
        <f t="shared" si="175"/>
        <v>Sulaeman Kurdi</v>
      </c>
      <c r="D299" s="1035" t="str">
        <f t="shared" si="176"/>
        <v>MPI-S2</v>
      </c>
      <c r="E299" s="1036">
        <f t="shared" si="177"/>
        <v>2014</v>
      </c>
      <c r="F299" s="1035" t="str">
        <f t="shared" si="178"/>
        <v>LULUS</v>
      </c>
      <c r="G299" s="1036">
        <f t="shared" si="179"/>
        <v>849114041</v>
      </c>
      <c r="H299" s="1038">
        <f t="shared" si="180"/>
        <v>0</v>
      </c>
      <c r="I299" s="1038">
        <f t="shared" si="181"/>
        <v>0</v>
      </c>
      <c r="J299" s="1038">
        <f t="shared" si="182"/>
        <v>0</v>
      </c>
      <c r="L299" s="1060">
        <f t="shared" si="154"/>
        <v>0</v>
      </c>
      <c r="M299" s="1060">
        <f t="shared" si="183"/>
        <v>1</v>
      </c>
      <c r="N299" s="1060">
        <f t="shared" si="184"/>
        <v>0</v>
      </c>
      <c r="O299" s="1060">
        <f t="shared" si="185"/>
        <v>0</v>
      </c>
      <c r="P299" s="1060">
        <f t="shared" si="186"/>
        <v>0</v>
      </c>
    </row>
    <row r="300" spans="1:16" x14ac:dyDescent="0.25">
      <c r="A300" s="1034">
        <v>768</v>
      </c>
      <c r="B300" s="1034">
        <f t="shared" si="92"/>
        <v>10</v>
      </c>
      <c r="C300" s="1034" t="str">
        <f t="shared" si="175"/>
        <v>Sholihah</v>
      </c>
      <c r="D300" s="1035" t="str">
        <f t="shared" si="176"/>
        <v>MPI-S2</v>
      </c>
      <c r="E300" s="1036">
        <f t="shared" si="177"/>
        <v>2014</v>
      </c>
      <c r="F300" s="1035" t="str">
        <f t="shared" si="178"/>
        <v>LULUS</v>
      </c>
      <c r="G300" s="1036">
        <f t="shared" si="179"/>
        <v>849114039</v>
      </c>
      <c r="H300" s="1038">
        <f t="shared" si="180"/>
        <v>0</v>
      </c>
      <c r="I300" s="1038">
        <f t="shared" si="181"/>
        <v>0</v>
      </c>
      <c r="J300" s="1038">
        <f t="shared" si="182"/>
        <v>0</v>
      </c>
      <c r="L300" s="1060">
        <f t="shared" si="154"/>
        <v>0</v>
      </c>
      <c r="M300" s="1060">
        <f t="shared" si="183"/>
        <v>1</v>
      </c>
      <c r="N300" s="1060">
        <f t="shared" si="184"/>
        <v>0</v>
      </c>
      <c r="O300" s="1060">
        <f t="shared" si="185"/>
        <v>0</v>
      </c>
      <c r="P300" s="1060">
        <f t="shared" si="186"/>
        <v>0</v>
      </c>
    </row>
    <row r="301" spans="1:16" x14ac:dyDescent="0.25">
      <c r="A301" s="1034">
        <v>769</v>
      </c>
      <c r="B301" s="1034">
        <f t="shared" si="92"/>
        <v>11</v>
      </c>
      <c r="C301" s="1034" t="str">
        <f t="shared" si="175"/>
        <v>Achmad Lutfi</v>
      </c>
      <c r="D301" s="1035" t="str">
        <f t="shared" si="176"/>
        <v>MPI-S2</v>
      </c>
      <c r="E301" s="1036">
        <f t="shared" si="177"/>
        <v>2014</v>
      </c>
      <c r="F301" s="1035" t="str">
        <f t="shared" si="178"/>
        <v>LULUS</v>
      </c>
      <c r="G301" s="1036">
        <f t="shared" si="179"/>
        <v>849114015</v>
      </c>
      <c r="H301" s="1038">
        <f t="shared" si="180"/>
        <v>0</v>
      </c>
      <c r="I301" s="1038">
        <f t="shared" si="181"/>
        <v>0</v>
      </c>
      <c r="J301" s="1038">
        <f t="shared" si="182"/>
        <v>0</v>
      </c>
      <c r="L301" s="1060">
        <f t="shared" si="154"/>
        <v>0</v>
      </c>
      <c r="M301" s="1060">
        <f t="shared" si="183"/>
        <v>1</v>
      </c>
      <c r="N301" s="1060">
        <f t="shared" si="184"/>
        <v>0</v>
      </c>
      <c r="O301" s="1060">
        <f t="shared" si="185"/>
        <v>0</v>
      </c>
      <c r="P301" s="1060">
        <f t="shared" si="186"/>
        <v>0</v>
      </c>
    </row>
    <row r="302" spans="1:16" x14ac:dyDescent="0.25">
      <c r="A302" s="1034">
        <v>770</v>
      </c>
      <c r="B302" s="1034">
        <f t="shared" si="92"/>
        <v>12</v>
      </c>
      <c r="C302" s="1034" t="str">
        <f t="shared" si="175"/>
        <v>Amalia</v>
      </c>
      <c r="D302" s="1035" t="str">
        <f t="shared" si="176"/>
        <v>MPI-S2</v>
      </c>
      <c r="E302" s="1036">
        <f t="shared" si="177"/>
        <v>2014</v>
      </c>
      <c r="F302" s="1035" t="str">
        <f t="shared" si="178"/>
        <v>DROP OUT</v>
      </c>
      <c r="G302" s="1036">
        <f t="shared" si="179"/>
        <v>849114016</v>
      </c>
      <c r="H302" s="1038">
        <f t="shared" si="180"/>
        <v>0</v>
      </c>
      <c r="I302" s="1038">
        <f t="shared" si="181"/>
        <v>0</v>
      </c>
      <c r="J302" s="1038">
        <f t="shared" si="182"/>
        <v>0</v>
      </c>
      <c r="L302" s="1060">
        <f t="shared" si="154"/>
        <v>0</v>
      </c>
      <c r="M302" s="1060">
        <f t="shared" si="183"/>
        <v>0</v>
      </c>
      <c r="N302" s="1060">
        <f t="shared" si="184"/>
        <v>0</v>
      </c>
      <c r="O302" s="1060">
        <f t="shared" si="185"/>
        <v>1</v>
      </c>
      <c r="P302" s="1060">
        <f t="shared" si="186"/>
        <v>0</v>
      </c>
    </row>
    <row r="303" spans="1:16" x14ac:dyDescent="0.25">
      <c r="A303" s="1034">
        <v>771</v>
      </c>
      <c r="B303" s="1034">
        <f t="shared" si="92"/>
        <v>13</v>
      </c>
      <c r="C303" s="1034" t="str">
        <f t="shared" si="175"/>
        <v>Hadi Basuni</v>
      </c>
      <c r="D303" s="1035" t="str">
        <f t="shared" si="176"/>
        <v>MPI-S2</v>
      </c>
      <c r="E303" s="1036">
        <f t="shared" si="177"/>
        <v>2014</v>
      </c>
      <c r="F303" s="1035" t="str">
        <f t="shared" si="178"/>
        <v>DROP OUT</v>
      </c>
      <c r="G303" s="1036">
        <f t="shared" si="179"/>
        <v>849114021</v>
      </c>
      <c r="H303" s="1038">
        <f t="shared" si="180"/>
        <v>0</v>
      </c>
      <c r="I303" s="1038">
        <f t="shared" si="181"/>
        <v>0</v>
      </c>
      <c r="J303" s="1038">
        <f t="shared" si="182"/>
        <v>0</v>
      </c>
      <c r="L303" s="1060">
        <f t="shared" si="154"/>
        <v>0</v>
      </c>
      <c r="M303" s="1060">
        <f t="shared" si="183"/>
        <v>0</v>
      </c>
      <c r="N303" s="1060">
        <f t="shared" si="184"/>
        <v>0</v>
      </c>
      <c r="O303" s="1060">
        <f t="shared" si="185"/>
        <v>1</v>
      </c>
      <c r="P303" s="1060">
        <f t="shared" si="186"/>
        <v>0</v>
      </c>
    </row>
    <row r="304" spans="1:16" x14ac:dyDescent="0.25">
      <c r="A304" s="1034">
        <v>772</v>
      </c>
      <c r="B304" s="1034">
        <f t="shared" si="92"/>
        <v>14</v>
      </c>
      <c r="C304" s="1067" t="str">
        <f t="shared" si="175"/>
        <v>Saptono</v>
      </c>
      <c r="D304" s="1068" t="str">
        <f t="shared" si="176"/>
        <v>MPI-S2</v>
      </c>
      <c r="E304" s="1069">
        <f t="shared" si="177"/>
        <v>2014</v>
      </c>
      <c r="F304" s="1035" t="str">
        <f t="shared" si="178"/>
        <v>LULUS</v>
      </c>
      <c r="G304" s="1069">
        <f t="shared" si="179"/>
        <v>849114013</v>
      </c>
      <c r="H304" s="1038">
        <f t="shared" si="180"/>
        <v>0</v>
      </c>
      <c r="I304" s="1038">
        <f t="shared" si="181"/>
        <v>0</v>
      </c>
      <c r="J304" s="1038">
        <f t="shared" si="182"/>
        <v>0</v>
      </c>
      <c r="L304" s="1060">
        <f t="shared" si="154"/>
        <v>0</v>
      </c>
      <c r="M304" s="1060">
        <f t="shared" si="183"/>
        <v>1</v>
      </c>
      <c r="N304" s="1060">
        <f t="shared" si="184"/>
        <v>0</v>
      </c>
      <c r="O304" s="1060">
        <f t="shared" si="185"/>
        <v>0</v>
      </c>
      <c r="P304" s="1060">
        <f t="shared" si="186"/>
        <v>0</v>
      </c>
    </row>
    <row r="305" spans="1:18" x14ac:dyDescent="0.25">
      <c r="A305" s="1034">
        <v>773</v>
      </c>
      <c r="B305" s="1034">
        <f t="shared" si="92"/>
        <v>15</v>
      </c>
      <c r="C305" s="1067" t="str">
        <f t="shared" si="175"/>
        <v>Taufik</v>
      </c>
      <c r="D305" s="1068" t="str">
        <f t="shared" si="176"/>
        <v>MPI-S2</v>
      </c>
      <c r="E305" s="1069">
        <f t="shared" si="177"/>
        <v>2014</v>
      </c>
      <c r="F305" s="1035" t="str">
        <f t="shared" si="178"/>
        <v>DROP OUT</v>
      </c>
      <c r="G305" s="1069">
        <f t="shared" si="179"/>
        <v>849114014</v>
      </c>
      <c r="H305" s="1038">
        <f t="shared" si="180"/>
        <v>0</v>
      </c>
      <c r="I305" s="1038">
        <f t="shared" si="181"/>
        <v>0</v>
      </c>
      <c r="J305" s="1038">
        <f t="shared" si="182"/>
        <v>0</v>
      </c>
      <c r="L305" s="1060">
        <f t="shared" si="154"/>
        <v>0</v>
      </c>
      <c r="M305" s="1060">
        <f t="shared" si="183"/>
        <v>0</v>
      </c>
      <c r="N305" s="1060">
        <f t="shared" si="184"/>
        <v>0</v>
      </c>
      <c r="O305" s="1060">
        <f t="shared" si="185"/>
        <v>1</v>
      </c>
      <c r="P305" s="1060">
        <f t="shared" si="186"/>
        <v>0</v>
      </c>
    </row>
    <row r="306" spans="1:18" x14ac:dyDescent="0.25">
      <c r="A306" s="1034">
        <v>774</v>
      </c>
      <c r="B306" s="1034">
        <f t="shared" si="92"/>
        <v>16</v>
      </c>
      <c r="C306" s="1067" t="str">
        <f t="shared" si="175"/>
        <v>Thohari</v>
      </c>
      <c r="D306" s="1068" t="str">
        <f t="shared" si="176"/>
        <v>MPI-S2</v>
      </c>
      <c r="E306" s="1069">
        <f t="shared" si="177"/>
        <v>2014</v>
      </c>
      <c r="F306" s="1035" t="str">
        <f t="shared" si="178"/>
        <v>DROP OUT</v>
      </c>
      <c r="G306" s="1069">
        <f t="shared" si="179"/>
        <v>849114042</v>
      </c>
      <c r="H306" s="1038">
        <f t="shared" si="180"/>
        <v>0</v>
      </c>
      <c r="I306" s="1038">
        <f t="shared" si="181"/>
        <v>0</v>
      </c>
      <c r="J306" s="1038">
        <f t="shared" si="182"/>
        <v>0</v>
      </c>
      <c r="L306" s="1060">
        <f t="shared" si="154"/>
        <v>0</v>
      </c>
      <c r="M306" s="1060">
        <f t="shared" si="183"/>
        <v>0</v>
      </c>
      <c r="N306" s="1060">
        <f t="shared" si="184"/>
        <v>0</v>
      </c>
      <c r="O306" s="1060">
        <f t="shared" si="185"/>
        <v>1</v>
      </c>
      <c r="P306" s="1060">
        <f t="shared" si="186"/>
        <v>0</v>
      </c>
    </row>
    <row r="307" spans="1:18" x14ac:dyDescent="0.25">
      <c r="A307" s="1034">
        <v>775</v>
      </c>
      <c r="B307" s="1034">
        <f t="shared" si="92"/>
        <v>17</v>
      </c>
      <c r="C307" s="1067" t="str">
        <f t="shared" si="175"/>
        <v>Robith Fahmi</v>
      </c>
      <c r="D307" s="1068" t="str">
        <f t="shared" si="176"/>
        <v>MPI-S2</v>
      </c>
      <c r="E307" s="1069">
        <f t="shared" si="177"/>
        <v>2014</v>
      </c>
      <c r="F307" s="1035" t="str">
        <f t="shared" si="178"/>
        <v>LULUS</v>
      </c>
      <c r="G307" s="1069">
        <f t="shared" si="179"/>
        <v>849114033</v>
      </c>
      <c r="H307" s="1038">
        <f t="shared" si="180"/>
        <v>0</v>
      </c>
      <c r="I307" s="1038">
        <f t="shared" si="181"/>
        <v>0</v>
      </c>
      <c r="J307" s="1038">
        <f t="shared" si="182"/>
        <v>0</v>
      </c>
      <c r="L307" s="1060">
        <f t="shared" si="154"/>
        <v>0</v>
      </c>
      <c r="M307" s="1060">
        <f t="shared" si="183"/>
        <v>1</v>
      </c>
      <c r="N307" s="1060">
        <f t="shared" si="184"/>
        <v>0</v>
      </c>
      <c r="O307" s="1060">
        <f t="shared" si="185"/>
        <v>0</v>
      </c>
      <c r="P307" s="1060">
        <f t="shared" si="186"/>
        <v>0</v>
      </c>
    </row>
    <row r="308" spans="1:18" x14ac:dyDescent="0.25">
      <c r="A308" s="1034">
        <v>776</v>
      </c>
      <c r="B308" s="1034">
        <f t="shared" si="92"/>
        <v>18</v>
      </c>
      <c r="C308" s="1067" t="str">
        <f t="shared" si="175"/>
        <v>Evi Widiastuti</v>
      </c>
      <c r="D308" s="1068" t="str">
        <f t="shared" si="176"/>
        <v>MPI-S2</v>
      </c>
      <c r="E308" s="1069">
        <f t="shared" si="177"/>
        <v>2014</v>
      </c>
      <c r="F308" s="1035" t="str">
        <f t="shared" si="178"/>
        <v>LULUS</v>
      </c>
      <c r="G308" s="1069">
        <f t="shared" si="179"/>
        <v>849114029</v>
      </c>
      <c r="H308" s="1038">
        <f t="shared" si="180"/>
        <v>0</v>
      </c>
      <c r="I308" s="1038">
        <f t="shared" si="181"/>
        <v>0</v>
      </c>
      <c r="J308" s="1038">
        <f t="shared" si="182"/>
        <v>0</v>
      </c>
      <c r="L308" s="1060">
        <f t="shared" si="154"/>
        <v>0</v>
      </c>
      <c r="M308" s="1060">
        <f t="shared" si="183"/>
        <v>1</v>
      </c>
      <c r="N308" s="1060">
        <f t="shared" si="184"/>
        <v>0</v>
      </c>
      <c r="O308" s="1060">
        <f t="shared" si="185"/>
        <v>0</v>
      </c>
      <c r="P308" s="1060">
        <f t="shared" si="186"/>
        <v>0</v>
      </c>
    </row>
    <row r="309" spans="1:18" x14ac:dyDescent="0.25">
      <c r="A309" s="1034">
        <v>777</v>
      </c>
      <c r="B309" s="1034">
        <f t="shared" si="92"/>
        <v>19</v>
      </c>
      <c r="C309" s="1067" t="str">
        <f t="shared" si="175"/>
        <v>Lailatuz Zakiah Darajat</v>
      </c>
      <c r="D309" s="1068" t="str">
        <f t="shared" si="176"/>
        <v>MPI-S2</v>
      </c>
      <c r="E309" s="1069">
        <f t="shared" si="177"/>
        <v>2014</v>
      </c>
      <c r="F309" s="1035" t="str">
        <f t="shared" si="178"/>
        <v>LULUS</v>
      </c>
      <c r="G309" s="1069">
        <f t="shared" si="179"/>
        <v>849114031</v>
      </c>
      <c r="H309" s="1038">
        <f t="shared" si="180"/>
        <v>0</v>
      </c>
      <c r="I309" s="1038">
        <f t="shared" si="181"/>
        <v>0</v>
      </c>
      <c r="J309" s="1038">
        <f t="shared" si="182"/>
        <v>0</v>
      </c>
      <c r="L309" s="1060">
        <f t="shared" si="154"/>
        <v>0</v>
      </c>
      <c r="M309" s="1060">
        <f t="shared" si="183"/>
        <v>1</v>
      </c>
      <c r="N309" s="1060">
        <f t="shared" si="184"/>
        <v>0</v>
      </c>
      <c r="O309" s="1060">
        <f t="shared" si="185"/>
        <v>0</v>
      </c>
      <c r="P309" s="1060">
        <f t="shared" si="186"/>
        <v>0</v>
      </c>
    </row>
    <row r="310" spans="1:18" x14ac:dyDescent="0.25">
      <c r="A310" s="1034">
        <v>778</v>
      </c>
      <c r="B310" s="1034">
        <f t="shared" si="92"/>
        <v>20</v>
      </c>
      <c r="C310" s="1067" t="str">
        <f t="shared" si="175"/>
        <v>Nurul Lathifah</v>
      </c>
      <c r="D310" s="1068" t="str">
        <f t="shared" si="176"/>
        <v>MPI-S2</v>
      </c>
      <c r="E310" s="1069">
        <f t="shared" si="177"/>
        <v>2014</v>
      </c>
      <c r="F310" s="1035" t="str">
        <f t="shared" si="178"/>
        <v>LULUS</v>
      </c>
      <c r="G310" s="1069">
        <f t="shared" si="179"/>
        <v>849114032</v>
      </c>
      <c r="H310" s="1038">
        <f t="shared" si="180"/>
        <v>0</v>
      </c>
      <c r="I310" s="1038">
        <f t="shared" si="181"/>
        <v>0</v>
      </c>
      <c r="J310" s="1038">
        <f t="shared" si="182"/>
        <v>0</v>
      </c>
      <c r="L310" s="1060">
        <f t="shared" si="154"/>
        <v>0</v>
      </c>
      <c r="M310" s="1060">
        <f t="shared" si="183"/>
        <v>1</v>
      </c>
      <c r="N310" s="1060">
        <f t="shared" si="184"/>
        <v>0</v>
      </c>
      <c r="O310" s="1060">
        <f t="shared" si="185"/>
        <v>0</v>
      </c>
      <c r="P310" s="1060">
        <f t="shared" si="186"/>
        <v>0</v>
      </c>
    </row>
    <row r="311" spans="1:18" x14ac:dyDescent="0.25">
      <c r="A311" s="1034">
        <v>779</v>
      </c>
      <c r="B311" s="1034">
        <f t="shared" si="92"/>
        <v>21</v>
      </c>
      <c r="C311" s="1067" t="str">
        <f t="shared" si="175"/>
        <v>Imroatussholihah</v>
      </c>
      <c r="D311" s="1068" t="str">
        <f t="shared" si="176"/>
        <v>MPI-S2</v>
      </c>
      <c r="E311" s="1069">
        <f t="shared" si="177"/>
        <v>2014</v>
      </c>
      <c r="F311" s="1035" t="str">
        <f t="shared" si="178"/>
        <v>LULUS</v>
      </c>
      <c r="G311" s="1069">
        <f t="shared" si="179"/>
        <v>849114030</v>
      </c>
      <c r="H311" s="1038">
        <f t="shared" si="180"/>
        <v>0</v>
      </c>
      <c r="I311" s="1038">
        <f t="shared" si="181"/>
        <v>0</v>
      </c>
      <c r="J311" s="1038">
        <f t="shared" si="182"/>
        <v>0</v>
      </c>
      <c r="L311" s="1060">
        <f t="shared" si="154"/>
        <v>0</v>
      </c>
      <c r="M311" s="1060">
        <f t="shared" si="183"/>
        <v>1</v>
      </c>
      <c r="N311" s="1060">
        <f t="shared" si="184"/>
        <v>0</v>
      </c>
      <c r="O311" s="1060">
        <f t="shared" si="185"/>
        <v>0</v>
      </c>
      <c r="P311" s="1060">
        <f t="shared" si="186"/>
        <v>0</v>
      </c>
      <c r="R311" s="1039"/>
    </row>
    <row r="312" spans="1:18" x14ac:dyDescent="0.25">
      <c r="A312" s="1034">
        <v>780</v>
      </c>
      <c r="B312" s="1034">
        <f t="shared" si="92"/>
        <v>22</v>
      </c>
      <c r="C312" s="1067" t="str">
        <f t="shared" si="175"/>
        <v>Yusuf</v>
      </c>
      <c r="D312" s="1068" t="str">
        <f t="shared" si="176"/>
        <v>MPI-S2</v>
      </c>
      <c r="E312" s="1069">
        <f t="shared" si="177"/>
        <v>2014</v>
      </c>
      <c r="F312" s="1035" t="str">
        <f t="shared" si="178"/>
        <v>LULUS</v>
      </c>
      <c r="G312" s="1069">
        <f t="shared" si="179"/>
        <v>849114036</v>
      </c>
      <c r="H312" s="1038">
        <f t="shared" si="180"/>
        <v>0</v>
      </c>
      <c r="I312" s="1038">
        <f t="shared" si="181"/>
        <v>0</v>
      </c>
      <c r="J312" s="1038">
        <f t="shared" si="182"/>
        <v>0</v>
      </c>
      <c r="L312" s="1060">
        <f t="shared" si="154"/>
        <v>0</v>
      </c>
      <c r="M312" s="1060">
        <f t="shared" si="183"/>
        <v>1</v>
      </c>
      <c r="N312" s="1060">
        <f t="shared" si="184"/>
        <v>0</v>
      </c>
      <c r="O312" s="1060">
        <f t="shared" si="185"/>
        <v>0</v>
      </c>
      <c r="P312" s="1060">
        <f t="shared" si="186"/>
        <v>0</v>
      </c>
    </row>
    <row r="313" spans="1:18" x14ac:dyDescent="0.25">
      <c r="A313" s="1039"/>
      <c r="B313" s="1039"/>
      <c r="C313" s="1070"/>
      <c r="D313" s="1071"/>
      <c r="E313" s="1072"/>
      <c r="F313" s="1040"/>
      <c r="G313" s="1072"/>
      <c r="H313" s="1042"/>
      <c r="I313" s="1042"/>
      <c r="J313" s="1042"/>
      <c r="L313" s="1042"/>
      <c r="M313" s="1042"/>
      <c r="N313" s="1042"/>
      <c r="O313" s="1042"/>
      <c r="P313" s="1042"/>
    </row>
    <row r="314" spans="1:18" x14ac:dyDescent="0.25">
      <c r="A314" s="1043" t="str">
        <f>'Rekap SPP'!A836</f>
        <v>S2-HK 2014/2015</v>
      </c>
      <c r="B314" s="1043"/>
      <c r="C314" s="1043"/>
      <c r="D314" s="1033" t="s">
        <v>3</v>
      </c>
      <c r="E314" s="1032" t="s">
        <v>4</v>
      </c>
      <c r="F314" s="1033" t="s">
        <v>3195</v>
      </c>
      <c r="G314" s="1032" t="s">
        <v>1</v>
      </c>
      <c r="H314" s="1033" t="s">
        <v>3341</v>
      </c>
      <c r="I314" s="1033" t="s">
        <v>3342</v>
      </c>
      <c r="J314" s="1062">
        <f>SUM(J315:J326)</f>
        <v>0</v>
      </c>
      <c r="L314" s="1063">
        <f>SUM(L315:L326)</f>
        <v>0</v>
      </c>
      <c r="M314" s="1063">
        <f>SUM(M315:M326)</f>
        <v>8</v>
      </c>
      <c r="N314" s="1063">
        <f>SUM(N315:N326)</f>
        <v>0</v>
      </c>
      <c r="O314" s="1063">
        <f>SUM(O315:O326)</f>
        <v>4</v>
      </c>
      <c r="P314" s="1063">
        <f>SUM(P315:P326)</f>
        <v>0</v>
      </c>
    </row>
    <row r="315" spans="1:18" x14ac:dyDescent="0.25">
      <c r="A315" s="1034">
        <v>781</v>
      </c>
      <c r="B315" s="1034">
        <f t="shared" si="92"/>
        <v>1</v>
      </c>
      <c r="C315" s="1067" t="str">
        <f t="shared" ref="C315:C326" si="187">IFERROR(VLOOKUP(A315,DB,4,FALSE),"")</f>
        <v>Abdul Halim</v>
      </c>
      <c r="D315" s="1068" t="str">
        <f t="shared" ref="D315:D326" si="188">IFERROR(VLOOKUP(A315,DB,5,FALSE),"")</f>
        <v>HK</v>
      </c>
      <c r="E315" s="1069">
        <f t="shared" ref="E315:E326" si="189">IFERROR(VLOOKUP(A315,DB,6,FALSE),"")</f>
        <v>2014</v>
      </c>
      <c r="F315" s="1035" t="str">
        <f t="shared" ref="F315:F326" si="190">IFERROR(VLOOKUP(A315,DB,7,FALSE),"")</f>
        <v>LULUS</v>
      </c>
      <c r="G315" s="1069">
        <f t="shared" ref="G315:G326" si="191">IFERROR(VLOOKUP(A315,DB,3,FALSE),"")</f>
        <v>839114001</v>
      </c>
      <c r="H315" s="1038">
        <f t="shared" ref="H315:H326" si="192">IF(F315="AKTIF",3000000,IF(F315="CUTI",3000000,0))</f>
        <v>0</v>
      </c>
      <c r="I315" s="1038">
        <f t="shared" ref="I315:I326" si="193">IFERROR(VLOOKUP(A315,DB,37,FALSE),"")-H315</f>
        <v>0</v>
      </c>
      <c r="J315" s="1038">
        <f t="shared" ref="J315:J326" si="194">I315+H315</f>
        <v>0</v>
      </c>
      <c r="L315" s="1060">
        <f t="shared" si="154"/>
        <v>0</v>
      </c>
      <c r="M315" s="1060">
        <f t="shared" ref="M315:M326" si="195">IF(F315="LULUS",1,0)</f>
        <v>1</v>
      </c>
      <c r="N315" s="1060">
        <f t="shared" ref="N315:N326" si="196">IF(F315="CUTI",1,0)</f>
        <v>0</v>
      </c>
      <c r="O315" s="1060">
        <f t="shared" ref="O315:O326" si="197">IF(F315="DROP OUT",1,0)</f>
        <v>0</v>
      </c>
      <c r="P315" s="1060">
        <f t="shared" ref="P315:P326" si="198">IF(F315="PASIF",1,0)</f>
        <v>0</v>
      </c>
    </row>
    <row r="316" spans="1:18" x14ac:dyDescent="0.25">
      <c r="A316" s="1034">
        <v>782</v>
      </c>
      <c r="B316" s="1034">
        <f t="shared" si="92"/>
        <v>2</v>
      </c>
      <c r="C316" s="1067" t="str">
        <f t="shared" si="187"/>
        <v>Kamaludin</v>
      </c>
      <c r="D316" s="1068" t="str">
        <f t="shared" si="188"/>
        <v>HK</v>
      </c>
      <c r="E316" s="1069">
        <f t="shared" si="189"/>
        <v>2014</v>
      </c>
      <c r="F316" s="1035" t="str">
        <f t="shared" si="190"/>
        <v>DROP OUT</v>
      </c>
      <c r="G316" s="1069">
        <f t="shared" si="191"/>
        <v>839114003</v>
      </c>
      <c r="H316" s="1038">
        <f t="shared" si="192"/>
        <v>0</v>
      </c>
      <c r="I316" s="1038">
        <f t="shared" si="193"/>
        <v>0</v>
      </c>
      <c r="J316" s="1038">
        <f t="shared" si="194"/>
        <v>0</v>
      </c>
      <c r="L316" s="1060">
        <f t="shared" si="154"/>
        <v>0</v>
      </c>
      <c r="M316" s="1060">
        <f t="shared" si="195"/>
        <v>0</v>
      </c>
      <c r="N316" s="1060">
        <f t="shared" si="196"/>
        <v>0</v>
      </c>
      <c r="O316" s="1060">
        <f t="shared" si="197"/>
        <v>1</v>
      </c>
      <c r="P316" s="1060">
        <f t="shared" si="198"/>
        <v>0</v>
      </c>
    </row>
    <row r="317" spans="1:18" x14ac:dyDescent="0.25">
      <c r="A317" s="1034">
        <v>783</v>
      </c>
      <c r="B317" s="1034">
        <f t="shared" si="92"/>
        <v>3</v>
      </c>
      <c r="C317" s="1067" t="str">
        <f t="shared" si="187"/>
        <v>Mohsi</v>
      </c>
      <c r="D317" s="1068" t="str">
        <f t="shared" si="188"/>
        <v>HK</v>
      </c>
      <c r="E317" s="1069">
        <f t="shared" si="189"/>
        <v>2014</v>
      </c>
      <c r="F317" s="1035" t="str">
        <f t="shared" si="190"/>
        <v>LULUS</v>
      </c>
      <c r="G317" s="1069">
        <f t="shared" si="191"/>
        <v>839114007</v>
      </c>
      <c r="H317" s="1038">
        <f t="shared" si="192"/>
        <v>0</v>
      </c>
      <c r="I317" s="1038">
        <f t="shared" si="193"/>
        <v>0</v>
      </c>
      <c r="J317" s="1038">
        <f t="shared" si="194"/>
        <v>0</v>
      </c>
      <c r="L317" s="1060">
        <f t="shared" si="154"/>
        <v>0</v>
      </c>
      <c r="M317" s="1060">
        <f t="shared" si="195"/>
        <v>1</v>
      </c>
      <c r="N317" s="1060">
        <f t="shared" si="196"/>
        <v>0</v>
      </c>
      <c r="O317" s="1060">
        <f t="shared" si="197"/>
        <v>0</v>
      </c>
      <c r="P317" s="1060">
        <f t="shared" si="198"/>
        <v>0</v>
      </c>
    </row>
    <row r="318" spans="1:18" x14ac:dyDescent="0.25">
      <c r="A318" s="1034">
        <v>784</v>
      </c>
      <c r="B318" s="1034">
        <f t="shared" si="92"/>
        <v>4</v>
      </c>
      <c r="C318" s="1067" t="str">
        <f t="shared" si="187"/>
        <v>Moh. Nur Fauzi</v>
      </c>
      <c r="D318" s="1068" t="str">
        <f t="shared" si="188"/>
        <v>HK</v>
      </c>
      <c r="E318" s="1069">
        <f t="shared" si="189"/>
        <v>2014</v>
      </c>
      <c r="F318" s="1035" t="str">
        <f t="shared" si="190"/>
        <v>LULUS</v>
      </c>
      <c r="G318" s="1069">
        <f t="shared" si="191"/>
        <v>839114006</v>
      </c>
      <c r="H318" s="1038">
        <f t="shared" si="192"/>
        <v>0</v>
      </c>
      <c r="I318" s="1038">
        <f t="shared" si="193"/>
        <v>0</v>
      </c>
      <c r="J318" s="1038">
        <f t="shared" si="194"/>
        <v>0</v>
      </c>
      <c r="L318" s="1060">
        <f t="shared" si="154"/>
        <v>0</v>
      </c>
      <c r="M318" s="1060">
        <f t="shared" si="195"/>
        <v>1</v>
      </c>
      <c r="N318" s="1060">
        <f t="shared" si="196"/>
        <v>0</v>
      </c>
      <c r="O318" s="1060">
        <f t="shared" si="197"/>
        <v>0</v>
      </c>
      <c r="P318" s="1060">
        <f t="shared" si="198"/>
        <v>0</v>
      </c>
    </row>
    <row r="319" spans="1:18" x14ac:dyDescent="0.25">
      <c r="A319" s="1034">
        <v>785</v>
      </c>
      <c r="B319" s="1034">
        <f t="shared" si="92"/>
        <v>5</v>
      </c>
      <c r="C319" s="1067" t="str">
        <f t="shared" si="187"/>
        <v>Sholeh Ibrahim</v>
      </c>
      <c r="D319" s="1068" t="str">
        <f t="shared" si="188"/>
        <v>HK</v>
      </c>
      <c r="E319" s="1069">
        <f t="shared" si="189"/>
        <v>2014</v>
      </c>
      <c r="F319" s="1035" t="str">
        <f t="shared" si="190"/>
        <v>LULUS</v>
      </c>
      <c r="G319" s="1069">
        <f t="shared" si="191"/>
        <v>839114009</v>
      </c>
      <c r="H319" s="1038">
        <f t="shared" si="192"/>
        <v>0</v>
      </c>
      <c r="I319" s="1038">
        <f t="shared" si="193"/>
        <v>0</v>
      </c>
      <c r="J319" s="1038">
        <f t="shared" si="194"/>
        <v>0</v>
      </c>
      <c r="L319" s="1060">
        <f t="shared" si="154"/>
        <v>0</v>
      </c>
      <c r="M319" s="1060">
        <f t="shared" si="195"/>
        <v>1</v>
      </c>
      <c r="N319" s="1060">
        <f t="shared" si="196"/>
        <v>0</v>
      </c>
      <c r="O319" s="1060">
        <f t="shared" si="197"/>
        <v>0</v>
      </c>
      <c r="P319" s="1060">
        <f t="shared" si="198"/>
        <v>0</v>
      </c>
    </row>
    <row r="320" spans="1:18" x14ac:dyDescent="0.25">
      <c r="A320" s="1034">
        <v>786</v>
      </c>
      <c r="B320" s="1034">
        <f t="shared" si="92"/>
        <v>6</v>
      </c>
      <c r="C320" s="1067" t="str">
        <f t="shared" si="187"/>
        <v>M. Romadhanul Akhir</v>
      </c>
      <c r="D320" s="1068" t="str">
        <f t="shared" si="188"/>
        <v>HK</v>
      </c>
      <c r="E320" s="1069">
        <f t="shared" si="189"/>
        <v>2014</v>
      </c>
      <c r="F320" s="1035" t="str">
        <f t="shared" si="190"/>
        <v>LULUS</v>
      </c>
      <c r="G320" s="1069">
        <f t="shared" si="191"/>
        <v>839114005</v>
      </c>
      <c r="H320" s="1038">
        <f t="shared" si="192"/>
        <v>0</v>
      </c>
      <c r="I320" s="1038">
        <f t="shared" si="193"/>
        <v>0</v>
      </c>
      <c r="J320" s="1038">
        <f t="shared" si="194"/>
        <v>0</v>
      </c>
      <c r="L320" s="1060">
        <f t="shared" si="154"/>
        <v>0</v>
      </c>
      <c r="M320" s="1060">
        <f t="shared" si="195"/>
        <v>1</v>
      </c>
      <c r="N320" s="1060">
        <f t="shared" si="196"/>
        <v>0</v>
      </c>
      <c r="O320" s="1060">
        <f t="shared" si="197"/>
        <v>0</v>
      </c>
      <c r="P320" s="1060">
        <f t="shared" si="198"/>
        <v>0</v>
      </c>
    </row>
    <row r="321" spans="1:16" x14ac:dyDescent="0.25">
      <c r="A321" s="1034">
        <v>787</v>
      </c>
      <c r="B321" s="1034">
        <f t="shared" si="92"/>
        <v>7</v>
      </c>
      <c r="C321" s="1067" t="str">
        <f t="shared" si="187"/>
        <v>Muhammad Yassir</v>
      </c>
      <c r="D321" s="1068" t="str">
        <f t="shared" si="188"/>
        <v>HK</v>
      </c>
      <c r="E321" s="1069">
        <f t="shared" si="189"/>
        <v>2014</v>
      </c>
      <c r="F321" s="1035" t="str">
        <f t="shared" si="190"/>
        <v>LULUS</v>
      </c>
      <c r="G321" s="1069">
        <f t="shared" si="191"/>
        <v>839114008</v>
      </c>
      <c r="H321" s="1038">
        <f t="shared" si="192"/>
        <v>0</v>
      </c>
      <c r="I321" s="1038">
        <f t="shared" si="193"/>
        <v>0</v>
      </c>
      <c r="J321" s="1038">
        <f t="shared" si="194"/>
        <v>0</v>
      </c>
      <c r="L321" s="1060">
        <f t="shared" si="154"/>
        <v>0</v>
      </c>
      <c r="M321" s="1060">
        <f t="shared" si="195"/>
        <v>1</v>
      </c>
      <c r="N321" s="1060">
        <f t="shared" si="196"/>
        <v>0</v>
      </c>
      <c r="O321" s="1060">
        <f t="shared" si="197"/>
        <v>0</v>
      </c>
      <c r="P321" s="1060">
        <f t="shared" si="198"/>
        <v>0</v>
      </c>
    </row>
    <row r="322" spans="1:16" x14ac:dyDescent="0.25">
      <c r="A322" s="1034">
        <v>788</v>
      </c>
      <c r="B322" s="1034">
        <f t="shared" ref="B322:B392" si="199">IFERROR(VLOOKUP(A322,DB,2,FALSE),"")</f>
        <v>8</v>
      </c>
      <c r="C322" s="1067" t="str">
        <f t="shared" si="187"/>
        <v>Abd. Wafi</v>
      </c>
      <c r="D322" s="1068" t="str">
        <f t="shared" si="188"/>
        <v>HK</v>
      </c>
      <c r="E322" s="1069">
        <f t="shared" si="189"/>
        <v>2014</v>
      </c>
      <c r="F322" s="1035" t="str">
        <f t="shared" si="190"/>
        <v>DROP OUT</v>
      </c>
      <c r="G322" s="1069">
        <f t="shared" si="191"/>
        <v>839114010</v>
      </c>
      <c r="H322" s="1038">
        <f t="shared" si="192"/>
        <v>0</v>
      </c>
      <c r="I322" s="1038">
        <f t="shared" si="193"/>
        <v>0</v>
      </c>
      <c r="J322" s="1038">
        <f t="shared" si="194"/>
        <v>0</v>
      </c>
      <c r="L322" s="1060">
        <f t="shared" si="154"/>
        <v>0</v>
      </c>
      <c r="M322" s="1060">
        <f t="shared" si="195"/>
        <v>0</v>
      </c>
      <c r="N322" s="1060">
        <f t="shared" si="196"/>
        <v>0</v>
      </c>
      <c r="O322" s="1060">
        <f t="shared" si="197"/>
        <v>1</v>
      </c>
      <c r="P322" s="1060">
        <f t="shared" si="198"/>
        <v>0</v>
      </c>
    </row>
    <row r="323" spans="1:16" x14ac:dyDescent="0.25">
      <c r="A323" s="1034">
        <v>789</v>
      </c>
      <c r="B323" s="1034">
        <f t="shared" si="199"/>
        <v>9</v>
      </c>
      <c r="C323" s="1067" t="str">
        <f t="shared" si="187"/>
        <v>Adib Mamduh</v>
      </c>
      <c r="D323" s="1068" t="str">
        <f t="shared" si="188"/>
        <v>HK</v>
      </c>
      <c r="E323" s="1069">
        <f t="shared" si="189"/>
        <v>2014</v>
      </c>
      <c r="F323" s="1035" t="str">
        <f t="shared" si="190"/>
        <v>DROP OUT</v>
      </c>
      <c r="G323" s="1069">
        <f t="shared" si="191"/>
        <v>839114002</v>
      </c>
      <c r="H323" s="1038">
        <f t="shared" si="192"/>
        <v>0</v>
      </c>
      <c r="I323" s="1038">
        <f t="shared" si="193"/>
        <v>0</v>
      </c>
      <c r="J323" s="1038">
        <f t="shared" si="194"/>
        <v>0</v>
      </c>
      <c r="L323" s="1060">
        <f t="shared" si="154"/>
        <v>0</v>
      </c>
      <c r="M323" s="1060">
        <f t="shared" si="195"/>
        <v>0</v>
      </c>
      <c r="N323" s="1060">
        <f t="shared" si="196"/>
        <v>0</v>
      </c>
      <c r="O323" s="1060">
        <f t="shared" si="197"/>
        <v>1</v>
      </c>
      <c r="P323" s="1060">
        <f t="shared" si="198"/>
        <v>0</v>
      </c>
    </row>
    <row r="324" spans="1:16" x14ac:dyDescent="0.25">
      <c r="A324" s="1034">
        <v>790</v>
      </c>
      <c r="B324" s="1034">
        <f t="shared" si="199"/>
        <v>10</v>
      </c>
      <c r="C324" s="1067" t="str">
        <f t="shared" si="187"/>
        <v>Ahmad Ainul Yaqin Assalam</v>
      </c>
      <c r="D324" s="1068" t="str">
        <f t="shared" si="188"/>
        <v>HK</v>
      </c>
      <c r="E324" s="1069">
        <f t="shared" si="189"/>
        <v>2014</v>
      </c>
      <c r="F324" s="1035" t="str">
        <f t="shared" si="190"/>
        <v>DROP OUT</v>
      </c>
      <c r="G324" s="1069">
        <f t="shared" si="191"/>
        <v>839114011</v>
      </c>
      <c r="H324" s="1038">
        <f t="shared" si="192"/>
        <v>0</v>
      </c>
      <c r="I324" s="1038">
        <f t="shared" si="193"/>
        <v>0</v>
      </c>
      <c r="J324" s="1038">
        <f t="shared" si="194"/>
        <v>0</v>
      </c>
      <c r="L324" s="1060">
        <f t="shared" si="154"/>
        <v>0</v>
      </c>
      <c r="M324" s="1060">
        <f t="shared" si="195"/>
        <v>0</v>
      </c>
      <c r="N324" s="1060">
        <f t="shared" si="196"/>
        <v>0</v>
      </c>
      <c r="O324" s="1060">
        <f t="shared" si="197"/>
        <v>1</v>
      </c>
      <c r="P324" s="1060">
        <f t="shared" si="198"/>
        <v>0</v>
      </c>
    </row>
    <row r="325" spans="1:16" x14ac:dyDescent="0.25">
      <c r="A325" s="1034">
        <v>791</v>
      </c>
      <c r="B325" s="1034">
        <f t="shared" si="199"/>
        <v>11</v>
      </c>
      <c r="C325" s="1067" t="str">
        <f t="shared" si="187"/>
        <v>Mohammad Faizin</v>
      </c>
      <c r="D325" s="1068" t="str">
        <f t="shared" si="188"/>
        <v>HK</v>
      </c>
      <c r="E325" s="1069">
        <f t="shared" si="189"/>
        <v>2014</v>
      </c>
      <c r="F325" s="1035" t="str">
        <f t="shared" si="190"/>
        <v>LULUS</v>
      </c>
      <c r="G325" s="1069">
        <f t="shared" si="191"/>
        <v>839114013</v>
      </c>
      <c r="H325" s="1038">
        <f t="shared" si="192"/>
        <v>0</v>
      </c>
      <c r="I325" s="1038">
        <f t="shared" si="193"/>
        <v>0</v>
      </c>
      <c r="J325" s="1038">
        <f t="shared" si="194"/>
        <v>0</v>
      </c>
      <c r="L325" s="1060">
        <f t="shared" si="154"/>
        <v>0</v>
      </c>
      <c r="M325" s="1060">
        <f t="shared" si="195"/>
        <v>1</v>
      </c>
      <c r="N325" s="1060">
        <f t="shared" si="196"/>
        <v>0</v>
      </c>
      <c r="O325" s="1060">
        <f t="shared" si="197"/>
        <v>0</v>
      </c>
      <c r="P325" s="1060">
        <f t="shared" si="198"/>
        <v>0</v>
      </c>
    </row>
    <row r="326" spans="1:16" x14ac:dyDescent="0.25">
      <c r="A326" s="1034">
        <v>792</v>
      </c>
      <c r="B326" s="1034">
        <f t="shared" si="199"/>
        <v>12</v>
      </c>
      <c r="C326" s="1067" t="str">
        <f t="shared" si="187"/>
        <v>Saiful Bahri</v>
      </c>
      <c r="D326" s="1068" t="str">
        <f t="shared" si="188"/>
        <v>HK</v>
      </c>
      <c r="E326" s="1069">
        <f t="shared" si="189"/>
        <v>2014</v>
      </c>
      <c r="F326" s="1035" t="str">
        <f t="shared" si="190"/>
        <v>LULUS</v>
      </c>
      <c r="G326" s="1069">
        <f t="shared" si="191"/>
        <v>839114014</v>
      </c>
      <c r="H326" s="1038">
        <f t="shared" si="192"/>
        <v>0</v>
      </c>
      <c r="I326" s="1038">
        <f t="shared" si="193"/>
        <v>0</v>
      </c>
      <c r="J326" s="1038">
        <f t="shared" si="194"/>
        <v>0</v>
      </c>
      <c r="L326" s="1060">
        <f t="shared" si="154"/>
        <v>0</v>
      </c>
      <c r="M326" s="1060">
        <f t="shared" si="195"/>
        <v>1</v>
      </c>
      <c r="N326" s="1060">
        <f t="shared" si="196"/>
        <v>0</v>
      </c>
      <c r="O326" s="1060">
        <f t="shared" si="197"/>
        <v>0</v>
      </c>
      <c r="P326" s="1060">
        <f t="shared" si="198"/>
        <v>0</v>
      </c>
    </row>
    <row r="327" spans="1:16" x14ac:dyDescent="0.25">
      <c r="A327" s="1039"/>
      <c r="B327" s="1039"/>
      <c r="C327" s="1070"/>
      <c r="D327" s="1071"/>
      <c r="E327" s="1072"/>
      <c r="F327" s="1040"/>
      <c r="G327" s="1072"/>
      <c r="H327" s="1042"/>
      <c r="I327" s="1042"/>
      <c r="J327" s="1042"/>
      <c r="L327" s="1042"/>
      <c r="M327" s="1042"/>
      <c r="N327" s="1042"/>
      <c r="O327" s="1042"/>
      <c r="P327" s="1042"/>
    </row>
    <row r="328" spans="1:16" x14ac:dyDescent="0.25">
      <c r="A328" s="1043" t="str">
        <f>'Rekap SPP'!A850</f>
        <v>S2-ES 2014/2015</v>
      </c>
      <c r="B328" s="1043"/>
      <c r="C328" s="1043"/>
      <c r="D328" s="1033" t="s">
        <v>3</v>
      </c>
      <c r="E328" s="1032" t="s">
        <v>4</v>
      </c>
      <c r="F328" s="1033" t="s">
        <v>3195</v>
      </c>
      <c r="G328" s="1032" t="s">
        <v>1</v>
      </c>
      <c r="H328" s="1033" t="s">
        <v>3341</v>
      </c>
      <c r="I328" s="1033" t="s">
        <v>3342</v>
      </c>
      <c r="J328" s="1062">
        <f>SUM(J329:J343)</f>
        <v>0</v>
      </c>
      <c r="L328" s="1063">
        <f>SUM(L329:L343)</f>
        <v>0</v>
      </c>
      <c r="M328" s="1063">
        <f>SUM(M329:M343)</f>
        <v>12</v>
      </c>
      <c r="N328" s="1063">
        <f>SUM(N329:N343)</f>
        <v>0</v>
      </c>
      <c r="O328" s="1063">
        <f>SUM(O329:O343)</f>
        <v>3</v>
      </c>
      <c r="P328" s="1063">
        <f>SUM(P329:P343)</f>
        <v>0</v>
      </c>
    </row>
    <row r="329" spans="1:16" x14ac:dyDescent="0.25">
      <c r="A329" s="1034">
        <v>793</v>
      </c>
      <c r="B329" s="1034">
        <f t="shared" si="199"/>
        <v>1</v>
      </c>
      <c r="C329" s="1067" t="str">
        <f t="shared" ref="C329:C343" si="200">IFERROR(VLOOKUP(A329,DB,4,FALSE),"")</f>
        <v>Achmad Fawaid</v>
      </c>
      <c r="D329" s="1068" t="str">
        <f t="shared" ref="D329:D343" si="201">IFERROR(VLOOKUP(A329,DB,5,FALSE),"")</f>
        <v>ES</v>
      </c>
      <c r="E329" s="1069">
        <f t="shared" ref="E329:E343" si="202">IFERROR(VLOOKUP(A329,DB,6,FALSE),"")</f>
        <v>2014</v>
      </c>
      <c r="F329" s="1035" t="str">
        <f t="shared" ref="F329:F343" si="203">IFERROR(VLOOKUP(A329,DB,7,FALSE),"")</f>
        <v>LULUS</v>
      </c>
      <c r="G329" s="1069">
        <f t="shared" ref="G329:G343" si="204">IFERROR(VLOOKUP(A329,DB,3,FALSE),"")</f>
        <v>839214001</v>
      </c>
      <c r="H329" s="1038">
        <f t="shared" ref="H329:H343" si="205">IF(F329="AKTIF",3000000,IF(F329="CUTI",3000000,0))</f>
        <v>0</v>
      </c>
      <c r="I329" s="1038">
        <f t="shared" ref="I329:I343" si="206">IFERROR(VLOOKUP(A329,DB,37,FALSE),"")-H329</f>
        <v>0</v>
      </c>
      <c r="J329" s="1038">
        <f t="shared" ref="J329:J343" si="207">I329+H329</f>
        <v>0</v>
      </c>
      <c r="L329" s="1060">
        <f t="shared" si="154"/>
        <v>0</v>
      </c>
      <c r="M329" s="1060">
        <f t="shared" ref="M329:M343" si="208">IF(F329="LULUS",1,0)</f>
        <v>1</v>
      </c>
      <c r="N329" s="1060">
        <f t="shared" ref="N329:N343" si="209">IF(F329="CUTI",1,0)</f>
        <v>0</v>
      </c>
      <c r="O329" s="1060">
        <f t="shared" ref="O329:O343" si="210">IF(F329="DROP OUT",1,0)</f>
        <v>0</v>
      </c>
      <c r="P329" s="1060">
        <f t="shared" ref="P329:P343" si="211">IF(F329="PASIF",1,0)</f>
        <v>0</v>
      </c>
    </row>
    <row r="330" spans="1:16" x14ac:dyDescent="0.25">
      <c r="A330" s="1034">
        <v>794</v>
      </c>
      <c r="B330" s="1034">
        <f t="shared" si="199"/>
        <v>2</v>
      </c>
      <c r="C330" s="1067" t="str">
        <f t="shared" si="200"/>
        <v>Arif Muntholib</v>
      </c>
      <c r="D330" s="1068" t="str">
        <f t="shared" si="201"/>
        <v>ES</v>
      </c>
      <c r="E330" s="1069">
        <f t="shared" si="202"/>
        <v>2014</v>
      </c>
      <c r="F330" s="1035" t="str">
        <f t="shared" si="203"/>
        <v>LULUS</v>
      </c>
      <c r="G330" s="1069">
        <f t="shared" si="204"/>
        <v>839214002</v>
      </c>
      <c r="H330" s="1038">
        <f t="shared" si="205"/>
        <v>0</v>
      </c>
      <c r="I330" s="1038">
        <f t="shared" si="206"/>
        <v>0</v>
      </c>
      <c r="J330" s="1038">
        <f t="shared" si="207"/>
        <v>0</v>
      </c>
      <c r="L330" s="1060">
        <f t="shared" si="154"/>
        <v>0</v>
      </c>
      <c r="M330" s="1060">
        <f t="shared" si="208"/>
        <v>1</v>
      </c>
      <c r="N330" s="1060">
        <f t="shared" si="209"/>
        <v>0</v>
      </c>
      <c r="O330" s="1060">
        <f t="shared" si="210"/>
        <v>0</v>
      </c>
      <c r="P330" s="1060">
        <f t="shared" si="211"/>
        <v>0</v>
      </c>
    </row>
    <row r="331" spans="1:16" x14ac:dyDescent="0.25">
      <c r="A331" s="1034">
        <v>795</v>
      </c>
      <c r="B331" s="1034">
        <f t="shared" si="199"/>
        <v>3</v>
      </c>
      <c r="C331" s="1067" t="str">
        <f t="shared" si="200"/>
        <v>Aula Izatul Aini</v>
      </c>
      <c r="D331" s="1068" t="str">
        <f t="shared" si="201"/>
        <v>ES</v>
      </c>
      <c r="E331" s="1069">
        <f t="shared" si="202"/>
        <v>2014</v>
      </c>
      <c r="F331" s="1035" t="str">
        <f t="shared" si="203"/>
        <v>LULUS</v>
      </c>
      <c r="G331" s="1069">
        <f t="shared" si="204"/>
        <v>839214003</v>
      </c>
      <c r="H331" s="1038">
        <f t="shared" si="205"/>
        <v>0</v>
      </c>
      <c r="I331" s="1038">
        <f t="shared" si="206"/>
        <v>0</v>
      </c>
      <c r="J331" s="1038">
        <f t="shared" si="207"/>
        <v>0</v>
      </c>
      <c r="L331" s="1060">
        <f t="shared" si="154"/>
        <v>0</v>
      </c>
      <c r="M331" s="1060">
        <f t="shared" si="208"/>
        <v>1</v>
      </c>
      <c r="N331" s="1060">
        <f t="shared" si="209"/>
        <v>0</v>
      </c>
      <c r="O331" s="1060">
        <f t="shared" si="210"/>
        <v>0</v>
      </c>
      <c r="P331" s="1060">
        <f t="shared" si="211"/>
        <v>0</v>
      </c>
    </row>
    <row r="332" spans="1:16" x14ac:dyDescent="0.25">
      <c r="A332" s="1034">
        <v>796</v>
      </c>
      <c r="B332" s="1034">
        <f t="shared" si="199"/>
        <v>4</v>
      </c>
      <c r="C332" s="1067" t="str">
        <f t="shared" si="200"/>
        <v>Ayyu Ainin Mustafidah</v>
      </c>
      <c r="D332" s="1068" t="str">
        <f t="shared" si="201"/>
        <v>ES</v>
      </c>
      <c r="E332" s="1069">
        <f t="shared" si="202"/>
        <v>2014</v>
      </c>
      <c r="F332" s="1035" t="str">
        <f t="shared" si="203"/>
        <v>LULUS</v>
      </c>
      <c r="G332" s="1069">
        <f t="shared" si="204"/>
        <v>839214004</v>
      </c>
      <c r="H332" s="1038">
        <f t="shared" si="205"/>
        <v>0</v>
      </c>
      <c r="I332" s="1038">
        <f t="shared" si="206"/>
        <v>0</v>
      </c>
      <c r="J332" s="1038">
        <f t="shared" si="207"/>
        <v>0</v>
      </c>
      <c r="L332" s="1060">
        <f t="shared" si="154"/>
        <v>0</v>
      </c>
      <c r="M332" s="1060">
        <f t="shared" si="208"/>
        <v>1</v>
      </c>
      <c r="N332" s="1060">
        <f t="shared" si="209"/>
        <v>0</v>
      </c>
      <c r="O332" s="1060">
        <f t="shared" si="210"/>
        <v>0</v>
      </c>
      <c r="P332" s="1060">
        <f t="shared" si="211"/>
        <v>0</v>
      </c>
    </row>
    <row r="333" spans="1:16" x14ac:dyDescent="0.25">
      <c r="A333" s="1034">
        <v>797</v>
      </c>
      <c r="B333" s="1034">
        <f t="shared" si="199"/>
        <v>5</v>
      </c>
      <c r="C333" s="1067" t="str">
        <f t="shared" si="200"/>
        <v>Basuki Ali Sutaman</v>
      </c>
      <c r="D333" s="1068" t="str">
        <f t="shared" si="201"/>
        <v>ES</v>
      </c>
      <c r="E333" s="1069">
        <f t="shared" si="202"/>
        <v>2014</v>
      </c>
      <c r="F333" s="1035" t="str">
        <f t="shared" si="203"/>
        <v>DROP OUT</v>
      </c>
      <c r="G333" s="1069">
        <f t="shared" si="204"/>
        <v>839214005</v>
      </c>
      <c r="H333" s="1038">
        <f t="shared" si="205"/>
        <v>0</v>
      </c>
      <c r="I333" s="1038">
        <f t="shared" si="206"/>
        <v>0</v>
      </c>
      <c r="J333" s="1038">
        <f t="shared" si="207"/>
        <v>0</v>
      </c>
      <c r="L333" s="1060">
        <f t="shared" si="154"/>
        <v>0</v>
      </c>
      <c r="M333" s="1060">
        <f t="shared" si="208"/>
        <v>0</v>
      </c>
      <c r="N333" s="1060">
        <f t="shared" si="209"/>
        <v>0</v>
      </c>
      <c r="O333" s="1060">
        <f t="shared" si="210"/>
        <v>1</v>
      </c>
      <c r="P333" s="1060">
        <f t="shared" si="211"/>
        <v>0</v>
      </c>
    </row>
    <row r="334" spans="1:16" x14ac:dyDescent="0.25">
      <c r="A334" s="1034">
        <v>798</v>
      </c>
      <c r="B334" s="1034">
        <f t="shared" si="199"/>
        <v>6</v>
      </c>
      <c r="C334" s="1067" t="str">
        <f t="shared" si="200"/>
        <v>Dimas Herliandis Shodiqin</v>
      </c>
      <c r="D334" s="1068" t="str">
        <f t="shared" si="201"/>
        <v>ES</v>
      </c>
      <c r="E334" s="1069">
        <f t="shared" si="202"/>
        <v>2014</v>
      </c>
      <c r="F334" s="1035" t="str">
        <f t="shared" si="203"/>
        <v>LULUS</v>
      </c>
      <c r="G334" s="1069">
        <f t="shared" si="204"/>
        <v>839214006</v>
      </c>
      <c r="H334" s="1038">
        <f t="shared" si="205"/>
        <v>0</v>
      </c>
      <c r="I334" s="1038">
        <f t="shared" si="206"/>
        <v>0</v>
      </c>
      <c r="J334" s="1038">
        <f t="shared" si="207"/>
        <v>0</v>
      </c>
      <c r="L334" s="1060">
        <f t="shared" ref="L334:L403" si="212">IF(F334="AKTIF",1,0)</f>
        <v>0</v>
      </c>
      <c r="M334" s="1060">
        <f t="shared" si="208"/>
        <v>1</v>
      </c>
      <c r="N334" s="1060">
        <f t="shared" si="209"/>
        <v>0</v>
      </c>
      <c r="O334" s="1060">
        <f t="shared" si="210"/>
        <v>0</v>
      </c>
      <c r="P334" s="1060">
        <f t="shared" si="211"/>
        <v>0</v>
      </c>
    </row>
    <row r="335" spans="1:16" x14ac:dyDescent="0.25">
      <c r="A335" s="1034">
        <v>799</v>
      </c>
      <c r="B335" s="1034">
        <f t="shared" si="199"/>
        <v>7</v>
      </c>
      <c r="C335" s="1067" t="str">
        <f t="shared" si="200"/>
        <v>Habibullah</v>
      </c>
      <c r="D335" s="1068" t="str">
        <f t="shared" si="201"/>
        <v>ES</v>
      </c>
      <c r="E335" s="1069">
        <f t="shared" si="202"/>
        <v>2014</v>
      </c>
      <c r="F335" s="1035" t="str">
        <f t="shared" si="203"/>
        <v>LULUS</v>
      </c>
      <c r="G335" s="1069">
        <f t="shared" si="204"/>
        <v>839214007</v>
      </c>
      <c r="H335" s="1038">
        <f t="shared" si="205"/>
        <v>0</v>
      </c>
      <c r="I335" s="1038">
        <f t="shared" si="206"/>
        <v>0</v>
      </c>
      <c r="J335" s="1038">
        <f t="shared" si="207"/>
        <v>0</v>
      </c>
      <c r="L335" s="1060">
        <f t="shared" si="212"/>
        <v>0</v>
      </c>
      <c r="M335" s="1060">
        <f t="shared" si="208"/>
        <v>1</v>
      </c>
      <c r="N335" s="1060">
        <f t="shared" si="209"/>
        <v>0</v>
      </c>
      <c r="O335" s="1060">
        <f t="shared" si="210"/>
        <v>0</v>
      </c>
      <c r="P335" s="1060">
        <f t="shared" si="211"/>
        <v>0</v>
      </c>
    </row>
    <row r="336" spans="1:16" x14ac:dyDescent="0.25">
      <c r="A336" s="1034">
        <v>800</v>
      </c>
      <c r="B336" s="1034">
        <f t="shared" si="199"/>
        <v>8</v>
      </c>
      <c r="C336" s="1067" t="str">
        <f t="shared" si="200"/>
        <v>Lutfi</v>
      </c>
      <c r="D336" s="1068" t="str">
        <f t="shared" si="201"/>
        <v>ES</v>
      </c>
      <c r="E336" s="1069">
        <f t="shared" si="202"/>
        <v>2014</v>
      </c>
      <c r="F336" s="1035" t="str">
        <f t="shared" si="203"/>
        <v>LULUS</v>
      </c>
      <c r="G336" s="1069">
        <f t="shared" si="204"/>
        <v>839214008</v>
      </c>
      <c r="H336" s="1038">
        <f t="shared" si="205"/>
        <v>0</v>
      </c>
      <c r="I336" s="1038">
        <f t="shared" si="206"/>
        <v>0</v>
      </c>
      <c r="J336" s="1038">
        <f t="shared" si="207"/>
        <v>0</v>
      </c>
      <c r="L336" s="1060">
        <f t="shared" si="212"/>
        <v>0</v>
      </c>
      <c r="M336" s="1060">
        <f t="shared" si="208"/>
        <v>1</v>
      </c>
      <c r="N336" s="1060">
        <f t="shared" si="209"/>
        <v>0</v>
      </c>
      <c r="O336" s="1060">
        <f t="shared" si="210"/>
        <v>0</v>
      </c>
      <c r="P336" s="1060">
        <f t="shared" si="211"/>
        <v>0</v>
      </c>
    </row>
    <row r="337" spans="1:16" x14ac:dyDescent="0.25">
      <c r="A337" s="1034">
        <v>801</v>
      </c>
      <c r="B337" s="1034">
        <f t="shared" si="199"/>
        <v>9</v>
      </c>
      <c r="C337" s="1067" t="str">
        <f t="shared" si="200"/>
        <v>M. Zainal Abidin</v>
      </c>
      <c r="D337" s="1068" t="str">
        <f t="shared" si="201"/>
        <v>ES</v>
      </c>
      <c r="E337" s="1069">
        <f t="shared" si="202"/>
        <v>2014</v>
      </c>
      <c r="F337" s="1035" t="str">
        <f t="shared" si="203"/>
        <v>DROP OUT</v>
      </c>
      <c r="G337" s="1069">
        <f t="shared" si="204"/>
        <v>839214009</v>
      </c>
      <c r="H337" s="1038">
        <f t="shared" si="205"/>
        <v>0</v>
      </c>
      <c r="I337" s="1038">
        <f t="shared" si="206"/>
        <v>0</v>
      </c>
      <c r="J337" s="1038">
        <f t="shared" si="207"/>
        <v>0</v>
      </c>
      <c r="L337" s="1060">
        <f t="shared" si="212"/>
        <v>0</v>
      </c>
      <c r="M337" s="1060">
        <f t="shared" si="208"/>
        <v>0</v>
      </c>
      <c r="N337" s="1060">
        <f t="shared" si="209"/>
        <v>0</v>
      </c>
      <c r="O337" s="1060">
        <f t="shared" si="210"/>
        <v>1</v>
      </c>
      <c r="P337" s="1060">
        <f t="shared" si="211"/>
        <v>0</v>
      </c>
    </row>
    <row r="338" spans="1:16" x14ac:dyDescent="0.25">
      <c r="A338" s="1034">
        <v>802</v>
      </c>
      <c r="B338" s="1034">
        <f t="shared" si="199"/>
        <v>10</v>
      </c>
      <c r="C338" s="1067" t="str">
        <f t="shared" si="200"/>
        <v>Moh.Irham Maulana</v>
      </c>
      <c r="D338" s="1068" t="str">
        <f t="shared" si="201"/>
        <v>ES</v>
      </c>
      <c r="E338" s="1069">
        <f t="shared" si="202"/>
        <v>2014</v>
      </c>
      <c r="F338" s="1035" t="str">
        <f t="shared" si="203"/>
        <v>LULUS</v>
      </c>
      <c r="G338" s="1069">
        <f t="shared" si="204"/>
        <v>839214010</v>
      </c>
      <c r="H338" s="1038">
        <f t="shared" si="205"/>
        <v>0</v>
      </c>
      <c r="I338" s="1038">
        <f t="shared" si="206"/>
        <v>0</v>
      </c>
      <c r="J338" s="1038">
        <f t="shared" si="207"/>
        <v>0</v>
      </c>
      <c r="L338" s="1060">
        <f t="shared" si="212"/>
        <v>0</v>
      </c>
      <c r="M338" s="1060">
        <f t="shared" si="208"/>
        <v>1</v>
      </c>
      <c r="N338" s="1060">
        <f t="shared" si="209"/>
        <v>0</v>
      </c>
      <c r="O338" s="1060">
        <f t="shared" si="210"/>
        <v>0</v>
      </c>
      <c r="P338" s="1060">
        <f t="shared" si="211"/>
        <v>0</v>
      </c>
    </row>
    <row r="339" spans="1:16" x14ac:dyDescent="0.25">
      <c r="A339" s="1034">
        <v>803</v>
      </c>
      <c r="B339" s="1034">
        <f t="shared" si="199"/>
        <v>11</v>
      </c>
      <c r="C339" s="1067" t="str">
        <f t="shared" si="200"/>
        <v>Mursidah</v>
      </c>
      <c r="D339" s="1068" t="str">
        <f t="shared" si="201"/>
        <v>ES</v>
      </c>
      <c r="E339" s="1069">
        <f t="shared" si="202"/>
        <v>2014</v>
      </c>
      <c r="F339" s="1035" t="str">
        <f t="shared" si="203"/>
        <v>LULUS</v>
      </c>
      <c r="G339" s="1069">
        <f t="shared" si="204"/>
        <v>839214011</v>
      </c>
      <c r="H339" s="1038">
        <f t="shared" si="205"/>
        <v>0</v>
      </c>
      <c r="I339" s="1038">
        <f t="shared" si="206"/>
        <v>0</v>
      </c>
      <c r="J339" s="1038">
        <f t="shared" si="207"/>
        <v>0</v>
      </c>
      <c r="L339" s="1060">
        <f t="shared" si="212"/>
        <v>0</v>
      </c>
      <c r="M339" s="1060">
        <f t="shared" si="208"/>
        <v>1</v>
      </c>
      <c r="N339" s="1060">
        <f t="shared" si="209"/>
        <v>0</v>
      </c>
      <c r="O339" s="1060">
        <f t="shared" si="210"/>
        <v>0</v>
      </c>
      <c r="P339" s="1060">
        <f t="shared" si="211"/>
        <v>0</v>
      </c>
    </row>
    <row r="340" spans="1:16" x14ac:dyDescent="0.25">
      <c r="A340" s="1034">
        <v>804</v>
      </c>
      <c r="B340" s="1034">
        <f t="shared" si="199"/>
        <v>12</v>
      </c>
      <c r="C340" s="1067" t="str">
        <f t="shared" si="200"/>
        <v>Sukardi</v>
      </c>
      <c r="D340" s="1068" t="str">
        <f t="shared" si="201"/>
        <v>ES</v>
      </c>
      <c r="E340" s="1069">
        <f t="shared" si="202"/>
        <v>2014</v>
      </c>
      <c r="F340" s="1035" t="str">
        <f t="shared" si="203"/>
        <v>LULUS</v>
      </c>
      <c r="G340" s="1069">
        <f t="shared" si="204"/>
        <v>839214012</v>
      </c>
      <c r="H340" s="1038">
        <f t="shared" si="205"/>
        <v>0</v>
      </c>
      <c r="I340" s="1038">
        <f t="shared" si="206"/>
        <v>0</v>
      </c>
      <c r="J340" s="1038">
        <f t="shared" si="207"/>
        <v>0</v>
      </c>
      <c r="L340" s="1060">
        <f t="shared" si="212"/>
        <v>0</v>
      </c>
      <c r="M340" s="1060">
        <f t="shared" si="208"/>
        <v>1</v>
      </c>
      <c r="N340" s="1060">
        <f t="shared" si="209"/>
        <v>0</v>
      </c>
      <c r="O340" s="1060">
        <f t="shared" si="210"/>
        <v>0</v>
      </c>
      <c r="P340" s="1060">
        <f t="shared" si="211"/>
        <v>0</v>
      </c>
    </row>
    <row r="341" spans="1:16" x14ac:dyDescent="0.25">
      <c r="A341" s="1034">
        <v>805</v>
      </c>
      <c r="B341" s="1034">
        <f t="shared" si="199"/>
        <v>13</v>
      </c>
      <c r="C341" s="1067" t="str">
        <f t="shared" si="200"/>
        <v>Suwarno</v>
      </c>
      <c r="D341" s="1068" t="str">
        <f t="shared" si="201"/>
        <v>ES</v>
      </c>
      <c r="E341" s="1069">
        <f t="shared" si="202"/>
        <v>2014</v>
      </c>
      <c r="F341" s="1035" t="str">
        <f t="shared" si="203"/>
        <v>DROP OUT</v>
      </c>
      <c r="G341" s="1069">
        <f t="shared" si="204"/>
        <v>839214013</v>
      </c>
      <c r="H341" s="1038">
        <f t="shared" si="205"/>
        <v>0</v>
      </c>
      <c r="I341" s="1038">
        <f t="shared" si="206"/>
        <v>0</v>
      </c>
      <c r="J341" s="1038">
        <f t="shared" si="207"/>
        <v>0</v>
      </c>
      <c r="L341" s="1060">
        <f t="shared" si="212"/>
        <v>0</v>
      </c>
      <c r="M341" s="1060">
        <f t="shared" si="208"/>
        <v>0</v>
      </c>
      <c r="N341" s="1060">
        <f t="shared" si="209"/>
        <v>0</v>
      </c>
      <c r="O341" s="1060">
        <f t="shared" si="210"/>
        <v>1</v>
      </c>
      <c r="P341" s="1060">
        <f t="shared" si="211"/>
        <v>0</v>
      </c>
    </row>
    <row r="342" spans="1:16" x14ac:dyDescent="0.25">
      <c r="A342" s="1034">
        <v>806</v>
      </c>
      <c r="B342" s="1034">
        <f>IFERROR(VLOOKUP(A342,DB,2,FALSE),"")</f>
        <v>14</v>
      </c>
      <c r="C342" s="1067" t="str">
        <f t="shared" si="200"/>
        <v>Maula Nasrifah</v>
      </c>
      <c r="D342" s="1068" t="str">
        <f t="shared" si="201"/>
        <v>ES</v>
      </c>
      <c r="E342" s="1069">
        <f t="shared" si="202"/>
        <v>2014</v>
      </c>
      <c r="F342" s="1035" t="str">
        <f t="shared" si="203"/>
        <v>LULUS</v>
      </c>
      <c r="G342" s="1069">
        <f t="shared" si="204"/>
        <v>839214014</v>
      </c>
      <c r="H342" s="1038">
        <f t="shared" si="205"/>
        <v>0</v>
      </c>
      <c r="I342" s="1038">
        <f t="shared" si="206"/>
        <v>0</v>
      </c>
      <c r="J342" s="1038">
        <f t="shared" si="207"/>
        <v>0</v>
      </c>
      <c r="L342" s="1060">
        <f t="shared" si="212"/>
        <v>0</v>
      </c>
      <c r="M342" s="1060">
        <f t="shared" si="208"/>
        <v>1</v>
      </c>
      <c r="N342" s="1060">
        <f t="shared" si="209"/>
        <v>0</v>
      </c>
      <c r="O342" s="1060">
        <f t="shared" si="210"/>
        <v>0</v>
      </c>
      <c r="P342" s="1060">
        <f t="shared" si="211"/>
        <v>0</v>
      </c>
    </row>
    <row r="343" spans="1:16" x14ac:dyDescent="0.25">
      <c r="A343" s="1034">
        <v>807</v>
      </c>
      <c r="B343" s="1034">
        <f t="shared" si="199"/>
        <v>15</v>
      </c>
      <c r="C343" s="1034" t="str">
        <f t="shared" si="200"/>
        <v>Tri Nadhirotur Roifah</v>
      </c>
      <c r="D343" s="1035" t="str">
        <f t="shared" si="201"/>
        <v>ES</v>
      </c>
      <c r="E343" s="1036">
        <f t="shared" si="202"/>
        <v>2014</v>
      </c>
      <c r="F343" s="1035" t="str">
        <f t="shared" si="203"/>
        <v>LULUS</v>
      </c>
      <c r="G343" s="1036">
        <f t="shared" si="204"/>
        <v>839214015</v>
      </c>
      <c r="H343" s="1038">
        <f t="shared" si="205"/>
        <v>0</v>
      </c>
      <c r="I343" s="1038">
        <f t="shared" si="206"/>
        <v>0</v>
      </c>
      <c r="J343" s="1038">
        <f t="shared" si="207"/>
        <v>0</v>
      </c>
      <c r="L343" s="1060">
        <f t="shared" si="212"/>
        <v>0</v>
      </c>
      <c r="M343" s="1060">
        <f t="shared" si="208"/>
        <v>1</v>
      </c>
      <c r="N343" s="1060">
        <f t="shared" si="209"/>
        <v>0</v>
      </c>
      <c r="O343" s="1060">
        <f t="shared" si="210"/>
        <v>0</v>
      </c>
      <c r="P343" s="1060">
        <f t="shared" si="211"/>
        <v>0</v>
      </c>
    </row>
    <row r="344" spans="1:16" x14ac:dyDescent="0.25">
      <c r="A344" s="1039"/>
      <c r="B344" s="1039"/>
      <c r="C344" s="1039"/>
      <c r="D344" s="1040"/>
      <c r="E344" s="1041"/>
      <c r="F344" s="1040"/>
      <c r="G344" s="1041"/>
      <c r="H344" s="1042"/>
      <c r="I344" s="1042"/>
      <c r="J344" s="1042"/>
      <c r="L344" s="1042"/>
      <c r="M344" s="1042"/>
      <c r="N344" s="1042"/>
      <c r="O344" s="1042"/>
      <c r="P344" s="1042"/>
    </row>
    <row r="345" spans="1:16" x14ac:dyDescent="0.25">
      <c r="A345" s="1043" t="str">
        <f>'Rekap SPP'!A868</f>
        <v>S2-PAI 2015/2016</v>
      </c>
      <c r="B345" s="1043"/>
      <c r="C345" s="1043"/>
      <c r="D345" s="1033" t="s">
        <v>3</v>
      </c>
      <c r="E345" s="1032" t="s">
        <v>4</v>
      </c>
      <c r="F345" s="1033" t="s">
        <v>3195</v>
      </c>
      <c r="G345" s="1032" t="s">
        <v>1</v>
      </c>
      <c r="H345" s="1033" t="s">
        <v>3341</v>
      </c>
      <c r="I345" s="1033" t="s">
        <v>3362</v>
      </c>
      <c r="J345" s="1062">
        <f>SUM(J346:J381)</f>
        <v>0</v>
      </c>
      <c r="L345" s="1063">
        <f>SUM(L346:L381)</f>
        <v>0</v>
      </c>
      <c r="M345" s="1063">
        <f>SUM(M346:M381)</f>
        <v>29</v>
      </c>
      <c r="N345" s="1063">
        <f>SUM(N346:N381)</f>
        <v>0</v>
      </c>
      <c r="O345" s="1063">
        <f>SUM(O346:O381)</f>
        <v>7</v>
      </c>
      <c r="P345" s="1063">
        <f>SUM(P346:P381)</f>
        <v>0</v>
      </c>
    </row>
    <row r="346" spans="1:16" x14ac:dyDescent="0.25">
      <c r="A346" s="1034">
        <v>808</v>
      </c>
      <c r="B346" s="1034">
        <f t="shared" si="199"/>
        <v>1</v>
      </c>
      <c r="C346" s="1034" t="str">
        <f t="shared" ref="C346:C381" si="213">IFERROR(VLOOKUP(A346,DB,4,FALSE),"")</f>
        <v>Safi'i</v>
      </c>
      <c r="D346" s="1035" t="str">
        <f t="shared" ref="D346:D381" si="214">IFERROR(VLOOKUP(A346,DB,5,FALSE),"")</f>
        <v>PAI</v>
      </c>
      <c r="E346" s="1036">
        <f t="shared" ref="E346:E381" si="215">IFERROR(VLOOKUP(A346,DB,6,FALSE),"")</f>
        <v>2015</v>
      </c>
      <c r="F346" s="1035" t="str">
        <f t="shared" ref="F346:F381" si="216">IFERROR(VLOOKUP(A346,DB,7,FALSE),"")</f>
        <v>LULUS</v>
      </c>
      <c r="G346" s="1036">
        <f t="shared" ref="G346:G381" si="217">IFERROR(VLOOKUP(A346,DB,3,FALSE),"")</f>
        <v>849315001</v>
      </c>
      <c r="H346" s="1038">
        <f t="shared" ref="H346:H381" si="218">IF(F346="AKTIF",3000000,IF(F346="CUTI",3000000,0))</f>
        <v>0</v>
      </c>
      <c r="I346" s="1038">
        <f t="shared" ref="I346:I381" si="219">IF(F346="AKTIF",3000000,IF(F346="CUTI",3000000,0))</f>
        <v>0</v>
      </c>
      <c r="J346" s="1038">
        <f t="shared" ref="J346:J381" si="220">I346+H346</f>
        <v>0</v>
      </c>
      <c r="L346" s="1060">
        <f t="shared" si="212"/>
        <v>0</v>
      </c>
      <c r="M346" s="1060">
        <f t="shared" ref="M346:M381" si="221">IF(F346="LULUS",1,0)</f>
        <v>1</v>
      </c>
      <c r="N346" s="1060">
        <f t="shared" ref="N346:N381" si="222">IF(F346="CUTI",1,0)</f>
        <v>0</v>
      </c>
      <c r="O346" s="1060">
        <f t="shared" ref="O346:O381" si="223">IF(F346="DROP OUT",1,0)</f>
        <v>0</v>
      </c>
      <c r="P346" s="1060">
        <f t="shared" ref="P346:P381" si="224">IF(F346="PASIF",1,0)</f>
        <v>0</v>
      </c>
    </row>
    <row r="347" spans="1:16" x14ac:dyDescent="0.25">
      <c r="A347" s="1034">
        <v>809</v>
      </c>
      <c r="B347" s="1034">
        <f t="shared" si="199"/>
        <v>2</v>
      </c>
      <c r="C347" s="1034" t="str">
        <f t="shared" si="213"/>
        <v>Fakhriyatus Shofa Alawiyah</v>
      </c>
      <c r="D347" s="1035" t="str">
        <f t="shared" si="214"/>
        <v>PAI</v>
      </c>
      <c r="E347" s="1036">
        <f t="shared" si="215"/>
        <v>2015</v>
      </c>
      <c r="F347" s="1035" t="str">
        <f t="shared" si="216"/>
        <v>LULUS</v>
      </c>
      <c r="G347" s="1036">
        <f t="shared" si="217"/>
        <v>849315003</v>
      </c>
      <c r="H347" s="1038">
        <f t="shared" si="218"/>
        <v>0</v>
      </c>
      <c r="I347" s="1038">
        <f t="shared" si="219"/>
        <v>0</v>
      </c>
      <c r="J347" s="1038">
        <f t="shared" si="220"/>
        <v>0</v>
      </c>
      <c r="L347" s="1060">
        <f t="shared" si="212"/>
        <v>0</v>
      </c>
      <c r="M347" s="1060">
        <f t="shared" si="221"/>
        <v>1</v>
      </c>
      <c r="N347" s="1060">
        <f t="shared" si="222"/>
        <v>0</v>
      </c>
      <c r="O347" s="1060">
        <f t="shared" si="223"/>
        <v>0</v>
      </c>
      <c r="P347" s="1060">
        <f t="shared" si="224"/>
        <v>0</v>
      </c>
    </row>
    <row r="348" spans="1:16" x14ac:dyDescent="0.25">
      <c r="A348" s="1034">
        <v>810</v>
      </c>
      <c r="B348" s="1034">
        <f t="shared" si="199"/>
        <v>3</v>
      </c>
      <c r="C348" s="1034" t="str">
        <f t="shared" si="213"/>
        <v>Nur Wahidah</v>
      </c>
      <c r="D348" s="1068" t="str">
        <f t="shared" si="214"/>
        <v>PAI</v>
      </c>
      <c r="E348" s="1069">
        <f t="shared" si="215"/>
        <v>2015</v>
      </c>
      <c r="F348" s="1035" t="str">
        <f t="shared" si="216"/>
        <v>LULUS</v>
      </c>
      <c r="G348" s="1069">
        <f t="shared" si="217"/>
        <v>849315004</v>
      </c>
      <c r="H348" s="1038">
        <f t="shared" si="218"/>
        <v>0</v>
      </c>
      <c r="I348" s="1038">
        <f t="shared" si="219"/>
        <v>0</v>
      </c>
      <c r="J348" s="1038">
        <f t="shared" si="220"/>
        <v>0</v>
      </c>
      <c r="L348" s="1060">
        <f t="shared" si="212"/>
        <v>0</v>
      </c>
      <c r="M348" s="1060">
        <f t="shared" si="221"/>
        <v>1</v>
      </c>
      <c r="N348" s="1060">
        <f t="shared" si="222"/>
        <v>0</v>
      </c>
      <c r="O348" s="1060">
        <f t="shared" si="223"/>
        <v>0</v>
      </c>
      <c r="P348" s="1060">
        <f t="shared" si="224"/>
        <v>0</v>
      </c>
    </row>
    <row r="349" spans="1:16" x14ac:dyDescent="0.25">
      <c r="A349" s="1034">
        <v>811</v>
      </c>
      <c r="B349" s="1034">
        <f t="shared" si="199"/>
        <v>4</v>
      </c>
      <c r="C349" s="1034" t="str">
        <f t="shared" si="213"/>
        <v>Ahmad Hasyim As'yari</v>
      </c>
      <c r="D349" s="1068" t="str">
        <f t="shared" si="214"/>
        <v>PAI</v>
      </c>
      <c r="E349" s="1069">
        <f t="shared" si="215"/>
        <v>2015</v>
      </c>
      <c r="F349" s="1035" t="str">
        <f t="shared" si="216"/>
        <v>DROP OUT</v>
      </c>
      <c r="G349" s="1069">
        <f t="shared" si="217"/>
        <v>849315005</v>
      </c>
      <c r="H349" s="1038">
        <f t="shared" si="218"/>
        <v>0</v>
      </c>
      <c r="I349" s="1038">
        <f t="shared" si="219"/>
        <v>0</v>
      </c>
      <c r="J349" s="1038">
        <f t="shared" si="220"/>
        <v>0</v>
      </c>
      <c r="L349" s="1060">
        <f t="shared" si="212"/>
        <v>0</v>
      </c>
      <c r="M349" s="1060">
        <f t="shared" si="221"/>
        <v>0</v>
      </c>
      <c r="N349" s="1060">
        <f t="shared" si="222"/>
        <v>0</v>
      </c>
      <c r="O349" s="1060">
        <f t="shared" si="223"/>
        <v>1</v>
      </c>
      <c r="P349" s="1060">
        <f t="shared" si="224"/>
        <v>0</v>
      </c>
    </row>
    <row r="350" spans="1:16" x14ac:dyDescent="0.25">
      <c r="A350" s="1034">
        <v>812</v>
      </c>
      <c r="B350" s="1034">
        <f t="shared" si="199"/>
        <v>5</v>
      </c>
      <c r="C350" s="1034" t="str">
        <f t="shared" si="213"/>
        <v>Faridatul Husnah</v>
      </c>
      <c r="D350" s="1068" t="str">
        <f t="shared" si="214"/>
        <v>PAI</v>
      </c>
      <c r="E350" s="1069">
        <f t="shared" si="215"/>
        <v>2015</v>
      </c>
      <c r="F350" s="1035" t="str">
        <f t="shared" si="216"/>
        <v>LULUS</v>
      </c>
      <c r="G350" s="1069">
        <f t="shared" si="217"/>
        <v>849315006</v>
      </c>
      <c r="H350" s="1038">
        <f t="shared" si="218"/>
        <v>0</v>
      </c>
      <c r="I350" s="1038">
        <f t="shared" si="219"/>
        <v>0</v>
      </c>
      <c r="J350" s="1038">
        <f t="shared" si="220"/>
        <v>0</v>
      </c>
      <c r="L350" s="1060">
        <f t="shared" si="212"/>
        <v>0</v>
      </c>
      <c r="M350" s="1060">
        <f t="shared" si="221"/>
        <v>1</v>
      </c>
      <c r="N350" s="1060">
        <f t="shared" si="222"/>
        <v>0</v>
      </c>
      <c r="O350" s="1060">
        <f t="shared" si="223"/>
        <v>0</v>
      </c>
      <c r="P350" s="1060">
        <f t="shared" si="224"/>
        <v>0</v>
      </c>
    </row>
    <row r="351" spans="1:16" x14ac:dyDescent="0.25">
      <c r="A351" s="1034">
        <v>813</v>
      </c>
      <c r="B351" s="1034">
        <f t="shared" si="199"/>
        <v>6</v>
      </c>
      <c r="C351" s="1034" t="str">
        <f t="shared" si="213"/>
        <v>Nur Faiz Habibah</v>
      </c>
      <c r="D351" s="1068" t="str">
        <f t="shared" si="214"/>
        <v>PAI</v>
      </c>
      <c r="E351" s="1069">
        <f t="shared" si="215"/>
        <v>2015</v>
      </c>
      <c r="F351" s="1035" t="str">
        <f t="shared" si="216"/>
        <v>LULUS</v>
      </c>
      <c r="G351" s="1069">
        <f t="shared" si="217"/>
        <v>849315007</v>
      </c>
      <c r="H351" s="1038">
        <f t="shared" si="218"/>
        <v>0</v>
      </c>
      <c r="I351" s="1038">
        <f t="shared" si="219"/>
        <v>0</v>
      </c>
      <c r="J351" s="1038">
        <f t="shared" si="220"/>
        <v>0</v>
      </c>
      <c r="L351" s="1060">
        <f t="shared" si="212"/>
        <v>0</v>
      </c>
      <c r="M351" s="1060">
        <f t="shared" si="221"/>
        <v>1</v>
      </c>
      <c r="N351" s="1060">
        <f t="shared" si="222"/>
        <v>0</v>
      </c>
      <c r="O351" s="1060">
        <f t="shared" si="223"/>
        <v>0</v>
      </c>
      <c r="P351" s="1060">
        <f t="shared" si="224"/>
        <v>0</v>
      </c>
    </row>
    <row r="352" spans="1:16" x14ac:dyDescent="0.25">
      <c r="A352" s="1034">
        <v>814</v>
      </c>
      <c r="B352" s="1034">
        <f t="shared" si="199"/>
        <v>7</v>
      </c>
      <c r="C352" s="1034" t="str">
        <f t="shared" si="213"/>
        <v>Mohammad Fatoni</v>
      </c>
      <c r="D352" s="1068" t="str">
        <f t="shared" si="214"/>
        <v>PAI</v>
      </c>
      <c r="E352" s="1069">
        <f t="shared" si="215"/>
        <v>2015</v>
      </c>
      <c r="F352" s="1035" t="str">
        <f t="shared" si="216"/>
        <v>LULUS</v>
      </c>
      <c r="G352" s="1069">
        <f t="shared" si="217"/>
        <v>849315008</v>
      </c>
      <c r="H352" s="1038">
        <f t="shared" si="218"/>
        <v>0</v>
      </c>
      <c r="I352" s="1038">
        <f t="shared" si="219"/>
        <v>0</v>
      </c>
      <c r="J352" s="1038">
        <f t="shared" si="220"/>
        <v>0</v>
      </c>
      <c r="L352" s="1060">
        <f t="shared" si="212"/>
        <v>0</v>
      </c>
      <c r="M352" s="1060">
        <f t="shared" si="221"/>
        <v>1</v>
      </c>
      <c r="N352" s="1060">
        <f t="shared" si="222"/>
        <v>0</v>
      </c>
      <c r="O352" s="1060">
        <f t="shared" si="223"/>
        <v>0</v>
      </c>
      <c r="P352" s="1060">
        <f t="shared" si="224"/>
        <v>0</v>
      </c>
    </row>
    <row r="353" spans="1:16" x14ac:dyDescent="0.25">
      <c r="A353" s="1034">
        <v>815</v>
      </c>
      <c r="B353" s="1034">
        <f t="shared" si="199"/>
        <v>8</v>
      </c>
      <c r="C353" s="1034" t="str">
        <f t="shared" si="213"/>
        <v>Anisatun Ni'mah M.S</v>
      </c>
      <c r="D353" s="1068" t="str">
        <f t="shared" si="214"/>
        <v>PAI</v>
      </c>
      <c r="E353" s="1069">
        <f t="shared" si="215"/>
        <v>2015</v>
      </c>
      <c r="F353" s="1035" t="str">
        <f t="shared" si="216"/>
        <v>LULUS</v>
      </c>
      <c r="G353" s="1069">
        <f t="shared" si="217"/>
        <v>849315009</v>
      </c>
      <c r="H353" s="1038">
        <f t="shared" si="218"/>
        <v>0</v>
      </c>
      <c r="I353" s="1038">
        <f t="shared" si="219"/>
        <v>0</v>
      </c>
      <c r="J353" s="1038">
        <f t="shared" si="220"/>
        <v>0</v>
      </c>
      <c r="L353" s="1060">
        <f t="shared" si="212"/>
        <v>0</v>
      </c>
      <c r="M353" s="1060">
        <f t="shared" si="221"/>
        <v>1</v>
      </c>
      <c r="N353" s="1060">
        <f t="shared" si="222"/>
        <v>0</v>
      </c>
      <c r="O353" s="1060">
        <f t="shared" si="223"/>
        <v>0</v>
      </c>
      <c r="P353" s="1060">
        <f t="shared" si="224"/>
        <v>0</v>
      </c>
    </row>
    <row r="354" spans="1:16" x14ac:dyDescent="0.25">
      <c r="A354" s="1034">
        <v>816</v>
      </c>
      <c r="B354" s="1034">
        <f t="shared" si="199"/>
        <v>9</v>
      </c>
      <c r="C354" s="1034" t="str">
        <f t="shared" si="213"/>
        <v>M. Fika Afton</v>
      </c>
      <c r="D354" s="1068" t="str">
        <f t="shared" si="214"/>
        <v>PAI</v>
      </c>
      <c r="E354" s="1069">
        <f t="shared" si="215"/>
        <v>2015</v>
      </c>
      <c r="F354" s="1035" t="str">
        <f t="shared" si="216"/>
        <v>LULUS</v>
      </c>
      <c r="G354" s="1069">
        <f t="shared" si="217"/>
        <v>849315010</v>
      </c>
      <c r="H354" s="1038">
        <f t="shared" si="218"/>
        <v>0</v>
      </c>
      <c r="I354" s="1038">
        <f t="shared" si="219"/>
        <v>0</v>
      </c>
      <c r="J354" s="1038">
        <f t="shared" si="220"/>
        <v>0</v>
      </c>
      <c r="L354" s="1060">
        <f t="shared" si="212"/>
        <v>0</v>
      </c>
      <c r="M354" s="1060">
        <f t="shared" si="221"/>
        <v>1</v>
      </c>
      <c r="N354" s="1060">
        <f t="shared" si="222"/>
        <v>0</v>
      </c>
      <c r="O354" s="1060">
        <f t="shared" si="223"/>
        <v>0</v>
      </c>
      <c r="P354" s="1060">
        <f t="shared" si="224"/>
        <v>0</v>
      </c>
    </row>
    <row r="355" spans="1:16" x14ac:dyDescent="0.25">
      <c r="A355" s="1034">
        <v>817</v>
      </c>
      <c r="B355" s="1034">
        <f t="shared" si="199"/>
        <v>10</v>
      </c>
      <c r="C355" s="1034" t="str">
        <f t="shared" si="213"/>
        <v>Nanik Mahmuda</v>
      </c>
      <c r="D355" s="1068" t="str">
        <f t="shared" si="214"/>
        <v>PAI</v>
      </c>
      <c r="E355" s="1069">
        <f t="shared" si="215"/>
        <v>2015</v>
      </c>
      <c r="F355" s="1035" t="str">
        <f t="shared" si="216"/>
        <v>LULUS</v>
      </c>
      <c r="G355" s="1069">
        <f t="shared" si="217"/>
        <v>849315011</v>
      </c>
      <c r="H355" s="1038">
        <f t="shared" si="218"/>
        <v>0</v>
      </c>
      <c r="I355" s="1038">
        <f t="shared" si="219"/>
        <v>0</v>
      </c>
      <c r="J355" s="1038">
        <f t="shared" si="220"/>
        <v>0</v>
      </c>
      <c r="L355" s="1060">
        <f t="shared" si="212"/>
        <v>0</v>
      </c>
      <c r="M355" s="1060">
        <f t="shared" si="221"/>
        <v>1</v>
      </c>
      <c r="N355" s="1060">
        <f t="shared" si="222"/>
        <v>0</v>
      </c>
      <c r="O355" s="1060">
        <f t="shared" si="223"/>
        <v>0</v>
      </c>
      <c r="P355" s="1060">
        <f t="shared" si="224"/>
        <v>0</v>
      </c>
    </row>
    <row r="356" spans="1:16" x14ac:dyDescent="0.25">
      <c r="A356" s="1034">
        <v>818</v>
      </c>
      <c r="B356" s="1034">
        <f t="shared" si="199"/>
        <v>11</v>
      </c>
      <c r="C356" s="1034" t="str">
        <f t="shared" si="213"/>
        <v>Alifa Nurnaufal Fawarih</v>
      </c>
      <c r="D356" s="1068" t="str">
        <f t="shared" si="214"/>
        <v>PAI</v>
      </c>
      <c r="E356" s="1069">
        <f t="shared" si="215"/>
        <v>2015</v>
      </c>
      <c r="F356" s="1035" t="str">
        <f t="shared" si="216"/>
        <v>DROP OUT</v>
      </c>
      <c r="G356" s="1069">
        <f t="shared" si="217"/>
        <v>849315012</v>
      </c>
      <c r="H356" s="1038">
        <f t="shared" si="218"/>
        <v>0</v>
      </c>
      <c r="I356" s="1038">
        <f t="shared" si="219"/>
        <v>0</v>
      </c>
      <c r="J356" s="1038">
        <f t="shared" si="220"/>
        <v>0</v>
      </c>
      <c r="L356" s="1060">
        <f t="shared" si="212"/>
        <v>0</v>
      </c>
      <c r="M356" s="1060">
        <f t="shared" si="221"/>
        <v>0</v>
      </c>
      <c r="N356" s="1060">
        <f t="shared" si="222"/>
        <v>0</v>
      </c>
      <c r="O356" s="1060">
        <f t="shared" si="223"/>
        <v>1</v>
      </c>
      <c r="P356" s="1060">
        <f t="shared" si="224"/>
        <v>0</v>
      </c>
    </row>
    <row r="357" spans="1:16" x14ac:dyDescent="0.25">
      <c r="A357" s="1034">
        <v>819</v>
      </c>
      <c r="B357" s="1034">
        <f t="shared" si="199"/>
        <v>12</v>
      </c>
      <c r="C357" s="1034" t="str">
        <f t="shared" si="213"/>
        <v>ATIK TAQIYATUL ABADIYAH</v>
      </c>
      <c r="D357" s="1068" t="str">
        <f t="shared" si="214"/>
        <v>PAI</v>
      </c>
      <c r="E357" s="1069">
        <f t="shared" si="215"/>
        <v>2015</v>
      </c>
      <c r="F357" s="1035" t="str">
        <f t="shared" si="216"/>
        <v>LULUS</v>
      </c>
      <c r="G357" s="1069">
        <f t="shared" si="217"/>
        <v>849315013</v>
      </c>
      <c r="H357" s="1038">
        <f t="shared" si="218"/>
        <v>0</v>
      </c>
      <c r="I357" s="1038">
        <f t="shared" si="219"/>
        <v>0</v>
      </c>
      <c r="J357" s="1038">
        <f t="shared" si="220"/>
        <v>0</v>
      </c>
      <c r="L357" s="1060">
        <f t="shared" si="212"/>
        <v>0</v>
      </c>
      <c r="M357" s="1060">
        <f t="shared" si="221"/>
        <v>1</v>
      </c>
      <c r="N357" s="1060">
        <f t="shared" si="222"/>
        <v>0</v>
      </c>
      <c r="O357" s="1060">
        <f t="shared" si="223"/>
        <v>0</v>
      </c>
      <c r="P357" s="1060">
        <f t="shared" si="224"/>
        <v>0</v>
      </c>
    </row>
    <row r="358" spans="1:16" x14ac:dyDescent="0.25">
      <c r="A358" s="1034">
        <v>820</v>
      </c>
      <c r="B358" s="1034">
        <f t="shared" si="199"/>
        <v>13</v>
      </c>
      <c r="C358" s="1034" t="str">
        <f t="shared" si="213"/>
        <v>Nailul Abror</v>
      </c>
      <c r="D358" s="1068" t="str">
        <f t="shared" si="214"/>
        <v>PAI</v>
      </c>
      <c r="E358" s="1069">
        <f t="shared" si="215"/>
        <v>2015</v>
      </c>
      <c r="F358" s="1035" t="str">
        <f t="shared" si="216"/>
        <v>LULUS</v>
      </c>
      <c r="G358" s="1069">
        <f t="shared" si="217"/>
        <v>849315014</v>
      </c>
      <c r="H358" s="1038">
        <f t="shared" si="218"/>
        <v>0</v>
      </c>
      <c r="I358" s="1038">
        <f t="shared" si="219"/>
        <v>0</v>
      </c>
      <c r="J358" s="1038">
        <f t="shared" si="220"/>
        <v>0</v>
      </c>
      <c r="L358" s="1060">
        <f t="shared" si="212"/>
        <v>0</v>
      </c>
      <c r="M358" s="1060">
        <f t="shared" si="221"/>
        <v>1</v>
      </c>
      <c r="N358" s="1060">
        <f t="shared" si="222"/>
        <v>0</v>
      </c>
      <c r="O358" s="1060">
        <f t="shared" si="223"/>
        <v>0</v>
      </c>
      <c r="P358" s="1060">
        <f t="shared" si="224"/>
        <v>0</v>
      </c>
    </row>
    <row r="359" spans="1:16" x14ac:dyDescent="0.25">
      <c r="A359" s="1034">
        <v>821</v>
      </c>
      <c r="B359" s="1034">
        <f t="shared" si="199"/>
        <v>14</v>
      </c>
      <c r="C359" s="1034" t="str">
        <f t="shared" si="213"/>
        <v xml:space="preserve">Syaiful Bahri </v>
      </c>
      <c r="D359" s="1068" t="str">
        <f t="shared" si="214"/>
        <v>PAI</v>
      </c>
      <c r="E359" s="1069">
        <f t="shared" si="215"/>
        <v>2015</v>
      </c>
      <c r="F359" s="1035" t="str">
        <f t="shared" si="216"/>
        <v>DROP OUT</v>
      </c>
      <c r="G359" s="1069">
        <f t="shared" si="217"/>
        <v>849315015</v>
      </c>
      <c r="H359" s="1038">
        <f t="shared" si="218"/>
        <v>0</v>
      </c>
      <c r="I359" s="1038">
        <f t="shared" si="219"/>
        <v>0</v>
      </c>
      <c r="J359" s="1038">
        <f t="shared" si="220"/>
        <v>0</v>
      </c>
      <c r="L359" s="1060">
        <f t="shared" si="212"/>
        <v>0</v>
      </c>
      <c r="M359" s="1060">
        <f t="shared" si="221"/>
        <v>0</v>
      </c>
      <c r="N359" s="1060">
        <f t="shared" si="222"/>
        <v>0</v>
      </c>
      <c r="O359" s="1060">
        <f t="shared" si="223"/>
        <v>1</v>
      </c>
      <c r="P359" s="1060">
        <f t="shared" si="224"/>
        <v>0</v>
      </c>
    </row>
    <row r="360" spans="1:16" x14ac:dyDescent="0.25">
      <c r="A360" s="1034">
        <v>822</v>
      </c>
      <c r="B360" s="1034">
        <f t="shared" si="199"/>
        <v>15</v>
      </c>
      <c r="C360" s="1034" t="str">
        <f t="shared" si="213"/>
        <v>Siti Mardiyyani</v>
      </c>
      <c r="D360" s="1068" t="str">
        <f t="shared" si="214"/>
        <v>PAI</v>
      </c>
      <c r="E360" s="1069">
        <f t="shared" si="215"/>
        <v>2015</v>
      </c>
      <c r="F360" s="1035" t="str">
        <f t="shared" si="216"/>
        <v>LULUS</v>
      </c>
      <c r="G360" s="1069">
        <f t="shared" si="217"/>
        <v>849315016</v>
      </c>
      <c r="H360" s="1038">
        <f t="shared" si="218"/>
        <v>0</v>
      </c>
      <c r="I360" s="1038">
        <f t="shared" si="219"/>
        <v>0</v>
      </c>
      <c r="J360" s="1038">
        <f t="shared" si="220"/>
        <v>0</v>
      </c>
      <c r="L360" s="1060">
        <f t="shared" si="212"/>
        <v>0</v>
      </c>
      <c r="M360" s="1060">
        <f t="shared" si="221"/>
        <v>1</v>
      </c>
      <c r="N360" s="1060">
        <f t="shared" si="222"/>
        <v>0</v>
      </c>
      <c r="O360" s="1060">
        <f t="shared" si="223"/>
        <v>0</v>
      </c>
      <c r="P360" s="1060">
        <f t="shared" si="224"/>
        <v>0</v>
      </c>
    </row>
    <row r="361" spans="1:16" x14ac:dyDescent="0.25">
      <c r="A361" s="1034">
        <v>823</v>
      </c>
      <c r="B361" s="1034">
        <f t="shared" si="199"/>
        <v>16</v>
      </c>
      <c r="C361" s="1034" t="str">
        <f t="shared" si="213"/>
        <v>Ahmad Bashari</v>
      </c>
      <c r="D361" s="1068" t="str">
        <f t="shared" si="214"/>
        <v>PAI</v>
      </c>
      <c r="E361" s="1069">
        <f t="shared" si="215"/>
        <v>2015</v>
      </c>
      <c r="F361" s="1035" t="str">
        <f t="shared" si="216"/>
        <v>DROP OUT</v>
      </c>
      <c r="G361" s="1069">
        <f t="shared" si="217"/>
        <v>849315030</v>
      </c>
      <c r="H361" s="1038">
        <f t="shared" si="218"/>
        <v>0</v>
      </c>
      <c r="I361" s="1038">
        <f t="shared" si="219"/>
        <v>0</v>
      </c>
      <c r="J361" s="1038">
        <f t="shared" si="220"/>
        <v>0</v>
      </c>
      <c r="L361" s="1060">
        <f t="shared" si="212"/>
        <v>0</v>
      </c>
      <c r="M361" s="1060">
        <f t="shared" si="221"/>
        <v>0</v>
      </c>
      <c r="N361" s="1060">
        <f t="shared" si="222"/>
        <v>0</v>
      </c>
      <c r="O361" s="1060">
        <f t="shared" si="223"/>
        <v>1</v>
      </c>
      <c r="P361" s="1060">
        <f t="shared" si="224"/>
        <v>0</v>
      </c>
    </row>
    <row r="362" spans="1:16" x14ac:dyDescent="0.25">
      <c r="A362" s="1034">
        <v>824</v>
      </c>
      <c r="B362" s="1034">
        <f t="shared" si="199"/>
        <v>17</v>
      </c>
      <c r="C362" s="1034" t="str">
        <f t="shared" si="213"/>
        <v>Noor Muhammad</v>
      </c>
      <c r="D362" s="1068" t="str">
        <f t="shared" si="214"/>
        <v>PAI</v>
      </c>
      <c r="E362" s="1069">
        <f t="shared" si="215"/>
        <v>2015</v>
      </c>
      <c r="F362" s="1035" t="str">
        <f t="shared" si="216"/>
        <v>DROP OUT</v>
      </c>
      <c r="G362" s="1069">
        <f t="shared" si="217"/>
        <v>849315031</v>
      </c>
      <c r="H362" s="1038">
        <f t="shared" si="218"/>
        <v>0</v>
      </c>
      <c r="I362" s="1038">
        <f t="shared" si="219"/>
        <v>0</v>
      </c>
      <c r="J362" s="1038">
        <f t="shared" si="220"/>
        <v>0</v>
      </c>
      <c r="L362" s="1060">
        <f t="shared" si="212"/>
        <v>0</v>
      </c>
      <c r="M362" s="1060">
        <f t="shared" si="221"/>
        <v>0</v>
      </c>
      <c r="N362" s="1060">
        <f t="shared" si="222"/>
        <v>0</v>
      </c>
      <c r="O362" s="1060">
        <f t="shared" si="223"/>
        <v>1</v>
      </c>
      <c r="P362" s="1060">
        <f t="shared" si="224"/>
        <v>0</v>
      </c>
    </row>
    <row r="363" spans="1:16" x14ac:dyDescent="0.25">
      <c r="A363" s="1034">
        <v>825</v>
      </c>
      <c r="B363" s="1034">
        <f t="shared" si="199"/>
        <v>18</v>
      </c>
      <c r="C363" s="1034" t="str">
        <f t="shared" si="213"/>
        <v>LAILLATUL KAMALIAH</v>
      </c>
      <c r="D363" s="1068" t="str">
        <f t="shared" si="214"/>
        <v>PAI</v>
      </c>
      <c r="E363" s="1069">
        <f t="shared" si="215"/>
        <v>2015</v>
      </c>
      <c r="F363" s="1035" t="str">
        <f t="shared" si="216"/>
        <v>LULUS</v>
      </c>
      <c r="G363" s="1069">
        <f t="shared" si="217"/>
        <v>849315032</v>
      </c>
      <c r="H363" s="1038">
        <f t="shared" si="218"/>
        <v>0</v>
      </c>
      <c r="I363" s="1038">
        <f t="shared" si="219"/>
        <v>0</v>
      </c>
      <c r="J363" s="1038">
        <f t="shared" si="220"/>
        <v>0</v>
      </c>
      <c r="L363" s="1060">
        <f t="shared" si="212"/>
        <v>0</v>
      </c>
      <c r="M363" s="1060">
        <f t="shared" si="221"/>
        <v>1</v>
      </c>
      <c r="N363" s="1060">
        <f t="shared" si="222"/>
        <v>0</v>
      </c>
      <c r="O363" s="1060">
        <f t="shared" si="223"/>
        <v>0</v>
      </c>
      <c r="P363" s="1060">
        <f t="shared" si="224"/>
        <v>0</v>
      </c>
    </row>
    <row r="364" spans="1:16" x14ac:dyDescent="0.25">
      <c r="A364" s="1034">
        <v>826</v>
      </c>
      <c r="B364" s="1034">
        <f t="shared" si="199"/>
        <v>19</v>
      </c>
      <c r="C364" s="1034" t="str">
        <f t="shared" si="213"/>
        <v>Madlubur Rhisky</v>
      </c>
      <c r="D364" s="1068" t="str">
        <f t="shared" si="214"/>
        <v>PAI</v>
      </c>
      <c r="E364" s="1069">
        <f t="shared" si="215"/>
        <v>2015</v>
      </c>
      <c r="F364" s="1035" t="str">
        <f t="shared" si="216"/>
        <v>LULUS</v>
      </c>
      <c r="G364" s="1069">
        <f t="shared" si="217"/>
        <v>849315033</v>
      </c>
      <c r="H364" s="1038">
        <f t="shared" si="218"/>
        <v>0</v>
      </c>
      <c r="I364" s="1038">
        <f t="shared" si="219"/>
        <v>0</v>
      </c>
      <c r="J364" s="1038">
        <f t="shared" si="220"/>
        <v>0</v>
      </c>
      <c r="L364" s="1060">
        <f t="shared" si="212"/>
        <v>0</v>
      </c>
      <c r="M364" s="1060">
        <f t="shared" si="221"/>
        <v>1</v>
      </c>
      <c r="N364" s="1060">
        <f t="shared" si="222"/>
        <v>0</v>
      </c>
      <c r="O364" s="1060">
        <f t="shared" si="223"/>
        <v>0</v>
      </c>
      <c r="P364" s="1060">
        <f t="shared" si="224"/>
        <v>0</v>
      </c>
    </row>
    <row r="365" spans="1:16" x14ac:dyDescent="0.25">
      <c r="A365" s="1034">
        <v>827</v>
      </c>
      <c r="B365" s="1034">
        <f t="shared" si="199"/>
        <v>20</v>
      </c>
      <c r="C365" s="1034" t="str">
        <f t="shared" si="213"/>
        <v>Didik Hariadi</v>
      </c>
      <c r="D365" s="1068" t="str">
        <f t="shared" si="214"/>
        <v>PAI</v>
      </c>
      <c r="E365" s="1069">
        <f t="shared" si="215"/>
        <v>2015</v>
      </c>
      <c r="F365" s="1035" t="str">
        <f t="shared" si="216"/>
        <v>LULUS</v>
      </c>
      <c r="G365" s="1069">
        <f t="shared" si="217"/>
        <v>849315017</v>
      </c>
      <c r="H365" s="1038">
        <f t="shared" si="218"/>
        <v>0</v>
      </c>
      <c r="I365" s="1038">
        <f t="shared" si="219"/>
        <v>0</v>
      </c>
      <c r="J365" s="1038">
        <f t="shared" si="220"/>
        <v>0</v>
      </c>
      <c r="L365" s="1060">
        <f t="shared" si="212"/>
        <v>0</v>
      </c>
      <c r="M365" s="1060">
        <f t="shared" si="221"/>
        <v>1</v>
      </c>
      <c r="N365" s="1060">
        <f t="shared" si="222"/>
        <v>0</v>
      </c>
      <c r="O365" s="1060">
        <f t="shared" si="223"/>
        <v>0</v>
      </c>
      <c r="P365" s="1060">
        <f t="shared" si="224"/>
        <v>0</v>
      </c>
    </row>
    <row r="366" spans="1:16" x14ac:dyDescent="0.25">
      <c r="A366" s="1034">
        <v>828</v>
      </c>
      <c r="B366" s="1034">
        <f t="shared" si="199"/>
        <v>21</v>
      </c>
      <c r="C366" s="1034" t="str">
        <f t="shared" si="213"/>
        <v>Mudrikah</v>
      </c>
      <c r="D366" s="1068" t="str">
        <f t="shared" si="214"/>
        <v>PAI</v>
      </c>
      <c r="E366" s="1069">
        <f t="shared" si="215"/>
        <v>2015</v>
      </c>
      <c r="F366" s="1035" t="str">
        <f t="shared" si="216"/>
        <v>LULUS</v>
      </c>
      <c r="G366" s="1069">
        <f t="shared" si="217"/>
        <v>849315018</v>
      </c>
      <c r="H366" s="1038">
        <f t="shared" si="218"/>
        <v>0</v>
      </c>
      <c r="I366" s="1038">
        <f t="shared" si="219"/>
        <v>0</v>
      </c>
      <c r="J366" s="1038">
        <f t="shared" si="220"/>
        <v>0</v>
      </c>
      <c r="L366" s="1060">
        <f t="shared" si="212"/>
        <v>0</v>
      </c>
      <c r="M366" s="1060">
        <f t="shared" si="221"/>
        <v>1</v>
      </c>
      <c r="N366" s="1060">
        <f t="shared" si="222"/>
        <v>0</v>
      </c>
      <c r="O366" s="1060">
        <f t="shared" si="223"/>
        <v>0</v>
      </c>
      <c r="P366" s="1060">
        <f t="shared" si="224"/>
        <v>0</v>
      </c>
    </row>
    <row r="367" spans="1:16" x14ac:dyDescent="0.25">
      <c r="A367" s="1034">
        <v>829</v>
      </c>
      <c r="B367" s="1034">
        <f t="shared" si="199"/>
        <v>22</v>
      </c>
      <c r="C367" s="1034" t="str">
        <f t="shared" si="213"/>
        <v>Arif Wicaksono</v>
      </c>
      <c r="D367" s="1068" t="str">
        <f t="shared" si="214"/>
        <v>PAI</v>
      </c>
      <c r="E367" s="1069">
        <f t="shared" si="215"/>
        <v>2015</v>
      </c>
      <c r="F367" s="1035" t="str">
        <f t="shared" si="216"/>
        <v>LULUS</v>
      </c>
      <c r="G367" s="1069">
        <f t="shared" si="217"/>
        <v>849315019</v>
      </c>
      <c r="H367" s="1038">
        <f t="shared" si="218"/>
        <v>0</v>
      </c>
      <c r="I367" s="1038">
        <f t="shared" si="219"/>
        <v>0</v>
      </c>
      <c r="J367" s="1038">
        <f t="shared" si="220"/>
        <v>0</v>
      </c>
      <c r="L367" s="1060">
        <f t="shared" si="212"/>
        <v>0</v>
      </c>
      <c r="M367" s="1060">
        <f t="shared" si="221"/>
        <v>1</v>
      </c>
      <c r="N367" s="1060">
        <f t="shared" si="222"/>
        <v>0</v>
      </c>
      <c r="O367" s="1060">
        <f t="shared" si="223"/>
        <v>0</v>
      </c>
      <c r="P367" s="1060">
        <f t="shared" si="224"/>
        <v>0</v>
      </c>
    </row>
    <row r="368" spans="1:16" x14ac:dyDescent="0.25">
      <c r="A368" s="1034">
        <v>830</v>
      </c>
      <c r="B368" s="1034">
        <f t="shared" si="199"/>
        <v>23</v>
      </c>
      <c r="C368" s="1034" t="str">
        <f t="shared" si="213"/>
        <v>Istiqomah</v>
      </c>
      <c r="D368" s="1068" t="str">
        <f t="shared" si="214"/>
        <v>PAI</v>
      </c>
      <c r="E368" s="1069">
        <f t="shared" si="215"/>
        <v>2015</v>
      </c>
      <c r="F368" s="1035" t="str">
        <f t="shared" si="216"/>
        <v>LULUS</v>
      </c>
      <c r="G368" s="1069">
        <f t="shared" si="217"/>
        <v>849315035</v>
      </c>
      <c r="H368" s="1038">
        <f t="shared" si="218"/>
        <v>0</v>
      </c>
      <c r="I368" s="1038">
        <f t="shared" si="219"/>
        <v>0</v>
      </c>
      <c r="J368" s="1038">
        <f t="shared" si="220"/>
        <v>0</v>
      </c>
      <c r="L368" s="1060">
        <f t="shared" si="212"/>
        <v>0</v>
      </c>
      <c r="M368" s="1060">
        <f t="shared" si="221"/>
        <v>1</v>
      </c>
      <c r="N368" s="1060">
        <f t="shared" si="222"/>
        <v>0</v>
      </c>
      <c r="O368" s="1060">
        <f t="shared" si="223"/>
        <v>0</v>
      </c>
      <c r="P368" s="1060">
        <f t="shared" si="224"/>
        <v>0</v>
      </c>
    </row>
    <row r="369" spans="1:18" x14ac:dyDescent="0.25">
      <c r="A369" s="1034">
        <v>831</v>
      </c>
      <c r="B369" s="1034">
        <f t="shared" si="199"/>
        <v>24</v>
      </c>
      <c r="C369" s="1034" t="str">
        <f t="shared" si="213"/>
        <v>Muhammad Rafiq Kurniawan</v>
      </c>
      <c r="D369" s="1068" t="str">
        <f t="shared" si="214"/>
        <v>PAI</v>
      </c>
      <c r="E369" s="1069">
        <f t="shared" si="215"/>
        <v>2015</v>
      </c>
      <c r="F369" s="1035" t="str">
        <f t="shared" si="216"/>
        <v>LULUS</v>
      </c>
      <c r="G369" s="1069">
        <f t="shared" si="217"/>
        <v>849315020</v>
      </c>
      <c r="H369" s="1038">
        <f t="shared" si="218"/>
        <v>0</v>
      </c>
      <c r="I369" s="1038">
        <f t="shared" si="219"/>
        <v>0</v>
      </c>
      <c r="J369" s="1038">
        <f t="shared" si="220"/>
        <v>0</v>
      </c>
      <c r="L369" s="1060">
        <f t="shared" si="212"/>
        <v>0</v>
      </c>
      <c r="M369" s="1060">
        <f t="shared" si="221"/>
        <v>1</v>
      </c>
      <c r="N369" s="1060">
        <f t="shared" si="222"/>
        <v>0</v>
      </c>
      <c r="O369" s="1060">
        <f t="shared" si="223"/>
        <v>0</v>
      </c>
      <c r="P369" s="1060">
        <f t="shared" si="224"/>
        <v>0</v>
      </c>
    </row>
    <row r="370" spans="1:18" x14ac:dyDescent="0.25">
      <c r="A370" s="1034">
        <v>832</v>
      </c>
      <c r="B370" s="1034">
        <f t="shared" si="199"/>
        <v>25</v>
      </c>
      <c r="C370" s="1034" t="str">
        <f t="shared" si="213"/>
        <v>Siti Nur Hasanah</v>
      </c>
      <c r="D370" s="1068" t="str">
        <f t="shared" si="214"/>
        <v>PAI</v>
      </c>
      <c r="E370" s="1069">
        <f t="shared" si="215"/>
        <v>2015</v>
      </c>
      <c r="F370" s="1035" t="str">
        <f t="shared" si="216"/>
        <v>LULUS</v>
      </c>
      <c r="G370" s="1069">
        <f t="shared" si="217"/>
        <v>849315037</v>
      </c>
      <c r="H370" s="1038">
        <f t="shared" si="218"/>
        <v>0</v>
      </c>
      <c r="I370" s="1038">
        <f t="shared" si="219"/>
        <v>0</v>
      </c>
      <c r="J370" s="1038">
        <f t="shared" si="220"/>
        <v>0</v>
      </c>
      <c r="L370" s="1060">
        <f t="shared" si="212"/>
        <v>0</v>
      </c>
      <c r="M370" s="1060">
        <f t="shared" si="221"/>
        <v>1</v>
      </c>
      <c r="N370" s="1060">
        <f t="shared" si="222"/>
        <v>0</v>
      </c>
      <c r="O370" s="1060">
        <f t="shared" si="223"/>
        <v>0</v>
      </c>
      <c r="P370" s="1060">
        <f t="shared" si="224"/>
        <v>0</v>
      </c>
    </row>
    <row r="371" spans="1:18" x14ac:dyDescent="0.25">
      <c r="A371" s="1034">
        <v>833</v>
      </c>
      <c r="B371" s="1034">
        <f t="shared" si="199"/>
        <v>26</v>
      </c>
      <c r="C371" s="1034" t="str">
        <f t="shared" si="213"/>
        <v>Misbahul Munir</v>
      </c>
      <c r="D371" s="1068" t="str">
        <f t="shared" si="214"/>
        <v>PAI</v>
      </c>
      <c r="E371" s="1069">
        <f t="shared" si="215"/>
        <v>2015</v>
      </c>
      <c r="F371" s="1035" t="str">
        <f t="shared" si="216"/>
        <v>LULUS</v>
      </c>
      <c r="G371" s="1069">
        <f t="shared" si="217"/>
        <v>849315021</v>
      </c>
      <c r="H371" s="1038">
        <f t="shared" si="218"/>
        <v>0</v>
      </c>
      <c r="I371" s="1038">
        <f t="shared" si="219"/>
        <v>0</v>
      </c>
      <c r="J371" s="1038">
        <f t="shared" si="220"/>
        <v>0</v>
      </c>
      <c r="L371" s="1060">
        <f t="shared" si="212"/>
        <v>0</v>
      </c>
      <c r="M371" s="1060">
        <f t="shared" si="221"/>
        <v>1</v>
      </c>
      <c r="N371" s="1060">
        <f t="shared" si="222"/>
        <v>0</v>
      </c>
      <c r="O371" s="1060">
        <f t="shared" si="223"/>
        <v>0</v>
      </c>
      <c r="P371" s="1060">
        <f t="shared" si="224"/>
        <v>0</v>
      </c>
    </row>
    <row r="372" spans="1:18" x14ac:dyDescent="0.25">
      <c r="A372" s="1034">
        <v>834</v>
      </c>
      <c r="B372" s="1034">
        <f t="shared" si="199"/>
        <v>27</v>
      </c>
      <c r="C372" s="1034" t="str">
        <f t="shared" si="213"/>
        <v>Moh. Ali Wafa</v>
      </c>
      <c r="D372" s="1068" t="str">
        <f t="shared" si="214"/>
        <v>PAI</v>
      </c>
      <c r="E372" s="1069">
        <f t="shared" si="215"/>
        <v>2015</v>
      </c>
      <c r="F372" s="1035" t="str">
        <f t="shared" si="216"/>
        <v>DROP OUT</v>
      </c>
      <c r="G372" s="1069">
        <f t="shared" si="217"/>
        <v>849315022</v>
      </c>
      <c r="H372" s="1038">
        <f t="shared" si="218"/>
        <v>0</v>
      </c>
      <c r="I372" s="1038">
        <f t="shared" si="219"/>
        <v>0</v>
      </c>
      <c r="J372" s="1038">
        <f t="shared" si="220"/>
        <v>0</v>
      </c>
      <c r="L372" s="1060">
        <f t="shared" si="212"/>
        <v>0</v>
      </c>
      <c r="M372" s="1060">
        <f t="shared" si="221"/>
        <v>0</v>
      </c>
      <c r="N372" s="1060">
        <f t="shared" si="222"/>
        <v>0</v>
      </c>
      <c r="O372" s="1060">
        <f t="shared" si="223"/>
        <v>1</v>
      </c>
      <c r="P372" s="1060">
        <f t="shared" si="224"/>
        <v>0</v>
      </c>
    </row>
    <row r="373" spans="1:18" x14ac:dyDescent="0.25">
      <c r="A373" s="1034">
        <v>835</v>
      </c>
      <c r="B373" s="1034">
        <f t="shared" si="199"/>
        <v>28</v>
      </c>
      <c r="C373" s="1034" t="str">
        <f t="shared" si="213"/>
        <v>Mufidah</v>
      </c>
      <c r="D373" s="1068" t="str">
        <f t="shared" si="214"/>
        <v>PAI</v>
      </c>
      <c r="E373" s="1069">
        <f t="shared" si="215"/>
        <v>2015</v>
      </c>
      <c r="F373" s="1035" t="str">
        <f t="shared" si="216"/>
        <v>LULUS</v>
      </c>
      <c r="G373" s="1069">
        <f t="shared" si="217"/>
        <v>849315023</v>
      </c>
      <c r="H373" s="1038">
        <f t="shared" si="218"/>
        <v>0</v>
      </c>
      <c r="I373" s="1038">
        <f t="shared" si="219"/>
        <v>0</v>
      </c>
      <c r="J373" s="1038">
        <f t="shared" si="220"/>
        <v>0</v>
      </c>
      <c r="L373" s="1060">
        <f t="shared" si="212"/>
        <v>0</v>
      </c>
      <c r="M373" s="1060">
        <f t="shared" si="221"/>
        <v>1</v>
      </c>
      <c r="N373" s="1060">
        <f t="shared" si="222"/>
        <v>0</v>
      </c>
      <c r="O373" s="1060">
        <f t="shared" si="223"/>
        <v>0</v>
      </c>
      <c r="P373" s="1060">
        <f t="shared" si="224"/>
        <v>0</v>
      </c>
    </row>
    <row r="374" spans="1:18" x14ac:dyDescent="0.25">
      <c r="A374" s="1034">
        <v>836</v>
      </c>
      <c r="B374" s="1034">
        <f t="shared" si="199"/>
        <v>29</v>
      </c>
      <c r="C374" s="1034" t="str">
        <f t="shared" si="213"/>
        <v>Taufiqoh Rahma</v>
      </c>
      <c r="D374" s="1068" t="str">
        <f t="shared" si="214"/>
        <v>PAI</v>
      </c>
      <c r="E374" s="1069">
        <f t="shared" si="215"/>
        <v>2015</v>
      </c>
      <c r="F374" s="1035" t="str">
        <f t="shared" si="216"/>
        <v>LULUS</v>
      </c>
      <c r="G374" s="1069">
        <f t="shared" si="217"/>
        <v>849315024</v>
      </c>
      <c r="H374" s="1038">
        <f t="shared" si="218"/>
        <v>0</v>
      </c>
      <c r="I374" s="1038">
        <f t="shared" si="219"/>
        <v>0</v>
      </c>
      <c r="J374" s="1038">
        <f t="shared" si="220"/>
        <v>0</v>
      </c>
      <c r="L374" s="1060">
        <f t="shared" si="212"/>
        <v>0</v>
      </c>
      <c r="M374" s="1060">
        <f t="shared" si="221"/>
        <v>1</v>
      </c>
      <c r="N374" s="1060">
        <f t="shared" si="222"/>
        <v>0</v>
      </c>
      <c r="O374" s="1060">
        <f t="shared" si="223"/>
        <v>0</v>
      </c>
      <c r="P374" s="1060">
        <f t="shared" si="224"/>
        <v>0</v>
      </c>
    </row>
    <row r="375" spans="1:18" x14ac:dyDescent="0.25">
      <c r="A375" s="1034">
        <v>837</v>
      </c>
      <c r="B375" s="1034">
        <f t="shared" si="199"/>
        <v>30</v>
      </c>
      <c r="C375" s="1034" t="str">
        <f t="shared" si="213"/>
        <v>Vika Nur Yulia Imami</v>
      </c>
      <c r="D375" s="1068" t="str">
        <f t="shared" si="214"/>
        <v>PAI</v>
      </c>
      <c r="E375" s="1069">
        <f t="shared" si="215"/>
        <v>2015</v>
      </c>
      <c r="F375" s="1035" t="str">
        <f t="shared" si="216"/>
        <v>LULUS</v>
      </c>
      <c r="G375" s="1069">
        <f t="shared" si="217"/>
        <v>849315025</v>
      </c>
      <c r="H375" s="1038">
        <f t="shared" si="218"/>
        <v>0</v>
      </c>
      <c r="I375" s="1038">
        <f t="shared" si="219"/>
        <v>0</v>
      </c>
      <c r="J375" s="1038">
        <f t="shared" si="220"/>
        <v>0</v>
      </c>
      <c r="L375" s="1060">
        <f t="shared" si="212"/>
        <v>0</v>
      </c>
      <c r="M375" s="1060">
        <f t="shared" si="221"/>
        <v>1</v>
      </c>
      <c r="N375" s="1060">
        <f t="shared" si="222"/>
        <v>0</v>
      </c>
      <c r="O375" s="1060">
        <f t="shared" si="223"/>
        <v>0</v>
      </c>
      <c r="P375" s="1060">
        <f t="shared" si="224"/>
        <v>0</v>
      </c>
    </row>
    <row r="376" spans="1:18" x14ac:dyDescent="0.25">
      <c r="A376" s="1034">
        <v>838</v>
      </c>
      <c r="B376" s="1034">
        <f t="shared" si="199"/>
        <v>31</v>
      </c>
      <c r="C376" s="1034" t="str">
        <f t="shared" si="213"/>
        <v>Moh. Iffan</v>
      </c>
      <c r="D376" s="1068" t="str">
        <f t="shared" si="214"/>
        <v>PAI</v>
      </c>
      <c r="E376" s="1069">
        <f t="shared" si="215"/>
        <v>2015</v>
      </c>
      <c r="F376" s="1035" t="str">
        <f t="shared" si="216"/>
        <v>DROP OUT</v>
      </c>
      <c r="G376" s="1069">
        <f t="shared" si="217"/>
        <v>849315026</v>
      </c>
      <c r="H376" s="1038">
        <f t="shared" si="218"/>
        <v>0</v>
      </c>
      <c r="I376" s="1038">
        <f t="shared" si="219"/>
        <v>0</v>
      </c>
      <c r="J376" s="1038">
        <f t="shared" si="220"/>
        <v>0</v>
      </c>
      <c r="L376" s="1060">
        <f t="shared" si="212"/>
        <v>0</v>
      </c>
      <c r="M376" s="1060">
        <f t="shared" si="221"/>
        <v>0</v>
      </c>
      <c r="N376" s="1060">
        <f t="shared" si="222"/>
        <v>0</v>
      </c>
      <c r="O376" s="1060">
        <f t="shared" si="223"/>
        <v>1</v>
      </c>
      <c r="P376" s="1060">
        <f t="shared" si="224"/>
        <v>0</v>
      </c>
    </row>
    <row r="377" spans="1:18" x14ac:dyDescent="0.25">
      <c r="A377" s="1034">
        <v>839</v>
      </c>
      <c r="B377" s="1034">
        <f t="shared" si="199"/>
        <v>32</v>
      </c>
      <c r="C377" s="1034" t="str">
        <f t="shared" si="213"/>
        <v>Eltafiyanal Haqqo</v>
      </c>
      <c r="D377" s="1035" t="str">
        <f t="shared" si="214"/>
        <v>PAI</v>
      </c>
      <c r="E377" s="1036">
        <f t="shared" si="215"/>
        <v>2015</v>
      </c>
      <c r="F377" s="1035" t="str">
        <f t="shared" si="216"/>
        <v>LULUS</v>
      </c>
      <c r="G377" s="1036">
        <f t="shared" si="217"/>
        <v>849315027</v>
      </c>
      <c r="H377" s="1038">
        <f t="shared" si="218"/>
        <v>0</v>
      </c>
      <c r="I377" s="1038">
        <f t="shared" si="219"/>
        <v>0</v>
      </c>
      <c r="J377" s="1038">
        <f t="shared" si="220"/>
        <v>0</v>
      </c>
      <c r="L377" s="1060">
        <f t="shared" si="212"/>
        <v>0</v>
      </c>
      <c r="M377" s="1060">
        <f t="shared" si="221"/>
        <v>1</v>
      </c>
      <c r="N377" s="1060">
        <f t="shared" si="222"/>
        <v>0</v>
      </c>
      <c r="O377" s="1060">
        <f t="shared" si="223"/>
        <v>0</v>
      </c>
      <c r="P377" s="1060">
        <f t="shared" si="224"/>
        <v>0</v>
      </c>
    </row>
    <row r="378" spans="1:18" x14ac:dyDescent="0.25">
      <c r="A378" s="1034">
        <v>840</v>
      </c>
      <c r="B378" s="1034">
        <f t="shared" si="199"/>
        <v>33</v>
      </c>
      <c r="C378" s="1034" t="str">
        <f t="shared" si="213"/>
        <v>Siti Zulfa Agustin</v>
      </c>
      <c r="D378" s="1035" t="str">
        <f t="shared" si="214"/>
        <v>PAI</v>
      </c>
      <c r="E378" s="1036">
        <f t="shared" si="215"/>
        <v>2015</v>
      </c>
      <c r="F378" s="1035" t="str">
        <f t="shared" si="216"/>
        <v>LULUS</v>
      </c>
      <c r="G378" s="1036">
        <f t="shared" si="217"/>
        <v>849315036</v>
      </c>
      <c r="H378" s="1038">
        <f t="shared" si="218"/>
        <v>0</v>
      </c>
      <c r="I378" s="1038">
        <f t="shared" si="219"/>
        <v>0</v>
      </c>
      <c r="J378" s="1038">
        <f t="shared" si="220"/>
        <v>0</v>
      </c>
      <c r="L378" s="1060">
        <f t="shared" si="212"/>
        <v>0</v>
      </c>
      <c r="M378" s="1060">
        <f t="shared" si="221"/>
        <v>1</v>
      </c>
      <c r="N378" s="1060">
        <f t="shared" si="222"/>
        <v>0</v>
      </c>
      <c r="O378" s="1060">
        <f t="shared" si="223"/>
        <v>0</v>
      </c>
      <c r="P378" s="1060">
        <f t="shared" si="224"/>
        <v>0</v>
      </c>
    </row>
    <row r="379" spans="1:18" x14ac:dyDescent="0.25">
      <c r="A379" s="1034">
        <v>841</v>
      </c>
      <c r="B379" s="1034">
        <f t="shared" si="199"/>
        <v>34</v>
      </c>
      <c r="C379" s="1034" t="str">
        <f t="shared" si="213"/>
        <v>Ahmad Fadil</v>
      </c>
      <c r="D379" s="1035" t="str">
        <f t="shared" si="214"/>
        <v>PAI</v>
      </c>
      <c r="E379" s="1036">
        <f t="shared" si="215"/>
        <v>2015</v>
      </c>
      <c r="F379" s="1035" t="str">
        <f t="shared" si="216"/>
        <v>LULUS</v>
      </c>
      <c r="G379" s="1036">
        <f t="shared" si="217"/>
        <v>849315028</v>
      </c>
      <c r="H379" s="1038">
        <f t="shared" si="218"/>
        <v>0</v>
      </c>
      <c r="I379" s="1038">
        <f t="shared" si="219"/>
        <v>0</v>
      </c>
      <c r="J379" s="1038">
        <f t="shared" si="220"/>
        <v>0</v>
      </c>
      <c r="L379" s="1060">
        <f t="shared" si="212"/>
        <v>0</v>
      </c>
      <c r="M379" s="1060">
        <f t="shared" si="221"/>
        <v>1</v>
      </c>
      <c r="N379" s="1060">
        <f t="shared" si="222"/>
        <v>0</v>
      </c>
      <c r="O379" s="1060">
        <f t="shared" si="223"/>
        <v>0</v>
      </c>
      <c r="P379" s="1060">
        <f t="shared" si="224"/>
        <v>0</v>
      </c>
    </row>
    <row r="380" spans="1:18" x14ac:dyDescent="0.25">
      <c r="A380" s="1034">
        <v>842</v>
      </c>
      <c r="B380" s="1034">
        <f t="shared" si="199"/>
        <v>35</v>
      </c>
      <c r="C380" s="1034" t="str">
        <f t="shared" si="213"/>
        <v>Bambang Wahyudi</v>
      </c>
      <c r="D380" s="1035" t="str">
        <f t="shared" si="214"/>
        <v>PAI</v>
      </c>
      <c r="E380" s="1036">
        <f t="shared" si="215"/>
        <v>2015</v>
      </c>
      <c r="F380" s="1035" t="str">
        <f t="shared" si="216"/>
        <v>LULUS</v>
      </c>
      <c r="G380" s="1036">
        <f t="shared" si="217"/>
        <v>849315029</v>
      </c>
      <c r="H380" s="1038">
        <f t="shared" si="218"/>
        <v>0</v>
      </c>
      <c r="I380" s="1038">
        <f t="shared" si="219"/>
        <v>0</v>
      </c>
      <c r="J380" s="1038">
        <f t="shared" si="220"/>
        <v>0</v>
      </c>
      <c r="L380" s="1060">
        <f t="shared" si="212"/>
        <v>0</v>
      </c>
      <c r="M380" s="1060">
        <f t="shared" si="221"/>
        <v>1</v>
      </c>
      <c r="N380" s="1060">
        <f t="shared" si="222"/>
        <v>0</v>
      </c>
      <c r="O380" s="1060">
        <f t="shared" si="223"/>
        <v>0</v>
      </c>
      <c r="P380" s="1060">
        <f t="shared" si="224"/>
        <v>0</v>
      </c>
      <c r="R380" s="1039"/>
    </row>
    <row r="381" spans="1:18" x14ac:dyDescent="0.25">
      <c r="A381" s="1034">
        <v>843</v>
      </c>
      <c r="B381" s="1034">
        <f t="shared" si="199"/>
        <v>36</v>
      </c>
      <c r="C381" s="1034" t="str">
        <f t="shared" si="213"/>
        <v>Sulfiah</v>
      </c>
      <c r="D381" s="1035" t="str">
        <f t="shared" si="214"/>
        <v>PAI</v>
      </c>
      <c r="E381" s="1036">
        <f t="shared" si="215"/>
        <v>2015</v>
      </c>
      <c r="F381" s="1035" t="str">
        <f t="shared" si="216"/>
        <v>LULUS</v>
      </c>
      <c r="G381" s="1036">
        <f t="shared" si="217"/>
        <v>849315034</v>
      </c>
      <c r="H381" s="1038">
        <f t="shared" si="218"/>
        <v>0</v>
      </c>
      <c r="I381" s="1038">
        <f t="shared" si="219"/>
        <v>0</v>
      </c>
      <c r="J381" s="1038">
        <f t="shared" si="220"/>
        <v>0</v>
      </c>
      <c r="L381" s="1060">
        <f t="shared" si="212"/>
        <v>0</v>
      </c>
      <c r="M381" s="1060">
        <f t="shared" si="221"/>
        <v>1</v>
      </c>
      <c r="N381" s="1060">
        <f t="shared" si="222"/>
        <v>0</v>
      </c>
      <c r="O381" s="1060">
        <f t="shared" si="223"/>
        <v>0</v>
      </c>
      <c r="P381" s="1060">
        <f t="shared" si="224"/>
        <v>0</v>
      </c>
    </row>
    <row r="382" spans="1:18" x14ac:dyDescent="0.25">
      <c r="A382" s="1039"/>
      <c r="B382" s="1039"/>
      <c r="C382" s="1039"/>
      <c r="D382" s="1040"/>
      <c r="E382" s="1041"/>
      <c r="F382" s="1040"/>
      <c r="G382" s="1041"/>
      <c r="H382" s="1042"/>
      <c r="I382" s="1042"/>
      <c r="J382" s="1042"/>
      <c r="L382" s="1042"/>
      <c r="M382" s="1042"/>
      <c r="N382" s="1042"/>
      <c r="O382" s="1042"/>
      <c r="P382" s="1042"/>
    </row>
    <row r="383" spans="1:18" x14ac:dyDescent="0.25">
      <c r="A383" s="1043" t="str">
        <f>'Rekap SPP'!A906</f>
        <v xml:space="preserve">S2-PBA 2015/2016 </v>
      </c>
      <c r="B383" s="1043"/>
      <c r="C383" s="1043"/>
      <c r="D383" s="1033" t="s">
        <v>3</v>
      </c>
      <c r="E383" s="1032" t="s">
        <v>4</v>
      </c>
      <c r="F383" s="1033" t="s">
        <v>3195</v>
      </c>
      <c r="G383" s="1032" t="s">
        <v>1</v>
      </c>
      <c r="H383" s="1033" t="s">
        <v>3341</v>
      </c>
      <c r="I383" s="1033" t="s">
        <v>3362</v>
      </c>
      <c r="J383" s="1062">
        <f>SUM(J384:J393)</f>
        <v>0</v>
      </c>
      <c r="L383" s="1063">
        <f>SUM(L384:L393)</f>
        <v>0</v>
      </c>
      <c r="M383" s="1063">
        <f>SUM(M384:M393)</f>
        <v>6</v>
      </c>
      <c r="N383" s="1063">
        <f>SUM(N384:N393)</f>
        <v>0</v>
      </c>
      <c r="O383" s="1063">
        <f>SUM(O384:O393)</f>
        <v>4</v>
      </c>
      <c r="P383" s="1063">
        <f>SUM(P384:P393)</f>
        <v>0</v>
      </c>
    </row>
    <row r="384" spans="1:18" x14ac:dyDescent="0.25">
      <c r="A384" s="1034">
        <v>844</v>
      </c>
      <c r="B384" s="1034">
        <f t="shared" si="199"/>
        <v>1</v>
      </c>
      <c r="C384" s="1034" t="str">
        <f t="shared" ref="C384:C393" si="225">IFERROR(VLOOKUP(A384,DB,4,FALSE),"")</f>
        <v>Muh. Dimyati</v>
      </c>
      <c r="D384" s="1035" t="str">
        <f t="shared" ref="D384:D393" si="226">IFERROR(VLOOKUP(A384,DB,5,FALSE),"")</f>
        <v>PBA</v>
      </c>
      <c r="E384" s="1036">
        <f t="shared" ref="E384:E393" si="227">IFERROR(VLOOKUP(A384,DB,6,FALSE),"")</f>
        <v>2015</v>
      </c>
      <c r="F384" s="1035" t="str">
        <f t="shared" ref="F384:F393" si="228">IFERROR(VLOOKUP(A384,DB,7,FALSE),"")</f>
        <v>LULUS</v>
      </c>
      <c r="G384" s="1036">
        <f t="shared" ref="G384:G393" si="229">IFERROR(VLOOKUP(A384,DB,3,FALSE),"")</f>
        <v>849215001</v>
      </c>
      <c r="H384" s="1038">
        <f t="shared" ref="H384:H393" si="230">IF(F384="AKTIF",3000000,IF(F384="CUTI",3000000,0))</f>
        <v>0</v>
      </c>
      <c r="I384" s="1038">
        <f t="shared" ref="I384:I393" si="231">IF(F384="AKTIF",3000000,IF(F384="CUTI",3000000,0))</f>
        <v>0</v>
      </c>
      <c r="J384" s="1038">
        <f t="shared" ref="J384:J393" si="232">I384+H384</f>
        <v>0</v>
      </c>
      <c r="L384" s="1060">
        <f t="shared" si="212"/>
        <v>0</v>
      </c>
      <c r="M384" s="1060">
        <f t="shared" ref="M384:M393" si="233">IF(F384="LULUS",1,0)</f>
        <v>1</v>
      </c>
      <c r="N384" s="1060">
        <f t="shared" ref="N384:N393" si="234">IF(F384="CUTI",1,0)</f>
        <v>0</v>
      </c>
      <c r="O384" s="1060">
        <f t="shared" ref="O384:O393" si="235">IF(F384="DROP OUT",1,0)</f>
        <v>0</v>
      </c>
      <c r="P384" s="1060">
        <f t="shared" ref="P384:P393" si="236">IF(F384="PASIF",1,0)</f>
        <v>0</v>
      </c>
    </row>
    <row r="385" spans="1:18" x14ac:dyDescent="0.25">
      <c r="A385" s="1034">
        <v>845</v>
      </c>
      <c r="B385" s="1034">
        <f t="shared" si="199"/>
        <v>2</v>
      </c>
      <c r="C385" s="1034" t="str">
        <f t="shared" si="225"/>
        <v>Samsia</v>
      </c>
      <c r="D385" s="1035" t="str">
        <f t="shared" si="226"/>
        <v>PBA</v>
      </c>
      <c r="E385" s="1036">
        <f t="shared" si="227"/>
        <v>2015</v>
      </c>
      <c r="F385" s="1035" t="str">
        <f t="shared" si="228"/>
        <v>LULUS</v>
      </c>
      <c r="G385" s="1036">
        <f t="shared" si="229"/>
        <v>849215002</v>
      </c>
      <c r="H385" s="1038">
        <f t="shared" si="230"/>
        <v>0</v>
      </c>
      <c r="I385" s="1038">
        <f t="shared" si="231"/>
        <v>0</v>
      </c>
      <c r="J385" s="1038">
        <f t="shared" si="232"/>
        <v>0</v>
      </c>
      <c r="L385" s="1060">
        <f t="shared" si="212"/>
        <v>0</v>
      </c>
      <c r="M385" s="1060">
        <f t="shared" si="233"/>
        <v>1</v>
      </c>
      <c r="N385" s="1060">
        <f t="shared" si="234"/>
        <v>0</v>
      </c>
      <c r="O385" s="1060">
        <f t="shared" si="235"/>
        <v>0</v>
      </c>
      <c r="P385" s="1060">
        <f t="shared" si="236"/>
        <v>0</v>
      </c>
    </row>
    <row r="386" spans="1:18" x14ac:dyDescent="0.25">
      <c r="A386" s="1034">
        <v>846</v>
      </c>
      <c r="B386" s="1034">
        <f t="shared" si="199"/>
        <v>3</v>
      </c>
      <c r="C386" s="1034" t="str">
        <f t="shared" si="225"/>
        <v>Nur Maya Badriyatul Jamroh</v>
      </c>
      <c r="D386" s="1035" t="str">
        <f t="shared" si="226"/>
        <v>PBA</v>
      </c>
      <c r="E386" s="1036">
        <f t="shared" si="227"/>
        <v>2015</v>
      </c>
      <c r="F386" s="1035" t="str">
        <f t="shared" si="228"/>
        <v>LULUS</v>
      </c>
      <c r="G386" s="1036">
        <f t="shared" si="229"/>
        <v>849215003</v>
      </c>
      <c r="H386" s="1038">
        <f t="shared" si="230"/>
        <v>0</v>
      </c>
      <c r="I386" s="1038">
        <f t="shared" si="231"/>
        <v>0</v>
      </c>
      <c r="J386" s="1038">
        <f t="shared" si="232"/>
        <v>0</v>
      </c>
      <c r="L386" s="1060">
        <f t="shared" si="212"/>
        <v>0</v>
      </c>
      <c r="M386" s="1060">
        <f t="shared" si="233"/>
        <v>1</v>
      </c>
      <c r="N386" s="1060">
        <f t="shared" si="234"/>
        <v>0</v>
      </c>
      <c r="O386" s="1060">
        <f t="shared" si="235"/>
        <v>0</v>
      </c>
      <c r="P386" s="1060">
        <f t="shared" si="236"/>
        <v>0</v>
      </c>
    </row>
    <row r="387" spans="1:18" x14ac:dyDescent="0.25">
      <c r="A387" s="1034">
        <v>847</v>
      </c>
      <c r="B387" s="1034">
        <f t="shared" si="199"/>
        <v>4</v>
      </c>
      <c r="C387" s="1034" t="str">
        <f t="shared" si="225"/>
        <v>Sri Taqwiyati</v>
      </c>
      <c r="D387" s="1035" t="str">
        <f t="shared" si="226"/>
        <v>PBA</v>
      </c>
      <c r="E387" s="1036">
        <f t="shared" si="227"/>
        <v>2015</v>
      </c>
      <c r="F387" s="1035" t="str">
        <f t="shared" si="228"/>
        <v>DROP OUT</v>
      </c>
      <c r="G387" s="1036">
        <f t="shared" si="229"/>
        <v>849215004</v>
      </c>
      <c r="H387" s="1038">
        <f t="shared" si="230"/>
        <v>0</v>
      </c>
      <c r="I387" s="1038">
        <f t="shared" si="231"/>
        <v>0</v>
      </c>
      <c r="J387" s="1038">
        <f t="shared" si="232"/>
        <v>0</v>
      </c>
      <c r="L387" s="1060">
        <f t="shared" si="212"/>
        <v>0</v>
      </c>
      <c r="M387" s="1060">
        <f t="shared" si="233"/>
        <v>0</v>
      </c>
      <c r="N387" s="1060">
        <f t="shared" si="234"/>
        <v>0</v>
      </c>
      <c r="O387" s="1060">
        <f t="shared" si="235"/>
        <v>1</v>
      </c>
      <c r="P387" s="1060">
        <f t="shared" si="236"/>
        <v>0</v>
      </c>
    </row>
    <row r="388" spans="1:18" x14ac:dyDescent="0.25">
      <c r="A388" s="1034">
        <v>848</v>
      </c>
      <c r="B388" s="1034">
        <f t="shared" si="199"/>
        <v>6</v>
      </c>
      <c r="C388" s="1034" t="str">
        <f t="shared" si="225"/>
        <v>Ainur Rofiq Sofa</v>
      </c>
      <c r="D388" s="1035" t="str">
        <f t="shared" si="226"/>
        <v>PBA</v>
      </c>
      <c r="E388" s="1036">
        <f t="shared" si="227"/>
        <v>2015</v>
      </c>
      <c r="F388" s="1035" t="str">
        <f t="shared" si="228"/>
        <v>LULUS</v>
      </c>
      <c r="G388" s="1036">
        <f t="shared" si="229"/>
        <v>849215005</v>
      </c>
      <c r="H388" s="1038">
        <f t="shared" si="230"/>
        <v>0</v>
      </c>
      <c r="I388" s="1038">
        <f t="shared" si="231"/>
        <v>0</v>
      </c>
      <c r="J388" s="1038">
        <f t="shared" si="232"/>
        <v>0</v>
      </c>
      <c r="L388" s="1060">
        <f t="shared" si="212"/>
        <v>0</v>
      </c>
      <c r="M388" s="1060">
        <f t="shared" si="233"/>
        <v>1</v>
      </c>
      <c r="N388" s="1060">
        <f t="shared" si="234"/>
        <v>0</v>
      </c>
      <c r="O388" s="1060">
        <f t="shared" si="235"/>
        <v>0</v>
      </c>
      <c r="P388" s="1060">
        <f t="shared" si="236"/>
        <v>0</v>
      </c>
    </row>
    <row r="389" spans="1:18" x14ac:dyDescent="0.25">
      <c r="A389" s="1034">
        <v>849</v>
      </c>
      <c r="B389" s="1034">
        <f t="shared" si="199"/>
        <v>8</v>
      </c>
      <c r="C389" s="1034" t="str">
        <f t="shared" si="225"/>
        <v>Ina Muhrika</v>
      </c>
      <c r="D389" s="1035" t="str">
        <f t="shared" si="226"/>
        <v>PBA</v>
      </c>
      <c r="E389" s="1036">
        <f t="shared" si="227"/>
        <v>2015</v>
      </c>
      <c r="F389" s="1035" t="str">
        <f t="shared" si="228"/>
        <v>DROP OUT</v>
      </c>
      <c r="G389" s="1036">
        <f t="shared" si="229"/>
        <v>849215006</v>
      </c>
      <c r="H389" s="1038">
        <f t="shared" si="230"/>
        <v>0</v>
      </c>
      <c r="I389" s="1038">
        <f t="shared" si="231"/>
        <v>0</v>
      </c>
      <c r="J389" s="1038">
        <f t="shared" si="232"/>
        <v>0</v>
      </c>
      <c r="L389" s="1060">
        <f t="shared" si="212"/>
        <v>0</v>
      </c>
      <c r="M389" s="1060">
        <f t="shared" si="233"/>
        <v>0</v>
      </c>
      <c r="N389" s="1060">
        <f t="shared" si="234"/>
        <v>0</v>
      </c>
      <c r="O389" s="1060">
        <f t="shared" si="235"/>
        <v>1</v>
      </c>
      <c r="P389" s="1060">
        <f t="shared" si="236"/>
        <v>0</v>
      </c>
    </row>
    <row r="390" spans="1:18" x14ac:dyDescent="0.25">
      <c r="A390" s="1034">
        <v>850</v>
      </c>
      <c r="B390" s="1034">
        <f t="shared" si="199"/>
        <v>9</v>
      </c>
      <c r="C390" s="1034" t="str">
        <f t="shared" si="225"/>
        <v>Moch. Khoirul Anwar</v>
      </c>
      <c r="D390" s="1035" t="str">
        <f t="shared" si="226"/>
        <v>PBA</v>
      </c>
      <c r="E390" s="1036">
        <f t="shared" si="227"/>
        <v>2015</v>
      </c>
      <c r="F390" s="1035" t="str">
        <f t="shared" si="228"/>
        <v>LULUS</v>
      </c>
      <c r="G390" s="1036">
        <f t="shared" si="229"/>
        <v>849215007</v>
      </c>
      <c r="H390" s="1038">
        <f t="shared" si="230"/>
        <v>0</v>
      </c>
      <c r="I390" s="1038">
        <f t="shared" si="231"/>
        <v>0</v>
      </c>
      <c r="J390" s="1038">
        <f t="shared" si="232"/>
        <v>0</v>
      </c>
      <c r="L390" s="1060">
        <f t="shared" si="212"/>
        <v>0</v>
      </c>
      <c r="M390" s="1060">
        <f t="shared" si="233"/>
        <v>1</v>
      </c>
      <c r="N390" s="1060">
        <f t="shared" si="234"/>
        <v>0</v>
      </c>
      <c r="O390" s="1060">
        <f t="shared" si="235"/>
        <v>0</v>
      </c>
      <c r="P390" s="1060">
        <f t="shared" si="236"/>
        <v>0</v>
      </c>
    </row>
    <row r="391" spans="1:18" x14ac:dyDescent="0.25">
      <c r="A391" s="1034">
        <v>851</v>
      </c>
      <c r="B391" s="1034">
        <f t="shared" si="199"/>
        <v>10</v>
      </c>
      <c r="C391" s="1034" t="str">
        <f t="shared" si="225"/>
        <v>Muhammad Habibi Hamzah</v>
      </c>
      <c r="D391" s="1035" t="str">
        <f t="shared" si="226"/>
        <v>PBA</v>
      </c>
      <c r="E391" s="1036">
        <f t="shared" si="227"/>
        <v>2015</v>
      </c>
      <c r="F391" s="1035" t="str">
        <f t="shared" si="228"/>
        <v>LULUS</v>
      </c>
      <c r="G391" s="1036">
        <f t="shared" si="229"/>
        <v>849215008</v>
      </c>
      <c r="H391" s="1038">
        <f t="shared" si="230"/>
        <v>0</v>
      </c>
      <c r="I391" s="1038">
        <f t="shared" si="231"/>
        <v>0</v>
      </c>
      <c r="J391" s="1038">
        <f t="shared" si="232"/>
        <v>0</v>
      </c>
      <c r="L391" s="1060">
        <f t="shared" si="212"/>
        <v>0</v>
      </c>
      <c r="M391" s="1060">
        <f t="shared" si="233"/>
        <v>1</v>
      </c>
      <c r="N391" s="1060">
        <f t="shared" si="234"/>
        <v>0</v>
      </c>
      <c r="O391" s="1060">
        <f t="shared" si="235"/>
        <v>0</v>
      </c>
      <c r="P391" s="1060">
        <f t="shared" si="236"/>
        <v>0</v>
      </c>
    </row>
    <row r="392" spans="1:18" x14ac:dyDescent="0.25">
      <c r="A392" s="1034">
        <v>852</v>
      </c>
      <c r="B392" s="1034">
        <f t="shared" si="199"/>
        <v>11</v>
      </c>
      <c r="C392" s="1034" t="str">
        <f t="shared" si="225"/>
        <v>Muryanto</v>
      </c>
      <c r="D392" s="1035" t="str">
        <f t="shared" si="226"/>
        <v>PBA</v>
      </c>
      <c r="E392" s="1036">
        <f t="shared" si="227"/>
        <v>2015</v>
      </c>
      <c r="F392" s="1035" t="str">
        <f t="shared" si="228"/>
        <v>DROP OUT</v>
      </c>
      <c r="G392" s="1036">
        <f t="shared" si="229"/>
        <v>849215009</v>
      </c>
      <c r="H392" s="1038">
        <f t="shared" si="230"/>
        <v>0</v>
      </c>
      <c r="I392" s="1038">
        <f t="shared" si="231"/>
        <v>0</v>
      </c>
      <c r="J392" s="1038">
        <f t="shared" si="232"/>
        <v>0</v>
      </c>
      <c r="L392" s="1060">
        <f t="shared" si="212"/>
        <v>0</v>
      </c>
      <c r="M392" s="1060">
        <f t="shared" si="233"/>
        <v>0</v>
      </c>
      <c r="N392" s="1060">
        <f t="shared" si="234"/>
        <v>0</v>
      </c>
      <c r="O392" s="1060">
        <f t="shared" si="235"/>
        <v>1</v>
      </c>
      <c r="P392" s="1060">
        <f t="shared" si="236"/>
        <v>0</v>
      </c>
      <c r="R392" s="1039"/>
    </row>
    <row r="393" spans="1:18" x14ac:dyDescent="0.25">
      <c r="A393" s="1034">
        <v>853</v>
      </c>
      <c r="B393" s="1034">
        <f t="shared" ref="B393:B466" si="237">IFERROR(VLOOKUP(A393,DB,2,FALSE),"")</f>
        <v>12</v>
      </c>
      <c r="C393" s="1034" t="str">
        <f t="shared" si="225"/>
        <v>Tanthowi Jauhari</v>
      </c>
      <c r="D393" s="1035" t="str">
        <f t="shared" si="226"/>
        <v>PBA</v>
      </c>
      <c r="E393" s="1036">
        <f t="shared" si="227"/>
        <v>2015</v>
      </c>
      <c r="F393" s="1035" t="str">
        <f t="shared" si="228"/>
        <v>DROP OUT</v>
      </c>
      <c r="G393" s="1036">
        <f t="shared" si="229"/>
        <v>849215010</v>
      </c>
      <c r="H393" s="1038">
        <f t="shared" si="230"/>
        <v>0</v>
      </c>
      <c r="I393" s="1038">
        <f t="shared" si="231"/>
        <v>0</v>
      </c>
      <c r="J393" s="1038">
        <f t="shared" si="232"/>
        <v>0</v>
      </c>
      <c r="L393" s="1060">
        <f t="shared" si="212"/>
        <v>0</v>
      </c>
      <c r="M393" s="1060">
        <f t="shared" si="233"/>
        <v>0</v>
      </c>
      <c r="N393" s="1060">
        <f t="shared" si="234"/>
        <v>0</v>
      </c>
      <c r="O393" s="1060">
        <f t="shared" si="235"/>
        <v>1</v>
      </c>
      <c r="P393" s="1060">
        <f t="shared" si="236"/>
        <v>0</v>
      </c>
    </row>
    <row r="394" spans="1:18" x14ac:dyDescent="0.25">
      <c r="A394" s="1039"/>
      <c r="B394" s="1039"/>
      <c r="C394" s="1039"/>
      <c r="D394" s="1040"/>
      <c r="E394" s="1041"/>
      <c r="F394" s="1040"/>
      <c r="G394" s="1041"/>
      <c r="H394" s="1042"/>
      <c r="I394" s="1042"/>
      <c r="J394" s="1042"/>
      <c r="L394" s="1042"/>
      <c r="M394" s="1042"/>
      <c r="N394" s="1042"/>
      <c r="O394" s="1042"/>
      <c r="P394" s="1042"/>
    </row>
    <row r="395" spans="1:18" x14ac:dyDescent="0.25">
      <c r="A395" s="1043" t="str">
        <f>'Rekap SPP'!A918</f>
        <v xml:space="preserve">S2-MPI 2015/2016 </v>
      </c>
      <c r="B395" s="1043"/>
      <c r="C395" s="1043"/>
      <c r="D395" s="1033" t="s">
        <v>3</v>
      </c>
      <c r="E395" s="1032" t="s">
        <v>4</v>
      </c>
      <c r="F395" s="1033" t="s">
        <v>3195</v>
      </c>
      <c r="G395" s="1032" t="s">
        <v>1</v>
      </c>
      <c r="H395" s="1033" t="s">
        <v>3341</v>
      </c>
      <c r="I395" s="1033" t="s">
        <v>3362</v>
      </c>
      <c r="J395" s="1062">
        <f>SUM(J396:J418)</f>
        <v>0</v>
      </c>
      <c r="L395" s="1063">
        <f>SUM(L396:L418)</f>
        <v>0</v>
      </c>
      <c r="M395" s="1063">
        <f>SUM(M396:M418)</f>
        <v>16</v>
      </c>
      <c r="N395" s="1063">
        <f>SUM(N396:N418)</f>
        <v>0</v>
      </c>
      <c r="O395" s="1063">
        <f>SUM(O396:O418)</f>
        <v>7</v>
      </c>
      <c r="P395" s="1063">
        <f>SUM(P396:P418)</f>
        <v>0</v>
      </c>
    </row>
    <row r="396" spans="1:18" x14ac:dyDescent="0.25">
      <c r="A396" s="1034">
        <v>854</v>
      </c>
      <c r="B396" s="1034">
        <f t="shared" si="237"/>
        <v>1</v>
      </c>
      <c r="C396" s="1034" t="str">
        <f t="shared" ref="C396:C418" si="238">IFERROR(VLOOKUP(A396,DB,4,FALSE),"")</f>
        <v>As'ad Daroini</v>
      </c>
      <c r="D396" s="1035" t="str">
        <f t="shared" ref="D396:D418" si="239">IFERROR(VLOOKUP(A396,DB,5,FALSE),"")</f>
        <v>MPI-S2</v>
      </c>
      <c r="E396" s="1036">
        <f t="shared" ref="E396:E418" si="240">IFERROR(VLOOKUP(A396,DB,6,FALSE),"")</f>
        <v>2015</v>
      </c>
      <c r="F396" s="1035" t="str">
        <f t="shared" ref="F396:F418" si="241">IFERROR(VLOOKUP(A396,DB,7,FALSE),"")</f>
        <v>LULUS</v>
      </c>
      <c r="G396" s="1036">
        <f t="shared" ref="G396:G418" si="242">IFERROR(VLOOKUP(A396,DB,3,FALSE),"")</f>
        <v>849115001</v>
      </c>
      <c r="H396" s="1038">
        <f t="shared" ref="H396:H418" si="243">IF(F396="AKTIF",3000000,IF(F396="CUTI",3000000,0))</f>
        <v>0</v>
      </c>
      <c r="I396" s="1038">
        <f t="shared" ref="I396:I418" si="244">IF(F396="AKTIF",3000000,IF(F396="CUTI",3000000,0))</f>
        <v>0</v>
      </c>
      <c r="J396" s="1038">
        <f t="shared" ref="J396:J418" si="245">I396+H396</f>
        <v>0</v>
      </c>
      <c r="L396" s="1060">
        <f t="shared" si="212"/>
        <v>0</v>
      </c>
      <c r="M396" s="1060">
        <f t="shared" ref="M396:M418" si="246">IF(F396="LULUS",1,0)</f>
        <v>1</v>
      </c>
      <c r="N396" s="1060">
        <f t="shared" ref="N396:N418" si="247">IF(F396="CUTI",1,0)</f>
        <v>0</v>
      </c>
      <c r="O396" s="1060">
        <f t="shared" ref="O396:O418" si="248">IF(F396="DROP OUT",1,0)</f>
        <v>0</v>
      </c>
      <c r="P396" s="1060">
        <f t="shared" ref="P396:P418" si="249">IF(F396="PASIF",1,0)</f>
        <v>0</v>
      </c>
    </row>
    <row r="397" spans="1:18" x14ac:dyDescent="0.25">
      <c r="A397" s="1034">
        <v>855</v>
      </c>
      <c r="B397" s="1034">
        <f t="shared" si="237"/>
        <v>2</v>
      </c>
      <c r="C397" s="1034" t="str">
        <f t="shared" si="238"/>
        <v>Mukhamad Aris Habibi</v>
      </c>
      <c r="D397" s="1035" t="str">
        <f t="shared" si="239"/>
        <v>MPI-S2</v>
      </c>
      <c r="E397" s="1036">
        <f t="shared" si="240"/>
        <v>2015</v>
      </c>
      <c r="F397" s="1035" t="str">
        <f t="shared" si="241"/>
        <v>LULUS</v>
      </c>
      <c r="G397" s="1036">
        <f t="shared" si="242"/>
        <v>849115002</v>
      </c>
      <c r="H397" s="1038">
        <f t="shared" si="243"/>
        <v>0</v>
      </c>
      <c r="I397" s="1038">
        <f t="shared" si="244"/>
        <v>0</v>
      </c>
      <c r="J397" s="1038">
        <f t="shared" si="245"/>
        <v>0</v>
      </c>
      <c r="L397" s="1060">
        <f t="shared" si="212"/>
        <v>0</v>
      </c>
      <c r="M397" s="1060">
        <f t="shared" si="246"/>
        <v>1</v>
      </c>
      <c r="N397" s="1060">
        <f t="shared" si="247"/>
        <v>0</v>
      </c>
      <c r="O397" s="1060">
        <f t="shared" si="248"/>
        <v>0</v>
      </c>
      <c r="P397" s="1060">
        <f t="shared" si="249"/>
        <v>0</v>
      </c>
    </row>
    <row r="398" spans="1:18" x14ac:dyDescent="0.25">
      <c r="A398" s="1034">
        <v>856</v>
      </c>
      <c r="B398" s="1034">
        <f t="shared" si="237"/>
        <v>3</v>
      </c>
      <c r="C398" s="1034" t="str">
        <f t="shared" si="238"/>
        <v>Faiz Azizi</v>
      </c>
      <c r="D398" s="1035" t="str">
        <f t="shared" si="239"/>
        <v>MPI-S2</v>
      </c>
      <c r="E398" s="1036">
        <f t="shared" si="240"/>
        <v>2015</v>
      </c>
      <c r="F398" s="1035" t="str">
        <f t="shared" si="241"/>
        <v>LULUS</v>
      </c>
      <c r="G398" s="1036">
        <f t="shared" si="242"/>
        <v>849115003</v>
      </c>
      <c r="H398" s="1038">
        <f t="shared" si="243"/>
        <v>0</v>
      </c>
      <c r="I398" s="1038">
        <f t="shared" si="244"/>
        <v>0</v>
      </c>
      <c r="J398" s="1038">
        <f t="shared" si="245"/>
        <v>0</v>
      </c>
      <c r="L398" s="1060">
        <f t="shared" si="212"/>
        <v>0</v>
      </c>
      <c r="M398" s="1060">
        <f t="shared" si="246"/>
        <v>1</v>
      </c>
      <c r="N398" s="1060">
        <f t="shared" si="247"/>
        <v>0</v>
      </c>
      <c r="O398" s="1060">
        <f t="shared" si="248"/>
        <v>0</v>
      </c>
      <c r="P398" s="1060">
        <f t="shared" si="249"/>
        <v>0</v>
      </c>
    </row>
    <row r="399" spans="1:18" x14ac:dyDescent="0.25">
      <c r="A399" s="1034">
        <v>857</v>
      </c>
      <c r="B399" s="1034">
        <f t="shared" si="237"/>
        <v>4</v>
      </c>
      <c r="C399" s="1034" t="str">
        <f t="shared" si="238"/>
        <v>Ufik Husaini</v>
      </c>
      <c r="D399" s="1035" t="str">
        <f t="shared" si="239"/>
        <v>MPI-S2</v>
      </c>
      <c r="E399" s="1036">
        <f t="shared" si="240"/>
        <v>2015</v>
      </c>
      <c r="F399" s="1035" t="str">
        <f t="shared" si="241"/>
        <v>DROP OUT</v>
      </c>
      <c r="G399" s="1036">
        <f t="shared" si="242"/>
        <v>849115004</v>
      </c>
      <c r="H399" s="1038">
        <f t="shared" si="243"/>
        <v>0</v>
      </c>
      <c r="I399" s="1038">
        <f t="shared" si="244"/>
        <v>0</v>
      </c>
      <c r="J399" s="1038">
        <f t="shared" si="245"/>
        <v>0</v>
      </c>
      <c r="L399" s="1060">
        <f t="shared" si="212"/>
        <v>0</v>
      </c>
      <c r="M399" s="1060">
        <f t="shared" si="246"/>
        <v>0</v>
      </c>
      <c r="N399" s="1060">
        <f t="shared" si="247"/>
        <v>0</v>
      </c>
      <c r="O399" s="1060">
        <f t="shared" si="248"/>
        <v>1</v>
      </c>
      <c r="P399" s="1060">
        <f t="shared" si="249"/>
        <v>0</v>
      </c>
    </row>
    <row r="400" spans="1:18" x14ac:dyDescent="0.25">
      <c r="A400" s="1034">
        <v>858</v>
      </c>
      <c r="B400" s="1034">
        <f t="shared" si="237"/>
        <v>5</v>
      </c>
      <c r="C400" s="1034" t="str">
        <f t="shared" si="238"/>
        <v>Imro'atus Sholihah</v>
      </c>
      <c r="D400" s="1035" t="str">
        <f t="shared" si="239"/>
        <v>MPI-S2</v>
      </c>
      <c r="E400" s="1036">
        <f t="shared" si="240"/>
        <v>2015</v>
      </c>
      <c r="F400" s="1035" t="str">
        <f t="shared" si="241"/>
        <v>LULUS</v>
      </c>
      <c r="G400" s="1036">
        <f t="shared" si="242"/>
        <v>849115005</v>
      </c>
      <c r="H400" s="1038">
        <f t="shared" si="243"/>
        <v>0</v>
      </c>
      <c r="I400" s="1038">
        <f t="shared" si="244"/>
        <v>0</v>
      </c>
      <c r="J400" s="1038">
        <f t="shared" si="245"/>
        <v>0</v>
      </c>
      <c r="L400" s="1060">
        <f t="shared" si="212"/>
        <v>0</v>
      </c>
      <c r="M400" s="1060">
        <f t="shared" si="246"/>
        <v>1</v>
      </c>
      <c r="N400" s="1060">
        <f t="shared" si="247"/>
        <v>0</v>
      </c>
      <c r="O400" s="1060">
        <f t="shared" si="248"/>
        <v>0</v>
      </c>
      <c r="P400" s="1060">
        <f t="shared" si="249"/>
        <v>0</v>
      </c>
    </row>
    <row r="401" spans="1:16" x14ac:dyDescent="0.25">
      <c r="A401" s="1034">
        <v>859</v>
      </c>
      <c r="B401" s="1034">
        <f t="shared" si="237"/>
        <v>6</v>
      </c>
      <c r="C401" s="1034" t="str">
        <f t="shared" si="238"/>
        <v>Nurul Hasanah</v>
      </c>
      <c r="D401" s="1035" t="str">
        <f t="shared" si="239"/>
        <v>MPI-S2</v>
      </c>
      <c r="E401" s="1036">
        <f t="shared" si="240"/>
        <v>2015</v>
      </c>
      <c r="F401" s="1035" t="str">
        <f t="shared" si="241"/>
        <v>LULUS</v>
      </c>
      <c r="G401" s="1036">
        <f t="shared" si="242"/>
        <v>849115006</v>
      </c>
      <c r="H401" s="1038">
        <f t="shared" si="243"/>
        <v>0</v>
      </c>
      <c r="I401" s="1038">
        <f t="shared" si="244"/>
        <v>0</v>
      </c>
      <c r="J401" s="1038">
        <f t="shared" si="245"/>
        <v>0</v>
      </c>
      <c r="L401" s="1060">
        <f t="shared" si="212"/>
        <v>0</v>
      </c>
      <c r="M401" s="1060">
        <f t="shared" si="246"/>
        <v>1</v>
      </c>
      <c r="N401" s="1060">
        <f t="shared" si="247"/>
        <v>0</v>
      </c>
      <c r="O401" s="1060">
        <f t="shared" si="248"/>
        <v>0</v>
      </c>
      <c r="P401" s="1060">
        <f t="shared" si="249"/>
        <v>0</v>
      </c>
    </row>
    <row r="402" spans="1:16" x14ac:dyDescent="0.25">
      <c r="A402" s="1034">
        <v>860</v>
      </c>
      <c r="B402" s="1034">
        <f t="shared" si="237"/>
        <v>7</v>
      </c>
      <c r="C402" s="1034" t="str">
        <f t="shared" si="238"/>
        <v>Zainul Arifin</v>
      </c>
      <c r="D402" s="1035" t="str">
        <f t="shared" si="239"/>
        <v>MPI-S2</v>
      </c>
      <c r="E402" s="1036">
        <f t="shared" si="240"/>
        <v>2015</v>
      </c>
      <c r="F402" s="1035" t="str">
        <f t="shared" si="241"/>
        <v>LULUS</v>
      </c>
      <c r="G402" s="1036">
        <f t="shared" si="242"/>
        <v>849115007</v>
      </c>
      <c r="H402" s="1038">
        <f t="shared" si="243"/>
        <v>0</v>
      </c>
      <c r="I402" s="1038">
        <f t="shared" si="244"/>
        <v>0</v>
      </c>
      <c r="J402" s="1038">
        <f t="shared" si="245"/>
        <v>0</v>
      </c>
      <c r="L402" s="1060">
        <f t="shared" si="212"/>
        <v>0</v>
      </c>
      <c r="M402" s="1060">
        <f t="shared" si="246"/>
        <v>1</v>
      </c>
      <c r="N402" s="1060">
        <f t="shared" si="247"/>
        <v>0</v>
      </c>
      <c r="O402" s="1060">
        <f t="shared" si="248"/>
        <v>0</v>
      </c>
      <c r="P402" s="1060">
        <f t="shared" si="249"/>
        <v>0</v>
      </c>
    </row>
    <row r="403" spans="1:16" x14ac:dyDescent="0.25">
      <c r="A403" s="1034">
        <v>861</v>
      </c>
      <c r="B403" s="1034">
        <f t="shared" si="237"/>
        <v>8</v>
      </c>
      <c r="C403" s="1034" t="str">
        <f t="shared" si="238"/>
        <v>Muhammad Izza Fawaid Dardiri</v>
      </c>
      <c r="D403" s="1035" t="str">
        <f t="shared" si="239"/>
        <v>MPI-S2</v>
      </c>
      <c r="E403" s="1036">
        <f t="shared" si="240"/>
        <v>2015</v>
      </c>
      <c r="F403" s="1035" t="str">
        <f t="shared" si="241"/>
        <v>LULUS</v>
      </c>
      <c r="G403" s="1036">
        <f t="shared" si="242"/>
        <v>849115008</v>
      </c>
      <c r="H403" s="1038">
        <f t="shared" si="243"/>
        <v>0</v>
      </c>
      <c r="I403" s="1038">
        <f t="shared" si="244"/>
        <v>0</v>
      </c>
      <c r="J403" s="1038">
        <f t="shared" si="245"/>
        <v>0</v>
      </c>
      <c r="L403" s="1060">
        <f t="shared" si="212"/>
        <v>0</v>
      </c>
      <c r="M403" s="1060">
        <f t="shared" si="246"/>
        <v>1</v>
      </c>
      <c r="N403" s="1060">
        <f t="shared" si="247"/>
        <v>0</v>
      </c>
      <c r="O403" s="1060">
        <f t="shared" si="248"/>
        <v>0</v>
      </c>
      <c r="P403" s="1060">
        <f t="shared" si="249"/>
        <v>0</v>
      </c>
    </row>
    <row r="404" spans="1:16" x14ac:dyDescent="0.25">
      <c r="A404" s="1034">
        <v>862</v>
      </c>
      <c r="B404" s="1034">
        <f t="shared" si="237"/>
        <v>9</v>
      </c>
      <c r="C404" s="1034" t="str">
        <f t="shared" si="238"/>
        <v>Zainur Rahman</v>
      </c>
      <c r="D404" s="1035" t="str">
        <f t="shared" si="239"/>
        <v>MPI-S2</v>
      </c>
      <c r="E404" s="1036">
        <f t="shared" si="240"/>
        <v>2015</v>
      </c>
      <c r="F404" s="1035" t="str">
        <f t="shared" si="241"/>
        <v>LULUS</v>
      </c>
      <c r="G404" s="1036">
        <f t="shared" si="242"/>
        <v>849115024</v>
      </c>
      <c r="H404" s="1038">
        <f t="shared" si="243"/>
        <v>0</v>
      </c>
      <c r="I404" s="1038">
        <f t="shared" si="244"/>
        <v>0</v>
      </c>
      <c r="J404" s="1038">
        <f t="shared" si="245"/>
        <v>0</v>
      </c>
      <c r="L404" s="1060">
        <f t="shared" ref="L404:L475" si="250">IF(F404="AKTIF",1,0)</f>
        <v>0</v>
      </c>
      <c r="M404" s="1060">
        <f t="shared" si="246"/>
        <v>1</v>
      </c>
      <c r="N404" s="1060">
        <f t="shared" si="247"/>
        <v>0</v>
      </c>
      <c r="O404" s="1060">
        <f t="shared" si="248"/>
        <v>0</v>
      </c>
      <c r="P404" s="1060">
        <f t="shared" si="249"/>
        <v>0</v>
      </c>
    </row>
    <row r="405" spans="1:16" x14ac:dyDescent="0.25">
      <c r="A405" s="1034">
        <v>863</v>
      </c>
      <c r="B405" s="1034">
        <f t="shared" si="237"/>
        <v>10</v>
      </c>
      <c r="C405" s="1034" t="str">
        <f t="shared" si="238"/>
        <v>Nurul Huda</v>
      </c>
      <c r="D405" s="1035" t="str">
        <f t="shared" si="239"/>
        <v>MPI-S2</v>
      </c>
      <c r="E405" s="1036">
        <f t="shared" si="240"/>
        <v>2015</v>
      </c>
      <c r="F405" s="1035" t="str">
        <f t="shared" si="241"/>
        <v>LULUS</v>
      </c>
      <c r="G405" s="1036">
        <f t="shared" si="242"/>
        <v>849115018</v>
      </c>
      <c r="H405" s="1038">
        <f t="shared" si="243"/>
        <v>0</v>
      </c>
      <c r="I405" s="1038">
        <f t="shared" si="244"/>
        <v>0</v>
      </c>
      <c r="J405" s="1038">
        <f t="shared" si="245"/>
        <v>0</v>
      </c>
      <c r="L405" s="1060">
        <f t="shared" si="250"/>
        <v>0</v>
      </c>
      <c r="M405" s="1060">
        <f t="shared" si="246"/>
        <v>1</v>
      </c>
      <c r="N405" s="1060">
        <f t="shared" si="247"/>
        <v>0</v>
      </c>
      <c r="O405" s="1060">
        <f t="shared" si="248"/>
        <v>0</v>
      </c>
      <c r="P405" s="1060">
        <f t="shared" si="249"/>
        <v>0</v>
      </c>
    </row>
    <row r="406" spans="1:16" x14ac:dyDescent="0.25">
      <c r="A406" s="1034">
        <v>864</v>
      </c>
      <c r="B406" s="1034">
        <f t="shared" si="237"/>
        <v>11</v>
      </c>
      <c r="C406" s="1034" t="str">
        <f t="shared" si="238"/>
        <v>Eko Sukmawanto</v>
      </c>
      <c r="D406" s="1035" t="str">
        <f t="shared" si="239"/>
        <v>MPI-S2</v>
      </c>
      <c r="E406" s="1036">
        <f t="shared" si="240"/>
        <v>2015</v>
      </c>
      <c r="F406" s="1035" t="str">
        <f t="shared" si="241"/>
        <v>LULUS</v>
      </c>
      <c r="G406" s="1036">
        <f t="shared" si="242"/>
        <v>849115009</v>
      </c>
      <c r="H406" s="1038">
        <f t="shared" si="243"/>
        <v>0</v>
      </c>
      <c r="I406" s="1038">
        <f t="shared" si="244"/>
        <v>0</v>
      </c>
      <c r="J406" s="1038">
        <f t="shared" si="245"/>
        <v>0</v>
      </c>
      <c r="L406" s="1060">
        <f t="shared" si="250"/>
        <v>0</v>
      </c>
      <c r="M406" s="1060">
        <f t="shared" si="246"/>
        <v>1</v>
      </c>
      <c r="N406" s="1060">
        <f t="shared" si="247"/>
        <v>0</v>
      </c>
      <c r="O406" s="1060">
        <f t="shared" si="248"/>
        <v>0</v>
      </c>
      <c r="P406" s="1060">
        <f t="shared" si="249"/>
        <v>0</v>
      </c>
    </row>
    <row r="407" spans="1:16" x14ac:dyDescent="0.25">
      <c r="A407" s="1034">
        <v>865</v>
      </c>
      <c r="B407" s="1034">
        <f t="shared" si="237"/>
        <v>12</v>
      </c>
      <c r="C407" s="1034" t="str">
        <f t="shared" si="238"/>
        <v>Mohammad Nasihuddin</v>
      </c>
      <c r="D407" s="1035" t="str">
        <f t="shared" si="239"/>
        <v>MPI-S2</v>
      </c>
      <c r="E407" s="1036">
        <f t="shared" si="240"/>
        <v>2015</v>
      </c>
      <c r="F407" s="1035" t="str">
        <f t="shared" si="241"/>
        <v>LULUS</v>
      </c>
      <c r="G407" s="1036">
        <f t="shared" si="242"/>
        <v>849115021</v>
      </c>
      <c r="H407" s="1038">
        <f t="shared" si="243"/>
        <v>0</v>
      </c>
      <c r="I407" s="1038">
        <f t="shared" si="244"/>
        <v>0</v>
      </c>
      <c r="J407" s="1038">
        <f t="shared" si="245"/>
        <v>0</v>
      </c>
      <c r="L407" s="1060">
        <f t="shared" si="250"/>
        <v>0</v>
      </c>
      <c r="M407" s="1060">
        <f t="shared" si="246"/>
        <v>1</v>
      </c>
      <c r="N407" s="1060">
        <f t="shared" si="247"/>
        <v>0</v>
      </c>
      <c r="O407" s="1060">
        <f t="shared" si="248"/>
        <v>0</v>
      </c>
      <c r="P407" s="1060">
        <f t="shared" si="249"/>
        <v>0</v>
      </c>
    </row>
    <row r="408" spans="1:16" x14ac:dyDescent="0.25">
      <c r="A408" s="1034">
        <v>866</v>
      </c>
      <c r="B408" s="1034">
        <f t="shared" si="237"/>
        <v>13</v>
      </c>
      <c r="C408" s="1034" t="str">
        <f t="shared" si="238"/>
        <v>Nur Kholis</v>
      </c>
      <c r="D408" s="1035" t="str">
        <f t="shared" si="239"/>
        <v>MPI-S2</v>
      </c>
      <c r="E408" s="1036">
        <f t="shared" si="240"/>
        <v>2015</v>
      </c>
      <c r="F408" s="1035" t="str">
        <f t="shared" si="241"/>
        <v>DROP OUT</v>
      </c>
      <c r="G408" s="1036">
        <f t="shared" si="242"/>
        <v>849115022</v>
      </c>
      <c r="H408" s="1038">
        <f t="shared" si="243"/>
        <v>0</v>
      </c>
      <c r="I408" s="1038">
        <f t="shared" si="244"/>
        <v>0</v>
      </c>
      <c r="J408" s="1038">
        <f t="shared" si="245"/>
        <v>0</v>
      </c>
      <c r="L408" s="1060">
        <f t="shared" si="250"/>
        <v>0</v>
      </c>
      <c r="M408" s="1060">
        <f t="shared" si="246"/>
        <v>0</v>
      </c>
      <c r="N408" s="1060">
        <f t="shared" si="247"/>
        <v>0</v>
      </c>
      <c r="O408" s="1060">
        <f t="shared" si="248"/>
        <v>1</v>
      </c>
      <c r="P408" s="1060">
        <f t="shared" si="249"/>
        <v>0</v>
      </c>
    </row>
    <row r="409" spans="1:16" x14ac:dyDescent="0.25">
      <c r="A409" s="1034">
        <v>867</v>
      </c>
      <c r="B409" s="1034">
        <f t="shared" si="237"/>
        <v>14</v>
      </c>
      <c r="C409" s="1034" t="str">
        <f t="shared" si="238"/>
        <v>Aida Lutfiah</v>
      </c>
      <c r="D409" s="1035" t="str">
        <f t="shared" si="239"/>
        <v>MPI-S2</v>
      </c>
      <c r="E409" s="1036">
        <f t="shared" si="240"/>
        <v>2015</v>
      </c>
      <c r="F409" s="1035" t="str">
        <f t="shared" si="241"/>
        <v>LULUS</v>
      </c>
      <c r="G409" s="1036">
        <f t="shared" si="242"/>
        <v>849115010</v>
      </c>
      <c r="H409" s="1038">
        <f t="shared" si="243"/>
        <v>0</v>
      </c>
      <c r="I409" s="1038">
        <f t="shared" si="244"/>
        <v>0</v>
      </c>
      <c r="J409" s="1038">
        <f t="shared" si="245"/>
        <v>0</v>
      </c>
      <c r="L409" s="1060">
        <f t="shared" si="250"/>
        <v>0</v>
      </c>
      <c r="M409" s="1060">
        <f t="shared" si="246"/>
        <v>1</v>
      </c>
      <c r="N409" s="1060">
        <f t="shared" si="247"/>
        <v>0</v>
      </c>
      <c r="O409" s="1060">
        <f t="shared" si="248"/>
        <v>0</v>
      </c>
      <c r="P409" s="1060">
        <f t="shared" si="249"/>
        <v>0</v>
      </c>
    </row>
    <row r="410" spans="1:16" x14ac:dyDescent="0.25">
      <c r="A410" s="1034">
        <v>868</v>
      </c>
      <c r="B410" s="1034">
        <f t="shared" si="237"/>
        <v>15</v>
      </c>
      <c r="C410" s="1034" t="str">
        <f t="shared" si="238"/>
        <v>M. Syafiul Anam</v>
      </c>
      <c r="D410" s="1035" t="str">
        <f t="shared" si="239"/>
        <v>MPI-S2</v>
      </c>
      <c r="E410" s="1036">
        <f t="shared" si="240"/>
        <v>2015</v>
      </c>
      <c r="F410" s="1035" t="str">
        <f t="shared" si="241"/>
        <v>DROP OUT</v>
      </c>
      <c r="G410" s="1036">
        <f t="shared" si="242"/>
        <v>849115011</v>
      </c>
      <c r="H410" s="1038">
        <f t="shared" si="243"/>
        <v>0</v>
      </c>
      <c r="I410" s="1038">
        <f t="shared" si="244"/>
        <v>0</v>
      </c>
      <c r="J410" s="1038">
        <f t="shared" si="245"/>
        <v>0</v>
      </c>
      <c r="L410" s="1060">
        <f t="shared" si="250"/>
        <v>0</v>
      </c>
      <c r="M410" s="1060">
        <f t="shared" si="246"/>
        <v>0</v>
      </c>
      <c r="N410" s="1060">
        <f t="shared" si="247"/>
        <v>0</v>
      </c>
      <c r="O410" s="1060">
        <f t="shared" si="248"/>
        <v>1</v>
      </c>
      <c r="P410" s="1060">
        <f t="shared" si="249"/>
        <v>0</v>
      </c>
    </row>
    <row r="411" spans="1:16" x14ac:dyDescent="0.25">
      <c r="A411" s="1034">
        <v>869</v>
      </c>
      <c r="B411" s="1034">
        <f t="shared" si="237"/>
        <v>16</v>
      </c>
      <c r="C411" s="1034" t="str">
        <f t="shared" si="238"/>
        <v>Kunti Suroya</v>
      </c>
      <c r="D411" s="1035" t="str">
        <f t="shared" si="239"/>
        <v>MPI-S2</v>
      </c>
      <c r="E411" s="1036">
        <f t="shared" si="240"/>
        <v>2015</v>
      </c>
      <c r="F411" s="1035" t="str">
        <f t="shared" si="241"/>
        <v>DROP OUT</v>
      </c>
      <c r="G411" s="1036">
        <f t="shared" si="242"/>
        <v>849115012</v>
      </c>
      <c r="H411" s="1038">
        <f t="shared" si="243"/>
        <v>0</v>
      </c>
      <c r="I411" s="1038">
        <f t="shared" si="244"/>
        <v>0</v>
      </c>
      <c r="J411" s="1038">
        <f t="shared" si="245"/>
        <v>0</v>
      </c>
      <c r="L411" s="1060">
        <f t="shared" si="250"/>
        <v>0</v>
      </c>
      <c r="M411" s="1060">
        <f t="shared" si="246"/>
        <v>0</v>
      </c>
      <c r="N411" s="1060">
        <f t="shared" si="247"/>
        <v>0</v>
      </c>
      <c r="O411" s="1060">
        <f t="shared" si="248"/>
        <v>1</v>
      </c>
      <c r="P411" s="1060">
        <f t="shared" si="249"/>
        <v>0</v>
      </c>
    </row>
    <row r="412" spans="1:16" x14ac:dyDescent="0.25">
      <c r="A412" s="1034">
        <v>870</v>
      </c>
      <c r="B412" s="1034">
        <f t="shared" si="237"/>
        <v>17</v>
      </c>
      <c r="C412" s="1034" t="str">
        <f t="shared" si="238"/>
        <v>Syahroni Romadhon</v>
      </c>
      <c r="D412" s="1035" t="str">
        <f t="shared" si="239"/>
        <v>MPI-S2</v>
      </c>
      <c r="E412" s="1036">
        <f t="shared" si="240"/>
        <v>2015</v>
      </c>
      <c r="F412" s="1035" t="str">
        <f t="shared" si="241"/>
        <v>DROP OUT</v>
      </c>
      <c r="G412" s="1036">
        <f t="shared" si="242"/>
        <v>849115013</v>
      </c>
      <c r="H412" s="1038">
        <f t="shared" si="243"/>
        <v>0</v>
      </c>
      <c r="I412" s="1038">
        <f t="shared" si="244"/>
        <v>0</v>
      </c>
      <c r="J412" s="1038">
        <f t="shared" si="245"/>
        <v>0</v>
      </c>
      <c r="L412" s="1060">
        <f t="shared" si="250"/>
        <v>0</v>
      </c>
      <c r="M412" s="1060">
        <f t="shared" si="246"/>
        <v>0</v>
      </c>
      <c r="N412" s="1060">
        <f t="shared" si="247"/>
        <v>0</v>
      </c>
      <c r="O412" s="1060">
        <f t="shared" si="248"/>
        <v>1</v>
      </c>
      <c r="P412" s="1060">
        <f t="shared" si="249"/>
        <v>0</v>
      </c>
    </row>
    <row r="413" spans="1:16" x14ac:dyDescent="0.25">
      <c r="A413" s="1034">
        <v>871</v>
      </c>
      <c r="B413" s="1034">
        <f t="shared" si="237"/>
        <v>18</v>
      </c>
      <c r="C413" s="1034" t="str">
        <f t="shared" si="238"/>
        <v>Efa Ifda Rofaillah</v>
      </c>
      <c r="D413" s="1035" t="str">
        <f t="shared" si="239"/>
        <v>MPI-S2</v>
      </c>
      <c r="E413" s="1036">
        <f t="shared" si="240"/>
        <v>2015</v>
      </c>
      <c r="F413" s="1035" t="str">
        <f t="shared" si="241"/>
        <v>LULUS</v>
      </c>
      <c r="G413" s="1036">
        <f t="shared" si="242"/>
        <v>849115014</v>
      </c>
      <c r="H413" s="1038">
        <f t="shared" si="243"/>
        <v>0</v>
      </c>
      <c r="I413" s="1038">
        <f t="shared" si="244"/>
        <v>0</v>
      </c>
      <c r="J413" s="1038">
        <f t="shared" si="245"/>
        <v>0</v>
      </c>
      <c r="L413" s="1060">
        <f t="shared" si="250"/>
        <v>0</v>
      </c>
      <c r="M413" s="1060">
        <f t="shared" si="246"/>
        <v>1</v>
      </c>
      <c r="N413" s="1060">
        <f t="shared" si="247"/>
        <v>0</v>
      </c>
      <c r="O413" s="1060">
        <f t="shared" si="248"/>
        <v>0</v>
      </c>
      <c r="P413" s="1060">
        <f t="shared" si="249"/>
        <v>0</v>
      </c>
    </row>
    <row r="414" spans="1:16" x14ac:dyDescent="0.25">
      <c r="A414" s="1034">
        <v>872</v>
      </c>
      <c r="B414" s="1034">
        <f t="shared" si="237"/>
        <v>19</v>
      </c>
      <c r="C414" s="1034" t="str">
        <f t="shared" si="238"/>
        <v>Hendro Hariyanto</v>
      </c>
      <c r="D414" s="1035" t="str">
        <f t="shared" si="239"/>
        <v>MPI-S2</v>
      </c>
      <c r="E414" s="1036">
        <f t="shared" si="240"/>
        <v>2015</v>
      </c>
      <c r="F414" s="1035" t="str">
        <f t="shared" si="241"/>
        <v>LULUS</v>
      </c>
      <c r="G414" s="1036">
        <f t="shared" si="242"/>
        <v>849115015</v>
      </c>
      <c r="H414" s="1038">
        <f t="shared" si="243"/>
        <v>0</v>
      </c>
      <c r="I414" s="1038">
        <f t="shared" si="244"/>
        <v>0</v>
      </c>
      <c r="J414" s="1038">
        <f t="shared" si="245"/>
        <v>0</v>
      </c>
      <c r="L414" s="1060">
        <f t="shared" si="250"/>
        <v>0</v>
      </c>
      <c r="M414" s="1060">
        <f t="shared" si="246"/>
        <v>1</v>
      </c>
      <c r="N414" s="1060">
        <f t="shared" si="247"/>
        <v>0</v>
      </c>
      <c r="O414" s="1060">
        <f t="shared" si="248"/>
        <v>0</v>
      </c>
      <c r="P414" s="1060">
        <f t="shared" si="249"/>
        <v>0</v>
      </c>
    </row>
    <row r="415" spans="1:16" x14ac:dyDescent="0.25">
      <c r="A415" s="1034">
        <v>873</v>
      </c>
      <c r="B415" s="1034">
        <f t="shared" si="237"/>
        <v>20</v>
      </c>
      <c r="C415" s="1034" t="str">
        <f t="shared" si="238"/>
        <v>Mustofa Efendi</v>
      </c>
      <c r="D415" s="1035" t="str">
        <f t="shared" si="239"/>
        <v>MPI-S2</v>
      </c>
      <c r="E415" s="1036">
        <f t="shared" si="240"/>
        <v>2015</v>
      </c>
      <c r="F415" s="1035" t="str">
        <f t="shared" si="241"/>
        <v>DROP OUT</v>
      </c>
      <c r="G415" s="1036">
        <f t="shared" si="242"/>
        <v>849115016</v>
      </c>
      <c r="H415" s="1038">
        <f t="shared" si="243"/>
        <v>0</v>
      </c>
      <c r="I415" s="1038">
        <f t="shared" si="244"/>
        <v>0</v>
      </c>
      <c r="J415" s="1038">
        <f t="shared" si="245"/>
        <v>0</v>
      </c>
      <c r="L415" s="1060">
        <f t="shared" si="250"/>
        <v>0</v>
      </c>
      <c r="M415" s="1060">
        <f t="shared" si="246"/>
        <v>0</v>
      </c>
      <c r="N415" s="1060">
        <f t="shared" si="247"/>
        <v>0</v>
      </c>
      <c r="O415" s="1060">
        <f t="shared" si="248"/>
        <v>1</v>
      </c>
      <c r="P415" s="1060">
        <f t="shared" si="249"/>
        <v>0</v>
      </c>
    </row>
    <row r="416" spans="1:16" x14ac:dyDescent="0.25">
      <c r="A416" s="1034">
        <v>874</v>
      </c>
      <c r="B416" s="1034">
        <f t="shared" si="237"/>
        <v>21</v>
      </c>
      <c r="C416" s="1034" t="str">
        <f t="shared" si="238"/>
        <v>Najmi Faza</v>
      </c>
      <c r="D416" s="1035" t="str">
        <f t="shared" si="239"/>
        <v>MPI-S2</v>
      </c>
      <c r="E416" s="1036">
        <f t="shared" si="240"/>
        <v>2015</v>
      </c>
      <c r="F416" s="1035" t="str">
        <f t="shared" si="241"/>
        <v>LULUS</v>
      </c>
      <c r="G416" s="1036">
        <f t="shared" si="242"/>
        <v>849115017</v>
      </c>
      <c r="H416" s="1038">
        <f t="shared" si="243"/>
        <v>0</v>
      </c>
      <c r="I416" s="1038">
        <f t="shared" si="244"/>
        <v>0</v>
      </c>
      <c r="J416" s="1038">
        <f t="shared" si="245"/>
        <v>0</v>
      </c>
      <c r="L416" s="1060">
        <f t="shared" si="250"/>
        <v>0</v>
      </c>
      <c r="M416" s="1060">
        <f t="shared" si="246"/>
        <v>1</v>
      </c>
      <c r="N416" s="1060">
        <f t="shared" si="247"/>
        <v>0</v>
      </c>
      <c r="O416" s="1060">
        <f t="shared" si="248"/>
        <v>0</v>
      </c>
      <c r="P416" s="1060">
        <f t="shared" si="249"/>
        <v>0</v>
      </c>
    </row>
    <row r="417" spans="1:18" x14ac:dyDescent="0.25">
      <c r="A417" s="1034">
        <v>875</v>
      </c>
      <c r="B417" s="1034">
        <f t="shared" si="237"/>
        <v>22</v>
      </c>
      <c r="C417" s="1034" t="str">
        <f t="shared" si="238"/>
        <v>Ahmad Nadif</v>
      </c>
      <c r="D417" s="1035" t="str">
        <f t="shared" si="239"/>
        <v>MPI-S2</v>
      </c>
      <c r="E417" s="1036">
        <f t="shared" si="240"/>
        <v>2015</v>
      </c>
      <c r="F417" s="1035" t="str">
        <f t="shared" si="241"/>
        <v>LULUS</v>
      </c>
      <c r="G417" s="1036">
        <f t="shared" si="242"/>
        <v>849115019</v>
      </c>
      <c r="H417" s="1038">
        <f t="shared" si="243"/>
        <v>0</v>
      </c>
      <c r="I417" s="1038">
        <f t="shared" si="244"/>
        <v>0</v>
      </c>
      <c r="J417" s="1038">
        <f t="shared" si="245"/>
        <v>0</v>
      </c>
      <c r="L417" s="1060">
        <f t="shared" si="250"/>
        <v>0</v>
      </c>
      <c r="M417" s="1060">
        <f t="shared" si="246"/>
        <v>1</v>
      </c>
      <c r="N417" s="1060">
        <f t="shared" si="247"/>
        <v>0</v>
      </c>
      <c r="O417" s="1060">
        <f t="shared" si="248"/>
        <v>0</v>
      </c>
      <c r="P417" s="1060">
        <f t="shared" si="249"/>
        <v>0</v>
      </c>
      <c r="R417" s="1039"/>
    </row>
    <row r="418" spans="1:18" x14ac:dyDescent="0.25">
      <c r="A418" s="1034">
        <v>876</v>
      </c>
      <c r="B418" s="1034">
        <f t="shared" si="237"/>
        <v>23</v>
      </c>
      <c r="C418" s="1034" t="str">
        <f t="shared" si="238"/>
        <v>Elly Nuzulianti</v>
      </c>
      <c r="D418" s="1035" t="str">
        <f t="shared" si="239"/>
        <v>-</v>
      </c>
      <c r="E418" s="1036" t="str">
        <f t="shared" si="240"/>
        <v>-</v>
      </c>
      <c r="F418" s="1035" t="str">
        <f t="shared" si="241"/>
        <v>DROP OUT</v>
      </c>
      <c r="G418" s="1036">
        <f t="shared" si="242"/>
        <v>849115023</v>
      </c>
      <c r="H418" s="1038">
        <f t="shared" si="243"/>
        <v>0</v>
      </c>
      <c r="I418" s="1038">
        <f t="shared" si="244"/>
        <v>0</v>
      </c>
      <c r="J418" s="1038">
        <f t="shared" si="245"/>
        <v>0</v>
      </c>
      <c r="L418" s="1060">
        <f t="shared" si="250"/>
        <v>0</v>
      </c>
      <c r="M418" s="1060">
        <f t="shared" si="246"/>
        <v>0</v>
      </c>
      <c r="N418" s="1060">
        <f t="shared" si="247"/>
        <v>0</v>
      </c>
      <c r="O418" s="1060">
        <f t="shared" si="248"/>
        <v>1</v>
      </c>
      <c r="P418" s="1060">
        <f t="shared" si="249"/>
        <v>0</v>
      </c>
    </row>
    <row r="419" spans="1:18" x14ac:dyDescent="0.25">
      <c r="A419" s="1039"/>
      <c r="B419" s="1039"/>
      <c r="C419" s="1039"/>
      <c r="D419" s="1040"/>
      <c r="E419" s="1041"/>
      <c r="F419" s="1040"/>
      <c r="G419" s="1041"/>
      <c r="H419" s="1042"/>
      <c r="I419" s="1042"/>
      <c r="J419" s="1042"/>
      <c r="L419" s="1042"/>
      <c r="M419" s="1042"/>
      <c r="N419" s="1042"/>
      <c r="O419" s="1042"/>
      <c r="P419" s="1042"/>
    </row>
    <row r="420" spans="1:18" x14ac:dyDescent="0.25">
      <c r="A420" s="1043" t="str">
        <f>'Rekap SPP'!A943</f>
        <v xml:space="preserve">S2-ES 2015/2016 </v>
      </c>
      <c r="B420" s="1043"/>
      <c r="C420" s="1043"/>
      <c r="D420" s="1033" t="s">
        <v>3</v>
      </c>
      <c r="E420" s="1032" t="s">
        <v>4</v>
      </c>
      <c r="F420" s="1033" t="s">
        <v>3195</v>
      </c>
      <c r="G420" s="1032" t="s">
        <v>1</v>
      </c>
      <c r="H420" s="1033" t="s">
        <v>3341</v>
      </c>
      <c r="I420" s="1033" t="s">
        <v>3362</v>
      </c>
      <c r="J420" s="1062">
        <f>SUM(J421:J433)</f>
        <v>0</v>
      </c>
      <c r="L420" s="1063">
        <f>SUM(L421:L433)</f>
        <v>0</v>
      </c>
      <c r="M420" s="1063">
        <f>SUM(M421:M433)</f>
        <v>9</v>
      </c>
      <c r="N420" s="1063">
        <f>SUM(N421:N433)</f>
        <v>0</v>
      </c>
      <c r="O420" s="1063">
        <f>SUM(O421:O433)</f>
        <v>2</v>
      </c>
      <c r="P420" s="1063">
        <f>SUM(P421:P433)</f>
        <v>0</v>
      </c>
    </row>
    <row r="421" spans="1:18" x14ac:dyDescent="0.25">
      <c r="A421" s="1034">
        <v>877</v>
      </c>
      <c r="B421" s="1034">
        <f t="shared" si="237"/>
        <v>1</v>
      </c>
      <c r="C421" s="1034" t="str">
        <f t="shared" ref="C421:C433" si="251">IFERROR(VLOOKUP(A421,DB,4,FALSE),"")</f>
        <v>Putri Kamilatul Rohmi</v>
      </c>
      <c r="D421" s="1035" t="str">
        <f t="shared" ref="D421:D433" si="252">IFERROR(VLOOKUP(A421,DB,5,FALSE),"")</f>
        <v>ES</v>
      </c>
      <c r="E421" s="1036">
        <f t="shared" ref="E421:E433" si="253">IFERROR(VLOOKUP(A421,DB,6,FALSE),"")</f>
        <v>2015</v>
      </c>
      <c r="F421" s="1035" t="str">
        <f t="shared" ref="F421:F433" si="254">IFERROR(VLOOKUP(A421,DB,7,FALSE),"")</f>
        <v>LULUS</v>
      </c>
      <c r="G421" s="1036">
        <f t="shared" ref="G421:G433" si="255">IFERROR(VLOOKUP(A421,DB,3,FALSE),"")</f>
        <v>839215001</v>
      </c>
      <c r="H421" s="1038">
        <f t="shared" ref="H421:H433" si="256">IF(F421="AKTIF",3000000,IF(F421="CUTI",3000000,0))</f>
        <v>0</v>
      </c>
      <c r="I421" s="1038">
        <f t="shared" ref="I421:I433" si="257">IF(F421="AKTIF",3000000,IF(F421="CUTI",3000000,0))</f>
        <v>0</v>
      </c>
      <c r="J421" s="1038">
        <f t="shared" ref="J421:J433" si="258">I421+H421</f>
        <v>0</v>
      </c>
      <c r="L421" s="1060">
        <f t="shared" si="250"/>
        <v>0</v>
      </c>
      <c r="M421" s="1060">
        <f t="shared" ref="M421:M433" si="259">IF(F421="LULUS",1,0)</f>
        <v>1</v>
      </c>
      <c r="N421" s="1060">
        <f t="shared" ref="N421:N433" si="260">IF(F421="CUTI",1,0)</f>
        <v>0</v>
      </c>
      <c r="O421" s="1060">
        <f t="shared" ref="O421:O433" si="261">IF(F421="DROP OUT",1,0)</f>
        <v>0</v>
      </c>
      <c r="P421" s="1060">
        <f t="shared" ref="P421:P433" si="262">IF(F421="PASIF",1,0)</f>
        <v>0</v>
      </c>
    </row>
    <row r="422" spans="1:18" x14ac:dyDescent="0.25">
      <c r="A422" s="1034">
        <v>878</v>
      </c>
      <c r="B422" s="1034">
        <f t="shared" si="237"/>
        <v>2</v>
      </c>
      <c r="C422" s="1034" t="str">
        <f t="shared" si="251"/>
        <v>Ahmad Fathoni Musleh</v>
      </c>
      <c r="D422" s="1035" t="str">
        <f t="shared" si="252"/>
        <v>ES</v>
      </c>
      <c r="E422" s="1036">
        <f t="shared" si="253"/>
        <v>2015</v>
      </c>
      <c r="F422" s="1035" t="str">
        <f t="shared" si="254"/>
        <v>CEK</v>
      </c>
      <c r="G422" s="1036">
        <f t="shared" si="255"/>
        <v>839215002</v>
      </c>
      <c r="H422" s="1038">
        <f t="shared" si="256"/>
        <v>0</v>
      </c>
      <c r="I422" s="1038">
        <f t="shared" si="257"/>
        <v>0</v>
      </c>
      <c r="J422" s="1038">
        <f t="shared" si="258"/>
        <v>0</v>
      </c>
      <c r="L422" s="1060">
        <f t="shared" si="250"/>
        <v>0</v>
      </c>
      <c r="M422" s="1060">
        <f t="shared" si="259"/>
        <v>0</v>
      </c>
      <c r="N422" s="1060">
        <f t="shared" si="260"/>
        <v>0</v>
      </c>
      <c r="O422" s="1060">
        <f t="shared" si="261"/>
        <v>0</v>
      </c>
      <c r="P422" s="1060">
        <f t="shared" si="262"/>
        <v>0</v>
      </c>
    </row>
    <row r="423" spans="1:18" x14ac:dyDescent="0.25">
      <c r="A423" s="1034">
        <v>879</v>
      </c>
      <c r="B423" s="1034">
        <f t="shared" si="237"/>
        <v>3</v>
      </c>
      <c r="C423" s="1034" t="str">
        <f t="shared" si="251"/>
        <v>Azy Athoillah Yazid</v>
      </c>
      <c r="D423" s="1035" t="str">
        <f t="shared" si="252"/>
        <v>ES</v>
      </c>
      <c r="E423" s="1036">
        <f t="shared" si="253"/>
        <v>2015</v>
      </c>
      <c r="F423" s="1035" t="str">
        <f t="shared" si="254"/>
        <v>LULUS</v>
      </c>
      <c r="G423" s="1036">
        <f t="shared" si="255"/>
        <v>839215003</v>
      </c>
      <c r="H423" s="1038">
        <f t="shared" si="256"/>
        <v>0</v>
      </c>
      <c r="I423" s="1038">
        <f t="shared" si="257"/>
        <v>0</v>
      </c>
      <c r="J423" s="1038">
        <f t="shared" si="258"/>
        <v>0</v>
      </c>
      <c r="L423" s="1060">
        <f t="shared" si="250"/>
        <v>0</v>
      </c>
      <c r="M423" s="1060">
        <f t="shared" si="259"/>
        <v>1</v>
      </c>
      <c r="N423" s="1060">
        <f t="shared" si="260"/>
        <v>0</v>
      </c>
      <c r="O423" s="1060">
        <f t="shared" si="261"/>
        <v>0</v>
      </c>
      <c r="P423" s="1060">
        <f t="shared" si="262"/>
        <v>0</v>
      </c>
    </row>
    <row r="424" spans="1:18" x14ac:dyDescent="0.25">
      <c r="A424" s="1034">
        <v>880</v>
      </c>
      <c r="B424" s="1034">
        <f t="shared" si="237"/>
        <v>4</v>
      </c>
      <c r="C424" s="1034" t="str">
        <f t="shared" si="251"/>
        <v>Muhammad Syaifur Rijal</v>
      </c>
      <c r="D424" s="1035" t="str">
        <f t="shared" si="252"/>
        <v>ES</v>
      </c>
      <c r="E424" s="1036">
        <f t="shared" si="253"/>
        <v>2015</v>
      </c>
      <c r="F424" s="1035" t="str">
        <f t="shared" si="254"/>
        <v>LULUS</v>
      </c>
      <c r="G424" s="1036">
        <f t="shared" si="255"/>
        <v>839215004</v>
      </c>
      <c r="H424" s="1038">
        <f t="shared" si="256"/>
        <v>0</v>
      </c>
      <c r="I424" s="1038">
        <f t="shared" si="257"/>
        <v>0</v>
      </c>
      <c r="J424" s="1038">
        <f t="shared" si="258"/>
        <v>0</v>
      </c>
      <c r="L424" s="1060">
        <f t="shared" si="250"/>
        <v>0</v>
      </c>
      <c r="M424" s="1060">
        <f t="shared" si="259"/>
        <v>1</v>
      </c>
      <c r="N424" s="1060">
        <f t="shared" si="260"/>
        <v>0</v>
      </c>
      <c r="O424" s="1060">
        <f t="shared" si="261"/>
        <v>0</v>
      </c>
      <c r="P424" s="1060">
        <f t="shared" si="262"/>
        <v>0</v>
      </c>
    </row>
    <row r="425" spans="1:18" x14ac:dyDescent="0.25">
      <c r="A425" s="1034">
        <v>881</v>
      </c>
      <c r="B425" s="1034">
        <f t="shared" si="237"/>
        <v>5</v>
      </c>
      <c r="C425" s="1034" t="str">
        <f t="shared" si="251"/>
        <v>Hikmatul Hasanah</v>
      </c>
      <c r="D425" s="1035" t="str">
        <f t="shared" si="252"/>
        <v>ES</v>
      </c>
      <c r="E425" s="1036">
        <f t="shared" si="253"/>
        <v>2015</v>
      </c>
      <c r="F425" s="1035" t="str">
        <f t="shared" si="254"/>
        <v>LULUS</v>
      </c>
      <c r="G425" s="1036">
        <f t="shared" si="255"/>
        <v>839215005</v>
      </c>
      <c r="H425" s="1038">
        <f t="shared" si="256"/>
        <v>0</v>
      </c>
      <c r="I425" s="1038">
        <f t="shared" si="257"/>
        <v>0</v>
      </c>
      <c r="J425" s="1038">
        <f t="shared" si="258"/>
        <v>0</v>
      </c>
      <c r="L425" s="1060">
        <f t="shared" si="250"/>
        <v>0</v>
      </c>
      <c r="M425" s="1060">
        <f t="shared" si="259"/>
        <v>1</v>
      </c>
      <c r="N425" s="1060">
        <f t="shared" si="260"/>
        <v>0</v>
      </c>
      <c r="O425" s="1060">
        <f t="shared" si="261"/>
        <v>0</v>
      </c>
      <c r="P425" s="1060">
        <f t="shared" si="262"/>
        <v>0</v>
      </c>
    </row>
    <row r="426" spans="1:18" x14ac:dyDescent="0.25">
      <c r="A426" s="1034">
        <v>882</v>
      </c>
      <c r="B426" s="1034">
        <f t="shared" si="237"/>
        <v>6</v>
      </c>
      <c r="C426" s="1034" t="str">
        <f t="shared" si="251"/>
        <v>Laily Hidayati Rosyidi</v>
      </c>
      <c r="D426" s="1035" t="str">
        <f t="shared" si="252"/>
        <v>ES</v>
      </c>
      <c r="E426" s="1036">
        <f t="shared" si="253"/>
        <v>2015</v>
      </c>
      <c r="F426" s="1035" t="str">
        <f t="shared" si="254"/>
        <v>LULUS</v>
      </c>
      <c r="G426" s="1036">
        <f t="shared" si="255"/>
        <v>839215006</v>
      </c>
      <c r="H426" s="1038">
        <f t="shared" si="256"/>
        <v>0</v>
      </c>
      <c r="I426" s="1038">
        <f t="shared" si="257"/>
        <v>0</v>
      </c>
      <c r="J426" s="1038">
        <f t="shared" si="258"/>
        <v>0</v>
      </c>
      <c r="L426" s="1060">
        <f t="shared" si="250"/>
        <v>0</v>
      </c>
      <c r="M426" s="1060">
        <f t="shared" si="259"/>
        <v>1</v>
      </c>
      <c r="N426" s="1060">
        <f t="shared" si="260"/>
        <v>0</v>
      </c>
      <c r="O426" s="1060">
        <f t="shared" si="261"/>
        <v>0</v>
      </c>
      <c r="P426" s="1060">
        <f t="shared" si="262"/>
        <v>0</v>
      </c>
    </row>
    <row r="427" spans="1:18" x14ac:dyDescent="0.25">
      <c r="A427" s="1034">
        <v>883</v>
      </c>
      <c r="B427" s="1034">
        <f t="shared" si="237"/>
        <v>7</v>
      </c>
      <c r="C427" s="1034" t="str">
        <f t="shared" si="251"/>
        <v>Siti Nur Latifah</v>
      </c>
      <c r="D427" s="1035" t="str">
        <f t="shared" si="252"/>
        <v>ES</v>
      </c>
      <c r="E427" s="1036">
        <f t="shared" si="253"/>
        <v>2015</v>
      </c>
      <c r="F427" s="1035" t="str">
        <f t="shared" si="254"/>
        <v>LULUS</v>
      </c>
      <c r="G427" s="1036">
        <f t="shared" si="255"/>
        <v>839215007</v>
      </c>
      <c r="H427" s="1038">
        <f t="shared" si="256"/>
        <v>0</v>
      </c>
      <c r="I427" s="1038">
        <f t="shared" si="257"/>
        <v>0</v>
      </c>
      <c r="J427" s="1038">
        <f t="shared" si="258"/>
        <v>0</v>
      </c>
      <c r="L427" s="1060">
        <f t="shared" si="250"/>
        <v>0</v>
      </c>
      <c r="M427" s="1060">
        <f t="shared" si="259"/>
        <v>1</v>
      </c>
      <c r="N427" s="1060">
        <f t="shared" si="260"/>
        <v>0</v>
      </c>
      <c r="O427" s="1060">
        <f t="shared" si="261"/>
        <v>0</v>
      </c>
      <c r="P427" s="1060">
        <f t="shared" si="262"/>
        <v>0</v>
      </c>
    </row>
    <row r="428" spans="1:18" x14ac:dyDescent="0.25">
      <c r="A428" s="1034">
        <v>884</v>
      </c>
      <c r="B428" s="1034">
        <f t="shared" si="237"/>
        <v>8</v>
      </c>
      <c r="C428" s="1034" t="str">
        <f t="shared" si="251"/>
        <v>Muhammad Shalahuddin Al-Ayyuby</v>
      </c>
      <c r="D428" s="1035" t="str">
        <f t="shared" si="252"/>
        <v>ES</v>
      </c>
      <c r="E428" s="1036">
        <f t="shared" si="253"/>
        <v>2015</v>
      </c>
      <c r="F428" s="1035" t="str">
        <f t="shared" si="254"/>
        <v>CEK</v>
      </c>
      <c r="G428" s="1036">
        <f t="shared" si="255"/>
        <v>839215008</v>
      </c>
      <c r="H428" s="1038">
        <f t="shared" si="256"/>
        <v>0</v>
      </c>
      <c r="I428" s="1038">
        <f t="shared" si="257"/>
        <v>0</v>
      </c>
      <c r="J428" s="1038">
        <f t="shared" si="258"/>
        <v>0</v>
      </c>
      <c r="L428" s="1060">
        <f t="shared" si="250"/>
        <v>0</v>
      </c>
      <c r="M428" s="1060">
        <f t="shared" si="259"/>
        <v>0</v>
      </c>
      <c r="N428" s="1060">
        <f t="shared" si="260"/>
        <v>0</v>
      </c>
      <c r="O428" s="1060">
        <f t="shared" si="261"/>
        <v>0</v>
      </c>
      <c r="P428" s="1060">
        <f t="shared" si="262"/>
        <v>0</v>
      </c>
    </row>
    <row r="429" spans="1:18" x14ac:dyDescent="0.25">
      <c r="A429" s="1034">
        <v>885</v>
      </c>
      <c r="B429" s="1034">
        <f t="shared" si="237"/>
        <v>9</v>
      </c>
      <c r="C429" s="1034" t="str">
        <f t="shared" si="251"/>
        <v>Rusmini</v>
      </c>
      <c r="D429" s="1035" t="str">
        <f t="shared" si="252"/>
        <v>ES</v>
      </c>
      <c r="E429" s="1036">
        <f t="shared" si="253"/>
        <v>2015</v>
      </c>
      <c r="F429" s="1035" t="str">
        <f t="shared" si="254"/>
        <v>LULUS</v>
      </c>
      <c r="G429" s="1036">
        <f t="shared" si="255"/>
        <v>839215009</v>
      </c>
      <c r="H429" s="1038">
        <f t="shared" si="256"/>
        <v>0</v>
      </c>
      <c r="I429" s="1038">
        <f t="shared" si="257"/>
        <v>0</v>
      </c>
      <c r="J429" s="1038">
        <f t="shared" si="258"/>
        <v>0</v>
      </c>
      <c r="L429" s="1060">
        <f t="shared" si="250"/>
        <v>0</v>
      </c>
      <c r="M429" s="1060">
        <f t="shared" si="259"/>
        <v>1</v>
      </c>
      <c r="N429" s="1060">
        <f t="shared" si="260"/>
        <v>0</v>
      </c>
      <c r="O429" s="1060">
        <f t="shared" si="261"/>
        <v>0</v>
      </c>
      <c r="P429" s="1060">
        <f t="shared" si="262"/>
        <v>0</v>
      </c>
    </row>
    <row r="430" spans="1:18" x14ac:dyDescent="0.25">
      <c r="A430" s="1034">
        <v>886</v>
      </c>
      <c r="B430" s="1034">
        <f t="shared" si="237"/>
        <v>10</v>
      </c>
      <c r="C430" s="1034" t="str">
        <f t="shared" si="251"/>
        <v>Diah Rizki Pratiwi</v>
      </c>
      <c r="D430" s="1035" t="str">
        <f t="shared" si="252"/>
        <v>ES</v>
      </c>
      <c r="E430" s="1036">
        <f t="shared" si="253"/>
        <v>2015</v>
      </c>
      <c r="F430" s="1035" t="str">
        <f t="shared" si="254"/>
        <v>DROP OUT</v>
      </c>
      <c r="G430" s="1036">
        <f t="shared" si="255"/>
        <v>839215010</v>
      </c>
      <c r="H430" s="1038">
        <f t="shared" si="256"/>
        <v>0</v>
      </c>
      <c r="I430" s="1038">
        <f t="shared" si="257"/>
        <v>0</v>
      </c>
      <c r="J430" s="1038">
        <f t="shared" si="258"/>
        <v>0</v>
      </c>
      <c r="L430" s="1060">
        <f t="shared" si="250"/>
        <v>0</v>
      </c>
      <c r="M430" s="1060">
        <f t="shared" si="259"/>
        <v>0</v>
      </c>
      <c r="N430" s="1060">
        <f t="shared" si="260"/>
        <v>0</v>
      </c>
      <c r="O430" s="1060">
        <f t="shared" si="261"/>
        <v>1</v>
      </c>
      <c r="P430" s="1060">
        <f t="shared" si="262"/>
        <v>0</v>
      </c>
    </row>
    <row r="431" spans="1:18" x14ac:dyDescent="0.25">
      <c r="A431" s="1034">
        <v>887</v>
      </c>
      <c r="B431" s="1034">
        <f t="shared" si="237"/>
        <v>11</v>
      </c>
      <c r="C431" s="1034" t="str">
        <f t="shared" si="251"/>
        <v>Abdul Mun'im</v>
      </c>
      <c r="D431" s="1035" t="str">
        <f t="shared" si="252"/>
        <v>ES</v>
      </c>
      <c r="E431" s="1036">
        <f t="shared" si="253"/>
        <v>2015</v>
      </c>
      <c r="F431" s="1035" t="str">
        <f t="shared" si="254"/>
        <v>LULUS</v>
      </c>
      <c r="G431" s="1036">
        <f t="shared" si="255"/>
        <v>839215011</v>
      </c>
      <c r="H431" s="1038">
        <f t="shared" si="256"/>
        <v>0</v>
      </c>
      <c r="I431" s="1038">
        <f t="shared" si="257"/>
        <v>0</v>
      </c>
      <c r="J431" s="1038">
        <f t="shared" si="258"/>
        <v>0</v>
      </c>
      <c r="L431" s="1060">
        <f t="shared" si="250"/>
        <v>0</v>
      </c>
      <c r="M431" s="1060">
        <f t="shared" si="259"/>
        <v>1</v>
      </c>
      <c r="N431" s="1060">
        <f t="shared" si="260"/>
        <v>0</v>
      </c>
      <c r="O431" s="1060">
        <f t="shared" si="261"/>
        <v>0</v>
      </c>
      <c r="P431" s="1060">
        <f t="shared" si="262"/>
        <v>0</v>
      </c>
    </row>
    <row r="432" spans="1:18" x14ac:dyDescent="0.25">
      <c r="A432" s="1034">
        <v>888</v>
      </c>
      <c r="B432" s="1034">
        <f t="shared" si="237"/>
        <v>12</v>
      </c>
      <c r="C432" s="1034" t="str">
        <f t="shared" si="251"/>
        <v>Chairul Bhakti</v>
      </c>
      <c r="D432" s="1035" t="str">
        <f t="shared" si="252"/>
        <v>ES</v>
      </c>
      <c r="E432" s="1036">
        <f t="shared" si="253"/>
        <v>2015</v>
      </c>
      <c r="F432" s="1035" t="str">
        <f t="shared" si="254"/>
        <v>DROP OUT</v>
      </c>
      <c r="G432" s="1036">
        <f t="shared" si="255"/>
        <v>839215012</v>
      </c>
      <c r="H432" s="1038">
        <f t="shared" si="256"/>
        <v>0</v>
      </c>
      <c r="I432" s="1038">
        <f t="shared" si="257"/>
        <v>0</v>
      </c>
      <c r="J432" s="1038">
        <f t="shared" si="258"/>
        <v>0</v>
      </c>
      <c r="L432" s="1060">
        <f t="shared" si="250"/>
        <v>0</v>
      </c>
      <c r="M432" s="1060">
        <f t="shared" si="259"/>
        <v>0</v>
      </c>
      <c r="N432" s="1060">
        <f t="shared" si="260"/>
        <v>0</v>
      </c>
      <c r="O432" s="1060">
        <f t="shared" si="261"/>
        <v>1</v>
      </c>
      <c r="P432" s="1060">
        <f t="shared" si="262"/>
        <v>0</v>
      </c>
      <c r="R432" s="1039"/>
    </row>
    <row r="433" spans="1:16" x14ac:dyDescent="0.25">
      <c r="A433" s="1034">
        <v>889</v>
      </c>
      <c r="B433" s="1034">
        <f t="shared" si="237"/>
        <v>13</v>
      </c>
      <c r="C433" s="1034" t="str">
        <f t="shared" si="251"/>
        <v>Alfian Izzat El Rahman</v>
      </c>
      <c r="D433" s="1035" t="str">
        <f t="shared" si="252"/>
        <v>ES</v>
      </c>
      <c r="E433" s="1036">
        <f t="shared" si="253"/>
        <v>2015</v>
      </c>
      <c r="F433" s="1035" t="str">
        <f t="shared" si="254"/>
        <v>LULUS</v>
      </c>
      <c r="G433" s="1036">
        <f t="shared" si="255"/>
        <v>839215013</v>
      </c>
      <c r="H433" s="1038">
        <f t="shared" si="256"/>
        <v>0</v>
      </c>
      <c r="I433" s="1038">
        <f t="shared" si="257"/>
        <v>0</v>
      </c>
      <c r="J433" s="1038">
        <f t="shared" si="258"/>
        <v>0</v>
      </c>
      <c r="L433" s="1060">
        <f t="shared" si="250"/>
        <v>0</v>
      </c>
      <c r="M433" s="1060">
        <f t="shared" si="259"/>
        <v>1</v>
      </c>
      <c r="N433" s="1060">
        <f t="shared" si="260"/>
        <v>0</v>
      </c>
      <c r="O433" s="1060">
        <f t="shared" si="261"/>
        <v>0</v>
      </c>
      <c r="P433" s="1060">
        <f t="shared" si="262"/>
        <v>0</v>
      </c>
    </row>
    <row r="434" spans="1:16" x14ac:dyDescent="0.25">
      <c r="A434" s="1039"/>
      <c r="B434" s="1039"/>
      <c r="C434" s="1039"/>
      <c r="D434" s="1040"/>
      <c r="E434" s="1041"/>
      <c r="F434" s="1040"/>
      <c r="G434" s="1041"/>
      <c r="H434" s="1042"/>
      <c r="I434" s="1042"/>
      <c r="J434" s="1042"/>
      <c r="L434" s="1042"/>
      <c r="M434" s="1042"/>
      <c r="N434" s="1042"/>
      <c r="O434" s="1042"/>
      <c r="P434" s="1042"/>
    </row>
    <row r="435" spans="1:16" x14ac:dyDescent="0.25">
      <c r="A435" s="1043" t="str">
        <f>'Rekap SPP'!A958</f>
        <v>S2-HK 2015/2016</v>
      </c>
      <c r="B435" s="1043"/>
      <c r="C435" s="1043"/>
      <c r="D435" s="1033" t="s">
        <v>3</v>
      </c>
      <c r="E435" s="1032" t="s">
        <v>4</v>
      </c>
      <c r="F435" s="1033" t="s">
        <v>3195</v>
      </c>
      <c r="G435" s="1032" t="s">
        <v>1</v>
      </c>
      <c r="H435" s="1033" t="s">
        <v>3341</v>
      </c>
      <c r="I435" s="1033" t="s">
        <v>3362</v>
      </c>
      <c r="J435" s="1062">
        <f>SUM(J436:J449)</f>
        <v>0</v>
      </c>
      <c r="L435" s="1063">
        <f>SUM(L436:L449)</f>
        <v>0</v>
      </c>
      <c r="M435" s="1063">
        <f>SUM(M436:M449)</f>
        <v>12</v>
      </c>
      <c r="N435" s="1063">
        <f>SUM(N436:N449)</f>
        <v>0</v>
      </c>
      <c r="O435" s="1063">
        <f>SUM(O436:O449)</f>
        <v>2</v>
      </c>
      <c r="P435" s="1063">
        <f>SUM(P436:P449)</f>
        <v>0</v>
      </c>
    </row>
    <row r="436" spans="1:16" x14ac:dyDescent="0.25">
      <c r="A436" s="1034">
        <v>890</v>
      </c>
      <c r="B436" s="1034">
        <f t="shared" si="237"/>
        <v>1</v>
      </c>
      <c r="C436" s="1034" t="str">
        <f t="shared" ref="C436:C449" si="263">IFERROR(VLOOKUP(A436,DB,4,FALSE),"")</f>
        <v>Alfina Wildah</v>
      </c>
      <c r="D436" s="1035" t="str">
        <f t="shared" ref="D436:D449" si="264">IFERROR(VLOOKUP(A436,DB,5,FALSE),"")</f>
        <v>HK</v>
      </c>
      <c r="E436" s="1036">
        <f t="shared" ref="E436:E449" si="265">IFERROR(VLOOKUP(A436,DB,6,FALSE),"")</f>
        <v>2015</v>
      </c>
      <c r="F436" s="1035" t="str">
        <f t="shared" ref="F436:F449" si="266">IFERROR(VLOOKUP(A436,DB,7,FALSE),"")</f>
        <v>LULUS</v>
      </c>
      <c r="G436" s="1036">
        <f t="shared" ref="G436:G449" si="267">IFERROR(VLOOKUP(A436,DB,3,FALSE),"")</f>
        <v>839115001</v>
      </c>
      <c r="H436" s="1038">
        <f t="shared" ref="H436:H449" si="268">IF(F436="AKTIF",3000000,IF(F436="CUTI",3000000,0))</f>
        <v>0</v>
      </c>
      <c r="I436" s="1038">
        <f t="shared" ref="I436:I449" si="269">IF(F436="AKTIF",3000000,IF(F436="CUTI",3000000,0))</f>
        <v>0</v>
      </c>
      <c r="J436" s="1038">
        <f t="shared" ref="J436:J449" si="270">I436+H436</f>
        <v>0</v>
      </c>
      <c r="L436" s="1060">
        <f t="shared" si="250"/>
        <v>0</v>
      </c>
      <c r="M436" s="1060">
        <f t="shared" ref="M436:M449" si="271">IF(F436="LULUS",1,0)</f>
        <v>1</v>
      </c>
      <c r="N436" s="1060">
        <f t="shared" ref="N436:N449" si="272">IF(F436="CUTI",1,0)</f>
        <v>0</v>
      </c>
      <c r="O436" s="1060">
        <f t="shared" ref="O436:O449" si="273">IF(F436="DROP OUT",1,0)</f>
        <v>0</v>
      </c>
      <c r="P436" s="1060">
        <f t="shared" ref="P436:P449" si="274">IF(F436="PASIF",1,0)</f>
        <v>0</v>
      </c>
    </row>
    <row r="437" spans="1:16" x14ac:dyDescent="0.25">
      <c r="A437" s="1034">
        <v>891</v>
      </c>
      <c r="B437" s="1034">
        <f t="shared" si="237"/>
        <v>2</v>
      </c>
      <c r="C437" s="1034" t="str">
        <f t="shared" si="263"/>
        <v>Umar Faruq</v>
      </c>
      <c r="D437" s="1035" t="str">
        <f t="shared" si="264"/>
        <v>HK</v>
      </c>
      <c r="E437" s="1036">
        <f t="shared" si="265"/>
        <v>2015</v>
      </c>
      <c r="F437" s="1035" t="str">
        <f t="shared" si="266"/>
        <v>LULUS</v>
      </c>
      <c r="G437" s="1036">
        <f t="shared" si="267"/>
        <v>839115002</v>
      </c>
      <c r="H437" s="1038">
        <f t="shared" si="268"/>
        <v>0</v>
      </c>
      <c r="I437" s="1038">
        <f t="shared" si="269"/>
        <v>0</v>
      </c>
      <c r="J437" s="1038">
        <f t="shared" si="270"/>
        <v>0</v>
      </c>
      <c r="L437" s="1060">
        <f t="shared" si="250"/>
        <v>0</v>
      </c>
      <c r="M437" s="1060">
        <f t="shared" si="271"/>
        <v>1</v>
      </c>
      <c r="N437" s="1060">
        <f t="shared" si="272"/>
        <v>0</v>
      </c>
      <c r="O437" s="1060">
        <f t="shared" si="273"/>
        <v>0</v>
      </c>
      <c r="P437" s="1060">
        <f t="shared" si="274"/>
        <v>0</v>
      </c>
    </row>
    <row r="438" spans="1:16" x14ac:dyDescent="0.25">
      <c r="A438" s="1034">
        <v>892</v>
      </c>
      <c r="B438" s="1034">
        <f t="shared" si="237"/>
        <v>3</v>
      </c>
      <c r="C438" s="1034" t="str">
        <f t="shared" si="263"/>
        <v>Saiful Badri</v>
      </c>
      <c r="D438" s="1035" t="str">
        <f t="shared" si="264"/>
        <v>HK</v>
      </c>
      <c r="E438" s="1036">
        <f t="shared" si="265"/>
        <v>2015</v>
      </c>
      <c r="F438" s="1035" t="str">
        <f t="shared" si="266"/>
        <v>LULUS</v>
      </c>
      <c r="G438" s="1036">
        <f t="shared" si="267"/>
        <v>839115003</v>
      </c>
      <c r="H438" s="1038">
        <f t="shared" si="268"/>
        <v>0</v>
      </c>
      <c r="I438" s="1038">
        <f t="shared" si="269"/>
        <v>0</v>
      </c>
      <c r="J438" s="1038">
        <f t="shared" si="270"/>
        <v>0</v>
      </c>
      <c r="L438" s="1060">
        <f t="shared" si="250"/>
        <v>0</v>
      </c>
      <c r="M438" s="1060">
        <f t="shared" si="271"/>
        <v>1</v>
      </c>
      <c r="N438" s="1060">
        <f t="shared" si="272"/>
        <v>0</v>
      </c>
      <c r="O438" s="1060">
        <f t="shared" si="273"/>
        <v>0</v>
      </c>
      <c r="P438" s="1060">
        <f t="shared" si="274"/>
        <v>0</v>
      </c>
    </row>
    <row r="439" spans="1:16" x14ac:dyDescent="0.25">
      <c r="A439" s="1034">
        <v>893</v>
      </c>
      <c r="B439" s="1034">
        <f t="shared" si="237"/>
        <v>4</v>
      </c>
      <c r="C439" s="1034" t="str">
        <f t="shared" si="263"/>
        <v>Anwar Nuris</v>
      </c>
      <c r="D439" s="1035" t="str">
        <f t="shared" si="264"/>
        <v>HK</v>
      </c>
      <c r="E439" s="1036">
        <f t="shared" si="265"/>
        <v>2015</v>
      </c>
      <c r="F439" s="1035" t="str">
        <f t="shared" si="266"/>
        <v>DROP OUT</v>
      </c>
      <c r="G439" s="1036">
        <f t="shared" si="267"/>
        <v>839115014</v>
      </c>
      <c r="H439" s="1038">
        <f t="shared" si="268"/>
        <v>0</v>
      </c>
      <c r="I439" s="1038">
        <f t="shared" si="269"/>
        <v>0</v>
      </c>
      <c r="J439" s="1038">
        <f t="shared" si="270"/>
        <v>0</v>
      </c>
      <c r="L439" s="1060">
        <f t="shared" si="250"/>
        <v>0</v>
      </c>
      <c r="M439" s="1060">
        <f t="shared" si="271"/>
        <v>0</v>
      </c>
      <c r="N439" s="1060">
        <f t="shared" si="272"/>
        <v>0</v>
      </c>
      <c r="O439" s="1060">
        <f t="shared" si="273"/>
        <v>1</v>
      </c>
      <c r="P439" s="1060">
        <f t="shared" si="274"/>
        <v>0</v>
      </c>
    </row>
    <row r="440" spans="1:16" x14ac:dyDescent="0.25">
      <c r="A440" s="1034">
        <v>894</v>
      </c>
      <c r="B440" s="1034">
        <f t="shared" si="237"/>
        <v>5</v>
      </c>
      <c r="C440" s="1034" t="str">
        <f t="shared" si="263"/>
        <v>Nur Komala</v>
      </c>
      <c r="D440" s="1035" t="str">
        <f t="shared" si="264"/>
        <v>HK</v>
      </c>
      <c r="E440" s="1036">
        <f t="shared" si="265"/>
        <v>2015</v>
      </c>
      <c r="F440" s="1035" t="str">
        <f t="shared" si="266"/>
        <v>LULUS</v>
      </c>
      <c r="G440" s="1036">
        <f t="shared" si="267"/>
        <v>839115004</v>
      </c>
      <c r="H440" s="1038">
        <f t="shared" si="268"/>
        <v>0</v>
      </c>
      <c r="I440" s="1038">
        <f t="shared" si="269"/>
        <v>0</v>
      </c>
      <c r="J440" s="1038">
        <f t="shared" si="270"/>
        <v>0</v>
      </c>
      <c r="L440" s="1060">
        <f t="shared" si="250"/>
        <v>0</v>
      </c>
      <c r="M440" s="1060">
        <f t="shared" si="271"/>
        <v>1</v>
      </c>
      <c r="N440" s="1060">
        <f t="shared" si="272"/>
        <v>0</v>
      </c>
      <c r="O440" s="1060">
        <f t="shared" si="273"/>
        <v>0</v>
      </c>
      <c r="P440" s="1060">
        <f t="shared" si="274"/>
        <v>0</v>
      </c>
    </row>
    <row r="441" spans="1:16" x14ac:dyDescent="0.25">
      <c r="A441" s="1034">
        <v>895</v>
      </c>
      <c r="B441" s="1034">
        <f t="shared" si="237"/>
        <v>6</v>
      </c>
      <c r="C441" s="1034" t="str">
        <f t="shared" si="263"/>
        <v>Fawait Syaiful Rahman</v>
      </c>
      <c r="D441" s="1035" t="str">
        <f t="shared" si="264"/>
        <v>HK</v>
      </c>
      <c r="E441" s="1036">
        <f t="shared" si="265"/>
        <v>2015</v>
      </c>
      <c r="F441" s="1035" t="str">
        <f t="shared" si="266"/>
        <v>LULUS</v>
      </c>
      <c r="G441" s="1036">
        <f t="shared" si="267"/>
        <v>839115005</v>
      </c>
      <c r="H441" s="1038">
        <f t="shared" si="268"/>
        <v>0</v>
      </c>
      <c r="I441" s="1038">
        <f t="shared" si="269"/>
        <v>0</v>
      </c>
      <c r="J441" s="1038">
        <f t="shared" si="270"/>
        <v>0</v>
      </c>
      <c r="L441" s="1060">
        <f t="shared" si="250"/>
        <v>0</v>
      </c>
      <c r="M441" s="1060">
        <f t="shared" si="271"/>
        <v>1</v>
      </c>
      <c r="N441" s="1060">
        <f t="shared" si="272"/>
        <v>0</v>
      </c>
      <c r="O441" s="1060">
        <f t="shared" si="273"/>
        <v>0</v>
      </c>
      <c r="P441" s="1060">
        <f t="shared" si="274"/>
        <v>0</v>
      </c>
    </row>
    <row r="442" spans="1:16" x14ac:dyDescent="0.25">
      <c r="A442" s="1034">
        <v>896</v>
      </c>
      <c r="B442" s="1034">
        <f t="shared" si="237"/>
        <v>7</v>
      </c>
      <c r="C442" s="1034" t="str">
        <f t="shared" si="263"/>
        <v>Minhajul Abidah</v>
      </c>
      <c r="D442" s="1035" t="str">
        <f t="shared" si="264"/>
        <v>HK</v>
      </c>
      <c r="E442" s="1036">
        <f t="shared" si="265"/>
        <v>2015</v>
      </c>
      <c r="F442" s="1035" t="str">
        <f t="shared" si="266"/>
        <v>LULUS</v>
      </c>
      <c r="G442" s="1036">
        <f t="shared" si="267"/>
        <v>839115006</v>
      </c>
      <c r="H442" s="1038">
        <f t="shared" si="268"/>
        <v>0</v>
      </c>
      <c r="I442" s="1038">
        <f t="shared" si="269"/>
        <v>0</v>
      </c>
      <c r="J442" s="1038">
        <f t="shared" si="270"/>
        <v>0</v>
      </c>
      <c r="L442" s="1060">
        <f t="shared" si="250"/>
        <v>0</v>
      </c>
      <c r="M442" s="1060">
        <f t="shared" si="271"/>
        <v>1</v>
      </c>
      <c r="N442" s="1060">
        <f t="shared" si="272"/>
        <v>0</v>
      </c>
      <c r="O442" s="1060">
        <f t="shared" si="273"/>
        <v>0</v>
      </c>
      <c r="P442" s="1060">
        <f t="shared" si="274"/>
        <v>0</v>
      </c>
    </row>
    <row r="443" spans="1:16" x14ac:dyDescent="0.25">
      <c r="A443" s="1034">
        <v>897</v>
      </c>
      <c r="B443" s="1034">
        <f t="shared" si="237"/>
        <v>8</v>
      </c>
      <c r="C443" s="1034" t="str">
        <f t="shared" si="263"/>
        <v>Moh Hanif Lutfi</v>
      </c>
      <c r="D443" s="1035" t="str">
        <f t="shared" si="264"/>
        <v>HK</v>
      </c>
      <c r="E443" s="1036">
        <f t="shared" si="265"/>
        <v>2015</v>
      </c>
      <c r="F443" s="1035" t="str">
        <f t="shared" si="266"/>
        <v>LULUS</v>
      </c>
      <c r="G443" s="1036">
        <f t="shared" si="267"/>
        <v>839115007</v>
      </c>
      <c r="H443" s="1038">
        <f t="shared" si="268"/>
        <v>0</v>
      </c>
      <c r="I443" s="1038">
        <f t="shared" si="269"/>
        <v>0</v>
      </c>
      <c r="J443" s="1038">
        <f t="shared" si="270"/>
        <v>0</v>
      </c>
      <c r="L443" s="1060">
        <f t="shared" si="250"/>
        <v>0</v>
      </c>
      <c r="M443" s="1060">
        <f t="shared" si="271"/>
        <v>1</v>
      </c>
      <c r="N443" s="1060">
        <f t="shared" si="272"/>
        <v>0</v>
      </c>
      <c r="O443" s="1060">
        <f t="shared" si="273"/>
        <v>0</v>
      </c>
      <c r="P443" s="1060">
        <f t="shared" si="274"/>
        <v>0</v>
      </c>
    </row>
    <row r="444" spans="1:16" x14ac:dyDescent="0.25">
      <c r="A444" s="1034">
        <v>898</v>
      </c>
      <c r="B444" s="1034">
        <f t="shared" si="237"/>
        <v>9</v>
      </c>
      <c r="C444" s="1034" t="str">
        <f t="shared" si="263"/>
        <v>Mohamad Hoirul Anam</v>
      </c>
      <c r="D444" s="1035" t="str">
        <f t="shared" si="264"/>
        <v>HK</v>
      </c>
      <c r="E444" s="1036">
        <f t="shared" si="265"/>
        <v>2015</v>
      </c>
      <c r="F444" s="1035" t="str">
        <f t="shared" si="266"/>
        <v>LULUS</v>
      </c>
      <c r="G444" s="1036">
        <f t="shared" si="267"/>
        <v>839115008</v>
      </c>
      <c r="H444" s="1038">
        <f t="shared" si="268"/>
        <v>0</v>
      </c>
      <c r="I444" s="1038">
        <f t="shared" si="269"/>
        <v>0</v>
      </c>
      <c r="J444" s="1038">
        <f t="shared" si="270"/>
        <v>0</v>
      </c>
      <c r="L444" s="1060">
        <f t="shared" si="250"/>
        <v>0</v>
      </c>
      <c r="M444" s="1060">
        <f t="shared" si="271"/>
        <v>1</v>
      </c>
      <c r="N444" s="1060">
        <f t="shared" si="272"/>
        <v>0</v>
      </c>
      <c r="O444" s="1060">
        <f t="shared" si="273"/>
        <v>0</v>
      </c>
      <c r="P444" s="1060">
        <f t="shared" si="274"/>
        <v>0</v>
      </c>
    </row>
    <row r="445" spans="1:16" x14ac:dyDescent="0.25">
      <c r="A445" s="1034">
        <v>899</v>
      </c>
      <c r="B445" s="1034">
        <f t="shared" si="237"/>
        <v>10</v>
      </c>
      <c r="C445" s="1034" t="str">
        <f t="shared" si="263"/>
        <v>Ahmad Zubadul Afiq</v>
      </c>
      <c r="D445" s="1035" t="str">
        <f t="shared" si="264"/>
        <v>HK</v>
      </c>
      <c r="E445" s="1036">
        <f t="shared" si="265"/>
        <v>2015</v>
      </c>
      <c r="F445" s="1035" t="str">
        <f t="shared" si="266"/>
        <v>LULUS</v>
      </c>
      <c r="G445" s="1036">
        <f t="shared" si="267"/>
        <v>839115009</v>
      </c>
      <c r="H445" s="1038">
        <f t="shared" si="268"/>
        <v>0</v>
      </c>
      <c r="I445" s="1038">
        <f t="shared" si="269"/>
        <v>0</v>
      </c>
      <c r="J445" s="1038">
        <f t="shared" si="270"/>
        <v>0</v>
      </c>
      <c r="L445" s="1060">
        <f t="shared" si="250"/>
        <v>0</v>
      </c>
      <c r="M445" s="1060">
        <f t="shared" si="271"/>
        <v>1</v>
      </c>
      <c r="N445" s="1060">
        <f t="shared" si="272"/>
        <v>0</v>
      </c>
      <c r="O445" s="1060">
        <f t="shared" si="273"/>
        <v>0</v>
      </c>
      <c r="P445" s="1060">
        <f t="shared" si="274"/>
        <v>0</v>
      </c>
    </row>
    <row r="446" spans="1:16" x14ac:dyDescent="0.25">
      <c r="A446" s="1034">
        <v>900</v>
      </c>
      <c r="B446" s="1034">
        <f t="shared" si="237"/>
        <v>11</v>
      </c>
      <c r="C446" s="1034" t="str">
        <f t="shared" si="263"/>
        <v>Beni Ashari</v>
      </c>
      <c r="D446" s="1035" t="str">
        <f t="shared" si="264"/>
        <v>HK</v>
      </c>
      <c r="E446" s="1036">
        <f t="shared" si="265"/>
        <v>2015</v>
      </c>
      <c r="F446" s="1035" t="str">
        <f t="shared" si="266"/>
        <v>LULUS</v>
      </c>
      <c r="G446" s="1036">
        <f t="shared" si="267"/>
        <v>839115010</v>
      </c>
      <c r="H446" s="1038">
        <f t="shared" si="268"/>
        <v>0</v>
      </c>
      <c r="I446" s="1038">
        <f t="shared" si="269"/>
        <v>0</v>
      </c>
      <c r="J446" s="1038">
        <f t="shared" si="270"/>
        <v>0</v>
      </c>
      <c r="L446" s="1060">
        <f t="shared" si="250"/>
        <v>0</v>
      </c>
      <c r="M446" s="1060">
        <f t="shared" si="271"/>
        <v>1</v>
      </c>
      <c r="N446" s="1060">
        <f t="shared" si="272"/>
        <v>0</v>
      </c>
      <c r="O446" s="1060">
        <f t="shared" si="273"/>
        <v>0</v>
      </c>
      <c r="P446" s="1060">
        <f t="shared" si="274"/>
        <v>0</v>
      </c>
    </row>
    <row r="447" spans="1:16" x14ac:dyDescent="0.25">
      <c r="A447" s="1034">
        <v>901</v>
      </c>
      <c r="B447" s="1034">
        <f t="shared" si="237"/>
        <v>12</v>
      </c>
      <c r="C447" s="1034" t="str">
        <f t="shared" si="263"/>
        <v>Erwin Setyo Nugroho</v>
      </c>
      <c r="D447" s="1035" t="str">
        <f t="shared" si="264"/>
        <v>HK</v>
      </c>
      <c r="E447" s="1036">
        <f t="shared" si="265"/>
        <v>2015</v>
      </c>
      <c r="F447" s="1035" t="str">
        <f t="shared" si="266"/>
        <v>LULUS</v>
      </c>
      <c r="G447" s="1036">
        <f t="shared" si="267"/>
        <v>839115011</v>
      </c>
      <c r="H447" s="1038">
        <f t="shared" si="268"/>
        <v>0</v>
      </c>
      <c r="I447" s="1038">
        <f t="shared" si="269"/>
        <v>0</v>
      </c>
      <c r="J447" s="1038">
        <f t="shared" si="270"/>
        <v>0</v>
      </c>
      <c r="L447" s="1060">
        <f t="shared" si="250"/>
        <v>0</v>
      </c>
      <c r="M447" s="1060">
        <f t="shared" si="271"/>
        <v>1</v>
      </c>
      <c r="N447" s="1060">
        <f t="shared" si="272"/>
        <v>0</v>
      </c>
      <c r="O447" s="1060">
        <f t="shared" si="273"/>
        <v>0</v>
      </c>
      <c r="P447" s="1060">
        <f t="shared" si="274"/>
        <v>0</v>
      </c>
    </row>
    <row r="448" spans="1:16" x14ac:dyDescent="0.25">
      <c r="A448" s="1034">
        <v>902</v>
      </c>
      <c r="B448" s="1034">
        <f t="shared" si="237"/>
        <v>13</v>
      </c>
      <c r="C448" s="1034" t="str">
        <f t="shared" si="263"/>
        <v>Tamaji</v>
      </c>
      <c r="D448" s="1035" t="str">
        <f t="shared" si="264"/>
        <v>HK</v>
      </c>
      <c r="E448" s="1036">
        <f t="shared" si="265"/>
        <v>2015</v>
      </c>
      <c r="F448" s="1035" t="str">
        <f t="shared" si="266"/>
        <v>LULUS</v>
      </c>
      <c r="G448" s="1036">
        <f t="shared" si="267"/>
        <v>839115012</v>
      </c>
      <c r="H448" s="1038">
        <f t="shared" si="268"/>
        <v>0</v>
      </c>
      <c r="I448" s="1038">
        <f t="shared" si="269"/>
        <v>0</v>
      </c>
      <c r="J448" s="1038">
        <f t="shared" si="270"/>
        <v>0</v>
      </c>
      <c r="L448" s="1060">
        <f t="shared" si="250"/>
        <v>0</v>
      </c>
      <c r="M448" s="1060">
        <f t="shared" si="271"/>
        <v>1</v>
      </c>
      <c r="N448" s="1060">
        <f t="shared" si="272"/>
        <v>0</v>
      </c>
      <c r="O448" s="1060">
        <f t="shared" si="273"/>
        <v>0</v>
      </c>
      <c r="P448" s="1060">
        <f t="shared" si="274"/>
        <v>0</v>
      </c>
    </row>
    <row r="449" spans="1:16" x14ac:dyDescent="0.25">
      <c r="A449" s="1034">
        <v>903</v>
      </c>
      <c r="B449" s="1034">
        <f t="shared" si="237"/>
        <v>14</v>
      </c>
      <c r="C449" s="1034" t="str">
        <f t="shared" si="263"/>
        <v>Hana Nurul Khoironi Andritama</v>
      </c>
      <c r="D449" s="1035" t="str">
        <f t="shared" si="264"/>
        <v>-</v>
      </c>
      <c r="E449" s="1036" t="str">
        <f t="shared" si="265"/>
        <v>-</v>
      </c>
      <c r="F449" s="1035" t="str">
        <f t="shared" si="266"/>
        <v>DROP OUT</v>
      </c>
      <c r="G449" s="1036">
        <f t="shared" si="267"/>
        <v>839115013</v>
      </c>
      <c r="H449" s="1038">
        <f t="shared" si="268"/>
        <v>0</v>
      </c>
      <c r="I449" s="1038">
        <f t="shared" si="269"/>
        <v>0</v>
      </c>
      <c r="J449" s="1038">
        <f t="shared" si="270"/>
        <v>0</v>
      </c>
      <c r="L449" s="1060">
        <f t="shared" si="250"/>
        <v>0</v>
      </c>
      <c r="M449" s="1060">
        <f t="shared" si="271"/>
        <v>0</v>
      </c>
      <c r="N449" s="1060">
        <f t="shared" si="272"/>
        <v>0</v>
      </c>
      <c r="O449" s="1060">
        <f t="shared" si="273"/>
        <v>1</v>
      </c>
      <c r="P449" s="1060">
        <f t="shared" si="274"/>
        <v>0</v>
      </c>
    </row>
    <row r="450" spans="1:16" x14ac:dyDescent="0.25">
      <c r="A450" s="1039"/>
      <c r="B450" s="1039"/>
      <c r="C450" s="1039"/>
      <c r="D450" s="1040"/>
      <c r="E450" s="1041"/>
      <c r="F450" s="1040"/>
      <c r="G450" s="1041"/>
      <c r="H450" s="1042"/>
      <c r="I450" s="1042"/>
      <c r="J450" s="1042"/>
      <c r="L450" s="1042"/>
      <c r="M450" s="1042"/>
      <c r="N450" s="1042"/>
      <c r="O450" s="1042"/>
      <c r="P450" s="1042"/>
    </row>
    <row r="451" spans="1:16" x14ac:dyDescent="0.25">
      <c r="A451" s="1043" t="str">
        <f>'Rekap SPP'!A974</f>
        <v>S2-KPI 2015/2016</v>
      </c>
      <c r="B451" s="1043"/>
      <c r="C451" s="1043"/>
      <c r="D451" s="1033" t="s">
        <v>3</v>
      </c>
      <c r="E451" s="1032" t="s">
        <v>4</v>
      </c>
      <c r="F451" s="1033" t="s">
        <v>3195</v>
      </c>
      <c r="G451" s="1032" t="s">
        <v>1</v>
      </c>
      <c r="H451" s="1033" t="s">
        <v>3341</v>
      </c>
      <c r="I451" s="1033" t="s">
        <v>3362</v>
      </c>
      <c r="J451" s="1062">
        <f>SUM(J452:J463)</f>
        <v>0</v>
      </c>
      <c r="L451" s="1063">
        <f>SUM(L452:L463)</f>
        <v>0</v>
      </c>
      <c r="M451" s="1063">
        <f>SUM(M452:M463)</f>
        <v>9</v>
      </c>
      <c r="N451" s="1063">
        <f>SUM(N452:N463)</f>
        <v>0</v>
      </c>
      <c r="O451" s="1063">
        <f>SUM(O452:O463)</f>
        <v>3</v>
      </c>
      <c r="P451" s="1063">
        <f>SUM(P452:P463)</f>
        <v>0</v>
      </c>
    </row>
    <row r="452" spans="1:16" x14ac:dyDescent="0.25">
      <c r="A452" s="1034">
        <v>904</v>
      </c>
      <c r="B452" s="1034">
        <f t="shared" si="237"/>
        <v>1</v>
      </c>
      <c r="C452" s="1034" t="str">
        <f t="shared" ref="C452:C463" si="275">IFERROR(VLOOKUP(A452,DB,4,FALSE),"")</f>
        <v>Abdi Fauji Hadiono</v>
      </c>
      <c r="D452" s="1035" t="str">
        <f t="shared" ref="D452:D463" si="276">IFERROR(VLOOKUP(A452,DB,5,FALSE),"")</f>
        <v>KPI</v>
      </c>
      <c r="E452" s="1036">
        <f t="shared" ref="E452:E463" si="277">IFERROR(VLOOKUP(A452,DB,6,FALSE),"")</f>
        <v>2015</v>
      </c>
      <c r="F452" s="1035" t="str">
        <f t="shared" ref="F452:F463" si="278">IFERROR(VLOOKUP(A452,DB,7,FALSE),"")</f>
        <v>LULUS</v>
      </c>
      <c r="G452" s="1036">
        <f t="shared" ref="G452:G463" si="279">IFERROR(VLOOKUP(A452,DB,3,FALSE),"")</f>
        <v>829115001</v>
      </c>
      <c r="H452" s="1038">
        <f t="shared" ref="H452:H463" si="280">IF(F452="AKTIF",3000000,IF(F452="CUTI",3000000,0))</f>
        <v>0</v>
      </c>
      <c r="I452" s="1038">
        <f t="shared" ref="I452:I463" si="281">IF(F452="AKTIF",3000000,IF(F452="CUTI",3000000,0))</f>
        <v>0</v>
      </c>
      <c r="J452" s="1038">
        <f t="shared" ref="J452:J463" si="282">I452+H452</f>
        <v>0</v>
      </c>
      <c r="L452" s="1060">
        <f t="shared" si="250"/>
        <v>0</v>
      </c>
      <c r="M452" s="1060">
        <f t="shared" ref="M452:M463" si="283">IF(F452="LULUS",1,0)</f>
        <v>1</v>
      </c>
      <c r="N452" s="1060">
        <f t="shared" ref="N452:N463" si="284">IF(F452="CUTI",1,0)</f>
        <v>0</v>
      </c>
      <c r="O452" s="1060">
        <f t="shared" ref="O452:O463" si="285">IF(F452="DROP OUT",1,0)</f>
        <v>0</v>
      </c>
      <c r="P452" s="1060">
        <f t="shared" ref="P452:P463" si="286">IF(F452="PASIF",1,0)</f>
        <v>0</v>
      </c>
    </row>
    <row r="453" spans="1:16" x14ac:dyDescent="0.25">
      <c r="A453" s="1034">
        <v>905</v>
      </c>
      <c r="B453" s="1034">
        <f t="shared" si="237"/>
        <v>2</v>
      </c>
      <c r="C453" s="1034" t="str">
        <f t="shared" si="275"/>
        <v>Nur Hafifah</v>
      </c>
      <c r="D453" s="1035" t="str">
        <f t="shared" si="276"/>
        <v>KPI</v>
      </c>
      <c r="E453" s="1036">
        <f t="shared" si="277"/>
        <v>2015</v>
      </c>
      <c r="F453" s="1035" t="str">
        <f t="shared" si="278"/>
        <v>LULUS</v>
      </c>
      <c r="G453" s="1036">
        <f t="shared" si="279"/>
        <v>829115002</v>
      </c>
      <c r="H453" s="1038">
        <f t="shared" si="280"/>
        <v>0</v>
      </c>
      <c r="I453" s="1038">
        <f t="shared" si="281"/>
        <v>0</v>
      </c>
      <c r="J453" s="1038">
        <f t="shared" si="282"/>
        <v>0</v>
      </c>
      <c r="L453" s="1060">
        <f t="shared" si="250"/>
        <v>0</v>
      </c>
      <c r="M453" s="1060">
        <f t="shared" si="283"/>
        <v>1</v>
      </c>
      <c r="N453" s="1060">
        <f t="shared" si="284"/>
        <v>0</v>
      </c>
      <c r="O453" s="1060">
        <f t="shared" si="285"/>
        <v>0</v>
      </c>
      <c r="P453" s="1060">
        <f t="shared" si="286"/>
        <v>0</v>
      </c>
    </row>
    <row r="454" spans="1:16" x14ac:dyDescent="0.25">
      <c r="A454" s="1034">
        <v>906</v>
      </c>
      <c r="B454" s="1034">
        <f t="shared" si="237"/>
        <v>3</v>
      </c>
      <c r="C454" s="1034" t="str">
        <f t="shared" si="275"/>
        <v>Agung Obianto</v>
      </c>
      <c r="D454" s="1035" t="str">
        <f t="shared" si="276"/>
        <v>KPI</v>
      </c>
      <c r="E454" s="1036">
        <f t="shared" si="277"/>
        <v>2015</v>
      </c>
      <c r="F454" s="1035" t="str">
        <f t="shared" si="278"/>
        <v>LULUS</v>
      </c>
      <c r="G454" s="1036">
        <f t="shared" si="279"/>
        <v>829115003</v>
      </c>
      <c r="H454" s="1038">
        <f t="shared" si="280"/>
        <v>0</v>
      </c>
      <c r="I454" s="1038">
        <f t="shared" si="281"/>
        <v>0</v>
      </c>
      <c r="J454" s="1038">
        <f t="shared" si="282"/>
        <v>0</v>
      </c>
      <c r="L454" s="1060">
        <f t="shared" si="250"/>
        <v>0</v>
      </c>
      <c r="M454" s="1060">
        <f t="shared" si="283"/>
        <v>1</v>
      </c>
      <c r="N454" s="1060">
        <f t="shared" si="284"/>
        <v>0</v>
      </c>
      <c r="O454" s="1060">
        <f t="shared" si="285"/>
        <v>0</v>
      </c>
      <c r="P454" s="1060">
        <f t="shared" si="286"/>
        <v>0</v>
      </c>
    </row>
    <row r="455" spans="1:16" x14ac:dyDescent="0.25">
      <c r="A455" s="1034">
        <v>907</v>
      </c>
      <c r="B455" s="1034">
        <f t="shared" si="237"/>
        <v>4</v>
      </c>
      <c r="C455" s="1034" t="str">
        <f t="shared" si="275"/>
        <v>Moh. Abd. Halik</v>
      </c>
      <c r="D455" s="1035" t="str">
        <f t="shared" si="276"/>
        <v>KPI</v>
      </c>
      <c r="E455" s="1036">
        <f t="shared" si="277"/>
        <v>2015</v>
      </c>
      <c r="F455" s="1035" t="str">
        <f t="shared" si="278"/>
        <v>DROP OUT</v>
      </c>
      <c r="G455" s="1036">
        <f t="shared" si="279"/>
        <v>829115004</v>
      </c>
      <c r="H455" s="1038">
        <f t="shared" si="280"/>
        <v>0</v>
      </c>
      <c r="I455" s="1038">
        <f t="shared" si="281"/>
        <v>0</v>
      </c>
      <c r="J455" s="1038">
        <f t="shared" si="282"/>
        <v>0</v>
      </c>
      <c r="L455" s="1060">
        <f t="shared" si="250"/>
        <v>0</v>
      </c>
      <c r="M455" s="1060">
        <f t="shared" si="283"/>
        <v>0</v>
      </c>
      <c r="N455" s="1060">
        <f t="shared" si="284"/>
        <v>0</v>
      </c>
      <c r="O455" s="1060">
        <f t="shared" si="285"/>
        <v>1</v>
      </c>
      <c r="P455" s="1060">
        <f t="shared" si="286"/>
        <v>0</v>
      </c>
    </row>
    <row r="456" spans="1:16" x14ac:dyDescent="0.25">
      <c r="A456" s="1034">
        <v>908</v>
      </c>
      <c r="B456" s="1034">
        <f t="shared" si="237"/>
        <v>5</v>
      </c>
      <c r="C456" s="1034" t="str">
        <f t="shared" si="275"/>
        <v>Wisri</v>
      </c>
      <c r="D456" s="1035" t="str">
        <f t="shared" si="276"/>
        <v>KPI</v>
      </c>
      <c r="E456" s="1036">
        <f t="shared" si="277"/>
        <v>2015</v>
      </c>
      <c r="F456" s="1035" t="str">
        <f t="shared" si="278"/>
        <v>LULUS</v>
      </c>
      <c r="G456" s="1036">
        <f t="shared" si="279"/>
        <v>829115005</v>
      </c>
      <c r="H456" s="1038">
        <f t="shared" si="280"/>
        <v>0</v>
      </c>
      <c r="I456" s="1038">
        <f t="shared" si="281"/>
        <v>0</v>
      </c>
      <c r="J456" s="1038">
        <f t="shared" si="282"/>
        <v>0</v>
      </c>
      <c r="L456" s="1060">
        <f t="shared" si="250"/>
        <v>0</v>
      </c>
      <c r="M456" s="1060">
        <f t="shared" si="283"/>
        <v>1</v>
      </c>
      <c r="N456" s="1060">
        <f t="shared" si="284"/>
        <v>0</v>
      </c>
      <c r="O456" s="1060">
        <f t="shared" si="285"/>
        <v>0</v>
      </c>
      <c r="P456" s="1060">
        <f t="shared" si="286"/>
        <v>0</v>
      </c>
    </row>
    <row r="457" spans="1:16" x14ac:dyDescent="0.25">
      <c r="A457" s="1034">
        <v>909</v>
      </c>
      <c r="B457" s="1034">
        <f t="shared" si="237"/>
        <v>6</v>
      </c>
      <c r="C457" s="1034" t="str">
        <f t="shared" si="275"/>
        <v>Adi Susianto</v>
      </c>
      <c r="D457" s="1035" t="str">
        <f t="shared" si="276"/>
        <v>KPI</v>
      </c>
      <c r="E457" s="1036">
        <f t="shared" si="277"/>
        <v>2015</v>
      </c>
      <c r="F457" s="1035" t="str">
        <f t="shared" si="278"/>
        <v>LULUS</v>
      </c>
      <c r="G457" s="1036">
        <f t="shared" si="279"/>
        <v>829115011</v>
      </c>
      <c r="H457" s="1038">
        <f t="shared" si="280"/>
        <v>0</v>
      </c>
      <c r="I457" s="1038">
        <f t="shared" si="281"/>
        <v>0</v>
      </c>
      <c r="J457" s="1038">
        <f t="shared" si="282"/>
        <v>0</v>
      </c>
      <c r="L457" s="1060">
        <f t="shared" si="250"/>
        <v>0</v>
      </c>
      <c r="M457" s="1060">
        <f t="shared" si="283"/>
        <v>1</v>
      </c>
      <c r="N457" s="1060">
        <f t="shared" si="284"/>
        <v>0</v>
      </c>
      <c r="O457" s="1060">
        <f t="shared" si="285"/>
        <v>0</v>
      </c>
      <c r="P457" s="1060">
        <f t="shared" si="286"/>
        <v>0</v>
      </c>
    </row>
    <row r="458" spans="1:16" x14ac:dyDescent="0.25">
      <c r="A458" s="1034">
        <v>910</v>
      </c>
      <c r="B458" s="1034">
        <f t="shared" si="237"/>
        <v>6</v>
      </c>
      <c r="C458" s="1034" t="str">
        <f t="shared" si="275"/>
        <v>Aminul 'Alimin</v>
      </c>
      <c r="D458" s="1035" t="str">
        <f t="shared" si="276"/>
        <v>KPI</v>
      </c>
      <c r="E458" s="1036">
        <f t="shared" si="277"/>
        <v>2015</v>
      </c>
      <c r="F458" s="1035" t="str">
        <f t="shared" si="278"/>
        <v>LULUS</v>
      </c>
      <c r="G458" s="1036">
        <f t="shared" si="279"/>
        <v>829115006</v>
      </c>
      <c r="H458" s="1038">
        <f t="shared" si="280"/>
        <v>0</v>
      </c>
      <c r="I458" s="1038">
        <f t="shared" si="281"/>
        <v>0</v>
      </c>
      <c r="J458" s="1038">
        <f t="shared" si="282"/>
        <v>0</v>
      </c>
      <c r="L458" s="1060">
        <f t="shared" si="250"/>
        <v>0</v>
      </c>
      <c r="M458" s="1060">
        <f t="shared" si="283"/>
        <v>1</v>
      </c>
      <c r="N458" s="1060">
        <f t="shared" si="284"/>
        <v>0</v>
      </c>
      <c r="O458" s="1060">
        <f t="shared" si="285"/>
        <v>0</v>
      </c>
      <c r="P458" s="1060">
        <f t="shared" si="286"/>
        <v>0</v>
      </c>
    </row>
    <row r="459" spans="1:16" x14ac:dyDescent="0.25">
      <c r="A459" s="1034">
        <v>911</v>
      </c>
      <c r="B459" s="1034">
        <f t="shared" si="237"/>
        <v>8</v>
      </c>
      <c r="C459" s="1034" t="str">
        <f t="shared" si="275"/>
        <v>Yohandi</v>
      </c>
      <c r="D459" s="1035" t="str">
        <f t="shared" si="276"/>
        <v>KPI</v>
      </c>
      <c r="E459" s="1036">
        <f t="shared" si="277"/>
        <v>2015</v>
      </c>
      <c r="F459" s="1035" t="str">
        <f t="shared" si="278"/>
        <v>LULUS</v>
      </c>
      <c r="G459" s="1036">
        <f t="shared" si="279"/>
        <v>829115007</v>
      </c>
      <c r="H459" s="1038">
        <f t="shared" si="280"/>
        <v>0</v>
      </c>
      <c r="I459" s="1038">
        <f t="shared" si="281"/>
        <v>0</v>
      </c>
      <c r="J459" s="1038">
        <f t="shared" si="282"/>
        <v>0</v>
      </c>
      <c r="L459" s="1060">
        <f t="shared" si="250"/>
        <v>0</v>
      </c>
      <c r="M459" s="1060">
        <f t="shared" si="283"/>
        <v>1</v>
      </c>
      <c r="N459" s="1060">
        <f t="shared" si="284"/>
        <v>0</v>
      </c>
      <c r="O459" s="1060">
        <f t="shared" si="285"/>
        <v>0</v>
      </c>
      <c r="P459" s="1060">
        <f t="shared" si="286"/>
        <v>0</v>
      </c>
    </row>
    <row r="460" spans="1:16" x14ac:dyDescent="0.25">
      <c r="A460" s="1034">
        <v>912</v>
      </c>
      <c r="B460" s="1034">
        <f t="shared" si="237"/>
        <v>9</v>
      </c>
      <c r="C460" s="1034" t="str">
        <f t="shared" si="275"/>
        <v>Yuli Nur Kholidah</v>
      </c>
      <c r="D460" s="1035" t="str">
        <f t="shared" si="276"/>
        <v>KPI</v>
      </c>
      <c r="E460" s="1036">
        <f t="shared" si="277"/>
        <v>2015</v>
      </c>
      <c r="F460" s="1035" t="str">
        <f t="shared" si="278"/>
        <v>LULUS</v>
      </c>
      <c r="G460" s="1036">
        <f t="shared" si="279"/>
        <v>829115008</v>
      </c>
      <c r="H460" s="1038">
        <f t="shared" si="280"/>
        <v>0</v>
      </c>
      <c r="I460" s="1038">
        <f t="shared" si="281"/>
        <v>0</v>
      </c>
      <c r="J460" s="1038">
        <f t="shared" si="282"/>
        <v>0</v>
      </c>
      <c r="L460" s="1060">
        <f t="shared" si="250"/>
        <v>0</v>
      </c>
      <c r="M460" s="1060">
        <f t="shared" si="283"/>
        <v>1</v>
      </c>
      <c r="N460" s="1060">
        <f t="shared" si="284"/>
        <v>0</v>
      </c>
      <c r="O460" s="1060">
        <f t="shared" si="285"/>
        <v>0</v>
      </c>
      <c r="P460" s="1060">
        <f t="shared" si="286"/>
        <v>0</v>
      </c>
    </row>
    <row r="461" spans="1:16" x14ac:dyDescent="0.25">
      <c r="A461" s="1034">
        <v>913</v>
      </c>
      <c r="B461" s="1034">
        <f t="shared" si="237"/>
        <v>10</v>
      </c>
      <c r="C461" s="1034" t="str">
        <f t="shared" si="275"/>
        <v>Edy Supriyono</v>
      </c>
      <c r="D461" s="1035" t="str">
        <f t="shared" si="276"/>
        <v>KPI</v>
      </c>
      <c r="E461" s="1036">
        <f t="shared" si="277"/>
        <v>2015</v>
      </c>
      <c r="F461" s="1035" t="str">
        <f t="shared" si="278"/>
        <v>LULUS</v>
      </c>
      <c r="G461" s="1036">
        <f t="shared" si="279"/>
        <v>829115009</v>
      </c>
      <c r="H461" s="1038">
        <f t="shared" si="280"/>
        <v>0</v>
      </c>
      <c r="I461" s="1038">
        <f t="shared" si="281"/>
        <v>0</v>
      </c>
      <c r="J461" s="1038">
        <f t="shared" si="282"/>
        <v>0</v>
      </c>
      <c r="L461" s="1060">
        <f t="shared" si="250"/>
        <v>0</v>
      </c>
      <c r="M461" s="1060">
        <f t="shared" si="283"/>
        <v>1</v>
      </c>
      <c r="N461" s="1060">
        <f t="shared" si="284"/>
        <v>0</v>
      </c>
      <c r="O461" s="1060">
        <f t="shared" si="285"/>
        <v>0</v>
      </c>
      <c r="P461" s="1060">
        <f t="shared" si="286"/>
        <v>0</v>
      </c>
    </row>
    <row r="462" spans="1:16" x14ac:dyDescent="0.25">
      <c r="A462" s="1034">
        <v>914</v>
      </c>
      <c r="B462" s="1034">
        <f t="shared" si="237"/>
        <v>11</v>
      </c>
      <c r="C462" s="1034" t="str">
        <f t="shared" si="275"/>
        <v>Anang Lukman Afandi</v>
      </c>
      <c r="D462" s="1035" t="str">
        <f t="shared" si="276"/>
        <v>KPI</v>
      </c>
      <c r="E462" s="1036">
        <f t="shared" si="277"/>
        <v>2015</v>
      </c>
      <c r="F462" s="1035" t="str">
        <f t="shared" si="278"/>
        <v>DROP OUT</v>
      </c>
      <c r="G462" s="1036">
        <f t="shared" si="279"/>
        <v>829115010</v>
      </c>
      <c r="H462" s="1038">
        <f t="shared" si="280"/>
        <v>0</v>
      </c>
      <c r="I462" s="1038">
        <f t="shared" si="281"/>
        <v>0</v>
      </c>
      <c r="J462" s="1038">
        <f t="shared" si="282"/>
        <v>0</v>
      </c>
      <c r="L462" s="1060">
        <f t="shared" si="250"/>
        <v>0</v>
      </c>
      <c r="M462" s="1060">
        <f t="shared" si="283"/>
        <v>0</v>
      </c>
      <c r="N462" s="1060">
        <f t="shared" si="284"/>
        <v>0</v>
      </c>
      <c r="O462" s="1060">
        <f t="shared" si="285"/>
        <v>1</v>
      </c>
      <c r="P462" s="1060">
        <f t="shared" si="286"/>
        <v>0</v>
      </c>
    </row>
    <row r="463" spans="1:16" x14ac:dyDescent="0.25">
      <c r="A463" s="1034">
        <v>915</v>
      </c>
      <c r="B463" s="1034">
        <f t="shared" si="237"/>
        <v>12</v>
      </c>
      <c r="C463" s="1034" t="str">
        <f t="shared" si="275"/>
        <v>Abdul Qodir Lutfi</v>
      </c>
      <c r="D463" s="1035" t="str">
        <f t="shared" si="276"/>
        <v>KPI</v>
      </c>
      <c r="E463" s="1036">
        <f t="shared" si="277"/>
        <v>2015</v>
      </c>
      <c r="F463" s="1035" t="str">
        <f t="shared" si="278"/>
        <v>DROP OUT</v>
      </c>
      <c r="G463" s="1036">
        <f t="shared" si="279"/>
        <v>829115012</v>
      </c>
      <c r="H463" s="1038">
        <f t="shared" si="280"/>
        <v>0</v>
      </c>
      <c r="I463" s="1038">
        <f t="shared" si="281"/>
        <v>0</v>
      </c>
      <c r="J463" s="1038">
        <f t="shared" si="282"/>
        <v>0</v>
      </c>
      <c r="L463" s="1060">
        <f t="shared" si="250"/>
        <v>0</v>
      </c>
      <c r="M463" s="1060">
        <f t="shared" si="283"/>
        <v>0</v>
      </c>
      <c r="N463" s="1060">
        <f t="shared" si="284"/>
        <v>0</v>
      </c>
      <c r="O463" s="1060">
        <f t="shared" si="285"/>
        <v>1</v>
      </c>
      <c r="P463" s="1060">
        <f t="shared" si="286"/>
        <v>0</v>
      </c>
    </row>
    <row r="464" spans="1:16" x14ac:dyDescent="0.25">
      <c r="A464" s="1039"/>
      <c r="B464" s="1039"/>
      <c r="C464" s="1039"/>
      <c r="D464" s="1040"/>
      <c r="E464" s="1041"/>
      <c r="F464" s="1040"/>
      <c r="G464" s="1041"/>
      <c r="H464" s="1042"/>
      <c r="I464" s="1042"/>
      <c r="J464" s="1042"/>
      <c r="L464" s="1042"/>
      <c r="M464" s="1042"/>
      <c r="N464" s="1042"/>
      <c r="O464" s="1042"/>
      <c r="P464" s="1042"/>
    </row>
    <row r="465" spans="1:16" x14ac:dyDescent="0.25">
      <c r="A465" s="1043" t="str">
        <f>'Rekap SPP'!A988</f>
        <v xml:space="preserve">S2-IPDI 2015/2016 </v>
      </c>
      <c r="B465" s="1043"/>
      <c r="C465" s="1043"/>
      <c r="D465" s="1033" t="s">
        <v>3</v>
      </c>
      <c r="E465" s="1032" t="s">
        <v>4</v>
      </c>
      <c r="F465" s="1033" t="s">
        <v>3195</v>
      </c>
      <c r="G465" s="1032" t="s">
        <v>1</v>
      </c>
      <c r="H465" s="1033" t="s">
        <v>3341</v>
      </c>
      <c r="I465" s="1033" t="s">
        <v>3362</v>
      </c>
      <c r="J465" s="1062">
        <f>SUM(J466:J470)</f>
        <v>0</v>
      </c>
      <c r="L465" s="1063">
        <f>SUM(L466:L470)</f>
        <v>0</v>
      </c>
      <c r="M465" s="1063">
        <f>SUM(M466:M470)</f>
        <v>5</v>
      </c>
      <c r="N465" s="1063">
        <f>SUM(N466:N470)</f>
        <v>0</v>
      </c>
      <c r="O465" s="1063">
        <f>SUM(O466:O470)</f>
        <v>0</v>
      </c>
      <c r="P465" s="1063">
        <f>SUM(P466:P470)</f>
        <v>0</v>
      </c>
    </row>
    <row r="466" spans="1:16" x14ac:dyDescent="0.25">
      <c r="A466" s="1034">
        <v>916</v>
      </c>
      <c r="B466" s="1034">
        <f t="shared" si="237"/>
        <v>1</v>
      </c>
      <c r="C466" s="1034" t="str">
        <f>IFERROR(VLOOKUP(A466,DB,4,FALSE),"")</f>
        <v>Susi Qory Utami</v>
      </c>
      <c r="D466" s="1035" t="str">
        <f>IFERROR(VLOOKUP(A466,DB,5,FALSE),"")</f>
        <v>IPDI</v>
      </c>
      <c r="E466" s="1036">
        <f>IFERROR(VLOOKUP(A466,DB,6,FALSE),"")</f>
        <v>2015</v>
      </c>
      <c r="F466" s="1035" t="str">
        <f>IFERROR(VLOOKUP(A466,DB,7,FALSE),"")</f>
        <v>LULUS</v>
      </c>
      <c r="G466" s="1036">
        <f>IFERROR(VLOOKUP(A466,DB,3,FALSE),"")</f>
        <v>849415001</v>
      </c>
      <c r="H466" s="1038">
        <f>IF(F466="AKTIF",3000000,IF(F466="CUTI",3000000,0))</f>
        <v>0</v>
      </c>
      <c r="I466" s="1038">
        <f>IF(F466="AKTIF",3000000,IF(F466="CUTI",3000000,0))</f>
        <v>0</v>
      </c>
      <c r="J466" s="1038">
        <f>I466+H466</f>
        <v>0</v>
      </c>
      <c r="L466" s="1060">
        <f t="shared" si="250"/>
        <v>0</v>
      </c>
      <c r="M466" s="1060">
        <f>IF(F466="LULUS",1,0)</f>
        <v>1</v>
      </c>
      <c r="N466" s="1060">
        <f>IF(F466="CUTI",1,0)</f>
        <v>0</v>
      </c>
      <c r="O466" s="1060">
        <f>IF(F466="DROP OUT",1,0)</f>
        <v>0</v>
      </c>
      <c r="P466" s="1060">
        <f>IF(F466="PASIF",1,0)</f>
        <v>0</v>
      </c>
    </row>
    <row r="467" spans="1:16" x14ac:dyDescent="0.25">
      <c r="A467" s="1034">
        <v>917</v>
      </c>
      <c r="B467" s="1034">
        <f t="shared" ref="B467:B538" si="287">IFERROR(VLOOKUP(A467,DB,2,FALSE),"")</f>
        <v>2</v>
      </c>
      <c r="C467" s="1034" t="str">
        <f>IFERROR(VLOOKUP(A467,DB,4,FALSE),"")</f>
        <v>Putri Maja Mulia Kulzum</v>
      </c>
      <c r="D467" s="1035" t="str">
        <f>IFERROR(VLOOKUP(A467,DB,5,FALSE),"")</f>
        <v>IPDI</v>
      </c>
      <c r="E467" s="1036">
        <f>IFERROR(VLOOKUP(A467,DB,6,FALSE),"")</f>
        <v>2015</v>
      </c>
      <c r="F467" s="1035" t="str">
        <f>IFERROR(VLOOKUP(A467,DB,7,FALSE),"")</f>
        <v>LULUS</v>
      </c>
      <c r="G467" s="1036">
        <f>IFERROR(VLOOKUP(A467,DB,3,FALSE),"")</f>
        <v>849415002</v>
      </c>
      <c r="H467" s="1038">
        <f>IF(F467="AKTIF",3000000,IF(F467="CUTI",3000000,0))</f>
        <v>0</v>
      </c>
      <c r="I467" s="1038">
        <f>IF(F467="AKTIF",3000000,IF(F467="CUTI",3000000,0))</f>
        <v>0</v>
      </c>
      <c r="J467" s="1038">
        <f>I467+H467</f>
        <v>0</v>
      </c>
      <c r="L467" s="1060">
        <f t="shared" si="250"/>
        <v>0</v>
      </c>
      <c r="M467" s="1060">
        <f>IF(F467="LULUS",1,0)</f>
        <v>1</v>
      </c>
      <c r="N467" s="1060">
        <f>IF(F467="CUTI",1,0)</f>
        <v>0</v>
      </c>
      <c r="O467" s="1060">
        <f>IF(F467="DROP OUT",1,0)</f>
        <v>0</v>
      </c>
      <c r="P467" s="1060">
        <f>IF(F467="PASIF",1,0)</f>
        <v>0</v>
      </c>
    </row>
    <row r="468" spans="1:16" x14ac:dyDescent="0.25">
      <c r="A468" s="1034">
        <v>918</v>
      </c>
      <c r="B468" s="1034">
        <f t="shared" si="287"/>
        <v>3</v>
      </c>
      <c r="C468" s="1034" t="str">
        <f>IFERROR(VLOOKUP(A468,DB,4,FALSE),"")</f>
        <v>Rizqiyah Ratu Balqis</v>
      </c>
      <c r="D468" s="1035" t="str">
        <f>IFERROR(VLOOKUP(A468,DB,5,FALSE),"")</f>
        <v>IPDI</v>
      </c>
      <c r="E468" s="1036">
        <f>IFERROR(VLOOKUP(A468,DB,6,FALSE),"")</f>
        <v>2015</v>
      </c>
      <c r="F468" s="1035" t="str">
        <f>IFERROR(VLOOKUP(A468,DB,7,FALSE),"")</f>
        <v>LULUS</v>
      </c>
      <c r="G468" s="1036">
        <f>IFERROR(VLOOKUP(A468,DB,3,FALSE),"")</f>
        <v>849415003</v>
      </c>
      <c r="H468" s="1038">
        <f>IF(F468="AKTIF",3000000,IF(F468="CUTI",3000000,0))</f>
        <v>0</v>
      </c>
      <c r="I468" s="1038">
        <f>IF(F468="AKTIF",3000000,IF(F468="CUTI",3000000,0))</f>
        <v>0</v>
      </c>
      <c r="J468" s="1038">
        <f>I468+H468</f>
        <v>0</v>
      </c>
      <c r="L468" s="1060">
        <f t="shared" si="250"/>
        <v>0</v>
      </c>
      <c r="M468" s="1060">
        <f>IF(F468="LULUS",1,0)</f>
        <v>1</v>
      </c>
      <c r="N468" s="1060">
        <f>IF(F468="CUTI",1,0)</f>
        <v>0</v>
      </c>
      <c r="O468" s="1060">
        <f>IF(F468="DROP OUT",1,0)</f>
        <v>0</v>
      </c>
      <c r="P468" s="1060">
        <f>IF(F468="PASIF",1,0)</f>
        <v>0</v>
      </c>
    </row>
    <row r="469" spans="1:16" x14ac:dyDescent="0.25">
      <c r="A469" s="1034">
        <v>919</v>
      </c>
      <c r="B469" s="1034">
        <f t="shared" si="287"/>
        <v>4</v>
      </c>
      <c r="C469" s="1034" t="str">
        <f>IFERROR(VLOOKUP(A469,DB,4,FALSE),"")</f>
        <v>Syaifudin Zuhri</v>
      </c>
      <c r="D469" s="1035" t="str">
        <f>IFERROR(VLOOKUP(A469,DB,5,FALSE),"")</f>
        <v>IPDI</v>
      </c>
      <c r="E469" s="1036">
        <f>IFERROR(VLOOKUP(A469,DB,6,FALSE),"")</f>
        <v>2015</v>
      </c>
      <c r="F469" s="1035" t="str">
        <f>IFERROR(VLOOKUP(A469,DB,7,FALSE),"")</f>
        <v>LULUS</v>
      </c>
      <c r="G469" s="1036">
        <f>IFERROR(VLOOKUP(A469,DB,3,FALSE),"")</f>
        <v>849415004</v>
      </c>
      <c r="H469" s="1038">
        <f>IF(F469="AKTIF",3000000,IF(F469="CUTI",3000000,0))</f>
        <v>0</v>
      </c>
      <c r="I469" s="1038">
        <f>IF(F469="AKTIF",3000000,IF(F469="CUTI",3000000,0))</f>
        <v>0</v>
      </c>
      <c r="J469" s="1038">
        <f>I469+H469</f>
        <v>0</v>
      </c>
      <c r="L469" s="1060">
        <f t="shared" si="250"/>
        <v>0</v>
      </c>
      <c r="M469" s="1060">
        <f>IF(F469="LULUS",1,0)</f>
        <v>1</v>
      </c>
      <c r="N469" s="1060">
        <f>IF(F469="CUTI",1,0)</f>
        <v>0</v>
      </c>
      <c r="O469" s="1060">
        <f>IF(F469="DROP OUT",1,0)</f>
        <v>0</v>
      </c>
      <c r="P469" s="1060">
        <f>IF(F469="PASIF",1,0)</f>
        <v>0</v>
      </c>
    </row>
    <row r="470" spans="1:16" x14ac:dyDescent="0.25">
      <c r="A470" s="1034">
        <v>920</v>
      </c>
      <c r="B470" s="1034">
        <f t="shared" si="287"/>
        <v>5</v>
      </c>
      <c r="C470" s="1034" t="str">
        <f>IFERROR(VLOOKUP(A470,DB,4,FALSE),"")</f>
        <v>Fajar Abdillah</v>
      </c>
      <c r="D470" s="1035" t="str">
        <f>IFERROR(VLOOKUP(A470,DB,5,FALSE),"")</f>
        <v>IPDI</v>
      </c>
      <c r="E470" s="1036">
        <f>IFERROR(VLOOKUP(A470,DB,6,FALSE),"")</f>
        <v>2015</v>
      </c>
      <c r="F470" s="1035" t="str">
        <f>IFERROR(VLOOKUP(A470,DB,7,FALSE),"")</f>
        <v>LULUS</v>
      </c>
      <c r="G470" s="1036">
        <f>IFERROR(VLOOKUP(A470,DB,3,FALSE),"")</f>
        <v>849415005</v>
      </c>
      <c r="H470" s="1038">
        <f>IF(F470="AKTIF",3000000,IF(F470="CUTI",3000000,0))</f>
        <v>0</v>
      </c>
      <c r="I470" s="1038">
        <f>IF(F470="AKTIF",3000000,IF(F470="CUTI",3000000,0))</f>
        <v>0</v>
      </c>
      <c r="J470" s="1038">
        <f>I470+H470</f>
        <v>0</v>
      </c>
      <c r="L470" s="1060">
        <f t="shared" si="250"/>
        <v>0</v>
      </c>
      <c r="M470" s="1060">
        <f>IF(F470="LULUS",1,0)</f>
        <v>1</v>
      </c>
      <c r="N470" s="1060">
        <f>IF(F470="CUTI",1,0)</f>
        <v>0</v>
      </c>
      <c r="O470" s="1060">
        <f>IF(F470="DROP OUT",1,0)</f>
        <v>0</v>
      </c>
      <c r="P470" s="1060">
        <f>IF(F470="PASIF",1,0)</f>
        <v>0</v>
      </c>
    </row>
    <row r="471" spans="1:16" x14ac:dyDescent="0.25">
      <c r="A471" s="1039"/>
      <c r="B471" s="1039"/>
      <c r="C471" s="1039"/>
      <c r="D471" s="1040"/>
      <c r="E471" s="1041"/>
      <c r="F471" s="1040"/>
      <c r="G471" s="1041"/>
      <c r="H471" s="1042"/>
      <c r="I471" s="1042"/>
      <c r="J471" s="1042"/>
      <c r="L471" s="1042"/>
      <c r="M471" s="1042"/>
      <c r="N471" s="1042"/>
      <c r="O471" s="1042"/>
      <c r="P471" s="1042"/>
    </row>
    <row r="472" spans="1:16" x14ac:dyDescent="0.25">
      <c r="A472" s="1073" t="str">
        <f>'Rekap SPP'!A995</f>
        <v>S3-MPI 2015/2016 - Reg</v>
      </c>
      <c r="B472" s="1073"/>
      <c r="C472" s="1073"/>
      <c r="D472" s="1074" t="s">
        <v>3</v>
      </c>
      <c r="E472" s="1075" t="s">
        <v>4</v>
      </c>
      <c r="F472" s="1074" t="s">
        <v>3195</v>
      </c>
      <c r="G472" s="1075" t="s">
        <v>1</v>
      </c>
      <c r="H472" s="1074" t="s">
        <v>3341</v>
      </c>
      <c r="I472" s="1074" t="s">
        <v>3362</v>
      </c>
      <c r="J472" s="1062">
        <f>SUM(J473:J498)</f>
        <v>48000000</v>
      </c>
      <c r="L472" s="1063">
        <f>SUM(L473:L498)</f>
        <v>4</v>
      </c>
      <c r="M472" s="1063">
        <f>SUM(M473:M498)</f>
        <v>8</v>
      </c>
      <c r="N472" s="1063">
        <f>SUM(N473:N498)</f>
        <v>0</v>
      </c>
      <c r="O472" s="1063">
        <f>SUM(O473:O498)</f>
        <v>3</v>
      </c>
      <c r="P472" s="1063">
        <f>SUM(P473:P498)</f>
        <v>11</v>
      </c>
    </row>
    <row r="473" spans="1:16" x14ac:dyDescent="0.25">
      <c r="A473" s="1034">
        <v>921</v>
      </c>
      <c r="B473" s="1034">
        <f t="shared" si="287"/>
        <v>1</v>
      </c>
      <c r="C473" s="1034" t="str">
        <f t="shared" ref="C473:C498" si="288">IFERROR(VLOOKUP(A473,DB,4,FALSE),"")</f>
        <v>AMINATUZ ZAHROH</v>
      </c>
      <c r="D473" s="1035" t="str">
        <f t="shared" ref="D473:D498" si="289">IFERROR(VLOOKUP(A473,DB,5,FALSE),"")</f>
        <v>MPI-S3</v>
      </c>
      <c r="E473" s="1036">
        <f t="shared" ref="E473:E498" si="290">IFERROR(VLOOKUP(A473,DB,6,FALSE),"")</f>
        <v>2015</v>
      </c>
      <c r="F473" s="1035" t="str">
        <f t="shared" ref="F473:F498" si="291">IFERROR(VLOOKUP(A473,DB,7,FALSE),"")</f>
        <v>LULUS</v>
      </c>
      <c r="G473" s="1036">
        <f t="shared" ref="G473:G498" si="292">IFERROR(VLOOKUP(A473,DB,3,FALSE),"")</f>
        <v>841915001</v>
      </c>
      <c r="H473" s="1038">
        <f t="shared" ref="H473:H498" si="293">IF(F473="AKTIF",6000000,IF(F473="CUTI",6000000,0))</f>
        <v>0</v>
      </c>
      <c r="I473" s="1038">
        <f t="shared" ref="I473:I498" si="294">IF(F473="AKTIF",6000000,IF(F473="CUTI",6000000,0))</f>
        <v>0</v>
      </c>
      <c r="J473" s="1038">
        <f t="shared" ref="J473:J498" si="295">I473+H473</f>
        <v>0</v>
      </c>
      <c r="L473" s="1060">
        <f t="shared" si="250"/>
        <v>0</v>
      </c>
      <c r="M473" s="1060">
        <f t="shared" ref="M473:M498" si="296">IF(F473="LULUS",1,0)</f>
        <v>1</v>
      </c>
      <c r="N473" s="1060">
        <f t="shared" ref="N473:N498" si="297">IF(F473="CUTI",1,0)</f>
        <v>0</v>
      </c>
      <c r="O473" s="1060">
        <f t="shared" ref="O473:O498" si="298">IF(F473="DROP OUT",1,0)</f>
        <v>0</v>
      </c>
      <c r="P473" s="1060">
        <f t="shared" ref="P473:P498" si="299">IF(F473="PASIF",1,0)</f>
        <v>0</v>
      </c>
    </row>
    <row r="474" spans="1:16" x14ac:dyDescent="0.25">
      <c r="A474" s="1034">
        <v>922</v>
      </c>
      <c r="B474" s="1034">
        <f t="shared" si="287"/>
        <v>2</v>
      </c>
      <c r="C474" s="1034" t="str">
        <f t="shared" si="288"/>
        <v>TOHARI</v>
      </c>
      <c r="D474" s="1035" t="str">
        <f t="shared" si="289"/>
        <v>MPI-S3</v>
      </c>
      <c r="E474" s="1036">
        <f t="shared" si="290"/>
        <v>2015</v>
      </c>
      <c r="F474" s="1035" t="str">
        <f t="shared" si="291"/>
        <v>DROP OUT</v>
      </c>
      <c r="G474" s="1036">
        <f t="shared" si="292"/>
        <v>841915002</v>
      </c>
      <c r="H474" s="1038">
        <f t="shared" si="293"/>
        <v>0</v>
      </c>
      <c r="I474" s="1038">
        <f t="shared" si="294"/>
        <v>0</v>
      </c>
      <c r="J474" s="1038">
        <f t="shared" si="295"/>
        <v>0</v>
      </c>
      <c r="L474" s="1060">
        <f t="shared" si="250"/>
        <v>0</v>
      </c>
      <c r="M474" s="1060">
        <f t="shared" si="296"/>
        <v>0</v>
      </c>
      <c r="N474" s="1060">
        <f t="shared" si="297"/>
        <v>0</v>
      </c>
      <c r="O474" s="1060">
        <f t="shared" si="298"/>
        <v>1</v>
      </c>
      <c r="P474" s="1060">
        <f t="shared" si="299"/>
        <v>0</v>
      </c>
    </row>
    <row r="475" spans="1:16" x14ac:dyDescent="0.25">
      <c r="A475" s="1034">
        <v>923</v>
      </c>
      <c r="B475" s="1034">
        <f t="shared" si="287"/>
        <v>3</v>
      </c>
      <c r="C475" s="1034" t="str">
        <f t="shared" si="288"/>
        <v>YAYOK WAHYUDI</v>
      </c>
      <c r="D475" s="1035" t="str">
        <f t="shared" si="289"/>
        <v>MPI-S3</v>
      </c>
      <c r="E475" s="1036">
        <f t="shared" si="290"/>
        <v>2015</v>
      </c>
      <c r="F475" s="1035" t="str">
        <f t="shared" si="291"/>
        <v>PASIF</v>
      </c>
      <c r="G475" s="1036">
        <f t="shared" si="292"/>
        <v>841915003</v>
      </c>
      <c r="H475" s="1038">
        <f t="shared" si="293"/>
        <v>0</v>
      </c>
      <c r="I475" s="1038">
        <f t="shared" si="294"/>
        <v>0</v>
      </c>
      <c r="J475" s="1038">
        <f t="shared" si="295"/>
        <v>0</v>
      </c>
      <c r="L475" s="1060">
        <f t="shared" si="250"/>
        <v>0</v>
      </c>
      <c r="M475" s="1060">
        <f t="shared" si="296"/>
        <v>0</v>
      </c>
      <c r="N475" s="1060">
        <f t="shared" si="297"/>
        <v>0</v>
      </c>
      <c r="O475" s="1060">
        <f t="shared" si="298"/>
        <v>0</v>
      </c>
      <c r="P475" s="1060">
        <f t="shared" si="299"/>
        <v>1</v>
      </c>
    </row>
    <row r="476" spans="1:16" x14ac:dyDescent="0.25">
      <c r="A476" s="1034">
        <v>924</v>
      </c>
      <c r="B476" s="1034">
        <f t="shared" si="287"/>
        <v>4</v>
      </c>
      <c r="C476" s="1034" t="str">
        <f t="shared" si="288"/>
        <v>YUNUS</v>
      </c>
      <c r="D476" s="1035" t="str">
        <f t="shared" si="289"/>
        <v>MPI-S3</v>
      </c>
      <c r="E476" s="1036">
        <f t="shared" si="290"/>
        <v>2015</v>
      </c>
      <c r="F476" s="1035" t="str">
        <f t="shared" si="291"/>
        <v>PASIF</v>
      </c>
      <c r="G476" s="1036">
        <f t="shared" si="292"/>
        <v>841915004</v>
      </c>
      <c r="H476" s="1038">
        <f t="shared" si="293"/>
        <v>0</v>
      </c>
      <c r="I476" s="1038">
        <f t="shared" si="294"/>
        <v>0</v>
      </c>
      <c r="J476" s="1038">
        <f t="shared" si="295"/>
        <v>0</v>
      </c>
      <c r="L476" s="1060">
        <f t="shared" ref="L476:L534" si="300">IF(F476="AKTIF",1,0)</f>
        <v>0</v>
      </c>
      <c r="M476" s="1060">
        <f t="shared" si="296"/>
        <v>0</v>
      </c>
      <c r="N476" s="1060">
        <f t="shared" si="297"/>
        <v>0</v>
      </c>
      <c r="O476" s="1060">
        <f t="shared" si="298"/>
        <v>0</v>
      </c>
      <c r="P476" s="1060">
        <f t="shared" si="299"/>
        <v>1</v>
      </c>
    </row>
    <row r="477" spans="1:16" x14ac:dyDescent="0.25">
      <c r="A477" s="1034">
        <v>925</v>
      </c>
      <c r="B477" s="1034">
        <f t="shared" si="287"/>
        <v>5</v>
      </c>
      <c r="C477" s="1034" t="str">
        <f t="shared" si="288"/>
        <v>HAYA</v>
      </c>
      <c r="D477" s="1035" t="str">
        <f t="shared" si="289"/>
        <v>MPI-S3</v>
      </c>
      <c r="E477" s="1036">
        <f t="shared" si="290"/>
        <v>2015</v>
      </c>
      <c r="F477" s="1035" t="str">
        <f t="shared" si="291"/>
        <v>LULUS</v>
      </c>
      <c r="G477" s="1036">
        <f t="shared" si="292"/>
        <v>841915005</v>
      </c>
      <c r="H477" s="1038">
        <f t="shared" si="293"/>
        <v>0</v>
      </c>
      <c r="I477" s="1038">
        <f t="shared" si="294"/>
        <v>0</v>
      </c>
      <c r="J477" s="1038">
        <f t="shared" si="295"/>
        <v>0</v>
      </c>
      <c r="L477" s="1060">
        <f t="shared" si="300"/>
        <v>0</v>
      </c>
      <c r="M477" s="1060">
        <f t="shared" si="296"/>
        <v>1</v>
      </c>
      <c r="N477" s="1060">
        <f t="shared" si="297"/>
        <v>0</v>
      </c>
      <c r="O477" s="1060">
        <f t="shared" si="298"/>
        <v>0</v>
      </c>
      <c r="P477" s="1060">
        <f t="shared" si="299"/>
        <v>0</v>
      </c>
    </row>
    <row r="478" spans="1:16" x14ac:dyDescent="0.25">
      <c r="A478" s="1034">
        <v>926</v>
      </c>
      <c r="B478" s="1034">
        <f t="shared" si="287"/>
        <v>6</v>
      </c>
      <c r="C478" s="1034" t="str">
        <f t="shared" si="288"/>
        <v>MOH. ANWAR</v>
      </c>
      <c r="D478" s="1035" t="str">
        <f t="shared" si="289"/>
        <v>MPI-S3</v>
      </c>
      <c r="E478" s="1036">
        <f t="shared" si="290"/>
        <v>2015</v>
      </c>
      <c r="F478" s="1035" t="str">
        <f t="shared" si="291"/>
        <v>AKTIF</v>
      </c>
      <c r="G478" s="1036">
        <f t="shared" si="292"/>
        <v>841915006</v>
      </c>
      <c r="H478" s="1038">
        <f t="shared" si="293"/>
        <v>6000000</v>
      </c>
      <c r="I478" s="1038">
        <f t="shared" si="294"/>
        <v>6000000</v>
      </c>
      <c r="J478" s="1038">
        <f t="shared" si="295"/>
        <v>12000000</v>
      </c>
      <c r="L478" s="1060">
        <f t="shared" si="300"/>
        <v>1</v>
      </c>
      <c r="M478" s="1060">
        <f t="shared" si="296"/>
        <v>0</v>
      </c>
      <c r="N478" s="1060">
        <f t="shared" si="297"/>
        <v>0</v>
      </c>
      <c r="O478" s="1060">
        <f t="shared" si="298"/>
        <v>0</v>
      </c>
      <c r="P478" s="1060">
        <f t="shared" si="299"/>
        <v>0</v>
      </c>
    </row>
    <row r="479" spans="1:16" x14ac:dyDescent="0.25">
      <c r="A479" s="1034">
        <v>927</v>
      </c>
      <c r="B479" s="1034">
        <f t="shared" si="287"/>
        <v>7</v>
      </c>
      <c r="C479" s="1034" t="str">
        <f t="shared" si="288"/>
        <v>KHOLILUR RAHMAN</v>
      </c>
      <c r="D479" s="1035" t="str">
        <f t="shared" si="289"/>
        <v>MPI-S3</v>
      </c>
      <c r="E479" s="1036">
        <f t="shared" si="290"/>
        <v>2015</v>
      </c>
      <c r="F479" s="1035" t="str">
        <f t="shared" si="291"/>
        <v>LULUS</v>
      </c>
      <c r="G479" s="1036">
        <f t="shared" si="292"/>
        <v>841915007</v>
      </c>
      <c r="H479" s="1038">
        <f t="shared" si="293"/>
        <v>0</v>
      </c>
      <c r="I479" s="1038">
        <f t="shared" si="294"/>
        <v>0</v>
      </c>
      <c r="J479" s="1038">
        <f t="shared" si="295"/>
        <v>0</v>
      </c>
      <c r="L479" s="1060">
        <f t="shared" si="300"/>
        <v>0</v>
      </c>
      <c r="M479" s="1060">
        <f t="shared" si="296"/>
        <v>1</v>
      </c>
      <c r="N479" s="1060">
        <f t="shared" si="297"/>
        <v>0</v>
      </c>
      <c r="O479" s="1060">
        <f t="shared" si="298"/>
        <v>0</v>
      </c>
      <c r="P479" s="1060">
        <f t="shared" si="299"/>
        <v>0</v>
      </c>
    </row>
    <row r="480" spans="1:16" x14ac:dyDescent="0.25">
      <c r="A480" s="1034">
        <v>928</v>
      </c>
      <c r="B480" s="1034">
        <f t="shared" si="287"/>
        <v>8</v>
      </c>
      <c r="C480" s="1034" t="str">
        <f t="shared" si="288"/>
        <v>HARTONO</v>
      </c>
      <c r="D480" s="1035" t="str">
        <f t="shared" si="289"/>
        <v>MPI-S3</v>
      </c>
      <c r="E480" s="1036">
        <f t="shared" si="290"/>
        <v>2015</v>
      </c>
      <c r="F480" s="1035" t="str">
        <f t="shared" si="291"/>
        <v>PASIF</v>
      </c>
      <c r="G480" s="1036">
        <f t="shared" si="292"/>
        <v>841915008</v>
      </c>
      <c r="H480" s="1038">
        <f t="shared" si="293"/>
        <v>0</v>
      </c>
      <c r="I480" s="1038">
        <f t="shared" si="294"/>
        <v>0</v>
      </c>
      <c r="J480" s="1038">
        <f t="shared" si="295"/>
        <v>0</v>
      </c>
      <c r="L480" s="1060">
        <f t="shared" si="300"/>
        <v>0</v>
      </c>
      <c r="M480" s="1060">
        <f t="shared" si="296"/>
        <v>0</v>
      </c>
      <c r="N480" s="1060">
        <f t="shared" si="297"/>
        <v>0</v>
      </c>
      <c r="O480" s="1060">
        <f t="shared" si="298"/>
        <v>0</v>
      </c>
      <c r="P480" s="1060">
        <f t="shared" si="299"/>
        <v>1</v>
      </c>
    </row>
    <row r="481" spans="1:16" x14ac:dyDescent="0.25">
      <c r="A481" s="1034">
        <v>929</v>
      </c>
      <c r="B481" s="1034">
        <f t="shared" si="287"/>
        <v>9</v>
      </c>
      <c r="C481" s="1034" t="str">
        <f t="shared" si="288"/>
        <v>SYAMSUL BAHRI</v>
      </c>
      <c r="D481" s="1035" t="str">
        <f t="shared" si="289"/>
        <v>MPI-S3</v>
      </c>
      <c r="E481" s="1036">
        <f t="shared" si="290"/>
        <v>2015</v>
      </c>
      <c r="F481" s="1035" t="str">
        <f t="shared" si="291"/>
        <v>LULUS</v>
      </c>
      <c r="G481" s="1036">
        <f t="shared" si="292"/>
        <v>841915009</v>
      </c>
      <c r="H481" s="1038">
        <f t="shared" si="293"/>
        <v>0</v>
      </c>
      <c r="I481" s="1038">
        <f t="shared" si="294"/>
        <v>0</v>
      </c>
      <c r="J481" s="1038">
        <f t="shared" si="295"/>
        <v>0</v>
      </c>
      <c r="L481" s="1060">
        <f t="shared" si="300"/>
        <v>0</v>
      </c>
      <c r="M481" s="1060">
        <f t="shared" si="296"/>
        <v>1</v>
      </c>
      <c r="N481" s="1060">
        <f t="shared" si="297"/>
        <v>0</v>
      </c>
      <c r="O481" s="1060">
        <f t="shared" si="298"/>
        <v>0</v>
      </c>
      <c r="P481" s="1060">
        <f t="shared" si="299"/>
        <v>0</v>
      </c>
    </row>
    <row r="482" spans="1:16" x14ac:dyDescent="0.25">
      <c r="A482" s="1034">
        <v>930</v>
      </c>
      <c r="B482" s="1034">
        <f t="shared" si="287"/>
        <v>10</v>
      </c>
      <c r="C482" s="1034" t="str">
        <f t="shared" si="288"/>
        <v>MOCH.HOLIL. A</v>
      </c>
      <c r="D482" s="1035" t="str">
        <f t="shared" si="289"/>
        <v>MPI-S3</v>
      </c>
      <c r="E482" s="1036">
        <f t="shared" si="290"/>
        <v>2015</v>
      </c>
      <c r="F482" s="1035" t="str">
        <f t="shared" si="291"/>
        <v>DROP OUT</v>
      </c>
      <c r="G482" s="1036">
        <f t="shared" si="292"/>
        <v>841915010</v>
      </c>
      <c r="H482" s="1038">
        <f t="shared" si="293"/>
        <v>0</v>
      </c>
      <c r="I482" s="1038">
        <f t="shared" si="294"/>
        <v>0</v>
      </c>
      <c r="J482" s="1038">
        <f t="shared" si="295"/>
        <v>0</v>
      </c>
      <c r="L482" s="1060">
        <f t="shared" si="300"/>
        <v>0</v>
      </c>
      <c r="M482" s="1060">
        <f t="shared" si="296"/>
        <v>0</v>
      </c>
      <c r="N482" s="1060">
        <f t="shared" si="297"/>
        <v>0</v>
      </c>
      <c r="O482" s="1060">
        <f t="shared" si="298"/>
        <v>1</v>
      </c>
      <c r="P482" s="1060">
        <f t="shared" si="299"/>
        <v>0</v>
      </c>
    </row>
    <row r="483" spans="1:16" x14ac:dyDescent="0.25">
      <c r="A483" s="1034">
        <v>931</v>
      </c>
      <c r="B483" s="1034">
        <f t="shared" si="287"/>
        <v>11</v>
      </c>
      <c r="C483" s="1034" t="str">
        <f t="shared" si="288"/>
        <v>MARKHABAN</v>
      </c>
      <c r="D483" s="1035" t="str">
        <f t="shared" si="289"/>
        <v>MPI-S3</v>
      </c>
      <c r="E483" s="1036">
        <f t="shared" si="290"/>
        <v>2015</v>
      </c>
      <c r="F483" s="1035" t="str">
        <f t="shared" si="291"/>
        <v>LULUS</v>
      </c>
      <c r="G483" s="1036">
        <f t="shared" si="292"/>
        <v>841915011</v>
      </c>
      <c r="H483" s="1038">
        <f t="shared" si="293"/>
        <v>0</v>
      </c>
      <c r="I483" s="1038">
        <f t="shared" si="294"/>
        <v>0</v>
      </c>
      <c r="J483" s="1038">
        <f t="shared" si="295"/>
        <v>0</v>
      </c>
      <c r="L483" s="1060">
        <f t="shared" si="300"/>
        <v>0</v>
      </c>
      <c r="M483" s="1060">
        <f t="shared" si="296"/>
        <v>1</v>
      </c>
      <c r="N483" s="1060">
        <f t="shared" si="297"/>
        <v>0</v>
      </c>
      <c r="O483" s="1060">
        <f t="shared" si="298"/>
        <v>0</v>
      </c>
      <c r="P483" s="1060">
        <f t="shared" si="299"/>
        <v>0</v>
      </c>
    </row>
    <row r="484" spans="1:16" x14ac:dyDescent="0.25">
      <c r="A484" s="1034">
        <v>932</v>
      </c>
      <c r="B484" s="1034">
        <f t="shared" si="287"/>
        <v>12</v>
      </c>
      <c r="C484" s="1034" t="str">
        <f t="shared" si="288"/>
        <v>IMRON FAUZI</v>
      </c>
      <c r="D484" s="1035" t="str">
        <f t="shared" si="289"/>
        <v>MPI-S3</v>
      </c>
      <c r="E484" s="1036">
        <f t="shared" si="290"/>
        <v>2015</v>
      </c>
      <c r="F484" s="1035" t="str">
        <f t="shared" si="291"/>
        <v>LULUS</v>
      </c>
      <c r="G484" s="1036">
        <f t="shared" si="292"/>
        <v>841915013</v>
      </c>
      <c r="H484" s="1038">
        <f t="shared" si="293"/>
        <v>0</v>
      </c>
      <c r="I484" s="1038">
        <f t="shared" si="294"/>
        <v>0</v>
      </c>
      <c r="J484" s="1038">
        <f t="shared" si="295"/>
        <v>0</v>
      </c>
      <c r="L484" s="1060">
        <f t="shared" si="300"/>
        <v>0</v>
      </c>
      <c r="M484" s="1060">
        <f t="shared" si="296"/>
        <v>1</v>
      </c>
      <c r="N484" s="1060">
        <f t="shared" si="297"/>
        <v>0</v>
      </c>
      <c r="O484" s="1060">
        <f t="shared" si="298"/>
        <v>0</v>
      </c>
      <c r="P484" s="1060">
        <f t="shared" si="299"/>
        <v>0</v>
      </c>
    </row>
    <row r="485" spans="1:16" x14ac:dyDescent="0.25">
      <c r="A485" s="1034">
        <v>933</v>
      </c>
      <c r="B485" s="1034">
        <f t="shared" si="287"/>
        <v>13</v>
      </c>
      <c r="C485" s="1034" t="str">
        <f t="shared" si="288"/>
        <v>IRFAN AFANDI</v>
      </c>
      <c r="D485" s="1035" t="str">
        <f t="shared" si="289"/>
        <v>MPI-S3</v>
      </c>
      <c r="E485" s="1036">
        <f t="shared" si="290"/>
        <v>2015</v>
      </c>
      <c r="F485" s="1035" t="str">
        <f t="shared" si="291"/>
        <v>PASIF</v>
      </c>
      <c r="G485" s="1036">
        <f t="shared" si="292"/>
        <v>841915014</v>
      </c>
      <c r="H485" s="1038">
        <f t="shared" si="293"/>
        <v>0</v>
      </c>
      <c r="I485" s="1038">
        <f t="shared" si="294"/>
        <v>0</v>
      </c>
      <c r="J485" s="1038">
        <f t="shared" si="295"/>
        <v>0</v>
      </c>
      <c r="L485" s="1060">
        <f t="shared" si="300"/>
        <v>0</v>
      </c>
      <c r="M485" s="1060">
        <f t="shared" si="296"/>
        <v>0</v>
      </c>
      <c r="N485" s="1060">
        <f t="shared" si="297"/>
        <v>0</v>
      </c>
      <c r="O485" s="1060">
        <f t="shared" si="298"/>
        <v>0</v>
      </c>
      <c r="P485" s="1060">
        <f t="shared" si="299"/>
        <v>1</v>
      </c>
    </row>
    <row r="486" spans="1:16" x14ac:dyDescent="0.25">
      <c r="A486" s="1034">
        <v>934</v>
      </c>
      <c r="B486" s="1034">
        <f t="shared" si="287"/>
        <v>14</v>
      </c>
      <c r="C486" s="1034" t="str">
        <f t="shared" si="288"/>
        <v>MOHAMAD YAHYA</v>
      </c>
      <c r="D486" s="1035" t="str">
        <f t="shared" si="289"/>
        <v>MPI-S3</v>
      </c>
      <c r="E486" s="1036">
        <f t="shared" si="290"/>
        <v>2015</v>
      </c>
      <c r="F486" s="1035" t="str">
        <f t="shared" si="291"/>
        <v>PASIF</v>
      </c>
      <c r="G486" s="1036">
        <f t="shared" si="292"/>
        <v>841915015</v>
      </c>
      <c r="H486" s="1038">
        <f t="shared" si="293"/>
        <v>0</v>
      </c>
      <c r="I486" s="1038">
        <f t="shared" si="294"/>
        <v>0</v>
      </c>
      <c r="J486" s="1038">
        <f t="shared" si="295"/>
        <v>0</v>
      </c>
      <c r="L486" s="1060">
        <f t="shared" si="300"/>
        <v>0</v>
      </c>
      <c r="M486" s="1060">
        <f t="shared" si="296"/>
        <v>0</v>
      </c>
      <c r="N486" s="1060">
        <f t="shared" si="297"/>
        <v>0</v>
      </c>
      <c r="O486" s="1060">
        <f t="shared" si="298"/>
        <v>0</v>
      </c>
      <c r="P486" s="1060">
        <f t="shared" si="299"/>
        <v>1</v>
      </c>
    </row>
    <row r="487" spans="1:16" x14ac:dyDescent="0.25">
      <c r="A487" s="1034">
        <v>935</v>
      </c>
      <c r="B487" s="1034">
        <f t="shared" si="287"/>
        <v>15</v>
      </c>
      <c r="C487" s="1034" t="str">
        <f t="shared" si="288"/>
        <v>ABDUL MUIS</v>
      </c>
      <c r="D487" s="1035" t="str">
        <f t="shared" si="289"/>
        <v>MPI-S3</v>
      </c>
      <c r="E487" s="1036">
        <f t="shared" si="290"/>
        <v>2015</v>
      </c>
      <c r="F487" s="1035" t="str">
        <f t="shared" si="291"/>
        <v>LULUS</v>
      </c>
      <c r="G487" s="1036">
        <f t="shared" si="292"/>
        <v>841915016</v>
      </c>
      <c r="H487" s="1038">
        <f t="shared" si="293"/>
        <v>0</v>
      </c>
      <c r="I487" s="1038">
        <f t="shared" si="294"/>
        <v>0</v>
      </c>
      <c r="J487" s="1038">
        <f t="shared" si="295"/>
        <v>0</v>
      </c>
      <c r="L487" s="1060">
        <f t="shared" si="300"/>
        <v>0</v>
      </c>
      <c r="M487" s="1060">
        <f t="shared" si="296"/>
        <v>1</v>
      </c>
      <c r="N487" s="1060">
        <f t="shared" si="297"/>
        <v>0</v>
      </c>
      <c r="O487" s="1060">
        <f t="shared" si="298"/>
        <v>0</v>
      </c>
      <c r="P487" s="1060">
        <f t="shared" si="299"/>
        <v>0</v>
      </c>
    </row>
    <row r="488" spans="1:16" x14ac:dyDescent="0.25">
      <c r="A488" s="1034">
        <v>936</v>
      </c>
      <c r="B488" s="1034">
        <f t="shared" si="287"/>
        <v>16</v>
      </c>
      <c r="C488" s="1034" t="str">
        <f t="shared" si="288"/>
        <v>ROSYADI BR.</v>
      </c>
      <c r="D488" s="1035" t="str">
        <f t="shared" si="289"/>
        <v>MPI-S3</v>
      </c>
      <c r="E488" s="1036">
        <f t="shared" si="290"/>
        <v>2015</v>
      </c>
      <c r="F488" s="1035" t="str">
        <f t="shared" si="291"/>
        <v>AKTIF</v>
      </c>
      <c r="G488" s="1036">
        <f t="shared" si="292"/>
        <v>841915018</v>
      </c>
      <c r="H488" s="1038">
        <f t="shared" si="293"/>
        <v>6000000</v>
      </c>
      <c r="I488" s="1038">
        <f t="shared" si="294"/>
        <v>6000000</v>
      </c>
      <c r="J488" s="1038">
        <f t="shared" si="295"/>
        <v>12000000</v>
      </c>
      <c r="L488" s="1060">
        <f t="shared" si="300"/>
        <v>1</v>
      </c>
      <c r="M488" s="1060">
        <f t="shared" si="296"/>
        <v>0</v>
      </c>
      <c r="N488" s="1060">
        <f t="shared" si="297"/>
        <v>0</v>
      </c>
      <c r="O488" s="1060">
        <f t="shared" si="298"/>
        <v>0</v>
      </c>
      <c r="P488" s="1060">
        <f t="shared" si="299"/>
        <v>0</v>
      </c>
    </row>
    <row r="489" spans="1:16" x14ac:dyDescent="0.25">
      <c r="A489" s="1034">
        <v>937</v>
      </c>
      <c r="B489" s="1034">
        <f t="shared" si="287"/>
        <v>17</v>
      </c>
      <c r="C489" s="1034" t="str">
        <f t="shared" si="288"/>
        <v>UMMI MAHMUDAH</v>
      </c>
      <c r="D489" s="1035" t="str">
        <f t="shared" si="289"/>
        <v>MPI-S3</v>
      </c>
      <c r="E489" s="1036">
        <f t="shared" si="290"/>
        <v>2015</v>
      </c>
      <c r="F489" s="1035" t="str">
        <f t="shared" si="291"/>
        <v>PASIF</v>
      </c>
      <c r="G489" s="1036">
        <f t="shared" si="292"/>
        <v>841915019</v>
      </c>
      <c r="H489" s="1038">
        <f t="shared" si="293"/>
        <v>0</v>
      </c>
      <c r="I489" s="1038">
        <f t="shared" si="294"/>
        <v>0</v>
      </c>
      <c r="J489" s="1038">
        <f t="shared" si="295"/>
        <v>0</v>
      </c>
      <c r="L489" s="1060">
        <f t="shared" si="300"/>
        <v>0</v>
      </c>
      <c r="M489" s="1060">
        <f t="shared" si="296"/>
        <v>0</v>
      </c>
      <c r="N489" s="1060">
        <f t="shared" si="297"/>
        <v>0</v>
      </c>
      <c r="O489" s="1060">
        <f t="shared" si="298"/>
        <v>0</v>
      </c>
      <c r="P489" s="1060">
        <f t="shared" si="299"/>
        <v>1</v>
      </c>
    </row>
    <row r="490" spans="1:16" x14ac:dyDescent="0.25">
      <c r="A490" s="1034">
        <v>938</v>
      </c>
      <c r="B490" s="1034">
        <f t="shared" si="287"/>
        <v>18</v>
      </c>
      <c r="C490" s="1034" t="str">
        <f t="shared" si="288"/>
        <v>NUZZULUL ULUM</v>
      </c>
      <c r="D490" s="1035" t="str">
        <f t="shared" si="289"/>
        <v>MPI-S3</v>
      </c>
      <c r="E490" s="1036">
        <f t="shared" si="290"/>
        <v>2015</v>
      </c>
      <c r="F490" s="1035" t="str">
        <f t="shared" si="291"/>
        <v>AKTIF</v>
      </c>
      <c r="G490" s="1036">
        <f t="shared" si="292"/>
        <v>841915020</v>
      </c>
      <c r="H490" s="1038">
        <f t="shared" si="293"/>
        <v>6000000</v>
      </c>
      <c r="I490" s="1038">
        <f t="shared" si="294"/>
        <v>6000000</v>
      </c>
      <c r="J490" s="1038">
        <f t="shared" si="295"/>
        <v>12000000</v>
      </c>
      <c r="L490" s="1060">
        <f t="shared" si="300"/>
        <v>1</v>
      </c>
      <c r="M490" s="1060">
        <f t="shared" si="296"/>
        <v>0</v>
      </c>
      <c r="N490" s="1060">
        <f t="shared" si="297"/>
        <v>0</v>
      </c>
      <c r="O490" s="1060">
        <f t="shared" si="298"/>
        <v>0</v>
      </c>
      <c r="P490" s="1060">
        <f t="shared" si="299"/>
        <v>0</v>
      </c>
    </row>
    <row r="491" spans="1:16" x14ac:dyDescent="0.25">
      <c r="A491" s="1034">
        <v>939</v>
      </c>
      <c r="B491" s="1034">
        <f t="shared" si="287"/>
        <v>19</v>
      </c>
      <c r="C491" s="1034" t="str">
        <f t="shared" si="288"/>
        <v>NURUL HUDA</v>
      </c>
      <c r="D491" s="1035" t="str">
        <f t="shared" si="289"/>
        <v>MPI-S3</v>
      </c>
      <c r="E491" s="1036">
        <f t="shared" si="290"/>
        <v>2015</v>
      </c>
      <c r="F491" s="1035" t="str">
        <f t="shared" si="291"/>
        <v>PASIF</v>
      </c>
      <c r="G491" s="1036">
        <f t="shared" si="292"/>
        <v>841915021</v>
      </c>
      <c r="H491" s="1038">
        <f t="shared" si="293"/>
        <v>0</v>
      </c>
      <c r="I491" s="1038">
        <f t="shared" si="294"/>
        <v>0</v>
      </c>
      <c r="J491" s="1038">
        <f t="shared" si="295"/>
        <v>0</v>
      </c>
      <c r="L491" s="1060">
        <f t="shared" si="300"/>
        <v>0</v>
      </c>
      <c r="M491" s="1060">
        <f t="shared" si="296"/>
        <v>0</v>
      </c>
      <c r="N491" s="1060">
        <f t="shared" si="297"/>
        <v>0</v>
      </c>
      <c r="O491" s="1060">
        <f t="shared" si="298"/>
        <v>0</v>
      </c>
      <c r="P491" s="1060">
        <f t="shared" si="299"/>
        <v>1</v>
      </c>
    </row>
    <row r="492" spans="1:16" x14ac:dyDescent="0.25">
      <c r="A492" s="1034">
        <v>940</v>
      </c>
      <c r="B492" s="1034">
        <f t="shared" si="287"/>
        <v>20</v>
      </c>
      <c r="C492" s="1034" t="str">
        <f t="shared" si="288"/>
        <v>AKHMADI</v>
      </c>
      <c r="D492" s="1035" t="str">
        <f t="shared" si="289"/>
        <v>MPI-S3</v>
      </c>
      <c r="E492" s="1036">
        <f t="shared" si="290"/>
        <v>2015</v>
      </c>
      <c r="F492" s="1035" t="str">
        <f t="shared" si="291"/>
        <v>PASIF</v>
      </c>
      <c r="G492" s="1036">
        <f t="shared" si="292"/>
        <v>841915022</v>
      </c>
      <c r="H492" s="1038">
        <f t="shared" si="293"/>
        <v>0</v>
      </c>
      <c r="I492" s="1038">
        <f t="shared" si="294"/>
        <v>0</v>
      </c>
      <c r="J492" s="1038">
        <f t="shared" si="295"/>
        <v>0</v>
      </c>
      <c r="L492" s="1060">
        <f t="shared" si="300"/>
        <v>0</v>
      </c>
      <c r="M492" s="1060">
        <f t="shared" si="296"/>
        <v>0</v>
      </c>
      <c r="N492" s="1060">
        <f t="shared" si="297"/>
        <v>0</v>
      </c>
      <c r="O492" s="1060">
        <f t="shared" si="298"/>
        <v>0</v>
      </c>
      <c r="P492" s="1060">
        <f t="shared" si="299"/>
        <v>1</v>
      </c>
    </row>
    <row r="493" spans="1:16" x14ac:dyDescent="0.25">
      <c r="A493" s="1034">
        <v>941</v>
      </c>
      <c r="B493" s="1034">
        <f t="shared" si="287"/>
        <v>21</v>
      </c>
      <c r="C493" s="1034" t="str">
        <f t="shared" si="288"/>
        <v>MOH.NUR ROHMAN</v>
      </c>
      <c r="D493" s="1035" t="str">
        <f t="shared" si="289"/>
        <v>MPI-S3</v>
      </c>
      <c r="E493" s="1036">
        <f t="shared" si="290"/>
        <v>2015</v>
      </c>
      <c r="F493" s="1035" t="str">
        <f t="shared" si="291"/>
        <v>AKTIF</v>
      </c>
      <c r="G493" s="1036">
        <f t="shared" si="292"/>
        <v>841915023</v>
      </c>
      <c r="H493" s="1038">
        <f t="shared" si="293"/>
        <v>6000000</v>
      </c>
      <c r="I493" s="1038">
        <f t="shared" si="294"/>
        <v>6000000</v>
      </c>
      <c r="J493" s="1038">
        <f t="shared" si="295"/>
        <v>12000000</v>
      </c>
      <c r="L493" s="1060">
        <f t="shared" si="300"/>
        <v>1</v>
      </c>
      <c r="M493" s="1060">
        <f t="shared" si="296"/>
        <v>0</v>
      </c>
      <c r="N493" s="1060">
        <f t="shared" si="297"/>
        <v>0</v>
      </c>
      <c r="O493" s="1060">
        <f t="shared" si="298"/>
        <v>0</v>
      </c>
      <c r="P493" s="1060">
        <f t="shared" si="299"/>
        <v>0</v>
      </c>
    </row>
    <row r="494" spans="1:16" x14ac:dyDescent="0.25">
      <c r="A494" s="1034">
        <v>942</v>
      </c>
      <c r="B494" s="1034">
        <f t="shared" si="287"/>
        <v>22</v>
      </c>
      <c r="C494" s="1034" t="str">
        <f t="shared" si="288"/>
        <v>ILYAS</v>
      </c>
      <c r="D494" s="1035" t="str">
        <f t="shared" si="289"/>
        <v>MPI-S3</v>
      </c>
      <c r="E494" s="1036">
        <f t="shared" si="290"/>
        <v>2015</v>
      </c>
      <c r="F494" s="1035" t="str">
        <f t="shared" si="291"/>
        <v>DROP OUT</v>
      </c>
      <c r="G494" s="1036">
        <f t="shared" si="292"/>
        <v>841915024</v>
      </c>
      <c r="H494" s="1038">
        <f t="shared" si="293"/>
        <v>0</v>
      </c>
      <c r="I494" s="1038">
        <f t="shared" si="294"/>
        <v>0</v>
      </c>
      <c r="J494" s="1038">
        <f t="shared" si="295"/>
        <v>0</v>
      </c>
      <c r="L494" s="1060">
        <f t="shared" si="300"/>
        <v>0</v>
      </c>
      <c r="M494" s="1060">
        <f t="shared" si="296"/>
        <v>0</v>
      </c>
      <c r="N494" s="1060">
        <f t="shared" si="297"/>
        <v>0</v>
      </c>
      <c r="O494" s="1060">
        <f t="shared" si="298"/>
        <v>1</v>
      </c>
      <c r="P494" s="1060">
        <f t="shared" si="299"/>
        <v>0</v>
      </c>
    </row>
    <row r="495" spans="1:16" x14ac:dyDescent="0.25">
      <c r="A495" s="1034">
        <v>943</v>
      </c>
      <c r="B495" s="1034">
        <f t="shared" si="287"/>
        <v>23</v>
      </c>
      <c r="C495" s="1034" t="str">
        <f t="shared" si="288"/>
        <v>FATHUR RAHIM</v>
      </c>
      <c r="D495" s="1035" t="str">
        <f t="shared" si="289"/>
        <v>MPI-S3</v>
      </c>
      <c r="E495" s="1036">
        <f t="shared" si="290"/>
        <v>2015</v>
      </c>
      <c r="F495" s="1035" t="str">
        <f t="shared" si="291"/>
        <v>PASIF</v>
      </c>
      <c r="G495" s="1036">
        <f t="shared" si="292"/>
        <v>841915026</v>
      </c>
      <c r="H495" s="1038">
        <f t="shared" si="293"/>
        <v>0</v>
      </c>
      <c r="I495" s="1038">
        <f t="shared" si="294"/>
        <v>0</v>
      </c>
      <c r="J495" s="1038">
        <f t="shared" si="295"/>
        <v>0</v>
      </c>
      <c r="L495" s="1060">
        <f t="shared" si="300"/>
        <v>0</v>
      </c>
      <c r="M495" s="1060">
        <f t="shared" si="296"/>
        <v>0</v>
      </c>
      <c r="N495" s="1060">
        <f t="shared" si="297"/>
        <v>0</v>
      </c>
      <c r="O495" s="1060">
        <f t="shared" si="298"/>
        <v>0</v>
      </c>
      <c r="P495" s="1060">
        <f t="shared" si="299"/>
        <v>1</v>
      </c>
    </row>
    <row r="496" spans="1:16" x14ac:dyDescent="0.25">
      <c r="A496" s="1034">
        <v>944</v>
      </c>
      <c r="B496" s="1034">
        <f t="shared" si="287"/>
        <v>24</v>
      </c>
      <c r="C496" s="1034" t="str">
        <f t="shared" si="288"/>
        <v>NURHADI</v>
      </c>
      <c r="D496" s="1035" t="str">
        <f t="shared" si="289"/>
        <v>MPI-S3</v>
      </c>
      <c r="E496" s="1036">
        <f t="shared" si="290"/>
        <v>2015</v>
      </c>
      <c r="F496" s="1035" t="str">
        <f t="shared" si="291"/>
        <v>PASIF</v>
      </c>
      <c r="G496" s="1036">
        <f t="shared" si="292"/>
        <v>841915028</v>
      </c>
      <c r="H496" s="1038">
        <f t="shared" si="293"/>
        <v>0</v>
      </c>
      <c r="I496" s="1038">
        <f t="shared" si="294"/>
        <v>0</v>
      </c>
      <c r="J496" s="1038">
        <f t="shared" si="295"/>
        <v>0</v>
      </c>
      <c r="L496" s="1060">
        <f t="shared" si="300"/>
        <v>0</v>
      </c>
      <c r="M496" s="1060">
        <f t="shared" si="296"/>
        <v>0</v>
      </c>
      <c r="N496" s="1060">
        <f t="shared" si="297"/>
        <v>0</v>
      </c>
      <c r="O496" s="1060">
        <f t="shared" si="298"/>
        <v>0</v>
      </c>
      <c r="P496" s="1060">
        <f t="shared" si="299"/>
        <v>1</v>
      </c>
    </row>
    <row r="497" spans="1:18" x14ac:dyDescent="0.25">
      <c r="A497" s="1034">
        <v>945</v>
      </c>
      <c r="B497" s="1034">
        <f t="shared" si="287"/>
        <v>25</v>
      </c>
      <c r="C497" s="1034" t="str">
        <f t="shared" si="288"/>
        <v>MOH. QURTUBI</v>
      </c>
      <c r="D497" s="1035" t="str">
        <f t="shared" si="289"/>
        <v>MPI-S3</v>
      </c>
      <c r="E497" s="1036">
        <f t="shared" si="290"/>
        <v>2015</v>
      </c>
      <c r="F497" s="1035" t="str">
        <f t="shared" si="291"/>
        <v>PASIF</v>
      </c>
      <c r="G497" s="1036">
        <f t="shared" si="292"/>
        <v>841915029</v>
      </c>
      <c r="H497" s="1038">
        <f t="shared" si="293"/>
        <v>0</v>
      </c>
      <c r="I497" s="1038">
        <f t="shared" si="294"/>
        <v>0</v>
      </c>
      <c r="J497" s="1038">
        <f t="shared" si="295"/>
        <v>0</v>
      </c>
      <c r="L497" s="1060">
        <f t="shared" si="300"/>
        <v>0</v>
      </c>
      <c r="M497" s="1060">
        <f t="shared" si="296"/>
        <v>0</v>
      </c>
      <c r="N497" s="1060">
        <f t="shared" si="297"/>
        <v>0</v>
      </c>
      <c r="O497" s="1060">
        <f t="shared" si="298"/>
        <v>0</v>
      </c>
      <c r="P497" s="1060">
        <f t="shared" si="299"/>
        <v>1</v>
      </c>
      <c r="R497" s="1039"/>
    </row>
    <row r="498" spans="1:18" x14ac:dyDescent="0.25">
      <c r="A498" s="1034">
        <v>946</v>
      </c>
      <c r="B498" s="1034">
        <f t="shared" si="287"/>
        <v>26</v>
      </c>
      <c r="C498" s="1034" t="str">
        <f t="shared" si="288"/>
        <v>SUPRIADI</v>
      </c>
      <c r="D498" s="1035" t="str">
        <f t="shared" si="289"/>
        <v>MPI-S3</v>
      </c>
      <c r="E498" s="1036">
        <f t="shared" si="290"/>
        <v>2015</v>
      </c>
      <c r="F498" s="1035" t="str">
        <f t="shared" si="291"/>
        <v>LULUS</v>
      </c>
      <c r="G498" s="1036">
        <f t="shared" si="292"/>
        <v>841915030</v>
      </c>
      <c r="H498" s="1038">
        <f t="shared" si="293"/>
        <v>0</v>
      </c>
      <c r="I498" s="1038">
        <f t="shared" si="294"/>
        <v>0</v>
      </c>
      <c r="J498" s="1038">
        <f t="shared" si="295"/>
        <v>0</v>
      </c>
      <c r="L498" s="1060">
        <f t="shared" si="300"/>
        <v>0</v>
      </c>
      <c r="M498" s="1060">
        <f t="shared" si="296"/>
        <v>1</v>
      </c>
      <c r="N498" s="1060">
        <f t="shared" si="297"/>
        <v>0</v>
      </c>
      <c r="O498" s="1060">
        <f t="shared" si="298"/>
        <v>0</v>
      </c>
      <c r="P498" s="1060">
        <f t="shared" si="299"/>
        <v>0</v>
      </c>
    </row>
    <row r="499" spans="1:18" x14ac:dyDescent="0.25">
      <c r="A499" s="1039"/>
      <c r="B499" s="1039"/>
      <c r="C499" s="1039"/>
      <c r="D499" s="1040"/>
      <c r="E499" s="1041"/>
      <c r="F499" s="1040"/>
      <c r="G499" s="1041"/>
      <c r="H499" s="1042"/>
      <c r="I499" s="1042"/>
      <c r="J499" s="1042"/>
      <c r="K499" s="1042"/>
      <c r="L499" s="1042"/>
      <c r="M499" s="1042"/>
      <c r="N499" s="1042"/>
      <c r="O499" s="1042"/>
      <c r="P499" s="1042"/>
    </row>
    <row r="500" spans="1:18" x14ac:dyDescent="0.25">
      <c r="A500" s="1073" t="str">
        <f>'Rekap SPP'!A1023</f>
        <v>S3-MPI 2015/2016 - Bea 5000 Dok (I)</v>
      </c>
      <c r="B500" s="1073"/>
      <c r="C500" s="1073"/>
      <c r="D500" s="1074" t="s">
        <v>3</v>
      </c>
      <c r="E500" s="1075" t="s">
        <v>4</v>
      </c>
      <c r="F500" s="1074" t="s">
        <v>3195</v>
      </c>
      <c r="G500" s="1075" t="s">
        <v>1</v>
      </c>
      <c r="H500" s="1074" t="s">
        <v>3341</v>
      </c>
      <c r="I500" s="1074" t="s">
        <v>3362</v>
      </c>
      <c r="J500" s="1062">
        <f>SUM(J501:J513)</f>
        <v>0</v>
      </c>
      <c r="L500" s="1063">
        <f>SUM(L501:L513)</f>
        <v>0</v>
      </c>
      <c r="M500" s="1063">
        <f>SUM(M501:M513)</f>
        <v>9</v>
      </c>
      <c r="N500" s="1063">
        <f>SUM(N501:N513)</f>
        <v>0</v>
      </c>
      <c r="O500" s="1063">
        <f>SUM(O501:O513)</f>
        <v>0</v>
      </c>
      <c r="P500" s="1063">
        <f>SUM(P501:P513)</f>
        <v>4</v>
      </c>
    </row>
    <row r="501" spans="1:18" x14ac:dyDescent="0.25">
      <c r="A501" s="1034">
        <v>947</v>
      </c>
      <c r="B501" s="1034">
        <f t="shared" si="287"/>
        <v>27</v>
      </c>
      <c r="C501" s="1034" t="str">
        <f t="shared" ref="C501:C513" si="301">IFERROR(VLOOKUP(A501,DB,4,FALSE),"")</f>
        <v>SYUHUD</v>
      </c>
      <c r="D501" s="1035" t="str">
        <f t="shared" ref="D501:D513" si="302">IFERROR(VLOOKUP(A501,DB,5,FALSE),"")</f>
        <v>5000 Dok</v>
      </c>
      <c r="E501" s="1036">
        <f t="shared" ref="E501:E513" si="303">IFERROR(VLOOKUP(A501,DB,6,FALSE),"")</f>
        <v>2015</v>
      </c>
      <c r="F501" s="1035" t="str">
        <f t="shared" ref="F501:F513" si="304">IFERROR(VLOOKUP(A501,DB,7,FALSE),"")</f>
        <v>LULUS</v>
      </c>
      <c r="G501" s="1036">
        <f t="shared" ref="G501:G513" si="305">IFERROR(VLOOKUP(A501,DB,3,FALSE),"")</f>
        <v>841915031</v>
      </c>
      <c r="H501" s="1038">
        <f t="shared" ref="H501:H513" si="306">IF(F501="AKTIF",6000000,IF(F501="CUTI",6000000,0))</f>
        <v>0</v>
      </c>
      <c r="I501" s="1038">
        <f t="shared" ref="I501:I513" si="307">IF(F501="AKTIF",6000000,IF(F501="CUTI",6000000,0))</f>
        <v>0</v>
      </c>
      <c r="J501" s="1038">
        <f t="shared" ref="J501:J513" si="308">I501+H501</f>
        <v>0</v>
      </c>
      <c r="L501" s="1060">
        <f t="shared" si="300"/>
        <v>0</v>
      </c>
      <c r="M501" s="1060">
        <f t="shared" ref="M501:M513" si="309">IF(F501="LULUS",1,0)</f>
        <v>1</v>
      </c>
      <c r="N501" s="1060">
        <f t="shared" ref="N501:N513" si="310">IF(F501="CUTI",1,0)</f>
        <v>0</v>
      </c>
      <c r="O501" s="1060">
        <f t="shared" ref="O501:O513" si="311">IF(F501="DROP OUT",1,0)</f>
        <v>0</v>
      </c>
      <c r="P501" s="1060">
        <f t="shared" ref="P501:P513" si="312">IF(F501="PASIF",1,0)</f>
        <v>0</v>
      </c>
    </row>
    <row r="502" spans="1:18" x14ac:dyDescent="0.25">
      <c r="A502" s="1034">
        <v>948</v>
      </c>
      <c r="B502" s="1034">
        <f t="shared" si="287"/>
        <v>28</v>
      </c>
      <c r="C502" s="1034" t="str">
        <f t="shared" si="301"/>
        <v>SITI AIMAH</v>
      </c>
      <c r="D502" s="1035" t="str">
        <f t="shared" si="302"/>
        <v>5000 Dok</v>
      </c>
      <c r="E502" s="1036">
        <f t="shared" si="303"/>
        <v>2015</v>
      </c>
      <c r="F502" s="1035" t="str">
        <f t="shared" si="304"/>
        <v>LULUS</v>
      </c>
      <c r="G502" s="1036">
        <f t="shared" si="305"/>
        <v>841915038</v>
      </c>
      <c r="H502" s="1038">
        <f t="shared" si="306"/>
        <v>0</v>
      </c>
      <c r="I502" s="1038">
        <f t="shared" si="307"/>
        <v>0</v>
      </c>
      <c r="J502" s="1038">
        <f t="shared" si="308"/>
        <v>0</v>
      </c>
      <c r="L502" s="1060">
        <f t="shared" si="300"/>
        <v>0</v>
      </c>
      <c r="M502" s="1060">
        <f t="shared" si="309"/>
        <v>1</v>
      </c>
      <c r="N502" s="1060">
        <f t="shared" si="310"/>
        <v>0</v>
      </c>
      <c r="O502" s="1060">
        <f t="shared" si="311"/>
        <v>0</v>
      </c>
      <c r="P502" s="1060">
        <f t="shared" si="312"/>
        <v>0</v>
      </c>
    </row>
    <row r="503" spans="1:18" x14ac:dyDescent="0.25">
      <c r="A503" s="1034">
        <v>949</v>
      </c>
      <c r="B503" s="1034">
        <f t="shared" si="287"/>
        <v>29</v>
      </c>
      <c r="C503" s="1034" t="str">
        <f t="shared" si="301"/>
        <v>AHMADI</v>
      </c>
      <c r="D503" s="1035" t="str">
        <f t="shared" si="302"/>
        <v>5000 Dok</v>
      </c>
      <c r="E503" s="1036">
        <f t="shared" si="303"/>
        <v>2015</v>
      </c>
      <c r="F503" s="1035" t="str">
        <f t="shared" si="304"/>
        <v>LULUS</v>
      </c>
      <c r="G503" s="1036">
        <f t="shared" si="305"/>
        <v>841915032</v>
      </c>
      <c r="H503" s="1038">
        <f t="shared" si="306"/>
        <v>0</v>
      </c>
      <c r="I503" s="1038">
        <f t="shared" si="307"/>
        <v>0</v>
      </c>
      <c r="J503" s="1038">
        <f t="shared" si="308"/>
        <v>0</v>
      </c>
      <c r="L503" s="1060">
        <f t="shared" si="300"/>
        <v>0</v>
      </c>
      <c r="M503" s="1060">
        <f t="shared" si="309"/>
        <v>1</v>
      </c>
      <c r="N503" s="1060">
        <f t="shared" si="310"/>
        <v>0</v>
      </c>
      <c r="O503" s="1060">
        <f t="shared" si="311"/>
        <v>0</v>
      </c>
      <c r="P503" s="1060">
        <f t="shared" si="312"/>
        <v>0</v>
      </c>
    </row>
    <row r="504" spans="1:18" x14ac:dyDescent="0.25">
      <c r="A504" s="1034">
        <v>950</v>
      </c>
      <c r="B504" s="1034">
        <f t="shared" si="287"/>
        <v>30</v>
      </c>
      <c r="C504" s="1034" t="str">
        <f t="shared" si="301"/>
        <v>WAFI ALI HAJJAJ</v>
      </c>
      <c r="D504" s="1035" t="str">
        <f t="shared" si="302"/>
        <v>5000 Dok</v>
      </c>
      <c r="E504" s="1036">
        <f t="shared" si="303"/>
        <v>2015</v>
      </c>
      <c r="F504" s="1035" t="str">
        <f t="shared" si="304"/>
        <v>LULUS</v>
      </c>
      <c r="G504" s="1036">
        <f t="shared" si="305"/>
        <v>841915033</v>
      </c>
      <c r="H504" s="1038">
        <f t="shared" si="306"/>
        <v>0</v>
      </c>
      <c r="I504" s="1038">
        <f t="shared" si="307"/>
        <v>0</v>
      </c>
      <c r="J504" s="1038">
        <f t="shared" si="308"/>
        <v>0</v>
      </c>
      <c r="L504" s="1060">
        <f t="shared" si="300"/>
        <v>0</v>
      </c>
      <c r="M504" s="1060">
        <f t="shared" si="309"/>
        <v>1</v>
      </c>
      <c r="N504" s="1060">
        <f t="shared" si="310"/>
        <v>0</v>
      </c>
      <c r="O504" s="1060">
        <f t="shared" si="311"/>
        <v>0</v>
      </c>
      <c r="P504" s="1060">
        <f t="shared" si="312"/>
        <v>0</v>
      </c>
    </row>
    <row r="505" spans="1:18" x14ac:dyDescent="0.25">
      <c r="A505" s="1034">
        <v>951</v>
      </c>
      <c r="B505" s="1034">
        <f t="shared" si="287"/>
        <v>31</v>
      </c>
      <c r="C505" s="1034" t="str">
        <f t="shared" si="301"/>
        <v>MUHAMMAD IMAM KHAUDLI</v>
      </c>
      <c r="D505" s="1035" t="str">
        <f t="shared" si="302"/>
        <v>5000 Dok</v>
      </c>
      <c r="E505" s="1036">
        <f t="shared" si="303"/>
        <v>2015</v>
      </c>
      <c r="F505" s="1035" t="str">
        <f t="shared" si="304"/>
        <v>LULUS</v>
      </c>
      <c r="G505" s="1036">
        <f t="shared" si="305"/>
        <v>841915034</v>
      </c>
      <c r="H505" s="1038">
        <f t="shared" si="306"/>
        <v>0</v>
      </c>
      <c r="I505" s="1038">
        <f t="shared" si="307"/>
        <v>0</v>
      </c>
      <c r="J505" s="1038">
        <f t="shared" si="308"/>
        <v>0</v>
      </c>
      <c r="L505" s="1060">
        <f t="shared" si="300"/>
        <v>0</v>
      </c>
      <c r="M505" s="1060">
        <f t="shared" si="309"/>
        <v>1</v>
      </c>
      <c r="N505" s="1060">
        <f t="shared" si="310"/>
        <v>0</v>
      </c>
      <c r="O505" s="1060">
        <f t="shared" si="311"/>
        <v>0</v>
      </c>
      <c r="P505" s="1060">
        <f t="shared" si="312"/>
        <v>0</v>
      </c>
    </row>
    <row r="506" spans="1:18" x14ac:dyDescent="0.25">
      <c r="A506" s="1034">
        <v>952</v>
      </c>
      <c r="B506" s="1034">
        <f t="shared" si="287"/>
        <v>32</v>
      </c>
      <c r="C506" s="1034" t="str">
        <f t="shared" si="301"/>
        <v>ALI WAFA</v>
      </c>
      <c r="D506" s="1035" t="str">
        <f t="shared" si="302"/>
        <v>5000 Dok</v>
      </c>
      <c r="E506" s="1036">
        <f t="shared" si="303"/>
        <v>2015</v>
      </c>
      <c r="F506" s="1035" t="str">
        <f t="shared" si="304"/>
        <v>LULUS</v>
      </c>
      <c r="G506" s="1036">
        <f t="shared" si="305"/>
        <v>841915035</v>
      </c>
      <c r="H506" s="1038">
        <f t="shared" si="306"/>
        <v>0</v>
      </c>
      <c r="I506" s="1038">
        <f t="shared" si="307"/>
        <v>0</v>
      </c>
      <c r="J506" s="1038">
        <f t="shared" si="308"/>
        <v>0</v>
      </c>
      <c r="L506" s="1060">
        <f t="shared" si="300"/>
        <v>0</v>
      </c>
      <c r="M506" s="1060">
        <f t="shared" si="309"/>
        <v>1</v>
      </c>
      <c r="N506" s="1060">
        <f t="shared" si="310"/>
        <v>0</v>
      </c>
      <c r="O506" s="1060">
        <f t="shared" si="311"/>
        <v>0</v>
      </c>
      <c r="P506" s="1060">
        <f t="shared" si="312"/>
        <v>0</v>
      </c>
    </row>
    <row r="507" spans="1:18" x14ac:dyDescent="0.25">
      <c r="A507" s="1034">
        <v>953</v>
      </c>
      <c r="B507" s="1034">
        <f t="shared" si="287"/>
        <v>33</v>
      </c>
      <c r="C507" s="1034" t="str">
        <f t="shared" si="301"/>
        <v>ERIYANTO</v>
      </c>
      <c r="D507" s="1035" t="str">
        <f t="shared" si="302"/>
        <v>5000 Dok</v>
      </c>
      <c r="E507" s="1036">
        <f t="shared" si="303"/>
        <v>2015</v>
      </c>
      <c r="F507" s="1035" t="str">
        <f t="shared" si="304"/>
        <v>PASIF</v>
      </c>
      <c r="G507" s="1036">
        <f t="shared" si="305"/>
        <v>841915036</v>
      </c>
      <c r="H507" s="1038">
        <f t="shared" si="306"/>
        <v>0</v>
      </c>
      <c r="I507" s="1038">
        <f t="shared" si="307"/>
        <v>0</v>
      </c>
      <c r="J507" s="1038">
        <f t="shared" si="308"/>
        <v>0</v>
      </c>
      <c r="L507" s="1060">
        <f t="shared" si="300"/>
        <v>0</v>
      </c>
      <c r="M507" s="1060">
        <f t="shared" si="309"/>
        <v>0</v>
      </c>
      <c r="N507" s="1060">
        <f t="shared" si="310"/>
        <v>0</v>
      </c>
      <c r="O507" s="1060">
        <f t="shared" si="311"/>
        <v>0</v>
      </c>
      <c r="P507" s="1060">
        <f t="shared" si="312"/>
        <v>1</v>
      </c>
    </row>
    <row r="508" spans="1:18" x14ac:dyDescent="0.25">
      <c r="A508" s="1034">
        <v>954</v>
      </c>
      <c r="B508" s="1034">
        <f t="shared" si="287"/>
        <v>34</v>
      </c>
      <c r="C508" s="1034" t="str">
        <f t="shared" si="301"/>
        <v>AHMAD AZIZ FANANI</v>
      </c>
      <c r="D508" s="1035" t="str">
        <f t="shared" si="302"/>
        <v>5000 Dok</v>
      </c>
      <c r="E508" s="1036">
        <f t="shared" si="303"/>
        <v>2015</v>
      </c>
      <c r="F508" s="1035" t="str">
        <f t="shared" si="304"/>
        <v>LULUS</v>
      </c>
      <c r="G508" s="1036">
        <f t="shared" si="305"/>
        <v>841915037</v>
      </c>
      <c r="H508" s="1038">
        <f t="shared" si="306"/>
        <v>0</v>
      </c>
      <c r="I508" s="1038">
        <f t="shared" si="307"/>
        <v>0</v>
      </c>
      <c r="J508" s="1038">
        <f t="shared" si="308"/>
        <v>0</v>
      </c>
      <c r="L508" s="1060">
        <f t="shared" si="300"/>
        <v>0</v>
      </c>
      <c r="M508" s="1060">
        <f t="shared" si="309"/>
        <v>1</v>
      </c>
      <c r="N508" s="1060">
        <f t="shared" si="310"/>
        <v>0</v>
      </c>
      <c r="O508" s="1060">
        <f t="shared" si="311"/>
        <v>0</v>
      </c>
      <c r="P508" s="1060">
        <f t="shared" si="312"/>
        <v>0</v>
      </c>
    </row>
    <row r="509" spans="1:18" x14ac:dyDescent="0.25">
      <c r="A509" s="1034">
        <v>955</v>
      </c>
      <c r="B509" s="1034">
        <f t="shared" si="287"/>
        <v>35</v>
      </c>
      <c r="C509" s="1034" t="str">
        <f t="shared" si="301"/>
        <v>TOHEDI</v>
      </c>
      <c r="D509" s="1035" t="str">
        <f t="shared" si="302"/>
        <v>5000 Dok</v>
      </c>
      <c r="E509" s="1036">
        <f t="shared" si="303"/>
        <v>2015</v>
      </c>
      <c r="F509" s="1035" t="str">
        <f t="shared" si="304"/>
        <v>PASIF</v>
      </c>
      <c r="G509" s="1036">
        <f t="shared" si="305"/>
        <v>841915039</v>
      </c>
      <c r="H509" s="1038">
        <f t="shared" si="306"/>
        <v>0</v>
      </c>
      <c r="I509" s="1038">
        <f t="shared" si="307"/>
        <v>0</v>
      </c>
      <c r="J509" s="1038">
        <f t="shared" si="308"/>
        <v>0</v>
      </c>
      <c r="L509" s="1060">
        <f t="shared" si="300"/>
        <v>0</v>
      </c>
      <c r="M509" s="1060">
        <f t="shared" si="309"/>
        <v>0</v>
      </c>
      <c r="N509" s="1060">
        <f t="shared" si="310"/>
        <v>0</v>
      </c>
      <c r="O509" s="1060">
        <f t="shared" si="311"/>
        <v>0</v>
      </c>
      <c r="P509" s="1060">
        <f t="shared" si="312"/>
        <v>1</v>
      </c>
    </row>
    <row r="510" spans="1:18" x14ac:dyDescent="0.25">
      <c r="A510" s="1034">
        <v>956</v>
      </c>
      <c r="B510" s="1034">
        <f t="shared" si="287"/>
        <v>36</v>
      </c>
      <c r="C510" s="1034" t="str">
        <f t="shared" si="301"/>
        <v>ARFANDI</v>
      </c>
      <c r="D510" s="1035" t="str">
        <f t="shared" si="302"/>
        <v>5000 Dok</v>
      </c>
      <c r="E510" s="1036">
        <f t="shared" si="303"/>
        <v>2015</v>
      </c>
      <c r="F510" s="1035" t="str">
        <f t="shared" si="304"/>
        <v>LULUS</v>
      </c>
      <c r="G510" s="1036">
        <f t="shared" si="305"/>
        <v>841915040</v>
      </c>
      <c r="H510" s="1038">
        <f t="shared" si="306"/>
        <v>0</v>
      </c>
      <c r="I510" s="1038">
        <f t="shared" si="307"/>
        <v>0</v>
      </c>
      <c r="J510" s="1038">
        <f t="shared" si="308"/>
        <v>0</v>
      </c>
      <c r="L510" s="1060">
        <f t="shared" si="300"/>
        <v>0</v>
      </c>
      <c r="M510" s="1060">
        <f t="shared" si="309"/>
        <v>1</v>
      </c>
      <c r="N510" s="1060">
        <f t="shared" si="310"/>
        <v>0</v>
      </c>
      <c r="O510" s="1060">
        <f t="shared" si="311"/>
        <v>0</v>
      </c>
      <c r="P510" s="1060">
        <f t="shared" si="312"/>
        <v>0</v>
      </c>
    </row>
    <row r="511" spans="1:18" x14ac:dyDescent="0.25">
      <c r="A511" s="1034">
        <v>957</v>
      </c>
      <c r="B511" s="1034">
        <f t="shared" si="287"/>
        <v>37</v>
      </c>
      <c r="C511" s="1034" t="str">
        <f t="shared" si="301"/>
        <v>ABDUL AZIS</v>
      </c>
      <c r="D511" s="1035" t="str">
        <f t="shared" si="302"/>
        <v>5000 Dok</v>
      </c>
      <c r="E511" s="1036">
        <f t="shared" si="303"/>
        <v>2015</v>
      </c>
      <c r="F511" s="1035" t="str">
        <f t="shared" si="304"/>
        <v>PASIF</v>
      </c>
      <c r="G511" s="1036">
        <f t="shared" si="305"/>
        <v>841915027</v>
      </c>
      <c r="H511" s="1038">
        <f t="shared" si="306"/>
        <v>0</v>
      </c>
      <c r="I511" s="1038">
        <f t="shared" si="307"/>
        <v>0</v>
      </c>
      <c r="J511" s="1038">
        <f t="shared" si="308"/>
        <v>0</v>
      </c>
      <c r="L511" s="1060">
        <f t="shared" si="300"/>
        <v>0</v>
      </c>
      <c r="M511" s="1060">
        <f t="shared" si="309"/>
        <v>0</v>
      </c>
      <c r="N511" s="1060">
        <f t="shared" si="310"/>
        <v>0</v>
      </c>
      <c r="O511" s="1060">
        <f t="shared" si="311"/>
        <v>0</v>
      </c>
      <c r="P511" s="1060">
        <f t="shared" si="312"/>
        <v>1</v>
      </c>
    </row>
    <row r="512" spans="1:18" x14ac:dyDescent="0.25">
      <c r="A512" s="1034">
        <v>958</v>
      </c>
      <c r="B512" s="1034">
        <f t="shared" si="287"/>
        <v>38</v>
      </c>
      <c r="C512" s="1034" t="str">
        <f t="shared" si="301"/>
        <v>JASULI</v>
      </c>
      <c r="D512" s="1035" t="str">
        <f t="shared" si="302"/>
        <v>5000 Dok</v>
      </c>
      <c r="E512" s="1036">
        <f t="shared" si="303"/>
        <v>2015</v>
      </c>
      <c r="F512" s="1035" t="str">
        <f t="shared" si="304"/>
        <v>LULUS</v>
      </c>
      <c r="G512" s="1036">
        <f t="shared" si="305"/>
        <v>841915025</v>
      </c>
      <c r="H512" s="1038">
        <f t="shared" si="306"/>
        <v>0</v>
      </c>
      <c r="I512" s="1038">
        <f t="shared" si="307"/>
        <v>0</v>
      </c>
      <c r="J512" s="1038">
        <f t="shared" si="308"/>
        <v>0</v>
      </c>
      <c r="L512" s="1060">
        <f t="shared" si="300"/>
        <v>0</v>
      </c>
      <c r="M512" s="1060">
        <f t="shared" si="309"/>
        <v>1</v>
      </c>
      <c r="N512" s="1060">
        <f t="shared" si="310"/>
        <v>0</v>
      </c>
      <c r="O512" s="1060">
        <f t="shared" si="311"/>
        <v>0</v>
      </c>
      <c r="P512" s="1060">
        <f t="shared" si="312"/>
        <v>0</v>
      </c>
    </row>
    <row r="513" spans="1:16" x14ac:dyDescent="0.25">
      <c r="A513" s="1034">
        <v>959</v>
      </c>
      <c r="B513" s="1034">
        <f t="shared" si="287"/>
        <v>39</v>
      </c>
      <c r="C513" s="1034" t="str">
        <f t="shared" si="301"/>
        <v>MOH. MAHRUS HASAN</v>
      </c>
      <c r="D513" s="1035" t="str">
        <f t="shared" si="302"/>
        <v>5000 Dok</v>
      </c>
      <c r="E513" s="1036">
        <f t="shared" si="303"/>
        <v>2015</v>
      </c>
      <c r="F513" s="1035" t="str">
        <f t="shared" si="304"/>
        <v>PASIF</v>
      </c>
      <c r="G513" s="1036">
        <f t="shared" si="305"/>
        <v>841915012</v>
      </c>
      <c r="H513" s="1038">
        <f t="shared" si="306"/>
        <v>0</v>
      </c>
      <c r="I513" s="1038">
        <f t="shared" si="307"/>
        <v>0</v>
      </c>
      <c r="J513" s="1038">
        <f t="shared" si="308"/>
        <v>0</v>
      </c>
      <c r="L513" s="1060">
        <f t="shared" si="300"/>
        <v>0</v>
      </c>
      <c r="M513" s="1060">
        <f t="shared" si="309"/>
        <v>0</v>
      </c>
      <c r="N513" s="1060">
        <f t="shared" si="310"/>
        <v>0</v>
      </c>
      <c r="O513" s="1060">
        <f t="shared" si="311"/>
        <v>0</v>
      </c>
      <c r="P513" s="1060">
        <f t="shared" si="312"/>
        <v>1</v>
      </c>
    </row>
    <row r="514" spans="1:16" x14ac:dyDescent="0.25">
      <c r="A514" s="1039"/>
      <c r="B514" s="1039"/>
      <c r="C514" s="1039"/>
      <c r="D514" s="1040"/>
      <c r="E514" s="1041"/>
      <c r="F514" s="1040"/>
      <c r="G514" s="1041"/>
      <c r="H514" s="1042"/>
      <c r="I514" s="1042"/>
      <c r="J514" s="1042"/>
      <c r="L514" s="1042"/>
      <c r="M514" s="1042"/>
      <c r="N514" s="1042"/>
      <c r="O514" s="1042"/>
      <c r="P514" s="1042"/>
    </row>
    <row r="515" spans="1:16" x14ac:dyDescent="0.25">
      <c r="A515" s="1043" t="str">
        <f>'Rekap SPP'!A1039</f>
        <v>S2-PBA 2016/2017</v>
      </c>
      <c r="B515" s="1043"/>
      <c r="C515" s="1043"/>
      <c r="D515" s="1033" t="s">
        <v>3</v>
      </c>
      <c r="E515" s="1032" t="s">
        <v>4</v>
      </c>
      <c r="F515" s="1033" t="s">
        <v>3195</v>
      </c>
      <c r="G515" s="1032" t="s">
        <v>1</v>
      </c>
      <c r="H515" s="1033" t="s">
        <v>3341</v>
      </c>
      <c r="I515" s="1033" t="s">
        <v>3362</v>
      </c>
      <c r="J515" s="1062">
        <f>SUM(J516:J534)</f>
        <v>12000000</v>
      </c>
      <c r="L515" s="1063">
        <f>SUM(L516:L534)</f>
        <v>2</v>
      </c>
      <c r="M515" s="1063">
        <f>SUM(M516:M534)</f>
        <v>13</v>
      </c>
      <c r="N515" s="1063">
        <f>SUM(N516:N534)</f>
        <v>0</v>
      </c>
      <c r="O515" s="1063">
        <f>SUM(O516:O534)</f>
        <v>0</v>
      </c>
      <c r="P515" s="1063">
        <f>SUM(P516:P534)</f>
        <v>4</v>
      </c>
    </row>
    <row r="516" spans="1:16" x14ac:dyDescent="0.25">
      <c r="A516" s="1034">
        <v>960</v>
      </c>
      <c r="B516" s="1034">
        <f t="shared" si="287"/>
        <v>1</v>
      </c>
      <c r="C516" s="1034" t="str">
        <f t="shared" ref="C516:C534" si="313">IFERROR(VLOOKUP(A516,DB,4,FALSE),"")</f>
        <v>YUSNITA ZAKIYAH</v>
      </c>
      <c r="D516" s="1035" t="str">
        <f t="shared" ref="D516:D534" si="314">IFERROR(VLOOKUP(A516,DB,5,FALSE),"")</f>
        <v>PBA</v>
      </c>
      <c r="E516" s="1036">
        <f t="shared" ref="E516:E534" si="315">IFERROR(VLOOKUP(A516,DB,6,FALSE),"")</f>
        <v>2016</v>
      </c>
      <c r="F516" s="1035" t="str">
        <f t="shared" ref="F516:F534" si="316">IFERROR(VLOOKUP(A516,DB,7,FALSE),"")</f>
        <v>LULUS</v>
      </c>
      <c r="G516" s="1036">
        <f t="shared" ref="G516:G534" si="317">IFERROR(VLOOKUP(A516,DB,3,FALSE),"")</f>
        <v>849216001</v>
      </c>
      <c r="H516" s="1038">
        <f t="shared" ref="H516:H534" si="318">IF(F516="AKTIF",3000000,IF(F516="CUTI",3000000,0))</f>
        <v>0</v>
      </c>
      <c r="I516" s="1038">
        <f t="shared" ref="I516:I534" si="319">IF(F516="AKTIF",3000000,IF(F516="CUTI",3000000,0))</f>
        <v>0</v>
      </c>
      <c r="J516" s="1038">
        <f t="shared" ref="J516:J534" si="320">I516+H516</f>
        <v>0</v>
      </c>
      <c r="L516" s="1060">
        <f t="shared" si="300"/>
        <v>0</v>
      </c>
      <c r="M516" s="1060">
        <f t="shared" ref="M516:M534" si="321">IF(F516="LULUS",1,0)</f>
        <v>1</v>
      </c>
      <c r="N516" s="1060">
        <f t="shared" ref="N516:N534" si="322">IF(F516="CUTI",1,0)</f>
        <v>0</v>
      </c>
      <c r="O516" s="1060">
        <f t="shared" ref="O516:O534" si="323">IF(F516="DROP OUT",1,0)</f>
        <v>0</v>
      </c>
      <c r="P516" s="1060">
        <f t="shared" ref="P516:P534" si="324">IF(F516="PASIF",1,0)</f>
        <v>0</v>
      </c>
    </row>
    <row r="517" spans="1:16" x14ac:dyDescent="0.25">
      <c r="A517" s="1034">
        <v>961</v>
      </c>
      <c r="B517" s="1034">
        <f t="shared" si="287"/>
        <v>2</v>
      </c>
      <c r="C517" s="1034" t="str">
        <f t="shared" si="313"/>
        <v>KHOIRU MAHMUD AG</v>
      </c>
      <c r="D517" s="1035" t="str">
        <f t="shared" si="314"/>
        <v>PBA</v>
      </c>
      <c r="E517" s="1036">
        <f t="shared" si="315"/>
        <v>2016</v>
      </c>
      <c r="F517" s="1035" t="str">
        <f t="shared" si="316"/>
        <v>LULUS</v>
      </c>
      <c r="G517" s="1036">
        <f t="shared" si="317"/>
        <v>849216002</v>
      </c>
      <c r="H517" s="1038">
        <f t="shared" si="318"/>
        <v>0</v>
      </c>
      <c r="I517" s="1038">
        <f t="shared" si="319"/>
        <v>0</v>
      </c>
      <c r="J517" s="1038">
        <f t="shared" si="320"/>
        <v>0</v>
      </c>
      <c r="L517" s="1060">
        <f t="shared" si="300"/>
        <v>0</v>
      </c>
      <c r="M517" s="1060">
        <f t="shared" si="321"/>
        <v>1</v>
      </c>
      <c r="N517" s="1060">
        <f t="shared" si="322"/>
        <v>0</v>
      </c>
      <c r="O517" s="1060">
        <f t="shared" si="323"/>
        <v>0</v>
      </c>
      <c r="P517" s="1060">
        <f t="shared" si="324"/>
        <v>0</v>
      </c>
    </row>
    <row r="518" spans="1:16" x14ac:dyDescent="0.25">
      <c r="A518" s="1034">
        <v>962</v>
      </c>
      <c r="B518" s="1034">
        <f t="shared" si="287"/>
        <v>3</v>
      </c>
      <c r="C518" s="1034" t="str">
        <f t="shared" si="313"/>
        <v>HUSNUL FADILATUS S</v>
      </c>
      <c r="D518" s="1035" t="str">
        <f t="shared" si="314"/>
        <v>PBA</v>
      </c>
      <c r="E518" s="1036">
        <f t="shared" si="315"/>
        <v>2016</v>
      </c>
      <c r="F518" s="1035" t="str">
        <f t="shared" si="316"/>
        <v>LULUS</v>
      </c>
      <c r="G518" s="1036">
        <f t="shared" si="317"/>
        <v>849216003</v>
      </c>
      <c r="H518" s="1038">
        <f t="shared" si="318"/>
        <v>0</v>
      </c>
      <c r="I518" s="1038">
        <f t="shared" si="319"/>
        <v>0</v>
      </c>
      <c r="J518" s="1038">
        <f t="shared" si="320"/>
        <v>0</v>
      </c>
      <c r="L518" s="1060">
        <f t="shared" si="300"/>
        <v>0</v>
      </c>
      <c r="M518" s="1060">
        <f t="shared" si="321"/>
        <v>1</v>
      </c>
      <c r="N518" s="1060">
        <f t="shared" si="322"/>
        <v>0</v>
      </c>
      <c r="O518" s="1060">
        <f t="shared" si="323"/>
        <v>0</v>
      </c>
      <c r="P518" s="1060">
        <f t="shared" si="324"/>
        <v>0</v>
      </c>
    </row>
    <row r="519" spans="1:16" x14ac:dyDescent="0.25">
      <c r="A519" s="1034">
        <v>963</v>
      </c>
      <c r="B519" s="1034">
        <f t="shared" si="287"/>
        <v>4</v>
      </c>
      <c r="C519" s="1034" t="str">
        <f t="shared" si="313"/>
        <v>M. ROISUL IKHWAN</v>
      </c>
      <c r="D519" s="1035" t="str">
        <f t="shared" si="314"/>
        <v>PBA</v>
      </c>
      <c r="E519" s="1036">
        <f t="shared" si="315"/>
        <v>2016</v>
      </c>
      <c r="F519" s="1035" t="str">
        <f t="shared" si="316"/>
        <v>LULUS</v>
      </c>
      <c r="G519" s="1036">
        <f t="shared" si="317"/>
        <v>849216004</v>
      </c>
      <c r="H519" s="1038">
        <f t="shared" si="318"/>
        <v>0</v>
      </c>
      <c r="I519" s="1038">
        <f t="shared" si="319"/>
        <v>0</v>
      </c>
      <c r="J519" s="1038">
        <f t="shared" si="320"/>
        <v>0</v>
      </c>
      <c r="L519" s="1060">
        <f t="shared" si="300"/>
        <v>0</v>
      </c>
      <c r="M519" s="1060">
        <f t="shared" si="321"/>
        <v>1</v>
      </c>
      <c r="N519" s="1060">
        <f t="shared" si="322"/>
        <v>0</v>
      </c>
      <c r="O519" s="1060">
        <f t="shared" si="323"/>
        <v>0</v>
      </c>
      <c r="P519" s="1060">
        <f t="shared" si="324"/>
        <v>0</v>
      </c>
    </row>
    <row r="520" spans="1:16" x14ac:dyDescent="0.25">
      <c r="A520" s="1034">
        <v>964</v>
      </c>
      <c r="B520" s="1034">
        <f t="shared" si="287"/>
        <v>5</v>
      </c>
      <c r="C520" s="1034" t="str">
        <f t="shared" si="313"/>
        <v>NOR HOLIS IBN NAFSAH</v>
      </c>
      <c r="D520" s="1035" t="str">
        <f t="shared" si="314"/>
        <v>PBA</v>
      </c>
      <c r="E520" s="1036">
        <f t="shared" si="315"/>
        <v>2016</v>
      </c>
      <c r="F520" s="1035" t="str">
        <f t="shared" si="316"/>
        <v>LULUS</v>
      </c>
      <c r="G520" s="1036">
        <f t="shared" si="317"/>
        <v>849216006</v>
      </c>
      <c r="H520" s="1038">
        <f t="shared" si="318"/>
        <v>0</v>
      </c>
      <c r="I520" s="1038">
        <f t="shared" si="319"/>
        <v>0</v>
      </c>
      <c r="J520" s="1038">
        <f t="shared" si="320"/>
        <v>0</v>
      </c>
      <c r="L520" s="1060">
        <f t="shared" si="300"/>
        <v>0</v>
      </c>
      <c r="M520" s="1060">
        <f t="shared" si="321"/>
        <v>1</v>
      </c>
      <c r="N520" s="1060">
        <f t="shared" si="322"/>
        <v>0</v>
      </c>
      <c r="O520" s="1060">
        <f t="shared" si="323"/>
        <v>0</v>
      </c>
      <c r="P520" s="1060">
        <f t="shared" si="324"/>
        <v>0</v>
      </c>
    </row>
    <row r="521" spans="1:16" x14ac:dyDescent="0.25">
      <c r="A521" s="1034">
        <v>965</v>
      </c>
      <c r="B521" s="1034">
        <f t="shared" si="287"/>
        <v>6</v>
      </c>
      <c r="C521" s="1034" t="str">
        <f t="shared" si="313"/>
        <v>IMMATUL KHOIROH</v>
      </c>
      <c r="D521" s="1035" t="str">
        <f t="shared" si="314"/>
        <v>PBA</v>
      </c>
      <c r="E521" s="1036">
        <f t="shared" si="315"/>
        <v>2016</v>
      </c>
      <c r="F521" s="1035" t="str">
        <f t="shared" si="316"/>
        <v>LULUS</v>
      </c>
      <c r="G521" s="1036">
        <f t="shared" si="317"/>
        <v>849216007</v>
      </c>
      <c r="H521" s="1038">
        <f t="shared" si="318"/>
        <v>0</v>
      </c>
      <c r="I521" s="1038">
        <f t="shared" si="319"/>
        <v>0</v>
      </c>
      <c r="J521" s="1038">
        <f t="shared" si="320"/>
        <v>0</v>
      </c>
      <c r="L521" s="1060">
        <f t="shared" si="300"/>
        <v>0</v>
      </c>
      <c r="M521" s="1060">
        <f t="shared" si="321"/>
        <v>1</v>
      </c>
      <c r="N521" s="1060">
        <f t="shared" si="322"/>
        <v>0</v>
      </c>
      <c r="O521" s="1060">
        <f t="shared" si="323"/>
        <v>0</v>
      </c>
      <c r="P521" s="1060">
        <f t="shared" si="324"/>
        <v>0</v>
      </c>
    </row>
    <row r="522" spans="1:16" x14ac:dyDescent="0.25">
      <c r="A522" s="1034">
        <v>966</v>
      </c>
      <c r="B522" s="1034">
        <f t="shared" si="287"/>
        <v>7</v>
      </c>
      <c r="C522" s="1034" t="str">
        <f t="shared" si="313"/>
        <v>IMAM WAHYUDI</v>
      </c>
      <c r="D522" s="1035" t="str">
        <f t="shared" si="314"/>
        <v>PBA</v>
      </c>
      <c r="E522" s="1036">
        <f t="shared" si="315"/>
        <v>2016</v>
      </c>
      <c r="F522" s="1035" t="str">
        <f t="shared" si="316"/>
        <v>LULUS</v>
      </c>
      <c r="G522" s="1036">
        <f t="shared" si="317"/>
        <v>849216008</v>
      </c>
      <c r="H522" s="1038">
        <f t="shared" si="318"/>
        <v>0</v>
      </c>
      <c r="I522" s="1038">
        <f t="shared" si="319"/>
        <v>0</v>
      </c>
      <c r="J522" s="1038">
        <f t="shared" si="320"/>
        <v>0</v>
      </c>
      <c r="L522" s="1060">
        <f t="shared" si="300"/>
        <v>0</v>
      </c>
      <c r="M522" s="1060">
        <f t="shared" si="321"/>
        <v>1</v>
      </c>
      <c r="N522" s="1060">
        <f t="shared" si="322"/>
        <v>0</v>
      </c>
      <c r="O522" s="1060">
        <f t="shared" si="323"/>
        <v>0</v>
      </c>
      <c r="P522" s="1060">
        <f t="shared" si="324"/>
        <v>0</v>
      </c>
    </row>
    <row r="523" spans="1:16" x14ac:dyDescent="0.25">
      <c r="A523" s="1034">
        <v>967</v>
      </c>
      <c r="B523" s="1034">
        <f t="shared" si="287"/>
        <v>8</v>
      </c>
      <c r="C523" s="1034" t="str">
        <f t="shared" si="313"/>
        <v>HOMAIDI</v>
      </c>
      <c r="D523" s="1035" t="str">
        <f t="shared" si="314"/>
        <v>PBA</v>
      </c>
      <c r="E523" s="1036">
        <f t="shared" si="315"/>
        <v>2016</v>
      </c>
      <c r="F523" s="1035" t="str">
        <f t="shared" si="316"/>
        <v>LULUS</v>
      </c>
      <c r="G523" s="1036">
        <f t="shared" si="317"/>
        <v>849216009</v>
      </c>
      <c r="H523" s="1038">
        <f t="shared" si="318"/>
        <v>0</v>
      </c>
      <c r="I523" s="1038">
        <f t="shared" si="319"/>
        <v>0</v>
      </c>
      <c r="J523" s="1038">
        <f t="shared" si="320"/>
        <v>0</v>
      </c>
      <c r="L523" s="1060">
        <f t="shared" si="300"/>
        <v>0</v>
      </c>
      <c r="M523" s="1060">
        <f t="shared" si="321"/>
        <v>1</v>
      </c>
      <c r="N523" s="1060">
        <f t="shared" si="322"/>
        <v>0</v>
      </c>
      <c r="O523" s="1060">
        <f t="shared" si="323"/>
        <v>0</v>
      </c>
      <c r="P523" s="1060">
        <f t="shared" si="324"/>
        <v>0</v>
      </c>
    </row>
    <row r="524" spans="1:16" x14ac:dyDescent="0.25">
      <c r="A524" s="1034">
        <v>968</v>
      </c>
      <c r="B524" s="1034">
        <f t="shared" si="287"/>
        <v>9</v>
      </c>
      <c r="C524" s="1034" t="str">
        <f t="shared" si="313"/>
        <v>SOFIATUS SOBRIYAH</v>
      </c>
      <c r="D524" s="1035" t="str">
        <f t="shared" si="314"/>
        <v>PBA</v>
      </c>
      <c r="E524" s="1036">
        <f t="shared" si="315"/>
        <v>2016</v>
      </c>
      <c r="F524" s="1035" t="str">
        <f t="shared" si="316"/>
        <v>LULUS</v>
      </c>
      <c r="G524" s="1036">
        <f t="shared" si="317"/>
        <v>849216010</v>
      </c>
      <c r="H524" s="1038">
        <f t="shared" si="318"/>
        <v>0</v>
      </c>
      <c r="I524" s="1038">
        <f t="shared" si="319"/>
        <v>0</v>
      </c>
      <c r="J524" s="1038">
        <f t="shared" si="320"/>
        <v>0</v>
      </c>
      <c r="L524" s="1060">
        <f t="shared" si="300"/>
        <v>0</v>
      </c>
      <c r="M524" s="1060">
        <f t="shared" si="321"/>
        <v>1</v>
      </c>
      <c r="N524" s="1060">
        <f t="shared" si="322"/>
        <v>0</v>
      </c>
      <c r="O524" s="1060">
        <f t="shared" si="323"/>
        <v>0</v>
      </c>
      <c r="P524" s="1060">
        <f t="shared" si="324"/>
        <v>0</v>
      </c>
    </row>
    <row r="525" spans="1:16" x14ac:dyDescent="0.25">
      <c r="A525" s="1034">
        <v>969</v>
      </c>
      <c r="B525" s="1034">
        <f t="shared" si="287"/>
        <v>10</v>
      </c>
      <c r="C525" s="1034" t="str">
        <f t="shared" si="313"/>
        <v>MAULA MINHATUL FARIDA</v>
      </c>
      <c r="D525" s="1035" t="str">
        <f t="shared" si="314"/>
        <v>PBA</v>
      </c>
      <c r="E525" s="1036">
        <f t="shared" si="315"/>
        <v>2016</v>
      </c>
      <c r="F525" s="1035" t="str">
        <f t="shared" si="316"/>
        <v>PASIF</v>
      </c>
      <c r="G525" s="1036">
        <f t="shared" si="317"/>
        <v>849216011</v>
      </c>
      <c r="H525" s="1038">
        <f t="shared" si="318"/>
        <v>0</v>
      </c>
      <c r="I525" s="1038">
        <f t="shared" si="319"/>
        <v>0</v>
      </c>
      <c r="J525" s="1038">
        <f t="shared" si="320"/>
        <v>0</v>
      </c>
      <c r="L525" s="1060">
        <f t="shared" si="300"/>
        <v>0</v>
      </c>
      <c r="M525" s="1060">
        <f t="shared" si="321"/>
        <v>0</v>
      </c>
      <c r="N525" s="1060">
        <f t="shared" si="322"/>
        <v>0</v>
      </c>
      <c r="O525" s="1060">
        <f t="shared" si="323"/>
        <v>0</v>
      </c>
      <c r="P525" s="1060">
        <f t="shared" si="324"/>
        <v>1</v>
      </c>
    </row>
    <row r="526" spans="1:16" x14ac:dyDescent="0.25">
      <c r="A526" s="1034">
        <v>970</v>
      </c>
      <c r="B526" s="1034">
        <f t="shared" si="287"/>
        <v>11</v>
      </c>
      <c r="C526" s="1034" t="str">
        <f t="shared" si="313"/>
        <v>DANI FIRDAUS</v>
      </c>
      <c r="D526" s="1035" t="str">
        <f t="shared" si="314"/>
        <v>PBA</v>
      </c>
      <c r="E526" s="1036">
        <f t="shared" si="315"/>
        <v>2016</v>
      </c>
      <c r="F526" s="1035" t="str">
        <f t="shared" si="316"/>
        <v>LULUS</v>
      </c>
      <c r="G526" s="1036">
        <f t="shared" si="317"/>
        <v>849216012</v>
      </c>
      <c r="H526" s="1038">
        <f t="shared" si="318"/>
        <v>0</v>
      </c>
      <c r="I526" s="1038">
        <f t="shared" si="319"/>
        <v>0</v>
      </c>
      <c r="J526" s="1038">
        <f t="shared" si="320"/>
        <v>0</v>
      </c>
      <c r="L526" s="1060">
        <f t="shared" si="300"/>
        <v>0</v>
      </c>
      <c r="M526" s="1060">
        <f t="shared" si="321"/>
        <v>1</v>
      </c>
      <c r="N526" s="1060">
        <f t="shared" si="322"/>
        <v>0</v>
      </c>
      <c r="O526" s="1060">
        <f t="shared" si="323"/>
        <v>0</v>
      </c>
      <c r="P526" s="1060">
        <f t="shared" si="324"/>
        <v>0</v>
      </c>
    </row>
    <row r="527" spans="1:16" x14ac:dyDescent="0.25">
      <c r="A527" s="1034">
        <v>971</v>
      </c>
      <c r="B527" s="1034">
        <f t="shared" si="287"/>
        <v>12</v>
      </c>
      <c r="C527" s="1034" t="str">
        <f t="shared" si="313"/>
        <v>YUNUS</v>
      </c>
      <c r="D527" s="1035" t="str">
        <f t="shared" si="314"/>
        <v>PBA</v>
      </c>
      <c r="E527" s="1036">
        <f t="shared" si="315"/>
        <v>2016</v>
      </c>
      <c r="F527" s="1035" t="str">
        <f t="shared" si="316"/>
        <v>AKTIF</v>
      </c>
      <c r="G527" s="1036">
        <f t="shared" si="317"/>
        <v>849216013</v>
      </c>
      <c r="H527" s="1038">
        <f t="shared" si="318"/>
        <v>3000000</v>
      </c>
      <c r="I527" s="1038">
        <f t="shared" si="319"/>
        <v>3000000</v>
      </c>
      <c r="J527" s="1038">
        <f t="shared" si="320"/>
        <v>6000000</v>
      </c>
      <c r="L527" s="1060">
        <f t="shared" si="300"/>
        <v>1</v>
      </c>
      <c r="M527" s="1060">
        <f t="shared" si="321"/>
        <v>0</v>
      </c>
      <c r="N527" s="1060">
        <f t="shared" si="322"/>
        <v>0</v>
      </c>
      <c r="O527" s="1060">
        <f t="shared" si="323"/>
        <v>0</v>
      </c>
      <c r="P527" s="1060">
        <f t="shared" si="324"/>
        <v>0</v>
      </c>
    </row>
    <row r="528" spans="1:16" x14ac:dyDescent="0.25">
      <c r="A528" s="1034">
        <v>972</v>
      </c>
      <c r="B528" s="1034">
        <f t="shared" si="287"/>
        <v>13</v>
      </c>
      <c r="C528" s="1034" t="str">
        <f t="shared" si="313"/>
        <v>BASUKI ROHMAT</v>
      </c>
      <c r="D528" s="1035" t="str">
        <f t="shared" si="314"/>
        <v>PBA</v>
      </c>
      <c r="E528" s="1036">
        <f t="shared" si="315"/>
        <v>2016</v>
      </c>
      <c r="F528" s="1035" t="str">
        <f t="shared" si="316"/>
        <v>AKTIF</v>
      </c>
      <c r="G528" s="1036">
        <f t="shared" si="317"/>
        <v>849216014</v>
      </c>
      <c r="H528" s="1038">
        <f t="shared" si="318"/>
        <v>3000000</v>
      </c>
      <c r="I528" s="1038">
        <f t="shared" si="319"/>
        <v>3000000</v>
      </c>
      <c r="J528" s="1038">
        <f t="shared" si="320"/>
        <v>6000000</v>
      </c>
      <c r="L528" s="1060">
        <f t="shared" si="300"/>
        <v>1</v>
      </c>
      <c r="M528" s="1060">
        <f t="shared" si="321"/>
        <v>0</v>
      </c>
      <c r="N528" s="1060">
        <f t="shared" si="322"/>
        <v>0</v>
      </c>
      <c r="O528" s="1060">
        <f t="shared" si="323"/>
        <v>0</v>
      </c>
      <c r="P528" s="1060">
        <f t="shared" si="324"/>
        <v>0</v>
      </c>
    </row>
    <row r="529" spans="1:16" x14ac:dyDescent="0.25">
      <c r="A529" s="1034">
        <v>973</v>
      </c>
      <c r="B529" s="1034">
        <f t="shared" si="287"/>
        <v>14</v>
      </c>
      <c r="C529" s="1034" t="str">
        <f t="shared" si="313"/>
        <v>MUHYI ABDURROHIM</v>
      </c>
      <c r="D529" s="1035" t="str">
        <f t="shared" si="314"/>
        <v>PBA</v>
      </c>
      <c r="E529" s="1036">
        <f t="shared" si="315"/>
        <v>2016</v>
      </c>
      <c r="F529" s="1035" t="str">
        <f t="shared" si="316"/>
        <v>LULUS</v>
      </c>
      <c r="G529" s="1036">
        <f t="shared" si="317"/>
        <v>849216015</v>
      </c>
      <c r="H529" s="1038">
        <f t="shared" si="318"/>
        <v>0</v>
      </c>
      <c r="I529" s="1038">
        <f t="shared" si="319"/>
        <v>0</v>
      </c>
      <c r="J529" s="1038">
        <f t="shared" si="320"/>
        <v>0</v>
      </c>
      <c r="L529" s="1060">
        <f t="shared" si="300"/>
        <v>0</v>
      </c>
      <c r="M529" s="1060">
        <f t="shared" si="321"/>
        <v>1</v>
      </c>
      <c r="N529" s="1060">
        <f t="shared" si="322"/>
        <v>0</v>
      </c>
      <c r="O529" s="1060">
        <f t="shared" si="323"/>
        <v>0</v>
      </c>
      <c r="P529" s="1060">
        <f t="shared" si="324"/>
        <v>0</v>
      </c>
    </row>
    <row r="530" spans="1:16" x14ac:dyDescent="0.25">
      <c r="A530" s="1034">
        <v>974</v>
      </c>
      <c r="B530" s="1034">
        <f t="shared" si="287"/>
        <v>15</v>
      </c>
      <c r="C530" s="1034" t="str">
        <f t="shared" si="313"/>
        <v>ACHMAD SAFIUDIN</v>
      </c>
      <c r="D530" s="1035" t="str">
        <f t="shared" si="314"/>
        <v>PBA</v>
      </c>
      <c r="E530" s="1036">
        <f t="shared" si="315"/>
        <v>2016</v>
      </c>
      <c r="F530" s="1035" t="str">
        <f t="shared" si="316"/>
        <v>PASIF</v>
      </c>
      <c r="G530" s="1036">
        <f t="shared" si="317"/>
        <v>849216016</v>
      </c>
      <c r="H530" s="1038">
        <f t="shared" si="318"/>
        <v>0</v>
      </c>
      <c r="I530" s="1038">
        <f t="shared" si="319"/>
        <v>0</v>
      </c>
      <c r="J530" s="1038">
        <f t="shared" si="320"/>
        <v>0</v>
      </c>
      <c r="L530" s="1060">
        <f t="shared" si="300"/>
        <v>0</v>
      </c>
      <c r="M530" s="1060">
        <f t="shared" si="321"/>
        <v>0</v>
      </c>
      <c r="N530" s="1060">
        <f t="shared" si="322"/>
        <v>0</v>
      </c>
      <c r="O530" s="1060">
        <f t="shared" si="323"/>
        <v>0</v>
      </c>
      <c r="P530" s="1060">
        <f t="shared" si="324"/>
        <v>1</v>
      </c>
    </row>
    <row r="531" spans="1:16" x14ac:dyDescent="0.25">
      <c r="A531" s="1034">
        <v>975</v>
      </c>
      <c r="B531" s="1034">
        <f t="shared" si="287"/>
        <v>16</v>
      </c>
      <c r="C531" s="1034" t="str">
        <f t="shared" si="313"/>
        <v>AZISI</v>
      </c>
      <c r="D531" s="1035" t="str">
        <f t="shared" si="314"/>
        <v>PBA</v>
      </c>
      <c r="E531" s="1036">
        <f t="shared" si="315"/>
        <v>2016</v>
      </c>
      <c r="F531" s="1035" t="str">
        <f t="shared" si="316"/>
        <v>LULUS</v>
      </c>
      <c r="G531" s="1036">
        <f t="shared" si="317"/>
        <v>849216017</v>
      </c>
      <c r="H531" s="1038">
        <f t="shared" si="318"/>
        <v>0</v>
      </c>
      <c r="I531" s="1038">
        <f t="shared" si="319"/>
        <v>0</v>
      </c>
      <c r="J531" s="1038">
        <f t="shared" si="320"/>
        <v>0</v>
      </c>
      <c r="L531" s="1060">
        <f t="shared" si="300"/>
        <v>0</v>
      </c>
      <c r="M531" s="1060">
        <f t="shared" si="321"/>
        <v>1</v>
      </c>
      <c r="N531" s="1060">
        <f t="shared" si="322"/>
        <v>0</v>
      </c>
      <c r="O531" s="1060">
        <f t="shared" si="323"/>
        <v>0</v>
      </c>
      <c r="P531" s="1060">
        <f t="shared" si="324"/>
        <v>0</v>
      </c>
    </row>
    <row r="532" spans="1:16" x14ac:dyDescent="0.25">
      <c r="A532" s="1034">
        <v>976</v>
      </c>
      <c r="B532" s="1034">
        <f t="shared" si="287"/>
        <v>17</v>
      </c>
      <c r="C532" s="1034" t="str">
        <f t="shared" si="313"/>
        <v>UMMU IMAROH</v>
      </c>
      <c r="D532" s="1035" t="str">
        <f t="shared" si="314"/>
        <v>PBA</v>
      </c>
      <c r="E532" s="1036">
        <f t="shared" si="315"/>
        <v>2016</v>
      </c>
      <c r="F532" s="1035" t="str">
        <f t="shared" si="316"/>
        <v>PASIF</v>
      </c>
      <c r="G532" s="1036">
        <f t="shared" si="317"/>
        <v>849216018</v>
      </c>
      <c r="H532" s="1038">
        <f t="shared" si="318"/>
        <v>0</v>
      </c>
      <c r="I532" s="1038">
        <f t="shared" si="319"/>
        <v>0</v>
      </c>
      <c r="J532" s="1038">
        <f t="shared" si="320"/>
        <v>0</v>
      </c>
      <c r="L532" s="1060">
        <f t="shared" si="300"/>
        <v>0</v>
      </c>
      <c r="M532" s="1060">
        <f t="shared" si="321"/>
        <v>0</v>
      </c>
      <c r="N532" s="1060">
        <f t="shared" si="322"/>
        <v>0</v>
      </c>
      <c r="O532" s="1060">
        <f t="shared" si="323"/>
        <v>0</v>
      </c>
      <c r="P532" s="1060">
        <f t="shared" si="324"/>
        <v>1</v>
      </c>
    </row>
    <row r="533" spans="1:16" x14ac:dyDescent="0.25">
      <c r="A533" s="1034">
        <v>977</v>
      </c>
      <c r="B533" s="1034">
        <f t="shared" si="287"/>
        <v>18</v>
      </c>
      <c r="C533" s="1034" t="str">
        <f t="shared" si="313"/>
        <v>RIFQIATUL MAWADAH</v>
      </c>
      <c r="D533" s="1035" t="str">
        <f t="shared" si="314"/>
        <v>PBA</v>
      </c>
      <c r="E533" s="1036">
        <f t="shared" si="315"/>
        <v>2016</v>
      </c>
      <c r="F533" s="1035" t="str">
        <f t="shared" si="316"/>
        <v>PASIF</v>
      </c>
      <c r="G533" s="1036">
        <f t="shared" si="317"/>
        <v>849216019</v>
      </c>
      <c r="H533" s="1038">
        <f t="shared" si="318"/>
        <v>0</v>
      </c>
      <c r="I533" s="1038">
        <f t="shared" si="319"/>
        <v>0</v>
      </c>
      <c r="J533" s="1038">
        <f t="shared" si="320"/>
        <v>0</v>
      </c>
      <c r="L533" s="1060">
        <f t="shared" si="300"/>
        <v>0</v>
      </c>
      <c r="M533" s="1060">
        <f t="shared" si="321"/>
        <v>0</v>
      </c>
      <c r="N533" s="1060">
        <f t="shared" si="322"/>
        <v>0</v>
      </c>
      <c r="O533" s="1060">
        <f t="shared" si="323"/>
        <v>0</v>
      </c>
      <c r="P533" s="1060">
        <f t="shared" si="324"/>
        <v>1</v>
      </c>
    </row>
    <row r="534" spans="1:16" x14ac:dyDescent="0.25">
      <c r="A534" s="1034">
        <v>978</v>
      </c>
      <c r="B534" s="1034">
        <f t="shared" si="287"/>
        <v>19</v>
      </c>
      <c r="C534" s="1034" t="str">
        <f t="shared" si="313"/>
        <v>SITI NURJANAH</v>
      </c>
      <c r="D534" s="1035" t="str">
        <f t="shared" si="314"/>
        <v>PBA</v>
      </c>
      <c r="E534" s="1036">
        <f t="shared" si="315"/>
        <v>2016</v>
      </c>
      <c r="F534" s="1035" t="str">
        <f t="shared" si="316"/>
        <v>LULUS</v>
      </c>
      <c r="G534" s="1036">
        <f t="shared" si="317"/>
        <v>849216020</v>
      </c>
      <c r="H534" s="1038">
        <f t="shared" si="318"/>
        <v>0</v>
      </c>
      <c r="I534" s="1038">
        <f t="shared" si="319"/>
        <v>0</v>
      </c>
      <c r="J534" s="1038">
        <f t="shared" si="320"/>
        <v>0</v>
      </c>
      <c r="L534" s="1060">
        <f t="shared" si="300"/>
        <v>0</v>
      </c>
      <c r="M534" s="1060">
        <f t="shared" si="321"/>
        <v>1</v>
      </c>
      <c r="N534" s="1060">
        <f t="shared" si="322"/>
        <v>0</v>
      </c>
      <c r="O534" s="1060">
        <f t="shared" si="323"/>
        <v>0</v>
      </c>
      <c r="P534" s="1060">
        <f t="shared" si="324"/>
        <v>0</v>
      </c>
    </row>
    <row r="535" spans="1:16" x14ac:dyDescent="0.25">
      <c r="A535" s="1039"/>
      <c r="B535" s="1039"/>
      <c r="C535" s="1039"/>
      <c r="D535" s="1040"/>
      <c r="E535" s="1041"/>
      <c r="F535" s="1040"/>
      <c r="G535" s="1041"/>
      <c r="H535" s="1042"/>
      <c r="I535" s="1042"/>
      <c r="J535" s="1042"/>
      <c r="L535" s="1042"/>
      <c r="M535" s="1042"/>
      <c r="N535" s="1042"/>
      <c r="O535" s="1042"/>
      <c r="P535" s="1042"/>
    </row>
    <row r="536" spans="1:16" x14ac:dyDescent="0.25">
      <c r="A536" s="1043" t="str">
        <f>'Rekap SPP'!A1060</f>
        <v>S2-ES 2016/2017</v>
      </c>
      <c r="B536" s="1043"/>
      <c r="C536" s="1043"/>
      <c r="D536" s="1033" t="s">
        <v>3</v>
      </c>
      <c r="E536" s="1032" t="s">
        <v>4</v>
      </c>
      <c r="F536" s="1033" t="s">
        <v>3195</v>
      </c>
      <c r="G536" s="1032" t="s">
        <v>1</v>
      </c>
      <c r="H536" s="1033" t="s">
        <v>3341</v>
      </c>
      <c r="I536" s="1033" t="s">
        <v>3362</v>
      </c>
      <c r="J536" s="1062">
        <f>SUM(J537:J563)</f>
        <v>6000000</v>
      </c>
      <c r="L536" s="1063">
        <f>SUM(L537:L563)</f>
        <v>1</v>
      </c>
      <c r="M536" s="1063">
        <f>SUM(M537:M563)</f>
        <v>17</v>
      </c>
      <c r="N536" s="1063">
        <f>SUM(N537:N563)</f>
        <v>0</v>
      </c>
      <c r="O536" s="1063">
        <f>SUM(O537:O563)</f>
        <v>2</v>
      </c>
      <c r="P536" s="1063">
        <f>SUM(P537:P563)</f>
        <v>7</v>
      </c>
    </row>
    <row r="537" spans="1:16" x14ac:dyDescent="0.25">
      <c r="A537" s="1034">
        <v>979</v>
      </c>
      <c r="B537" s="1034">
        <f t="shared" si="287"/>
        <v>1</v>
      </c>
      <c r="C537" s="1034" t="str">
        <f t="shared" ref="C537:C563" si="325">IFERROR(VLOOKUP(A537,DB,4,FALSE),"")</f>
        <v>M. ICHWANUS SURUR</v>
      </c>
      <c r="D537" s="1035" t="str">
        <f t="shared" ref="D537:D563" si="326">IFERROR(VLOOKUP(A537,DB,5,FALSE),"")</f>
        <v>ES</v>
      </c>
      <c r="E537" s="1036">
        <f t="shared" ref="E537:E563" si="327">IFERROR(VLOOKUP(A537,DB,6,FALSE),"")</f>
        <v>2016</v>
      </c>
      <c r="F537" s="1035" t="str">
        <f t="shared" ref="F537:F563" si="328">IFERROR(VLOOKUP(A537,DB,7,FALSE),"")</f>
        <v>LULUS</v>
      </c>
      <c r="G537" s="1036">
        <f t="shared" ref="G537:G563" si="329">IFERROR(VLOOKUP(A537,DB,3,FALSE),"")</f>
        <v>839216001</v>
      </c>
      <c r="H537" s="1038">
        <f t="shared" ref="H537:H563" si="330">IF(F537="AKTIF",3000000,IF(F537="CUTI",3000000,0))</f>
        <v>0</v>
      </c>
      <c r="I537" s="1038">
        <f t="shared" ref="I537:I563" si="331">IF(F537="AKTIF",3000000,IF(F537="CUTI",3000000,0))</f>
        <v>0</v>
      </c>
      <c r="J537" s="1038">
        <f t="shared" ref="J537:J563" si="332">I537+H537</f>
        <v>0</v>
      </c>
      <c r="L537" s="1060">
        <f t="shared" ref="L537:L606" si="333">IF(F537="AKTIF",1,0)</f>
        <v>0</v>
      </c>
      <c r="M537" s="1060">
        <f t="shared" ref="M537:M563" si="334">IF(F537="LULUS",1,0)</f>
        <v>1</v>
      </c>
      <c r="N537" s="1060">
        <f t="shared" ref="N537:N563" si="335">IF(F537="CUTI",1,0)</f>
        <v>0</v>
      </c>
      <c r="O537" s="1060">
        <f t="shared" ref="O537:O563" si="336">IF(F537="DROP OUT",1,0)</f>
        <v>0</v>
      </c>
      <c r="P537" s="1060">
        <f t="shared" ref="P537:P563" si="337">IF(F537="PASIF",1,0)</f>
        <v>0</v>
      </c>
    </row>
    <row r="538" spans="1:16" x14ac:dyDescent="0.25">
      <c r="A538" s="1034">
        <v>980</v>
      </c>
      <c r="B538" s="1034">
        <f t="shared" si="287"/>
        <v>2</v>
      </c>
      <c r="C538" s="1034" t="str">
        <f t="shared" si="325"/>
        <v>YUNUS ZAMROJI</v>
      </c>
      <c r="D538" s="1035" t="str">
        <f t="shared" si="326"/>
        <v>ES</v>
      </c>
      <c r="E538" s="1036">
        <f t="shared" si="327"/>
        <v>2016</v>
      </c>
      <c r="F538" s="1035" t="str">
        <f t="shared" si="328"/>
        <v>LULUS</v>
      </c>
      <c r="G538" s="1036">
        <f t="shared" si="329"/>
        <v>839216002</v>
      </c>
      <c r="H538" s="1038">
        <f t="shared" si="330"/>
        <v>0</v>
      </c>
      <c r="I538" s="1038">
        <f t="shared" si="331"/>
        <v>0</v>
      </c>
      <c r="J538" s="1038">
        <f t="shared" si="332"/>
        <v>0</v>
      </c>
      <c r="L538" s="1060">
        <f t="shared" si="333"/>
        <v>0</v>
      </c>
      <c r="M538" s="1060">
        <f t="shared" si="334"/>
        <v>1</v>
      </c>
      <c r="N538" s="1060">
        <f t="shared" si="335"/>
        <v>0</v>
      </c>
      <c r="O538" s="1060">
        <f t="shared" si="336"/>
        <v>0</v>
      </c>
      <c r="P538" s="1060">
        <f t="shared" si="337"/>
        <v>0</v>
      </c>
    </row>
    <row r="539" spans="1:16" x14ac:dyDescent="0.25">
      <c r="A539" s="1034">
        <v>981</v>
      </c>
      <c r="B539" s="1034">
        <f t="shared" ref="B539:B608" si="338">IFERROR(VLOOKUP(A539,DB,2,FALSE),"")</f>
        <v>3</v>
      </c>
      <c r="C539" s="1034" t="str">
        <f t="shared" si="325"/>
        <v>DOVI IWAN M.H</v>
      </c>
      <c r="D539" s="1035" t="str">
        <f t="shared" si="326"/>
        <v>ES</v>
      </c>
      <c r="E539" s="1036">
        <f t="shared" si="327"/>
        <v>2016</v>
      </c>
      <c r="F539" s="1035" t="str">
        <f t="shared" si="328"/>
        <v>LULUS</v>
      </c>
      <c r="G539" s="1036">
        <f t="shared" si="329"/>
        <v>839216003</v>
      </c>
      <c r="H539" s="1038">
        <f t="shared" si="330"/>
        <v>0</v>
      </c>
      <c r="I539" s="1038">
        <f t="shared" si="331"/>
        <v>0</v>
      </c>
      <c r="J539" s="1038">
        <f t="shared" si="332"/>
        <v>0</v>
      </c>
      <c r="L539" s="1060">
        <f t="shared" si="333"/>
        <v>0</v>
      </c>
      <c r="M539" s="1060">
        <f t="shared" si="334"/>
        <v>1</v>
      </c>
      <c r="N539" s="1060">
        <f t="shared" si="335"/>
        <v>0</v>
      </c>
      <c r="O539" s="1060">
        <f t="shared" si="336"/>
        <v>0</v>
      </c>
      <c r="P539" s="1060">
        <f t="shared" si="337"/>
        <v>0</v>
      </c>
    </row>
    <row r="540" spans="1:16" x14ac:dyDescent="0.25">
      <c r="A540" s="1034">
        <v>982</v>
      </c>
      <c r="B540" s="1034">
        <f t="shared" si="338"/>
        <v>4</v>
      </c>
      <c r="C540" s="1034" t="str">
        <f t="shared" si="325"/>
        <v>ZAINUL ANWAR</v>
      </c>
      <c r="D540" s="1035" t="str">
        <f t="shared" si="326"/>
        <v>ES</v>
      </c>
      <c r="E540" s="1036">
        <f t="shared" si="327"/>
        <v>2016</v>
      </c>
      <c r="F540" s="1035" t="str">
        <f t="shared" si="328"/>
        <v>LULUS</v>
      </c>
      <c r="G540" s="1036">
        <f t="shared" si="329"/>
        <v>839216004</v>
      </c>
      <c r="H540" s="1038">
        <f t="shared" si="330"/>
        <v>0</v>
      </c>
      <c r="I540" s="1038">
        <f t="shared" si="331"/>
        <v>0</v>
      </c>
      <c r="J540" s="1038">
        <f t="shared" si="332"/>
        <v>0</v>
      </c>
      <c r="L540" s="1060">
        <f t="shared" si="333"/>
        <v>0</v>
      </c>
      <c r="M540" s="1060">
        <f t="shared" si="334"/>
        <v>1</v>
      </c>
      <c r="N540" s="1060">
        <f t="shared" si="335"/>
        <v>0</v>
      </c>
      <c r="O540" s="1060">
        <f t="shared" si="336"/>
        <v>0</v>
      </c>
      <c r="P540" s="1060">
        <f t="shared" si="337"/>
        <v>0</v>
      </c>
    </row>
    <row r="541" spans="1:16" x14ac:dyDescent="0.25">
      <c r="A541" s="1034">
        <v>983</v>
      </c>
      <c r="B541" s="1034">
        <f t="shared" si="338"/>
        <v>5</v>
      </c>
      <c r="C541" s="1034" t="str">
        <f t="shared" si="325"/>
        <v>ZAINUR RAFIK</v>
      </c>
      <c r="D541" s="1035" t="str">
        <f t="shared" si="326"/>
        <v>ES</v>
      </c>
      <c r="E541" s="1036">
        <f t="shared" si="327"/>
        <v>2016</v>
      </c>
      <c r="F541" s="1035" t="str">
        <f t="shared" si="328"/>
        <v>LULUS</v>
      </c>
      <c r="G541" s="1036">
        <f t="shared" si="329"/>
        <v>839216005</v>
      </c>
      <c r="H541" s="1038">
        <f t="shared" si="330"/>
        <v>0</v>
      </c>
      <c r="I541" s="1038">
        <f t="shared" si="331"/>
        <v>0</v>
      </c>
      <c r="J541" s="1038">
        <f t="shared" si="332"/>
        <v>0</v>
      </c>
      <c r="L541" s="1060">
        <f t="shared" si="333"/>
        <v>0</v>
      </c>
      <c r="M541" s="1060">
        <f t="shared" si="334"/>
        <v>1</v>
      </c>
      <c r="N541" s="1060">
        <f t="shared" si="335"/>
        <v>0</v>
      </c>
      <c r="O541" s="1060">
        <f t="shared" si="336"/>
        <v>0</v>
      </c>
      <c r="P541" s="1060">
        <f t="shared" si="337"/>
        <v>0</v>
      </c>
    </row>
    <row r="542" spans="1:16" x14ac:dyDescent="0.25">
      <c r="A542" s="1034">
        <v>984</v>
      </c>
      <c r="B542" s="1034">
        <f t="shared" si="338"/>
        <v>6</v>
      </c>
      <c r="C542" s="1034" t="str">
        <f t="shared" si="325"/>
        <v>MUHTAR HIDAYAT</v>
      </c>
      <c r="D542" s="1035" t="str">
        <f t="shared" si="326"/>
        <v>ES</v>
      </c>
      <c r="E542" s="1036">
        <f t="shared" si="327"/>
        <v>2016</v>
      </c>
      <c r="F542" s="1035" t="str">
        <f t="shared" si="328"/>
        <v>PASIF</v>
      </c>
      <c r="G542" s="1036">
        <f t="shared" si="329"/>
        <v>839216006</v>
      </c>
      <c r="H542" s="1038">
        <f t="shared" si="330"/>
        <v>0</v>
      </c>
      <c r="I542" s="1038">
        <f t="shared" si="331"/>
        <v>0</v>
      </c>
      <c r="J542" s="1038">
        <f t="shared" si="332"/>
        <v>0</v>
      </c>
      <c r="L542" s="1060">
        <f t="shared" si="333"/>
        <v>0</v>
      </c>
      <c r="M542" s="1060">
        <f t="shared" si="334"/>
        <v>0</v>
      </c>
      <c r="N542" s="1060">
        <f t="shared" si="335"/>
        <v>0</v>
      </c>
      <c r="O542" s="1060">
        <f t="shared" si="336"/>
        <v>0</v>
      </c>
      <c r="P542" s="1060">
        <f t="shared" si="337"/>
        <v>1</v>
      </c>
    </row>
    <row r="543" spans="1:16" x14ac:dyDescent="0.25">
      <c r="A543" s="1034">
        <v>985</v>
      </c>
      <c r="B543" s="1034">
        <f t="shared" si="338"/>
        <v>7</v>
      </c>
      <c r="C543" s="1034" t="str">
        <f t="shared" si="325"/>
        <v>ALI MUHTAR BAEHAKI,SP</v>
      </c>
      <c r="D543" s="1035" t="str">
        <f t="shared" si="326"/>
        <v>ES</v>
      </c>
      <c r="E543" s="1036">
        <f t="shared" si="327"/>
        <v>2016</v>
      </c>
      <c r="F543" s="1035" t="str">
        <f t="shared" si="328"/>
        <v>PASIF</v>
      </c>
      <c r="G543" s="1036">
        <f t="shared" si="329"/>
        <v>839216007</v>
      </c>
      <c r="H543" s="1038">
        <f t="shared" si="330"/>
        <v>0</v>
      </c>
      <c r="I543" s="1038">
        <f t="shared" si="331"/>
        <v>0</v>
      </c>
      <c r="J543" s="1038">
        <f t="shared" si="332"/>
        <v>0</v>
      </c>
      <c r="L543" s="1060">
        <f t="shared" si="333"/>
        <v>0</v>
      </c>
      <c r="M543" s="1060">
        <f t="shared" si="334"/>
        <v>0</v>
      </c>
      <c r="N543" s="1060">
        <f t="shared" si="335"/>
        <v>0</v>
      </c>
      <c r="O543" s="1060">
        <f t="shared" si="336"/>
        <v>0</v>
      </c>
      <c r="P543" s="1060">
        <f t="shared" si="337"/>
        <v>1</v>
      </c>
    </row>
    <row r="544" spans="1:16" x14ac:dyDescent="0.25">
      <c r="A544" s="1034">
        <v>986</v>
      </c>
      <c r="B544" s="1034">
        <f t="shared" si="338"/>
        <v>8</v>
      </c>
      <c r="C544" s="1034" t="str">
        <f t="shared" si="325"/>
        <v>QOMARUDDIN HAMDI</v>
      </c>
      <c r="D544" s="1035" t="str">
        <f t="shared" si="326"/>
        <v>ES</v>
      </c>
      <c r="E544" s="1036">
        <f t="shared" si="327"/>
        <v>2016</v>
      </c>
      <c r="F544" s="1035" t="str">
        <f t="shared" si="328"/>
        <v>PASIF</v>
      </c>
      <c r="G544" s="1036">
        <f t="shared" si="329"/>
        <v>839216008</v>
      </c>
      <c r="H544" s="1038">
        <f t="shared" si="330"/>
        <v>0</v>
      </c>
      <c r="I544" s="1038">
        <f t="shared" si="331"/>
        <v>0</v>
      </c>
      <c r="J544" s="1038">
        <f t="shared" si="332"/>
        <v>0</v>
      </c>
      <c r="L544" s="1060">
        <f t="shared" si="333"/>
        <v>0</v>
      </c>
      <c r="M544" s="1060">
        <f t="shared" si="334"/>
        <v>0</v>
      </c>
      <c r="N544" s="1060">
        <f t="shared" si="335"/>
        <v>0</v>
      </c>
      <c r="O544" s="1060">
        <f t="shared" si="336"/>
        <v>0</v>
      </c>
      <c r="P544" s="1060">
        <f t="shared" si="337"/>
        <v>1</v>
      </c>
    </row>
    <row r="545" spans="1:16" x14ac:dyDescent="0.25">
      <c r="A545" s="1034">
        <v>987</v>
      </c>
      <c r="B545" s="1034">
        <f t="shared" si="338"/>
        <v>9</v>
      </c>
      <c r="C545" s="1034" t="str">
        <f t="shared" si="325"/>
        <v>ASMITO</v>
      </c>
      <c r="D545" s="1035" t="str">
        <f t="shared" si="326"/>
        <v>ES</v>
      </c>
      <c r="E545" s="1036">
        <f t="shared" si="327"/>
        <v>2016</v>
      </c>
      <c r="F545" s="1035" t="str">
        <f t="shared" si="328"/>
        <v>AKTIF</v>
      </c>
      <c r="G545" s="1036">
        <f t="shared" si="329"/>
        <v>839216009</v>
      </c>
      <c r="H545" s="1038">
        <f t="shared" si="330"/>
        <v>3000000</v>
      </c>
      <c r="I545" s="1038">
        <f t="shared" si="331"/>
        <v>3000000</v>
      </c>
      <c r="J545" s="1038">
        <f t="shared" si="332"/>
        <v>6000000</v>
      </c>
      <c r="L545" s="1060">
        <f t="shared" si="333"/>
        <v>1</v>
      </c>
      <c r="M545" s="1060">
        <f t="shared" si="334"/>
        <v>0</v>
      </c>
      <c r="N545" s="1060">
        <f t="shared" si="335"/>
        <v>0</v>
      </c>
      <c r="O545" s="1060">
        <f t="shared" si="336"/>
        <v>0</v>
      </c>
      <c r="P545" s="1060">
        <f t="shared" si="337"/>
        <v>0</v>
      </c>
    </row>
    <row r="546" spans="1:16" x14ac:dyDescent="0.25">
      <c r="A546" s="1034">
        <v>988</v>
      </c>
      <c r="B546" s="1034">
        <f t="shared" si="338"/>
        <v>10</v>
      </c>
      <c r="C546" s="1034" t="str">
        <f t="shared" si="325"/>
        <v>NAILUL MAROM</v>
      </c>
      <c r="D546" s="1035" t="str">
        <f t="shared" si="326"/>
        <v>ES</v>
      </c>
      <c r="E546" s="1036">
        <f t="shared" si="327"/>
        <v>2016</v>
      </c>
      <c r="F546" s="1035" t="str">
        <f t="shared" si="328"/>
        <v>LULUS</v>
      </c>
      <c r="G546" s="1036">
        <f t="shared" si="329"/>
        <v>839216010</v>
      </c>
      <c r="H546" s="1038">
        <f t="shared" si="330"/>
        <v>0</v>
      </c>
      <c r="I546" s="1038">
        <f t="shared" si="331"/>
        <v>0</v>
      </c>
      <c r="J546" s="1038">
        <f t="shared" si="332"/>
        <v>0</v>
      </c>
      <c r="L546" s="1060">
        <f t="shared" si="333"/>
        <v>0</v>
      </c>
      <c r="M546" s="1060">
        <f t="shared" si="334"/>
        <v>1</v>
      </c>
      <c r="N546" s="1060">
        <f t="shared" si="335"/>
        <v>0</v>
      </c>
      <c r="O546" s="1060">
        <f t="shared" si="336"/>
        <v>0</v>
      </c>
      <c r="P546" s="1060">
        <f t="shared" si="337"/>
        <v>0</v>
      </c>
    </row>
    <row r="547" spans="1:16" x14ac:dyDescent="0.25">
      <c r="A547" s="1034">
        <v>989</v>
      </c>
      <c r="B547" s="1034">
        <f t="shared" si="338"/>
        <v>11</v>
      </c>
      <c r="C547" s="1034" t="str">
        <f t="shared" si="325"/>
        <v>SUPRIYANTO</v>
      </c>
      <c r="D547" s="1035" t="str">
        <f t="shared" si="326"/>
        <v>ES</v>
      </c>
      <c r="E547" s="1036">
        <f t="shared" si="327"/>
        <v>2016</v>
      </c>
      <c r="F547" s="1035" t="str">
        <f t="shared" si="328"/>
        <v>LULUS</v>
      </c>
      <c r="G547" s="1036">
        <f t="shared" si="329"/>
        <v>839216011</v>
      </c>
      <c r="H547" s="1038">
        <f t="shared" si="330"/>
        <v>0</v>
      </c>
      <c r="I547" s="1038">
        <f t="shared" si="331"/>
        <v>0</v>
      </c>
      <c r="J547" s="1038">
        <f t="shared" si="332"/>
        <v>0</v>
      </c>
      <c r="L547" s="1060">
        <f t="shared" si="333"/>
        <v>0</v>
      </c>
      <c r="M547" s="1060">
        <f t="shared" si="334"/>
        <v>1</v>
      </c>
      <c r="N547" s="1060">
        <f t="shared" si="335"/>
        <v>0</v>
      </c>
      <c r="O547" s="1060">
        <f t="shared" si="336"/>
        <v>0</v>
      </c>
      <c r="P547" s="1060">
        <f t="shared" si="337"/>
        <v>0</v>
      </c>
    </row>
    <row r="548" spans="1:16" x14ac:dyDescent="0.25">
      <c r="A548" s="1034">
        <v>990</v>
      </c>
      <c r="B548" s="1034">
        <f t="shared" si="338"/>
        <v>12</v>
      </c>
      <c r="C548" s="1034" t="str">
        <f t="shared" si="325"/>
        <v>IMAM GHOZALI</v>
      </c>
      <c r="D548" s="1035" t="str">
        <f t="shared" si="326"/>
        <v>ES</v>
      </c>
      <c r="E548" s="1036">
        <f t="shared" si="327"/>
        <v>2016</v>
      </c>
      <c r="F548" s="1035" t="str">
        <f t="shared" si="328"/>
        <v>PASIF</v>
      </c>
      <c r="G548" s="1036">
        <f t="shared" si="329"/>
        <v>839216012</v>
      </c>
      <c r="H548" s="1038">
        <f t="shared" si="330"/>
        <v>0</v>
      </c>
      <c r="I548" s="1038">
        <f t="shared" si="331"/>
        <v>0</v>
      </c>
      <c r="J548" s="1038">
        <f t="shared" si="332"/>
        <v>0</v>
      </c>
      <c r="L548" s="1060">
        <f t="shared" si="333"/>
        <v>0</v>
      </c>
      <c r="M548" s="1060">
        <f t="shared" si="334"/>
        <v>0</v>
      </c>
      <c r="N548" s="1060">
        <f t="shared" si="335"/>
        <v>0</v>
      </c>
      <c r="O548" s="1060">
        <f t="shared" si="336"/>
        <v>0</v>
      </c>
      <c r="P548" s="1060">
        <f t="shared" si="337"/>
        <v>1</v>
      </c>
    </row>
    <row r="549" spans="1:16" x14ac:dyDescent="0.25">
      <c r="A549" s="1034">
        <v>991</v>
      </c>
      <c r="B549" s="1034">
        <f t="shared" si="338"/>
        <v>13</v>
      </c>
      <c r="C549" s="1034" t="str">
        <f t="shared" si="325"/>
        <v>HOIRUL ICHFAN</v>
      </c>
      <c r="D549" s="1035" t="str">
        <f t="shared" si="326"/>
        <v>ES</v>
      </c>
      <c r="E549" s="1036">
        <f t="shared" si="327"/>
        <v>2016</v>
      </c>
      <c r="F549" s="1035" t="str">
        <f t="shared" si="328"/>
        <v>LULUS</v>
      </c>
      <c r="G549" s="1036">
        <f t="shared" si="329"/>
        <v>839216013</v>
      </c>
      <c r="H549" s="1038">
        <f t="shared" si="330"/>
        <v>0</v>
      </c>
      <c r="I549" s="1038">
        <f t="shared" si="331"/>
        <v>0</v>
      </c>
      <c r="J549" s="1038">
        <f t="shared" si="332"/>
        <v>0</v>
      </c>
      <c r="L549" s="1060">
        <f t="shared" si="333"/>
        <v>0</v>
      </c>
      <c r="M549" s="1060">
        <f t="shared" si="334"/>
        <v>1</v>
      </c>
      <c r="N549" s="1060">
        <f t="shared" si="335"/>
        <v>0</v>
      </c>
      <c r="O549" s="1060">
        <f t="shared" si="336"/>
        <v>0</v>
      </c>
      <c r="P549" s="1060">
        <f t="shared" si="337"/>
        <v>0</v>
      </c>
    </row>
    <row r="550" spans="1:16" x14ac:dyDescent="0.25">
      <c r="A550" s="1034">
        <v>992</v>
      </c>
      <c r="B550" s="1034">
        <f t="shared" si="338"/>
        <v>14</v>
      </c>
      <c r="C550" s="1034" t="str">
        <f t="shared" si="325"/>
        <v>AKHMAD WASIK</v>
      </c>
      <c r="D550" s="1035" t="str">
        <f t="shared" si="326"/>
        <v>ES</v>
      </c>
      <c r="E550" s="1036">
        <f t="shared" si="327"/>
        <v>2016</v>
      </c>
      <c r="F550" s="1035" t="str">
        <f t="shared" si="328"/>
        <v>LULUS</v>
      </c>
      <c r="G550" s="1036">
        <f t="shared" si="329"/>
        <v>839216014</v>
      </c>
      <c r="H550" s="1038">
        <f t="shared" si="330"/>
        <v>0</v>
      </c>
      <c r="I550" s="1038">
        <f t="shared" si="331"/>
        <v>0</v>
      </c>
      <c r="J550" s="1038">
        <f t="shared" si="332"/>
        <v>0</v>
      </c>
      <c r="L550" s="1060">
        <f t="shared" si="333"/>
        <v>0</v>
      </c>
      <c r="M550" s="1060">
        <f t="shared" si="334"/>
        <v>1</v>
      </c>
      <c r="N550" s="1060">
        <f t="shared" si="335"/>
        <v>0</v>
      </c>
      <c r="O550" s="1060">
        <f t="shared" si="336"/>
        <v>0</v>
      </c>
      <c r="P550" s="1060">
        <f t="shared" si="337"/>
        <v>0</v>
      </c>
    </row>
    <row r="551" spans="1:16" x14ac:dyDescent="0.25">
      <c r="A551" s="1034">
        <v>993</v>
      </c>
      <c r="B551" s="1034">
        <f t="shared" si="338"/>
        <v>15</v>
      </c>
      <c r="C551" s="1034" t="str">
        <f t="shared" si="325"/>
        <v xml:space="preserve">HOLIL NAWAWI </v>
      </c>
      <c r="D551" s="1035" t="str">
        <f t="shared" si="326"/>
        <v>ES</v>
      </c>
      <c r="E551" s="1036">
        <f t="shared" si="327"/>
        <v>2016</v>
      </c>
      <c r="F551" s="1035" t="str">
        <f t="shared" si="328"/>
        <v>LULUS</v>
      </c>
      <c r="G551" s="1036">
        <f t="shared" si="329"/>
        <v>839216015</v>
      </c>
      <c r="H551" s="1038">
        <f t="shared" si="330"/>
        <v>0</v>
      </c>
      <c r="I551" s="1038">
        <f t="shared" si="331"/>
        <v>0</v>
      </c>
      <c r="J551" s="1038">
        <f t="shared" si="332"/>
        <v>0</v>
      </c>
      <c r="L551" s="1060">
        <f t="shared" si="333"/>
        <v>0</v>
      </c>
      <c r="M551" s="1060">
        <f t="shared" si="334"/>
        <v>1</v>
      </c>
      <c r="N551" s="1060">
        <f t="shared" si="335"/>
        <v>0</v>
      </c>
      <c r="O551" s="1060">
        <f t="shared" si="336"/>
        <v>0</v>
      </c>
      <c r="P551" s="1060">
        <f t="shared" si="337"/>
        <v>0</v>
      </c>
    </row>
    <row r="552" spans="1:16" x14ac:dyDescent="0.25">
      <c r="A552" s="1034">
        <v>994</v>
      </c>
      <c r="B552" s="1034">
        <f t="shared" si="338"/>
        <v>16</v>
      </c>
      <c r="C552" s="1034" t="str">
        <f t="shared" si="325"/>
        <v>VILLATUS SHOLIKHAH</v>
      </c>
      <c r="D552" s="1035" t="str">
        <f t="shared" si="326"/>
        <v>ES</v>
      </c>
      <c r="E552" s="1036">
        <f t="shared" si="327"/>
        <v>2016</v>
      </c>
      <c r="F552" s="1035" t="str">
        <f t="shared" si="328"/>
        <v>LULUS</v>
      </c>
      <c r="G552" s="1036">
        <f t="shared" si="329"/>
        <v>839216016</v>
      </c>
      <c r="H552" s="1038">
        <f t="shared" si="330"/>
        <v>0</v>
      </c>
      <c r="I552" s="1038">
        <f t="shared" si="331"/>
        <v>0</v>
      </c>
      <c r="J552" s="1038">
        <f t="shared" si="332"/>
        <v>0</v>
      </c>
      <c r="L552" s="1060">
        <f t="shared" si="333"/>
        <v>0</v>
      </c>
      <c r="M552" s="1060">
        <f t="shared" si="334"/>
        <v>1</v>
      </c>
      <c r="N552" s="1060">
        <f t="shared" si="335"/>
        <v>0</v>
      </c>
      <c r="O552" s="1060">
        <f t="shared" si="336"/>
        <v>0</v>
      </c>
      <c r="P552" s="1060">
        <f t="shared" si="337"/>
        <v>0</v>
      </c>
    </row>
    <row r="553" spans="1:16" x14ac:dyDescent="0.25">
      <c r="A553" s="1034">
        <v>995</v>
      </c>
      <c r="B553" s="1034">
        <f t="shared" si="338"/>
        <v>17</v>
      </c>
      <c r="C553" s="1034" t="str">
        <f t="shared" si="325"/>
        <v>AHMAD MUHYIDIN</v>
      </c>
      <c r="D553" s="1035" t="str">
        <f t="shared" si="326"/>
        <v>ES</v>
      </c>
      <c r="E553" s="1036">
        <f t="shared" si="327"/>
        <v>2016</v>
      </c>
      <c r="F553" s="1035" t="str">
        <f t="shared" si="328"/>
        <v>LULUS</v>
      </c>
      <c r="G553" s="1036">
        <f t="shared" si="329"/>
        <v>839216017</v>
      </c>
      <c r="H553" s="1038">
        <f t="shared" si="330"/>
        <v>0</v>
      </c>
      <c r="I553" s="1038">
        <f t="shared" si="331"/>
        <v>0</v>
      </c>
      <c r="J553" s="1038">
        <f t="shared" si="332"/>
        <v>0</v>
      </c>
      <c r="L553" s="1060">
        <f t="shared" si="333"/>
        <v>0</v>
      </c>
      <c r="M553" s="1060">
        <f t="shared" si="334"/>
        <v>1</v>
      </c>
      <c r="N553" s="1060">
        <f t="shared" si="335"/>
        <v>0</v>
      </c>
      <c r="O553" s="1060">
        <f t="shared" si="336"/>
        <v>0</v>
      </c>
      <c r="P553" s="1060">
        <f t="shared" si="337"/>
        <v>0</v>
      </c>
    </row>
    <row r="554" spans="1:16" x14ac:dyDescent="0.25">
      <c r="A554" s="1034">
        <v>996</v>
      </c>
      <c r="B554" s="1034">
        <f t="shared" si="338"/>
        <v>18</v>
      </c>
      <c r="C554" s="1034" t="str">
        <f t="shared" si="325"/>
        <v>FATMAWATI</v>
      </c>
      <c r="D554" s="1035" t="str">
        <f t="shared" si="326"/>
        <v>ES</v>
      </c>
      <c r="E554" s="1036">
        <f t="shared" si="327"/>
        <v>2016</v>
      </c>
      <c r="F554" s="1035" t="str">
        <f t="shared" si="328"/>
        <v>PASIF</v>
      </c>
      <c r="G554" s="1036">
        <f t="shared" si="329"/>
        <v>839216018</v>
      </c>
      <c r="H554" s="1038">
        <f t="shared" si="330"/>
        <v>0</v>
      </c>
      <c r="I554" s="1038">
        <f t="shared" si="331"/>
        <v>0</v>
      </c>
      <c r="J554" s="1038">
        <f t="shared" si="332"/>
        <v>0</v>
      </c>
      <c r="L554" s="1060">
        <f t="shared" si="333"/>
        <v>0</v>
      </c>
      <c r="M554" s="1060">
        <f t="shared" si="334"/>
        <v>0</v>
      </c>
      <c r="N554" s="1060">
        <f t="shared" si="335"/>
        <v>0</v>
      </c>
      <c r="O554" s="1060">
        <f t="shared" si="336"/>
        <v>0</v>
      </c>
      <c r="P554" s="1060">
        <f t="shared" si="337"/>
        <v>1</v>
      </c>
    </row>
    <row r="555" spans="1:16" x14ac:dyDescent="0.25">
      <c r="A555" s="1034">
        <v>997</v>
      </c>
      <c r="B555" s="1034">
        <f t="shared" si="338"/>
        <v>19</v>
      </c>
      <c r="C555" s="1034" t="str">
        <f t="shared" si="325"/>
        <v>MUHAMAD HAMDI</v>
      </c>
      <c r="D555" s="1035" t="str">
        <f t="shared" si="326"/>
        <v>ES</v>
      </c>
      <c r="E555" s="1036">
        <f t="shared" si="327"/>
        <v>2016</v>
      </c>
      <c r="F555" s="1035" t="str">
        <f t="shared" si="328"/>
        <v>LULUS</v>
      </c>
      <c r="G555" s="1036">
        <f t="shared" si="329"/>
        <v>839216019</v>
      </c>
      <c r="H555" s="1038">
        <f t="shared" si="330"/>
        <v>0</v>
      </c>
      <c r="I555" s="1038">
        <f t="shared" si="331"/>
        <v>0</v>
      </c>
      <c r="J555" s="1038">
        <f t="shared" si="332"/>
        <v>0</v>
      </c>
      <c r="L555" s="1060">
        <f t="shared" si="333"/>
        <v>0</v>
      </c>
      <c r="M555" s="1060">
        <f t="shared" si="334"/>
        <v>1</v>
      </c>
      <c r="N555" s="1060">
        <f t="shared" si="335"/>
        <v>0</v>
      </c>
      <c r="O555" s="1060">
        <f t="shared" si="336"/>
        <v>0</v>
      </c>
      <c r="P555" s="1060">
        <f t="shared" si="337"/>
        <v>0</v>
      </c>
    </row>
    <row r="556" spans="1:16" x14ac:dyDescent="0.25">
      <c r="A556" s="1034">
        <v>998</v>
      </c>
      <c r="B556" s="1034">
        <f t="shared" si="338"/>
        <v>20</v>
      </c>
      <c r="C556" s="1034" t="str">
        <f t="shared" si="325"/>
        <v>LILIK FATHANI</v>
      </c>
      <c r="D556" s="1035" t="str">
        <f t="shared" si="326"/>
        <v>ES</v>
      </c>
      <c r="E556" s="1036">
        <f t="shared" si="327"/>
        <v>2016</v>
      </c>
      <c r="F556" s="1035" t="str">
        <f t="shared" si="328"/>
        <v>LULUS</v>
      </c>
      <c r="G556" s="1036">
        <f t="shared" si="329"/>
        <v>839216020</v>
      </c>
      <c r="H556" s="1038">
        <f t="shared" si="330"/>
        <v>0</v>
      </c>
      <c r="I556" s="1038">
        <f t="shared" si="331"/>
        <v>0</v>
      </c>
      <c r="J556" s="1038">
        <f t="shared" si="332"/>
        <v>0</v>
      </c>
      <c r="L556" s="1060">
        <f t="shared" si="333"/>
        <v>0</v>
      </c>
      <c r="M556" s="1060">
        <f t="shared" si="334"/>
        <v>1</v>
      </c>
      <c r="N556" s="1060">
        <f t="shared" si="335"/>
        <v>0</v>
      </c>
      <c r="O556" s="1060">
        <f t="shared" si="336"/>
        <v>0</v>
      </c>
      <c r="P556" s="1060">
        <f t="shared" si="337"/>
        <v>0</v>
      </c>
    </row>
    <row r="557" spans="1:16" x14ac:dyDescent="0.25">
      <c r="A557" s="1034">
        <v>999</v>
      </c>
      <c r="B557" s="1034">
        <f t="shared" si="338"/>
        <v>21</v>
      </c>
      <c r="C557" s="1034" t="str">
        <f t="shared" si="325"/>
        <v>ANWAR SYADDAD</v>
      </c>
      <c r="D557" s="1035" t="str">
        <f t="shared" si="326"/>
        <v>ES</v>
      </c>
      <c r="E557" s="1036">
        <f t="shared" si="327"/>
        <v>2016</v>
      </c>
      <c r="F557" s="1035" t="str">
        <f t="shared" si="328"/>
        <v>LULUS</v>
      </c>
      <c r="G557" s="1036">
        <f t="shared" si="329"/>
        <v>839216021</v>
      </c>
      <c r="H557" s="1038">
        <f t="shared" si="330"/>
        <v>0</v>
      </c>
      <c r="I557" s="1038">
        <f t="shared" si="331"/>
        <v>0</v>
      </c>
      <c r="J557" s="1038">
        <f t="shared" si="332"/>
        <v>0</v>
      </c>
      <c r="L557" s="1060">
        <f t="shared" si="333"/>
        <v>0</v>
      </c>
      <c r="M557" s="1060">
        <f t="shared" si="334"/>
        <v>1</v>
      </c>
      <c r="N557" s="1060">
        <f t="shared" si="335"/>
        <v>0</v>
      </c>
      <c r="O557" s="1060">
        <f t="shared" si="336"/>
        <v>0</v>
      </c>
      <c r="P557" s="1060">
        <f t="shared" si="337"/>
        <v>0</v>
      </c>
    </row>
    <row r="558" spans="1:16" x14ac:dyDescent="0.25">
      <c r="A558" s="1034">
        <v>1000</v>
      </c>
      <c r="B558" s="1034">
        <f t="shared" si="338"/>
        <v>22</v>
      </c>
      <c r="C558" s="1034" t="str">
        <f t="shared" si="325"/>
        <v>ALI BAHRON</v>
      </c>
      <c r="D558" s="1035" t="str">
        <f t="shared" si="326"/>
        <v>ES</v>
      </c>
      <c r="E558" s="1036">
        <f t="shared" si="327"/>
        <v>2016</v>
      </c>
      <c r="F558" s="1035" t="str">
        <f t="shared" si="328"/>
        <v>PASIF</v>
      </c>
      <c r="G558" s="1036">
        <f t="shared" si="329"/>
        <v>839216022</v>
      </c>
      <c r="H558" s="1038">
        <f t="shared" si="330"/>
        <v>0</v>
      </c>
      <c r="I558" s="1038">
        <f t="shared" si="331"/>
        <v>0</v>
      </c>
      <c r="J558" s="1038">
        <f t="shared" si="332"/>
        <v>0</v>
      </c>
      <c r="L558" s="1060">
        <f t="shared" si="333"/>
        <v>0</v>
      </c>
      <c r="M558" s="1060">
        <f t="shared" si="334"/>
        <v>0</v>
      </c>
      <c r="N558" s="1060">
        <f t="shared" si="335"/>
        <v>0</v>
      </c>
      <c r="O558" s="1060">
        <f t="shared" si="336"/>
        <v>0</v>
      </c>
      <c r="P558" s="1060">
        <f t="shared" si="337"/>
        <v>1</v>
      </c>
    </row>
    <row r="559" spans="1:16" x14ac:dyDescent="0.25">
      <c r="A559" s="1034">
        <v>1001</v>
      </c>
      <c r="B559" s="1034">
        <f t="shared" si="338"/>
        <v>23</v>
      </c>
      <c r="C559" s="1034" t="str">
        <f t="shared" si="325"/>
        <v>HIKMATUL MAZIDAH</v>
      </c>
      <c r="D559" s="1035" t="str">
        <f t="shared" si="326"/>
        <v>ES</v>
      </c>
      <c r="E559" s="1036">
        <f t="shared" si="327"/>
        <v>2016</v>
      </c>
      <c r="F559" s="1035" t="str">
        <f t="shared" si="328"/>
        <v>LULUS</v>
      </c>
      <c r="G559" s="1036">
        <f t="shared" si="329"/>
        <v>839216023</v>
      </c>
      <c r="H559" s="1038">
        <f t="shared" si="330"/>
        <v>0</v>
      </c>
      <c r="I559" s="1038">
        <f t="shared" si="331"/>
        <v>0</v>
      </c>
      <c r="J559" s="1038">
        <f t="shared" si="332"/>
        <v>0</v>
      </c>
      <c r="L559" s="1060">
        <f t="shared" si="333"/>
        <v>0</v>
      </c>
      <c r="M559" s="1060">
        <f t="shared" si="334"/>
        <v>1</v>
      </c>
      <c r="N559" s="1060">
        <f t="shared" si="335"/>
        <v>0</v>
      </c>
      <c r="O559" s="1060">
        <f t="shared" si="336"/>
        <v>0</v>
      </c>
      <c r="P559" s="1060">
        <f t="shared" si="337"/>
        <v>0</v>
      </c>
    </row>
    <row r="560" spans="1:16" x14ac:dyDescent="0.25">
      <c r="A560" s="1034">
        <v>1002</v>
      </c>
      <c r="B560" s="1034">
        <f t="shared" si="338"/>
        <v>24</v>
      </c>
      <c r="C560" s="1034" t="str">
        <f t="shared" si="325"/>
        <v>IMRON ROSYIDI</v>
      </c>
      <c r="D560" s="1035" t="str">
        <f t="shared" si="326"/>
        <v>ES</v>
      </c>
      <c r="E560" s="1036">
        <f t="shared" si="327"/>
        <v>2016</v>
      </c>
      <c r="F560" s="1035" t="str">
        <f t="shared" si="328"/>
        <v>PASIF</v>
      </c>
      <c r="G560" s="1036">
        <f t="shared" si="329"/>
        <v>839216024</v>
      </c>
      <c r="H560" s="1038">
        <f t="shared" si="330"/>
        <v>0</v>
      </c>
      <c r="I560" s="1038">
        <f t="shared" si="331"/>
        <v>0</v>
      </c>
      <c r="J560" s="1038">
        <f t="shared" si="332"/>
        <v>0</v>
      </c>
      <c r="L560" s="1060">
        <f t="shared" si="333"/>
        <v>0</v>
      </c>
      <c r="M560" s="1060">
        <f t="shared" si="334"/>
        <v>0</v>
      </c>
      <c r="N560" s="1060">
        <f t="shared" si="335"/>
        <v>0</v>
      </c>
      <c r="O560" s="1060">
        <f t="shared" si="336"/>
        <v>0</v>
      </c>
      <c r="P560" s="1060">
        <f t="shared" si="337"/>
        <v>1</v>
      </c>
    </row>
    <row r="561" spans="1:16" x14ac:dyDescent="0.25">
      <c r="A561" s="1034">
        <v>1003</v>
      </c>
      <c r="B561" s="1034">
        <f t="shared" si="338"/>
        <v>25</v>
      </c>
      <c r="C561" s="1034" t="str">
        <f t="shared" si="325"/>
        <v>IMAM KOMARUDIN</v>
      </c>
      <c r="D561" s="1035" t="str">
        <f t="shared" si="326"/>
        <v>ES</v>
      </c>
      <c r="E561" s="1036">
        <f t="shared" si="327"/>
        <v>2016</v>
      </c>
      <c r="F561" s="1035" t="str">
        <f t="shared" si="328"/>
        <v>LULUS</v>
      </c>
      <c r="G561" s="1036">
        <f t="shared" si="329"/>
        <v>839216025</v>
      </c>
      <c r="H561" s="1038">
        <f t="shared" si="330"/>
        <v>0</v>
      </c>
      <c r="I561" s="1038">
        <f t="shared" si="331"/>
        <v>0</v>
      </c>
      <c r="J561" s="1038">
        <f t="shared" si="332"/>
        <v>0</v>
      </c>
      <c r="L561" s="1060">
        <f t="shared" si="333"/>
        <v>0</v>
      </c>
      <c r="M561" s="1060">
        <f t="shared" si="334"/>
        <v>1</v>
      </c>
      <c r="N561" s="1060">
        <f t="shared" si="335"/>
        <v>0</v>
      </c>
      <c r="O561" s="1060">
        <f t="shared" si="336"/>
        <v>0</v>
      </c>
      <c r="P561" s="1060">
        <f t="shared" si="337"/>
        <v>0</v>
      </c>
    </row>
    <row r="562" spans="1:16" x14ac:dyDescent="0.25">
      <c r="A562" s="1034">
        <v>1004</v>
      </c>
      <c r="B562" s="1034">
        <f t="shared" si="338"/>
        <v>26</v>
      </c>
      <c r="C562" s="1034" t="str">
        <f t="shared" si="325"/>
        <v>MUCHTAR</v>
      </c>
      <c r="D562" s="1035" t="str">
        <f t="shared" si="326"/>
        <v>ES</v>
      </c>
      <c r="E562" s="1036">
        <f t="shared" si="327"/>
        <v>2016</v>
      </c>
      <c r="F562" s="1035" t="str">
        <f t="shared" si="328"/>
        <v>DROP OUT</v>
      </c>
      <c r="G562" s="1036">
        <f t="shared" si="329"/>
        <v>839216026</v>
      </c>
      <c r="H562" s="1038">
        <f t="shared" si="330"/>
        <v>0</v>
      </c>
      <c r="I562" s="1038">
        <f t="shared" si="331"/>
        <v>0</v>
      </c>
      <c r="J562" s="1038">
        <f t="shared" si="332"/>
        <v>0</v>
      </c>
      <c r="L562" s="1060">
        <f t="shared" si="333"/>
        <v>0</v>
      </c>
      <c r="M562" s="1060">
        <f t="shared" si="334"/>
        <v>0</v>
      </c>
      <c r="N562" s="1060">
        <f t="shared" si="335"/>
        <v>0</v>
      </c>
      <c r="O562" s="1060">
        <f t="shared" si="336"/>
        <v>1</v>
      </c>
      <c r="P562" s="1060">
        <f t="shared" si="337"/>
        <v>0</v>
      </c>
    </row>
    <row r="563" spans="1:16" x14ac:dyDescent="0.25">
      <c r="A563" s="1034">
        <v>1005</v>
      </c>
      <c r="B563" s="1034">
        <f t="shared" si="338"/>
        <v>27</v>
      </c>
      <c r="C563" s="1034" t="str">
        <f t="shared" si="325"/>
        <v>CUT ALFIT NAFI'ATUSSALAMAH</v>
      </c>
      <c r="D563" s="1035" t="str">
        <f t="shared" si="326"/>
        <v>ES</v>
      </c>
      <c r="E563" s="1036">
        <f t="shared" si="327"/>
        <v>2016</v>
      </c>
      <c r="F563" s="1035" t="str">
        <f t="shared" si="328"/>
        <v>DROP OUT</v>
      </c>
      <c r="G563" s="1036">
        <f t="shared" si="329"/>
        <v>839216027</v>
      </c>
      <c r="H563" s="1038">
        <f t="shared" si="330"/>
        <v>0</v>
      </c>
      <c r="I563" s="1038">
        <f t="shared" si="331"/>
        <v>0</v>
      </c>
      <c r="J563" s="1038">
        <f t="shared" si="332"/>
        <v>0</v>
      </c>
      <c r="L563" s="1060">
        <f t="shared" si="333"/>
        <v>0</v>
      </c>
      <c r="M563" s="1060">
        <f t="shared" si="334"/>
        <v>0</v>
      </c>
      <c r="N563" s="1060">
        <f t="shared" si="335"/>
        <v>0</v>
      </c>
      <c r="O563" s="1060">
        <f t="shared" si="336"/>
        <v>1</v>
      </c>
      <c r="P563" s="1060">
        <f t="shared" si="337"/>
        <v>0</v>
      </c>
    </row>
    <row r="564" spans="1:16" x14ac:dyDescent="0.25">
      <c r="A564" s="1039"/>
      <c r="B564" s="1039"/>
      <c r="C564" s="1039"/>
      <c r="D564" s="1040"/>
      <c r="E564" s="1041"/>
      <c r="F564" s="1040"/>
      <c r="G564" s="1041"/>
      <c r="H564" s="1042"/>
      <c r="I564" s="1042"/>
      <c r="J564" s="1042"/>
      <c r="L564" s="1042"/>
      <c r="M564" s="1042"/>
      <c r="N564" s="1042"/>
      <c r="O564" s="1042"/>
      <c r="P564" s="1042"/>
    </row>
    <row r="565" spans="1:16" x14ac:dyDescent="0.25">
      <c r="A565" s="1043" t="str">
        <f>'Rekap SPP'!A1089</f>
        <v>S2-HK 2016/2017</v>
      </c>
      <c r="B565" s="1043"/>
      <c r="C565" s="1043"/>
      <c r="D565" s="1033" t="s">
        <v>3</v>
      </c>
      <c r="E565" s="1032" t="s">
        <v>4</v>
      </c>
      <c r="F565" s="1033" t="s">
        <v>3195</v>
      </c>
      <c r="G565" s="1032" t="s">
        <v>1</v>
      </c>
      <c r="H565" s="1033" t="s">
        <v>3341</v>
      </c>
      <c r="I565" s="1033" t="s">
        <v>3362</v>
      </c>
      <c r="J565" s="1062">
        <f>SUM(J566:J587)</f>
        <v>6000000</v>
      </c>
      <c r="L565" s="1063">
        <f>SUM(L566:L587)</f>
        <v>1</v>
      </c>
      <c r="M565" s="1063">
        <f>SUM(M566:M587)</f>
        <v>16</v>
      </c>
      <c r="N565" s="1063">
        <f>SUM(N566:N587)</f>
        <v>0</v>
      </c>
      <c r="O565" s="1063">
        <f>SUM(O566:O587)</f>
        <v>0</v>
      </c>
      <c r="P565" s="1063">
        <f>SUM(P566:P587)</f>
        <v>5</v>
      </c>
    </row>
    <row r="566" spans="1:16" x14ac:dyDescent="0.25">
      <c r="A566" s="1034">
        <v>1006</v>
      </c>
      <c r="B566" s="1034">
        <f t="shared" si="338"/>
        <v>1</v>
      </c>
      <c r="C566" s="1034" t="str">
        <f t="shared" ref="C566:C587" si="339">IFERROR(VLOOKUP(A566,DB,4,FALSE),"")</f>
        <v>AHMAD AMIN</v>
      </c>
      <c r="D566" s="1035" t="str">
        <f t="shared" ref="D566:D587" si="340">IFERROR(VLOOKUP(A566,DB,5,FALSE),"")</f>
        <v>HK</v>
      </c>
      <c r="E566" s="1036">
        <f t="shared" ref="E566:E587" si="341">IFERROR(VLOOKUP(A566,DB,6,FALSE),"")</f>
        <v>2016</v>
      </c>
      <c r="F566" s="1035" t="str">
        <f t="shared" ref="F566:F587" si="342">IFERROR(VLOOKUP(A566,DB,7,FALSE),"")</f>
        <v>AKTIF</v>
      </c>
      <c r="G566" s="1036">
        <f t="shared" ref="G566:G587" si="343">IFERROR(VLOOKUP(A566,DB,3,FALSE),"")</f>
        <v>839116001</v>
      </c>
      <c r="H566" s="1038">
        <f t="shared" ref="H566:H587" si="344">IF(F566="AKTIF",3000000,IF(F566="CUTI",3000000,0))</f>
        <v>3000000</v>
      </c>
      <c r="I566" s="1038">
        <f t="shared" ref="I566:I587" si="345">IF(F566="AKTIF",3000000,IF(F566="CUTI",3000000,0))</f>
        <v>3000000</v>
      </c>
      <c r="J566" s="1038">
        <f t="shared" ref="J566:J587" si="346">I566+H566</f>
        <v>6000000</v>
      </c>
      <c r="L566" s="1060">
        <f t="shared" si="333"/>
        <v>1</v>
      </c>
      <c r="M566" s="1060">
        <f t="shared" ref="M566:M587" si="347">IF(F566="LULUS",1,0)</f>
        <v>0</v>
      </c>
      <c r="N566" s="1060">
        <f t="shared" ref="N566:N587" si="348">IF(F566="CUTI",1,0)</f>
        <v>0</v>
      </c>
      <c r="O566" s="1060">
        <f t="shared" ref="O566:O587" si="349">IF(F566="DROP OUT",1,0)</f>
        <v>0</v>
      </c>
      <c r="P566" s="1060">
        <f t="shared" ref="P566:P587" si="350">IF(F566="PASIF",1,0)</f>
        <v>0</v>
      </c>
    </row>
    <row r="567" spans="1:16" x14ac:dyDescent="0.25">
      <c r="A567" s="1034">
        <v>1007</v>
      </c>
      <c r="B567" s="1034">
        <f t="shared" si="338"/>
        <v>2</v>
      </c>
      <c r="C567" s="1034" t="str">
        <f t="shared" si="339"/>
        <v>WAHID AHTAR BAIHAQI</v>
      </c>
      <c r="D567" s="1035" t="str">
        <f t="shared" si="340"/>
        <v>HK</v>
      </c>
      <c r="E567" s="1036">
        <f t="shared" si="341"/>
        <v>2016</v>
      </c>
      <c r="F567" s="1035" t="str">
        <f t="shared" si="342"/>
        <v>LULUS</v>
      </c>
      <c r="G567" s="1036">
        <f t="shared" si="343"/>
        <v>839116002</v>
      </c>
      <c r="H567" s="1038">
        <f t="shared" si="344"/>
        <v>0</v>
      </c>
      <c r="I567" s="1038">
        <f t="shared" si="345"/>
        <v>0</v>
      </c>
      <c r="J567" s="1038">
        <f t="shared" si="346"/>
        <v>0</v>
      </c>
      <c r="L567" s="1060">
        <f t="shared" si="333"/>
        <v>0</v>
      </c>
      <c r="M567" s="1060">
        <f t="shared" si="347"/>
        <v>1</v>
      </c>
      <c r="N567" s="1060">
        <f t="shared" si="348"/>
        <v>0</v>
      </c>
      <c r="O567" s="1060">
        <f t="shared" si="349"/>
        <v>0</v>
      </c>
      <c r="P567" s="1060">
        <f t="shared" si="350"/>
        <v>0</v>
      </c>
    </row>
    <row r="568" spans="1:16" x14ac:dyDescent="0.25">
      <c r="A568" s="1034">
        <v>1008</v>
      </c>
      <c r="B568" s="1034">
        <f t="shared" si="338"/>
        <v>3</v>
      </c>
      <c r="C568" s="1034" t="str">
        <f t="shared" si="339"/>
        <v>BAGUS WASIL HAMDI</v>
      </c>
      <c r="D568" s="1035" t="str">
        <f t="shared" si="340"/>
        <v>HK</v>
      </c>
      <c r="E568" s="1036">
        <f t="shared" si="341"/>
        <v>2016</v>
      </c>
      <c r="F568" s="1035" t="str">
        <f t="shared" si="342"/>
        <v>PASIF</v>
      </c>
      <c r="G568" s="1036">
        <f t="shared" si="343"/>
        <v>839116003</v>
      </c>
      <c r="H568" s="1038">
        <f t="shared" si="344"/>
        <v>0</v>
      </c>
      <c r="I568" s="1038">
        <f t="shared" si="345"/>
        <v>0</v>
      </c>
      <c r="J568" s="1038">
        <f t="shared" si="346"/>
        <v>0</v>
      </c>
      <c r="L568" s="1060">
        <f t="shared" si="333"/>
        <v>0</v>
      </c>
      <c r="M568" s="1060">
        <f t="shared" si="347"/>
        <v>0</v>
      </c>
      <c r="N568" s="1060">
        <f t="shared" si="348"/>
        <v>0</v>
      </c>
      <c r="O568" s="1060">
        <f t="shared" si="349"/>
        <v>0</v>
      </c>
      <c r="P568" s="1060">
        <f t="shared" si="350"/>
        <v>1</v>
      </c>
    </row>
    <row r="569" spans="1:16" x14ac:dyDescent="0.25">
      <c r="A569" s="1034">
        <v>1009</v>
      </c>
      <c r="B569" s="1034">
        <f t="shared" si="338"/>
        <v>4</v>
      </c>
      <c r="C569" s="1034" t="str">
        <f t="shared" si="339"/>
        <v>KHOIRUS SHOLEH</v>
      </c>
      <c r="D569" s="1035" t="str">
        <f t="shared" si="340"/>
        <v>HK</v>
      </c>
      <c r="E569" s="1036">
        <f t="shared" si="341"/>
        <v>2016</v>
      </c>
      <c r="F569" s="1035" t="str">
        <f t="shared" si="342"/>
        <v>LULUS</v>
      </c>
      <c r="G569" s="1036">
        <f t="shared" si="343"/>
        <v>839116004</v>
      </c>
      <c r="H569" s="1038">
        <f t="shared" si="344"/>
        <v>0</v>
      </c>
      <c r="I569" s="1038">
        <f t="shared" si="345"/>
        <v>0</v>
      </c>
      <c r="J569" s="1038">
        <f t="shared" si="346"/>
        <v>0</v>
      </c>
      <c r="L569" s="1060">
        <f t="shared" si="333"/>
        <v>0</v>
      </c>
      <c r="M569" s="1060">
        <f t="shared" si="347"/>
        <v>1</v>
      </c>
      <c r="N569" s="1060">
        <f t="shared" si="348"/>
        <v>0</v>
      </c>
      <c r="O569" s="1060">
        <f t="shared" si="349"/>
        <v>0</v>
      </c>
      <c r="P569" s="1060">
        <f t="shared" si="350"/>
        <v>0</v>
      </c>
    </row>
    <row r="570" spans="1:16" x14ac:dyDescent="0.25">
      <c r="A570" s="1034">
        <v>1010</v>
      </c>
      <c r="B570" s="1034">
        <f t="shared" si="338"/>
        <v>5</v>
      </c>
      <c r="C570" s="1034" t="str">
        <f t="shared" si="339"/>
        <v>MOH.HARI</v>
      </c>
      <c r="D570" s="1035" t="str">
        <f t="shared" si="340"/>
        <v>HK</v>
      </c>
      <c r="E570" s="1036">
        <f t="shared" si="341"/>
        <v>2016</v>
      </c>
      <c r="F570" s="1035" t="str">
        <f t="shared" si="342"/>
        <v>LULUS</v>
      </c>
      <c r="G570" s="1036">
        <f t="shared" si="343"/>
        <v>839116005</v>
      </c>
      <c r="H570" s="1038">
        <f t="shared" si="344"/>
        <v>0</v>
      </c>
      <c r="I570" s="1038">
        <f t="shared" si="345"/>
        <v>0</v>
      </c>
      <c r="J570" s="1038">
        <f t="shared" si="346"/>
        <v>0</v>
      </c>
      <c r="L570" s="1060">
        <f t="shared" si="333"/>
        <v>0</v>
      </c>
      <c r="M570" s="1060">
        <f t="shared" si="347"/>
        <v>1</v>
      </c>
      <c r="N570" s="1060">
        <f t="shared" si="348"/>
        <v>0</v>
      </c>
      <c r="O570" s="1060">
        <f t="shared" si="349"/>
        <v>0</v>
      </c>
      <c r="P570" s="1060">
        <f t="shared" si="350"/>
        <v>0</v>
      </c>
    </row>
    <row r="571" spans="1:16" x14ac:dyDescent="0.25">
      <c r="A571" s="1034">
        <v>1011</v>
      </c>
      <c r="B571" s="1034">
        <f t="shared" si="338"/>
        <v>6</v>
      </c>
      <c r="C571" s="1034" t="str">
        <f t="shared" si="339"/>
        <v>ROBIATUS SIDDIGIYAH</v>
      </c>
      <c r="D571" s="1035" t="str">
        <f t="shared" si="340"/>
        <v>HK</v>
      </c>
      <c r="E571" s="1036">
        <f t="shared" si="341"/>
        <v>2016</v>
      </c>
      <c r="F571" s="1035" t="str">
        <f t="shared" si="342"/>
        <v>LULUS</v>
      </c>
      <c r="G571" s="1036">
        <f t="shared" si="343"/>
        <v>839116006</v>
      </c>
      <c r="H571" s="1038">
        <f t="shared" si="344"/>
        <v>0</v>
      </c>
      <c r="I571" s="1038">
        <f t="shared" si="345"/>
        <v>0</v>
      </c>
      <c r="J571" s="1038">
        <f t="shared" si="346"/>
        <v>0</v>
      </c>
      <c r="L571" s="1060">
        <f t="shared" si="333"/>
        <v>0</v>
      </c>
      <c r="M571" s="1060">
        <f t="shared" si="347"/>
        <v>1</v>
      </c>
      <c r="N571" s="1060">
        <f t="shared" si="348"/>
        <v>0</v>
      </c>
      <c r="O571" s="1060">
        <f t="shared" si="349"/>
        <v>0</v>
      </c>
      <c r="P571" s="1060">
        <f t="shared" si="350"/>
        <v>0</v>
      </c>
    </row>
    <row r="572" spans="1:16" x14ac:dyDescent="0.25">
      <c r="A572" s="1034">
        <v>1012</v>
      </c>
      <c r="B572" s="1034">
        <f t="shared" si="338"/>
        <v>7</v>
      </c>
      <c r="C572" s="1034" t="str">
        <f t="shared" si="339"/>
        <v>MOH.FAIZ KURNIA HADI</v>
      </c>
      <c r="D572" s="1035" t="str">
        <f t="shared" si="340"/>
        <v>HK</v>
      </c>
      <c r="E572" s="1036">
        <f t="shared" si="341"/>
        <v>2016</v>
      </c>
      <c r="F572" s="1035" t="str">
        <f t="shared" si="342"/>
        <v>LULUS</v>
      </c>
      <c r="G572" s="1036">
        <f t="shared" si="343"/>
        <v>839116007</v>
      </c>
      <c r="H572" s="1038">
        <f t="shared" si="344"/>
        <v>0</v>
      </c>
      <c r="I572" s="1038">
        <f t="shared" si="345"/>
        <v>0</v>
      </c>
      <c r="J572" s="1038">
        <f t="shared" si="346"/>
        <v>0</v>
      </c>
      <c r="L572" s="1060">
        <f t="shared" si="333"/>
        <v>0</v>
      </c>
      <c r="M572" s="1060">
        <f t="shared" si="347"/>
        <v>1</v>
      </c>
      <c r="N572" s="1060">
        <f t="shared" si="348"/>
        <v>0</v>
      </c>
      <c r="O572" s="1060">
        <f t="shared" si="349"/>
        <v>0</v>
      </c>
      <c r="P572" s="1060">
        <f t="shared" si="350"/>
        <v>0</v>
      </c>
    </row>
    <row r="573" spans="1:16" x14ac:dyDescent="0.25">
      <c r="A573" s="1034">
        <v>1013</v>
      </c>
      <c r="B573" s="1034">
        <f t="shared" si="338"/>
        <v>8</v>
      </c>
      <c r="C573" s="1034" t="str">
        <f t="shared" si="339"/>
        <v>ILZAM GAZALI MULYO</v>
      </c>
      <c r="D573" s="1035" t="str">
        <f t="shared" si="340"/>
        <v>HK</v>
      </c>
      <c r="E573" s="1036">
        <f t="shared" si="341"/>
        <v>2016</v>
      </c>
      <c r="F573" s="1035" t="str">
        <f t="shared" si="342"/>
        <v>PASIF</v>
      </c>
      <c r="G573" s="1036">
        <f t="shared" si="343"/>
        <v>839116008</v>
      </c>
      <c r="H573" s="1038">
        <f t="shared" si="344"/>
        <v>0</v>
      </c>
      <c r="I573" s="1038">
        <f t="shared" si="345"/>
        <v>0</v>
      </c>
      <c r="J573" s="1038">
        <f t="shared" si="346"/>
        <v>0</v>
      </c>
      <c r="L573" s="1060">
        <f t="shared" si="333"/>
        <v>0</v>
      </c>
      <c r="M573" s="1060">
        <f t="shared" si="347"/>
        <v>0</v>
      </c>
      <c r="N573" s="1060">
        <f t="shared" si="348"/>
        <v>0</v>
      </c>
      <c r="O573" s="1060">
        <f t="shared" si="349"/>
        <v>0</v>
      </c>
      <c r="P573" s="1060">
        <f t="shared" si="350"/>
        <v>1</v>
      </c>
    </row>
    <row r="574" spans="1:16" x14ac:dyDescent="0.25">
      <c r="A574" s="1034">
        <v>1014</v>
      </c>
      <c r="B574" s="1034">
        <f t="shared" si="338"/>
        <v>9</v>
      </c>
      <c r="C574" s="1034" t="str">
        <f t="shared" si="339"/>
        <v>ABDUL GHOFI DWI SETIAWAN</v>
      </c>
      <c r="D574" s="1035" t="str">
        <f t="shared" si="340"/>
        <v>HK</v>
      </c>
      <c r="E574" s="1036">
        <f t="shared" si="341"/>
        <v>2016</v>
      </c>
      <c r="F574" s="1035" t="str">
        <f t="shared" si="342"/>
        <v>LULUS</v>
      </c>
      <c r="G574" s="1036">
        <f t="shared" si="343"/>
        <v>839116009</v>
      </c>
      <c r="H574" s="1038">
        <f t="shared" si="344"/>
        <v>0</v>
      </c>
      <c r="I574" s="1038">
        <f t="shared" si="345"/>
        <v>0</v>
      </c>
      <c r="J574" s="1038">
        <f t="shared" si="346"/>
        <v>0</v>
      </c>
      <c r="L574" s="1060">
        <f t="shared" si="333"/>
        <v>0</v>
      </c>
      <c r="M574" s="1060">
        <f t="shared" si="347"/>
        <v>1</v>
      </c>
      <c r="N574" s="1060">
        <f t="shared" si="348"/>
        <v>0</v>
      </c>
      <c r="O574" s="1060">
        <f t="shared" si="349"/>
        <v>0</v>
      </c>
      <c r="P574" s="1060">
        <f t="shared" si="350"/>
        <v>0</v>
      </c>
    </row>
    <row r="575" spans="1:16" x14ac:dyDescent="0.25">
      <c r="A575" s="1034">
        <v>1015</v>
      </c>
      <c r="B575" s="1034">
        <f t="shared" si="338"/>
        <v>10</v>
      </c>
      <c r="C575" s="1034" t="str">
        <f t="shared" si="339"/>
        <v>AHMAD MUDATSIR</v>
      </c>
      <c r="D575" s="1035" t="str">
        <f t="shared" si="340"/>
        <v>HK</v>
      </c>
      <c r="E575" s="1036">
        <f t="shared" si="341"/>
        <v>2016</v>
      </c>
      <c r="F575" s="1035" t="str">
        <f t="shared" si="342"/>
        <v>PASIF</v>
      </c>
      <c r="G575" s="1036">
        <f t="shared" si="343"/>
        <v>839116010</v>
      </c>
      <c r="H575" s="1038">
        <f t="shared" si="344"/>
        <v>0</v>
      </c>
      <c r="I575" s="1038">
        <f t="shared" si="345"/>
        <v>0</v>
      </c>
      <c r="J575" s="1038">
        <f t="shared" si="346"/>
        <v>0</v>
      </c>
      <c r="L575" s="1060">
        <f t="shared" si="333"/>
        <v>0</v>
      </c>
      <c r="M575" s="1060">
        <f t="shared" si="347"/>
        <v>0</v>
      </c>
      <c r="N575" s="1060">
        <f t="shared" si="348"/>
        <v>0</v>
      </c>
      <c r="O575" s="1060">
        <f t="shared" si="349"/>
        <v>0</v>
      </c>
      <c r="P575" s="1060">
        <f t="shared" si="350"/>
        <v>1</v>
      </c>
    </row>
    <row r="576" spans="1:16" x14ac:dyDescent="0.25">
      <c r="A576" s="1034">
        <v>1016</v>
      </c>
      <c r="B576" s="1034">
        <f t="shared" si="338"/>
        <v>11</v>
      </c>
      <c r="C576" s="1034" t="str">
        <f t="shared" si="339"/>
        <v>NURUL ASTITIN</v>
      </c>
      <c r="D576" s="1035" t="str">
        <f t="shared" si="340"/>
        <v>HK</v>
      </c>
      <c r="E576" s="1036">
        <f t="shared" si="341"/>
        <v>2016</v>
      </c>
      <c r="F576" s="1035" t="str">
        <f t="shared" si="342"/>
        <v>LULUS</v>
      </c>
      <c r="G576" s="1036">
        <f t="shared" si="343"/>
        <v>839116011</v>
      </c>
      <c r="H576" s="1038">
        <f t="shared" si="344"/>
        <v>0</v>
      </c>
      <c r="I576" s="1038">
        <f t="shared" si="345"/>
        <v>0</v>
      </c>
      <c r="J576" s="1038">
        <f t="shared" si="346"/>
        <v>0</v>
      </c>
      <c r="L576" s="1060">
        <f t="shared" si="333"/>
        <v>0</v>
      </c>
      <c r="M576" s="1060">
        <f t="shared" si="347"/>
        <v>1</v>
      </c>
      <c r="N576" s="1060">
        <f t="shared" si="348"/>
        <v>0</v>
      </c>
      <c r="O576" s="1060">
        <f t="shared" si="349"/>
        <v>0</v>
      </c>
      <c r="P576" s="1060">
        <f t="shared" si="350"/>
        <v>0</v>
      </c>
    </row>
    <row r="577" spans="1:16" x14ac:dyDescent="0.25">
      <c r="A577" s="1034">
        <v>1017</v>
      </c>
      <c r="B577" s="1034">
        <f t="shared" si="338"/>
        <v>12</v>
      </c>
      <c r="C577" s="1034" t="str">
        <f t="shared" si="339"/>
        <v>MUHAMMAD FAISOL</v>
      </c>
      <c r="D577" s="1035" t="str">
        <f t="shared" si="340"/>
        <v>HK</v>
      </c>
      <c r="E577" s="1036">
        <f t="shared" si="341"/>
        <v>2016</v>
      </c>
      <c r="F577" s="1035" t="str">
        <f t="shared" si="342"/>
        <v>LULUS</v>
      </c>
      <c r="G577" s="1036">
        <f t="shared" si="343"/>
        <v>839116012</v>
      </c>
      <c r="H577" s="1038">
        <f t="shared" si="344"/>
        <v>0</v>
      </c>
      <c r="I577" s="1038">
        <f t="shared" si="345"/>
        <v>0</v>
      </c>
      <c r="J577" s="1038">
        <f t="shared" si="346"/>
        <v>0</v>
      </c>
      <c r="L577" s="1060">
        <f t="shared" si="333"/>
        <v>0</v>
      </c>
      <c r="M577" s="1060">
        <f t="shared" si="347"/>
        <v>1</v>
      </c>
      <c r="N577" s="1060">
        <f t="shared" si="348"/>
        <v>0</v>
      </c>
      <c r="O577" s="1060">
        <f t="shared" si="349"/>
        <v>0</v>
      </c>
      <c r="P577" s="1060">
        <f t="shared" si="350"/>
        <v>0</v>
      </c>
    </row>
    <row r="578" spans="1:16" x14ac:dyDescent="0.25">
      <c r="A578" s="1034">
        <v>1018</v>
      </c>
      <c r="B578" s="1034">
        <f t="shared" si="338"/>
        <v>13</v>
      </c>
      <c r="C578" s="1034" t="str">
        <f t="shared" si="339"/>
        <v>USWATUN HASANAH</v>
      </c>
      <c r="D578" s="1035" t="str">
        <f t="shared" si="340"/>
        <v>HK</v>
      </c>
      <c r="E578" s="1036">
        <f t="shared" si="341"/>
        <v>2016</v>
      </c>
      <c r="F578" s="1035" t="str">
        <f t="shared" si="342"/>
        <v>LULUS</v>
      </c>
      <c r="G578" s="1036">
        <f t="shared" si="343"/>
        <v>839116013</v>
      </c>
      <c r="H578" s="1038">
        <f t="shared" si="344"/>
        <v>0</v>
      </c>
      <c r="I578" s="1038">
        <f t="shared" si="345"/>
        <v>0</v>
      </c>
      <c r="J578" s="1038">
        <f t="shared" si="346"/>
        <v>0</v>
      </c>
      <c r="L578" s="1060">
        <f t="shared" si="333"/>
        <v>0</v>
      </c>
      <c r="M578" s="1060">
        <f t="shared" si="347"/>
        <v>1</v>
      </c>
      <c r="N578" s="1060">
        <f t="shared" si="348"/>
        <v>0</v>
      </c>
      <c r="O578" s="1060">
        <f t="shared" si="349"/>
        <v>0</v>
      </c>
      <c r="P578" s="1060">
        <f t="shared" si="350"/>
        <v>0</v>
      </c>
    </row>
    <row r="579" spans="1:16" x14ac:dyDescent="0.25">
      <c r="A579" s="1034">
        <v>1019</v>
      </c>
      <c r="B579" s="1034">
        <f t="shared" si="338"/>
        <v>14</v>
      </c>
      <c r="C579" s="1034" t="str">
        <f t="shared" si="339"/>
        <v>ACH.HIDAYATULLAH YUNUS</v>
      </c>
      <c r="D579" s="1035" t="str">
        <f t="shared" si="340"/>
        <v>HK</v>
      </c>
      <c r="E579" s="1036">
        <f t="shared" si="341"/>
        <v>2016</v>
      </c>
      <c r="F579" s="1035" t="str">
        <f t="shared" si="342"/>
        <v>PASIF</v>
      </c>
      <c r="G579" s="1036">
        <f t="shared" si="343"/>
        <v>839116014</v>
      </c>
      <c r="H579" s="1038">
        <f t="shared" si="344"/>
        <v>0</v>
      </c>
      <c r="I579" s="1038">
        <f t="shared" si="345"/>
        <v>0</v>
      </c>
      <c r="J579" s="1038">
        <f t="shared" si="346"/>
        <v>0</v>
      </c>
      <c r="L579" s="1060">
        <f t="shared" si="333"/>
        <v>0</v>
      </c>
      <c r="M579" s="1060">
        <f t="shared" si="347"/>
        <v>0</v>
      </c>
      <c r="N579" s="1060">
        <f t="shared" si="348"/>
        <v>0</v>
      </c>
      <c r="O579" s="1060">
        <f t="shared" si="349"/>
        <v>0</v>
      </c>
      <c r="P579" s="1060">
        <f t="shared" si="350"/>
        <v>1</v>
      </c>
    </row>
    <row r="580" spans="1:16" x14ac:dyDescent="0.25">
      <c r="A580" s="1034">
        <v>1020</v>
      </c>
      <c r="B580" s="1034">
        <f t="shared" si="338"/>
        <v>15</v>
      </c>
      <c r="C580" s="1034" t="str">
        <f t="shared" si="339"/>
        <v>IMAM SUPRIYADI</v>
      </c>
      <c r="D580" s="1035" t="str">
        <f t="shared" si="340"/>
        <v>HK</v>
      </c>
      <c r="E580" s="1036">
        <f t="shared" si="341"/>
        <v>2016</v>
      </c>
      <c r="F580" s="1035" t="str">
        <f t="shared" si="342"/>
        <v>LULUS</v>
      </c>
      <c r="G580" s="1036">
        <f t="shared" si="343"/>
        <v>839116015</v>
      </c>
      <c r="H580" s="1038">
        <f t="shared" si="344"/>
        <v>0</v>
      </c>
      <c r="I580" s="1038">
        <f t="shared" si="345"/>
        <v>0</v>
      </c>
      <c r="J580" s="1038">
        <f t="shared" si="346"/>
        <v>0</v>
      </c>
      <c r="L580" s="1060">
        <f t="shared" si="333"/>
        <v>0</v>
      </c>
      <c r="M580" s="1060">
        <f t="shared" si="347"/>
        <v>1</v>
      </c>
      <c r="N580" s="1060">
        <f t="shared" si="348"/>
        <v>0</v>
      </c>
      <c r="O580" s="1060">
        <f t="shared" si="349"/>
        <v>0</v>
      </c>
      <c r="P580" s="1060">
        <f t="shared" si="350"/>
        <v>0</v>
      </c>
    </row>
    <row r="581" spans="1:16" x14ac:dyDescent="0.25">
      <c r="A581" s="1034">
        <v>1021</v>
      </c>
      <c r="B581" s="1034">
        <f t="shared" si="338"/>
        <v>16</v>
      </c>
      <c r="C581" s="1034" t="str">
        <f t="shared" si="339"/>
        <v>DODIK PUJI BASUKI</v>
      </c>
      <c r="D581" s="1035" t="str">
        <f t="shared" si="340"/>
        <v>HK</v>
      </c>
      <c r="E581" s="1036">
        <f t="shared" si="341"/>
        <v>2016</v>
      </c>
      <c r="F581" s="1035" t="str">
        <f t="shared" si="342"/>
        <v>LULUS</v>
      </c>
      <c r="G581" s="1036">
        <f t="shared" si="343"/>
        <v>839116016</v>
      </c>
      <c r="H581" s="1038">
        <f t="shared" si="344"/>
        <v>0</v>
      </c>
      <c r="I581" s="1038">
        <f t="shared" si="345"/>
        <v>0</v>
      </c>
      <c r="J581" s="1038">
        <f t="shared" si="346"/>
        <v>0</v>
      </c>
      <c r="L581" s="1060">
        <f t="shared" si="333"/>
        <v>0</v>
      </c>
      <c r="M581" s="1060">
        <f t="shared" si="347"/>
        <v>1</v>
      </c>
      <c r="N581" s="1060">
        <f t="shared" si="348"/>
        <v>0</v>
      </c>
      <c r="O581" s="1060">
        <f t="shared" si="349"/>
        <v>0</v>
      </c>
      <c r="P581" s="1060">
        <f t="shared" si="350"/>
        <v>0</v>
      </c>
    </row>
    <row r="582" spans="1:16" x14ac:dyDescent="0.25">
      <c r="A582" s="1034">
        <v>1022</v>
      </c>
      <c r="B582" s="1034">
        <f t="shared" si="338"/>
        <v>17</v>
      </c>
      <c r="C582" s="1034" t="str">
        <f t="shared" si="339"/>
        <v>ALBAR FIRDAUS</v>
      </c>
      <c r="D582" s="1035" t="str">
        <f t="shared" si="340"/>
        <v>HK</v>
      </c>
      <c r="E582" s="1036">
        <f t="shared" si="341"/>
        <v>2016</v>
      </c>
      <c r="F582" s="1035" t="str">
        <f t="shared" si="342"/>
        <v>LULUS</v>
      </c>
      <c r="G582" s="1036">
        <f t="shared" si="343"/>
        <v>839116017</v>
      </c>
      <c r="H582" s="1038">
        <f t="shared" si="344"/>
        <v>0</v>
      </c>
      <c r="I582" s="1038">
        <f t="shared" si="345"/>
        <v>0</v>
      </c>
      <c r="J582" s="1038">
        <f t="shared" si="346"/>
        <v>0</v>
      </c>
      <c r="L582" s="1060">
        <f t="shared" si="333"/>
        <v>0</v>
      </c>
      <c r="M582" s="1060">
        <f t="shared" si="347"/>
        <v>1</v>
      </c>
      <c r="N582" s="1060">
        <f t="shared" si="348"/>
        <v>0</v>
      </c>
      <c r="O582" s="1060">
        <f t="shared" si="349"/>
        <v>0</v>
      </c>
      <c r="P582" s="1060">
        <f t="shared" si="350"/>
        <v>0</v>
      </c>
    </row>
    <row r="583" spans="1:16" x14ac:dyDescent="0.25">
      <c r="A583" s="1034">
        <v>1023</v>
      </c>
      <c r="B583" s="1034">
        <f t="shared" si="338"/>
        <v>18</v>
      </c>
      <c r="C583" s="1034" t="str">
        <f t="shared" si="339"/>
        <v>KAMMIA RIZQA AMALIA</v>
      </c>
      <c r="D583" s="1035" t="str">
        <f t="shared" si="340"/>
        <v>HK</v>
      </c>
      <c r="E583" s="1036">
        <f t="shared" si="341"/>
        <v>2016</v>
      </c>
      <c r="F583" s="1035" t="str">
        <f t="shared" si="342"/>
        <v>LULUS</v>
      </c>
      <c r="G583" s="1036">
        <f t="shared" si="343"/>
        <v>839116018</v>
      </c>
      <c r="H583" s="1038">
        <f t="shared" si="344"/>
        <v>0</v>
      </c>
      <c r="I583" s="1038">
        <f t="shared" si="345"/>
        <v>0</v>
      </c>
      <c r="J583" s="1038">
        <f t="shared" si="346"/>
        <v>0</v>
      </c>
      <c r="L583" s="1060">
        <f t="shared" si="333"/>
        <v>0</v>
      </c>
      <c r="M583" s="1060">
        <f t="shared" si="347"/>
        <v>1</v>
      </c>
      <c r="N583" s="1060">
        <f t="shared" si="348"/>
        <v>0</v>
      </c>
      <c r="O583" s="1060">
        <f t="shared" si="349"/>
        <v>0</v>
      </c>
      <c r="P583" s="1060">
        <f t="shared" si="350"/>
        <v>0</v>
      </c>
    </row>
    <row r="584" spans="1:16" x14ac:dyDescent="0.25">
      <c r="A584" s="1034">
        <v>1024</v>
      </c>
      <c r="B584" s="1034">
        <f t="shared" si="338"/>
        <v>19</v>
      </c>
      <c r="C584" s="1034" t="str">
        <f t="shared" si="339"/>
        <v>ZULFA INSIYAH</v>
      </c>
      <c r="D584" s="1035" t="str">
        <f t="shared" si="340"/>
        <v>HK</v>
      </c>
      <c r="E584" s="1036">
        <f t="shared" si="341"/>
        <v>2016</v>
      </c>
      <c r="F584" s="1035" t="str">
        <f t="shared" si="342"/>
        <v>LULUS</v>
      </c>
      <c r="G584" s="1036">
        <f t="shared" si="343"/>
        <v>839116019</v>
      </c>
      <c r="H584" s="1038">
        <f t="shared" si="344"/>
        <v>0</v>
      </c>
      <c r="I584" s="1038">
        <f t="shared" si="345"/>
        <v>0</v>
      </c>
      <c r="J584" s="1038">
        <f t="shared" si="346"/>
        <v>0</v>
      </c>
      <c r="L584" s="1060">
        <f t="shared" si="333"/>
        <v>0</v>
      </c>
      <c r="M584" s="1060">
        <f t="shared" si="347"/>
        <v>1</v>
      </c>
      <c r="N584" s="1060">
        <f t="shared" si="348"/>
        <v>0</v>
      </c>
      <c r="O584" s="1060">
        <f t="shared" si="349"/>
        <v>0</v>
      </c>
      <c r="P584" s="1060">
        <f t="shared" si="350"/>
        <v>0</v>
      </c>
    </row>
    <row r="585" spans="1:16" x14ac:dyDescent="0.25">
      <c r="A585" s="1034">
        <v>1025</v>
      </c>
      <c r="B585" s="1034">
        <f t="shared" si="338"/>
        <v>20</v>
      </c>
      <c r="C585" s="1034" t="str">
        <f t="shared" si="339"/>
        <v>ZAHRA</v>
      </c>
      <c r="D585" s="1035" t="str">
        <f t="shared" si="340"/>
        <v>HK</v>
      </c>
      <c r="E585" s="1036">
        <f t="shared" si="341"/>
        <v>2016</v>
      </c>
      <c r="F585" s="1035" t="str">
        <f t="shared" si="342"/>
        <v>LULUS</v>
      </c>
      <c r="G585" s="1036">
        <f t="shared" si="343"/>
        <v>839116020</v>
      </c>
      <c r="H585" s="1038">
        <f t="shared" si="344"/>
        <v>0</v>
      </c>
      <c r="I585" s="1038">
        <f t="shared" si="345"/>
        <v>0</v>
      </c>
      <c r="J585" s="1038">
        <f t="shared" si="346"/>
        <v>0</v>
      </c>
      <c r="L585" s="1060">
        <f t="shared" si="333"/>
        <v>0</v>
      </c>
      <c r="M585" s="1060">
        <f t="shared" si="347"/>
        <v>1</v>
      </c>
      <c r="N585" s="1060">
        <f t="shared" si="348"/>
        <v>0</v>
      </c>
      <c r="O585" s="1060">
        <f t="shared" si="349"/>
        <v>0</v>
      </c>
      <c r="P585" s="1060">
        <f t="shared" si="350"/>
        <v>0</v>
      </c>
    </row>
    <row r="586" spans="1:16" x14ac:dyDescent="0.25">
      <c r="A586" s="1034">
        <v>1026</v>
      </c>
      <c r="B586" s="1034">
        <f t="shared" si="338"/>
        <v>21</v>
      </c>
      <c r="C586" s="1034" t="str">
        <f t="shared" si="339"/>
        <v>MALIHATUS SYAFIYAH</v>
      </c>
      <c r="D586" s="1035" t="str">
        <f t="shared" si="340"/>
        <v>HK</v>
      </c>
      <c r="E586" s="1036">
        <f t="shared" si="341"/>
        <v>2016</v>
      </c>
      <c r="F586" s="1035" t="str">
        <f t="shared" si="342"/>
        <v>LULUS</v>
      </c>
      <c r="G586" s="1036">
        <f t="shared" si="343"/>
        <v>839116021</v>
      </c>
      <c r="H586" s="1038">
        <f t="shared" si="344"/>
        <v>0</v>
      </c>
      <c r="I586" s="1038">
        <f t="shared" si="345"/>
        <v>0</v>
      </c>
      <c r="J586" s="1038">
        <f t="shared" si="346"/>
        <v>0</v>
      </c>
      <c r="L586" s="1060">
        <f t="shared" si="333"/>
        <v>0</v>
      </c>
      <c r="M586" s="1060">
        <f t="shared" si="347"/>
        <v>1</v>
      </c>
      <c r="N586" s="1060">
        <f t="shared" si="348"/>
        <v>0</v>
      </c>
      <c r="O586" s="1060">
        <f t="shared" si="349"/>
        <v>0</v>
      </c>
      <c r="P586" s="1060">
        <f t="shared" si="350"/>
        <v>0</v>
      </c>
    </row>
    <row r="587" spans="1:16" x14ac:dyDescent="0.25">
      <c r="A587" s="1034">
        <v>1027</v>
      </c>
      <c r="B587" s="1034">
        <f t="shared" si="338"/>
        <v>22</v>
      </c>
      <c r="C587" s="1034" t="str">
        <f t="shared" si="339"/>
        <v>MUHAMMAD BAHRUL ULUM MUBAROK</v>
      </c>
      <c r="D587" s="1035" t="str">
        <f t="shared" si="340"/>
        <v>HK</v>
      </c>
      <c r="E587" s="1036">
        <f t="shared" si="341"/>
        <v>2016</v>
      </c>
      <c r="F587" s="1035" t="str">
        <f t="shared" si="342"/>
        <v>PASIF</v>
      </c>
      <c r="G587" s="1036">
        <f t="shared" si="343"/>
        <v>839116022</v>
      </c>
      <c r="H587" s="1038">
        <f t="shared" si="344"/>
        <v>0</v>
      </c>
      <c r="I587" s="1038">
        <f t="shared" si="345"/>
        <v>0</v>
      </c>
      <c r="J587" s="1038">
        <f t="shared" si="346"/>
        <v>0</v>
      </c>
      <c r="L587" s="1060">
        <f t="shared" si="333"/>
        <v>0</v>
      </c>
      <c r="M587" s="1060">
        <f t="shared" si="347"/>
        <v>0</v>
      </c>
      <c r="N587" s="1060">
        <f t="shared" si="348"/>
        <v>0</v>
      </c>
      <c r="O587" s="1060">
        <f t="shared" si="349"/>
        <v>0</v>
      </c>
      <c r="P587" s="1060">
        <f t="shared" si="350"/>
        <v>1</v>
      </c>
    </row>
    <row r="588" spans="1:16" x14ac:dyDescent="0.25">
      <c r="A588" s="1039"/>
      <c r="B588" s="1039"/>
      <c r="C588" s="1039"/>
      <c r="D588" s="1040"/>
      <c r="E588" s="1041"/>
      <c r="F588" s="1040"/>
      <c r="G588" s="1041"/>
      <c r="H588" s="1042"/>
      <c r="I588" s="1042"/>
      <c r="J588" s="1042"/>
      <c r="L588" s="1042"/>
      <c r="M588" s="1042"/>
      <c r="N588" s="1042"/>
      <c r="O588" s="1042"/>
      <c r="P588" s="1042"/>
    </row>
    <row r="589" spans="1:16" x14ac:dyDescent="0.25">
      <c r="A589" s="1043" t="str">
        <f>'Rekap SPP'!A1113</f>
        <v>S2-KPI 2016/2017</v>
      </c>
      <c r="B589" s="1043"/>
      <c r="C589" s="1043"/>
      <c r="D589" s="1033" t="s">
        <v>3</v>
      </c>
      <c r="E589" s="1032" t="s">
        <v>4</v>
      </c>
      <c r="F589" s="1033" t="s">
        <v>3195</v>
      </c>
      <c r="G589" s="1032" t="s">
        <v>1</v>
      </c>
      <c r="H589" s="1033" t="s">
        <v>3341</v>
      </c>
      <c r="I589" s="1033" t="s">
        <v>3362</v>
      </c>
      <c r="J589" s="1062">
        <f>SUM(J590:J596)</f>
        <v>6000000</v>
      </c>
      <c r="L589" s="1063">
        <f>SUM(L590:L596)</f>
        <v>1</v>
      </c>
      <c r="M589" s="1063">
        <f>SUM(M590:M596)</f>
        <v>4</v>
      </c>
      <c r="N589" s="1063">
        <f>SUM(N590:N596)</f>
        <v>0</v>
      </c>
      <c r="O589" s="1063">
        <f>SUM(O590:O596)</f>
        <v>1</v>
      </c>
      <c r="P589" s="1063">
        <f>SUM(P590:P596)</f>
        <v>1</v>
      </c>
    </row>
    <row r="590" spans="1:16" x14ac:dyDescent="0.25">
      <c r="A590" s="1034">
        <v>1028</v>
      </c>
      <c r="B590" s="1034">
        <f t="shared" si="338"/>
        <v>1</v>
      </c>
      <c r="C590" s="1034" t="str">
        <f t="shared" ref="C590:C596" si="351">IFERROR(VLOOKUP(A590,DB,4,FALSE),"")</f>
        <v>NADA HINDAWIYAH</v>
      </c>
      <c r="D590" s="1035" t="str">
        <f t="shared" ref="D590:D596" si="352">IFERROR(VLOOKUP(A590,DB,5,FALSE),"")</f>
        <v>KPI</v>
      </c>
      <c r="E590" s="1036">
        <f t="shared" ref="E590:E596" si="353">IFERROR(VLOOKUP(A590,DB,6,FALSE),"")</f>
        <v>2016</v>
      </c>
      <c r="F590" s="1035" t="str">
        <f t="shared" ref="F590:F596" si="354">IFERROR(VLOOKUP(A590,DB,7,FALSE),"")</f>
        <v>LULUS</v>
      </c>
      <c r="G590" s="1036">
        <f t="shared" ref="G590:G596" si="355">IFERROR(VLOOKUP(A590,DB,3,FALSE),"")</f>
        <v>829116001</v>
      </c>
      <c r="H590" s="1038">
        <f t="shared" ref="H590:H596" si="356">IF(F590="AKTIF",3000000,IF(F590="CUTI",3000000,0))</f>
        <v>0</v>
      </c>
      <c r="I590" s="1038">
        <f t="shared" ref="I590:I596" si="357">IF(F590="AKTIF",3000000,IF(F590="CUTI",3000000,0))</f>
        <v>0</v>
      </c>
      <c r="J590" s="1038">
        <f t="shared" ref="J590:J596" si="358">I590+H590</f>
        <v>0</v>
      </c>
      <c r="L590" s="1060">
        <f t="shared" si="333"/>
        <v>0</v>
      </c>
      <c r="M590" s="1060">
        <f t="shared" ref="M590:M596" si="359">IF(F590="LULUS",1,0)</f>
        <v>1</v>
      </c>
      <c r="N590" s="1060">
        <f t="shared" ref="N590:N596" si="360">IF(F590="CUTI",1,0)</f>
        <v>0</v>
      </c>
      <c r="O590" s="1060">
        <f t="shared" ref="O590:O596" si="361">IF(F590="DROP OUT",1,0)</f>
        <v>0</v>
      </c>
      <c r="P590" s="1060">
        <f t="shared" ref="P590:P596" si="362">IF(F590="PASIF",1,0)</f>
        <v>0</v>
      </c>
    </row>
    <row r="591" spans="1:16" x14ac:dyDescent="0.25">
      <c r="A591" s="1034">
        <v>1029</v>
      </c>
      <c r="B591" s="1034">
        <f t="shared" si="338"/>
        <v>2</v>
      </c>
      <c r="C591" s="1034" t="str">
        <f t="shared" si="351"/>
        <v>KHOIRUDDIN</v>
      </c>
      <c r="D591" s="1035" t="str">
        <f t="shared" si="352"/>
        <v>KPI</v>
      </c>
      <c r="E591" s="1036">
        <f t="shared" si="353"/>
        <v>2016</v>
      </c>
      <c r="F591" s="1035" t="str">
        <f t="shared" si="354"/>
        <v>LULUS</v>
      </c>
      <c r="G591" s="1036">
        <f t="shared" si="355"/>
        <v>829116002</v>
      </c>
      <c r="H591" s="1038">
        <f t="shared" si="356"/>
        <v>0</v>
      </c>
      <c r="I591" s="1038">
        <f t="shared" si="357"/>
        <v>0</v>
      </c>
      <c r="J591" s="1038">
        <f t="shared" si="358"/>
        <v>0</v>
      </c>
      <c r="L591" s="1060">
        <f t="shared" si="333"/>
        <v>0</v>
      </c>
      <c r="M591" s="1060">
        <f t="shared" si="359"/>
        <v>1</v>
      </c>
      <c r="N591" s="1060">
        <f t="shared" si="360"/>
        <v>0</v>
      </c>
      <c r="O591" s="1060">
        <f t="shared" si="361"/>
        <v>0</v>
      </c>
      <c r="P591" s="1060">
        <f t="shared" si="362"/>
        <v>0</v>
      </c>
    </row>
    <row r="592" spans="1:16" x14ac:dyDescent="0.25">
      <c r="A592" s="1034">
        <v>1030</v>
      </c>
      <c r="B592" s="1034">
        <f t="shared" si="338"/>
        <v>3</v>
      </c>
      <c r="C592" s="1034" t="str">
        <f t="shared" si="351"/>
        <v>DIANA</v>
      </c>
      <c r="D592" s="1035" t="str">
        <f t="shared" si="352"/>
        <v>KPI</v>
      </c>
      <c r="E592" s="1036">
        <f t="shared" si="353"/>
        <v>2016</v>
      </c>
      <c r="F592" s="1035" t="str">
        <f t="shared" si="354"/>
        <v>LULUS</v>
      </c>
      <c r="G592" s="1036">
        <f t="shared" si="355"/>
        <v>829116003</v>
      </c>
      <c r="H592" s="1038">
        <f t="shared" si="356"/>
        <v>0</v>
      </c>
      <c r="I592" s="1038">
        <f t="shared" si="357"/>
        <v>0</v>
      </c>
      <c r="J592" s="1038">
        <f t="shared" si="358"/>
        <v>0</v>
      </c>
      <c r="L592" s="1060">
        <f t="shared" si="333"/>
        <v>0</v>
      </c>
      <c r="M592" s="1060">
        <f t="shared" si="359"/>
        <v>1</v>
      </c>
      <c r="N592" s="1060">
        <f t="shared" si="360"/>
        <v>0</v>
      </c>
      <c r="O592" s="1060">
        <f t="shared" si="361"/>
        <v>0</v>
      </c>
      <c r="P592" s="1060">
        <f t="shared" si="362"/>
        <v>0</v>
      </c>
    </row>
    <row r="593" spans="1:16" x14ac:dyDescent="0.25">
      <c r="A593" s="1034">
        <v>1031</v>
      </c>
      <c r="B593" s="1034">
        <f t="shared" si="338"/>
        <v>4</v>
      </c>
      <c r="C593" s="1034" t="str">
        <f t="shared" si="351"/>
        <v>MEILY YANTI</v>
      </c>
      <c r="D593" s="1035" t="str">
        <f t="shared" si="352"/>
        <v>KPI</v>
      </c>
      <c r="E593" s="1036">
        <f t="shared" si="353"/>
        <v>2016</v>
      </c>
      <c r="F593" s="1035" t="str">
        <f t="shared" si="354"/>
        <v>PASIF</v>
      </c>
      <c r="G593" s="1036">
        <f t="shared" si="355"/>
        <v>829116004</v>
      </c>
      <c r="H593" s="1038">
        <f t="shared" si="356"/>
        <v>0</v>
      </c>
      <c r="I593" s="1038">
        <f t="shared" si="357"/>
        <v>0</v>
      </c>
      <c r="J593" s="1038">
        <f t="shared" si="358"/>
        <v>0</v>
      </c>
      <c r="L593" s="1060">
        <f t="shared" si="333"/>
        <v>0</v>
      </c>
      <c r="M593" s="1060">
        <f t="shared" si="359"/>
        <v>0</v>
      </c>
      <c r="N593" s="1060">
        <f t="shared" si="360"/>
        <v>0</v>
      </c>
      <c r="O593" s="1060">
        <f t="shared" si="361"/>
        <v>0</v>
      </c>
      <c r="P593" s="1060">
        <f t="shared" si="362"/>
        <v>1</v>
      </c>
    </row>
    <row r="594" spans="1:16" x14ac:dyDescent="0.25">
      <c r="A594" s="1034">
        <v>1032</v>
      </c>
      <c r="B594" s="1034">
        <f t="shared" si="338"/>
        <v>5</v>
      </c>
      <c r="C594" s="1034" t="str">
        <f t="shared" si="351"/>
        <v>RIFQI BAHARUDIN EL MULAZ</v>
      </c>
      <c r="D594" s="1035" t="str">
        <f t="shared" si="352"/>
        <v>KPI</v>
      </c>
      <c r="E594" s="1036">
        <f t="shared" si="353"/>
        <v>2016</v>
      </c>
      <c r="F594" s="1035" t="str">
        <f t="shared" si="354"/>
        <v>AKTIF</v>
      </c>
      <c r="G594" s="1036">
        <f t="shared" si="355"/>
        <v>829116005</v>
      </c>
      <c r="H594" s="1038">
        <f t="shared" si="356"/>
        <v>3000000</v>
      </c>
      <c r="I594" s="1038">
        <f t="shared" si="357"/>
        <v>3000000</v>
      </c>
      <c r="J594" s="1038">
        <f t="shared" si="358"/>
        <v>6000000</v>
      </c>
      <c r="L594" s="1060">
        <f t="shared" si="333"/>
        <v>1</v>
      </c>
      <c r="M594" s="1060">
        <f t="shared" si="359"/>
        <v>0</v>
      </c>
      <c r="N594" s="1060">
        <f t="shared" si="360"/>
        <v>0</v>
      </c>
      <c r="O594" s="1060">
        <f t="shared" si="361"/>
        <v>0</v>
      </c>
      <c r="P594" s="1060">
        <f t="shared" si="362"/>
        <v>0</v>
      </c>
    </row>
    <row r="595" spans="1:16" x14ac:dyDescent="0.25">
      <c r="A595" s="1034">
        <v>1033</v>
      </c>
      <c r="B595" s="1034">
        <f t="shared" si="338"/>
        <v>6</v>
      </c>
      <c r="C595" s="1034" t="str">
        <f t="shared" si="351"/>
        <v>AINUR ROFIQ</v>
      </c>
      <c r="D595" s="1035" t="str">
        <f t="shared" si="352"/>
        <v>KPI</v>
      </c>
      <c r="E595" s="1036">
        <f t="shared" si="353"/>
        <v>2016</v>
      </c>
      <c r="F595" s="1035" t="str">
        <f t="shared" si="354"/>
        <v>LULUS</v>
      </c>
      <c r="G595" s="1036">
        <f t="shared" si="355"/>
        <v>829116006</v>
      </c>
      <c r="H595" s="1038">
        <f t="shared" si="356"/>
        <v>0</v>
      </c>
      <c r="I595" s="1038">
        <f t="shared" si="357"/>
        <v>0</v>
      </c>
      <c r="J595" s="1038">
        <f t="shared" si="358"/>
        <v>0</v>
      </c>
      <c r="L595" s="1060">
        <f t="shared" si="333"/>
        <v>0</v>
      </c>
      <c r="M595" s="1060">
        <f t="shared" si="359"/>
        <v>1</v>
      </c>
      <c r="N595" s="1060">
        <f t="shared" si="360"/>
        <v>0</v>
      </c>
      <c r="O595" s="1060">
        <f t="shared" si="361"/>
        <v>0</v>
      </c>
      <c r="P595" s="1060">
        <f t="shared" si="362"/>
        <v>0</v>
      </c>
    </row>
    <row r="596" spans="1:16" x14ac:dyDescent="0.25">
      <c r="A596" s="1034">
        <v>1034</v>
      </c>
      <c r="B596" s="1034">
        <f t="shared" si="338"/>
        <v>7</v>
      </c>
      <c r="C596" s="1034" t="str">
        <f t="shared" si="351"/>
        <v>MOH. HUSNI MUBAROK</v>
      </c>
      <c r="D596" s="1035" t="str">
        <f t="shared" si="352"/>
        <v>-</v>
      </c>
      <c r="E596" s="1036" t="str">
        <f t="shared" si="353"/>
        <v>-</v>
      </c>
      <c r="F596" s="1035" t="str">
        <f t="shared" si="354"/>
        <v>DROP OUT</v>
      </c>
      <c r="G596" s="1036">
        <f t="shared" si="355"/>
        <v>829116007</v>
      </c>
      <c r="H596" s="1038">
        <f t="shared" si="356"/>
        <v>0</v>
      </c>
      <c r="I596" s="1038">
        <f t="shared" si="357"/>
        <v>0</v>
      </c>
      <c r="J596" s="1038">
        <f t="shared" si="358"/>
        <v>0</v>
      </c>
      <c r="L596" s="1060">
        <f t="shared" si="333"/>
        <v>0</v>
      </c>
      <c r="M596" s="1060">
        <f t="shared" si="359"/>
        <v>0</v>
      </c>
      <c r="N596" s="1060">
        <f t="shared" si="360"/>
        <v>0</v>
      </c>
      <c r="O596" s="1060">
        <f t="shared" si="361"/>
        <v>1</v>
      </c>
      <c r="P596" s="1060">
        <f t="shared" si="362"/>
        <v>0</v>
      </c>
    </row>
    <row r="597" spans="1:16" x14ac:dyDescent="0.25">
      <c r="A597" s="1039"/>
      <c r="B597" s="1039"/>
      <c r="C597" s="1039"/>
      <c r="D597" s="1040"/>
      <c r="E597" s="1041"/>
      <c r="F597" s="1040"/>
      <c r="G597" s="1041"/>
      <c r="H597" s="1042"/>
      <c r="I597" s="1042"/>
      <c r="J597" s="1042"/>
      <c r="L597" s="1042"/>
      <c r="M597" s="1042"/>
      <c r="N597" s="1042"/>
      <c r="O597" s="1042"/>
      <c r="P597" s="1042"/>
    </row>
    <row r="598" spans="1:16" x14ac:dyDescent="0.25">
      <c r="A598" s="1043" t="str">
        <f>'Rekap SPP'!A1122</f>
        <v>S2-PAI 2016/2017</v>
      </c>
      <c r="B598" s="1043"/>
      <c r="C598" s="1043"/>
      <c r="D598" s="1033" t="s">
        <v>3</v>
      </c>
      <c r="E598" s="1032" t="s">
        <v>4</v>
      </c>
      <c r="F598" s="1033" t="s">
        <v>3195</v>
      </c>
      <c r="G598" s="1032" t="s">
        <v>1</v>
      </c>
      <c r="H598" s="1033" t="s">
        <v>3341</v>
      </c>
      <c r="I598" s="1033" t="s">
        <v>3362</v>
      </c>
      <c r="J598" s="1062">
        <f>SUM(J599:J648)</f>
        <v>12000000</v>
      </c>
      <c r="L598" s="1063">
        <f>SUM(L599:L648)</f>
        <v>2</v>
      </c>
      <c r="M598" s="1063">
        <f>SUM(M599:M648)</f>
        <v>35</v>
      </c>
      <c r="N598" s="1063">
        <f>SUM(N599:N648)</f>
        <v>0</v>
      </c>
      <c r="O598" s="1063">
        <f>SUM(O599:O648)</f>
        <v>5</v>
      </c>
      <c r="P598" s="1063">
        <f>SUM(P599:P648)</f>
        <v>8</v>
      </c>
    </row>
    <row r="599" spans="1:16" x14ac:dyDescent="0.25">
      <c r="A599" s="1034">
        <v>1035</v>
      </c>
      <c r="B599" s="1034">
        <f t="shared" si="338"/>
        <v>1</v>
      </c>
      <c r="C599" s="1034" t="str">
        <f t="shared" ref="C599:C630" si="363">IFERROR(VLOOKUP(A599,DB,4,FALSE),"")</f>
        <v>FATIMAH AZZAHRO</v>
      </c>
      <c r="D599" s="1035" t="str">
        <f t="shared" ref="D599:D630" si="364">IFERROR(VLOOKUP(A599,DB,5,FALSE),"")</f>
        <v>PAI</v>
      </c>
      <c r="E599" s="1036">
        <f t="shared" ref="E599:E630" si="365">IFERROR(VLOOKUP(A599,DB,6,FALSE),"")</f>
        <v>2016</v>
      </c>
      <c r="F599" s="1035" t="str">
        <f t="shared" ref="F599:F630" si="366">IFERROR(VLOOKUP(A599,DB,7,FALSE),"")</f>
        <v>LULUS</v>
      </c>
      <c r="G599" s="1036">
        <f t="shared" ref="G599:G630" si="367">IFERROR(VLOOKUP(A599,DB,3,FALSE),"")</f>
        <v>849316001</v>
      </c>
      <c r="H599" s="1038">
        <f t="shared" ref="H599:H648" si="368">IF(F599="AKTIF",3000000,IF(F599="CUTI",3000000,0))</f>
        <v>0</v>
      </c>
      <c r="I599" s="1038">
        <f t="shared" ref="I599:I648" si="369">IF(F599="AKTIF",3000000,IF(F599="CUTI",3000000,0))</f>
        <v>0</v>
      </c>
      <c r="J599" s="1038">
        <f t="shared" ref="J599:J648" si="370">I599+H599</f>
        <v>0</v>
      </c>
      <c r="L599" s="1060">
        <f t="shared" si="333"/>
        <v>0</v>
      </c>
      <c r="M599" s="1060">
        <f t="shared" ref="M599:M630" si="371">IF(F599="LULUS",1,0)</f>
        <v>1</v>
      </c>
      <c r="N599" s="1060">
        <f t="shared" ref="N599:N630" si="372">IF(F599="CUTI",1,0)</f>
        <v>0</v>
      </c>
      <c r="O599" s="1060">
        <f t="shared" ref="O599:O630" si="373">IF(F599="DROP OUT",1,0)</f>
        <v>0</v>
      </c>
      <c r="P599" s="1060">
        <f t="shared" ref="P599:P630" si="374">IF(F599="PASIF",1,0)</f>
        <v>0</v>
      </c>
    </row>
    <row r="600" spans="1:16" x14ac:dyDescent="0.25">
      <c r="A600" s="1034">
        <v>1036</v>
      </c>
      <c r="B600" s="1034">
        <f t="shared" si="338"/>
        <v>2</v>
      </c>
      <c r="C600" s="1034" t="str">
        <f t="shared" si="363"/>
        <v>LAILATUN NAFILAH KAMIL</v>
      </c>
      <c r="D600" s="1035" t="str">
        <f t="shared" si="364"/>
        <v>PAI</v>
      </c>
      <c r="E600" s="1036">
        <f t="shared" si="365"/>
        <v>2016</v>
      </c>
      <c r="F600" s="1035" t="str">
        <f t="shared" si="366"/>
        <v>LULUS</v>
      </c>
      <c r="G600" s="1036">
        <f t="shared" si="367"/>
        <v>849316002</v>
      </c>
      <c r="H600" s="1038">
        <f t="shared" si="368"/>
        <v>0</v>
      </c>
      <c r="I600" s="1038">
        <f t="shared" si="369"/>
        <v>0</v>
      </c>
      <c r="J600" s="1038">
        <f t="shared" si="370"/>
        <v>0</v>
      </c>
      <c r="L600" s="1060">
        <f t="shared" si="333"/>
        <v>0</v>
      </c>
      <c r="M600" s="1060">
        <f t="shared" si="371"/>
        <v>1</v>
      </c>
      <c r="N600" s="1060">
        <f t="shared" si="372"/>
        <v>0</v>
      </c>
      <c r="O600" s="1060">
        <f t="shared" si="373"/>
        <v>0</v>
      </c>
      <c r="P600" s="1060">
        <f t="shared" si="374"/>
        <v>0</v>
      </c>
    </row>
    <row r="601" spans="1:16" x14ac:dyDescent="0.25">
      <c r="A601" s="1034">
        <v>1037</v>
      </c>
      <c r="B601" s="1034">
        <f t="shared" si="338"/>
        <v>3</v>
      </c>
      <c r="C601" s="1034" t="str">
        <f t="shared" si="363"/>
        <v>MUHAMMAD WAZIR ILAHI</v>
      </c>
      <c r="D601" s="1035" t="str">
        <f t="shared" si="364"/>
        <v>PAI</v>
      </c>
      <c r="E601" s="1036">
        <f t="shared" si="365"/>
        <v>2016</v>
      </c>
      <c r="F601" s="1035" t="str">
        <f t="shared" si="366"/>
        <v>LULUS</v>
      </c>
      <c r="G601" s="1036">
        <f t="shared" si="367"/>
        <v>849316003</v>
      </c>
      <c r="H601" s="1038">
        <f t="shared" si="368"/>
        <v>0</v>
      </c>
      <c r="I601" s="1038">
        <f t="shared" si="369"/>
        <v>0</v>
      </c>
      <c r="J601" s="1038">
        <f t="shared" si="370"/>
        <v>0</v>
      </c>
      <c r="L601" s="1060">
        <f t="shared" si="333"/>
        <v>0</v>
      </c>
      <c r="M601" s="1060">
        <f t="shared" si="371"/>
        <v>1</v>
      </c>
      <c r="N601" s="1060">
        <f t="shared" si="372"/>
        <v>0</v>
      </c>
      <c r="O601" s="1060">
        <f t="shared" si="373"/>
        <v>0</v>
      </c>
      <c r="P601" s="1060">
        <f t="shared" si="374"/>
        <v>0</v>
      </c>
    </row>
    <row r="602" spans="1:16" x14ac:dyDescent="0.25">
      <c r="A602" s="1034">
        <v>1038</v>
      </c>
      <c r="B602" s="1034">
        <f t="shared" si="338"/>
        <v>4</v>
      </c>
      <c r="C602" s="1034" t="str">
        <f t="shared" si="363"/>
        <v>DURRATUL MUNIRAH ARROFIQOH</v>
      </c>
      <c r="D602" s="1035" t="str">
        <f t="shared" si="364"/>
        <v>PAI</v>
      </c>
      <c r="E602" s="1036">
        <f t="shared" si="365"/>
        <v>2016</v>
      </c>
      <c r="F602" s="1035" t="str">
        <f t="shared" si="366"/>
        <v>LULUS</v>
      </c>
      <c r="G602" s="1036">
        <f t="shared" si="367"/>
        <v>849316004</v>
      </c>
      <c r="H602" s="1038">
        <f t="shared" si="368"/>
        <v>0</v>
      </c>
      <c r="I602" s="1038">
        <f t="shared" si="369"/>
        <v>0</v>
      </c>
      <c r="J602" s="1038">
        <f t="shared" si="370"/>
        <v>0</v>
      </c>
      <c r="L602" s="1060">
        <f t="shared" si="333"/>
        <v>0</v>
      </c>
      <c r="M602" s="1060">
        <f t="shared" si="371"/>
        <v>1</v>
      </c>
      <c r="N602" s="1060">
        <f t="shared" si="372"/>
        <v>0</v>
      </c>
      <c r="O602" s="1060">
        <f t="shared" si="373"/>
        <v>0</v>
      </c>
      <c r="P602" s="1060">
        <f t="shared" si="374"/>
        <v>0</v>
      </c>
    </row>
    <row r="603" spans="1:16" x14ac:dyDescent="0.25">
      <c r="A603" s="1034">
        <v>1039</v>
      </c>
      <c r="B603" s="1034">
        <f t="shared" si="338"/>
        <v>5</v>
      </c>
      <c r="C603" s="1034" t="str">
        <f t="shared" si="363"/>
        <v>IRFA UMAROH ISLAMIYAH</v>
      </c>
      <c r="D603" s="1035" t="str">
        <f t="shared" si="364"/>
        <v>PAI</v>
      </c>
      <c r="E603" s="1036">
        <f t="shared" si="365"/>
        <v>2016</v>
      </c>
      <c r="F603" s="1035" t="str">
        <f t="shared" si="366"/>
        <v>LULUS</v>
      </c>
      <c r="G603" s="1036">
        <f t="shared" si="367"/>
        <v>849316005</v>
      </c>
      <c r="H603" s="1038">
        <f t="shared" si="368"/>
        <v>0</v>
      </c>
      <c r="I603" s="1038">
        <f t="shared" si="369"/>
        <v>0</v>
      </c>
      <c r="J603" s="1038">
        <f t="shared" si="370"/>
        <v>0</v>
      </c>
      <c r="L603" s="1060">
        <f t="shared" si="333"/>
        <v>0</v>
      </c>
      <c r="M603" s="1060">
        <f t="shared" si="371"/>
        <v>1</v>
      </c>
      <c r="N603" s="1060">
        <f t="shared" si="372"/>
        <v>0</v>
      </c>
      <c r="O603" s="1060">
        <f t="shared" si="373"/>
        <v>0</v>
      </c>
      <c r="P603" s="1060">
        <f t="shared" si="374"/>
        <v>0</v>
      </c>
    </row>
    <row r="604" spans="1:16" x14ac:dyDescent="0.25">
      <c r="A604" s="1034">
        <v>1040</v>
      </c>
      <c r="B604" s="1034">
        <f t="shared" si="338"/>
        <v>6</v>
      </c>
      <c r="C604" s="1034" t="str">
        <f t="shared" si="363"/>
        <v>MAR'AH NAILUL FAROH</v>
      </c>
      <c r="D604" s="1035" t="str">
        <f t="shared" si="364"/>
        <v>PAI</v>
      </c>
      <c r="E604" s="1036">
        <f t="shared" si="365"/>
        <v>2016</v>
      </c>
      <c r="F604" s="1035" t="str">
        <f t="shared" si="366"/>
        <v>LULUS</v>
      </c>
      <c r="G604" s="1036">
        <f t="shared" si="367"/>
        <v>849316006</v>
      </c>
      <c r="H604" s="1038">
        <f t="shared" si="368"/>
        <v>0</v>
      </c>
      <c r="I604" s="1038">
        <f t="shared" si="369"/>
        <v>0</v>
      </c>
      <c r="J604" s="1038">
        <f t="shared" si="370"/>
        <v>0</v>
      </c>
      <c r="L604" s="1060">
        <f t="shared" si="333"/>
        <v>0</v>
      </c>
      <c r="M604" s="1060">
        <f t="shared" si="371"/>
        <v>1</v>
      </c>
      <c r="N604" s="1060">
        <f t="shared" si="372"/>
        <v>0</v>
      </c>
      <c r="O604" s="1060">
        <f t="shared" si="373"/>
        <v>0</v>
      </c>
      <c r="P604" s="1060">
        <f t="shared" si="374"/>
        <v>0</v>
      </c>
    </row>
    <row r="605" spans="1:16" x14ac:dyDescent="0.25">
      <c r="A605" s="1034">
        <v>1041</v>
      </c>
      <c r="B605" s="1034">
        <f t="shared" si="338"/>
        <v>7</v>
      </c>
      <c r="C605" s="1034" t="str">
        <f t="shared" si="363"/>
        <v>HASAN TAMIMI</v>
      </c>
      <c r="D605" s="1035" t="str">
        <f t="shared" si="364"/>
        <v>PAI</v>
      </c>
      <c r="E605" s="1036">
        <f t="shared" si="365"/>
        <v>2016</v>
      </c>
      <c r="F605" s="1035" t="str">
        <f t="shared" si="366"/>
        <v>DROP OUT</v>
      </c>
      <c r="G605" s="1036">
        <f t="shared" si="367"/>
        <v>849316007</v>
      </c>
      <c r="H605" s="1038">
        <f t="shared" si="368"/>
        <v>0</v>
      </c>
      <c r="I605" s="1038">
        <f t="shared" si="369"/>
        <v>0</v>
      </c>
      <c r="J605" s="1038">
        <f t="shared" si="370"/>
        <v>0</v>
      </c>
      <c r="L605" s="1060">
        <f t="shared" si="333"/>
        <v>0</v>
      </c>
      <c r="M605" s="1060">
        <f t="shared" si="371"/>
        <v>0</v>
      </c>
      <c r="N605" s="1060">
        <f t="shared" si="372"/>
        <v>0</v>
      </c>
      <c r="O605" s="1060">
        <f t="shared" si="373"/>
        <v>1</v>
      </c>
      <c r="P605" s="1060">
        <f t="shared" si="374"/>
        <v>0</v>
      </c>
    </row>
    <row r="606" spans="1:16" x14ac:dyDescent="0.25">
      <c r="A606" s="1034">
        <v>1042</v>
      </c>
      <c r="B606" s="1034">
        <f t="shared" si="338"/>
        <v>8</v>
      </c>
      <c r="C606" s="1034" t="str">
        <f t="shared" si="363"/>
        <v>USLIFATUL IZA</v>
      </c>
      <c r="D606" s="1035" t="str">
        <f t="shared" si="364"/>
        <v>PAI</v>
      </c>
      <c r="E606" s="1036">
        <f t="shared" si="365"/>
        <v>2016</v>
      </c>
      <c r="F606" s="1035" t="str">
        <f t="shared" si="366"/>
        <v>LULUS</v>
      </c>
      <c r="G606" s="1036">
        <f t="shared" si="367"/>
        <v>849316008</v>
      </c>
      <c r="H606" s="1038">
        <f t="shared" si="368"/>
        <v>0</v>
      </c>
      <c r="I606" s="1038">
        <f t="shared" si="369"/>
        <v>0</v>
      </c>
      <c r="J606" s="1038">
        <f t="shared" si="370"/>
        <v>0</v>
      </c>
      <c r="L606" s="1060">
        <f t="shared" si="333"/>
        <v>0</v>
      </c>
      <c r="M606" s="1060">
        <f t="shared" si="371"/>
        <v>1</v>
      </c>
      <c r="N606" s="1060">
        <f t="shared" si="372"/>
        <v>0</v>
      </c>
      <c r="O606" s="1060">
        <f t="shared" si="373"/>
        <v>0</v>
      </c>
      <c r="P606" s="1060">
        <f t="shared" si="374"/>
        <v>0</v>
      </c>
    </row>
    <row r="607" spans="1:16" x14ac:dyDescent="0.25">
      <c r="A607" s="1034">
        <v>1043</v>
      </c>
      <c r="B607" s="1034">
        <f t="shared" si="338"/>
        <v>9</v>
      </c>
      <c r="C607" s="1034" t="str">
        <f t="shared" si="363"/>
        <v>MUHAMMAD AIN</v>
      </c>
      <c r="D607" s="1035" t="str">
        <f t="shared" si="364"/>
        <v>PAI</v>
      </c>
      <c r="E607" s="1036">
        <f t="shared" si="365"/>
        <v>2016</v>
      </c>
      <c r="F607" s="1035" t="str">
        <f t="shared" si="366"/>
        <v>LULUS</v>
      </c>
      <c r="G607" s="1036">
        <f t="shared" si="367"/>
        <v>849316009</v>
      </c>
      <c r="H607" s="1038">
        <f t="shared" si="368"/>
        <v>0</v>
      </c>
      <c r="I607" s="1038">
        <f t="shared" si="369"/>
        <v>0</v>
      </c>
      <c r="J607" s="1038">
        <f t="shared" si="370"/>
        <v>0</v>
      </c>
      <c r="L607" s="1060">
        <f t="shared" ref="L607:L674" si="375">IF(F607="AKTIF",1,0)</f>
        <v>0</v>
      </c>
      <c r="M607" s="1060">
        <f t="shared" si="371"/>
        <v>1</v>
      </c>
      <c r="N607" s="1060">
        <f t="shared" si="372"/>
        <v>0</v>
      </c>
      <c r="O607" s="1060">
        <f t="shared" si="373"/>
        <v>0</v>
      </c>
      <c r="P607" s="1060">
        <f t="shared" si="374"/>
        <v>0</v>
      </c>
    </row>
    <row r="608" spans="1:16" x14ac:dyDescent="0.25">
      <c r="A608" s="1034">
        <v>1044</v>
      </c>
      <c r="B608" s="1034">
        <f t="shared" si="338"/>
        <v>10</v>
      </c>
      <c r="C608" s="1034" t="str">
        <f t="shared" si="363"/>
        <v>MOHAMAD READUS SHOLIHIN</v>
      </c>
      <c r="D608" s="1035" t="str">
        <f t="shared" si="364"/>
        <v>PAI</v>
      </c>
      <c r="E608" s="1036">
        <f t="shared" si="365"/>
        <v>2016</v>
      </c>
      <c r="F608" s="1035" t="str">
        <f t="shared" si="366"/>
        <v>LULUS</v>
      </c>
      <c r="G608" s="1036">
        <f t="shared" si="367"/>
        <v>849316010</v>
      </c>
      <c r="H608" s="1038">
        <f t="shared" si="368"/>
        <v>0</v>
      </c>
      <c r="I608" s="1038">
        <f t="shared" si="369"/>
        <v>0</v>
      </c>
      <c r="J608" s="1038">
        <f t="shared" si="370"/>
        <v>0</v>
      </c>
      <c r="L608" s="1060">
        <f t="shared" si="375"/>
        <v>0</v>
      </c>
      <c r="M608" s="1060">
        <f t="shared" si="371"/>
        <v>1</v>
      </c>
      <c r="N608" s="1060">
        <f t="shared" si="372"/>
        <v>0</v>
      </c>
      <c r="O608" s="1060">
        <f t="shared" si="373"/>
        <v>0</v>
      </c>
      <c r="P608" s="1060">
        <f t="shared" si="374"/>
        <v>0</v>
      </c>
    </row>
    <row r="609" spans="1:16" x14ac:dyDescent="0.25">
      <c r="A609" s="1034">
        <v>1045</v>
      </c>
      <c r="B609" s="1034">
        <f t="shared" ref="B609:B676" si="376">IFERROR(VLOOKUP(A609,DB,2,FALSE),"")</f>
        <v>11</v>
      </c>
      <c r="C609" s="1034" t="str">
        <f t="shared" si="363"/>
        <v>SITI MUNIROTUL HIMMAH</v>
      </c>
      <c r="D609" s="1035" t="str">
        <f t="shared" si="364"/>
        <v>PAI</v>
      </c>
      <c r="E609" s="1036">
        <f t="shared" si="365"/>
        <v>2016</v>
      </c>
      <c r="F609" s="1035" t="str">
        <f t="shared" si="366"/>
        <v>LULUS</v>
      </c>
      <c r="G609" s="1036">
        <f t="shared" si="367"/>
        <v>849316011</v>
      </c>
      <c r="H609" s="1038">
        <f t="shared" si="368"/>
        <v>0</v>
      </c>
      <c r="I609" s="1038">
        <f t="shared" si="369"/>
        <v>0</v>
      </c>
      <c r="J609" s="1038">
        <f t="shared" si="370"/>
        <v>0</v>
      </c>
      <c r="L609" s="1060">
        <f t="shared" si="375"/>
        <v>0</v>
      </c>
      <c r="M609" s="1060">
        <f t="shared" si="371"/>
        <v>1</v>
      </c>
      <c r="N609" s="1060">
        <f t="shared" si="372"/>
        <v>0</v>
      </c>
      <c r="O609" s="1060">
        <f t="shared" si="373"/>
        <v>0</v>
      </c>
      <c r="P609" s="1060">
        <f t="shared" si="374"/>
        <v>0</v>
      </c>
    </row>
    <row r="610" spans="1:16" x14ac:dyDescent="0.25">
      <c r="A610" s="1034">
        <v>1046</v>
      </c>
      <c r="B610" s="1034">
        <f t="shared" si="376"/>
        <v>12</v>
      </c>
      <c r="C610" s="1034" t="str">
        <f t="shared" si="363"/>
        <v>ROBITOTUL FAIZIYAH</v>
      </c>
      <c r="D610" s="1035" t="str">
        <f t="shared" si="364"/>
        <v>PAI</v>
      </c>
      <c r="E610" s="1036">
        <f t="shared" si="365"/>
        <v>2016</v>
      </c>
      <c r="F610" s="1035" t="str">
        <f t="shared" si="366"/>
        <v>LULUS</v>
      </c>
      <c r="G610" s="1036">
        <f t="shared" si="367"/>
        <v>849316012</v>
      </c>
      <c r="H610" s="1038">
        <f t="shared" si="368"/>
        <v>0</v>
      </c>
      <c r="I610" s="1038">
        <f t="shared" si="369"/>
        <v>0</v>
      </c>
      <c r="J610" s="1038">
        <f t="shared" si="370"/>
        <v>0</v>
      </c>
      <c r="L610" s="1060">
        <f t="shared" si="375"/>
        <v>0</v>
      </c>
      <c r="M610" s="1060">
        <f t="shared" si="371"/>
        <v>1</v>
      </c>
      <c r="N610" s="1060">
        <f t="shared" si="372"/>
        <v>0</v>
      </c>
      <c r="O610" s="1060">
        <f t="shared" si="373"/>
        <v>0</v>
      </c>
      <c r="P610" s="1060">
        <f t="shared" si="374"/>
        <v>0</v>
      </c>
    </row>
    <row r="611" spans="1:16" x14ac:dyDescent="0.25">
      <c r="A611" s="1034">
        <v>1047</v>
      </c>
      <c r="B611" s="1034">
        <f t="shared" si="376"/>
        <v>13</v>
      </c>
      <c r="C611" s="1034" t="str">
        <f t="shared" si="363"/>
        <v>MOH ISOMUDDIN</v>
      </c>
      <c r="D611" s="1035" t="str">
        <f t="shared" si="364"/>
        <v>PAI</v>
      </c>
      <c r="E611" s="1036">
        <f t="shared" si="365"/>
        <v>2016</v>
      </c>
      <c r="F611" s="1035" t="str">
        <f t="shared" si="366"/>
        <v>LULUS</v>
      </c>
      <c r="G611" s="1036">
        <f t="shared" si="367"/>
        <v>849316013</v>
      </c>
      <c r="H611" s="1038">
        <f t="shared" si="368"/>
        <v>0</v>
      </c>
      <c r="I611" s="1038">
        <f t="shared" si="369"/>
        <v>0</v>
      </c>
      <c r="J611" s="1038">
        <f t="shared" si="370"/>
        <v>0</v>
      </c>
      <c r="L611" s="1060">
        <f t="shared" si="375"/>
        <v>0</v>
      </c>
      <c r="M611" s="1060">
        <f t="shared" si="371"/>
        <v>1</v>
      </c>
      <c r="N611" s="1060">
        <f t="shared" si="372"/>
        <v>0</v>
      </c>
      <c r="O611" s="1060">
        <f t="shared" si="373"/>
        <v>0</v>
      </c>
      <c r="P611" s="1060">
        <f t="shared" si="374"/>
        <v>0</v>
      </c>
    </row>
    <row r="612" spans="1:16" x14ac:dyDescent="0.25">
      <c r="A612" s="1034">
        <v>1048</v>
      </c>
      <c r="B612" s="1034">
        <f t="shared" si="376"/>
        <v>14</v>
      </c>
      <c r="C612" s="1034" t="str">
        <f t="shared" si="363"/>
        <v>AGUS SUPRIYADI</v>
      </c>
      <c r="D612" s="1035" t="str">
        <f t="shared" si="364"/>
        <v>PAI</v>
      </c>
      <c r="E612" s="1036">
        <f t="shared" si="365"/>
        <v>2016</v>
      </c>
      <c r="F612" s="1035" t="str">
        <f t="shared" si="366"/>
        <v>LULUS</v>
      </c>
      <c r="G612" s="1036">
        <f t="shared" si="367"/>
        <v>849316014</v>
      </c>
      <c r="H612" s="1038">
        <f t="shared" si="368"/>
        <v>0</v>
      </c>
      <c r="I612" s="1038">
        <f t="shared" si="369"/>
        <v>0</v>
      </c>
      <c r="J612" s="1038">
        <f t="shared" si="370"/>
        <v>0</v>
      </c>
      <c r="L612" s="1060">
        <f t="shared" si="375"/>
        <v>0</v>
      </c>
      <c r="M612" s="1060">
        <f t="shared" si="371"/>
        <v>1</v>
      </c>
      <c r="N612" s="1060">
        <f t="shared" si="372"/>
        <v>0</v>
      </c>
      <c r="O612" s="1060">
        <f t="shared" si="373"/>
        <v>0</v>
      </c>
      <c r="P612" s="1060">
        <f t="shared" si="374"/>
        <v>0</v>
      </c>
    </row>
    <row r="613" spans="1:16" x14ac:dyDescent="0.25">
      <c r="A613" s="1034">
        <v>1049</v>
      </c>
      <c r="B613" s="1034">
        <f t="shared" si="376"/>
        <v>15</v>
      </c>
      <c r="C613" s="1034" t="str">
        <f t="shared" si="363"/>
        <v>NEMAN AGUSTONO</v>
      </c>
      <c r="D613" s="1035" t="str">
        <f t="shared" si="364"/>
        <v>PAI</v>
      </c>
      <c r="E613" s="1036">
        <f t="shared" si="365"/>
        <v>2016</v>
      </c>
      <c r="F613" s="1035" t="str">
        <f t="shared" si="366"/>
        <v>LULUS</v>
      </c>
      <c r="G613" s="1036">
        <f t="shared" si="367"/>
        <v>849316015</v>
      </c>
      <c r="H613" s="1038">
        <f t="shared" si="368"/>
        <v>0</v>
      </c>
      <c r="I613" s="1038">
        <f t="shared" si="369"/>
        <v>0</v>
      </c>
      <c r="J613" s="1038">
        <f t="shared" si="370"/>
        <v>0</v>
      </c>
      <c r="L613" s="1060">
        <f t="shared" si="375"/>
        <v>0</v>
      </c>
      <c r="M613" s="1060">
        <f t="shared" si="371"/>
        <v>1</v>
      </c>
      <c r="N613" s="1060">
        <f t="shared" si="372"/>
        <v>0</v>
      </c>
      <c r="O613" s="1060">
        <f t="shared" si="373"/>
        <v>0</v>
      </c>
      <c r="P613" s="1060">
        <f t="shared" si="374"/>
        <v>0</v>
      </c>
    </row>
    <row r="614" spans="1:16" x14ac:dyDescent="0.25">
      <c r="A614" s="1034">
        <v>1050</v>
      </c>
      <c r="B614" s="1034">
        <f t="shared" si="376"/>
        <v>16</v>
      </c>
      <c r="C614" s="1034" t="str">
        <f t="shared" si="363"/>
        <v>MOHAMMAD MUSLEH</v>
      </c>
      <c r="D614" s="1035" t="str">
        <f t="shared" si="364"/>
        <v>PAI</v>
      </c>
      <c r="E614" s="1036">
        <f t="shared" si="365"/>
        <v>2016</v>
      </c>
      <c r="F614" s="1035" t="str">
        <f t="shared" si="366"/>
        <v>LULUS</v>
      </c>
      <c r="G614" s="1036">
        <f t="shared" si="367"/>
        <v>849316016</v>
      </c>
      <c r="H614" s="1038">
        <f t="shared" si="368"/>
        <v>0</v>
      </c>
      <c r="I614" s="1038">
        <f t="shared" si="369"/>
        <v>0</v>
      </c>
      <c r="J614" s="1038">
        <f t="shared" si="370"/>
        <v>0</v>
      </c>
      <c r="L614" s="1060">
        <f t="shared" si="375"/>
        <v>0</v>
      </c>
      <c r="M614" s="1060">
        <f t="shared" si="371"/>
        <v>1</v>
      </c>
      <c r="N614" s="1060">
        <f t="shared" si="372"/>
        <v>0</v>
      </c>
      <c r="O614" s="1060">
        <f t="shared" si="373"/>
        <v>0</v>
      </c>
      <c r="P614" s="1060">
        <f t="shared" si="374"/>
        <v>0</v>
      </c>
    </row>
    <row r="615" spans="1:16" x14ac:dyDescent="0.25">
      <c r="A615" s="1034">
        <v>1051</v>
      </c>
      <c r="B615" s="1034">
        <f t="shared" si="376"/>
        <v>17</v>
      </c>
      <c r="C615" s="1034" t="str">
        <f t="shared" si="363"/>
        <v>AHMAD MUZAKKI IMRON</v>
      </c>
      <c r="D615" s="1035" t="str">
        <f t="shared" si="364"/>
        <v>PAI</v>
      </c>
      <c r="E615" s="1036">
        <f t="shared" si="365"/>
        <v>2016</v>
      </c>
      <c r="F615" s="1035" t="str">
        <f t="shared" si="366"/>
        <v>AKTIF</v>
      </c>
      <c r="G615" s="1036">
        <f t="shared" si="367"/>
        <v>849316017</v>
      </c>
      <c r="H615" s="1038">
        <f t="shared" si="368"/>
        <v>3000000</v>
      </c>
      <c r="I615" s="1038">
        <f t="shared" si="369"/>
        <v>3000000</v>
      </c>
      <c r="J615" s="1038">
        <f t="shared" si="370"/>
        <v>6000000</v>
      </c>
      <c r="L615" s="1060">
        <f t="shared" si="375"/>
        <v>1</v>
      </c>
      <c r="M615" s="1060">
        <f t="shared" si="371"/>
        <v>0</v>
      </c>
      <c r="N615" s="1060">
        <f t="shared" si="372"/>
        <v>0</v>
      </c>
      <c r="O615" s="1060">
        <f t="shared" si="373"/>
        <v>0</v>
      </c>
      <c r="P615" s="1060">
        <f t="shared" si="374"/>
        <v>0</v>
      </c>
    </row>
    <row r="616" spans="1:16" x14ac:dyDescent="0.25">
      <c r="A616" s="1034">
        <v>1052</v>
      </c>
      <c r="B616" s="1034">
        <f t="shared" si="376"/>
        <v>18</v>
      </c>
      <c r="C616" s="1034" t="str">
        <f t="shared" si="363"/>
        <v>MUHAMMAD NASIH</v>
      </c>
      <c r="D616" s="1035" t="str">
        <f t="shared" si="364"/>
        <v>PAI</v>
      </c>
      <c r="E616" s="1036">
        <f t="shared" si="365"/>
        <v>2016</v>
      </c>
      <c r="F616" s="1035" t="str">
        <f t="shared" si="366"/>
        <v>LULUS</v>
      </c>
      <c r="G616" s="1036">
        <f t="shared" si="367"/>
        <v>849316018</v>
      </c>
      <c r="H616" s="1038">
        <f t="shared" si="368"/>
        <v>0</v>
      </c>
      <c r="I616" s="1038">
        <f t="shared" si="369"/>
        <v>0</v>
      </c>
      <c r="J616" s="1038">
        <f t="shared" si="370"/>
        <v>0</v>
      </c>
      <c r="L616" s="1060">
        <f t="shared" si="375"/>
        <v>0</v>
      </c>
      <c r="M616" s="1060">
        <f t="shared" si="371"/>
        <v>1</v>
      </c>
      <c r="N616" s="1060">
        <f t="shared" si="372"/>
        <v>0</v>
      </c>
      <c r="O616" s="1060">
        <f t="shared" si="373"/>
        <v>0</v>
      </c>
      <c r="P616" s="1060">
        <f t="shared" si="374"/>
        <v>0</v>
      </c>
    </row>
    <row r="617" spans="1:16" x14ac:dyDescent="0.25">
      <c r="A617" s="1034">
        <v>1053</v>
      </c>
      <c r="B617" s="1034">
        <f t="shared" si="376"/>
        <v>19</v>
      </c>
      <c r="C617" s="1034" t="str">
        <f t="shared" si="363"/>
        <v>LUKMAN HAKIM</v>
      </c>
      <c r="D617" s="1035" t="str">
        <f t="shared" si="364"/>
        <v>PAI</v>
      </c>
      <c r="E617" s="1036">
        <f t="shared" si="365"/>
        <v>2016</v>
      </c>
      <c r="F617" s="1035" t="str">
        <f t="shared" si="366"/>
        <v>LULUS</v>
      </c>
      <c r="G617" s="1036">
        <f t="shared" si="367"/>
        <v>849316019</v>
      </c>
      <c r="H617" s="1038">
        <f t="shared" si="368"/>
        <v>0</v>
      </c>
      <c r="I617" s="1038">
        <f t="shared" si="369"/>
        <v>0</v>
      </c>
      <c r="J617" s="1038">
        <f t="shared" si="370"/>
        <v>0</v>
      </c>
      <c r="L617" s="1060">
        <f t="shared" si="375"/>
        <v>0</v>
      </c>
      <c r="M617" s="1060">
        <f t="shared" si="371"/>
        <v>1</v>
      </c>
      <c r="N617" s="1060">
        <f t="shared" si="372"/>
        <v>0</v>
      </c>
      <c r="O617" s="1060">
        <f t="shared" si="373"/>
        <v>0</v>
      </c>
      <c r="P617" s="1060">
        <f t="shared" si="374"/>
        <v>0</v>
      </c>
    </row>
    <row r="618" spans="1:16" x14ac:dyDescent="0.25">
      <c r="A618" s="1034">
        <v>1054</v>
      </c>
      <c r="B618" s="1034">
        <f t="shared" si="376"/>
        <v>20</v>
      </c>
      <c r="C618" s="1034" t="str">
        <f t="shared" si="363"/>
        <v>NUR IKA OKTAFIATUL J</v>
      </c>
      <c r="D618" s="1035" t="str">
        <f t="shared" si="364"/>
        <v>PAI</v>
      </c>
      <c r="E618" s="1036">
        <f t="shared" si="365"/>
        <v>2016</v>
      </c>
      <c r="F618" s="1035" t="str">
        <f t="shared" si="366"/>
        <v>LULUS</v>
      </c>
      <c r="G618" s="1036">
        <f t="shared" si="367"/>
        <v>849316020</v>
      </c>
      <c r="H618" s="1038">
        <f t="shared" si="368"/>
        <v>0</v>
      </c>
      <c r="I618" s="1038">
        <f t="shared" si="369"/>
        <v>0</v>
      </c>
      <c r="J618" s="1038">
        <f t="shared" si="370"/>
        <v>0</v>
      </c>
      <c r="L618" s="1060">
        <f t="shared" si="375"/>
        <v>0</v>
      </c>
      <c r="M618" s="1060">
        <f t="shared" si="371"/>
        <v>1</v>
      </c>
      <c r="N618" s="1060">
        <f t="shared" si="372"/>
        <v>0</v>
      </c>
      <c r="O618" s="1060">
        <f t="shared" si="373"/>
        <v>0</v>
      </c>
      <c r="P618" s="1060">
        <f t="shared" si="374"/>
        <v>0</v>
      </c>
    </row>
    <row r="619" spans="1:16" x14ac:dyDescent="0.25">
      <c r="A619" s="1034">
        <v>1055</v>
      </c>
      <c r="B619" s="1034">
        <f t="shared" si="376"/>
        <v>21</v>
      </c>
      <c r="C619" s="1034" t="str">
        <f t="shared" si="363"/>
        <v>HADI AGUS MIFTAHUL U</v>
      </c>
      <c r="D619" s="1035" t="str">
        <f t="shared" si="364"/>
        <v>PAI</v>
      </c>
      <c r="E619" s="1036">
        <f t="shared" si="365"/>
        <v>2016</v>
      </c>
      <c r="F619" s="1035" t="str">
        <f t="shared" si="366"/>
        <v>LULUS</v>
      </c>
      <c r="G619" s="1036">
        <f t="shared" si="367"/>
        <v>849316021</v>
      </c>
      <c r="H619" s="1038">
        <f t="shared" si="368"/>
        <v>0</v>
      </c>
      <c r="I619" s="1038">
        <f t="shared" si="369"/>
        <v>0</v>
      </c>
      <c r="J619" s="1038">
        <f t="shared" si="370"/>
        <v>0</v>
      </c>
      <c r="L619" s="1060">
        <f t="shared" si="375"/>
        <v>0</v>
      </c>
      <c r="M619" s="1060">
        <f t="shared" si="371"/>
        <v>1</v>
      </c>
      <c r="N619" s="1060">
        <f t="shared" si="372"/>
        <v>0</v>
      </c>
      <c r="O619" s="1060">
        <f t="shared" si="373"/>
        <v>0</v>
      </c>
      <c r="P619" s="1060">
        <f t="shared" si="374"/>
        <v>0</v>
      </c>
    </row>
    <row r="620" spans="1:16" x14ac:dyDescent="0.25">
      <c r="A620" s="1034">
        <v>1056</v>
      </c>
      <c r="B620" s="1034">
        <f t="shared" si="376"/>
        <v>22</v>
      </c>
      <c r="C620" s="1034" t="str">
        <f t="shared" si="363"/>
        <v>ULFA DINA NOVIENDA</v>
      </c>
      <c r="D620" s="1035" t="str">
        <f t="shared" si="364"/>
        <v>PAI</v>
      </c>
      <c r="E620" s="1036">
        <f t="shared" si="365"/>
        <v>2016</v>
      </c>
      <c r="F620" s="1035" t="str">
        <f t="shared" si="366"/>
        <v>LULUS</v>
      </c>
      <c r="G620" s="1036">
        <f t="shared" si="367"/>
        <v>849316022</v>
      </c>
      <c r="H620" s="1038">
        <f t="shared" si="368"/>
        <v>0</v>
      </c>
      <c r="I620" s="1038">
        <f t="shared" si="369"/>
        <v>0</v>
      </c>
      <c r="J620" s="1038">
        <f t="shared" si="370"/>
        <v>0</v>
      </c>
      <c r="L620" s="1060">
        <f t="shared" si="375"/>
        <v>0</v>
      </c>
      <c r="M620" s="1060">
        <f t="shared" si="371"/>
        <v>1</v>
      </c>
      <c r="N620" s="1060">
        <f t="shared" si="372"/>
        <v>0</v>
      </c>
      <c r="O620" s="1060">
        <f t="shared" si="373"/>
        <v>0</v>
      </c>
      <c r="P620" s="1060">
        <f t="shared" si="374"/>
        <v>0</v>
      </c>
    </row>
    <row r="621" spans="1:16" x14ac:dyDescent="0.25">
      <c r="A621" s="1034">
        <v>1057</v>
      </c>
      <c r="B621" s="1034">
        <f t="shared" si="376"/>
        <v>23</v>
      </c>
      <c r="C621" s="1034" t="str">
        <f t="shared" si="363"/>
        <v>TUTHIUR RIZQIAH</v>
      </c>
      <c r="D621" s="1035" t="str">
        <f t="shared" si="364"/>
        <v>PAI</v>
      </c>
      <c r="E621" s="1036">
        <f t="shared" si="365"/>
        <v>2016</v>
      </c>
      <c r="F621" s="1035" t="str">
        <f t="shared" si="366"/>
        <v>LULUS</v>
      </c>
      <c r="G621" s="1036">
        <f t="shared" si="367"/>
        <v>849316023</v>
      </c>
      <c r="H621" s="1038">
        <f t="shared" si="368"/>
        <v>0</v>
      </c>
      <c r="I621" s="1038">
        <f t="shared" si="369"/>
        <v>0</v>
      </c>
      <c r="J621" s="1038">
        <f t="shared" si="370"/>
        <v>0</v>
      </c>
      <c r="L621" s="1060">
        <f t="shared" si="375"/>
        <v>0</v>
      </c>
      <c r="M621" s="1060">
        <f t="shared" si="371"/>
        <v>1</v>
      </c>
      <c r="N621" s="1060">
        <f t="shared" si="372"/>
        <v>0</v>
      </c>
      <c r="O621" s="1060">
        <f t="shared" si="373"/>
        <v>0</v>
      </c>
      <c r="P621" s="1060">
        <f t="shared" si="374"/>
        <v>0</v>
      </c>
    </row>
    <row r="622" spans="1:16" x14ac:dyDescent="0.25">
      <c r="A622" s="1034">
        <v>1058</v>
      </c>
      <c r="B622" s="1034">
        <f t="shared" si="376"/>
        <v>24</v>
      </c>
      <c r="C622" s="1034" t="str">
        <f t="shared" si="363"/>
        <v>ZULAIKHAH</v>
      </c>
      <c r="D622" s="1035" t="str">
        <f t="shared" si="364"/>
        <v>PAI</v>
      </c>
      <c r="E622" s="1036">
        <f t="shared" si="365"/>
        <v>2016</v>
      </c>
      <c r="F622" s="1035" t="str">
        <f t="shared" si="366"/>
        <v>PASIF</v>
      </c>
      <c r="G622" s="1036">
        <f t="shared" si="367"/>
        <v>849316024</v>
      </c>
      <c r="H622" s="1038">
        <f t="shared" si="368"/>
        <v>0</v>
      </c>
      <c r="I622" s="1038">
        <f t="shared" si="369"/>
        <v>0</v>
      </c>
      <c r="J622" s="1038">
        <f t="shared" si="370"/>
        <v>0</v>
      </c>
      <c r="L622" s="1060">
        <f t="shared" si="375"/>
        <v>0</v>
      </c>
      <c r="M622" s="1060">
        <f t="shared" si="371"/>
        <v>0</v>
      </c>
      <c r="N622" s="1060">
        <f t="shared" si="372"/>
        <v>0</v>
      </c>
      <c r="O622" s="1060">
        <f t="shared" si="373"/>
        <v>0</v>
      </c>
      <c r="P622" s="1060">
        <f t="shared" si="374"/>
        <v>1</v>
      </c>
    </row>
    <row r="623" spans="1:16" x14ac:dyDescent="0.25">
      <c r="A623" s="1034">
        <v>1059</v>
      </c>
      <c r="B623" s="1034">
        <f t="shared" si="376"/>
        <v>25</v>
      </c>
      <c r="C623" s="1034" t="str">
        <f t="shared" si="363"/>
        <v>FAHHUR ROZI</v>
      </c>
      <c r="D623" s="1035" t="str">
        <f t="shared" si="364"/>
        <v>PAI</v>
      </c>
      <c r="E623" s="1036">
        <f t="shared" si="365"/>
        <v>2016</v>
      </c>
      <c r="F623" s="1035" t="str">
        <f t="shared" si="366"/>
        <v>PASIF</v>
      </c>
      <c r="G623" s="1036">
        <f t="shared" si="367"/>
        <v>849316025</v>
      </c>
      <c r="H623" s="1038">
        <f t="shared" si="368"/>
        <v>0</v>
      </c>
      <c r="I623" s="1038">
        <f t="shared" si="369"/>
        <v>0</v>
      </c>
      <c r="J623" s="1038">
        <f t="shared" si="370"/>
        <v>0</v>
      </c>
      <c r="L623" s="1060">
        <f t="shared" si="375"/>
        <v>0</v>
      </c>
      <c r="M623" s="1060">
        <f t="shared" si="371"/>
        <v>0</v>
      </c>
      <c r="N623" s="1060">
        <f t="shared" si="372"/>
        <v>0</v>
      </c>
      <c r="O623" s="1060">
        <f t="shared" si="373"/>
        <v>0</v>
      </c>
      <c r="P623" s="1060">
        <f t="shared" si="374"/>
        <v>1</v>
      </c>
    </row>
    <row r="624" spans="1:16" x14ac:dyDescent="0.25">
      <c r="A624" s="1034">
        <v>1060</v>
      </c>
      <c r="B624" s="1034">
        <f t="shared" si="376"/>
        <v>26</v>
      </c>
      <c r="C624" s="1034" t="str">
        <f t="shared" si="363"/>
        <v>RIDWAN EFENDI</v>
      </c>
      <c r="D624" s="1035" t="str">
        <f t="shared" si="364"/>
        <v>PAI</v>
      </c>
      <c r="E624" s="1036">
        <f t="shared" si="365"/>
        <v>2016</v>
      </c>
      <c r="F624" s="1035" t="str">
        <f t="shared" si="366"/>
        <v>LULUS</v>
      </c>
      <c r="G624" s="1036">
        <f t="shared" si="367"/>
        <v>849316026</v>
      </c>
      <c r="H624" s="1038">
        <f t="shared" si="368"/>
        <v>0</v>
      </c>
      <c r="I624" s="1038">
        <f t="shared" si="369"/>
        <v>0</v>
      </c>
      <c r="J624" s="1038">
        <f t="shared" si="370"/>
        <v>0</v>
      </c>
      <c r="L624" s="1060">
        <f t="shared" si="375"/>
        <v>0</v>
      </c>
      <c r="M624" s="1060">
        <f t="shared" si="371"/>
        <v>1</v>
      </c>
      <c r="N624" s="1060">
        <f t="shared" si="372"/>
        <v>0</v>
      </c>
      <c r="O624" s="1060">
        <f t="shared" si="373"/>
        <v>0</v>
      </c>
      <c r="P624" s="1060">
        <f t="shared" si="374"/>
        <v>0</v>
      </c>
    </row>
    <row r="625" spans="1:16" x14ac:dyDescent="0.25">
      <c r="A625" s="1034">
        <v>1061</v>
      </c>
      <c r="B625" s="1034">
        <f t="shared" si="376"/>
        <v>27</v>
      </c>
      <c r="C625" s="1034" t="str">
        <f t="shared" si="363"/>
        <v>IRFAD FAIQ ABDILLAH</v>
      </c>
      <c r="D625" s="1035" t="str">
        <f t="shared" si="364"/>
        <v>PAI</v>
      </c>
      <c r="E625" s="1036">
        <f t="shared" si="365"/>
        <v>2016</v>
      </c>
      <c r="F625" s="1035" t="str">
        <f t="shared" si="366"/>
        <v>PASIF</v>
      </c>
      <c r="G625" s="1036">
        <f t="shared" si="367"/>
        <v>849316027</v>
      </c>
      <c r="H625" s="1038">
        <f t="shared" si="368"/>
        <v>0</v>
      </c>
      <c r="I625" s="1038">
        <f t="shared" si="369"/>
        <v>0</v>
      </c>
      <c r="J625" s="1038">
        <f t="shared" si="370"/>
        <v>0</v>
      </c>
      <c r="L625" s="1060">
        <f t="shared" si="375"/>
        <v>0</v>
      </c>
      <c r="M625" s="1060">
        <f t="shared" si="371"/>
        <v>0</v>
      </c>
      <c r="N625" s="1060">
        <f t="shared" si="372"/>
        <v>0</v>
      </c>
      <c r="O625" s="1060">
        <f t="shared" si="373"/>
        <v>0</v>
      </c>
      <c r="P625" s="1060">
        <f t="shared" si="374"/>
        <v>1</v>
      </c>
    </row>
    <row r="626" spans="1:16" x14ac:dyDescent="0.25">
      <c r="A626" s="1034">
        <v>1062</v>
      </c>
      <c r="B626" s="1034">
        <f t="shared" si="376"/>
        <v>28</v>
      </c>
      <c r="C626" s="1034" t="str">
        <f t="shared" si="363"/>
        <v>HUDZAIFAH AL-AYYUBI</v>
      </c>
      <c r="D626" s="1035" t="str">
        <f t="shared" si="364"/>
        <v>PAI</v>
      </c>
      <c r="E626" s="1036">
        <f t="shared" si="365"/>
        <v>2016</v>
      </c>
      <c r="F626" s="1035" t="str">
        <f t="shared" si="366"/>
        <v>LULUS</v>
      </c>
      <c r="G626" s="1036">
        <f t="shared" si="367"/>
        <v>849316028</v>
      </c>
      <c r="H626" s="1038">
        <f t="shared" si="368"/>
        <v>0</v>
      </c>
      <c r="I626" s="1038">
        <f t="shared" si="369"/>
        <v>0</v>
      </c>
      <c r="J626" s="1038">
        <f t="shared" si="370"/>
        <v>0</v>
      </c>
      <c r="L626" s="1060">
        <f t="shared" si="375"/>
        <v>0</v>
      </c>
      <c r="M626" s="1060">
        <f t="shared" si="371"/>
        <v>1</v>
      </c>
      <c r="N626" s="1060">
        <f t="shared" si="372"/>
        <v>0</v>
      </c>
      <c r="O626" s="1060">
        <f t="shared" si="373"/>
        <v>0</v>
      </c>
      <c r="P626" s="1060">
        <f t="shared" si="374"/>
        <v>0</v>
      </c>
    </row>
    <row r="627" spans="1:16" x14ac:dyDescent="0.25">
      <c r="A627" s="1034">
        <v>1063</v>
      </c>
      <c r="B627" s="1034">
        <f t="shared" si="376"/>
        <v>29</v>
      </c>
      <c r="C627" s="1034" t="str">
        <f t="shared" si="363"/>
        <v>RAUDATUL JANNAH F</v>
      </c>
      <c r="D627" s="1035" t="str">
        <f t="shared" si="364"/>
        <v>PAI</v>
      </c>
      <c r="E627" s="1036">
        <f t="shared" si="365"/>
        <v>2016</v>
      </c>
      <c r="F627" s="1035" t="str">
        <f t="shared" si="366"/>
        <v>PASIF</v>
      </c>
      <c r="G627" s="1036">
        <f t="shared" si="367"/>
        <v>849316029</v>
      </c>
      <c r="H627" s="1038">
        <f t="shared" si="368"/>
        <v>0</v>
      </c>
      <c r="I627" s="1038">
        <f t="shared" si="369"/>
        <v>0</v>
      </c>
      <c r="J627" s="1038">
        <f t="shared" si="370"/>
        <v>0</v>
      </c>
      <c r="L627" s="1060">
        <f t="shared" si="375"/>
        <v>0</v>
      </c>
      <c r="M627" s="1060">
        <f t="shared" si="371"/>
        <v>0</v>
      </c>
      <c r="N627" s="1060">
        <f t="shared" si="372"/>
        <v>0</v>
      </c>
      <c r="O627" s="1060">
        <f t="shared" si="373"/>
        <v>0</v>
      </c>
      <c r="P627" s="1060">
        <f t="shared" si="374"/>
        <v>1</v>
      </c>
    </row>
    <row r="628" spans="1:16" x14ac:dyDescent="0.25">
      <c r="A628" s="1034">
        <v>1064</v>
      </c>
      <c r="B628" s="1034">
        <f t="shared" si="376"/>
        <v>30</v>
      </c>
      <c r="C628" s="1034" t="str">
        <f t="shared" si="363"/>
        <v>SYIFAUL UMAMI ZUHRO</v>
      </c>
      <c r="D628" s="1035" t="str">
        <f t="shared" si="364"/>
        <v>PAI</v>
      </c>
      <c r="E628" s="1036">
        <f t="shared" si="365"/>
        <v>2016</v>
      </c>
      <c r="F628" s="1035" t="str">
        <f t="shared" si="366"/>
        <v>LULUS</v>
      </c>
      <c r="G628" s="1036">
        <f t="shared" si="367"/>
        <v>849316030</v>
      </c>
      <c r="H628" s="1038">
        <f t="shared" si="368"/>
        <v>0</v>
      </c>
      <c r="I628" s="1038">
        <f t="shared" si="369"/>
        <v>0</v>
      </c>
      <c r="J628" s="1038">
        <f t="shared" si="370"/>
        <v>0</v>
      </c>
      <c r="L628" s="1060">
        <f t="shared" si="375"/>
        <v>0</v>
      </c>
      <c r="M628" s="1060">
        <f t="shared" si="371"/>
        <v>1</v>
      </c>
      <c r="N628" s="1060">
        <f t="shared" si="372"/>
        <v>0</v>
      </c>
      <c r="O628" s="1060">
        <f t="shared" si="373"/>
        <v>0</v>
      </c>
      <c r="P628" s="1060">
        <f t="shared" si="374"/>
        <v>0</v>
      </c>
    </row>
    <row r="629" spans="1:16" x14ac:dyDescent="0.25">
      <c r="A629" s="1034">
        <v>1065</v>
      </c>
      <c r="B629" s="1034">
        <f t="shared" si="376"/>
        <v>31</v>
      </c>
      <c r="C629" s="1034" t="str">
        <f t="shared" si="363"/>
        <v>MUHAMMAD KHOLIL</v>
      </c>
      <c r="D629" s="1035" t="str">
        <f t="shared" si="364"/>
        <v>PAI</v>
      </c>
      <c r="E629" s="1036">
        <f t="shared" si="365"/>
        <v>2016</v>
      </c>
      <c r="F629" s="1035" t="str">
        <f t="shared" si="366"/>
        <v>AKTIF</v>
      </c>
      <c r="G629" s="1036">
        <f t="shared" si="367"/>
        <v>849316031</v>
      </c>
      <c r="H629" s="1038">
        <f t="shared" si="368"/>
        <v>3000000</v>
      </c>
      <c r="I629" s="1038">
        <f t="shared" si="369"/>
        <v>3000000</v>
      </c>
      <c r="J629" s="1038">
        <f t="shared" si="370"/>
        <v>6000000</v>
      </c>
      <c r="L629" s="1060">
        <f t="shared" si="375"/>
        <v>1</v>
      </c>
      <c r="M629" s="1060">
        <f t="shared" si="371"/>
        <v>0</v>
      </c>
      <c r="N629" s="1060">
        <f t="shared" si="372"/>
        <v>0</v>
      </c>
      <c r="O629" s="1060">
        <f t="shared" si="373"/>
        <v>0</v>
      </c>
      <c r="P629" s="1060">
        <f t="shared" si="374"/>
        <v>0</v>
      </c>
    </row>
    <row r="630" spans="1:16" x14ac:dyDescent="0.25">
      <c r="A630" s="1034">
        <v>1066</v>
      </c>
      <c r="B630" s="1034">
        <f t="shared" si="376"/>
        <v>32</v>
      </c>
      <c r="C630" s="1034" t="str">
        <f t="shared" si="363"/>
        <v>HABIBATUL JANNAH</v>
      </c>
      <c r="D630" s="1035" t="str">
        <f t="shared" si="364"/>
        <v>PAI</v>
      </c>
      <c r="E630" s="1036">
        <f t="shared" si="365"/>
        <v>2016</v>
      </c>
      <c r="F630" s="1035" t="str">
        <f t="shared" si="366"/>
        <v>LULUS</v>
      </c>
      <c r="G630" s="1036">
        <f t="shared" si="367"/>
        <v>849316032</v>
      </c>
      <c r="H630" s="1038">
        <f t="shared" si="368"/>
        <v>0</v>
      </c>
      <c r="I630" s="1038">
        <f t="shared" si="369"/>
        <v>0</v>
      </c>
      <c r="J630" s="1038">
        <f t="shared" si="370"/>
        <v>0</v>
      </c>
      <c r="L630" s="1060">
        <f t="shared" si="375"/>
        <v>0</v>
      </c>
      <c r="M630" s="1060">
        <f t="shared" si="371"/>
        <v>1</v>
      </c>
      <c r="N630" s="1060">
        <f t="shared" si="372"/>
        <v>0</v>
      </c>
      <c r="O630" s="1060">
        <f t="shared" si="373"/>
        <v>0</v>
      </c>
      <c r="P630" s="1060">
        <f t="shared" si="374"/>
        <v>0</v>
      </c>
    </row>
    <row r="631" spans="1:16" x14ac:dyDescent="0.25">
      <c r="A631" s="1034">
        <v>1067</v>
      </c>
      <c r="B631" s="1034">
        <f t="shared" si="376"/>
        <v>33</v>
      </c>
      <c r="C631" s="1034" t="str">
        <f t="shared" ref="C631:C648" si="377">IFERROR(VLOOKUP(A631,DB,4,FALSE),"")</f>
        <v>SUDAWI</v>
      </c>
      <c r="D631" s="1035" t="str">
        <f t="shared" ref="D631:D648" si="378">IFERROR(VLOOKUP(A631,DB,5,FALSE),"")</f>
        <v>PAI</v>
      </c>
      <c r="E631" s="1036">
        <f t="shared" ref="E631:E648" si="379">IFERROR(VLOOKUP(A631,DB,6,FALSE),"")</f>
        <v>2016</v>
      </c>
      <c r="F631" s="1035" t="str">
        <f t="shared" ref="F631:F648" si="380">IFERROR(VLOOKUP(A631,DB,7,FALSE),"")</f>
        <v>LULUS</v>
      </c>
      <c r="G631" s="1036">
        <f t="shared" ref="G631:G648" si="381">IFERROR(VLOOKUP(A631,DB,3,FALSE),"")</f>
        <v>849316033</v>
      </c>
      <c r="H631" s="1038">
        <f t="shared" si="368"/>
        <v>0</v>
      </c>
      <c r="I631" s="1038">
        <f t="shared" si="369"/>
        <v>0</v>
      </c>
      <c r="J631" s="1038">
        <f t="shared" si="370"/>
        <v>0</v>
      </c>
      <c r="L631" s="1060">
        <f t="shared" si="375"/>
        <v>0</v>
      </c>
      <c r="M631" s="1060">
        <f t="shared" ref="M631:M648" si="382">IF(F631="LULUS",1,0)</f>
        <v>1</v>
      </c>
      <c r="N631" s="1060">
        <f t="shared" ref="N631:N648" si="383">IF(F631="CUTI",1,0)</f>
        <v>0</v>
      </c>
      <c r="O631" s="1060">
        <f t="shared" ref="O631:O648" si="384">IF(F631="DROP OUT",1,0)</f>
        <v>0</v>
      </c>
      <c r="P631" s="1060">
        <f t="shared" ref="P631:P648" si="385">IF(F631="PASIF",1,0)</f>
        <v>0</v>
      </c>
    </row>
    <row r="632" spans="1:16" x14ac:dyDescent="0.25">
      <c r="A632" s="1034">
        <v>1068</v>
      </c>
      <c r="B632" s="1034">
        <f t="shared" si="376"/>
        <v>34</v>
      </c>
      <c r="C632" s="1034" t="str">
        <f t="shared" si="377"/>
        <v>AKHMAD BAEDOWI</v>
      </c>
      <c r="D632" s="1035" t="str">
        <f t="shared" si="378"/>
        <v>PAI</v>
      </c>
      <c r="E632" s="1036">
        <f t="shared" si="379"/>
        <v>2016</v>
      </c>
      <c r="F632" s="1035" t="str">
        <f t="shared" si="380"/>
        <v>LULUS</v>
      </c>
      <c r="G632" s="1036">
        <f t="shared" si="381"/>
        <v>849316034</v>
      </c>
      <c r="H632" s="1038">
        <f t="shared" si="368"/>
        <v>0</v>
      </c>
      <c r="I632" s="1038">
        <f t="shared" si="369"/>
        <v>0</v>
      </c>
      <c r="J632" s="1038">
        <f t="shared" si="370"/>
        <v>0</v>
      </c>
      <c r="L632" s="1060">
        <f t="shared" si="375"/>
        <v>0</v>
      </c>
      <c r="M632" s="1060">
        <f t="shared" si="382"/>
        <v>1</v>
      </c>
      <c r="N632" s="1060">
        <f t="shared" si="383"/>
        <v>0</v>
      </c>
      <c r="O632" s="1060">
        <f t="shared" si="384"/>
        <v>0</v>
      </c>
      <c r="P632" s="1060">
        <f t="shared" si="385"/>
        <v>0</v>
      </c>
    </row>
    <row r="633" spans="1:16" x14ac:dyDescent="0.25">
      <c r="A633" s="1034">
        <v>1069</v>
      </c>
      <c r="B633" s="1034">
        <f t="shared" si="376"/>
        <v>35</v>
      </c>
      <c r="C633" s="1034" t="str">
        <f t="shared" si="377"/>
        <v>FAIZATUN NURANIYAH</v>
      </c>
      <c r="D633" s="1035" t="str">
        <f t="shared" si="378"/>
        <v>PAI</v>
      </c>
      <c r="E633" s="1036">
        <f t="shared" si="379"/>
        <v>2016</v>
      </c>
      <c r="F633" s="1035" t="str">
        <f t="shared" si="380"/>
        <v>LULUS</v>
      </c>
      <c r="G633" s="1036">
        <f t="shared" si="381"/>
        <v>849316035</v>
      </c>
      <c r="H633" s="1038">
        <f t="shared" si="368"/>
        <v>0</v>
      </c>
      <c r="I633" s="1038">
        <f t="shared" si="369"/>
        <v>0</v>
      </c>
      <c r="J633" s="1038">
        <f t="shared" si="370"/>
        <v>0</v>
      </c>
      <c r="L633" s="1060">
        <f t="shared" si="375"/>
        <v>0</v>
      </c>
      <c r="M633" s="1060">
        <f t="shared" si="382"/>
        <v>1</v>
      </c>
      <c r="N633" s="1060">
        <f t="shared" si="383"/>
        <v>0</v>
      </c>
      <c r="O633" s="1060">
        <f t="shared" si="384"/>
        <v>0</v>
      </c>
      <c r="P633" s="1060">
        <f t="shared" si="385"/>
        <v>0</v>
      </c>
    </row>
    <row r="634" spans="1:16" x14ac:dyDescent="0.25">
      <c r="A634" s="1034">
        <v>1070</v>
      </c>
      <c r="B634" s="1034">
        <f t="shared" si="376"/>
        <v>36</v>
      </c>
      <c r="C634" s="1034" t="str">
        <f t="shared" si="377"/>
        <v>M.FAJAR ROCHMAD I</v>
      </c>
      <c r="D634" s="1035" t="str">
        <f t="shared" si="378"/>
        <v>PAI</v>
      </c>
      <c r="E634" s="1036">
        <f t="shared" si="379"/>
        <v>2016</v>
      </c>
      <c r="F634" s="1035" t="str">
        <f t="shared" si="380"/>
        <v>LULUS</v>
      </c>
      <c r="G634" s="1036">
        <f t="shared" si="381"/>
        <v>849316036</v>
      </c>
      <c r="H634" s="1038">
        <f t="shared" si="368"/>
        <v>0</v>
      </c>
      <c r="I634" s="1038">
        <f t="shared" si="369"/>
        <v>0</v>
      </c>
      <c r="J634" s="1038">
        <f t="shared" si="370"/>
        <v>0</v>
      </c>
      <c r="L634" s="1060">
        <f t="shared" si="375"/>
        <v>0</v>
      </c>
      <c r="M634" s="1060">
        <f t="shared" si="382"/>
        <v>1</v>
      </c>
      <c r="N634" s="1060">
        <f t="shared" si="383"/>
        <v>0</v>
      </c>
      <c r="O634" s="1060">
        <f t="shared" si="384"/>
        <v>0</v>
      </c>
      <c r="P634" s="1060">
        <f t="shared" si="385"/>
        <v>0</v>
      </c>
    </row>
    <row r="635" spans="1:16" x14ac:dyDescent="0.25">
      <c r="A635" s="1034">
        <v>1071</v>
      </c>
      <c r="B635" s="1034">
        <f t="shared" si="376"/>
        <v>37</v>
      </c>
      <c r="C635" s="1034" t="str">
        <f t="shared" si="377"/>
        <v>AHMAD ZAINI</v>
      </c>
      <c r="D635" s="1035" t="str">
        <f t="shared" si="378"/>
        <v>PAI</v>
      </c>
      <c r="E635" s="1036">
        <f t="shared" si="379"/>
        <v>2016</v>
      </c>
      <c r="F635" s="1035" t="str">
        <f t="shared" si="380"/>
        <v>PASIF</v>
      </c>
      <c r="G635" s="1036">
        <f t="shared" si="381"/>
        <v>849316037</v>
      </c>
      <c r="H635" s="1038">
        <f t="shared" si="368"/>
        <v>0</v>
      </c>
      <c r="I635" s="1038">
        <f t="shared" si="369"/>
        <v>0</v>
      </c>
      <c r="J635" s="1038">
        <f t="shared" si="370"/>
        <v>0</v>
      </c>
      <c r="L635" s="1060">
        <f t="shared" si="375"/>
        <v>0</v>
      </c>
      <c r="M635" s="1060">
        <f t="shared" si="382"/>
        <v>0</v>
      </c>
      <c r="N635" s="1060">
        <f t="shared" si="383"/>
        <v>0</v>
      </c>
      <c r="O635" s="1060">
        <f t="shared" si="384"/>
        <v>0</v>
      </c>
      <c r="P635" s="1060">
        <f t="shared" si="385"/>
        <v>1</v>
      </c>
    </row>
    <row r="636" spans="1:16" x14ac:dyDescent="0.25">
      <c r="A636" s="1034">
        <v>1072</v>
      </c>
      <c r="B636" s="1034">
        <f t="shared" si="376"/>
        <v>38</v>
      </c>
      <c r="C636" s="1034" t="str">
        <f t="shared" si="377"/>
        <v>NURIL KHOLILATUL H</v>
      </c>
      <c r="D636" s="1035" t="str">
        <f t="shared" si="378"/>
        <v>PAI</v>
      </c>
      <c r="E636" s="1036">
        <f t="shared" si="379"/>
        <v>2016</v>
      </c>
      <c r="F636" s="1035" t="str">
        <f t="shared" si="380"/>
        <v>DROP OUT</v>
      </c>
      <c r="G636" s="1036">
        <f t="shared" si="381"/>
        <v>849316038</v>
      </c>
      <c r="H636" s="1038">
        <f t="shared" si="368"/>
        <v>0</v>
      </c>
      <c r="I636" s="1038">
        <f t="shared" si="369"/>
        <v>0</v>
      </c>
      <c r="J636" s="1038">
        <f t="shared" si="370"/>
        <v>0</v>
      </c>
      <c r="L636" s="1060">
        <f t="shared" si="375"/>
        <v>0</v>
      </c>
      <c r="M636" s="1060">
        <f t="shared" si="382"/>
        <v>0</v>
      </c>
      <c r="N636" s="1060">
        <f t="shared" si="383"/>
        <v>0</v>
      </c>
      <c r="O636" s="1060">
        <f t="shared" si="384"/>
        <v>1</v>
      </c>
      <c r="P636" s="1060">
        <f t="shared" si="385"/>
        <v>0</v>
      </c>
    </row>
    <row r="637" spans="1:16" x14ac:dyDescent="0.25">
      <c r="A637" s="1034">
        <v>1073</v>
      </c>
      <c r="B637" s="1034">
        <f t="shared" si="376"/>
        <v>39</v>
      </c>
      <c r="C637" s="1034" t="str">
        <f t="shared" si="377"/>
        <v>INDAH FEBRIANTI</v>
      </c>
      <c r="D637" s="1035" t="str">
        <f t="shared" si="378"/>
        <v>PAI</v>
      </c>
      <c r="E637" s="1036">
        <f t="shared" si="379"/>
        <v>2016</v>
      </c>
      <c r="F637" s="1035" t="str">
        <f t="shared" si="380"/>
        <v>DROP OUT</v>
      </c>
      <c r="G637" s="1036">
        <f t="shared" si="381"/>
        <v>849316039</v>
      </c>
      <c r="H637" s="1038">
        <f t="shared" si="368"/>
        <v>0</v>
      </c>
      <c r="I637" s="1038">
        <f t="shared" si="369"/>
        <v>0</v>
      </c>
      <c r="J637" s="1038">
        <f t="shared" si="370"/>
        <v>0</v>
      </c>
      <c r="L637" s="1060">
        <f t="shared" si="375"/>
        <v>0</v>
      </c>
      <c r="M637" s="1060">
        <f t="shared" si="382"/>
        <v>0</v>
      </c>
      <c r="N637" s="1060">
        <f t="shared" si="383"/>
        <v>0</v>
      </c>
      <c r="O637" s="1060">
        <f t="shared" si="384"/>
        <v>1</v>
      </c>
      <c r="P637" s="1060">
        <f t="shared" si="385"/>
        <v>0</v>
      </c>
    </row>
    <row r="638" spans="1:16" x14ac:dyDescent="0.25">
      <c r="A638" s="1034">
        <v>1074</v>
      </c>
      <c r="B638" s="1034">
        <f t="shared" si="376"/>
        <v>40</v>
      </c>
      <c r="C638" s="1034" t="str">
        <f t="shared" si="377"/>
        <v>KHOIRUL ANAM</v>
      </c>
      <c r="D638" s="1035" t="str">
        <f t="shared" si="378"/>
        <v>PAI</v>
      </c>
      <c r="E638" s="1036">
        <f t="shared" si="379"/>
        <v>2016</v>
      </c>
      <c r="F638" s="1035" t="str">
        <f t="shared" si="380"/>
        <v>PASIF</v>
      </c>
      <c r="G638" s="1036">
        <f t="shared" si="381"/>
        <v>849316040</v>
      </c>
      <c r="H638" s="1038">
        <f t="shared" si="368"/>
        <v>0</v>
      </c>
      <c r="I638" s="1038">
        <f t="shared" si="369"/>
        <v>0</v>
      </c>
      <c r="J638" s="1038">
        <f t="shared" si="370"/>
        <v>0</v>
      </c>
      <c r="L638" s="1060">
        <f t="shared" si="375"/>
        <v>0</v>
      </c>
      <c r="M638" s="1060">
        <f t="shared" si="382"/>
        <v>0</v>
      </c>
      <c r="N638" s="1060">
        <f t="shared" si="383"/>
        <v>0</v>
      </c>
      <c r="O638" s="1060">
        <f t="shared" si="384"/>
        <v>0</v>
      </c>
      <c r="P638" s="1060">
        <f t="shared" si="385"/>
        <v>1</v>
      </c>
    </row>
    <row r="639" spans="1:16" x14ac:dyDescent="0.25">
      <c r="A639" s="1034">
        <v>1075</v>
      </c>
      <c r="B639" s="1034">
        <f t="shared" si="376"/>
        <v>41</v>
      </c>
      <c r="C639" s="1034" t="str">
        <f t="shared" si="377"/>
        <v>MIQDAD AFIF</v>
      </c>
      <c r="D639" s="1035" t="str">
        <f t="shared" si="378"/>
        <v>PAI</v>
      </c>
      <c r="E639" s="1036">
        <f t="shared" si="379"/>
        <v>2016</v>
      </c>
      <c r="F639" s="1035" t="str">
        <f t="shared" si="380"/>
        <v>LULUS</v>
      </c>
      <c r="G639" s="1036">
        <f t="shared" si="381"/>
        <v>849316041</v>
      </c>
      <c r="H639" s="1038">
        <f t="shared" si="368"/>
        <v>0</v>
      </c>
      <c r="I639" s="1038">
        <f t="shared" si="369"/>
        <v>0</v>
      </c>
      <c r="J639" s="1038">
        <f t="shared" si="370"/>
        <v>0</v>
      </c>
      <c r="L639" s="1060">
        <f t="shared" si="375"/>
        <v>0</v>
      </c>
      <c r="M639" s="1060">
        <f t="shared" si="382"/>
        <v>1</v>
      </c>
      <c r="N639" s="1060">
        <f t="shared" si="383"/>
        <v>0</v>
      </c>
      <c r="O639" s="1060">
        <f t="shared" si="384"/>
        <v>0</v>
      </c>
      <c r="P639" s="1060">
        <f t="shared" si="385"/>
        <v>0</v>
      </c>
    </row>
    <row r="640" spans="1:16" x14ac:dyDescent="0.25">
      <c r="A640" s="1034">
        <v>1076</v>
      </c>
      <c r="B640" s="1034">
        <f t="shared" si="376"/>
        <v>42</v>
      </c>
      <c r="C640" s="1034" t="str">
        <f t="shared" si="377"/>
        <v>ALEK EFENDI</v>
      </c>
      <c r="D640" s="1035" t="str">
        <f t="shared" si="378"/>
        <v>PAI</v>
      </c>
      <c r="E640" s="1036">
        <f t="shared" si="379"/>
        <v>2016</v>
      </c>
      <c r="F640" s="1035" t="str">
        <f t="shared" si="380"/>
        <v>LULUS</v>
      </c>
      <c r="G640" s="1036">
        <f t="shared" si="381"/>
        <v>849316042</v>
      </c>
      <c r="H640" s="1038">
        <f t="shared" si="368"/>
        <v>0</v>
      </c>
      <c r="I640" s="1038">
        <f t="shared" si="369"/>
        <v>0</v>
      </c>
      <c r="J640" s="1038">
        <f t="shared" si="370"/>
        <v>0</v>
      </c>
      <c r="L640" s="1060">
        <f t="shared" si="375"/>
        <v>0</v>
      </c>
      <c r="M640" s="1060">
        <f t="shared" si="382"/>
        <v>1</v>
      </c>
      <c r="N640" s="1060">
        <f t="shared" si="383"/>
        <v>0</v>
      </c>
      <c r="O640" s="1060">
        <f t="shared" si="384"/>
        <v>0</v>
      </c>
      <c r="P640" s="1060">
        <f t="shared" si="385"/>
        <v>0</v>
      </c>
    </row>
    <row r="641" spans="1:16" x14ac:dyDescent="0.25">
      <c r="A641" s="1034">
        <v>1077</v>
      </c>
      <c r="B641" s="1034">
        <f t="shared" si="376"/>
        <v>43</v>
      </c>
      <c r="C641" s="1034" t="str">
        <f t="shared" si="377"/>
        <v>RUDI HARTONO</v>
      </c>
      <c r="D641" s="1035" t="str">
        <f t="shared" si="378"/>
        <v>PAI</v>
      </c>
      <c r="E641" s="1036">
        <f t="shared" si="379"/>
        <v>2016</v>
      </c>
      <c r="F641" s="1035" t="str">
        <f t="shared" si="380"/>
        <v>LULUS</v>
      </c>
      <c r="G641" s="1036">
        <f t="shared" si="381"/>
        <v>849316043</v>
      </c>
      <c r="H641" s="1038">
        <f t="shared" si="368"/>
        <v>0</v>
      </c>
      <c r="I641" s="1038">
        <f t="shared" si="369"/>
        <v>0</v>
      </c>
      <c r="J641" s="1038">
        <f t="shared" si="370"/>
        <v>0</v>
      </c>
      <c r="L641" s="1060">
        <f t="shared" si="375"/>
        <v>0</v>
      </c>
      <c r="M641" s="1060">
        <f t="shared" si="382"/>
        <v>1</v>
      </c>
      <c r="N641" s="1060">
        <f t="shared" si="383"/>
        <v>0</v>
      </c>
      <c r="O641" s="1060">
        <f t="shared" si="384"/>
        <v>0</v>
      </c>
      <c r="P641" s="1060">
        <f t="shared" si="385"/>
        <v>0</v>
      </c>
    </row>
    <row r="642" spans="1:16" x14ac:dyDescent="0.25">
      <c r="A642" s="1034">
        <v>1078</v>
      </c>
      <c r="B642" s="1034">
        <f t="shared" si="376"/>
        <v>44</v>
      </c>
      <c r="C642" s="1034" t="str">
        <f t="shared" si="377"/>
        <v>AHMAD MUSTANGIN</v>
      </c>
      <c r="D642" s="1035" t="str">
        <f t="shared" si="378"/>
        <v>PAI</v>
      </c>
      <c r="E642" s="1036">
        <f t="shared" si="379"/>
        <v>2016</v>
      </c>
      <c r="F642" s="1035" t="str">
        <f t="shared" si="380"/>
        <v>PASIF</v>
      </c>
      <c r="G642" s="1036">
        <f t="shared" si="381"/>
        <v>849316044</v>
      </c>
      <c r="H642" s="1038">
        <f t="shared" si="368"/>
        <v>0</v>
      </c>
      <c r="I642" s="1038">
        <f t="shared" si="369"/>
        <v>0</v>
      </c>
      <c r="J642" s="1038">
        <f t="shared" si="370"/>
        <v>0</v>
      </c>
      <c r="L642" s="1060">
        <f t="shared" si="375"/>
        <v>0</v>
      </c>
      <c r="M642" s="1060">
        <f t="shared" si="382"/>
        <v>0</v>
      </c>
      <c r="N642" s="1060">
        <f t="shared" si="383"/>
        <v>0</v>
      </c>
      <c r="O642" s="1060">
        <f t="shared" si="384"/>
        <v>0</v>
      </c>
      <c r="P642" s="1060">
        <f t="shared" si="385"/>
        <v>1</v>
      </c>
    </row>
    <row r="643" spans="1:16" x14ac:dyDescent="0.25">
      <c r="A643" s="1034">
        <v>1079</v>
      </c>
      <c r="B643" s="1034">
        <f t="shared" si="376"/>
        <v>45</v>
      </c>
      <c r="C643" s="1034" t="str">
        <f t="shared" si="377"/>
        <v>ACHMAD IMAM HAIRONI</v>
      </c>
      <c r="D643" s="1035" t="str">
        <f t="shared" si="378"/>
        <v>PAI</v>
      </c>
      <c r="E643" s="1036">
        <f t="shared" si="379"/>
        <v>2016</v>
      </c>
      <c r="F643" s="1035" t="str">
        <f t="shared" si="380"/>
        <v>PASIF</v>
      </c>
      <c r="G643" s="1036">
        <f t="shared" si="381"/>
        <v>849316045</v>
      </c>
      <c r="H643" s="1038">
        <f t="shared" si="368"/>
        <v>0</v>
      </c>
      <c r="I643" s="1038">
        <f t="shared" si="369"/>
        <v>0</v>
      </c>
      <c r="J643" s="1038">
        <f t="shared" si="370"/>
        <v>0</v>
      </c>
      <c r="L643" s="1060">
        <f t="shared" si="375"/>
        <v>0</v>
      </c>
      <c r="M643" s="1060">
        <f t="shared" si="382"/>
        <v>0</v>
      </c>
      <c r="N643" s="1060">
        <f t="shared" si="383"/>
        <v>0</v>
      </c>
      <c r="O643" s="1060">
        <f t="shared" si="384"/>
        <v>0</v>
      </c>
      <c r="P643" s="1060">
        <f t="shared" si="385"/>
        <v>1</v>
      </c>
    </row>
    <row r="644" spans="1:16" x14ac:dyDescent="0.25">
      <c r="A644" s="1034">
        <v>1080</v>
      </c>
      <c r="B644" s="1034">
        <f t="shared" si="376"/>
        <v>46</v>
      </c>
      <c r="C644" s="1034" t="str">
        <f t="shared" si="377"/>
        <v>ZAINAL ABIDIN</v>
      </c>
      <c r="D644" s="1035" t="str">
        <f t="shared" si="378"/>
        <v>PAI</v>
      </c>
      <c r="E644" s="1036">
        <f t="shared" si="379"/>
        <v>2016</v>
      </c>
      <c r="F644" s="1035" t="str">
        <f t="shared" si="380"/>
        <v>LULUS</v>
      </c>
      <c r="G644" s="1036">
        <f t="shared" si="381"/>
        <v>849316046</v>
      </c>
      <c r="H644" s="1038">
        <f t="shared" si="368"/>
        <v>0</v>
      </c>
      <c r="I644" s="1038">
        <f t="shared" si="369"/>
        <v>0</v>
      </c>
      <c r="J644" s="1038">
        <f t="shared" si="370"/>
        <v>0</v>
      </c>
      <c r="L644" s="1060">
        <f t="shared" si="375"/>
        <v>0</v>
      </c>
      <c r="M644" s="1060">
        <f t="shared" si="382"/>
        <v>1</v>
      </c>
      <c r="N644" s="1060">
        <f t="shared" si="383"/>
        <v>0</v>
      </c>
      <c r="O644" s="1060">
        <f t="shared" si="384"/>
        <v>0</v>
      </c>
      <c r="P644" s="1060">
        <f t="shared" si="385"/>
        <v>0</v>
      </c>
    </row>
    <row r="645" spans="1:16" x14ac:dyDescent="0.25">
      <c r="A645" s="1034">
        <v>1081</v>
      </c>
      <c r="B645" s="1034">
        <f t="shared" si="376"/>
        <v>47</v>
      </c>
      <c r="C645" s="1034" t="str">
        <f t="shared" si="377"/>
        <v>ST NUR SAIDAH</v>
      </c>
      <c r="D645" s="1035" t="str">
        <f t="shared" si="378"/>
        <v>PAI</v>
      </c>
      <c r="E645" s="1036">
        <f t="shared" si="379"/>
        <v>2016</v>
      </c>
      <c r="F645" s="1035" t="str">
        <f t="shared" si="380"/>
        <v>LULUS</v>
      </c>
      <c r="G645" s="1036">
        <f t="shared" si="381"/>
        <v>849316047</v>
      </c>
      <c r="H645" s="1038">
        <f t="shared" si="368"/>
        <v>0</v>
      </c>
      <c r="I645" s="1038">
        <f t="shared" si="369"/>
        <v>0</v>
      </c>
      <c r="J645" s="1038">
        <f t="shared" si="370"/>
        <v>0</v>
      </c>
      <c r="L645" s="1060">
        <f t="shared" si="375"/>
        <v>0</v>
      </c>
      <c r="M645" s="1060">
        <f t="shared" si="382"/>
        <v>1</v>
      </c>
      <c r="N645" s="1060">
        <f t="shared" si="383"/>
        <v>0</v>
      </c>
      <c r="O645" s="1060">
        <f t="shared" si="384"/>
        <v>0</v>
      </c>
      <c r="P645" s="1060">
        <f t="shared" si="385"/>
        <v>0</v>
      </c>
    </row>
    <row r="646" spans="1:16" x14ac:dyDescent="0.25">
      <c r="A646" s="1034">
        <v>1082</v>
      </c>
      <c r="B646" s="1034">
        <f t="shared" si="376"/>
        <v>48</v>
      </c>
      <c r="C646" s="1034" t="str">
        <f t="shared" si="377"/>
        <v>MUSRIFAH</v>
      </c>
      <c r="D646" s="1035" t="str">
        <f t="shared" si="378"/>
        <v>PAI</v>
      </c>
      <c r="E646" s="1036">
        <f t="shared" si="379"/>
        <v>2016</v>
      </c>
      <c r="F646" s="1035" t="str">
        <f t="shared" si="380"/>
        <v>LULUS</v>
      </c>
      <c r="G646" s="1036">
        <f t="shared" si="381"/>
        <v>849316048</v>
      </c>
      <c r="H646" s="1038">
        <f t="shared" si="368"/>
        <v>0</v>
      </c>
      <c r="I646" s="1038">
        <f t="shared" si="369"/>
        <v>0</v>
      </c>
      <c r="J646" s="1038">
        <f t="shared" si="370"/>
        <v>0</v>
      </c>
      <c r="L646" s="1060">
        <f t="shared" si="375"/>
        <v>0</v>
      </c>
      <c r="M646" s="1060">
        <f t="shared" si="382"/>
        <v>1</v>
      </c>
      <c r="N646" s="1060">
        <f t="shared" si="383"/>
        <v>0</v>
      </c>
      <c r="O646" s="1060">
        <f t="shared" si="384"/>
        <v>0</v>
      </c>
      <c r="P646" s="1060">
        <f t="shared" si="385"/>
        <v>0</v>
      </c>
    </row>
    <row r="647" spans="1:16" x14ac:dyDescent="0.25">
      <c r="A647" s="1034">
        <v>1083</v>
      </c>
      <c r="B647" s="1034">
        <f t="shared" si="376"/>
        <v>49</v>
      </c>
      <c r="C647" s="1034" t="str">
        <f t="shared" si="377"/>
        <v>SYAIFUL ARIF</v>
      </c>
      <c r="D647" s="1035" t="str">
        <f t="shared" si="378"/>
        <v>PAI</v>
      </c>
      <c r="E647" s="1036">
        <f t="shared" si="379"/>
        <v>2016</v>
      </c>
      <c r="F647" s="1035" t="str">
        <f t="shared" si="380"/>
        <v>DROP OUT</v>
      </c>
      <c r="G647" s="1036">
        <f t="shared" si="381"/>
        <v>849316049</v>
      </c>
      <c r="H647" s="1038">
        <f t="shared" si="368"/>
        <v>0</v>
      </c>
      <c r="I647" s="1038">
        <f t="shared" si="369"/>
        <v>0</v>
      </c>
      <c r="J647" s="1038">
        <f t="shared" si="370"/>
        <v>0</v>
      </c>
      <c r="L647" s="1060">
        <f t="shared" si="375"/>
        <v>0</v>
      </c>
      <c r="M647" s="1060">
        <f t="shared" si="382"/>
        <v>0</v>
      </c>
      <c r="N647" s="1060">
        <f t="shared" si="383"/>
        <v>0</v>
      </c>
      <c r="O647" s="1060">
        <f t="shared" si="384"/>
        <v>1</v>
      </c>
      <c r="P647" s="1060">
        <f t="shared" si="385"/>
        <v>0</v>
      </c>
    </row>
    <row r="648" spans="1:16" x14ac:dyDescent="0.25">
      <c r="A648" s="1034">
        <v>1084</v>
      </c>
      <c r="B648" s="1034">
        <f t="shared" si="376"/>
        <v>50</v>
      </c>
      <c r="C648" s="1034" t="str">
        <f t="shared" si="377"/>
        <v>FARUQ MUHAMMAD</v>
      </c>
      <c r="D648" s="1035" t="str">
        <f t="shared" si="378"/>
        <v>PAI</v>
      </c>
      <c r="E648" s="1036">
        <f t="shared" si="379"/>
        <v>2016</v>
      </c>
      <c r="F648" s="1035" t="str">
        <f t="shared" si="380"/>
        <v>DROP OUT</v>
      </c>
      <c r="G648" s="1036">
        <f t="shared" si="381"/>
        <v>849316050</v>
      </c>
      <c r="H648" s="1038">
        <f t="shared" si="368"/>
        <v>0</v>
      </c>
      <c r="I648" s="1038">
        <f t="shared" si="369"/>
        <v>0</v>
      </c>
      <c r="J648" s="1038">
        <f t="shared" si="370"/>
        <v>0</v>
      </c>
      <c r="L648" s="1060">
        <f t="shared" si="375"/>
        <v>0</v>
      </c>
      <c r="M648" s="1060">
        <f t="shared" si="382"/>
        <v>0</v>
      </c>
      <c r="N648" s="1060">
        <f t="shared" si="383"/>
        <v>0</v>
      </c>
      <c r="O648" s="1060">
        <f t="shared" si="384"/>
        <v>1</v>
      </c>
      <c r="P648" s="1060">
        <f t="shared" si="385"/>
        <v>0</v>
      </c>
    </row>
    <row r="649" spans="1:16" x14ac:dyDescent="0.25">
      <c r="A649" s="1039"/>
      <c r="B649" s="1039"/>
      <c r="C649" s="1039"/>
      <c r="D649" s="1040"/>
      <c r="E649" s="1041"/>
      <c r="F649" s="1040"/>
      <c r="G649" s="1041"/>
      <c r="H649" s="1042"/>
      <c r="I649" s="1042"/>
      <c r="J649" s="1042"/>
      <c r="L649" s="1042"/>
      <c r="M649" s="1042"/>
      <c r="N649" s="1042"/>
      <c r="O649" s="1042"/>
      <c r="P649" s="1042"/>
    </row>
    <row r="650" spans="1:16" x14ac:dyDescent="0.25">
      <c r="A650" s="1043" t="str">
        <f>'Rekap SPP'!A1174</f>
        <v>S2-PGMI 2016/2017</v>
      </c>
      <c r="B650" s="1043"/>
      <c r="C650" s="1043"/>
      <c r="D650" s="1033" t="s">
        <v>3</v>
      </c>
      <c r="E650" s="1032" t="s">
        <v>4</v>
      </c>
      <c r="F650" s="1033" t="s">
        <v>3195</v>
      </c>
      <c r="G650" s="1032" t="s">
        <v>1</v>
      </c>
      <c r="H650" s="1033" t="s">
        <v>3341</v>
      </c>
      <c r="I650" s="1033" t="s">
        <v>3362</v>
      </c>
      <c r="J650" s="1062">
        <f>SUM(J651:J666)</f>
        <v>0</v>
      </c>
      <c r="L650" s="1063">
        <f>SUM(L651:L666)</f>
        <v>0</v>
      </c>
      <c r="M650" s="1063">
        <f>SUM(M651:M666)</f>
        <v>13</v>
      </c>
      <c r="N650" s="1063">
        <f>SUM(N651:N666)</f>
        <v>0</v>
      </c>
      <c r="O650" s="1063">
        <f>SUM(O651:O666)</f>
        <v>1</v>
      </c>
      <c r="P650" s="1063">
        <f>SUM(P651:P666)</f>
        <v>2</v>
      </c>
    </row>
    <row r="651" spans="1:16" x14ac:dyDescent="0.25">
      <c r="A651" s="1034">
        <v>1085</v>
      </c>
      <c r="B651" s="1034">
        <f t="shared" si="376"/>
        <v>1</v>
      </c>
      <c r="C651" s="1034" t="str">
        <f t="shared" ref="C651:C666" si="386">IFERROR(VLOOKUP(A651,DB,4,FALSE),"")</f>
        <v>IKA IRWANIYATI</v>
      </c>
      <c r="D651" s="1035" t="str">
        <f t="shared" ref="D651:D666" si="387">IFERROR(VLOOKUP(A651,DB,5,FALSE),"")</f>
        <v>PGMI</v>
      </c>
      <c r="E651" s="1036">
        <f t="shared" ref="E651:E666" si="388">IFERROR(VLOOKUP(A651,DB,6,FALSE),"")</f>
        <v>2016</v>
      </c>
      <c r="F651" s="1035" t="str">
        <f t="shared" ref="F651:F666" si="389">IFERROR(VLOOKUP(A651,DB,7,FALSE),"")</f>
        <v>LULUS</v>
      </c>
      <c r="G651" s="1036">
        <f t="shared" ref="G651:G666" si="390">IFERROR(VLOOKUP(A651,DB,3,FALSE),"")</f>
        <v>849416001</v>
      </c>
      <c r="H651" s="1038">
        <f t="shared" ref="H651:H666" si="391">IF(F651="AKTIF",3000000,IF(F651="CUTI",3000000,0))</f>
        <v>0</v>
      </c>
      <c r="I651" s="1038">
        <f t="shared" ref="I651:I666" si="392">IF(F651="AKTIF",3000000,IF(F651="CUTI",3000000,0))</f>
        <v>0</v>
      </c>
      <c r="J651" s="1038">
        <f t="shared" ref="J651:J666" si="393">I651+H651</f>
        <v>0</v>
      </c>
      <c r="L651" s="1060">
        <f t="shared" si="375"/>
        <v>0</v>
      </c>
      <c r="M651" s="1060">
        <f t="shared" ref="M651:M666" si="394">IF(F651="LULUS",1,0)</f>
        <v>1</v>
      </c>
      <c r="N651" s="1060">
        <f t="shared" ref="N651:N666" si="395">IF(F651="CUTI",1,0)</f>
        <v>0</v>
      </c>
      <c r="O651" s="1060">
        <f t="shared" ref="O651:O666" si="396">IF(F651="DROP OUT",1,0)</f>
        <v>0</v>
      </c>
      <c r="P651" s="1060">
        <f t="shared" ref="P651:P666" si="397">IF(F651="PASIF",1,0)</f>
        <v>0</v>
      </c>
    </row>
    <row r="652" spans="1:16" x14ac:dyDescent="0.25">
      <c r="A652" s="1034">
        <v>1086</v>
      </c>
      <c r="B652" s="1034">
        <f t="shared" si="376"/>
        <v>2</v>
      </c>
      <c r="C652" s="1034" t="str">
        <f t="shared" si="386"/>
        <v>ROCHMAD BAITULLAH</v>
      </c>
      <c r="D652" s="1035" t="str">
        <f t="shared" si="387"/>
        <v>PGMI</v>
      </c>
      <c r="E652" s="1036">
        <f t="shared" si="388"/>
        <v>2016</v>
      </c>
      <c r="F652" s="1035" t="str">
        <f t="shared" si="389"/>
        <v>LULUS</v>
      </c>
      <c r="G652" s="1036">
        <f t="shared" si="390"/>
        <v>849416002</v>
      </c>
      <c r="H652" s="1038">
        <f t="shared" si="391"/>
        <v>0</v>
      </c>
      <c r="I652" s="1038">
        <f t="shared" si="392"/>
        <v>0</v>
      </c>
      <c r="J652" s="1038">
        <f t="shared" si="393"/>
        <v>0</v>
      </c>
      <c r="L652" s="1060">
        <f t="shared" si="375"/>
        <v>0</v>
      </c>
      <c r="M652" s="1060">
        <f t="shared" si="394"/>
        <v>1</v>
      </c>
      <c r="N652" s="1060">
        <f t="shared" si="395"/>
        <v>0</v>
      </c>
      <c r="O652" s="1060">
        <f t="shared" si="396"/>
        <v>0</v>
      </c>
      <c r="P652" s="1060">
        <f t="shared" si="397"/>
        <v>0</v>
      </c>
    </row>
    <row r="653" spans="1:16" x14ac:dyDescent="0.25">
      <c r="A653" s="1034">
        <v>1087</v>
      </c>
      <c r="B653" s="1034">
        <f t="shared" si="376"/>
        <v>3</v>
      </c>
      <c r="C653" s="1034" t="str">
        <f t="shared" si="386"/>
        <v>MOH. MAULIDIN ALIF U.</v>
      </c>
      <c r="D653" s="1035" t="str">
        <f t="shared" si="387"/>
        <v>PGMI</v>
      </c>
      <c r="E653" s="1036">
        <f t="shared" si="388"/>
        <v>2016</v>
      </c>
      <c r="F653" s="1035" t="str">
        <f t="shared" si="389"/>
        <v>LULUS</v>
      </c>
      <c r="G653" s="1036">
        <f t="shared" si="390"/>
        <v>849416003</v>
      </c>
      <c r="H653" s="1038">
        <f t="shared" si="391"/>
        <v>0</v>
      </c>
      <c r="I653" s="1038">
        <f t="shared" si="392"/>
        <v>0</v>
      </c>
      <c r="J653" s="1038">
        <f t="shared" si="393"/>
        <v>0</v>
      </c>
      <c r="L653" s="1060">
        <f t="shared" si="375"/>
        <v>0</v>
      </c>
      <c r="M653" s="1060">
        <f t="shared" si="394"/>
        <v>1</v>
      </c>
      <c r="N653" s="1060">
        <f t="shared" si="395"/>
        <v>0</v>
      </c>
      <c r="O653" s="1060">
        <f t="shared" si="396"/>
        <v>0</v>
      </c>
      <c r="P653" s="1060">
        <f t="shared" si="397"/>
        <v>0</v>
      </c>
    </row>
    <row r="654" spans="1:16" x14ac:dyDescent="0.25">
      <c r="A654" s="1034">
        <v>1088</v>
      </c>
      <c r="B654" s="1034">
        <f t="shared" si="376"/>
        <v>4</v>
      </c>
      <c r="C654" s="1034" t="str">
        <f t="shared" si="386"/>
        <v>JAMILATUN NAFI'AH</v>
      </c>
      <c r="D654" s="1035" t="str">
        <f t="shared" si="387"/>
        <v>PGMI</v>
      </c>
      <c r="E654" s="1036">
        <f t="shared" si="388"/>
        <v>2016</v>
      </c>
      <c r="F654" s="1035" t="str">
        <f t="shared" si="389"/>
        <v>LULUS</v>
      </c>
      <c r="G654" s="1036">
        <f t="shared" si="390"/>
        <v>849416004</v>
      </c>
      <c r="H654" s="1038">
        <f t="shared" si="391"/>
        <v>0</v>
      </c>
      <c r="I654" s="1038">
        <f t="shared" si="392"/>
        <v>0</v>
      </c>
      <c r="J654" s="1038">
        <f t="shared" si="393"/>
        <v>0</v>
      </c>
      <c r="L654" s="1060">
        <f t="shared" si="375"/>
        <v>0</v>
      </c>
      <c r="M654" s="1060">
        <f t="shared" si="394"/>
        <v>1</v>
      </c>
      <c r="N654" s="1060">
        <f t="shared" si="395"/>
        <v>0</v>
      </c>
      <c r="O654" s="1060">
        <f t="shared" si="396"/>
        <v>0</v>
      </c>
      <c r="P654" s="1060">
        <f t="shared" si="397"/>
        <v>0</v>
      </c>
    </row>
    <row r="655" spans="1:16" x14ac:dyDescent="0.25">
      <c r="A655" s="1034">
        <v>1089</v>
      </c>
      <c r="B655" s="1034">
        <f t="shared" si="376"/>
        <v>5</v>
      </c>
      <c r="C655" s="1034" t="str">
        <f t="shared" si="386"/>
        <v>IDA ANDRIYANI</v>
      </c>
      <c r="D655" s="1035" t="str">
        <f t="shared" si="387"/>
        <v>PGMI</v>
      </c>
      <c r="E655" s="1036">
        <f t="shared" si="388"/>
        <v>2016</v>
      </c>
      <c r="F655" s="1035" t="str">
        <f t="shared" si="389"/>
        <v>LULUS</v>
      </c>
      <c r="G655" s="1036">
        <f t="shared" si="390"/>
        <v>849416005</v>
      </c>
      <c r="H655" s="1038">
        <f t="shared" si="391"/>
        <v>0</v>
      </c>
      <c r="I655" s="1038">
        <f t="shared" si="392"/>
        <v>0</v>
      </c>
      <c r="J655" s="1038">
        <f t="shared" si="393"/>
        <v>0</v>
      </c>
      <c r="L655" s="1060">
        <f t="shared" si="375"/>
        <v>0</v>
      </c>
      <c r="M655" s="1060">
        <f t="shared" si="394"/>
        <v>1</v>
      </c>
      <c r="N655" s="1060">
        <f t="shared" si="395"/>
        <v>0</v>
      </c>
      <c r="O655" s="1060">
        <f t="shared" si="396"/>
        <v>0</v>
      </c>
      <c r="P655" s="1060">
        <f t="shared" si="397"/>
        <v>0</v>
      </c>
    </row>
    <row r="656" spans="1:16" x14ac:dyDescent="0.25">
      <c r="A656" s="1034">
        <v>1090</v>
      </c>
      <c r="B656" s="1034">
        <f t="shared" si="376"/>
        <v>6</v>
      </c>
      <c r="C656" s="1034" t="str">
        <f t="shared" si="386"/>
        <v>VERA FERYYAL</v>
      </c>
      <c r="D656" s="1035" t="str">
        <f t="shared" si="387"/>
        <v>PGMI</v>
      </c>
      <c r="E656" s="1036">
        <f t="shared" si="388"/>
        <v>2016</v>
      </c>
      <c r="F656" s="1035" t="str">
        <f t="shared" si="389"/>
        <v>LULUS</v>
      </c>
      <c r="G656" s="1036">
        <f t="shared" si="390"/>
        <v>849416006</v>
      </c>
      <c r="H656" s="1038">
        <f t="shared" si="391"/>
        <v>0</v>
      </c>
      <c r="I656" s="1038">
        <f t="shared" si="392"/>
        <v>0</v>
      </c>
      <c r="J656" s="1038">
        <f t="shared" si="393"/>
        <v>0</v>
      </c>
      <c r="L656" s="1060">
        <f t="shared" si="375"/>
        <v>0</v>
      </c>
      <c r="M656" s="1060">
        <f t="shared" si="394"/>
        <v>1</v>
      </c>
      <c r="N656" s="1060">
        <f t="shared" si="395"/>
        <v>0</v>
      </c>
      <c r="O656" s="1060">
        <f t="shared" si="396"/>
        <v>0</v>
      </c>
      <c r="P656" s="1060">
        <f t="shared" si="397"/>
        <v>0</v>
      </c>
    </row>
    <row r="657" spans="1:16" x14ac:dyDescent="0.25">
      <c r="A657" s="1034">
        <v>1091</v>
      </c>
      <c r="B657" s="1034">
        <f t="shared" si="376"/>
        <v>7</v>
      </c>
      <c r="C657" s="1034" t="str">
        <f t="shared" si="386"/>
        <v>NUSA SETIYADI</v>
      </c>
      <c r="D657" s="1035" t="str">
        <f t="shared" si="387"/>
        <v>PGMI</v>
      </c>
      <c r="E657" s="1036">
        <f t="shared" si="388"/>
        <v>2016</v>
      </c>
      <c r="F657" s="1035" t="str">
        <f t="shared" si="389"/>
        <v>PASIF</v>
      </c>
      <c r="G657" s="1036">
        <f t="shared" si="390"/>
        <v>849416007</v>
      </c>
      <c r="H657" s="1038">
        <f t="shared" si="391"/>
        <v>0</v>
      </c>
      <c r="I657" s="1038">
        <f t="shared" si="392"/>
        <v>0</v>
      </c>
      <c r="J657" s="1038">
        <f t="shared" si="393"/>
        <v>0</v>
      </c>
      <c r="L657" s="1060">
        <f t="shared" si="375"/>
        <v>0</v>
      </c>
      <c r="M657" s="1060">
        <f t="shared" si="394"/>
        <v>0</v>
      </c>
      <c r="N657" s="1060">
        <f t="shared" si="395"/>
        <v>0</v>
      </c>
      <c r="O657" s="1060">
        <f t="shared" si="396"/>
        <v>0</v>
      </c>
      <c r="P657" s="1060">
        <f t="shared" si="397"/>
        <v>1</v>
      </c>
    </row>
    <row r="658" spans="1:16" x14ac:dyDescent="0.25">
      <c r="A658" s="1034">
        <v>1092</v>
      </c>
      <c r="B658" s="1034">
        <f t="shared" si="376"/>
        <v>8</v>
      </c>
      <c r="C658" s="1034" t="str">
        <f t="shared" si="386"/>
        <v>ELOK AINI SULTHON</v>
      </c>
      <c r="D658" s="1035" t="str">
        <f t="shared" si="387"/>
        <v>PGMI</v>
      </c>
      <c r="E658" s="1036">
        <f t="shared" si="388"/>
        <v>2016</v>
      </c>
      <c r="F658" s="1035" t="str">
        <f t="shared" si="389"/>
        <v>LULUS</v>
      </c>
      <c r="G658" s="1036">
        <f t="shared" si="390"/>
        <v>849416008</v>
      </c>
      <c r="H658" s="1038">
        <f t="shared" si="391"/>
        <v>0</v>
      </c>
      <c r="I658" s="1038">
        <f t="shared" si="392"/>
        <v>0</v>
      </c>
      <c r="J658" s="1038">
        <f t="shared" si="393"/>
        <v>0</v>
      </c>
      <c r="L658" s="1060">
        <f t="shared" si="375"/>
        <v>0</v>
      </c>
      <c r="M658" s="1060">
        <f t="shared" si="394"/>
        <v>1</v>
      </c>
      <c r="N658" s="1060">
        <f t="shared" si="395"/>
        <v>0</v>
      </c>
      <c r="O658" s="1060">
        <f t="shared" si="396"/>
        <v>0</v>
      </c>
      <c r="P658" s="1060">
        <f t="shared" si="397"/>
        <v>0</v>
      </c>
    </row>
    <row r="659" spans="1:16" x14ac:dyDescent="0.25">
      <c r="A659" s="1034">
        <v>1093</v>
      </c>
      <c r="B659" s="1034">
        <f t="shared" si="376"/>
        <v>9</v>
      </c>
      <c r="C659" s="1034" t="str">
        <f t="shared" si="386"/>
        <v>ABDUL LATIF</v>
      </c>
      <c r="D659" s="1035" t="str">
        <f t="shared" si="387"/>
        <v>PGMI</v>
      </c>
      <c r="E659" s="1036">
        <f t="shared" si="388"/>
        <v>2016</v>
      </c>
      <c r="F659" s="1035" t="str">
        <f t="shared" si="389"/>
        <v>PASIF</v>
      </c>
      <c r="G659" s="1036">
        <f t="shared" si="390"/>
        <v>849416009</v>
      </c>
      <c r="H659" s="1038">
        <f t="shared" si="391"/>
        <v>0</v>
      </c>
      <c r="I659" s="1038">
        <f t="shared" si="392"/>
        <v>0</v>
      </c>
      <c r="J659" s="1038">
        <f t="shared" si="393"/>
        <v>0</v>
      </c>
      <c r="L659" s="1060">
        <f t="shared" si="375"/>
        <v>0</v>
      </c>
      <c r="M659" s="1060">
        <f t="shared" si="394"/>
        <v>0</v>
      </c>
      <c r="N659" s="1060">
        <f t="shared" si="395"/>
        <v>0</v>
      </c>
      <c r="O659" s="1060">
        <f t="shared" si="396"/>
        <v>0</v>
      </c>
      <c r="P659" s="1060">
        <f t="shared" si="397"/>
        <v>1</v>
      </c>
    </row>
    <row r="660" spans="1:16" x14ac:dyDescent="0.25">
      <c r="A660" s="1034">
        <v>1094</v>
      </c>
      <c r="B660" s="1034">
        <f t="shared" si="376"/>
        <v>10</v>
      </c>
      <c r="C660" s="1034" t="str">
        <f t="shared" si="386"/>
        <v>DUKAN JAUHARI FARUQ</v>
      </c>
      <c r="D660" s="1035" t="str">
        <f t="shared" si="387"/>
        <v>PGMI</v>
      </c>
      <c r="E660" s="1036">
        <f t="shared" si="388"/>
        <v>2016</v>
      </c>
      <c r="F660" s="1035" t="str">
        <f t="shared" si="389"/>
        <v>LULUS</v>
      </c>
      <c r="G660" s="1036">
        <f t="shared" si="390"/>
        <v>849416010</v>
      </c>
      <c r="H660" s="1038">
        <f t="shared" si="391"/>
        <v>0</v>
      </c>
      <c r="I660" s="1038">
        <f t="shared" si="392"/>
        <v>0</v>
      </c>
      <c r="J660" s="1038">
        <f t="shared" si="393"/>
        <v>0</v>
      </c>
      <c r="L660" s="1060">
        <f t="shared" si="375"/>
        <v>0</v>
      </c>
      <c r="M660" s="1060">
        <f t="shared" si="394"/>
        <v>1</v>
      </c>
      <c r="N660" s="1060">
        <f t="shared" si="395"/>
        <v>0</v>
      </c>
      <c r="O660" s="1060">
        <f t="shared" si="396"/>
        <v>0</v>
      </c>
      <c r="P660" s="1060">
        <f t="shared" si="397"/>
        <v>0</v>
      </c>
    </row>
    <row r="661" spans="1:16" x14ac:dyDescent="0.25">
      <c r="A661" s="1034">
        <v>1095</v>
      </c>
      <c r="B661" s="1034">
        <f t="shared" si="376"/>
        <v>11</v>
      </c>
      <c r="C661" s="1034" t="str">
        <f t="shared" si="386"/>
        <v>MASRUKHIN</v>
      </c>
      <c r="D661" s="1035" t="str">
        <f t="shared" si="387"/>
        <v>PGMI</v>
      </c>
      <c r="E661" s="1036">
        <f t="shared" si="388"/>
        <v>2016</v>
      </c>
      <c r="F661" s="1035" t="str">
        <f t="shared" si="389"/>
        <v>LULUS</v>
      </c>
      <c r="G661" s="1036">
        <f t="shared" si="390"/>
        <v>849416011</v>
      </c>
      <c r="H661" s="1038">
        <f t="shared" si="391"/>
        <v>0</v>
      </c>
      <c r="I661" s="1038">
        <f t="shared" si="392"/>
        <v>0</v>
      </c>
      <c r="J661" s="1038">
        <f t="shared" si="393"/>
        <v>0</v>
      </c>
      <c r="L661" s="1060">
        <f t="shared" si="375"/>
        <v>0</v>
      </c>
      <c r="M661" s="1060">
        <f t="shared" si="394"/>
        <v>1</v>
      </c>
      <c r="N661" s="1060">
        <f t="shared" si="395"/>
        <v>0</v>
      </c>
      <c r="O661" s="1060">
        <f t="shared" si="396"/>
        <v>0</v>
      </c>
      <c r="P661" s="1060">
        <f t="shared" si="397"/>
        <v>0</v>
      </c>
    </row>
    <row r="662" spans="1:16" x14ac:dyDescent="0.25">
      <c r="A662" s="1034">
        <v>1096</v>
      </c>
      <c r="B662" s="1034">
        <f t="shared" si="376"/>
        <v>12</v>
      </c>
      <c r="C662" s="1034" t="str">
        <f t="shared" si="386"/>
        <v>SANUSI</v>
      </c>
      <c r="D662" s="1035" t="str">
        <f t="shared" si="387"/>
        <v>PGMI</v>
      </c>
      <c r="E662" s="1036">
        <f t="shared" si="388"/>
        <v>2016</v>
      </c>
      <c r="F662" s="1035" t="str">
        <f t="shared" si="389"/>
        <v>DROP OUT</v>
      </c>
      <c r="G662" s="1036">
        <f t="shared" si="390"/>
        <v>849416012</v>
      </c>
      <c r="H662" s="1038">
        <f t="shared" si="391"/>
        <v>0</v>
      </c>
      <c r="I662" s="1038">
        <f t="shared" si="392"/>
        <v>0</v>
      </c>
      <c r="J662" s="1038">
        <f t="shared" si="393"/>
        <v>0</v>
      </c>
      <c r="L662" s="1060">
        <f t="shared" si="375"/>
        <v>0</v>
      </c>
      <c r="M662" s="1060">
        <f t="shared" si="394"/>
        <v>0</v>
      </c>
      <c r="N662" s="1060">
        <f t="shared" si="395"/>
        <v>0</v>
      </c>
      <c r="O662" s="1060">
        <f t="shared" si="396"/>
        <v>1</v>
      </c>
      <c r="P662" s="1060">
        <f t="shared" si="397"/>
        <v>0</v>
      </c>
    </row>
    <row r="663" spans="1:16" x14ac:dyDescent="0.25">
      <c r="A663" s="1034">
        <v>1097</v>
      </c>
      <c r="B663" s="1034">
        <f t="shared" si="376"/>
        <v>13</v>
      </c>
      <c r="C663" s="1034" t="str">
        <f t="shared" si="386"/>
        <v>MUHAMMAD KHOLIL</v>
      </c>
      <c r="D663" s="1035" t="str">
        <f t="shared" si="387"/>
        <v>PGMI</v>
      </c>
      <c r="E663" s="1036">
        <f t="shared" si="388"/>
        <v>2016</v>
      </c>
      <c r="F663" s="1035" t="str">
        <f t="shared" si="389"/>
        <v>LULUS</v>
      </c>
      <c r="G663" s="1036">
        <f t="shared" si="390"/>
        <v>849416013</v>
      </c>
      <c r="H663" s="1038">
        <f t="shared" si="391"/>
        <v>0</v>
      </c>
      <c r="I663" s="1038">
        <f t="shared" si="392"/>
        <v>0</v>
      </c>
      <c r="J663" s="1038">
        <f t="shared" si="393"/>
        <v>0</v>
      </c>
      <c r="L663" s="1060">
        <f t="shared" si="375"/>
        <v>0</v>
      </c>
      <c r="M663" s="1060">
        <f t="shared" si="394"/>
        <v>1</v>
      </c>
      <c r="N663" s="1060">
        <f t="shared" si="395"/>
        <v>0</v>
      </c>
      <c r="O663" s="1060">
        <f t="shared" si="396"/>
        <v>0</v>
      </c>
      <c r="P663" s="1060">
        <f t="shared" si="397"/>
        <v>0</v>
      </c>
    </row>
    <row r="664" spans="1:16" x14ac:dyDescent="0.25">
      <c r="A664" s="1034">
        <v>1098</v>
      </c>
      <c r="B664" s="1034">
        <f t="shared" si="376"/>
        <v>14</v>
      </c>
      <c r="C664" s="1034" t="str">
        <f t="shared" si="386"/>
        <v>NUR MAHMUDAH</v>
      </c>
      <c r="D664" s="1035" t="str">
        <f t="shared" si="387"/>
        <v>PGMI</v>
      </c>
      <c r="E664" s="1036">
        <f t="shared" si="388"/>
        <v>2016</v>
      </c>
      <c r="F664" s="1035" t="str">
        <f t="shared" si="389"/>
        <v>LULUS</v>
      </c>
      <c r="G664" s="1036">
        <f t="shared" si="390"/>
        <v>849416014</v>
      </c>
      <c r="H664" s="1038">
        <f t="shared" si="391"/>
        <v>0</v>
      </c>
      <c r="I664" s="1038">
        <f t="shared" si="392"/>
        <v>0</v>
      </c>
      <c r="J664" s="1038">
        <f t="shared" si="393"/>
        <v>0</v>
      </c>
      <c r="L664" s="1060">
        <f t="shared" si="375"/>
        <v>0</v>
      </c>
      <c r="M664" s="1060">
        <f t="shared" si="394"/>
        <v>1</v>
      </c>
      <c r="N664" s="1060">
        <f t="shared" si="395"/>
        <v>0</v>
      </c>
      <c r="O664" s="1060">
        <f t="shared" si="396"/>
        <v>0</v>
      </c>
      <c r="P664" s="1060">
        <f t="shared" si="397"/>
        <v>0</v>
      </c>
    </row>
    <row r="665" spans="1:16" x14ac:dyDescent="0.25">
      <c r="A665" s="1034">
        <v>1099</v>
      </c>
      <c r="B665" s="1034">
        <f t="shared" si="376"/>
        <v>15</v>
      </c>
      <c r="C665" s="1034" t="str">
        <f t="shared" si="386"/>
        <v>ACHMAD NURUDDIN</v>
      </c>
      <c r="D665" s="1035" t="str">
        <f t="shared" si="387"/>
        <v>PGMI</v>
      </c>
      <c r="E665" s="1036">
        <f t="shared" si="388"/>
        <v>2016</v>
      </c>
      <c r="F665" s="1035" t="str">
        <f t="shared" si="389"/>
        <v>LULUS</v>
      </c>
      <c r="G665" s="1036">
        <f t="shared" si="390"/>
        <v>849416015</v>
      </c>
      <c r="H665" s="1038">
        <f t="shared" si="391"/>
        <v>0</v>
      </c>
      <c r="I665" s="1038">
        <f t="shared" si="392"/>
        <v>0</v>
      </c>
      <c r="J665" s="1038">
        <f t="shared" si="393"/>
        <v>0</v>
      </c>
      <c r="L665" s="1060">
        <f t="shared" si="375"/>
        <v>0</v>
      </c>
      <c r="M665" s="1060">
        <f t="shared" si="394"/>
        <v>1</v>
      </c>
      <c r="N665" s="1060">
        <f t="shared" si="395"/>
        <v>0</v>
      </c>
      <c r="O665" s="1060">
        <f t="shared" si="396"/>
        <v>0</v>
      </c>
      <c r="P665" s="1060">
        <f t="shared" si="397"/>
        <v>0</v>
      </c>
    </row>
    <row r="666" spans="1:16" x14ac:dyDescent="0.25">
      <c r="A666" s="1034">
        <v>1100</v>
      </c>
      <c r="B666" s="1034">
        <f t="shared" si="376"/>
        <v>16</v>
      </c>
      <c r="C666" s="1034" t="str">
        <f t="shared" si="386"/>
        <v>NURHABI</v>
      </c>
      <c r="D666" s="1035" t="str">
        <f t="shared" si="387"/>
        <v>PGMI</v>
      </c>
      <c r="E666" s="1036">
        <f t="shared" si="388"/>
        <v>2016</v>
      </c>
      <c r="F666" s="1035" t="str">
        <f t="shared" si="389"/>
        <v>LULUS</v>
      </c>
      <c r="G666" s="1036">
        <f t="shared" si="390"/>
        <v>849416016</v>
      </c>
      <c r="H666" s="1038">
        <f t="shared" si="391"/>
        <v>0</v>
      </c>
      <c r="I666" s="1038">
        <f t="shared" si="392"/>
        <v>0</v>
      </c>
      <c r="J666" s="1038">
        <f t="shared" si="393"/>
        <v>0</v>
      </c>
      <c r="L666" s="1060">
        <f t="shared" si="375"/>
        <v>0</v>
      </c>
      <c r="M666" s="1060">
        <f t="shared" si="394"/>
        <v>1</v>
      </c>
      <c r="N666" s="1060">
        <f t="shared" si="395"/>
        <v>0</v>
      </c>
      <c r="O666" s="1060">
        <f t="shared" si="396"/>
        <v>0</v>
      </c>
      <c r="P666" s="1060">
        <f t="shared" si="397"/>
        <v>0</v>
      </c>
    </row>
    <row r="667" spans="1:16" x14ac:dyDescent="0.25">
      <c r="A667" s="1039"/>
      <c r="B667" s="1039"/>
      <c r="C667" s="1039"/>
      <c r="D667" s="1040"/>
      <c r="E667" s="1041"/>
      <c r="F667" s="1040"/>
      <c r="G667" s="1041"/>
      <c r="H667" s="1042"/>
      <c r="I667" s="1042"/>
      <c r="J667" s="1042"/>
      <c r="L667" s="1042"/>
      <c r="M667" s="1042"/>
      <c r="N667" s="1042"/>
      <c r="O667" s="1042"/>
      <c r="P667" s="1042"/>
    </row>
    <row r="668" spans="1:16" x14ac:dyDescent="0.25">
      <c r="A668" s="1043" t="str">
        <f>'Rekap SPP'!A1192</f>
        <v>S2-MPI 2016/2017</v>
      </c>
      <c r="B668" s="1043"/>
      <c r="C668" s="1043"/>
      <c r="D668" s="1033" t="s">
        <v>3</v>
      </c>
      <c r="E668" s="1032" t="s">
        <v>4</v>
      </c>
      <c r="F668" s="1033" t="s">
        <v>3195</v>
      </c>
      <c r="G668" s="1032" t="s">
        <v>1</v>
      </c>
      <c r="H668" s="1033" t="s">
        <v>3341</v>
      </c>
      <c r="I668" s="1033" t="s">
        <v>3362</v>
      </c>
      <c r="J668" s="1062">
        <f>SUM(J669:J704)</f>
        <v>12000000</v>
      </c>
      <c r="L668" s="1063">
        <f>SUM(L669:L704)</f>
        <v>2</v>
      </c>
      <c r="M668" s="1063">
        <f>SUM(M669:M704)</f>
        <v>21</v>
      </c>
      <c r="N668" s="1063">
        <f>SUM(N669:N704)</f>
        <v>0</v>
      </c>
      <c r="O668" s="1063">
        <f>SUM(O669:O704)</f>
        <v>5</v>
      </c>
      <c r="P668" s="1063">
        <f>SUM(P669:P704)</f>
        <v>8</v>
      </c>
    </row>
    <row r="669" spans="1:16" x14ac:dyDescent="0.25">
      <c r="A669" s="1034">
        <v>1101</v>
      </c>
      <c r="B669" s="1034">
        <f t="shared" si="376"/>
        <v>1</v>
      </c>
      <c r="C669" s="1034" t="str">
        <f t="shared" ref="C669:C704" si="398">IFERROR(VLOOKUP(A669,DB,4,FALSE),"")</f>
        <v>RIAYATUL HUSNAN</v>
      </c>
      <c r="D669" s="1035" t="str">
        <f t="shared" ref="D669:D704" si="399">IFERROR(VLOOKUP(A669,DB,5,FALSE),"")</f>
        <v>MPI-S2</v>
      </c>
      <c r="E669" s="1036">
        <f t="shared" ref="E669:E704" si="400">IFERROR(VLOOKUP(A669,DB,6,FALSE),"")</f>
        <v>2016</v>
      </c>
      <c r="F669" s="1035" t="str">
        <f t="shared" ref="F669:F704" si="401">IFERROR(VLOOKUP(A669,DB,7,FALSE),"")</f>
        <v>LULUS</v>
      </c>
      <c r="G669" s="1036">
        <f t="shared" ref="G669:G704" si="402">IFERROR(VLOOKUP(A669,DB,3,FALSE),"")</f>
        <v>849116001</v>
      </c>
      <c r="H669" s="1038">
        <f t="shared" ref="H669:H704" si="403">IF(F669="AKTIF",3000000,IF(F669="CUTI",3000000,0))</f>
        <v>0</v>
      </c>
      <c r="I669" s="1038">
        <f t="shared" ref="I669:I704" si="404">IF(F669="AKTIF",3000000,IF(F669="CUTI",3000000,0))</f>
        <v>0</v>
      </c>
      <c r="J669" s="1038">
        <f t="shared" ref="J669:J704" si="405">I669+H669</f>
        <v>0</v>
      </c>
      <c r="L669" s="1060">
        <f t="shared" si="375"/>
        <v>0</v>
      </c>
      <c r="M669" s="1060">
        <f t="shared" ref="M669:M704" si="406">IF(F669="LULUS",1,0)</f>
        <v>1</v>
      </c>
      <c r="N669" s="1060">
        <f t="shared" ref="N669:N704" si="407">IF(F669="CUTI",1,0)</f>
        <v>0</v>
      </c>
      <c r="O669" s="1060">
        <f t="shared" ref="O669:O704" si="408">IF(F669="DROP OUT",1,0)</f>
        <v>0</v>
      </c>
      <c r="P669" s="1060">
        <f t="shared" ref="P669:P704" si="409">IF(F669="PASIF",1,0)</f>
        <v>0</v>
      </c>
    </row>
    <row r="670" spans="1:16" x14ac:dyDescent="0.25">
      <c r="A670" s="1034">
        <v>1102</v>
      </c>
      <c r="B670" s="1034">
        <f t="shared" si="376"/>
        <v>2</v>
      </c>
      <c r="C670" s="1034" t="str">
        <f t="shared" si="398"/>
        <v>FATHUR ROZI</v>
      </c>
      <c r="D670" s="1035" t="str">
        <f t="shared" si="399"/>
        <v>MPI-S2</v>
      </c>
      <c r="E670" s="1036">
        <f t="shared" si="400"/>
        <v>2016</v>
      </c>
      <c r="F670" s="1035" t="str">
        <f t="shared" si="401"/>
        <v>LULUS</v>
      </c>
      <c r="G670" s="1036">
        <f t="shared" si="402"/>
        <v>849116002</v>
      </c>
      <c r="H670" s="1038">
        <f t="shared" si="403"/>
        <v>0</v>
      </c>
      <c r="I670" s="1038">
        <f t="shared" si="404"/>
        <v>0</v>
      </c>
      <c r="J670" s="1038">
        <f t="shared" si="405"/>
        <v>0</v>
      </c>
      <c r="L670" s="1060">
        <f t="shared" si="375"/>
        <v>0</v>
      </c>
      <c r="M670" s="1060">
        <f t="shared" si="406"/>
        <v>1</v>
      </c>
      <c r="N670" s="1060">
        <f t="shared" si="407"/>
        <v>0</v>
      </c>
      <c r="O670" s="1060">
        <f t="shared" si="408"/>
        <v>0</v>
      </c>
      <c r="P670" s="1060">
        <f t="shared" si="409"/>
        <v>0</v>
      </c>
    </row>
    <row r="671" spans="1:16" x14ac:dyDescent="0.25">
      <c r="A671" s="1034">
        <v>1103</v>
      </c>
      <c r="B671" s="1034">
        <f t="shared" si="376"/>
        <v>3</v>
      </c>
      <c r="C671" s="1034" t="str">
        <f t="shared" si="398"/>
        <v>AINUR ROFIQ AZIZ</v>
      </c>
      <c r="D671" s="1035" t="str">
        <f t="shared" si="399"/>
        <v>MPI-S2</v>
      </c>
      <c r="E671" s="1036">
        <f t="shared" si="400"/>
        <v>2016</v>
      </c>
      <c r="F671" s="1035" t="str">
        <f t="shared" si="401"/>
        <v>PASIF</v>
      </c>
      <c r="G671" s="1036">
        <f t="shared" si="402"/>
        <v>849116003</v>
      </c>
      <c r="H671" s="1038">
        <f t="shared" si="403"/>
        <v>0</v>
      </c>
      <c r="I671" s="1038">
        <f t="shared" si="404"/>
        <v>0</v>
      </c>
      <c r="J671" s="1038">
        <f t="shared" si="405"/>
        <v>0</v>
      </c>
      <c r="L671" s="1060">
        <f t="shared" si="375"/>
        <v>0</v>
      </c>
      <c r="M671" s="1060">
        <f t="shared" si="406"/>
        <v>0</v>
      </c>
      <c r="N671" s="1060">
        <f t="shared" si="407"/>
        <v>0</v>
      </c>
      <c r="O671" s="1060">
        <f t="shared" si="408"/>
        <v>0</v>
      </c>
      <c r="P671" s="1060">
        <f t="shared" si="409"/>
        <v>1</v>
      </c>
    </row>
    <row r="672" spans="1:16" x14ac:dyDescent="0.25">
      <c r="A672" s="1034">
        <v>1104</v>
      </c>
      <c r="B672" s="1034">
        <f t="shared" si="376"/>
        <v>4</v>
      </c>
      <c r="C672" s="1034" t="str">
        <f t="shared" si="398"/>
        <v>SUBHAN</v>
      </c>
      <c r="D672" s="1035" t="str">
        <f t="shared" si="399"/>
        <v>MPI-S2</v>
      </c>
      <c r="E672" s="1036">
        <f t="shared" si="400"/>
        <v>2016</v>
      </c>
      <c r="F672" s="1035" t="str">
        <f t="shared" si="401"/>
        <v>LULUS</v>
      </c>
      <c r="G672" s="1036">
        <f t="shared" si="402"/>
        <v>849116004</v>
      </c>
      <c r="H672" s="1038">
        <f t="shared" si="403"/>
        <v>0</v>
      </c>
      <c r="I672" s="1038">
        <f t="shared" si="404"/>
        <v>0</v>
      </c>
      <c r="J672" s="1038">
        <f t="shared" si="405"/>
        <v>0</v>
      </c>
      <c r="L672" s="1060">
        <f t="shared" si="375"/>
        <v>0</v>
      </c>
      <c r="M672" s="1060">
        <f t="shared" si="406"/>
        <v>1</v>
      </c>
      <c r="N672" s="1060">
        <f t="shared" si="407"/>
        <v>0</v>
      </c>
      <c r="O672" s="1060">
        <f t="shared" si="408"/>
        <v>0</v>
      </c>
      <c r="P672" s="1060">
        <f t="shared" si="409"/>
        <v>0</v>
      </c>
    </row>
    <row r="673" spans="1:16" x14ac:dyDescent="0.25">
      <c r="A673" s="1034">
        <v>1105</v>
      </c>
      <c r="B673" s="1034">
        <f t="shared" si="376"/>
        <v>5</v>
      </c>
      <c r="C673" s="1034" t="str">
        <f t="shared" si="398"/>
        <v>NUR MUHLAS</v>
      </c>
      <c r="D673" s="1035" t="str">
        <f t="shared" si="399"/>
        <v>MPI-S2</v>
      </c>
      <c r="E673" s="1036">
        <f t="shared" si="400"/>
        <v>2016</v>
      </c>
      <c r="F673" s="1035" t="str">
        <f t="shared" si="401"/>
        <v>PASIF</v>
      </c>
      <c r="G673" s="1036">
        <f t="shared" si="402"/>
        <v>849116005</v>
      </c>
      <c r="H673" s="1038">
        <f t="shared" si="403"/>
        <v>0</v>
      </c>
      <c r="I673" s="1038">
        <f t="shared" si="404"/>
        <v>0</v>
      </c>
      <c r="J673" s="1038">
        <f t="shared" si="405"/>
        <v>0</v>
      </c>
      <c r="L673" s="1060">
        <f t="shared" si="375"/>
        <v>0</v>
      </c>
      <c r="M673" s="1060">
        <f t="shared" si="406"/>
        <v>0</v>
      </c>
      <c r="N673" s="1060">
        <f t="shared" si="407"/>
        <v>0</v>
      </c>
      <c r="O673" s="1060">
        <f t="shared" si="408"/>
        <v>0</v>
      </c>
      <c r="P673" s="1060">
        <f t="shared" si="409"/>
        <v>1</v>
      </c>
    </row>
    <row r="674" spans="1:16" x14ac:dyDescent="0.25">
      <c r="A674" s="1034">
        <v>1106</v>
      </c>
      <c r="B674" s="1034">
        <f t="shared" si="376"/>
        <v>6</v>
      </c>
      <c r="C674" s="1034" t="str">
        <f t="shared" si="398"/>
        <v>AHMAD MUNAWIR</v>
      </c>
      <c r="D674" s="1035" t="str">
        <f t="shared" si="399"/>
        <v>MPI-S2</v>
      </c>
      <c r="E674" s="1036">
        <f t="shared" si="400"/>
        <v>2016</v>
      </c>
      <c r="F674" s="1035" t="str">
        <f t="shared" si="401"/>
        <v>LULUS</v>
      </c>
      <c r="G674" s="1036">
        <f t="shared" si="402"/>
        <v>849116006</v>
      </c>
      <c r="H674" s="1038">
        <f t="shared" si="403"/>
        <v>0</v>
      </c>
      <c r="I674" s="1038">
        <f t="shared" si="404"/>
        <v>0</v>
      </c>
      <c r="J674" s="1038">
        <f t="shared" si="405"/>
        <v>0</v>
      </c>
      <c r="L674" s="1060">
        <f t="shared" si="375"/>
        <v>0</v>
      </c>
      <c r="M674" s="1060">
        <f t="shared" si="406"/>
        <v>1</v>
      </c>
      <c r="N674" s="1060">
        <f t="shared" si="407"/>
        <v>0</v>
      </c>
      <c r="O674" s="1060">
        <f t="shared" si="408"/>
        <v>0</v>
      </c>
      <c r="P674" s="1060">
        <f t="shared" si="409"/>
        <v>0</v>
      </c>
    </row>
    <row r="675" spans="1:16" x14ac:dyDescent="0.25">
      <c r="A675" s="1034">
        <v>1107</v>
      </c>
      <c r="B675" s="1034">
        <f t="shared" si="376"/>
        <v>7</v>
      </c>
      <c r="C675" s="1034" t="str">
        <f t="shared" si="398"/>
        <v>ABDUL HALIM</v>
      </c>
      <c r="D675" s="1035" t="str">
        <f t="shared" si="399"/>
        <v>MPI-S2</v>
      </c>
      <c r="E675" s="1036">
        <f t="shared" si="400"/>
        <v>2016</v>
      </c>
      <c r="F675" s="1035" t="str">
        <f t="shared" si="401"/>
        <v>DROP OUT</v>
      </c>
      <c r="G675" s="1036">
        <f t="shared" si="402"/>
        <v>849116007</v>
      </c>
      <c r="H675" s="1038">
        <f t="shared" si="403"/>
        <v>0</v>
      </c>
      <c r="I675" s="1038">
        <f t="shared" si="404"/>
        <v>0</v>
      </c>
      <c r="J675" s="1038">
        <f t="shared" si="405"/>
        <v>0</v>
      </c>
      <c r="L675" s="1060">
        <f t="shared" ref="L675:L744" si="410">IF(F675="AKTIF",1,0)</f>
        <v>0</v>
      </c>
      <c r="M675" s="1060">
        <f t="shared" si="406"/>
        <v>0</v>
      </c>
      <c r="N675" s="1060">
        <f t="shared" si="407"/>
        <v>0</v>
      </c>
      <c r="O675" s="1060">
        <f t="shared" si="408"/>
        <v>1</v>
      </c>
      <c r="P675" s="1060">
        <f t="shared" si="409"/>
        <v>0</v>
      </c>
    </row>
    <row r="676" spans="1:16" x14ac:dyDescent="0.25">
      <c r="A676" s="1034">
        <v>1108</v>
      </c>
      <c r="B676" s="1034">
        <f t="shared" si="376"/>
        <v>8</v>
      </c>
      <c r="C676" s="1034" t="str">
        <f t="shared" si="398"/>
        <v>SYARIF ALI AL QADRIE</v>
      </c>
      <c r="D676" s="1035" t="str">
        <f t="shared" si="399"/>
        <v>MPI-S2</v>
      </c>
      <c r="E676" s="1036">
        <f t="shared" si="400"/>
        <v>2016</v>
      </c>
      <c r="F676" s="1035" t="str">
        <f t="shared" si="401"/>
        <v>LULUS</v>
      </c>
      <c r="G676" s="1036">
        <f t="shared" si="402"/>
        <v>849116008</v>
      </c>
      <c r="H676" s="1038">
        <f t="shared" si="403"/>
        <v>0</v>
      </c>
      <c r="I676" s="1038">
        <f t="shared" si="404"/>
        <v>0</v>
      </c>
      <c r="J676" s="1038">
        <f t="shared" si="405"/>
        <v>0</v>
      </c>
      <c r="L676" s="1060">
        <f t="shared" si="410"/>
        <v>0</v>
      </c>
      <c r="M676" s="1060">
        <f t="shared" si="406"/>
        <v>1</v>
      </c>
      <c r="N676" s="1060">
        <f t="shared" si="407"/>
        <v>0</v>
      </c>
      <c r="O676" s="1060">
        <f t="shared" si="408"/>
        <v>0</v>
      </c>
      <c r="P676" s="1060">
        <f t="shared" si="409"/>
        <v>0</v>
      </c>
    </row>
    <row r="677" spans="1:16" x14ac:dyDescent="0.25">
      <c r="A677" s="1034">
        <v>1109</v>
      </c>
      <c r="B677" s="1034">
        <f t="shared" ref="B677:B746" si="411">IFERROR(VLOOKUP(A677,DB,2,FALSE),"")</f>
        <v>9</v>
      </c>
      <c r="C677" s="1034" t="str">
        <f t="shared" si="398"/>
        <v>MOHAMMAD ERWAN</v>
      </c>
      <c r="D677" s="1035" t="str">
        <f t="shared" si="399"/>
        <v>MPI-S2</v>
      </c>
      <c r="E677" s="1036">
        <f t="shared" si="400"/>
        <v>2016</v>
      </c>
      <c r="F677" s="1035" t="str">
        <f t="shared" si="401"/>
        <v>LULUS</v>
      </c>
      <c r="G677" s="1036">
        <f t="shared" si="402"/>
        <v>849116009</v>
      </c>
      <c r="H677" s="1038">
        <f t="shared" si="403"/>
        <v>0</v>
      </c>
      <c r="I677" s="1038">
        <f t="shared" si="404"/>
        <v>0</v>
      </c>
      <c r="J677" s="1038">
        <f t="shared" si="405"/>
        <v>0</v>
      </c>
      <c r="L677" s="1060">
        <f t="shared" si="410"/>
        <v>0</v>
      </c>
      <c r="M677" s="1060">
        <f t="shared" si="406"/>
        <v>1</v>
      </c>
      <c r="N677" s="1060">
        <f t="shared" si="407"/>
        <v>0</v>
      </c>
      <c r="O677" s="1060">
        <f t="shared" si="408"/>
        <v>0</v>
      </c>
      <c r="P677" s="1060">
        <f t="shared" si="409"/>
        <v>0</v>
      </c>
    </row>
    <row r="678" spans="1:16" x14ac:dyDescent="0.25">
      <c r="A678" s="1034">
        <v>1110</v>
      </c>
      <c r="B678" s="1034">
        <f t="shared" si="411"/>
        <v>10</v>
      </c>
      <c r="C678" s="1034" t="str">
        <f t="shared" si="398"/>
        <v>MUNDZAR RAHMAN</v>
      </c>
      <c r="D678" s="1035" t="str">
        <f t="shared" si="399"/>
        <v>MPI-S2</v>
      </c>
      <c r="E678" s="1036">
        <f t="shared" si="400"/>
        <v>2016</v>
      </c>
      <c r="F678" s="1035" t="str">
        <f t="shared" si="401"/>
        <v>LULUS</v>
      </c>
      <c r="G678" s="1036">
        <f t="shared" si="402"/>
        <v>849116010</v>
      </c>
      <c r="H678" s="1038">
        <f t="shared" si="403"/>
        <v>0</v>
      </c>
      <c r="I678" s="1038">
        <f t="shared" si="404"/>
        <v>0</v>
      </c>
      <c r="J678" s="1038">
        <f t="shared" si="405"/>
        <v>0</v>
      </c>
      <c r="L678" s="1060">
        <f t="shared" si="410"/>
        <v>0</v>
      </c>
      <c r="M678" s="1060">
        <f t="shared" si="406"/>
        <v>1</v>
      </c>
      <c r="N678" s="1060">
        <f t="shared" si="407"/>
        <v>0</v>
      </c>
      <c r="O678" s="1060">
        <f t="shared" si="408"/>
        <v>0</v>
      </c>
      <c r="P678" s="1060">
        <f t="shared" si="409"/>
        <v>0</v>
      </c>
    </row>
    <row r="679" spans="1:16" x14ac:dyDescent="0.25">
      <c r="A679" s="1034">
        <v>1111</v>
      </c>
      <c r="B679" s="1034">
        <f t="shared" si="411"/>
        <v>11</v>
      </c>
      <c r="C679" s="1034" t="str">
        <f t="shared" si="398"/>
        <v>MUHAMMAD ZAINAL ABIDIN</v>
      </c>
      <c r="D679" s="1035" t="str">
        <f t="shared" si="399"/>
        <v>MPI-S2</v>
      </c>
      <c r="E679" s="1036">
        <f t="shared" si="400"/>
        <v>2016</v>
      </c>
      <c r="F679" s="1035" t="str">
        <f t="shared" si="401"/>
        <v>LULUS</v>
      </c>
      <c r="G679" s="1036">
        <f t="shared" si="402"/>
        <v>849116011</v>
      </c>
      <c r="H679" s="1038">
        <f t="shared" si="403"/>
        <v>0</v>
      </c>
      <c r="I679" s="1038">
        <f t="shared" si="404"/>
        <v>0</v>
      </c>
      <c r="J679" s="1038">
        <f t="shared" si="405"/>
        <v>0</v>
      </c>
      <c r="L679" s="1060">
        <f t="shared" si="410"/>
        <v>0</v>
      </c>
      <c r="M679" s="1060">
        <f t="shared" si="406"/>
        <v>1</v>
      </c>
      <c r="N679" s="1060">
        <f t="shared" si="407"/>
        <v>0</v>
      </c>
      <c r="O679" s="1060">
        <f t="shared" si="408"/>
        <v>0</v>
      </c>
      <c r="P679" s="1060">
        <f t="shared" si="409"/>
        <v>0</v>
      </c>
    </row>
    <row r="680" spans="1:16" x14ac:dyDescent="0.25">
      <c r="A680" s="1034">
        <v>1112</v>
      </c>
      <c r="B680" s="1034">
        <f t="shared" si="411"/>
        <v>12</v>
      </c>
      <c r="C680" s="1034" t="str">
        <f t="shared" si="398"/>
        <v>JAMALUDDIN</v>
      </c>
      <c r="D680" s="1035" t="str">
        <f t="shared" si="399"/>
        <v>MPI-S2</v>
      </c>
      <c r="E680" s="1036">
        <f t="shared" si="400"/>
        <v>2016</v>
      </c>
      <c r="F680" s="1035" t="str">
        <f t="shared" si="401"/>
        <v>LULUS</v>
      </c>
      <c r="G680" s="1036">
        <f t="shared" si="402"/>
        <v>849116012</v>
      </c>
      <c r="H680" s="1038">
        <f t="shared" si="403"/>
        <v>0</v>
      </c>
      <c r="I680" s="1038">
        <f t="shared" si="404"/>
        <v>0</v>
      </c>
      <c r="J680" s="1038">
        <f t="shared" si="405"/>
        <v>0</v>
      </c>
      <c r="L680" s="1060">
        <f t="shared" si="410"/>
        <v>0</v>
      </c>
      <c r="M680" s="1060">
        <f t="shared" si="406"/>
        <v>1</v>
      </c>
      <c r="N680" s="1060">
        <f t="shared" si="407"/>
        <v>0</v>
      </c>
      <c r="O680" s="1060">
        <f t="shared" si="408"/>
        <v>0</v>
      </c>
      <c r="P680" s="1060">
        <f t="shared" si="409"/>
        <v>0</v>
      </c>
    </row>
    <row r="681" spans="1:16" x14ac:dyDescent="0.25">
      <c r="A681" s="1034">
        <v>1113</v>
      </c>
      <c r="B681" s="1034">
        <f t="shared" si="411"/>
        <v>13</v>
      </c>
      <c r="C681" s="1034" t="str">
        <f t="shared" si="398"/>
        <v>NUR ROCHID</v>
      </c>
      <c r="D681" s="1035" t="str">
        <f t="shared" si="399"/>
        <v>MPI-S2</v>
      </c>
      <c r="E681" s="1036">
        <f t="shared" si="400"/>
        <v>2016</v>
      </c>
      <c r="F681" s="1035" t="str">
        <f t="shared" si="401"/>
        <v>DROP OUT</v>
      </c>
      <c r="G681" s="1036">
        <f t="shared" si="402"/>
        <v>849116013</v>
      </c>
      <c r="H681" s="1038">
        <f t="shared" si="403"/>
        <v>0</v>
      </c>
      <c r="I681" s="1038">
        <f t="shared" si="404"/>
        <v>0</v>
      </c>
      <c r="J681" s="1038">
        <f t="shared" si="405"/>
        <v>0</v>
      </c>
      <c r="L681" s="1060">
        <f t="shared" si="410"/>
        <v>0</v>
      </c>
      <c r="M681" s="1060">
        <f t="shared" si="406"/>
        <v>0</v>
      </c>
      <c r="N681" s="1060">
        <f t="shared" si="407"/>
        <v>0</v>
      </c>
      <c r="O681" s="1060">
        <f t="shared" si="408"/>
        <v>1</v>
      </c>
      <c r="P681" s="1060">
        <f t="shared" si="409"/>
        <v>0</v>
      </c>
    </row>
    <row r="682" spans="1:16" x14ac:dyDescent="0.25">
      <c r="A682" s="1034">
        <v>1114</v>
      </c>
      <c r="B682" s="1034">
        <f t="shared" si="411"/>
        <v>14</v>
      </c>
      <c r="C682" s="1034" t="str">
        <f t="shared" si="398"/>
        <v>NUR KHOLIS</v>
      </c>
      <c r="D682" s="1035" t="str">
        <f t="shared" si="399"/>
        <v>MPI-S2</v>
      </c>
      <c r="E682" s="1036">
        <f t="shared" si="400"/>
        <v>2016</v>
      </c>
      <c r="F682" s="1035" t="str">
        <f t="shared" si="401"/>
        <v>DROP OUT</v>
      </c>
      <c r="G682" s="1036">
        <f t="shared" si="402"/>
        <v>849116014</v>
      </c>
      <c r="H682" s="1038">
        <f t="shared" si="403"/>
        <v>0</v>
      </c>
      <c r="I682" s="1038">
        <f t="shared" si="404"/>
        <v>0</v>
      </c>
      <c r="J682" s="1038">
        <f t="shared" si="405"/>
        <v>0</v>
      </c>
      <c r="L682" s="1060">
        <f t="shared" si="410"/>
        <v>0</v>
      </c>
      <c r="M682" s="1060">
        <f t="shared" si="406"/>
        <v>0</v>
      </c>
      <c r="N682" s="1060">
        <f t="shared" si="407"/>
        <v>0</v>
      </c>
      <c r="O682" s="1060">
        <f t="shared" si="408"/>
        <v>1</v>
      </c>
      <c r="P682" s="1060">
        <f t="shared" si="409"/>
        <v>0</v>
      </c>
    </row>
    <row r="683" spans="1:16" x14ac:dyDescent="0.25">
      <c r="A683" s="1034">
        <v>1115</v>
      </c>
      <c r="B683" s="1034">
        <f t="shared" si="411"/>
        <v>15</v>
      </c>
      <c r="C683" s="1034" t="str">
        <f t="shared" si="398"/>
        <v>NURUL HIDAYAH</v>
      </c>
      <c r="D683" s="1035" t="str">
        <f t="shared" si="399"/>
        <v>MPI-S2</v>
      </c>
      <c r="E683" s="1036">
        <f t="shared" si="400"/>
        <v>2016</v>
      </c>
      <c r="F683" s="1035" t="str">
        <f t="shared" si="401"/>
        <v>DROP OUT</v>
      </c>
      <c r="G683" s="1036">
        <f t="shared" si="402"/>
        <v>849116015</v>
      </c>
      <c r="H683" s="1038">
        <f t="shared" si="403"/>
        <v>0</v>
      </c>
      <c r="I683" s="1038">
        <f t="shared" si="404"/>
        <v>0</v>
      </c>
      <c r="J683" s="1038">
        <f t="shared" si="405"/>
        <v>0</v>
      </c>
      <c r="L683" s="1060">
        <f t="shared" si="410"/>
        <v>0</v>
      </c>
      <c r="M683" s="1060">
        <f t="shared" si="406"/>
        <v>0</v>
      </c>
      <c r="N683" s="1060">
        <f t="shared" si="407"/>
        <v>0</v>
      </c>
      <c r="O683" s="1060">
        <f t="shared" si="408"/>
        <v>1</v>
      </c>
      <c r="P683" s="1060">
        <f t="shared" si="409"/>
        <v>0</v>
      </c>
    </row>
    <row r="684" spans="1:16" x14ac:dyDescent="0.25">
      <c r="A684" s="1034">
        <v>1116</v>
      </c>
      <c r="B684" s="1034">
        <f t="shared" si="411"/>
        <v>16</v>
      </c>
      <c r="C684" s="1034" t="str">
        <f t="shared" si="398"/>
        <v>BUKADIN</v>
      </c>
      <c r="D684" s="1035" t="str">
        <f t="shared" si="399"/>
        <v>MPI-S2</v>
      </c>
      <c r="E684" s="1036">
        <f t="shared" si="400"/>
        <v>2016</v>
      </c>
      <c r="F684" s="1035" t="str">
        <f t="shared" si="401"/>
        <v>LULUS</v>
      </c>
      <c r="G684" s="1036">
        <f t="shared" si="402"/>
        <v>849116016</v>
      </c>
      <c r="H684" s="1038">
        <f t="shared" si="403"/>
        <v>0</v>
      </c>
      <c r="I684" s="1038">
        <f t="shared" si="404"/>
        <v>0</v>
      </c>
      <c r="J684" s="1038">
        <f t="shared" si="405"/>
        <v>0</v>
      </c>
      <c r="L684" s="1060">
        <f t="shared" si="410"/>
        <v>0</v>
      </c>
      <c r="M684" s="1060">
        <f t="shared" si="406"/>
        <v>1</v>
      </c>
      <c r="N684" s="1060">
        <f t="shared" si="407"/>
        <v>0</v>
      </c>
      <c r="O684" s="1060">
        <f t="shared" si="408"/>
        <v>0</v>
      </c>
      <c r="P684" s="1060">
        <f t="shared" si="409"/>
        <v>0</v>
      </c>
    </row>
    <row r="685" spans="1:16" x14ac:dyDescent="0.25">
      <c r="A685" s="1034">
        <v>1117</v>
      </c>
      <c r="B685" s="1034">
        <f t="shared" si="411"/>
        <v>17</v>
      </c>
      <c r="C685" s="1034" t="str">
        <f t="shared" si="398"/>
        <v>JUHROWIYAH</v>
      </c>
      <c r="D685" s="1035" t="str">
        <f t="shared" si="399"/>
        <v>MPI-S2</v>
      </c>
      <c r="E685" s="1036">
        <f t="shared" si="400"/>
        <v>2016</v>
      </c>
      <c r="F685" s="1035" t="str">
        <f t="shared" si="401"/>
        <v>AKTIF</v>
      </c>
      <c r="G685" s="1036">
        <f t="shared" si="402"/>
        <v>849116017</v>
      </c>
      <c r="H685" s="1038">
        <f t="shared" si="403"/>
        <v>3000000</v>
      </c>
      <c r="I685" s="1038">
        <f t="shared" si="404"/>
        <v>3000000</v>
      </c>
      <c r="J685" s="1038">
        <f t="shared" si="405"/>
        <v>6000000</v>
      </c>
      <c r="L685" s="1060">
        <f t="shared" si="410"/>
        <v>1</v>
      </c>
      <c r="M685" s="1060">
        <f t="shared" si="406"/>
        <v>0</v>
      </c>
      <c r="N685" s="1060">
        <f t="shared" si="407"/>
        <v>0</v>
      </c>
      <c r="O685" s="1060">
        <f t="shared" si="408"/>
        <v>0</v>
      </c>
      <c r="P685" s="1060">
        <f t="shared" si="409"/>
        <v>0</v>
      </c>
    </row>
    <row r="686" spans="1:16" x14ac:dyDescent="0.25">
      <c r="A686" s="1034">
        <v>1118</v>
      </c>
      <c r="B686" s="1034">
        <f t="shared" si="411"/>
        <v>18</v>
      </c>
      <c r="C686" s="1034" t="str">
        <f t="shared" si="398"/>
        <v>FITRIA DESIANA F</v>
      </c>
      <c r="D686" s="1035" t="str">
        <f t="shared" si="399"/>
        <v>MPI-S2</v>
      </c>
      <c r="E686" s="1036">
        <f t="shared" si="400"/>
        <v>2016</v>
      </c>
      <c r="F686" s="1035" t="str">
        <f t="shared" si="401"/>
        <v>PASIF</v>
      </c>
      <c r="G686" s="1036">
        <f t="shared" si="402"/>
        <v>849116018</v>
      </c>
      <c r="H686" s="1038">
        <f t="shared" si="403"/>
        <v>0</v>
      </c>
      <c r="I686" s="1038">
        <f t="shared" si="404"/>
        <v>0</v>
      </c>
      <c r="J686" s="1038">
        <f t="shared" si="405"/>
        <v>0</v>
      </c>
      <c r="L686" s="1060">
        <f t="shared" si="410"/>
        <v>0</v>
      </c>
      <c r="M686" s="1060">
        <f t="shared" si="406"/>
        <v>0</v>
      </c>
      <c r="N686" s="1060">
        <f t="shared" si="407"/>
        <v>0</v>
      </c>
      <c r="O686" s="1060">
        <f t="shared" si="408"/>
        <v>0</v>
      </c>
      <c r="P686" s="1060">
        <f t="shared" si="409"/>
        <v>1</v>
      </c>
    </row>
    <row r="687" spans="1:16" x14ac:dyDescent="0.25">
      <c r="A687" s="1034">
        <v>1119</v>
      </c>
      <c r="B687" s="1034">
        <f t="shared" si="411"/>
        <v>19</v>
      </c>
      <c r="C687" s="1034" t="str">
        <f t="shared" si="398"/>
        <v>M.SHOLEHUDIN</v>
      </c>
      <c r="D687" s="1035" t="str">
        <f t="shared" si="399"/>
        <v>MPI-S2</v>
      </c>
      <c r="E687" s="1036">
        <f t="shared" si="400"/>
        <v>2016</v>
      </c>
      <c r="F687" s="1035" t="str">
        <f t="shared" si="401"/>
        <v>LULUS</v>
      </c>
      <c r="G687" s="1036">
        <f t="shared" si="402"/>
        <v>849116019</v>
      </c>
      <c r="H687" s="1038">
        <f t="shared" si="403"/>
        <v>0</v>
      </c>
      <c r="I687" s="1038">
        <f t="shared" si="404"/>
        <v>0</v>
      </c>
      <c r="J687" s="1038">
        <f t="shared" si="405"/>
        <v>0</v>
      </c>
      <c r="L687" s="1060">
        <f t="shared" si="410"/>
        <v>0</v>
      </c>
      <c r="M687" s="1060">
        <f t="shared" si="406"/>
        <v>1</v>
      </c>
      <c r="N687" s="1060">
        <f t="shared" si="407"/>
        <v>0</v>
      </c>
      <c r="O687" s="1060">
        <f t="shared" si="408"/>
        <v>0</v>
      </c>
      <c r="P687" s="1060">
        <f t="shared" si="409"/>
        <v>0</v>
      </c>
    </row>
    <row r="688" spans="1:16" x14ac:dyDescent="0.25">
      <c r="A688" s="1034">
        <v>1120</v>
      </c>
      <c r="B688" s="1034">
        <f t="shared" si="411"/>
        <v>20</v>
      </c>
      <c r="C688" s="1034" t="str">
        <f t="shared" si="398"/>
        <v>LUDY FITRIANDILA</v>
      </c>
      <c r="D688" s="1035" t="str">
        <f t="shared" si="399"/>
        <v>MPI-S2</v>
      </c>
      <c r="E688" s="1036">
        <f t="shared" si="400"/>
        <v>2016</v>
      </c>
      <c r="F688" s="1035" t="str">
        <f t="shared" si="401"/>
        <v>LULUS</v>
      </c>
      <c r="G688" s="1036">
        <f t="shared" si="402"/>
        <v>849116020</v>
      </c>
      <c r="H688" s="1038">
        <f t="shared" si="403"/>
        <v>0</v>
      </c>
      <c r="I688" s="1038">
        <f t="shared" si="404"/>
        <v>0</v>
      </c>
      <c r="J688" s="1038">
        <f t="shared" si="405"/>
        <v>0</v>
      </c>
      <c r="L688" s="1060">
        <f t="shared" si="410"/>
        <v>0</v>
      </c>
      <c r="M688" s="1060">
        <f t="shared" si="406"/>
        <v>1</v>
      </c>
      <c r="N688" s="1060">
        <f t="shared" si="407"/>
        <v>0</v>
      </c>
      <c r="O688" s="1060">
        <f t="shared" si="408"/>
        <v>0</v>
      </c>
      <c r="P688" s="1060">
        <f t="shared" si="409"/>
        <v>0</v>
      </c>
    </row>
    <row r="689" spans="1:16" x14ac:dyDescent="0.25">
      <c r="A689" s="1034">
        <v>1121</v>
      </c>
      <c r="B689" s="1034">
        <f t="shared" si="411"/>
        <v>21</v>
      </c>
      <c r="C689" s="1034" t="str">
        <f t="shared" si="398"/>
        <v>BADRUS SOLEH</v>
      </c>
      <c r="D689" s="1035" t="str">
        <f t="shared" si="399"/>
        <v>MPI-S2</v>
      </c>
      <c r="E689" s="1036">
        <f t="shared" si="400"/>
        <v>2016</v>
      </c>
      <c r="F689" s="1035" t="str">
        <f t="shared" si="401"/>
        <v>LULUS</v>
      </c>
      <c r="G689" s="1036">
        <f t="shared" si="402"/>
        <v>849116021</v>
      </c>
      <c r="H689" s="1038">
        <f t="shared" si="403"/>
        <v>0</v>
      </c>
      <c r="I689" s="1038">
        <f t="shared" si="404"/>
        <v>0</v>
      </c>
      <c r="J689" s="1038">
        <f t="shared" si="405"/>
        <v>0</v>
      </c>
      <c r="L689" s="1060">
        <f t="shared" si="410"/>
        <v>0</v>
      </c>
      <c r="M689" s="1060">
        <f t="shared" si="406"/>
        <v>1</v>
      </c>
      <c r="N689" s="1060">
        <f t="shared" si="407"/>
        <v>0</v>
      </c>
      <c r="O689" s="1060">
        <f t="shared" si="408"/>
        <v>0</v>
      </c>
      <c r="P689" s="1060">
        <f t="shared" si="409"/>
        <v>0</v>
      </c>
    </row>
    <row r="690" spans="1:16" x14ac:dyDescent="0.25">
      <c r="A690" s="1034">
        <v>1122</v>
      </c>
      <c r="B690" s="1034">
        <f t="shared" si="411"/>
        <v>22</v>
      </c>
      <c r="C690" s="1034" t="str">
        <f t="shared" si="398"/>
        <v>M RIZA AL AMIN</v>
      </c>
      <c r="D690" s="1035" t="str">
        <f t="shared" si="399"/>
        <v>MPI-S2</v>
      </c>
      <c r="E690" s="1036">
        <f t="shared" si="400"/>
        <v>2016</v>
      </c>
      <c r="F690" s="1035" t="str">
        <f t="shared" si="401"/>
        <v>AKTIF</v>
      </c>
      <c r="G690" s="1036">
        <f t="shared" si="402"/>
        <v>849116022</v>
      </c>
      <c r="H690" s="1038">
        <f t="shared" si="403"/>
        <v>3000000</v>
      </c>
      <c r="I690" s="1038">
        <f t="shared" si="404"/>
        <v>3000000</v>
      </c>
      <c r="J690" s="1038">
        <f t="shared" si="405"/>
        <v>6000000</v>
      </c>
      <c r="L690" s="1060">
        <f t="shared" si="410"/>
        <v>1</v>
      </c>
      <c r="M690" s="1060">
        <f t="shared" si="406"/>
        <v>0</v>
      </c>
      <c r="N690" s="1060">
        <f t="shared" si="407"/>
        <v>0</v>
      </c>
      <c r="O690" s="1060">
        <f t="shared" si="408"/>
        <v>0</v>
      </c>
      <c r="P690" s="1060">
        <f t="shared" si="409"/>
        <v>0</v>
      </c>
    </row>
    <row r="691" spans="1:16" x14ac:dyDescent="0.25">
      <c r="A691" s="1034">
        <v>1123</v>
      </c>
      <c r="B691" s="1034">
        <f t="shared" si="411"/>
        <v>23</v>
      </c>
      <c r="C691" s="1034" t="str">
        <f t="shared" si="398"/>
        <v>NUR EFDELI PUTRI MANDAR</v>
      </c>
      <c r="D691" s="1035" t="str">
        <f t="shared" si="399"/>
        <v>MPI-S2</v>
      </c>
      <c r="E691" s="1036">
        <f t="shared" si="400"/>
        <v>2016</v>
      </c>
      <c r="F691" s="1035" t="str">
        <f t="shared" si="401"/>
        <v>PASIF</v>
      </c>
      <c r="G691" s="1036">
        <f t="shared" si="402"/>
        <v>849116023</v>
      </c>
      <c r="H691" s="1038">
        <f t="shared" si="403"/>
        <v>0</v>
      </c>
      <c r="I691" s="1038">
        <f t="shared" si="404"/>
        <v>0</v>
      </c>
      <c r="J691" s="1038">
        <f t="shared" si="405"/>
        <v>0</v>
      </c>
      <c r="L691" s="1060">
        <f t="shared" si="410"/>
        <v>0</v>
      </c>
      <c r="M691" s="1060">
        <f t="shared" si="406"/>
        <v>0</v>
      </c>
      <c r="N691" s="1060">
        <f t="shared" si="407"/>
        <v>0</v>
      </c>
      <c r="O691" s="1060">
        <f t="shared" si="408"/>
        <v>0</v>
      </c>
      <c r="P691" s="1060">
        <f t="shared" si="409"/>
        <v>1</v>
      </c>
    </row>
    <row r="692" spans="1:16" x14ac:dyDescent="0.25">
      <c r="A692" s="1034">
        <v>1124</v>
      </c>
      <c r="B692" s="1034">
        <f t="shared" si="411"/>
        <v>24</v>
      </c>
      <c r="C692" s="1034" t="str">
        <f t="shared" si="398"/>
        <v>ITA NOVITARINI</v>
      </c>
      <c r="D692" s="1035" t="str">
        <f t="shared" si="399"/>
        <v>MPI-S2</v>
      </c>
      <c r="E692" s="1036">
        <f t="shared" si="400"/>
        <v>2016</v>
      </c>
      <c r="F692" s="1035" t="str">
        <f t="shared" si="401"/>
        <v>LULUS</v>
      </c>
      <c r="G692" s="1036">
        <f t="shared" si="402"/>
        <v>849116024</v>
      </c>
      <c r="H692" s="1038">
        <f t="shared" si="403"/>
        <v>0</v>
      </c>
      <c r="I692" s="1038">
        <f t="shared" si="404"/>
        <v>0</v>
      </c>
      <c r="J692" s="1038">
        <f t="shared" si="405"/>
        <v>0</v>
      </c>
      <c r="L692" s="1060">
        <f t="shared" si="410"/>
        <v>0</v>
      </c>
      <c r="M692" s="1060">
        <f t="shared" si="406"/>
        <v>1</v>
      </c>
      <c r="N692" s="1060">
        <f t="shared" si="407"/>
        <v>0</v>
      </c>
      <c r="O692" s="1060">
        <f t="shared" si="408"/>
        <v>0</v>
      </c>
      <c r="P692" s="1060">
        <f t="shared" si="409"/>
        <v>0</v>
      </c>
    </row>
    <row r="693" spans="1:16" x14ac:dyDescent="0.25">
      <c r="A693" s="1034">
        <v>1125</v>
      </c>
      <c r="B693" s="1034">
        <f t="shared" si="411"/>
        <v>25</v>
      </c>
      <c r="C693" s="1034" t="str">
        <f t="shared" si="398"/>
        <v>MUHAMMAD SALIH</v>
      </c>
      <c r="D693" s="1035" t="str">
        <f t="shared" si="399"/>
        <v>MPI-S2</v>
      </c>
      <c r="E693" s="1036">
        <f t="shared" si="400"/>
        <v>2016</v>
      </c>
      <c r="F693" s="1035" t="str">
        <f t="shared" si="401"/>
        <v>PASIF</v>
      </c>
      <c r="G693" s="1036">
        <f t="shared" si="402"/>
        <v>849116025</v>
      </c>
      <c r="H693" s="1038">
        <f t="shared" si="403"/>
        <v>0</v>
      </c>
      <c r="I693" s="1038">
        <f t="shared" si="404"/>
        <v>0</v>
      </c>
      <c r="J693" s="1038">
        <f t="shared" si="405"/>
        <v>0</v>
      </c>
      <c r="L693" s="1060">
        <f t="shared" si="410"/>
        <v>0</v>
      </c>
      <c r="M693" s="1060">
        <f t="shared" si="406"/>
        <v>0</v>
      </c>
      <c r="N693" s="1060">
        <f t="shared" si="407"/>
        <v>0</v>
      </c>
      <c r="O693" s="1060">
        <f t="shared" si="408"/>
        <v>0</v>
      </c>
      <c r="P693" s="1060">
        <f t="shared" si="409"/>
        <v>1</v>
      </c>
    </row>
    <row r="694" spans="1:16" x14ac:dyDescent="0.25">
      <c r="A694" s="1034">
        <v>1126</v>
      </c>
      <c r="B694" s="1034">
        <f t="shared" si="411"/>
        <v>26</v>
      </c>
      <c r="C694" s="1034" t="str">
        <f t="shared" si="398"/>
        <v xml:space="preserve">MUHAMMAD MISBAH </v>
      </c>
      <c r="D694" s="1035" t="str">
        <f t="shared" si="399"/>
        <v>MPI-S2</v>
      </c>
      <c r="E694" s="1036">
        <f t="shared" si="400"/>
        <v>2016</v>
      </c>
      <c r="F694" s="1035" t="str">
        <f t="shared" si="401"/>
        <v>LULUS</v>
      </c>
      <c r="G694" s="1036">
        <f t="shared" si="402"/>
        <v>849116026</v>
      </c>
      <c r="H694" s="1038">
        <f t="shared" si="403"/>
        <v>0</v>
      </c>
      <c r="I694" s="1038">
        <f t="shared" si="404"/>
        <v>0</v>
      </c>
      <c r="J694" s="1038">
        <f t="shared" si="405"/>
        <v>0</v>
      </c>
      <c r="L694" s="1060">
        <f t="shared" si="410"/>
        <v>0</v>
      </c>
      <c r="M694" s="1060">
        <f t="shared" si="406"/>
        <v>1</v>
      </c>
      <c r="N694" s="1060">
        <f t="shared" si="407"/>
        <v>0</v>
      </c>
      <c r="O694" s="1060">
        <f t="shared" si="408"/>
        <v>0</v>
      </c>
      <c r="P694" s="1060">
        <f t="shared" si="409"/>
        <v>0</v>
      </c>
    </row>
    <row r="695" spans="1:16" x14ac:dyDescent="0.25">
      <c r="A695" s="1034">
        <v>1127</v>
      </c>
      <c r="B695" s="1034">
        <f t="shared" si="411"/>
        <v>27</v>
      </c>
      <c r="C695" s="1034" t="str">
        <f t="shared" si="398"/>
        <v>MISBAHUL MUNIR</v>
      </c>
      <c r="D695" s="1035" t="str">
        <f t="shared" si="399"/>
        <v>MPI-S2</v>
      </c>
      <c r="E695" s="1036">
        <f t="shared" si="400"/>
        <v>2016</v>
      </c>
      <c r="F695" s="1035" t="str">
        <f t="shared" si="401"/>
        <v>PASIF</v>
      </c>
      <c r="G695" s="1036">
        <f t="shared" si="402"/>
        <v>849116027</v>
      </c>
      <c r="H695" s="1038">
        <f t="shared" si="403"/>
        <v>0</v>
      </c>
      <c r="I695" s="1038">
        <f t="shared" si="404"/>
        <v>0</v>
      </c>
      <c r="J695" s="1038">
        <f t="shared" si="405"/>
        <v>0</v>
      </c>
      <c r="L695" s="1060">
        <f t="shared" si="410"/>
        <v>0</v>
      </c>
      <c r="M695" s="1060">
        <f t="shared" si="406"/>
        <v>0</v>
      </c>
      <c r="N695" s="1060">
        <f t="shared" si="407"/>
        <v>0</v>
      </c>
      <c r="O695" s="1060">
        <f t="shared" si="408"/>
        <v>0</v>
      </c>
      <c r="P695" s="1060">
        <f t="shared" si="409"/>
        <v>1</v>
      </c>
    </row>
    <row r="696" spans="1:16" x14ac:dyDescent="0.25">
      <c r="A696" s="1034">
        <v>1128</v>
      </c>
      <c r="B696" s="1034">
        <f t="shared" si="411"/>
        <v>28</v>
      </c>
      <c r="C696" s="1034" t="str">
        <f t="shared" si="398"/>
        <v>NUR ASIYAH</v>
      </c>
      <c r="D696" s="1035" t="str">
        <f t="shared" si="399"/>
        <v>MPI-S2</v>
      </c>
      <c r="E696" s="1036">
        <f t="shared" si="400"/>
        <v>2016</v>
      </c>
      <c r="F696" s="1035" t="str">
        <f t="shared" si="401"/>
        <v>LULUS</v>
      </c>
      <c r="G696" s="1036">
        <f t="shared" si="402"/>
        <v>849116028</v>
      </c>
      <c r="H696" s="1038">
        <f t="shared" si="403"/>
        <v>0</v>
      </c>
      <c r="I696" s="1038">
        <f t="shared" si="404"/>
        <v>0</v>
      </c>
      <c r="J696" s="1038">
        <f t="shared" si="405"/>
        <v>0</v>
      </c>
      <c r="L696" s="1060">
        <f t="shared" si="410"/>
        <v>0</v>
      </c>
      <c r="M696" s="1060">
        <f t="shared" si="406"/>
        <v>1</v>
      </c>
      <c r="N696" s="1060">
        <f t="shared" si="407"/>
        <v>0</v>
      </c>
      <c r="O696" s="1060">
        <f t="shared" si="408"/>
        <v>0</v>
      </c>
      <c r="P696" s="1060">
        <f t="shared" si="409"/>
        <v>0</v>
      </c>
    </row>
    <row r="697" spans="1:16" x14ac:dyDescent="0.25">
      <c r="A697" s="1034">
        <v>1129</v>
      </c>
      <c r="B697" s="1034">
        <f t="shared" si="411"/>
        <v>29</v>
      </c>
      <c r="C697" s="1034" t="str">
        <f t="shared" si="398"/>
        <v>UBAIDILLAH</v>
      </c>
      <c r="D697" s="1035" t="str">
        <f t="shared" si="399"/>
        <v>MPI-S2</v>
      </c>
      <c r="E697" s="1036">
        <f t="shared" si="400"/>
        <v>2016</v>
      </c>
      <c r="F697" s="1035" t="str">
        <f t="shared" si="401"/>
        <v>LULUS</v>
      </c>
      <c r="G697" s="1036">
        <f t="shared" si="402"/>
        <v>849116029</v>
      </c>
      <c r="H697" s="1038">
        <f t="shared" si="403"/>
        <v>0</v>
      </c>
      <c r="I697" s="1038">
        <f t="shared" si="404"/>
        <v>0</v>
      </c>
      <c r="J697" s="1038">
        <f t="shared" si="405"/>
        <v>0</v>
      </c>
      <c r="L697" s="1060">
        <f t="shared" si="410"/>
        <v>0</v>
      </c>
      <c r="M697" s="1060">
        <f t="shared" si="406"/>
        <v>1</v>
      </c>
      <c r="N697" s="1060">
        <f t="shared" si="407"/>
        <v>0</v>
      </c>
      <c r="O697" s="1060">
        <f t="shared" si="408"/>
        <v>0</v>
      </c>
      <c r="P697" s="1060">
        <f t="shared" si="409"/>
        <v>0</v>
      </c>
    </row>
    <row r="698" spans="1:16" x14ac:dyDescent="0.25">
      <c r="A698" s="1034">
        <v>1130</v>
      </c>
      <c r="B698" s="1034">
        <f t="shared" si="411"/>
        <v>30</v>
      </c>
      <c r="C698" s="1034" t="str">
        <f t="shared" si="398"/>
        <v>THOHA FAUZI</v>
      </c>
      <c r="D698" s="1035" t="str">
        <f t="shared" si="399"/>
        <v>MPI-S2</v>
      </c>
      <c r="E698" s="1036">
        <f t="shared" si="400"/>
        <v>2016</v>
      </c>
      <c r="F698" s="1035" t="str">
        <f t="shared" si="401"/>
        <v>PASIF</v>
      </c>
      <c r="G698" s="1036">
        <f t="shared" si="402"/>
        <v>849116030</v>
      </c>
      <c r="H698" s="1038">
        <f t="shared" si="403"/>
        <v>0</v>
      </c>
      <c r="I698" s="1038">
        <f t="shared" si="404"/>
        <v>0</v>
      </c>
      <c r="J698" s="1038">
        <f t="shared" si="405"/>
        <v>0</v>
      </c>
      <c r="L698" s="1060">
        <f t="shared" si="410"/>
        <v>0</v>
      </c>
      <c r="M698" s="1060">
        <f t="shared" si="406"/>
        <v>0</v>
      </c>
      <c r="N698" s="1060">
        <f t="shared" si="407"/>
        <v>0</v>
      </c>
      <c r="O698" s="1060">
        <f t="shared" si="408"/>
        <v>0</v>
      </c>
      <c r="P698" s="1060">
        <f t="shared" si="409"/>
        <v>1</v>
      </c>
    </row>
    <row r="699" spans="1:16" x14ac:dyDescent="0.25">
      <c r="A699" s="1034">
        <v>1131</v>
      </c>
      <c r="B699" s="1034">
        <f t="shared" si="411"/>
        <v>31</v>
      </c>
      <c r="C699" s="1034" t="str">
        <f t="shared" si="398"/>
        <v>MOH.LUTHFI KURNIA ARROZAQ</v>
      </c>
      <c r="D699" s="1035" t="str">
        <f t="shared" si="399"/>
        <v>MPI-S2</v>
      </c>
      <c r="E699" s="1036">
        <f t="shared" si="400"/>
        <v>2016</v>
      </c>
      <c r="F699" s="1035" t="str">
        <f t="shared" si="401"/>
        <v>PASIF</v>
      </c>
      <c r="G699" s="1036">
        <f t="shared" si="402"/>
        <v>849116031</v>
      </c>
      <c r="H699" s="1038">
        <f t="shared" si="403"/>
        <v>0</v>
      </c>
      <c r="I699" s="1038">
        <f t="shared" si="404"/>
        <v>0</v>
      </c>
      <c r="J699" s="1038">
        <f t="shared" si="405"/>
        <v>0</v>
      </c>
      <c r="L699" s="1060">
        <f t="shared" si="410"/>
        <v>0</v>
      </c>
      <c r="M699" s="1060">
        <f t="shared" si="406"/>
        <v>0</v>
      </c>
      <c r="N699" s="1060">
        <f t="shared" si="407"/>
        <v>0</v>
      </c>
      <c r="O699" s="1060">
        <f t="shared" si="408"/>
        <v>0</v>
      </c>
      <c r="P699" s="1060">
        <f t="shared" si="409"/>
        <v>1</v>
      </c>
    </row>
    <row r="700" spans="1:16" x14ac:dyDescent="0.25">
      <c r="A700" s="1034">
        <v>1132</v>
      </c>
      <c r="B700" s="1034">
        <f t="shared" si="411"/>
        <v>32</v>
      </c>
      <c r="C700" s="1034" t="str">
        <f t="shared" si="398"/>
        <v>BETRI SUSANTI</v>
      </c>
      <c r="D700" s="1035" t="str">
        <f t="shared" si="399"/>
        <v>MPI-S2</v>
      </c>
      <c r="E700" s="1036">
        <f t="shared" si="400"/>
        <v>2016</v>
      </c>
      <c r="F700" s="1035" t="str">
        <f t="shared" si="401"/>
        <v>LULUS</v>
      </c>
      <c r="G700" s="1036">
        <f t="shared" si="402"/>
        <v>849116032</v>
      </c>
      <c r="H700" s="1038">
        <f t="shared" si="403"/>
        <v>0</v>
      </c>
      <c r="I700" s="1038">
        <f t="shared" si="404"/>
        <v>0</v>
      </c>
      <c r="J700" s="1038">
        <f t="shared" si="405"/>
        <v>0</v>
      </c>
      <c r="L700" s="1060">
        <f t="shared" si="410"/>
        <v>0</v>
      </c>
      <c r="M700" s="1060">
        <f t="shared" si="406"/>
        <v>1</v>
      </c>
      <c r="N700" s="1060">
        <f t="shared" si="407"/>
        <v>0</v>
      </c>
      <c r="O700" s="1060">
        <f t="shared" si="408"/>
        <v>0</v>
      </c>
      <c r="P700" s="1060">
        <f t="shared" si="409"/>
        <v>0</v>
      </c>
    </row>
    <row r="701" spans="1:16" x14ac:dyDescent="0.25">
      <c r="A701" s="1034">
        <v>1133</v>
      </c>
      <c r="B701" s="1034">
        <f t="shared" si="411"/>
        <v>33</v>
      </c>
      <c r="C701" s="1034" t="str">
        <f t="shared" si="398"/>
        <v>DEWI NITA UTAMI</v>
      </c>
      <c r="D701" s="1035" t="str">
        <f t="shared" si="399"/>
        <v>MPI-S2</v>
      </c>
      <c r="E701" s="1036">
        <f t="shared" si="400"/>
        <v>2016</v>
      </c>
      <c r="F701" s="1035" t="str">
        <f t="shared" si="401"/>
        <v>LULUS</v>
      </c>
      <c r="G701" s="1036">
        <f t="shared" si="402"/>
        <v>849116033</v>
      </c>
      <c r="H701" s="1038">
        <f t="shared" si="403"/>
        <v>0</v>
      </c>
      <c r="I701" s="1038">
        <f t="shared" si="404"/>
        <v>0</v>
      </c>
      <c r="J701" s="1038">
        <f t="shared" si="405"/>
        <v>0</v>
      </c>
      <c r="L701" s="1060">
        <f t="shared" si="410"/>
        <v>0</v>
      </c>
      <c r="M701" s="1060">
        <f t="shared" si="406"/>
        <v>1</v>
      </c>
      <c r="N701" s="1060">
        <f t="shared" si="407"/>
        <v>0</v>
      </c>
      <c r="O701" s="1060">
        <f t="shared" si="408"/>
        <v>0</v>
      </c>
      <c r="P701" s="1060">
        <f t="shared" si="409"/>
        <v>0</v>
      </c>
    </row>
    <row r="702" spans="1:16" x14ac:dyDescent="0.25">
      <c r="A702" s="1034">
        <v>1134</v>
      </c>
      <c r="B702" s="1034">
        <f t="shared" si="411"/>
        <v>34</v>
      </c>
      <c r="C702" s="1034" t="str">
        <f t="shared" si="398"/>
        <v>HAYI ABDUS SUKUR</v>
      </c>
      <c r="D702" s="1035" t="str">
        <f t="shared" si="399"/>
        <v>MPI-S2</v>
      </c>
      <c r="E702" s="1036">
        <f t="shared" si="400"/>
        <v>2016</v>
      </c>
      <c r="F702" s="1035" t="str">
        <f t="shared" si="401"/>
        <v>LULUS</v>
      </c>
      <c r="G702" s="1036">
        <f t="shared" si="402"/>
        <v>849116034</v>
      </c>
      <c r="H702" s="1038">
        <f t="shared" si="403"/>
        <v>0</v>
      </c>
      <c r="I702" s="1038">
        <f t="shared" si="404"/>
        <v>0</v>
      </c>
      <c r="J702" s="1038">
        <f t="shared" si="405"/>
        <v>0</v>
      </c>
      <c r="L702" s="1060">
        <f t="shared" si="410"/>
        <v>0</v>
      </c>
      <c r="M702" s="1060">
        <f t="shared" si="406"/>
        <v>1</v>
      </c>
      <c r="N702" s="1060">
        <f t="shared" si="407"/>
        <v>0</v>
      </c>
      <c r="O702" s="1060">
        <f t="shared" si="408"/>
        <v>0</v>
      </c>
      <c r="P702" s="1060">
        <f t="shared" si="409"/>
        <v>0</v>
      </c>
    </row>
    <row r="703" spans="1:16" x14ac:dyDescent="0.25">
      <c r="A703" s="1034">
        <v>1135</v>
      </c>
      <c r="B703" s="1034">
        <f t="shared" si="411"/>
        <v>35</v>
      </c>
      <c r="C703" s="1034" t="str">
        <f t="shared" si="398"/>
        <v>ISMAIL ZULQORNAIN</v>
      </c>
      <c r="D703" s="1035" t="str">
        <f t="shared" si="399"/>
        <v>MPI-S2</v>
      </c>
      <c r="E703" s="1036">
        <f t="shared" si="400"/>
        <v>2016</v>
      </c>
      <c r="F703" s="1035" t="str">
        <f t="shared" si="401"/>
        <v>DROP OUT</v>
      </c>
      <c r="G703" s="1036">
        <f t="shared" si="402"/>
        <v>849116035</v>
      </c>
      <c r="H703" s="1038">
        <f t="shared" si="403"/>
        <v>0</v>
      </c>
      <c r="I703" s="1038">
        <f t="shared" si="404"/>
        <v>0</v>
      </c>
      <c r="J703" s="1038">
        <f t="shared" si="405"/>
        <v>0</v>
      </c>
      <c r="L703" s="1060">
        <f t="shared" si="410"/>
        <v>0</v>
      </c>
      <c r="M703" s="1060">
        <f t="shared" si="406"/>
        <v>0</v>
      </c>
      <c r="N703" s="1060">
        <f t="shared" si="407"/>
        <v>0</v>
      </c>
      <c r="O703" s="1060">
        <f t="shared" si="408"/>
        <v>1</v>
      </c>
      <c r="P703" s="1060">
        <f t="shared" si="409"/>
        <v>0</v>
      </c>
    </row>
    <row r="704" spans="1:16" x14ac:dyDescent="0.25">
      <c r="A704" s="1034">
        <v>1136</v>
      </c>
      <c r="B704" s="1034">
        <f t="shared" si="411"/>
        <v>36</v>
      </c>
      <c r="C704" s="1034" t="str">
        <f t="shared" si="398"/>
        <v>SUPARJO ADI SUWARNO</v>
      </c>
      <c r="D704" s="1035" t="str">
        <f t="shared" si="399"/>
        <v>MPI-S2</v>
      </c>
      <c r="E704" s="1036">
        <f t="shared" si="400"/>
        <v>2016</v>
      </c>
      <c r="F704" s="1035" t="str">
        <f t="shared" si="401"/>
        <v>LULUS</v>
      </c>
      <c r="G704" s="1036">
        <f t="shared" si="402"/>
        <v>849116036</v>
      </c>
      <c r="H704" s="1038">
        <f t="shared" si="403"/>
        <v>0</v>
      </c>
      <c r="I704" s="1038">
        <f t="shared" si="404"/>
        <v>0</v>
      </c>
      <c r="J704" s="1038">
        <f t="shared" si="405"/>
        <v>0</v>
      </c>
      <c r="L704" s="1060">
        <f t="shared" si="410"/>
        <v>0</v>
      </c>
      <c r="M704" s="1060">
        <f t="shared" si="406"/>
        <v>1</v>
      </c>
      <c r="N704" s="1060">
        <f t="shared" si="407"/>
        <v>0</v>
      </c>
      <c r="O704" s="1060">
        <f t="shared" si="408"/>
        <v>0</v>
      </c>
      <c r="P704" s="1060">
        <f t="shared" si="409"/>
        <v>0</v>
      </c>
    </row>
    <row r="705" spans="1:16" x14ac:dyDescent="0.25">
      <c r="A705" s="1039"/>
      <c r="B705" s="1039"/>
      <c r="C705" s="1039"/>
      <c r="D705" s="1040"/>
      <c r="E705" s="1041"/>
      <c r="F705" s="1040"/>
      <c r="G705" s="1041"/>
      <c r="H705" s="1042"/>
      <c r="I705" s="1042"/>
      <c r="J705" s="1042"/>
      <c r="L705" s="1042"/>
      <c r="M705" s="1042"/>
      <c r="N705" s="1042"/>
      <c r="O705" s="1042"/>
      <c r="P705" s="1042"/>
    </row>
    <row r="706" spans="1:16" x14ac:dyDescent="0.25">
      <c r="A706" s="1073" t="str">
        <f>'Rekap SPP'!A1230</f>
        <v>S3-MPI 2016/2017 - Bea 5000 Dok (II)</v>
      </c>
      <c r="B706" s="1073"/>
      <c r="C706" s="1073"/>
      <c r="D706" s="1074" t="s">
        <v>3</v>
      </c>
      <c r="E706" s="1075" t="s">
        <v>4</v>
      </c>
      <c r="F706" s="1074" t="s">
        <v>3195</v>
      </c>
      <c r="G706" s="1075" t="s">
        <v>1</v>
      </c>
      <c r="H706" s="1074" t="s">
        <v>3341</v>
      </c>
      <c r="I706" s="1074" t="s">
        <v>3362</v>
      </c>
      <c r="J706" s="1062">
        <f>SUM(J707:J721)</f>
        <v>60000000</v>
      </c>
      <c r="L706" s="1063">
        <f>SUM(L707:L721)</f>
        <v>5</v>
      </c>
      <c r="M706" s="1063">
        <f>SUM(M707:M721)</f>
        <v>6</v>
      </c>
      <c r="N706" s="1063">
        <f>SUM(N707:N721)</f>
        <v>0</v>
      </c>
      <c r="O706" s="1063">
        <f>SUM(O707:O721)</f>
        <v>0</v>
      </c>
      <c r="P706" s="1063">
        <f>SUM(P707:P721)</f>
        <v>4</v>
      </c>
    </row>
    <row r="707" spans="1:16" x14ac:dyDescent="0.25">
      <c r="A707" s="1034">
        <v>1137</v>
      </c>
      <c r="B707" s="1034">
        <f t="shared" si="411"/>
        <v>1</v>
      </c>
      <c r="C707" s="1034" t="str">
        <f t="shared" ref="C707:C721" si="412">IFERROR(VLOOKUP(A707,DB,4,FALSE),"")</f>
        <v>ATMARI</v>
      </c>
      <c r="D707" s="1035" t="str">
        <f t="shared" ref="D707:D721" si="413">IFERROR(VLOOKUP(A707,DB,5,FALSE),"")</f>
        <v>5000 Dok</v>
      </c>
      <c r="E707" s="1036">
        <f t="shared" ref="E707:E721" si="414">IFERROR(VLOOKUP(A707,DB,6,FALSE),"")</f>
        <v>2016</v>
      </c>
      <c r="F707" s="1035" t="str">
        <f t="shared" ref="F707:F721" si="415">IFERROR(VLOOKUP(A707,DB,7,FALSE),"")</f>
        <v>PASIF</v>
      </c>
      <c r="G707" s="1036">
        <f t="shared" ref="G707:G721" si="416">IFERROR(VLOOKUP(A707,DB,3,FALSE),"")</f>
        <v>841916001</v>
      </c>
      <c r="H707" s="1038">
        <f t="shared" ref="H707:H721" si="417">IF(F707="AKTIF",6000000,IF(F707="CUTI",6000000,0))</f>
        <v>0</v>
      </c>
      <c r="I707" s="1038">
        <f t="shared" ref="I707:I721" si="418">IF(F707="AKTIF",6000000,IF(F707="CUTI",6000000,0))</f>
        <v>0</v>
      </c>
      <c r="J707" s="1038">
        <f t="shared" ref="J707:J721" si="419">I707+H707</f>
        <v>0</v>
      </c>
      <c r="L707" s="1060">
        <f t="shared" si="410"/>
        <v>0</v>
      </c>
      <c r="M707" s="1060">
        <f t="shared" ref="M707:M721" si="420">IF(F707="LULUS",1,0)</f>
        <v>0</v>
      </c>
      <c r="N707" s="1060">
        <f t="shared" ref="N707:N721" si="421">IF(F707="CUTI",1,0)</f>
        <v>0</v>
      </c>
      <c r="O707" s="1060">
        <f t="shared" ref="O707:O721" si="422">IF(F707="DROP OUT",1,0)</f>
        <v>0</v>
      </c>
      <c r="P707" s="1060">
        <f t="shared" ref="P707:P721" si="423">IF(F707="PASIF",1,0)</f>
        <v>1</v>
      </c>
    </row>
    <row r="708" spans="1:16" x14ac:dyDescent="0.25">
      <c r="A708" s="1034">
        <v>1138</v>
      </c>
      <c r="B708" s="1034">
        <f t="shared" si="411"/>
        <v>2</v>
      </c>
      <c r="C708" s="1034" t="str">
        <f t="shared" si="412"/>
        <v>ABDUL HAQ AS</v>
      </c>
      <c r="D708" s="1035" t="str">
        <f t="shared" si="413"/>
        <v>5000 Dok</v>
      </c>
      <c r="E708" s="1036">
        <f t="shared" si="414"/>
        <v>2016</v>
      </c>
      <c r="F708" s="1035" t="str">
        <f t="shared" si="415"/>
        <v>AKTIF</v>
      </c>
      <c r="G708" s="1036">
        <f t="shared" si="416"/>
        <v>841916002</v>
      </c>
      <c r="H708" s="1038">
        <f t="shared" si="417"/>
        <v>6000000</v>
      </c>
      <c r="I708" s="1038">
        <f t="shared" si="418"/>
        <v>6000000</v>
      </c>
      <c r="J708" s="1038">
        <f t="shared" si="419"/>
        <v>12000000</v>
      </c>
      <c r="L708" s="1060">
        <f t="shared" si="410"/>
        <v>1</v>
      </c>
      <c r="M708" s="1060">
        <f t="shared" si="420"/>
        <v>0</v>
      </c>
      <c r="N708" s="1060">
        <f t="shared" si="421"/>
        <v>0</v>
      </c>
      <c r="O708" s="1060">
        <f t="shared" si="422"/>
        <v>0</v>
      </c>
      <c r="P708" s="1060">
        <f t="shared" si="423"/>
        <v>0</v>
      </c>
    </row>
    <row r="709" spans="1:16" x14ac:dyDescent="0.25">
      <c r="A709" s="1034">
        <v>1139</v>
      </c>
      <c r="B709" s="1034">
        <f t="shared" si="411"/>
        <v>3</v>
      </c>
      <c r="C709" s="1034" t="str">
        <f t="shared" si="412"/>
        <v>ABU HASAN AGUS R</v>
      </c>
      <c r="D709" s="1035" t="str">
        <f t="shared" si="413"/>
        <v>5000 Dok</v>
      </c>
      <c r="E709" s="1036">
        <f t="shared" si="414"/>
        <v>2016</v>
      </c>
      <c r="F709" s="1035" t="str">
        <f t="shared" si="415"/>
        <v>PASIF</v>
      </c>
      <c r="G709" s="1036">
        <f t="shared" si="416"/>
        <v>841916003</v>
      </c>
      <c r="H709" s="1038">
        <f t="shared" si="417"/>
        <v>0</v>
      </c>
      <c r="I709" s="1038">
        <f t="shared" si="418"/>
        <v>0</v>
      </c>
      <c r="J709" s="1038">
        <f t="shared" si="419"/>
        <v>0</v>
      </c>
      <c r="L709" s="1060">
        <f t="shared" si="410"/>
        <v>0</v>
      </c>
      <c r="M709" s="1060">
        <f t="shared" si="420"/>
        <v>0</v>
      </c>
      <c r="N709" s="1060">
        <f t="shared" si="421"/>
        <v>0</v>
      </c>
      <c r="O709" s="1060">
        <f t="shared" si="422"/>
        <v>0</v>
      </c>
      <c r="P709" s="1060">
        <f t="shared" si="423"/>
        <v>1</v>
      </c>
    </row>
    <row r="710" spans="1:16" x14ac:dyDescent="0.25">
      <c r="A710" s="1034">
        <v>1140</v>
      </c>
      <c r="B710" s="1034">
        <f t="shared" si="411"/>
        <v>4</v>
      </c>
      <c r="C710" s="1034" t="str">
        <f t="shared" si="412"/>
        <v>AHMAD IHWANUL MUTTAQIN</v>
      </c>
      <c r="D710" s="1035" t="str">
        <f t="shared" si="413"/>
        <v>5000 Dok</v>
      </c>
      <c r="E710" s="1036">
        <f t="shared" si="414"/>
        <v>2016</v>
      </c>
      <c r="F710" s="1035" t="str">
        <f t="shared" si="415"/>
        <v>PASIF</v>
      </c>
      <c r="G710" s="1036">
        <f t="shared" si="416"/>
        <v>841916004</v>
      </c>
      <c r="H710" s="1038">
        <f t="shared" si="417"/>
        <v>0</v>
      </c>
      <c r="I710" s="1038">
        <f t="shared" si="418"/>
        <v>0</v>
      </c>
      <c r="J710" s="1038">
        <f t="shared" si="419"/>
        <v>0</v>
      </c>
      <c r="L710" s="1060">
        <f t="shared" si="410"/>
        <v>0</v>
      </c>
      <c r="M710" s="1060">
        <f t="shared" si="420"/>
        <v>0</v>
      </c>
      <c r="N710" s="1060">
        <f t="shared" si="421"/>
        <v>0</v>
      </c>
      <c r="O710" s="1060">
        <f t="shared" si="422"/>
        <v>0</v>
      </c>
      <c r="P710" s="1060">
        <f t="shared" si="423"/>
        <v>1</v>
      </c>
    </row>
    <row r="711" spans="1:16" x14ac:dyDescent="0.25">
      <c r="A711" s="1034">
        <v>1141</v>
      </c>
      <c r="B711" s="1034">
        <f t="shared" si="411"/>
        <v>5</v>
      </c>
      <c r="C711" s="1034" t="str">
        <f t="shared" si="412"/>
        <v>AHMAD TA'RIFIN</v>
      </c>
      <c r="D711" s="1035" t="str">
        <f t="shared" si="413"/>
        <v>5000 Dok</v>
      </c>
      <c r="E711" s="1036">
        <f t="shared" si="414"/>
        <v>2016</v>
      </c>
      <c r="F711" s="1035" t="str">
        <f t="shared" si="415"/>
        <v>AKTIF</v>
      </c>
      <c r="G711" s="1036">
        <f t="shared" si="416"/>
        <v>841916005</v>
      </c>
      <c r="H711" s="1038">
        <f t="shared" si="417"/>
        <v>6000000</v>
      </c>
      <c r="I711" s="1038">
        <f t="shared" si="418"/>
        <v>6000000</v>
      </c>
      <c r="J711" s="1038">
        <f t="shared" si="419"/>
        <v>12000000</v>
      </c>
      <c r="L711" s="1060">
        <f t="shared" si="410"/>
        <v>1</v>
      </c>
      <c r="M711" s="1060">
        <f t="shared" si="420"/>
        <v>0</v>
      </c>
      <c r="N711" s="1060">
        <f t="shared" si="421"/>
        <v>0</v>
      </c>
      <c r="O711" s="1060">
        <f t="shared" si="422"/>
        <v>0</v>
      </c>
      <c r="P711" s="1060">
        <f t="shared" si="423"/>
        <v>0</v>
      </c>
    </row>
    <row r="712" spans="1:16" x14ac:dyDescent="0.25">
      <c r="A712" s="1034">
        <v>1142</v>
      </c>
      <c r="B712" s="1034">
        <f t="shared" si="411"/>
        <v>6</v>
      </c>
      <c r="C712" s="1034" t="str">
        <f t="shared" si="412"/>
        <v>ANA ANIATI</v>
      </c>
      <c r="D712" s="1035" t="str">
        <f t="shared" si="413"/>
        <v>5000 Dok</v>
      </c>
      <c r="E712" s="1036">
        <f t="shared" si="414"/>
        <v>2016</v>
      </c>
      <c r="F712" s="1035" t="str">
        <f t="shared" si="415"/>
        <v>PASIF</v>
      </c>
      <c r="G712" s="1036">
        <f t="shared" si="416"/>
        <v>841916006</v>
      </c>
      <c r="H712" s="1038">
        <f t="shared" si="417"/>
        <v>0</v>
      </c>
      <c r="I712" s="1038">
        <f t="shared" si="418"/>
        <v>0</v>
      </c>
      <c r="J712" s="1038">
        <f t="shared" si="419"/>
        <v>0</v>
      </c>
      <c r="L712" s="1060">
        <f t="shared" si="410"/>
        <v>0</v>
      </c>
      <c r="M712" s="1060">
        <f t="shared" si="420"/>
        <v>0</v>
      </c>
      <c r="N712" s="1060">
        <f t="shared" si="421"/>
        <v>0</v>
      </c>
      <c r="O712" s="1060">
        <f t="shared" si="422"/>
        <v>0</v>
      </c>
      <c r="P712" s="1060">
        <f t="shared" si="423"/>
        <v>1</v>
      </c>
    </row>
    <row r="713" spans="1:16" x14ac:dyDescent="0.25">
      <c r="A713" s="1034">
        <v>1143</v>
      </c>
      <c r="B713" s="1034">
        <f t="shared" si="411"/>
        <v>7</v>
      </c>
      <c r="C713" s="1034" t="str">
        <f t="shared" si="412"/>
        <v>DEDE HUSNI MUBAROK</v>
      </c>
      <c r="D713" s="1035" t="str">
        <f t="shared" si="413"/>
        <v>5000 Dok</v>
      </c>
      <c r="E713" s="1036">
        <f t="shared" si="414"/>
        <v>2016</v>
      </c>
      <c r="F713" s="1035" t="str">
        <f t="shared" si="415"/>
        <v>LULUS</v>
      </c>
      <c r="G713" s="1036">
        <f t="shared" si="416"/>
        <v>841916007</v>
      </c>
      <c r="H713" s="1038">
        <f t="shared" si="417"/>
        <v>0</v>
      </c>
      <c r="I713" s="1038">
        <f t="shared" si="418"/>
        <v>0</v>
      </c>
      <c r="J713" s="1038">
        <f t="shared" si="419"/>
        <v>0</v>
      </c>
      <c r="L713" s="1060">
        <f t="shared" si="410"/>
        <v>0</v>
      </c>
      <c r="M713" s="1060">
        <f t="shared" si="420"/>
        <v>1</v>
      </c>
      <c r="N713" s="1060">
        <f t="shared" si="421"/>
        <v>0</v>
      </c>
      <c r="O713" s="1060">
        <f t="shared" si="422"/>
        <v>0</v>
      </c>
      <c r="P713" s="1060">
        <f t="shared" si="423"/>
        <v>0</v>
      </c>
    </row>
    <row r="714" spans="1:16" x14ac:dyDescent="0.25">
      <c r="A714" s="1034">
        <v>1144</v>
      </c>
      <c r="B714" s="1034">
        <f t="shared" si="411"/>
        <v>8</v>
      </c>
      <c r="C714" s="1034" t="str">
        <f t="shared" si="412"/>
        <v>MOHAMMAD FAWAID</v>
      </c>
      <c r="D714" s="1035" t="str">
        <f t="shared" si="413"/>
        <v>5000 Dok</v>
      </c>
      <c r="E714" s="1036">
        <f t="shared" si="414"/>
        <v>2016</v>
      </c>
      <c r="F714" s="1035" t="str">
        <f t="shared" si="415"/>
        <v>AKTIF</v>
      </c>
      <c r="G714" s="1036">
        <f t="shared" si="416"/>
        <v>841916008</v>
      </c>
      <c r="H714" s="1038">
        <f t="shared" si="417"/>
        <v>6000000</v>
      </c>
      <c r="I714" s="1038">
        <f t="shared" si="418"/>
        <v>6000000</v>
      </c>
      <c r="J714" s="1038">
        <f t="shared" si="419"/>
        <v>12000000</v>
      </c>
      <c r="L714" s="1060">
        <f t="shared" si="410"/>
        <v>1</v>
      </c>
      <c r="M714" s="1060">
        <f t="shared" si="420"/>
        <v>0</v>
      </c>
      <c r="N714" s="1060">
        <f t="shared" si="421"/>
        <v>0</v>
      </c>
      <c r="O714" s="1060">
        <f t="shared" si="422"/>
        <v>0</v>
      </c>
      <c r="P714" s="1060">
        <f t="shared" si="423"/>
        <v>0</v>
      </c>
    </row>
    <row r="715" spans="1:16" x14ac:dyDescent="0.25">
      <c r="A715" s="1034">
        <v>1145</v>
      </c>
      <c r="B715" s="1034">
        <f t="shared" si="411"/>
        <v>9</v>
      </c>
      <c r="C715" s="1034" t="str">
        <f t="shared" si="412"/>
        <v>SITI NURSYAMSIYAH</v>
      </c>
      <c r="D715" s="1035" t="str">
        <f t="shared" si="413"/>
        <v>5000 Dok</v>
      </c>
      <c r="E715" s="1036">
        <f t="shared" si="414"/>
        <v>2016</v>
      </c>
      <c r="F715" s="1035" t="str">
        <f t="shared" si="415"/>
        <v>LULUS</v>
      </c>
      <c r="G715" s="1036">
        <f t="shared" si="416"/>
        <v>841916009</v>
      </c>
      <c r="H715" s="1038">
        <f t="shared" si="417"/>
        <v>0</v>
      </c>
      <c r="I715" s="1038">
        <f t="shared" si="418"/>
        <v>0</v>
      </c>
      <c r="J715" s="1038">
        <f t="shared" si="419"/>
        <v>0</v>
      </c>
      <c r="L715" s="1060">
        <f t="shared" si="410"/>
        <v>0</v>
      </c>
      <c r="M715" s="1060">
        <f t="shared" si="420"/>
        <v>1</v>
      </c>
      <c r="N715" s="1060">
        <f t="shared" si="421"/>
        <v>0</v>
      </c>
      <c r="O715" s="1060">
        <f t="shared" si="422"/>
        <v>0</v>
      </c>
      <c r="P715" s="1060">
        <f t="shared" si="423"/>
        <v>0</v>
      </c>
    </row>
    <row r="716" spans="1:16" x14ac:dyDescent="0.25">
      <c r="A716" s="1034">
        <v>1146</v>
      </c>
      <c r="B716" s="1034">
        <f t="shared" si="411"/>
        <v>10</v>
      </c>
      <c r="C716" s="1034" t="str">
        <f t="shared" si="412"/>
        <v>SITI QOMALA KHAYATI</v>
      </c>
      <c r="D716" s="1035" t="str">
        <f t="shared" si="413"/>
        <v>5000 Dok</v>
      </c>
      <c r="E716" s="1036">
        <f t="shared" si="414"/>
        <v>2016</v>
      </c>
      <c r="F716" s="1035" t="str">
        <f t="shared" si="415"/>
        <v>AKTIF</v>
      </c>
      <c r="G716" s="1036">
        <f t="shared" si="416"/>
        <v>841916010</v>
      </c>
      <c r="H716" s="1038">
        <f t="shared" si="417"/>
        <v>6000000</v>
      </c>
      <c r="I716" s="1038">
        <f t="shared" si="418"/>
        <v>6000000</v>
      </c>
      <c r="J716" s="1038">
        <f t="shared" si="419"/>
        <v>12000000</v>
      </c>
      <c r="L716" s="1060">
        <f t="shared" si="410"/>
        <v>1</v>
      </c>
      <c r="M716" s="1060">
        <f t="shared" si="420"/>
        <v>0</v>
      </c>
      <c r="N716" s="1060">
        <f t="shared" si="421"/>
        <v>0</v>
      </c>
      <c r="O716" s="1060">
        <f t="shared" si="422"/>
        <v>0</v>
      </c>
      <c r="P716" s="1060">
        <f t="shared" si="423"/>
        <v>0</v>
      </c>
    </row>
    <row r="717" spans="1:16" x14ac:dyDescent="0.25">
      <c r="A717" s="1034">
        <v>1147</v>
      </c>
      <c r="B717" s="1034">
        <f t="shared" si="411"/>
        <v>11</v>
      </c>
      <c r="C717" s="1034" t="str">
        <f t="shared" si="412"/>
        <v>AHMAD KHALID</v>
      </c>
      <c r="D717" s="1035" t="str">
        <f t="shared" si="413"/>
        <v>5000 Dok</v>
      </c>
      <c r="E717" s="1036">
        <f t="shared" si="414"/>
        <v>2016</v>
      </c>
      <c r="F717" s="1035" t="str">
        <f t="shared" si="415"/>
        <v>LULUS</v>
      </c>
      <c r="G717" s="1036">
        <f t="shared" si="416"/>
        <v>841916011</v>
      </c>
      <c r="H717" s="1038">
        <f t="shared" si="417"/>
        <v>0</v>
      </c>
      <c r="I717" s="1038">
        <f t="shared" si="418"/>
        <v>0</v>
      </c>
      <c r="J717" s="1038">
        <f t="shared" si="419"/>
        <v>0</v>
      </c>
      <c r="L717" s="1060">
        <f t="shared" si="410"/>
        <v>0</v>
      </c>
      <c r="M717" s="1060">
        <f t="shared" si="420"/>
        <v>1</v>
      </c>
      <c r="N717" s="1060">
        <f t="shared" si="421"/>
        <v>0</v>
      </c>
      <c r="O717" s="1060">
        <f t="shared" si="422"/>
        <v>0</v>
      </c>
      <c r="P717" s="1060">
        <f t="shared" si="423"/>
        <v>0</v>
      </c>
    </row>
    <row r="718" spans="1:16" x14ac:dyDescent="0.25">
      <c r="A718" s="1034">
        <v>1148</v>
      </c>
      <c r="B718" s="1034">
        <f t="shared" si="411"/>
        <v>12</v>
      </c>
      <c r="C718" s="1034" t="str">
        <f t="shared" si="412"/>
        <v>SHINTA NENTO</v>
      </c>
      <c r="D718" s="1035" t="str">
        <f t="shared" si="413"/>
        <v>5000 Dok</v>
      </c>
      <c r="E718" s="1036">
        <f t="shared" si="414"/>
        <v>2016</v>
      </c>
      <c r="F718" s="1035" t="str">
        <f t="shared" si="415"/>
        <v>LULUS</v>
      </c>
      <c r="G718" s="1036">
        <f t="shared" si="416"/>
        <v>841916012</v>
      </c>
      <c r="H718" s="1038">
        <f t="shared" si="417"/>
        <v>0</v>
      </c>
      <c r="I718" s="1038">
        <f t="shared" si="418"/>
        <v>0</v>
      </c>
      <c r="J718" s="1038">
        <f t="shared" si="419"/>
        <v>0</v>
      </c>
      <c r="L718" s="1060">
        <f t="shared" si="410"/>
        <v>0</v>
      </c>
      <c r="M718" s="1060">
        <f t="shared" si="420"/>
        <v>1</v>
      </c>
      <c r="N718" s="1060">
        <f t="shared" si="421"/>
        <v>0</v>
      </c>
      <c r="O718" s="1060">
        <f t="shared" si="422"/>
        <v>0</v>
      </c>
      <c r="P718" s="1060">
        <f t="shared" si="423"/>
        <v>0</v>
      </c>
    </row>
    <row r="719" spans="1:16" x14ac:dyDescent="0.25">
      <c r="A719" s="1034">
        <v>1149</v>
      </c>
      <c r="B719" s="1034">
        <f t="shared" si="411"/>
        <v>13</v>
      </c>
      <c r="C719" s="1034" t="str">
        <f t="shared" si="412"/>
        <v>ABD. HAYYI AKROM</v>
      </c>
      <c r="D719" s="1035" t="str">
        <f t="shared" si="413"/>
        <v>5000 Dok</v>
      </c>
      <c r="E719" s="1036">
        <f t="shared" si="414"/>
        <v>2016</v>
      </c>
      <c r="F719" s="1035" t="str">
        <f t="shared" si="415"/>
        <v>LULUS</v>
      </c>
      <c r="G719" s="1036">
        <f t="shared" si="416"/>
        <v>841916013</v>
      </c>
      <c r="H719" s="1038">
        <f t="shared" si="417"/>
        <v>0</v>
      </c>
      <c r="I719" s="1038">
        <f t="shared" si="418"/>
        <v>0</v>
      </c>
      <c r="J719" s="1038">
        <f t="shared" si="419"/>
        <v>0</v>
      </c>
      <c r="L719" s="1060">
        <f t="shared" si="410"/>
        <v>0</v>
      </c>
      <c r="M719" s="1060">
        <f t="shared" si="420"/>
        <v>1</v>
      </c>
      <c r="N719" s="1060">
        <f t="shared" si="421"/>
        <v>0</v>
      </c>
      <c r="O719" s="1060">
        <f t="shared" si="422"/>
        <v>0</v>
      </c>
      <c r="P719" s="1060">
        <f t="shared" si="423"/>
        <v>0</v>
      </c>
    </row>
    <row r="720" spans="1:16" x14ac:dyDescent="0.25">
      <c r="A720" s="1034">
        <v>1150</v>
      </c>
      <c r="B720" s="1034">
        <f t="shared" si="411"/>
        <v>14</v>
      </c>
      <c r="C720" s="1034" t="str">
        <f t="shared" si="412"/>
        <v>SYAMSUL ARIFIN</v>
      </c>
      <c r="D720" s="1035" t="str">
        <f t="shared" si="413"/>
        <v>5000 Dok</v>
      </c>
      <c r="E720" s="1036">
        <f t="shared" si="414"/>
        <v>2016</v>
      </c>
      <c r="F720" s="1035" t="str">
        <f t="shared" si="415"/>
        <v>AKTIF</v>
      </c>
      <c r="G720" s="1036">
        <f t="shared" si="416"/>
        <v>841916014</v>
      </c>
      <c r="H720" s="1038">
        <f t="shared" si="417"/>
        <v>6000000</v>
      </c>
      <c r="I720" s="1038">
        <f t="shared" si="418"/>
        <v>6000000</v>
      </c>
      <c r="J720" s="1038">
        <f t="shared" si="419"/>
        <v>12000000</v>
      </c>
      <c r="L720" s="1060">
        <f t="shared" si="410"/>
        <v>1</v>
      </c>
      <c r="M720" s="1060">
        <f t="shared" si="420"/>
        <v>0</v>
      </c>
      <c r="N720" s="1060">
        <f t="shared" si="421"/>
        <v>0</v>
      </c>
      <c r="O720" s="1060">
        <f t="shared" si="422"/>
        <v>0</v>
      </c>
      <c r="P720" s="1060">
        <f t="shared" si="423"/>
        <v>0</v>
      </c>
    </row>
    <row r="721" spans="1:16" x14ac:dyDescent="0.25">
      <c r="A721" s="1034">
        <v>1151</v>
      </c>
      <c r="B721" s="1034">
        <f t="shared" si="411"/>
        <v>15</v>
      </c>
      <c r="C721" s="1034" t="str">
        <f t="shared" si="412"/>
        <v>SYARIFATUL MARWIYAH</v>
      </c>
      <c r="D721" s="1035" t="str">
        <f t="shared" si="413"/>
        <v>5000 Dok</v>
      </c>
      <c r="E721" s="1036">
        <f t="shared" si="414"/>
        <v>2016</v>
      </c>
      <c r="F721" s="1035" t="str">
        <f t="shared" si="415"/>
        <v>LULUS</v>
      </c>
      <c r="G721" s="1036">
        <f t="shared" si="416"/>
        <v>841916015</v>
      </c>
      <c r="H721" s="1038">
        <f t="shared" si="417"/>
        <v>0</v>
      </c>
      <c r="I721" s="1038">
        <f t="shared" si="418"/>
        <v>0</v>
      </c>
      <c r="J721" s="1038">
        <f t="shared" si="419"/>
        <v>0</v>
      </c>
      <c r="L721" s="1060">
        <f t="shared" si="410"/>
        <v>0</v>
      </c>
      <c r="M721" s="1060">
        <f t="shared" si="420"/>
        <v>1</v>
      </c>
      <c r="N721" s="1060">
        <f t="shared" si="421"/>
        <v>0</v>
      </c>
      <c r="O721" s="1060">
        <f t="shared" si="422"/>
        <v>0</v>
      </c>
      <c r="P721" s="1060">
        <f t="shared" si="423"/>
        <v>0</v>
      </c>
    </row>
    <row r="722" spans="1:16" x14ac:dyDescent="0.25">
      <c r="A722" s="1039"/>
      <c r="B722" s="1039"/>
      <c r="C722" s="1039"/>
      <c r="D722" s="1040"/>
      <c r="E722" s="1041"/>
      <c r="F722" s="1040"/>
      <c r="G722" s="1041"/>
      <c r="H722" s="1042"/>
      <c r="I722" s="1042"/>
      <c r="J722" s="1042"/>
      <c r="L722" s="1042"/>
      <c r="M722" s="1042"/>
      <c r="N722" s="1042"/>
      <c r="O722" s="1042"/>
      <c r="P722" s="1042"/>
    </row>
    <row r="723" spans="1:16" x14ac:dyDescent="0.25">
      <c r="A723" s="1073" t="str">
        <f>'Rekap SPP'!A1247</f>
        <v>S3-MPI ANGK II 2016/2017</v>
      </c>
      <c r="B723" s="1073"/>
      <c r="C723" s="1073"/>
      <c r="D723" s="1074" t="s">
        <v>3</v>
      </c>
      <c r="E723" s="1075" t="s">
        <v>4</v>
      </c>
      <c r="F723" s="1074" t="s">
        <v>3195</v>
      </c>
      <c r="G723" s="1075" t="s">
        <v>1</v>
      </c>
      <c r="H723" s="1074" t="s">
        <v>3341</v>
      </c>
      <c r="I723" s="1074" t="s">
        <v>3362</v>
      </c>
      <c r="J723" s="1062">
        <f>SUM(J724:J730)</f>
        <v>36000000</v>
      </c>
      <c r="L723" s="1063">
        <f>SUM(L724:L730)</f>
        <v>3</v>
      </c>
      <c r="M723" s="1063">
        <f>SUM(M724:M730)</f>
        <v>0</v>
      </c>
      <c r="N723" s="1063">
        <f>SUM(N724:N730)</f>
        <v>0</v>
      </c>
      <c r="O723" s="1063">
        <f>SUM(O724:O730)</f>
        <v>4</v>
      </c>
      <c r="P723" s="1063">
        <f>SUM(P724:P730)</f>
        <v>0</v>
      </c>
    </row>
    <row r="724" spans="1:16" x14ac:dyDescent="0.25">
      <c r="A724" s="1034">
        <v>1152</v>
      </c>
      <c r="B724" s="1034">
        <f t="shared" si="411"/>
        <v>16</v>
      </c>
      <c r="C724" s="1034" t="str">
        <f t="shared" ref="C724:C730" si="424">IFERROR(VLOOKUP(A724,DB,4,FALSE),"")</f>
        <v>EMSIKHU IRA GUNAWAN</v>
      </c>
      <c r="D724" s="1035" t="str">
        <f t="shared" ref="D724:D730" si="425">IFERROR(VLOOKUP(A724,DB,5,FALSE),"")</f>
        <v>MPI-S3</v>
      </c>
      <c r="E724" s="1036">
        <f t="shared" ref="E724:E730" si="426">IFERROR(VLOOKUP(A724,DB,6,FALSE),"")</f>
        <v>2016</v>
      </c>
      <c r="F724" s="1035" t="str">
        <f t="shared" ref="F724:F730" si="427">IFERROR(VLOOKUP(A724,DB,7,FALSE),"")</f>
        <v>AKTIF</v>
      </c>
      <c r="G724" s="1036">
        <f t="shared" ref="G724:G730" si="428">IFERROR(VLOOKUP(A724,DB,3,FALSE),"")</f>
        <v>841916016</v>
      </c>
      <c r="H724" s="1038">
        <f t="shared" ref="H724:H730" si="429">IF(F724="AKTIF",6000000,IF(F724="CUTI",6000000,0))</f>
        <v>6000000</v>
      </c>
      <c r="I724" s="1038">
        <f t="shared" ref="I724:I730" si="430">IF(F724="AKTIF",6000000,IF(F724="CUTI",6000000,0))</f>
        <v>6000000</v>
      </c>
      <c r="J724" s="1038">
        <f t="shared" ref="J724:J730" si="431">I724+H724</f>
        <v>12000000</v>
      </c>
      <c r="L724" s="1060">
        <f t="shared" si="410"/>
        <v>1</v>
      </c>
      <c r="M724" s="1060">
        <f t="shared" ref="M724:M730" si="432">IF(F724="LULUS",1,0)</f>
        <v>0</v>
      </c>
      <c r="N724" s="1060">
        <f t="shared" ref="N724:N730" si="433">IF(F724="CUTI",1,0)</f>
        <v>0</v>
      </c>
      <c r="O724" s="1060">
        <f t="shared" ref="O724:O730" si="434">IF(F724="DROP OUT",1,0)</f>
        <v>0</v>
      </c>
      <c r="P724" s="1060">
        <f t="shared" ref="P724:P730" si="435">IF(F724="PASIF",1,0)</f>
        <v>0</v>
      </c>
    </row>
    <row r="725" spans="1:16" x14ac:dyDescent="0.25">
      <c r="A725" s="1034">
        <v>1153</v>
      </c>
      <c r="B725" s="1034">
        <f t="shared" si="411"/>
        <v>17</v>
      </c>
      <c r="C725" s="1034" t="str">
        <f t="shared" si="424"/>
        <v>MUHAMAD UMAR HASIBULLAH</v>
      </c>
      <c r="D725" s="1035" t="str">
        <f t="shared" si="425"/>
        <v>MPI-S3</v>
      </c>
      <c r="E725" s="1036">
        <f t="shared" si="426"/>
        <v>2016</v>
      </c>
      <c r="F725" s="1035" t="str">
        <f t="shared" si="427"/>
        <v>DROP OUT</v>
      </c>
      <c r="G725" s="1036">
        <f t="shared" si="428"/>
        <v>841916017</v>
      </c>
      <c r="H725" s="1038">
        <f t="shared" si="429"/>
        <v>0</v>
      </c>
      <c r="I725" s="1038">
        <f t="shared" si="430"/>
        <v>0</v>
      </c>
      <c r="J725" s="1038">
        <f t="shared" si="431"/>
        <v>0</v>
      </c>
      <c r="L725" s="1060">
        <f t="shared" si="410"/>
        <v>0</v>
      </c>
      <c r="M725" s="1060">
        <f t="shared" si="432"/>
        <v>0</v>
      </c>
      <c r="N725" s="1060">
        <f t="shared" si="433"/>
        <v>0</v>
      </c>
      <c r="O725" s="1060">
        <f t="shared" si="434"/>
        <v>1</v>
      </c>
      <c r="P725" s="1060">
        <f t="shared" si="435"/>
        <v>0</v>
      </c>
    </row>
    <row r="726" spans="1:16" x14ac:dyDescent="0.25">
      <c r="A726" s="1034">
        <v>1154</v>
      </c>
      <c r="B726" s="1034">
        <f t="shared" si="411"/>
        <v>18</v>
      </c>
      <c r="C726" s="1034" t="str">
        <f t="shared" si="424"/>
        <v>MOHAMMAD FARIS</v>
      </c>
      <c r="D726" s="1035" t="str">
        <f t="shared" si="425"/>
        <v>MPI-S3</v>
      </c>
      <c r="E726" s="1036">
        <f t="shared" si="426"/>
        <v>2016</v>
      </c>
      <c r="F726" s="1035" t="str">
        <f t="shared" si="427"/>
        <v>AKTIF</v>
      </c>
      <c r="G726" s="1036">
        <f t="shared" si="428"/>
        <v>841916018</v>
      </c>
      <c r="H726" s="1038">
        <f t="shared" si="429"/>
        <v>6000000</v>
      </c>
      <c r="I726" s="1038">
        <f t="shared" si="430"/>
        <v>6000000</v>
      </c>
      <c r="J726" s="1038">
        <f t="shared" si="431"/>
        <v>12000000</v>
      </c>
      <c r="L726" s="1060">
        <f t="shared" si="410"/>
        <v>1</v>
      </c>
      <c r="M726" s="1060">
        <f t="shared" si="432"/>
        <v>0</v>
      </c>
      <c r="N726" s="1060">
        <f t="shared" si="433"/>
        <v>0</v>
      </c>
      <c r="O726" s="1060">
        <f t="shared" si="434"/>
        <v>0</v>
      </c>
      <c r="P726" s="1060">
        <f t="shared" si="435"/>
        <v>0</v>
      </c>
    </row>
    <row r="727" spans="1:16" x14ac:dyDescent="0.25">
      <c r="A727" s="1034">
        <v>1155</v>
      </c>
      <c r="B727" s="1034">
        <f t="shared" si="411"/>
        <v>19</v>
      </c>
      <c r="C727" s="1034" t="str">
        <f t="shared" si="424"/>
        <v>NUR ALI</v>
      </c>
      <c r="D727" s="1035" t="str">
        <f t="shared" si="425"/>
        <v>MPI-S3</v>
      </c>
      <c r="E727" s="1036">
        <f t="shared" si="426"/>
        <v>2016</v>
      </c>
      <c r="F727" s="1035" t="str">
        <f t="shared" si="427"/>
        <v>DROP OUT</v>
      </c>
      <c r="G727" s="1036">
        <f t="shared" si="428"/>
        <v>841916019</v>
      </c>
      <c r="H727" s="1038">
        <f t="shared" si="429"/>
        <v>0</v>
      </c>
      <c r="I727" s="1038">
        <f t="shared" si="430"/>
        <v>0</v>
      </c>
      <c r="J727" s="1038">
        <f t="shared" si="431"/>
        <v>0</v>
      </c>
      <c r="L727" s="1060">
        <f t="shared" si="410"/>
        <v>0</v>
      </c>
      <c r="M727" s="1060">
        <f t="shared" si="432"/>
        <v>0</v>
      </c>
      <c r="N727" s="1060">
        <f t="shared" si="433"/>
        <v>0</v>
      </c>
      <c r="O727" s="1060">
        <f t="shared" si="434"/>
        <v>1</v>
      </c>
      <c r="P727" s="1060">
        <f t="shared" si="435"/>
        <v>0</v>
      </c>
    </row>
    <row r="728" spans="1:16" x14ac:dyDescent="0.25">
      <c r="A728" s="1034">
        <v>1156</v>
      </c>
      <c r="B728" s="1034">
        <f t="shared" si="411"/>
        <v>20</v>
      </c>
      <c r="C728" s="1034" t="str">
        <f t="shared" si="424"/>
        <v>AHMAD YUSTRU DASWARA</v>
      </c>
      <c r="D728" s="1035" t="str">
        <f t="shared" si="425"/>
        <v>MPI-S3</v>
      </c>
      <c r="E728" s="1036">
        <f t="shared" si="426"/>
        <v>2016</v>
      </c>
      <c r="F728" s="1035" t="str">
        <f t="shared" si="427"/>
        <v>DROP OUT</v>
      </c>
      <c r="G728" s="1036">
        <f t="shared" si="428"/>
        <v>841916020</v>
      </c>
      <c r="H728" s="1038">
        <f t="shared" si="429"/>
        <v>0</v>
      </c>
      <c r="I728" s="1038">
        <f t="shared" si="430"/>
        <v>0</v>
      </c>
      <c r="J728" s="1038">
        <f t="shared" si="431"/>
        <v>0</v>
      </c>
      <c r="L728" s="1060">
        <f t="shared" si="410"/>
        <v>0</v>
      </c>
      <c r="M728" s="1060">
        <f t="shared" si="432"/>
        <v>0</v>
      </c>
      <c r="N728" s="1060">
        <f t="shared" si="433"/>
        <v>0</v>
      </c>
      <c r="O728" s="1060">
        <f t="shared" si="434"/>
        <v>1</v>
      </c>
      <c r="P728" s="1060">
        <f t="shared" si="435"/>
        <v>0</v>
      </c>
    </row>
    <row r="729" spans="1:16" x14ac:dyDescent="0.25">
      <c r="A729" s="1034">
        <v>1157</v>
      </c>
      <c r="B729" s="1034">
        <f t="shared" si="411"/>
        <v>21</v>
      </c>
      <c r="C729" s="1034" t="str">
        <f t="shared" si="424"/>
        <v>IFA KRISTIANI</v>
      </c>
      <c r="D729" s="1035" t="str">
        <f t="shared" si="425"/>
        <v>MPI-S3</v>
      </c>
      <c r="E729" s="1036">
        <f t="shared" si="426"/>
        <v>2016</v>
      </c>
      <c r="F729" s="1035" t="str">
        <f t="shared" si="427"/>
        <v>AKTIF</v>
      </c>
      <c r="G729" s="1036">
        <f t="shared" si="428"/>
        <v>841916021</v>
      </c>
      <c r="H729" s="1038">
        <f t="shared" si="429"/>
        <v>6000000</v>
      </c>
      <c r="I729" s="1038">
        <f t="shared" si="430"/>
        <v>6000000</v>
      </c>
      <c r="J729" s="1038">
        <f t="shared" si="431"/>
        <v>12000000</v>
      </c>
      <c r="L729" s="1060">
        <f t="shared" si="410"/>
        <v>1</v>
      </c>
      <c r="M729" s="1060">
        <f t="shared" si="432"/>
        <v>0</v>
      </c>
      <c r="N729" s="1060">
        <f t="shared" si="433"/>
        <v>0</v>
      </c>
      <c r="O729" s="1060">
        <f t="shared" si="434"/>
        <v>0</v>
      </c>
      <c r="P729" s="1060">
        <f t="shared" si="435"/>
        <v>0</v>
      </c>
    </row>
    <row r="730" spans="1:16" x14ac:dyDescent="0.25">
      <c r="A730" s="1034">
        <v>1158</v>
      </c>
      <c r="B730" s="1034">
        <f t="shared" si="411"/>
        <v>22</v>
      </c>
      <c r="C730" s="1034" t="str">
        <f t="shared" si="424"/>
        <v>MOHAMMAD AFIYANTO</v>
      </c>
      <c r="D730" s="1035" t="str">
        <f t="shared" si="425"/>
        <v>MPI-S3</v>
      </c>
      <c r="E730" s="1036">
        <f t="shared" si="426"/>
        <v>2016</v>
      </c>
      <c r="F730" s="1035" t="str">
        <f t="shared" si="427"/>
        <v>DROP OUT</v>
      </c>
      <c r="G730" s="1036">
        <f t="shared" si="428"/>
        <v>841916022</v>
      </c>
      <c r="H730" s="1038">
        <f t="shared" si="429"/>
        <v>0</v>
      </c>
      <c r="I730" s="1038">
        <f t="shared" si="430"/>
        <v>0</v>
      </c>
      <c r="J730" s="1038">
        <f t="shared" si="431"/>
        <v>0</v>
      </c>
      <c r="L730" s="1060">
        <f t="shared" si="410"/>
        <v>0</v>
      </c>
      <c r="M730" s="1060">
        <f t="shared" si="432"/>
        <v>0</v>
      </c>
      <c r="N730" s="1060">
        <f t="shared" si="433"/>
        <v>0</v>
      </c>
      <c r="O730" s="1060">
        <f t="shared" si="434"/>
        <v>1</v>
      </c>
      <c r="P730" s="1060">
        <f t="shared" si="435"/>
        <v>0</v>
      </c>
    </row>
    <row r="731" spans="1:16" x14ac:dyDescent="0.25">
      <c r="A731" s="1039"/>
      <c r="B731" s="1039"/>
      <c r="C731" s="1039"/>
      <c r="D731" s="1040"/>
      <c r="E731" s="1041"/>
      <c r="F731" s="1040"/>
      <c r="G731" s="1041"/>
      <c r="H731" s="1042"/>
      <c r="I731" s="1042"/>
      <c r="J731" s="1042"/>
      <c r="L731" s="1042"/>
      <c r="M731" s="1042"/>
      <c r="N731" s="1042"/>
      <c r="O731" s="1042"/>
      <c r="P731" s="1042"/>
    </row>
    <row r="732" spans="1:16" x14ac:dyDescent="0.25">
      <c r="A732" s="1043" t="str">
        <f>'Rekap SPP'!A1256</f>
        <v>S2-PAI 2017/2018</v>
      </c>
      <c r="B732" s="1043"/>
      <c r="C732" s="1043"/>
      <c r="D732" s="1033" t="s">
        <v>3</v>
      </c>
      <c r="E732" s="1032" t="s">
        <v>4</v>
      </c>
      <c r="F732" s="1033" t="s">
        <v>3195</v>
      </c>
      <c r="G732" s="1032" t="s">
        <v>1</v>
      </c>
      <c r="H732" s="1033" t="s">
        <v>3341</v>
      </c>
      <c r="I732" s="1033" t="s">
        <v>3362</v>
      </c>
      <c r="J732" s="1062">
        <f>SUM(J733:J785)</f>
        <v>102000000</v>
      </c>
      <c r="L732" s="1063">
        <f>SUM(L733:L785)</f>
        <v>17</v>
      </c>
      <c r="M732" s="1063">
        <f>SUM(M733:M785)</f>
        <v>25</v>
      </c>
      <c r="N732" s="1063">
        <f>SUM(N733:N785)</f>
        <v>0</v>
      </c>
      <c r="O732" s="1063">
        <f>SUM(O733:O785)</f>
        <v>2</v>
      </c>
      <c r="P732" s="1063">
        <f>SUM(P733:P785)</f>
        <v>9</v>
      </c>
    </row>
    <row r="733" spans="1:16" x14ac:dyDescent="0.25">
      <c r="A733" s="1034">
        <v>1159</v>
      </c>
      <c r="B733" s="1034">
        <f t="shared" si="411"/>
        <v>1</v>
      </c>
      <c r="C733" s="1034" t="str">
        <f t="shared" ref="C733:C764" si="436">IFERROR(VLOOKUP(A733,DB,4,FALSE),"")</f>
        <v>ABD. WARIS</v>
      </c>
      <c r="D733" s="1035" t="str">
        <f t="shared" ref="D733:D764" si="437">IFERROR(VLOOKUP(A733,DB,5,FALSE),"")</f>
        <v>PAI</v>
      </c>
      <c r="E733" s="1036">
        <f t="shared" ref="E733:E764" si="438">IFERROR(VLOOKUP(A733,DB,6,FALSE),"")</f>
        <v>2017</v>
      </c>
      <c r="F733" s="1035" t="str">
        <f t="shared" ref="F733:F764" si="439">IFERROR(VLOOKUP(A733,DB,7,FALSE),"")</f>
        <v>AKTIF</v>
      </c>
      <c r="G733" s="1036">
        <f t="shared" ref="G733:G764" si="440">IFERROR(VLOOKUP(A733,DB,3,FALSE),"")</f>
        <v>849317001</v>
      </c>
      <c r="H733" s="1038">
        <f t="shared" ref="H733:H785" si="441">IF(F733="AKTIF",3000000,IF(F733="CUTI",3000000,0))</f>
        <v>3000000</v>
      </c>
      <c r="I733" s="1038">
        <f t="shared" ref="I733:I785" si="442">IF(F733="AKTIF",3000000,IF(F733="CUTI",3000000,0))</f>
        <v>3000000</v>
      </c>
      <c r="J733" s="1038">
        <f t="shared" ref="J733:J785" si="443">I733+H733</f>
        <v>6000000</v>
      </c>
      <c r="L733" s="1060">
        <f t="shared" si="410"/>
        <v>1</v>
      </c>
      <c r="M733" s="1060">
        <f t="shared" ref="M733:M764" si="444">IF(F733="LULUS",1,0)</f>
        <v>0</v>
      </c>
      <c r="N733" s="1060">
        <f t="shared" ref="N733:N764" si="445">IF(F733="CUTI",1,0)</f>
        <v>0</v>
      </c>
      <c r="O733" s="1060">
        <f t="shared" ref="O733:O764" si="446">IF(F733="DROP OUT",1,0)</f>
        <v>0</v>
      </c>
      <c r="P733" s="1060">
        <f t="shared" ref="P733:P764" si="447">IF(F733="PASIF",1,0)</f>
        <v>0</v>
      </c>
    </row>
    <row r="734" spans="1:16" x14ac:dyDescent="0.25">
      <c r="A734" s="1034">
        <v>1160</v>
      </c>
      <c r="B734" s="1034">
        <f t="shared" si="411"/>
        <v>2</v>
      </c>
      <c r="C734" s="1034" t="str">
        <f t="shared" si="436"/>
        <v>ABDUL FATTAH</v>
      </c>
      <c r="D734" s="1035" t="str">
        <f t="shared" si="437"/>
        <v>PAI</v>
      </c>
      <c r="E734" s="1036">
        <f t="shared" si="438"/>
        <v>2017</v>
      </c>
      <c r="F734" s="1035" t="str">
        <f t="shared" si="439"/>
        <v>LULUS</v>
      </c>
      <c r="G734" s="1036">
        <f t="shared" si="440"/>
        <v>849317002</v>
      </c>
      <c r="H734" s="1038">
        <f t="shared" si="441"/>
        <v>0</v>
      </c>
      <c r="I734" s="1038">
        <f t="shared" si="442"/>
        <v>0</v>
      </c>
      <c r="J734" s="1038">
        <f t="shared" si="443"/>
        <v>0</v>
      </c>
      <c r="L734" s="1060">
        <f t="shared" si="410"/>
        <v>0</v>
      </c>
      <c r="M734" s="1060">
        <f t="shared" si="444"/>
        <v>1</v>
      </c>
      <c r="N734" s="1060">
        <f t="shared" si="445"/>
        <v>0</v>
      </c>
      <c r="O734" s="1060">
        <f t="shared" si="446"/>
        <v>0</v>
      </c>
      <c r="P734" s="1060">
        <f t="shared" si="447"/>
        <v>0</v>
      </c>
    </row>
    <row r="735" spans="1:16" x14ac:dyDescent="0.25">
      <c r="A735" s="1034">
        <v>1161</v>
      </c>
      <c r="B735" s="1034">
        <f t="shared" si="411"/>
        <v>3</v>
      </c>
      <c r="C735" s="1034" t="str">
        <f t="shared" si="436"/>
        <v>ABDUL MUFID ROBIBY</v>
      </c>
      <c r="D735" s="1035" t="str">
        <f t="shared" si="437"/>
        <v>PAI</v>
      </c>
      <c r="E735" s="1036">
        <f t="shared" si="438"/>
        <v>2017</v>
      </c>
      <c r="F735" s="1035" t="str">
        <f t="shared" si="439"/>
        <v>PASIF</v>
      </c>
      <c r="G735" s="1036">
        <f t="shared" si="440"/>
        <v>849317003</v>
      </c>
      <c r="H735" s="1038">
        <f t="shared" si="441"/>
        <v>0</v>
      </c>
      <c r="I735" s="1038">
        <f t="shared" si="442"/>
        <v>0</v>
      </c>
      <c r="J735" s="1038">
        <f t="shared" si="443"/>
        <v>0</v>
      </c>
      <c r="L735" s="1060">
        <f t="shared" si="410"/>
        <v>0</v>
      </c>
      <c r="M735" s="1060">
        <f t="shared" si="444"/>
        <v>0</v>
      </c>
      <c r="N735" s="1060">
        <f t="shared" si="445"/>
        <v>0</v>
      </c>
      <c r="O735" s="1060">
        <f t="shared" si="446"/>
        <v>0</v>
      </c>
      <c r="P735" s="1060">
        <f t="shared" si="447"/>
        <v>1</v>
      </c>
    </row>
    <row r="736" spans="1:16" x14ac:dyDescent="0.25">
      <c r="A736" s="1034">
        <v>1162</v>
      </c>
      <c r="B736" s="1034">
        <f t="shared" si="411"/>
        <v>4</v>
      </c>
      <c r="C736" s="1034" t="str">
        <f t="shared" si="436"/>
        <v>ABDUL MUNIP</v>
      </c>
      <c r="D736" s="1035" t="str">
        <f t="shared" si="437"/>
        <v>PAI</v>
      </c>
      <c r="E736" s="1036">
        <f t="shared" si="438"/>
        <v>2017</v>
      </c>
      <c r="F736" s="1035" t="str">
        <f t="shared" si="439"/>
        <v>AKTIF</v>
      </c>
      <c r="G736" s="1036">
        <f t="shared" si="440"/>
        <v>849317004</v>
      </c>
      <c r="H736" s="1038">
        <f t="shared" si="441"/>
        <v>3000000</v>
      </c>
      <c r="I736" s="1038">
        <f t="shared" si="442"/>
        <v>3000000</v>
      </c>
      <c r="J736" s="1038">
        <f t="shared" si="443"/>
        <v>6000000</v>
      </c>
      <c r="L736" s="1060">
        <f t="shared" si="410"/>
        <v>1</v>
      </c>
      <c r="M736" s="1060">
        <f t="shared" si="444"/>
        <v>0</v>
      </c>
      <c r="N736" s="1060">
        <f t="shared" si="445"/>
        <v>0</v>
      </c>
      <c r="O736" s="1060">
        <f t="shared" si="446"/>
        <v>0</v>
      </c>
      <c r="P736" s="1060">
        <f t="shared" si="447"/>
        <v>0</v>
      </c>
    </row>
    <row r="737" spans="1:16" x14ac:dyDescent="0.25">
      <c r="A737" s="1034">
        <v>1163</v>
      </c>
      <c r="B737" s="1034">
        <f t="shared" si="411"/>
        <v>5</v>
      </c>
      <c r="C737" s="1034" t="str">
        <f t="shared" si="436"/>
        <v>ABDURRASHID</v>
      </c>
      <c r="D737" s="1035" t="str">
        <f t="shared" si="437"/>
        <v>PAI</v>
      </c>
      <c r="E737" s="1036">
        <f t="shared" si="438"/>
        <v>2017</v>
      </c>
      <c r="F737" s="1035" t="str">
        <f t="shared" si="439"/>
        <v>LULUS</v>
      </c>
      <c r="G737" s="1036">
        <f t="shared" si="440"/>
        <v>849317005</v>
      </c>
      <c r="H737" s="1038">
        <f t="shared" si="441"/>
        <v>0</v>
      </c>
      <c r="I737" s="1038">
        <f t="shared" si="442"/>
        <v>0</v>
      </c>
      <c r="J737" s="1038">
        <f t="shared" si="443"/>
        <v>0</v>
      </c>
      <c r="L737" s="1060">
        <f t="shared" si="410"/>
        <v>0</v>
      </c>
      <c r="M737" s="1060">
        <f t="shared" si="444"/>
        <v>1</v>
      </c>
      <c r="N737" s="1060">
        <f t="shared" si="445"/>
        <v>0</v>
      </c>
      <c r="O737" s="1060">
        <f t="shared" si="446"/>
        <v>0</v>
      </c>
      <c r="P737" s="1060">
        <f t="shared" si="447"/>
        <v>0</v>
      </c>
    </row>
    <row r="738" spans="1:16" x14ac:dyDescent="0.25">
      <c r="A738" s="1034">
        <v>1164</v>
      </c>
      <c r="B738" s="1034">
        <f t="shared" si="411"/>
        <v>6</v>
      </c>
      <c r="C738" s="1034" t="str">
        <f t="shared" si="436"/>
        <v>ACHMAD FAUZI UMAR ARRAHMANI</v>
      </c>
      <c r="D738" s="1035" t="str">
        <f t="shared" si="437"/>
        <v>PAI</v>
      </c>
      <c r="E738" s="1036">
        <f t="shared" si="438"/>
        <v>2017</v>
      </c>
      <c r="F738" s="1035" t="str">
        <f t="shared" si="439"/>
        <v>PASIF</v>
      </c>
      <c r="G738" s="1036">
        <f t="shared" si="440"/>
        <v>849317006</v>
      </c>
      <c r="H738" s="1038">
        <f t="shared" si="441"/>
        <v>0</v>
      </c>
      <c r="I738" s="1038">
        <f t="shared" si="442"/>
        <v>0</v>
      </c>
      <c r="J738" s="1038">
        <f t="shared" si="443"/>
        <v>0</v>
      </c>
      <c r="L738" s="1060">
        <f t="shared" si="410"/>
        <v>0</v>
      </c>
      <c r="M738" s="1060">
        <f t="shared" si="444"/>
        <v>0</v>
      </c>
      <c r="N738" s="1060">
        <f t="shared" si="445"/>
        <v>0</v>
      </c>
      <c r="O738" s="1060">
        <f t="shared" si="446"/>
        <v>0</v>
      </c>
      <c r="P738" s="1060">
        <f t="shared" si="447"/>
        <v>1</v>
      </c>
    </row>
    <row r="739" spans="1:16" x14ac:dyDescent="0.25">
      <c r="A739" s="1034">
        <v>1165</v>
      </c>
      <c r="B739" s="1034">
        <f t="shared" si="411"/>
        <v>7</v>
      </c>
      <c r="C739" s="1034" t="str">
        <f t="shared" si="436"/>
        <v>AHMAD HAMIM ZAENULLAH</v>
      </c>
      <c r="D739" s="1035" t="str">
        <f t="shared" si="437"/>
        <v>PAI</v>
      </c>
      <c r="E739" s="1036">
        <f t="shared" si="438"/>
        <v>2018</v>
      </c>
      <c r="F739" s="1035" t="str">
        <f t="shared" si="439"/>
        <v>AKTIF</v>
      </c>
      <c r="G739" s="1036">
        <f t="shared" si="440"/>
        <v>849317007</v>
      </c>
      <c r="H739" s="1038">
        <f t="shared" si="441"/>
        <v>3000000</v>
      </c>
      <c r="I739" s="1038">
        <f t="shared" si="442"/>
        <v>3000000</v>
      </c>
      <c r="J739" s="1038">
        <f t="shared" si="443"/>
        <v>6000000</v>
      </c>
      <c r="L739" s="1060">
        <f t="shared" si="410"/>
        <v>1</v>
      </c>
      <c r="M739" s="1060">
        <f t="shared" si="444"/>
        <v>0</v>
      </c>
      <c r="N739" s="1060">
        <f t="shared" si="445"/>
        <v>0</v>
      </c>
      <c r="O739" s="1060">
        <f t="shared" si="446"/>
        <v>0</v>
      </c>
      <c r="P739" s="1060">
        <f t="shared" si="447"/>
        <v>0</v>
      </c>
    </row>
    <row r="740" spans="1:16" x14ac:dyDescent="0.25">
      <c r="A740" s="1034">
        <v>1166</v>
      </c>
      <c r="B740" s="1034">
        <f t="shared" si="411"/>
        <v>8</v>
      </c>
      <c r="C740" s="1034" t="str">
        <f t="shared" si="436"/>
        <v>AHMAD MUZAQQI</v>
      </c>
      <c r="D740" s="1035" t="str">
        <f t="shared" si="437"/>
        <v>PAI</v>
      </c>
      <c r="E740" s="1036">
        <f t="shared" si="438"/>
        <v>2019</v>
      </c>
      <c r="F740" s="1035" t="str">
        <f t="shared" si="439"/>
        <v>PASIF</v>
      </c>
      <c r="G740" s="1036">
        <f t="shared" si="440"/>
        <v>849317008</v>
      </c>
      <c r="H740" s="1038">
        <f t="shared" si="441"/>
        <v>0</v>
      </c>
      <c r="I740" s="1038">
        <f t="shared" si="442"/>
        <v>0</v>
      </c>
      <c r="J740" s="1038">
        <f t="shared" si="443"/>
        <v>0</v>
      </c>
      <c r="L740" s="1060">
        <f t="shared" si="410"/>
        <v>0</v>
      </c>
      <c r="M740" s="1060">
        <f t="shared" si="444"/>
        <v>0</v>
      </c>
      <c r="N740" s="1060">
        <f t="shared" si="445"/>
        <v>0</v>
      </c>
      <c r="O740" s="1060">
        <f t="shared" si="446"/>
        <v>0</v>
      </c>
      <c r="P740" s="1060">
        <f t="shared" si="447"/>
        <v>1</v>
      </c>
    </row>
    <row r="741" spans="1:16" x14ac:dyDescent="0.25">
      <c r="A741" s="1034">
        <v>1167</v>
      </c>
      <c r="B741" s="1034">
        <f t="shared" si="411"/>
        <v>9</v>
      </c>
      <c r="C741" s="1034" t="str">
        <f t="shared" si="436"/>
        <v>AMALIA AISYAH RAHMI</v>
      </c>
      <c r="D741" s="1035" t="str">
        <f t="shared" si="437"/>
        <v>PAI</v>
      </c>
      <c r="E741" s="1036">
        <f t="shared" si="438"/>
        <v>2017</v>
      </c>
      <c r="F741" s="1035" t="str">
        <f t="shared" si="439"/>
        <v>LULUS</v>
      </c>
      <c r="G741" s="1036">
        <f t="shared" si="440"/>
        <v>849317009</v>
      </c>
      <c r="H741" s="1038">
        <f t="shared" si="441"/>
        <v>0</v>
      </c>
      <c r="I741" s="1038">
        <f t="shared" si="442"/>
        <v>0</v>
      </c>
      <c r="J741" s="1038">
        <f t="shared" si="443"/>
        <v>0</v>
      </c>
      <c r="L741" s="1060">
        <f t="shared" si="410"/>
        <v>0</v>
      </c>
      <c r="M741" s="1060">
        <f t="shared" si="444"/>
        <v>1</v>
      </c>
      <c r="N741" s="1060">
        <f t="shared" si="445"/>
        <v>0</v>
      </c>
      <c r="O741" s="1060">
        <f t="shared" si="446"/>
        <v>0</v>
      </c>
      <c r="P741" s="1060">
        <f t="shared" si="447"/>
        <v>0</v>
      </c>
    </row>
    <row r="742" spans="1:16" x14ac:dyDescent="0.25">
      <c r="A742" s="1034">
        <v>1168</v>
      </c>
      <c r="B742" s="1034">
        <f t="shared" si="411"/>
        <v>10</v>
      </c>
      <c r="C742" s="1034" t="str">
        <f t="shared" si="436"/>
        <v>ATIK NIHAYATUS SHOLIHA AMINA</v>
      </c>
      <c r="D742" s="1035" t="str">
        <f t="shared" si="437"/>
        <v>PAI</v>
      </c>
      <c r="E742" s="1036">
        <f t="shared" si="438"/>
        <v>2017</v>
      </c>
      <c r="F742" s="1035" t="str">
        <f t="shared" si="439"/>
        <v>AKTIF</v>
      </c>
      <c r="G742" s="1036">
        <f t="shared" si="440"/>
        <v>849317010</v>
      </c>
      <c r="H742" s="1038">
        <f t="shared" si="441"/>
        <v>3000000</v>
      </c>
      <c r="I742" s="1038">
        <f t="shared" si="442"/>
        <v>3000000</v>
      </c>
      <c r="J742" s="1038">
        <f t="shared" si="443"/>
        <v>6000000</v>
      </c>
      <c r="L742" s="1060">
        <f t="shared" si="410"/>
        <v>1</v>
      </c>
      <c r="M742" s="1060">
        <f t="shared" si="444"/>
        <v>0</v>
      </c>
      <c r="N742" s="1060">
        <f t="shared" si="445"/>
        <v>0</v>
      </c>
      <c r="O742" s="1060">
        <f t="shared" si="446"/>
        <v>0</v>
      </c>
      <c r="P742" s="1060">
        <f t="shared" si="447"/>
        <v>0</v>
      </c>
    </row>
    <row r="743" spans="1:16" x14ac:dyDescent="0.25">
      <c r="A743" s="1034">
        <v>1169</v>
      </c>
      <c r="B743" s="1034">
        <f t="shared" si="411"/>
        <v>11</v>
      </c>
      <c r="C743" s="1034" t="str">
        <f t="shared" si="436"/>
        <v>ATIQ KHURUL 'AIN</v>
      </c>
      <c r="D743" s="1035" t="str">
        <f t="shared" si="437"/>
        <v>PAI</v>
      </c>
      <c r="E743" s="1036">
        <f t="shared" si="438"/>
        <v>2017</v>
      </c>
      <c r="F743" s="1035" t="str">
        <f t="shared" si="439"/>
        <v>LULUS</v>
      </c>
      <c r="G743" s="1036">
        <f t="shared" si="440"/>
        <v>849317011</v>
      </c>
      <c r="H743" s="1038">
        <f t="shared" si="441"/>
        <v>0</v>
      </c>
      <c r="I743" s="1038">
        <f t="shared" si="442"/>
        <v>0</v>
      </c>
      <c r="J743" s="1038">
        <f t="shared" si="443"/>
        <v>0</v>
      </c>
      <c r="L743" s="1060">
        <f t="shared" si="410"/>
        <v>0</v>
      </c>
      <c r="M743" s="1060">
        <f t="shared" si="444"/>
        <v>1</v>
      </c>
      <c r="N743" s="1060">
        <f t="shared" si="445"/>
        <v>0</v>
      </c>
      <c r="O743" s="1060">
        <f t="shared" si="446"/>
        <v>0</v>
      </c>
      <c r="P743" s="1060">
        <f t="shared" si="447"/>
        <v>0</v>
      </c>
    </row>
    <row r="744" spans="1:16" x14ac:dyDescent="0.25">
      <c r="A744" s="1034">
        <v>1170</v>
      </c>
      <c r="B744" s="1034">
        <f t="shared" si="411"/>
        <v>12</v>
      </c>
      <c r="C744" s="1034" t="str">
        <f t="shared" si="436"/>
        <v>AWANG DARMAWAN</v>
      </c>
      <c r="D744" s="1035" t="str">
        <f t="shared" si="437"/>
        <v>PAI</v>
      </c>
      <c r="E744" s="1036">
        <f t="shared" si="438"/>
        <v>2017</v>
      </c>
      <c r="F744" s="1035" t="str">
        <f t="shared" si="439"/>
        <v>AKTIF</v>
      </c>
      <c r="G744" s="1036">
        <f t="shared" si="440"/>
        <v>849317012</v>
      </c>
      <c r="H744" s="1038">
        <f t="shared" si="441"/>
        <v>3000000</v>
      </c>
      <c r="I744" s="1038">
        <f t="shared" si="442"/>
        <v>3000000</v>
      </c>
      <c r="J744" s="1038">
        <f t="shared" si="443"/>
        <v>6000000</v>
      </c>
      <c r="L744" s="1060">
        <f t="shared" si="410"/>
        <v>1</v>
      </c>
      <c r="M744" s="1060">
        <f t="shared" si="444"/>
        <v>0</v>
      </c>
      <c r="N744" s="1060">
        <f t="shared" si="445"/>
        <v>0</v>
      </c>
      <c r="O744" s="1060">
        <f t="shared" si="446"/>
        <v>0</v>
      </c>
      <c r="P744" s="1060">
        <f t="shared" si="447"/>
        <v>0</v>
      </c>
    </row>
    <row r="745" spans="1:16" x14ac:dyDescent="0.25">
      <c r="A745" s="1034">
        <v>1171</v>
      </c>
      <c r="B745" s="1034">
        <f t="shared" si="411"/>
        <v>13</v>
      </c>
      <c r="C745" s="1034" t="str">
        <f t="shared" si="436"/>
        <v>BAGUS SUPRIADI</v>
      </c>
      <c r="D745" s="1035" t="str">
        <f t="shared" si="437"/>
        <v>PAI</v>
      </c>
      <c r="E745" s="1036">
        <f t="shared" si="438"/>
        <v>2017</v>
      </c>
      <c r="F745" s="1035" t="str">
        <f t="shared" si="439"/>
        <v>PASIF</v>
      </c>
      <c r="G745" s="1036">
        <f t="shared" si="440"/>
        <v>849317013</v>
      </c>
      <c r="H745" s="1038">
        <f t="shared" si="441"/>
        <v>0</v>
      </c>
      <c r="I745" s="1038">
        <f t="shared" si="442"/>
        <v>0</v>
      </c>
      <c r="J745" s="1038">
        <f t="shared" si="443"/>
        <v>0</v>
      </c>
      <c r="L745" s="1060">
        <f t="shared" ref="L745:L810" si="448">IF(F745="AKTIF",1,0)</f>
        <v>0</v>
      </c>
      <c r="M745" s="1060">
        <f t="shared" si="444"/>
        <v>0</v>
      </c>
      <c r="N745" s="1060">
        <f t="shared" si="445"/>
        <v>0</v>
      </c>
      <c r="O745" s="1060">
        <f t="shared" si="446"/>
        <v>0</v>
      </c>
      <c r="P745" s="1060">
        <f t="shared" si="447"/>
        <v>1</v>
      </c>
    </row>
    <row r="746" spans="1:16" x14ac:dyDescent="0.25">
      <c r="A746" s="1034">
        <v>1172</v>
      </c>
      <c r="B746" s="1034">
        <f t="shared" si="411"/>
        <v>14</v>
      </c>
      <c r="C746" s="1034" t="str">
        <f t="shared" si="436"/>
        <v>DEBBIY NURFAIDAH</v>
      </c>
      <c r="D746" s="1035" t="str">
        <f t="shared" si="437"/>
        <v>PAI</v>
      </c>
      <c r="E746" s="1036">
        <f t="shared" si="438"/>
        <v>2017</v>
      </c>
      <c r="F746" s="1035" t="str">
        <f t="shared" si="439"/>
        <v>LULUS</v>
      </c>
      <c r="G746" s="1036">
        <f t="shared" si="440"/>
        <v>849317014</v>
      </c>
      <c r="H746" s="1038">
        <f t="shared" si="441"/>
        <v>0</v>
      </c>
      <c r="I746" s="1038">
        <f t="shared" si="442"/>
        <v>0</v>
      </c>
      <c r="J746" s="1038">
        <f t="shared" si="443"/>
        <v>0</v>
      </c>
      <c r="L746" s="1060">
        <f t="shared" si="448"/>
        <v>0</v>
      </c>
      <c r="M746" s="1060">
        <f t="shared" si="444"/>
        <v>1</v>
      </c>
      <c r="N746" s="1060">
        <f t="shared" si="445"/>
        <v>0</v>
      </c>
      <c r="O746" s="1060">
        <f t="shared" si="446"/>
        <v>0</v>
      </c>
      <c r="P746" s="1060">
        <f t="shared" si="447"/>
        <v>0</v>
      </c>
    </row>
    <row r="747" spans="1:16" x14ac:dyDescent="0.25">
      <c r="A747" s="1034">
        <v>1173</v>
      </c>
      <c r="B747" s="1034">
        <f t="shared" ref="B747:B812" si="449">IFERROR(VLOOKUP(A747,DB,2,FALSE),"")</f>
        <v>15</v>
      </c>
      <c r="C747" s="1034" t="str">
        <f t="shared" si="436"/>
        <v>DEFTOASRI PUDYSATRIA PRATAMA</v>
      </c>
      <c r="D747" s="1035" t="str">
        <f t="shared" si="437"/>
        <v>PAI</v>
      </c>
      <c r="E747" s="1036">
        <f t="shared" si="438"/>
        <v>2017</v>
      </c>
      <c r="F747" s="1035" t="str">
        <f t="shared" si="439"/>
        <v>PASIF</v>
      </c>
      <c r="G747" s="1036">
        <f t="shared" si="440"/>
        <v>849317015</v>
      </c>
      <c r="H747" s="1038">
        <f t="shared" si="441"/>
        <v>0</v>
      </c>
      <c r="I747" s="1038">
        <f t="shared" si="442"/>
        <v>0</v>
      </c>
      <c r="J747" s="1038">
        <f t="shared" si="443"/>
        <v>0</v>
      </c>
      <c r="L747" s="1060">
        <f t="shared" si="448"/>
        <v>0</v>
      </c>
      <c r="M747" s="1060">
        <f t="shared" si="444"/>
        <v>0</v>
      </c>
      <c r="N747" s="1060">
        <f t="shared" si="445"/>
        <v>0</v>
      </c>
      <c r="O747" s="1060">
        <f t="shared" si="446"/>
        <v>0</v>
      </c>
      <c r="P747" s="1060">
        <f t="shared" si="447"/>
        <v>1</v>
      </c>
    </row>
    <row r="748" spans="1:16" x14ac:dyDescent="0.25">
      <c r="A748" s="1034">
        <v>1174</v>
      </c>
      <c r="B748" s="1034">
        <f t="shared" si="449"/>
        <v>16</v>
      </c>
      <c r="C748" s="1034" t="str">
        <f t="shared" si="436"/>
        <v>DIANITA ELOK AMALIYAH</v>
      </c>
      <c r="D748" s="1035" t="str">
        <f t="shared" si="437"/>
        <v>PAI</v>
      </c>
      <c r="E748" s="1036">
        <f t="shared" si="438"/>
        <v>2017</v>
      </c>
      <c r="F748" s="1035" t="str">
        <f t="shared" si="439"/>
        <v>PASIF</v>
      </c>
      <c r="G748" s="1036">
        <f t="shared" si="440"/>
        <v>849317016</v>
      </c>
      <c r="H748" s="1038">
        <f t="shared" si="441"/>
        <v>0</v>
      </c>
      <c r="I748" s="1038">
        <f t="shared" si="442"/>
        <v>0</v>
      </c>
      <c r="J748" s="1038">
        <f t="shared" si="443"/>
        <v>0</v>
      </c>
      <c r="L748" s="1060">
        <f t="shared" si="448"/>
        <v>0</v>
      </c>
      <c r="M748" s="1060">
        <f t="shared" si="444"/>
        <v>0</v>
      </c>
      <c r="N748" s="1060">
        <f t="shared" si="445"/>
        <v>0</v>
      </c>
      <c r="O748" s="1060">
        <f t="shared" si="446"/>
        <v>0</v>
      </c>
      <c r="P748" s="1060">
        <f t="shared" si="447"/>
        <v>1</v>
      </c>
    </row>
    <row r="749" spans="1:16" x14ac:dyDescent="0.25">
      <c r="A749" s="1034">
        <v>1175</v>
      </c>
      <c r="B749" s="1034">
        <f t="shared" si="449"/>
        <v>17</v>
      </c>
      <c r="C749" s="1034" t="str">
        <f t="shared" si="436"/>
        <v>EMI MASRUROH</v>
      </c>
      <c r="D749" s="1035" t="str">
        <f t="shared" si="437"/>
        <v>PAI</v>
      </c>
      <c r="E749" s="1036">
        <f t="shared" si="438"/>
        <v>2017</v>
      </c>
      <c r="F749" s="1035" t="str">
        <f t="shared" si="439"/>
        <v>AKTIF</v>
      </c>
      <c r="G749" s="1036">
        <f t="shared" si="440"/>
        <v>849317017</v>
      </c>
      <c r="H749" s="1038">
        <f t="shared" si="441"/>
        <v>3000000</v>
      </c>
      <c r="I749" s="1038">
        <f t="shared" si="442"/>
        <v>3000000</v>
      </c>
      <c r="J749" s="1038">
        <f t="shared" si="443"/>
        <v>6000000</v>
      </c>
      <c r="L749" s="1060">
        <f t="shared" si="448"/>
        <v>1</v>
      </c>
      <c r="M749" s="1060">
        <f t="shared" si="444"/>
        <v>0</v>
      </c>
      <c r="N749" s="1060">
        <f t="shared" si="445"/>
        <v>0</v>
      </c>
      <c r="O749" s="1060">
        <f t="shared" si="446"/>
        <v>0</v>
      </c>
      <c r="P749" s="1060">
        <f t="shared" si="447"/>
        <v>0</v>
      </c>
    </row>
    <row r="750" spans="1:16" x14ac:dyDescent="0.25">
      <c r="A750" s="1034">
        <v>1176</v>
      </c>
      <c r="B750" s="1034">
        <f t="shared" si="449"/>
        <v>18</v>
      </c>
      <c r="C750" s="1034" t="str">
        <f t="shared" si="436"/>
        <v>ERFAN SUMANTRI</v>
      </c>
      <c r="D750" s="1035" t="str">
        <f t="shared" si="437"/>
        <v>PAI</v>
      </c>
      <c r="E750" s="1036">
        <f t="shared" si="438"/>
        <v>2017</v>
      </c>
      <c r="F750" s="1035" t="str">
        <f t="shared" si="439"/>
        <v>AKTIF</v>
      </c>
      <c r="G750" s="1036">
        <f t="shared" si="440"/>
        <v>849317018</v>
      </c>
      <c r="H750" s="1038">
        <f t="shared" si="441"/>
        <v>3000000</v>
      </c>
      <c r="I750" s="1038">
        <f t="shared" si="442"/>
        <v>3000000</v>
      </c>
      <c r="J750" s="1038">
        <f t="shared" si="443"/>
        <v>6000000</v>
      </c>
      <c r="L750" s="1060">
        <f t="shared" si="448"/>
        <v>1</v>
      </c>
      <c r="M750" s="1060">
        <f t="shared" si="444"/>
        <v>0</v>
      </c>
      <c r="N750" s="1060">
        <f t="shared" si="445"/>
        <v>0</v>
      </c>
      <c r="O750" s="1060">
        <f t="shared" si="446"/>
        <v>0</v>
      </c>
      <c r="P750" s="1060">
        <f t="shared" si="447"/>
        <v>0</v>
      </c>
    </row>
    <row r="751" spans="1:16" x14ac:dyDescent="0.25">
      <c r="A751" s="1034">
        <v>1177</v>
      </c>
      <c r="B751" s="1034">
        <f t="shared" si="449"/>
        <v>19</v>
      </c>
      <c r="C751" s="1034" t="str">
        <f t="shared" si="436"/>
        <v>EVI KRISDAYANTI</v>
      </c>
      <c r="D751" s="1035" t="str">
        <f t="shared" si="437"/>
        <v>PAI</v>
      </c>
      <c r="E751" s="1036">
        <f t="shared" si="438"/>
        <v>2017</v>
      </c>
      <c r="F751" s="1035" t="str">
        <f t="shared" si="439"/>
        <v>PASIF</v>
      </c>
      <c r="G751" s="1036">
        <f t="shared" si="440"/>
        <v>849317019</v>
      </c>
      <c r="H751" s="1038">
        <f t="shared" si="441"/>
        <v>0</v>
      </c>
      <c r="I751" s="1038">
        <f t="shared" si="442"/>
        <v>0</v>
      </c>
      <c r="J751" s="1038">
        <f t="shared" si="443"/>
        <v>0</v>
      </c>
      <c r="L751" s="1060">
        <f t="shared" si="448"/>
        <v>0</v>
      </c>
      <c r="M751" s="1060">
        <f t="shared" si="444"/>
        <v>0</v>
      </c>
      <c r="N751" s="1060">
        <f t="shared" si="445"/>
        <v>0</v>
      </c>
      <c r="O751" s="1060">
        <f t="shared" si="446"/>
        <v>0</v>
      </c>
      <c r="P751" s="1060">
        <f t="shared" si="447"/>
        <v>1</v>
      </c>
    </row>
    <row r="752" spans="1:16" x14ac:dyDescent="0.25">
      <c r="A752" s="1034">
        <v>1178</v>
      </c>
      <c r="B752" s="1034">
        <f t="shared" si="449"/>
        <v>20</v>
      </c>
      <c r="C752" s="1034" t="str">
        <f t="shared" si="436"/>
        <v>FATIMATUR ROSYIDAH</v>
      </c>
      <c r="D752" s="1035" t="str">
        <f t="shared" si="437"/>
        <v>PAI</v>
      </c>
      <c r="E752" s="1036">
        <f t="shared" si="438"/>
        <v>2017</v>
      </c>
      <c r="F752" s="1035" t="str">
        <f t="shared" si="439"/>
        <v>AKTIF</v>
      </c>
      <c r="G752" s="1036">
        <f t="shared" si="440"/>
        <v>849317020</v>
      </c>
      <c r="H752" s="1038">
        <f t="shared" si="441"/>
        <v>3000000</v>
      </c>
      <c r="I752" s="1038">
        <f t="shared" si="442"/>
        <v>3000000</v>
      </c>
      <c r="J752" s="1038">
        <f t="shared" si="443"/>
        <v>6000000</v>
      </c>
      <c r="L752" s="1060">
        <f t="shared" si="448"/>
        <v>1</v>
      </c>
      <c r="M752" s="1060">
        <f t="shared" si="444"/>
        <v>0</v>
      </c>
      <c r="N752" s="1060">
        <f t="shared" si="445"/>
        <v>0</v>
      </c>
      <c r="O752" s="1060">
        <f t="shared" si="446"/>
        <v>0</v>
      </c>
      <c r="P752" s="1060">
        <f t="shared" si="447"/>
        <v>0</v>
      </c>
    </row>
    <row r="753" spans="1:16" x14ac:dyDescent="0.25">
      <c r="A753" s="1034">
        <v>1179</v>
      </c>
      <c r="B753" s="1034">
        <f t="shared" si="449"/>
        <v>21</v>
      </c>
      <c r="C753" s="1034" t="str">
        <f t="shared" si="436"/>
        <v>FITRIYA KUSUMA FARDANI</v>
      </c>
      <c r="D753" s="1035" t="str">
        <f t="shared" si="437"/>
        <v>PAI</v>
      </c>
      <c r="E753" s="1036">
        <f t="shared" si="438"/>
        <v>2017</v>
      </c>
      <c r="F753" s="1035" t="str">
        <f t="shared" si="439"/>
        <v>AKTIF</v>
      </c>
      <c r="G753" s="1036">
        <f t="shared" si="440"/>
        <v>849317021</v>
      </c>
      <c r="H753" s="1038">
        <f t="shared" si="441"/>
        <v>3000000</v>
      </c>
      <c r="I753" s="1038">
        <f t="shared" si="442"/>
        <v>3000000</v>
      </c>
      <c r="J753" s="1038">
        <f t="shared" si="443"/>
        <v>6000000</v>
      </c>
      <c r="L753" s="1060">
        <f t="shared" si="448"/>
        <v>1</v>
      </c>
      <c r="M753" s="1060">
        <f t="shared" si="444"/>
        <v>0</v>
      </c>
      <c r="N753" s="1060">
        <f t="shared" si="445"/>
        <v>0</v>
      </c>
      <c r="O753" s="1060">
        <f t="shared" si="446"/>
        <v>0</v>
      </c>
      <c r="P753" s="1060">
        <f t="shared" si="447"/>
        <v>0</v>
      </c>
    </row>
    <row r="754" spans="1:16" x14ac:dyDescent="0.25">
      <c r="A754" s="1034">
        <v>1180</v>
      </c>
      <c r="B754" s="1034">
        <f t="shared" si="449"/>
        <v>22</v>
      </c>
      <c r="C754" s="1034" t="str">
        <f t="shared" si="436"/>
        <v>HARIS BUDI UTOMO</v>
      </c>
      <c r="D754" s="1035" t="str">
        <f t="shared" si="437"/>
        <v>PAI</v>
      </c>
      <c r="E754" s="1036">
        <f t="shared" si="438"/>
        <v>2017</v>
      </c>
      <c r="F754" s="1035" t="str">
        <f t="shared" si="439"/>
        <v>PASIF</v>
      </c>
      <c r="G754" s="1036">
        <f t="shared" si="440"/>
        <v>849317022</v>
      </c>
      <c r="H754" s="1038">
        <f t="shared" si="441"/>
        <v>0</v>
      </c>
      <c r="I754" s="1038">
        <f t="shared" si="442"/>
        <v>0</v>
      </c>
      <c r="J754" s="1038">
        <f t="shared" si="443"/>
        <v>0</v>
      </c>
      <c r="L754" s="1060">
        <f t="shared" si="448"/>
        <v>0</v>
      </c>
      <c r="M754" s="1060">
        <f t="shared" si="444"/>
        <v>0</v>
      </c>
      <c r="N754" s="1060">
        <f t="shared" si="445"/>
        <v>0</v>
      </c>
      <c r="O754" s="1060">
        <f t="shared" si="446"/>
        <v>0</v>
      </c>
      <c r="P754" s="1060">
        <f t="shared" si="447"/>
        <v>1</v>
      </c>
    </row>
    <row r="755" spans="1:16" x14ac:dyDescent="0.25">
      <c r="A755" s="1034">
        <v>1181</v>
      </c>
      <c r="B755" s="1034">
        <f t="shared" si="449"/>
        <v>23</v>
      </c>
      <c r="C755" s="1034" t="str">
        <f t="shared" si="436"/>
        <v>IKHWAN HAKIKI</v>
      </c>
      <c r="D755" s="1035" t="str">
        <f t="shared" si="437"/>
        <v>PAI</v>
      </c>
      <c r="E755" s="1036">
        <f t="shared" si="438"/>
        <v>2017</v>
      </c>
      <c r="F755" s="1035" t="str">
        <f t="shared" si="439"/>
        <v>LULUS</v>
      </c>
      <c r="G755" s="1036">
        <f t="shared" si="440"/>
        <v>849317023</v>
      </c>
      <c r="H755" s="1038">
        <f t="shared" si="441"/>
        <v>0</v>
      </c>
      <c r="I755" s="1038">
        <f t="shared" si="442"/>
        <v>0</v>
      </c>
      <c r="J755" s="1038">
        <f t="shared" si="443"/>
        <v>0</v>
      </c>
      <c r="L755" s="1060">
        <f t="shared" si="448"/>
        <v>0</v>
      </c>
      <c r="M755" s="1060">
        <f t="shared" si="444"/>
        <v>1</v>
      </c>
      <c r="N755" s="1060">
        <f t="shared" si="445"/>
        <v>0</v>
      </c>
      <c r="O755" s="1060">
        <f t="shared" si="446"/>
        <v>0</v>
      </c>
      <c r="P755" s="1060">
        <f t="shared" si="447"/>
        <v>0</v>
      </c>
    </row>
    <row r="756" spans="1:16" x14ac:dyDescent="0.25">
      <c r="A756" s="1034">
        <v>1182</v>
      </c>
      <c r="B756" s="1034">
        <f t="shared" si="449"/>
        <v>24</v>
      </c>
      <c r="C756" s="1034" t="str">
        <f t="shared" si="436"/>
        <v>LAILY MUNTAHA</v>
      </c>
      <c r="D756" s="1035" t="str">
        <f t="shared" si="437"/>
        <v>PAI</v>
      </c>
      <c r="E756" s="1036">
        <f t="shared" si="438"/>
        <v>2017</v>
      </c>
      <c r="F756" s="1035" t="str">
        <f t="shared" si="439"/>
        <v>AKTIF</v>
      </c>
      <c r="G756" s="1036">
        <f t="shared" si="440"/>
        <v>849317024</v>
      </c>
      <c r="H756" s="1038">
        <f t="shared" si="441"/>
        <v>3000000</v>
      </c>
      <c r="I756" s="1038">
        <f t="shared" si="442"/>
        <v>3000000</v>
      </c>
      <c r="J756" s="1038">
        <f t="shared" si="443"/>
        <v>6000000</v>
      </c>
      <c r="L756" s="1060">
        <f t="shared" si="448"/>
        <v>1</v>
      </c>
      <c r="M756" s="1060">
        <f t="shared" si="444"/>
        <v>0</v>
      </c>
      <c r="N756" s="1060">
        <f t="shared" si="445"/>
        <v>0</v>
      </c>
      <c r="O756" s="1060">
        <f t="shared" si="446"/>
        <v>0</v>
      </c>
      <c r="P756" s="1060">
        <f t="shared" si="447"/>
        <v>0</v>
      </c>
    </row>
    <row r="757" spans="1:16" x14ac:dyDescent="0.25">
      <c r="A757" s="1034">
        <v>1183</v>
      </c>
      <c r="B757" s="1034">
        <f t="shared" si="449"/>
        <v>25</v>
      </c>
      <c r="C757" s="1034" t="str">
        <f t="shared" si="436"/>
        <v>LILIK ARIFAH JUNAIDI</v>
      </c>
      <c r="D757" s="1035" t="str">
        <f t="shared" si="437"/>
        <v>PAI</v>
      </c>
      <c r="E757" s="1036">
        <f t="shared" si="438"/>
        <v>2017</v>
      </c>
      <c r="F757" s="1035" t="str">
        <f t="shared" si="439"/>
        <v>DROP OUT</v>
      </c>
      <c r="G757" s="1036">
        <f t="shared" si="440"/>
        <v>849317025</v>
      </c>
      <c r="H757" s="1038">
        <f t="shared" si="441"/>
        <v>0</v>
      </c>
      <c r="I757" s="1038">
        <f t="shared" si="442"/>
        <v>0</v>
      </c>
      <c r="J757" s="1038">
        <f t="shared" si="443"/>
        <v>0</v>
      </c>
      <c r="L757" s="1060">
        <f t="shared" si="448"/>
        <v>0</v>
      </c>
      <c r="M757" s="1060">
        <f t="shared" si="444"/>
        <v>0</v>
      </c>
      <c r="N757" s="1060">
        <f t="shared" si="445"/>
        <v>0</v>
      </c>
      <c r="O757" s="1060">
        <f t="shared" si="446"/>
        <v>1</v>
      </c>
      <c r="P757" s="1060">
        <f t="shared" si="447"/>
        <v>0</v>
      </c>
    </row>
    <row r="758" spans="1:16" x14ac:dyDescent="0.25">
      <c r="A758" s="1034">
        <v>1184</v>
      </c>
      <c r="B758" s="1034">
        <f t="shared" si="449"/>
        <v>26</v>
      </c>
      <c r="C758" s="1034" t="str">
        <f t="shared" si="436"/>
        <v>LILIKH MASLIKAH</v>
      </c>
      <c r="D758" s="1035" t="str">
        <f t="shared" si="437"/>
        <v>PAI</v>
      </c>
      <c r="E758" s="1036">
        <f t="shared" si="438"/>
        <v>2017</v>
      </c>
      <c r="F758" s="1035" t="str">
        <f t="shared" si="439"/>
        <v>AKTIF</v>
      </c>
      <c r="G758" s="1036">
        <f t="shared" si="440"/>
        <v>849317026</v>
      </c>
      <c r="H758" s="1038">
        <f t="shared" si="441"/>
        <v>3000000</v>
      </c>
      <c r="I758" s="1038">
        <f t="shared" si="442"/>
        <v>3000000</v>
      </c>
      <c r="J758" s="1038">
        <f t="shared" si="443"/>
        <v>6000000</v>
      </c>
      <c r="L758" s="1060">
        <f t="shared" si="448"/>
        <v>1</v>
      </c>
      <c r="M758" s="1060">
        <f t="shared" si="444"/>
        <v>0</v>
      </c>
      <c r="N758" s="1060">
        <f t="shared" si="445"/>
        <v>0</v>
      </c>
      <c r="O758" s="1060">
        <f t="shared" si="446"/>
        <v>0</v>
      </c>
      <c r="P758" s="1060">
        <f t="shared" si="447"/>
        <v>0</v>
      </c>
    </row>
    <row r="759" spans="1:16" x14ac:dyDescent="0.25">
      <c r="A759" s="1034">
        <v>1185</v>
      </c>
      <c r="B759" s="1034">
        <f t="shared" si="449"/>
        <v>27</v>
      </c>
      <c r="C759" s="1034" t="str">
        <f t="shared" si="436"/>
        <v>M. ARIF</v>
      </c>
      <c r="D759" s="1035" t="str">
        <f t="shared" si="437"/>
        <v>PAI</v>
      </c>
      <c r="E759" s="1036">
        <f t="shared" si="438"/>
        <v>2017</v>
      </c>
      <c r="F759" s="1035" t="str">
        <f t="shared" si="439"/>
        <v>LULUS</v>
      </c>
      <c r="G759" s="1036">
        <f t="shared" si="440"/>
        <v>849317027</v>
      </c>
      <c r="H759" s="1038">
        <f t="shared" si="441"/>
        <v>0</v>
      </c>
      <c r="I759" s="1038">
        <f t="shared" si="442"/>
        <v>0</v>
      </c>
      <c r="J759" s="1038">
        <f t="shared" si="443"/>
        <v>0</v>
      </c>
      <c r="L759" s="1060">
        <f t="shared" si="448"/>
        <v>0</v>
      </c>
      <c r="M759" s="1060">
        <f t="shared" si="444"/>
        <v>1</v>
      </c>
      <c r="N759" s="1060">
        <f t="shared" si="445"/>
        <v>0</v>
      </c>
      <c r="O759" s="1060">
        <f t="shared" si="446"/>
        <v>0</v>
      </c>
      <c r="P759" s="1060">
        <f t="shared" si="447"/>
        <v>0</v>
      </c>
    </row>
    <row r="760" spans="1:16" x14ac:dyDescent="0.25">
      <c r="A760" s="1034">
        <v>1186</v>
      </c>
      <c r="B760" s="1034">
        <f t="shared" si="449"/>
        <v>28</v>
      </c>
      <c r="C760" s="1034" t="str">
        <f t="shared" si="436"/>
        <v>M. FATKHIS SUUD</v>
      </c>
      <c r="D760" s="1035" t="str">
        <f t="shared" si="437"/>
        <v>PAI</v>
      </c>
      <c r="E760" s="1036">
        <f t="shared" si="438"/>
        <v>2017</v>
      </c>
      <c r="F760" s="1035" t="str">
        <f t="shared" si="439"/>
        <v>AKTIF</v>
      </c>
      <c r="G760" s="1036">
        <f t="shared" si="440"/>
        <v>849317028</v>
      </c>
      <c r="H760" s="1038">
        <f t="shared" si="441"/>
        <v>3000000</v>
      </c>
      <c r="I760" s="1038">
        <f t="shared" si="442"/>
        <v>3000000</v>
      </c>
      <c r="J760" s="1038">
        <f t="shared" si="443"/>
        <v>6000000</v>
      </c>
      <c r="L760" s="1060">
        <f t="shared" si="448"/>
        <v>1</v>
      </c>
      <c r="M760" s="1060">
        <f t="shared" si="444"/>
        <v>0</v>
      </c>
      <c r="N760" s="1060">
        <f t="shared" si="445"/>
        <v>0</v>
      </c>
      <c r="O760" s="1060">
        <f t="shared" si="446"/>
        <v>0</v>
      </c>
      <c r="P760" s="1060">
        <f t="shared" si="447"/>
        <v>0</v>
      </c>
    </row>
    <row r="761" spans="1:16" x14ac:dyDescent="0.25">
      <c r="A761" s="1034">
        <v>1187</v>
      </c>
      <c r="B761" s="1034">
        <f t="shared" si="449"/>
        <v>29</v>
      </c>
      <c r="C761" s="1034" t="str">
        <f t="shared" si="436"/>
        <v>M. HASAN SABILIL MAULA</v>
      </c>
      <c r="D761" s="1035" t="str">
        <f t="shared" si="437"/>
        <v>PAI</v>
      </c>
      <c r="E761" s="1036">
        <f t="shared" si="438"/>
        <v>2017</v>
      </c>
      <c r="F761" s="1035" t="str">
        <f t="shared" si="439"/>
        <v>LULUS</v>
      </c>
      <c r="G761" s="1036">
        <f t="shared" si="440"/>
        <v>849317029</v>
      </c>
      <c r="H761" s="1038">
        <f t="shared" si="441"/>
        <v>0</v>
      </c>
      <c r="I761" s="1038">
        <f t="shared" si="442"/>
        <v>0</v>
      </c>
      <c r="J761" s="1038">
        <f t="shared" si="443"/>
        <v>0</v>
      </c>
      <c r="L761" s="1060">
        <f t="shared" si="448"/>
        <v>0</v>
      </c>
      <c r="M761" s="1060">
        <f t="shared" si="444"/>
        <v>1</v>
      </c>
      <c r="N761" s="1060">
        <f t="shared" si="445"/>
        <v>0</v>
      </c>
      <c r="O761" s="1060">
        <f t="shared" si="446"/>
        <v>0</v>
      </c>
      <c r="P761" s="1060">
        <f t="shared" si="447"/>
        <v>0</v>
      </c>
    </row>
    <row r="762" spans="1:16" x14ac:dyDescent="0.25">
      <c r="A762" s="1034">
        <v>1188</v>
      </c>
      <c r="B762" s="1034">
        <f t="shared" si="449"/>
        <v>30</v>
      </c>
      <c r="C762" s="1034" t="str">
        <f t="shared" si="436"/>
        <v>M. BARIK BAWAFI</v>
      </c>
      <c r="D762" s="1035" t="str">
        <f t="shared" si="437"/>
        <v>PAI</v>
      </c>
      <c r="E762" s="1036">
        <f t="shared" si="438"/>
        <v>2017</v>
      </c>
      <c r="F762" s="1035" t="str">
        <f t="shared" si="439"/>
        <v>LULUS</v>
      </c>
      <c r="G762" s="1036">
        <f t="shared" si="440"/>
        <v>849317030</v>
      </c>
      <c r="H762" s="1038">
        <f t="shared" si="441"/>
        <v>0</v>
      </c>
      <c r="I762" s="1038">
        <f t="shared" si="442"/>
        <v>0</v>
      </c>
      <c r="J762" s="1038">
        <f t="shared" si="443"/>
        <v>0</v>
      </c>
      <c r="L762" s="1060">
        <f t="shared" si="448"/>
        <v>0</v>
      </c>
      <c r="M762" s="1060">
        <f t="shared" si="444"/>
        <v>1</v>
      </c>
      <c r="N762" s="1060">
        <f t="shared" si="445"/>
        <v>0</v>
      </c>
      <c r="O762" s="1060">
        <f t="shared" si="446"/>
        <v>0</v>
      </c>
      <c r="P762" s="1060">
        <f t="shared" si="447"/>
        <v>0</v>
      </c>
    </row>
    <row r="763" spans="1:16" x14ac:dyDescent="0.25">
      <c r="A763" s="1034">
        <v>1189</v>
      </c>
      <c r="B763" s="1034">
        <f t="shared" si="449"/>
        <v>31</v>
      </c>
      <c r="C763" s="1034" t="str">
        <f t="shared" si="436"/>
        <v>MAHRUS FIRDAUS</v>
      </c>
      <c r="D763" s="1035" t="str">
        <f t="shared" si="437"/>
        <v>PAI</v>
      </c>
      <c r="E763" s="1036">
        <f t="shared" si="438"/>
        <v>2017</v>
      </c>
      <c r="F763" s="1035" t="str">
        <f t="shared" si="439"/>
        <v>AKTIF</v>
      </c>
      <c r="G763" s="1036">
        <f t="shared" si="440"/>
        <v>849317031</v>
      </c>
      <c r="H763" s="1038">
        <f t="shared" si="441"/>
        <v>3000000</v>
      </c>
      <c r="I763" s="1038">
        <f t="shared" si="442"/>
        <v>3000000</v>
      </c>
      <c r="J763" s="1038">
        <f t="shared" si="443"/>
        <v>6000000</v>
      </c>
      <c r="L763" s="1060">
        <f t="shared" si="448"/>
        <v>1</v>
      </c>
      <c r="M763" s="1060">
        <f t="shared" si="444"/>
        <v>0</v>
      </c>
      <c r="N763" s="1060">
        <f t="shared" si="445"/>
        <v>0</v>
      </c>
      <c r="O763" s="1060">
        <f t="shared" si="446"/>
        <v>0</v>
      </c>
      <c r="P763" s="1060">
        <f t="shared" si="447"/>
        <v>0</v>
      </c>
    </row>
    <row r="764" spans="1:16" x14ac:dyDescent="0.25">
      <c r="A764" s="1034">
        <v>1190</v>
      </c>
      <c r="B764" s="1034">
        <f t="shared" si="449"/>
        <v>32</v>
      </c>
      <c r="C764" s="1034" t="str">
        <f t="shared" si="436"/>
        <v>MAHRUS ZAINUL UMAM</v>
      </c>
      <c r="D764" s="1035" t="str">
        <f t="shared" si="437"/>
        <v>PAI</v>
      </c>
      <c r="E764" s="1036">
        <f t="shared" si="438"/>
        <v>2017</v>
      </c>
      <c r="F764" s="1035" t="str">
        <f t="shared" si="439"/>
        <v>LULUS</v>
      </c>
      <c r="G764" s="1036">
        <f t="shared" si="440"/>
        <v>849317032</v>
      </c>
      <c r="H764" s="1038">
        <f t="shared" si="441"/>
        <v>0</v>
      </c>
      <c r="I764" s="1038">
        <f t="shared" si="442"/>
        <v>0</v>
      </c>
      <c r="J764" s="1038">
        <f t="shared" si="443"/>
        <v>0</v>
      </c>
      <c r="L764" s="1060">
        <f t="shared" si="448"/>
        <v>0</v>
      </c>
      <c r="M764" s="1060">
        <f t="shared" si="444"/>
        <v>1</v>
      </c>
      <c r="N764" s="1060">
        <f t="shared" si="445"/>
        <v>0</v>
      </c>
      <c r="O764" s="1060">
        <f t="shared" si="446"/>
        <v>0</v>
      </c>
      <c r="P764" s="1060">
        <f t="shared" si="447"/>
        <v>0</v>
      </c>
    </row>
    <row r="765" spans="1:16" x14ac:dyDescent="0.25">
      <c r="A765" s="1034">
        <v>1191</v>
      </c>
      <c r="B765" s="1034">
        <f t="shared" si="449"/>
        <v>33</v>
      </c>
      <c r="C765" s="1034" t="str">
        <f t="shared" ref="C765:C785" si="450">IFERROR(VLOOKUP(A765,DB,4,FALSE),"")</f>
        <v>MIFTA AYUDYAS MAHANANI</v>
      </c>
      <c r="D765" s="1035" t="str">
        <f t="shared" ref="D765:D785" si="451">IFERROR(VLOOKUP(A765,DB,5,FALSE),"")</f>
        <v>PAI</v>
      </c>
      <c r="E765" s="1036">
        <f t="shared" ref="E765:E785" si="452">IFERROR(VLOOKUP(A765,DB,6,FALSE),"")</f>
        <v>2017</v>
      </c>
      <c r="F765" s="1035" t="str">
        <f t="shared" ref="F765:F785" si="453">IFERROR(VLOOKUP(A765,DB,7,FALSE),"")</f>
        <v>LULUS</v>
      </c>
      <c r="G765" s="1036">
        <f t="shared" ref="G765:G785" si="454">IFERROR(VLOOKUP(A765,DB,3,FALSE),"")</f>
        <v>849317033</v>
      </c>
      <c r="H765" s="1038">
        <f t="shared" si="441"/>
        <v>0</v>
      </c>
      <c r="I765" s="1038">
        <f t="shared" si="442"/>
        <v>0</v>
      </c>
      <c r="J765" s="1038">
        <f t="shared" si="443"/>
        <v>0</v>
      </c>
      <c r="L765" s="1060">
        <f t="shared" si="448"/>
        <v>0</v>
      </c>
      <c r="M765" s="1060">
        <f t="shared" ref="M765:M785" si="455">IF(F765="LULUS",1,0)</f>
        <v>1</v>
      </c>
      <c r="N765" s="1060">
        <f t="shared" ref="N765:N785" si="456">IF(F765="CUTI",1,0)</f>
        <v>0</v>
      </c>
      <c r="O765" s="1060">
        <f t="shared" ref="O765:O785" si="457">IF(F765="DROP OUT",1,0)</f>
        <v>0</v>
      </c>
      <c r="P765" s="1060">
        <f t="shared" ref="P765:P785" si="458">IF(F765="PASIF",1,0)</f>
        <v>0</v>
      </c>
    </row>
    <row r="766" spans="1:16" x14ac:dyDescent="0.25">
      <c r="A766" s="1034">
        <v>1192</v>
      </c>
      <c r="B766" s="1034">
        <f t="shared" si="449"/>
        <v>34</v>
      </c>
      <c r="C766" s="1034" t="str">
        <f t="shared" si="450"/>
        <v>MOHAMMAD FIRMAN MUSTHOFA HADI</v>
      </c>
      <c r="D766" s="1035" t="str">
        <f t="shared" si="451"/>
        <v>PAI</v>
      </c>
      <c r="E766" s="1036">
        <f t="shared" si="452"/>
        <v>2017</v>
      </c>
      <c r="F766" s="1035" t="str">
        <f t="shared" si="453"/>
        <v>AKTIF</v>
      </c>
      <c r="G766" s="1036">
        <f t="shared" si="454"/>
        <v>849317034</v>
      </c>
      <c r="H766" s="1038">
        <f t="shared" si="441"/>
        <v>3000000</v>
      </c>
      <c r="I766" s="1038">
        <f t="shared" si="442"/>
        <v>3000000</v>
      </c>
      <c r="J766" s="1038">
        <f t="shared" si="443"/>
        <v>6000000</v>
      </c>
      <c r="L766" s="1060">
        <f t="shared" si="448"/>
        <v>1</v>
      </c>
      <c r="M766" s="1060">
        <f t="shared" si="455"/>
        <v>0</v>
      </c>
      <c r="N766" s="1060">
        <f t="shared" si="456"/>
        <v>0</v>
      </c>
      <c r="O766" s="1060">
        <f t="shared" si="457"/>
        <v>0</v>
      </c>
      <c r="P766" s="1060">
        <f t="shared" si="458"/>
        <v>0</v>
      </c>
    </row>
    <row r="767" spans="1:16" x14ac:dyDescent="0.25">
      <c r="A767" s="1034">
        <v>1193</v>
      </c>
      <c r="B767" s="1034">
        <f t="shared" si="449"/>
        <v>35</v>
      </c>
      <c r="C767" s="1034" t="str">
        <f t="shared" si="450"/>
        <v>MOHAMMAD NIAM MULLOH</v>
      </c>
      <c r="D767" s="1035" t="str">
        <f t="shared" si="451"/>
        <v>PAI</v>
      </c>
      <c r="E767" s="1036">
        <f t="shared" si="452"/>
        <v>2017</v>
      </c>
      <c r="F767" s="1035" t="str">
        <f t="shared" si="453"/>
        <v>LULUS</v>
      </c>
      <c r="G767" s="1036">
        <f t="shared" si="454"/>
        <v>849317035</v>
      </c>
      <c r="H767" s="1038">
        <f t="shared" si="441"/>
        <v>0</v>
      </c>
      <c r="I767" s="1038">
        <f t="shared" si="442"/>
        <v>0</v>
      </c>
      <c r="J767" s="1038">
        <f t="shared" si="443"/>
        <v>0</v>
      </c>
      <c r="L767" s="1060">
        <f t="shared" si="448"/>
        <v>0</v>
      </c>
      <c r="M767" s="1060">
        <f t="shared" si="455"/>
        <v>1</v>
      </c>
      <c r="N767" s="1060">
        <f t="shared" si="456"/>
        <v>0</v>
      </c>
      <c r="O767" s="1060">
        <f t="shared" si="457"/>
        <v>0</v>
      </c>
      <c r="P767" s="1060">
        <f t="shared" si="458"/>
        <v>0</v>
      </c>
    </row>
    <row r="768" spans="1:16" x14ac:dyDescent="0.25">
      <c r="A768" s="1034">
        <v>1194</v>
      </c>
      <c r="B768" s="1034">
        <f t="shared" si="449"/>
        <v>36</v>
      </c>
      <c r="C768" s="1034" t="str">
        <f t="shared" si="450"/>
        <v>MOHAMMAD SYAMSUD DHUHA</v>
      </c>
      <c r="D768" s="1035" t="str">
        <f t="shared" si="451"/>
        <v>PAI</v>
      </c>
      <c r="E768" s="1036">
        <f t="shared" si="452"/>
        <v>2017</v>
      </c>
      <c r="F768" s="1035" t="str">
        <f t="shared" si="453"/>
        <v>LULUS</v>
      </c>
      <c r="G768" s="1036">
        <f t="shared" si="454"/>
        <v>849317036</v>
      </c>
      <c r="H768" s="1038">
        <f t="shared" si="441"/>
        <v>0</v>
      </c>
      <c r="I768" s="1038">
        <f t="shared" si="442"/>
        <v>0</v>
      </c>
      <c r="J768" s="1038">
        <f t="shared" si="443"/>
        <v>0</v>
      </c>
      <c r="L768" s="1060">
        <f t="shared" si="448"/>
        <v>0</v>
      </c>
      <c r="M768" s="1060">
        <f t="shared" si="455"/>
        <v>1</v>
      </c>
      <c r="N768" s="1060">
        <f t="shared" si="456"/>
        <v>0</v>
      </c>
      <c r="O768" s="1060">
        <f t="shared" si="457"/>
        <v>0</v>
      </c>
      <c r="P768" s="1060">
        <f t="shared" si="458"/>
        <v>0</v>
      </c>
    </row>
    <row r="769" spans="1:16" x14ac:dyDescent="0.25">
      <c r="A769" s="1034">
        <v>1195</v>
      </c>
      <c r="B769" s="1034">
        <f t="shared" si="449"/>
        <v>37</v>
      </c>
      <c r="C769" s="1034" t="str">
        <f t="shared" si="450"/>
        <v>MUHAMMAD NUR FADLI</v>
      </c>
      <c r="D769" s="1035" t="str">
        <f t="shared" si="451"/>
        <v>PAI</v>
      </c>
      <c r="E769" s="1036">
        <f t="shared" si="452"/>
        <v>2017</v>
      </c>
      <c r="F769" s="1035" t="str">
        <f t="shared" si="453"/>
        <v>LULUS</v>
      </c>
      <c r="G769" s="1036">
        <f t="shared" si="454"/>
        <v>849317037</v>
      </c>
      <c r="H769" s="1038">
        <f t="shared" si="441"/>
        <v>0</v>
      </c>
      <c r="I769" s="1038">
        <f t="shared" si="442"/>
        <v>0</v>
      </c>
      <c r="J769" s="1038">
        <f t="shared" si="443"/>
        <v>0</v>
      </c>
      <c r="L769" s="1060">
        <f t="shared" si="448"/>
        <v>0</v>
      </c>
      <c r="M769" s="1060">
        <f t="shared" si="455"/>
        <v>1</v>
      </c>
      <c r="N769" s="1060">
        <f t="shared" si="456"/>
        <v>0</v>
      </c>
      <c r="O769" s="1060">
        <f t="shared" si="457"/>
        <v>0</v>
      </c>
      <c r="P769" s="1060">
        <f t="shared" si="458"/>
        <v>0</v>
      </c>
    </row>
    <row r="770" spans="1:16" x14ac:dyDescent="0.25">
      <c r="A770" s="1034">
        <v>1196</v>
      </c>
      <c r="B770" s="1034">
        <f t="shared" si="449"/>
        <v>38</v>
      </c>
      <c r="C770" s="1034" t="str">
        <f t="shared" si="450"/>
        <v>MULAJIMATUL FITRIA</v>
      </c>
      <c r="D770" s="1035" t="str">
        <f t="shared" si="451"/>
        <v>PAI</v>
      </c>
      <c r="E770" s="1036">
        <f t="shared" si="452"/>
        <v>2017</v>
      </c>
      <c r="F770" s="1035" t="str">
        <f t="shared" si="453"/>
        <v>LULUS</v>
      </c>
      <c r="G770" s="1036">
        <f t="shared" si="454"/>
        <v>849317038</v>
      </c>
      <c r="H770" s="1038">
        <f t="shared" si="441"/>
        <v>0</v>
      </c>
      <c r="I770" s="1038">
        <f t="shared" si="442"/>
        <v>0</v>
      </c>
      <c r="J770" s="1038">
        <f t="shared" si="443"/>
        <v>0</v>
      </c>
      <c r="L770" s="1060">
        <f t="shared" si="448"/>
        <v>0</v>
      </c>
      <c r="M770" s="1060">
        <f t="shared" si="455"/>
        <v>1</v>
      </c>
      <c r="N770" s="1060">
        <f t="shared" si="456"/>
        <v>0</v>
      </c>
      <c r="O770" s="1060">
        <f t="shared" si="457"/>
        <v>0</v>
      </c>
      <c r="P770" s="1060">
        <f t="shared" si="458"/>
        <v>0</v>
      </c>
    </row>
    <row r="771" spans="1:16" x14ac:dyDescent="0.25">
      <c r="A771" s="1034">
        <v>1197</v>
      </c>
      <c r="B771" s="1034">
        <f t="shared" si="449"/>
        <v>39</v>
      </c>
      <c r="C771" s="1034" t="str">
        <f t="shared" si="450"/>
        <v>NASRODIN</v>
      </c>
      <c r="D771" s="1035" t="str">
        <f t="shared" si="451"/>
        <v>PAI</v>
      </c>
      <c r="E771" s="1036">
        <f t="shared" si="452"/>
        <v>2017</v>
      </c>
      <c r="F771" s="1035" t="str">
        <f t="shared" si="453"/>
        <v>LULUS</v>
      </c>
      <c r="G771" s="1036">
        <f t="shared" si="454"/>
        <v>849317039</v>
      </c>
      <c r="H771" s="1038">
        <f t="shared" si="441"/>
        <v>0</v>
      </c>
      <c r="I771" s="1038">
        <f t="shared" si="442"/>
        <v>0</v>
      </c>
      <c r="J771" s="1038">
        <f t="shared" si="443"/>
        <v>0</v>
      </c>
      <c r="L771" s="1060">
        <f t="shared" si="448"/>
        <v>0</v>
      </c>
      <c r="M771" s="1060">
        <f t="shared" si="455"/>
        <v>1</v>
      </c>
      <c r="N771" s="1060">
        <f t="shared" si="456"/>
        <v>0</v>
      </c>
      <c r="O771" s="1060">
        <f t="shared" si="457"/>
        <v>0</v>
      </c>
      <c r="P771" s="1060">
        <f t="shared" si="458"/>
        <v>0</v>
      </c>
    </row>
    <row r="772" spans="1:16" x14ac:dyDescent="0.25">
      <c r="A772" s="1034">
        <v>1198</v>
      </c>
      <c r="B772" s="1034">
        <f t="shared" si="449"/>
        <v>40</v>
      </c>
      <c r="C772" s="1034" t="str">
        <f t="shared" si="450"/>
        <v>NURUL LUTFIAH</v>
      </c>
      <c r="D772" s="1035" t="str">
        <f t="shared" si="451"/>
        <v>PAI</v>
      </c>
      <c r="E772" s="1036">
        <f t="shared" si="452"/>
        <v>2017</v>
      </c>
      <c r="F772" s="1035" t="str">
        <f t="shared" si="453"/>
        <v>PASIF</v>
      </c>
      <c r="G772" s="1036">
        <f t="shared" si="454"/>
        <v>849317040</v>
      </c>
      <c r="H772" s="1038">
        <f t="shared" si="441"/>
        <v>0</v>
      </c>
      <c r="I772" s="1038">
        <f t="shared" si="442"/>
        <v>0</v>
      </c>
      <c r="J772" s="1038">
        <f t="shared" si="443"/>
        <v>0</v>
      </c>
      <c r="L772" s="1060">
        <f t="shared" si="448"/>
        <v>0</v>
      </c>
      <c r="M772" s="1060">
        <f t="shared" si="455"/>
        <v>0</v>
      </c>
      <c r="N772" s="1060">
        <f t="shared" si="456"/>
        <v>0</v>
      </c>
      <c r="O772" s="1060">
        <f t="shared" si="457"/>
        <v>0</v>
      </c>
      <c r="P772" s="1060">
        <f t="shared" si="458"/>
        <v>1</v>
      </c>
    </row>
    <row r="773" spans="1:16" x14ac:dyDescent="0.25">
      <c r="A773" s="1034">
        <v>1199</v>
      </c>
      <c r="B773" s="1034">
        <f t="shared" si="449"/>
        <v>41</v>
      </c>
      <c r="C773" s="1034" t="str">
        <f t="shared" si="450"/>
        <v>PENI CATUR RENANINGTYAS</v>
      </c>
      <c r="D773" s="1035" t="str">
        <f t="shared" si="451"/>
        <v>PAI</v>
      </c>
      <c r="E773" s="1036">
        <f t="shared" si="452"/>
        <v>2017</v>
      </c>
      <c r="F773" s="1035" t="str">
        <f t="shared" si="453"/>
        <v>LULUS</v>
      </c>
      <c r="G773" s="1036">
        <f t="shared" si="454"/>
        <v>849317041</v>
      </c>
      <c r="H773" s="1038">
        <f t="shared" si="441"/>
        <v>0</v>
      </c>
      <c r="I773" s="1038">
        <f t="shared" si="442"/>
        <v>0</v>
      </c>
      <c r="J773" s="1038">
        <f t="shared" si="443"/>
        <v>0</v>
      </c>
      <c r="L773" s="1060">
        <f t="shared" si="448"/>
        <v>0</v>
      </c>
      <c r="M773" s="1060">
        <f t="shared" si="455"/>
        <v>1</v>
      </c>
      <c r="N773" s="1060">
        <f t="shared" si="456"/>
        <v>0</v>
      </c>
      <c r="O773" s="1060">
        <f t="shared" si="457"/>
        <v>0</v>
      </c>
      <c r="P773" s="1060">
        <f t="shared" si="458"/>
        <v>0</v>
      </c>
    </row>
    <row r="774" spans="1:16" x14ac:dyDescent="0.25">
      <c r="A774" s="1034">
        <v>1200</v>
      </c>
      <c r="B774" s="1034">
        <f t="shared" si="449"/>
        <v>42</v>
      </c>
      <c r="C774" s="1034" t="str">
        <f t="shared" si="450"/>
        <v>RAHMI M T</v>
      </c>
      <c r="D774" s="1035" t="str">
        <f t="shared" si="451"/>
        <v>PAI</v>
      </c>
      <c r="E774" s="1036">
        <f t="shared" si="452"/>
        <v>2017</v>
      </c>
      <c r="F774" s="1035" t="str">
        <f t="shared" si="453"/>
        <v>LULUS</v>
      </c>
      <c r="G774" s="1036">
        <f t="shared" si="454"/>
        <v>849317042</v>
      </c>
      <c r="H774" s="1038">
        <f t="shared" si="441"/>
        <v>0</v>
      </c>
      <c r="I774" s="1038">
        <f t="shared" si="442"/>
        <v>0</v>
      </c>
      <c r="J774" s="1038">
        <f t="shared" si="443"/>
        <v>0</v>
      </c>
      <c r="L774" s="1060">
        <f t="shared" si="448"/>
        <v>0</v>
      </c>
      <c r="M774" s="1060">
        <f t="shared" si="455"/>
        <v>1</v>
      </c>
      <c r="N774" s="1060">
        <f t="shared" si="456"/>
        <v>0</v>
      </c>
      <c r="O774" s="1060">
        <f t="shared" si="457"/>
        <v>0</v>
      </c>
      <c r="P774" s="1060">
        <f t="shared" si="458"/>
        <v>0</v>
      </c>
    </row>
    <row r="775" spans="1:16" x14ac:dyDescent="0.25">
      <c r="A775" s="1034">
        <v>1201</v>
      </c>
      <c r="B775" s="1034">
        <f t="shared" si="449"/>
        <v>43</v>
      </c>
      <c r="C775" s="1034" t="str">
        <f t="shared" si="450"/>
        <v>RISKIAH FITRA LESTARI</v>
      </c>
      <c r="D775" s="1035" t="str">
        <f t="shared" si="451"/>
        <v>PAI</v>
      </c>
      <c r="E775" s="1036">
        <f t="shared" si="452"/>
        <v>2017</v>
      </c>
      <c r="F775" s="1035" t="str">
        <f t="shared" si="453"/>
        <v>LULUS</v>
      </c>
      <c r="G775" s="1036">
        <f t="shared" si="454"/>
        <v>849317043</v>
      </c>
      <c r="H775" s="1038">
        <f t="shared" si="441"/>
        <v>0</v>
      </c>
      <c r="I775" s="1038">
        <f t="shared" si="442"/>
        <v>0</v>
      </c>
      <c r="J775" s="1038">
        <f t="shared" si="443"/>
        <v>0</v>
      </c>
      <c r="L775" s="1060">
        <f t="shared" si="448"/>
        <v>0</v>
      </c>
      <c r="M775" s="1060">
        <f t="shared" si="455"/>
        <v>1</v>
      </c>
      <c r="N775" s="1060">
        <f t="shared" si="456"/>
        <v>0</v>
      </c>
      <c r="O775" s="1060">
        <f t="shared" si="457"/>
        <v>0</v>
      </c>
      <c r="P775" s="1060">
        <f t="shared" si="458"/>
        <v>0</v>
      </c>
    </row>
    <row r="776" spans="1:16" x14ac:dyDescent="0.25">
      <c r="A776" s="1034">
        <v>1202</v>
      </c>
      <c r="B776" s="1034">
        <f t="shared" si="449"/>
        <v>44</v>
      </c>
      <c r="C776" s="1034" t="str">
        <f t="shared" si="450"/>
        <v>ROUDLOTUL JANNAH</v>
      </c>
      <c r="D776" s="1035" t="str">
        <f t="shared" si="451"/>
        <v>PAI</v>
      </c>
      <c r="E776" s="1036">
        <f t="shared" si="452"/>
        <v>2017</v>
      </c>
      <c r="F776" s="1035" t="str">
        <f t="shared" si="453"/>
        <v>LULUS</v>
      </c>
      <c r="G776" s="1036">
        <f t="shared" si="454"/>
        <v>849317044</v>
      </c>
      <c r="H776" s="1038">
        <f t="shared" si="441"/>
        <v>0</v>
      </c>
      <c r="I776" s="1038">
        <f t="shared" si="442"/>
        <v>0</v>
      </c>
      <c r="J776" s="1038">
        <f t="shared" si="443"/>
        <v>0</v>
      </c>
      <c r="L776" s="1060">
        <f t="shared" si="448"/>
        <v>0</v>
      </c>
      <c r="M776" s="1060">
        <f t="shared" si="455"/>
        <v>1</v>
      </c>
      <c r="N776" s="1060">
        <f t="shared" si="456"/>
        <v>0</v>
      </c>
      <c r="O776" s="1060">
        <f t="shared" si="457"/>
        <v>0</v>
      </c>
      <c r="P776" s="1060">
        <f t="shared" si="458"/>
        <v>0</v>
      </c>
    </row>
    <row r="777" spans="1:16" x14ac:dyDescent="0.25">
      <c r="A777" s="1034">
        <v>1203</v>
      </c>
      <c r="B777" s="1034">
        <f t="shared" si="449"/>
        <v>45</v>
      </c>
      <c r="C777" s="1034" t="str">
        <f t="shared" si="450"/>
        <v>RUKAYAH</v>
      </c>
      <c r="D777" s="1035" t="str">
        <f t="shared" si="451"/>
        <v>PAI</v>
      </c>
      <c r="E777" s="1036">
        <f t="shared" si="452"/>
        <v>2017</v>
      </c>
      <c r="F777" s="1035" t="str">
        <f t="shared" si="453"/>
        <v>DROP OUT</v>
      </c>
      <c r="G777" s="1036">
        <f t="shared" si="454"/>
        <v>849317045</v>
      </c>
      <c r="H777" s="1038">
        <f t="shared" si="441"/>
        <v>0</v>
      </c>
      <c r="I777" s="1038">
        <f t="shared" si="442"/>
        <v>0</v>
      </c>
      <c r="J777" s="1038">
        <f t="shared" si="443"/>
        <v>0</v>
      </c>
      <c r="L777" s="1060">
        <f t="shared" si="448"/>
        <v>0</v>
      </c>
      <c r="M777" s="1060">
        <f t="shared" si="455"/>
        <v>0</v>
      </c>
      <c r="N777" s="1060">
        <f t="shared" si="456"/>
        <v>0</v>
      </c>
      <c r="O777" s="1060">
        <f t="shared" si="457"/>
        <v>1</v>
      </c>
      <c r="P777" s="1060">
        <f t="shared" si="458"/>
        <v>0</v>
      </c>
    </row>
    <row r="778" spans="1:16" x14ac:dyDescent="0.25">
      <c r="A778" s="1034">
        <v>1204</v>
      </c>
      <c r="B778" s="1034">
        <f t="shared" si="449"/>
        <v>46</v>
      </c>
      <c r="C778" s="1034" t="str">
        <f t="shared" si="450"/>
        <v>SAIFUL MUARIF</v>
      </c>
      <c r="D778" s="1035" t="str">
        <f t="shared" si="451"/>
        <v>PAI</v>
      </c>
      <c r="E778" s="1036">
        <f t="shared" si="452"/>
        <v>2016</v>
      </c>
      <c r="F778" s="1035" t="str">
        <f t="shared" si="453"/>
        <v>LULUS</v>
      </c>
      <c r="G778" s="1036">
        <f t="shared" si="454"/>
        <v>849317046</v>
      </c>
      <c r="H778" s="1038">
        <f t="shared" si="441"/>
        <v>0</v>
      </c>
      <c r="I778" s="1038">
        <f t="shared" si="442"/>
        <v>0</v>
      </c>
      <c r="J778" s="1038">
        <f t="shared" si="443"/>
        <v>0</v>
      </c>
      <c r="L778" s="1060">
        <f t="shared" si="448"/>
        <v>0</v>
      </c>
      <c r="M778" s="1060">
        <f t="shared" si="455"/>
        <v>1</v>
      </c>
      <c r="N778" s="1060">
        <f t="shared" si="456"/>
        <v>0</v>
      </c>
      <c r="O778" s="1060">
        <f t="shared" si="457"/>
        <v>0</v>
      </c>
      <c r="P778" s="1060">
        <f t="shared" si="458"/>
        <v>0</v>
      </c>
    </row>
    <row r="779" spans="1:16" x14ac:dyDescent="0.25">
      <c r="A779" s="1034">
        <v>1205</v>
      </c>
      <c r="B779" s="1034">
        <f t="shared" si="449"/>
        <v>47</v>
      </c>
      <c r="C779" s="1034" t="str">
        <f t="shared" si="450"/>
        <v>SAMSUL ARIF</v>
      </c>
      <c r="D779" s="1035" t="str">
        <f t="shared" si="451"/>
        <v>PAI</v>
      </c>
      <c r="E779" s="1036">
        <f t="shared" si="452"/>
        <v>2017</v>
      </c>
      <c r="F779" s="1035" t="str">
        <f t="shared" si="453"/>
        <v>LULUS</v>
      </c>
      <c r="G779" s="1036">
        <f t="shared" si="454"/>
        <v>849317047</v>
      </c>
      <c r="H779" s="1038">
        <f t="shared" si="441"/>
        <v>0</v>
      </c>
      <c r="I779" s="1038">
        <f t="shared" si="442"/>
        <v>0</v>
      </c>
      <c r="J779" s="1038">
        <f t="shared" si="443"/>
        <v>0</v>
      </c>
      <c r="L779" s="1060">
        <f t="shared" si="448"/>
        <v>0</v>
      </c>
      <c r="M779" s="1060">
        <f t="shared" si="455"/>
        <v>1</v>
      </c>
      <c r="N779" s="1060">
        <f t="shared" si="456"/>
        <v>0</v>
      </c>
      <c r="O779" s="1060">
        <f t="shared" si="457"/>
        <v>0</v>
      </c>
      <c r="P779" s="1060">
        <f t="shared" si="458"/>
        <v>0</v>
      </c>
    </row>
    <row r="780" spans="1:16" x14ac:dyDescent="0.25">
      <c r="A780" s="1034">
        <v>1206</v>
      </c>
      <c r="B780" s="1034">
        <f t="shared" si="449"/>
        <v>48</v>
      </c>
      <c r="C780" s="1034" t="str">
        <f t="shared" si="450"/>
        <v>SITI ROBIATUL ADAWIYAH</v>
      </c>
      <c r="D780" s="1035" t="str">
        <f t="shared" si="451"/>
        <v>PAI</v>
      </c>
      <c r="E780" s="1036">
        <f t="shared" si="452"/>
        <v>2017</v>
      </c>
      <c r="F780" s="1035" t="str">
        <f t="shared" si="453"/>
        <v>AKTIF</v>
      </c>
      <c r="G780" s="1036">
        <f t="shared" si="454"/>
        <v>849317048</v>
      </c>
      <c r="H780" s="1038">
        <f t="shared" si="441"/>
        <v>3000000</v>
      </c>
      <c r="I780" s="1038">
        <f t="shared" si="442"/>
        <v>3000000</v>
      </c>
      <c r="J780" s="1038">
        <f t="shared" si="443"/>
        <v>6000000</v>
      </c>
      <c r="L780" s="1060">
        <f t="shared" si="448"/>
        <v>1</v>
      </c>
      <c r="M780" s="1060">
        <f t="shared" si="455"/>
        <v>0</v>
      </c>
      <c r="N780" s="1060">
        <f t="shared" si="456"/>
        <v>0</v>
      </c>
      <c r="O780" s="1060">
        <f t="shared" si="457"/>
        <v>0</v>
      </c>
      <c r="P780" s="1060">
        <f t="shared" si="458"/>
        <v>0</v>
      </c>
    </row>
    <row r="781" spans="1:16" x14ac:dyDescent="0.25">
      <c r="A781" s="1034">
        <v>1207</v>
      </c>
      <c r="B781" s="1034">
        <f t="shared" si="449"/>
        <v>49</v>
      </c>
      <c r="C781" s="1034" t="str">
        <f t="shared" si="450"/>
        <v>SLAMET WAHYU DWI LAK</v>
      </c>
      <c r="D781" s="1035" t="str">
        <f t="shared" si="451"/>
        <v>PAI</v>
      </c>
      <c r="E781" s="1036">
        <f t="shared" si="452"/>
        <v>2017</v>
      </c>
      <c r="F781" s="1035" t="str">
        <f t="shared" si="453"/>
        <v>LULUS</v>
      </c>
      <c r="G781" s="1036">
        <f t="shared" si="454"/>
        <v>849317049</v>
      </c>
      <c r="H781" s="1038">
        <f t="shared" si="441"/>
        <v>0</v>
      </c>
      <c r="I781" s="1038">
        <f t="shared" si="442"/>
        <v>0</v>
      </c>
      <c r="J781" s="1038">
        <f t="shared" si="443"/>
        <v>0</v>
      </c>
      <c r="L781" s="1060">
        <f t="shared" si="448"/>
        <v>0</v>
      </c>
      <c r="M781" s="1060">
        <f t="shared" si="455"/>
        <v>1</v>
      </c>
      <c r="N781" s="1060">
        <f t="shared" si="456"/>
        <v>0</v>
      </c>
      <c r="O781" s="1060">
        <f t="shared" si="457"/>
        <v>0</v>
      </c>
      <c r="P781" s="1060">
        <f t="shared" si="458"/>
        <v>0</v>
      </c>
    </row>
    <row r="782" spans="1:16" x14ac:dyDescent="0.25">
      <c r="A782" s="1034">
        <v>1208</v>
      </c>
      <c r="B782" s="1034">
        <f t="shared" si="449"/>
        <v>50</v>
      </c>
      <c r="C782" s="1034" t="str">
        <f t="shared" si="450"/>
        <v>SUHARTATIK</v>
      </c>
      <c r="D782" s="1035" t="str">
        <f t="shared" si="451"/>
        <v>PAI</v>
      </c>
      <c r="E782" s="1036">
        <f t="shared" si="452"/>
        <v>2017</v>
      </c>
      <c r="F782" s="1035" t="str">
        <f t="shared" si="453"/>
        <v>LULUS</v>
      </c>
      <c r="G782" s="1036">
        <f t="shared" si="454"/>
        <v>849317050</v>
      </c>
      <c r="H782" s="1038">
        <f t="shared" si="441"/>
        <v>0</v>
      </c>
      <c r="I782" s="1038">
        <f t="shared" si="442"/>
        <v>0</v>
      </c>
      <c r="J782" s="1038">
        <f t="shared" si="443"/>
        <v>0</v>
      </c>
      <c r="L782" s="1060">
        <f t="shared" si="448"/>
        <v>0</v>
      </c>
      <c r="M782" s="1060">
        <f t="shared" si="455"/>
        <v>1</v>
      </c>
      <c r="N782" s="1060">
        <f t="shared" si="456"/>
        <v>0</v>
      </c>
      <c r="O782" s="1060">
        <f t="shared" si="457"/>
        <v>0</v>
      </c>
      <c r="P782" s="1060">
        <f t="shared" si="458"/>
        <v>0</v>
      </c>
    </row>
    <row r="783" spans="1:16" x14ac:dyDescent="0.25">
      <c r="A783" s="1034">
        <v>1209</v>
      </c>
      <c r="B783" s="1034">
        <f t="shared" si="449"/>
        <v>51</v>
      </c>
      <c r="C783" s="1034" t="str">
        <f t="shared" si="450"/>
        <v>VITA EMIL MUTAMHIDA</v>
      </c>
      <c r="D783" s="1035" t="str">
        <f t="shared" si="451"/>
        <v>PAI</v>
      </c>
      <c r="E783" s="1036">
        <f t="shared" si="452"/>
        <v>2017</v>
      </c>
      <c r="F783" s="1035" t="str">
        <f t="shared" si="453"/>
        <v>AKTIF</v>
      </c>
      <c r="G783" s="1036">
        <f t="shared" si="454"/>
        <v>849317051</v>
      </c>
      <c r="H783" s="1038">
        <f t="shared" si="441"/>
        <v>3000000</v>
      </c>
      <c r="I783" s="1038">
        <f t="shared" si="442"/>
        <v>3000000</v>
      </c>
      <c r="J783" s="1038">
        <f t="shared" si="443"/>
        <v>6000000</v>
      </c>
      <c r="L783" s="1060">
        <f t="shared" si="448"/>
        <v>1</v>
      </c>
      <c r="M783" s="1060">
        <f t="shared" si="455"/>
        <v>0</v>
      </c>
      <c r="N783" s="1060">
        <f t="shared" si="456"/>
        <v>0</v>
      </c>
      <c r="O783" s="1060">
        <f t="shared" si="457"/>
        <v>0</v>
      </c>
      <c r="P783" s="1060">
        <f t="shared" si="458"/>
        <v>0</v>
      </c>
    </row>
    <row r="784" spans="1:16" x14ac:dyDescent="0.25">
      <c r="A784" s="1034">
        <v>1210</v>
      </c>
      <c r="B784" s="1034">
        <f t="shared" si="449"/>
        <v>52</v>
      </c>
      <c r="C784" s="1034" t="str">
        <f t="shared" si="450"/>
        <v>YUNI FIRDAUSI NUZULA</v>
      </c>
      <c r="D784" s="1035" t="str">
        <f t="shared" si="451"/>
        <v>PAI</v>
      </c>
      <c r="E784" s="1036">
        <f t="shared" si="452"/>
        <v>2017</v>
      </c>
      <c r="F784" s="1035" t="str">
        <f t="shared" si="453"/>
        <v>LULUS</v>
      </c>
      <c r="G784" s="1036">
        <f t="shared" si="454"/>
        <v>849317052</v>
      </c>
      <c r="H784" s="1038">
        <f t="shared" si="441"/>
        <v>0</v>
      </c>
      <c r="I784" s="1038">
        <f t="shared" si="442"/>
        <v>0</v>
      </c>
      <c r="J784" s="1038">
        <f t="shared" si="443"/>
        <v>0</v>
      </c>
      <c r="L784" s="1060">
        <f t="shared" si="448"/>
        <v>0</v>
      </c>
      <c r="M784" s="1060">
        <f t="shared" si="455"/>
        <v>1</v>
      </c>
      <c r="N784" s="1060">
        <f t="shared" si="456"/>
        <v>0</v>
      </c>
      <c r="O784" s="1060">
        <f t="shared" si="457"/>
        <v>0</v>
      </c>
      <c r="P784" s="1060">
        <f t="shared" si="458"/>
        <v>0</v>
      </c>
    </row>
    <row r="785" spans="1:16" x14ac:dyDescent="0.25">
      <c r="A785" s="1034">
        <v>1211</v>
      </c>
      <c r="B785" s="1034">
        <f t="shared" si="449"/>
        <v>53</v>
      </c>
      <c r="C785" s="1034" t="str">
        <f t="shared" si="450"/>
        <v>YUNI PUSPITALIA</v>
      </c>
      <c r="D785" s="1035" t="str">
        <f t="shared" si="451"/>
        <v>PAI</v>
      </c>
      <c r="E785" s="1036">
        <f t="shared" si="452"/>
        <v>2017</v>
      </c>
      <c r="F785" s="1035" t="str">
        <f t="shared" si="453"/>
        <v>AKTIF</v>
      </c>
      <c r="G785" s="1036">
        <f t="shared" si="454"/>
        <v>849317053</v>
      </c>
      <c r="H785" s="1038">
        <f t="shared" si="441"/>
        <v>3000000</v>
      </c>
      <c r="I785" s="1038">
        <f t="shared" si="442"/>
        <v>3000000</v>
      </c>
      <c r="J785" s="1038">
        <f t="shared" si="443"/>
        <v>6000000</v>
      </c>
      <c r="L785" s="1060">
        <f t="shared" si="448"/>
        <v>1</v>
      </c>
      <c r="M785" s="1060">
        <f t="shared" si="455"/>
        <v>0</v>
      </c>
      <c r="N785" s="1060">
        <f t="shared" si="456"/>
        <v>0</v>
      </c>
      <c r="O785" s="1060">
        <f t="shared" si="457"/>
        <v>0</v>
      </c>
      <c r="P785" s="1060">
        <f t="shared" si="458"/>
        <v>0</v>
      </c>
    </row>
    <row r="786" spans="1:16" x14ac:dyDescent="0.25">
      <c r="A786" s="1039"/>
      <c r="B786" s="1039"/>
      <c r="C786" s="1039"/>
      <c r="D786" s="1040"/>
      <c r="E786" s="1041"/>
      <c r="F786" s="1040"/>
      <c r="G786" s="1041"/>
      <c r="H786" s="1042"/>
      <c r="I786" s="1042"/>
      <c r="J786" s="1042"/>
      <c r="L786" s="1042"/>
      <c r="M786" s="1042"/>
      <c r="N786" s="1042"/>
      <c r="O786" s="1042"/>
      <c r="P786" s="1042"/>
    </row>
    <row r="787" spans="1:16" x14ac:dyDescent="0.25">
      <c r="A787" s="1043" t="str">
        <f>'Rekap SPP'!A1311</f>
        <v>S2-MPI 2017/2018</v>
      </c>
      <c r="B787" s="1043"/>
      <c r="C787" s="1043"/>
      <c r="D787" s="1033" t="s">
        <v>3</v>
      </c>
      <c r="E787" s="1032" t="s">
        <v>4</v>
      </c>
      <c r="F787" s="1033" t="s">
        <v>3195</v>
      </c>
      <c r="G787" s="1032" t="s">
        <v>1</v>
      </c>
      <c r="H787" s="1033" t="s">
        <v>3341</v>
      </c>
      <c r="I787" s="1033" t="s">
        <v>3362</v>
      </c>
      <c r="J787" s="1062">
        <f>SUM(J788:J833)</f>
        <v>72000000</v>
      </c>
      <c r="L787" s="1063">
        <f>SUM(L788:L833)</f>
        <v>11</v>
      </c>
      <c r="M787" s="1063">
        <f>SUM(M788:M833)</f>
        <v>23</v>
      </c>
      <c r="N787" s="1063">
        <f>SUM(N788:N833)</f>
        <v>1</v>
      </c>
      <c r="O787" s="1063">
        <f>SUM(O788:O833)</f>
        <v>1</v>
      </c>
      <c r="P787" s="1063">
        <f>SUM(P788:P833)</f>
        <v>10</v>
      </c>
    </row>
    <row r="788" spans="1:16" x14ac:dyDescent="0.25">
      <c r="A788" s="1034">
        <v>1212</v>
      </c>
      <c r="B788" s="1034">
        <f t="shared" si="449"/>
        <v>1</v>
      </c>
      <c r="C788" s="1034" t="str">
        <f t="shared" ref="C788:C833" si="459">IFERROR(VLOOKUP(A788,DB,4,FALSE),"")</f>
        <v>AAN DWI ARDIYANTO</v>
      </c>
      <c r="D788" s="1035" t="str">
        <f t="shared" ref="D788:D833" si="460">IFERROR(VLOOKUP(A788,DB,5,FALSE),"")</f>
        <v>MPI-S2</v>
      </c>
      <c r="E788" s="1036">
        <f t="shared" ref="E788:E833" si="461">IFERROR(VLOOKUP(A788,DB,6,FALSE),"")</f>
        <v>2017</v>
      </c>
      <c r="F788" s="1035" t="str">
        <f t="shared" ref="F788:F833" si="462">IFERROR(VLOOKUP(A788,DB,7,FALSE),"")</f>
        <v>AKTIF</v>
      </c>
      <c r="G788" s="1036">
        <f t="shared" ref="G788:G833" si="463">IFERROR(VLOOKUP(A788,DB,3,FALSE),"")</f>
        <v>849117001</v>
      </c>
      <c r="H788" s="1038">
        <f t="shared" ref="H788:H833" si="464">IF(F788="AKTIF",3000000,IF(F788="CUTI",3000000,0))</f>
        <v>3000000</v>
      </c>
      <c r="I788" s="1038">
        <f t="shared" ref="I788:I833" si="465">IF(F788="AKTIF",3000000,IF(F788="CUTI",3000000,0))</f>
        <v>3000000</v>
      </c>
      <c r="J788" s="1038">
        <f t="shared" ref="J788:J833" si="466">I788+H788</f>
        <v>6000000</v>
      </c>
      <c r="L788" s="1060">
        <f t="shared" si="448"/>
        <v>1</v>
      </c>
      <c r="M788" s="1060">
        <f t="shared" ref="M788:M833" si="467">IF(F788="LULUS",1,0)</f>
        <v>0</v>
      </c>
      <c r="N788" s="1060">
        <f t="shared" ref="N788:N833" si="468">IF(F788="CUTI",1,0)</f>
        <v>0</v>
      </c>
      <c r="O788" s="1060">
        <f t="shared" ref="O788:O833" si="469">IF(F788="DROP OUT",1,0)</f>
        <v>0</v>
      </c>
      <c r="P788" s="1060">
        <f t="shared" ref="P788:P833" si="470">IF(F788="PASIF",1,0)</f>
        <v>0</v>
      </c>
    </row>
    <row r="789" spans="1:16" x14ac:dyDescent="0.25">
      <c r="A789" s="1034">
        <v>1213</v>
      </c>
      <c r="B789" s="1034">
        <f t="shared" si="449"/>
        <v>2</v>
      </c>
      <c r="C789" s="1034" t="str">
        <f t="shared" si="459"/>
        <v>ABD MUIS ZAINI</v>
      </c>
      <c r="D789" s="1035" t="str">
        <f t="shared" si="460"/>
        <v>MPI-S2</v>
      </c>
      <c r="E789" s="1036">
        <f t="shared" si="461"/>
        <v>2017</v>
      </c>
      <c r="F789" s="1035" t="str">
        <f t="shared" si="462"/>
        <v>LULUS</v>
      </c>
      <c r="G789" s="1036">
        <f t="shared" si="463"/>
        <v>849117002</v>
      </c>
      <c r="H789" s="1038">
        <f t="shared" si="464"/>
        <v>0</v>
      </c>
      <c r="I789" s="1038">
        <f t="shared" si="465"/>
        <v>0</v>
      </c>
      <c r="J789" s="1038">
        <f t="shared" si="466"/>
        <v>0</v>
      </c>
      <c r="L789" s="1060">
        <f t="shared" si="448"/>
        <v>0</v>
      </c>
      <c r="M789" s="1060">
        <f t="shared" si="467"/>
        <v>1</v>
      </c>
      <c r="N789" s="1060">
        <f t="shared" si="468"/>
        <v>0</v>
      </c>
      <c r="O789" s="1060">
        <f t="shared" si="469"/>
        <v>0</v>
      </c>
      <c r="P789" s="1060">
        <f t="shared" si="470"/>
        <v>0</v>
      </c>
    </row>
    <row r="790" spans="1:16" x14ac:dyDescent="0.25">
      <c r="A790" s="1034">
        <v>1214</v>
      </c>
      <c r="B790" s="1034">
        <f t="shared" si="449"/>
        <v>3</v>
      </c>
      <c r="C790" s="1034" t="str">
        <f t="shared" si="459"/>
        <v>ACHMAD MOHTAR</v>
      </c>
      <c r="D790" s="1035" t="str">
        <f t="shared" si="460"/>
        <v>MPI-S2</v>
      </c>
      <c r="E790" s="1036">
        <f t="shared" si="461"/>
        <v>2017</v>
      </c>
      <c r="F790" s="1035" t="str">
        <f t="shared" si="462"/>
        <v>PASIF</v>
      </c>
      <c r="G790" s="1036">
        <f t="shared" si="463"/>
        <v>849117003</v>
      </c>
      <c r="H790" s="1038">
        <f t="shared" si="464"/>
        <v>0</v>
      </c>
      <c r="I790" s="1038">
        <f t="shared" si="465"/>
        <v>0</v>
      </c>
      <c r="J790" s="1038">
        <f t="shared" si="466"/>
        <v>0</v>
      </c>
      <c r="L790" s="1060">
        <f t="shared" si="448"/>
        <v>0</v>
      </c>
      <c r="M790" s="1060">
        <f t="shared" si="467"/>
        <v>0</v>
      </c>
      <c r="N790" s="1060">
        <f t="shared" si="468"/>
        <v>0</v>
      </c>
      <c r="O790" s="1060">
        <f t="shared" si="469"/>
        <v>0</v>
      </c>
      <c r="P790" s="1060">
        <f t="shared" si="470"/>
        <v>1</v>
      </c>
    </row>
    <row r="791" spans="1:16" x14ac:dyDescent="0.25">
      <c r="A791" s="1034">
        <v>1215</v>
      </c>
      <c r="B791" s="1034">
        <f t="shared" si="449"/>
        <v>4</v>
      </c>
      <c r="C791" s="1034" t="str">
        <f t="shared" si="459"/>
        <v>AHMAD FAIQ FAZAUDIN</v>
      </c>
      <c r="D791" s="1035" t="str">
        <f t="shared" si="460"/>
        <v>MPI-S2</v>
      </c>
      <c r="E791" s="1036">
        <f t="shared" si="461"/>
        <v>2017</v>
      </c>
      <c r="F791" s="1035" t="str">
        <f t="shared" si="462"/>
        <v>AKTIF</v>
      </c>
      <c r="G791" s="1036">
        <f t="shared" si="463"/>
        <v>849117004</v>
      </c>
      <c r="H791" s="1038">
        <f t="shared" si="464"/>
        <v>3000000</v>
      </c>
      <c r="I791" s="1038">
        <f t="shared" si="465"/>
        <v>3000000</v>
      </c>
      <c r="J791" s="1038">
        <f t="shared" si="466"/>
        <v>6000000</v>
      </c>
      <c r="L791" s="1060">
        <f t="shared" si="448"/>
        <v>1</v>
      </c>
      <c r="M791" s="1060">
        <f t="shared" si="467"/>
        <v>0</v>
      </c>
      <c r="N791" s="1060">
        <f t="shared" si="468"/>
        <v>0</v>
      </c>
      <c r="O791" s="1060">
        <f t="shared" si="469"/>
        <v>0</v>
      </c>
      <c r="P791" s="1060">
        <f t="shared" si="470"/>
        <v>0</v>
      </c>
    </row>
    <row r="792" spans="1:16" x14ac:dyDescent="0.25">
      <c r="A792" s="1034">
        <v>1216</v>
      </c>
      <c r="B792" s="1034">
        <f t="shared" si="449"/>
        <v>5</v>
      </c>
      <c r="C792" s="1034" t="str">
        <f t="shared" si="459"/>
        <v>AHMAD FAUZAN</v>
      </c>
      <c r="D792" s="1035" t="str">
        <f t="shared" si="460"/>
        <v>MPI-S2</v>
      </c>
      <c r="E792" s="1036">
        <f t="shared" si="461"/>
        <v>2017</v>
      </c>
      <c r="F792" s="1035" t="str">
        <f t="shared" si="462"/>
        <v>LULUS</v>
      </c>
      <c r="G792" s="1036">
        <f t="shared" si="463"/>
        <v>849117005</v>
      </c>
      <c r="H792" s="1038">
        <f t="shared" si="464"/>
        <v>0</v>
      </c>
      <c r="I792" s="1038">
        <f t="shared" si="465"/>
        <v>0</v>
      </c>
      <c r="J792" s="1038">
        <f t="shared" si="466"/>
        <v>0</v>
      </c>
      <c r="L792" s="1060">
        <f t="shared" si="448"/>
        <v>0</v>
      </c>
      <c r="M792" s="1060">
        <f t="shared" si="467"/>
        <v>1</v>
      </c>
      <c r="N792" s="1060">
        <f t="shared" si="468"/>
        <v>0</v>
      </c>
      <c r="O792" s="1060">
        <f t="shared" si="469"/>
        <v>0</v>
      </c>
      <c r="P792" s="1060">
        <f t="shared" si="470"/>
        <v>0</v>
      </c>
    </row>
    <row r="793" spans="1:16" x14ac:dyDescent="0.25">
      <c r="A793" s="1034">
        <v>1217</v>
      </c>
      <c r="B793" s="1034">
        <f t="shared" si="449"/>
        <v>6</v>
      </c>
      <c r="C793" s="1034" t="str">
        <f t="shared" si="459"/>
        <v>AKHMAD SURURI</v>
      </c>
      <c r="D793" s="1035" t="str">
        <f t="shared" si="460"/>
        <v>MPI-S2</v>
      </c>
      <c r="E793" s="1036">
        <f t="shared" si="461"/>
        <v>2017</v>
      </c>
      <c r="F793" s="1035" t="str">
        <f t="shared" si="462"/>
        <v>LULUS</v>
      </c>
      <c r="G793" s="1036">
        <f t="shared" si="463"/>
        <v>849117006</v>
      </c>
      <c r="H793" s="1038">
        <f t="shared" si="464"/>
        <v>0</v>
      </c>
      <c r="I793" s="1038">
        <f t="shared" si="465"/>
        <v>0</v>
      </c>
      <c r="J793" s="1038">
        <f t="shared" si="466"/>
        <v>0</v>
      </c>
      <c r="L793" s="1060">
        <f t="shared" si="448"/>
        <v>0</v>
      </c>
      <c r="M793" s="1060">
        <f t="shared" si="467"/>
        <v>1</v>
      </c>
      <c r="N793" s="1060">
        <f t="shared" si="468"/>
        <v>0</v>
      </c>
      <c r="O793" s="1060">
        <f t="shared" si="469"/>
        <v>0</v>
      </c>
      <c r="P793" s="1060">
        <f t="shared" si="470"/>
        <v>0</v>
      </c>
    </row>
    <row r="794" spans="1:16" x14ac:dyDescent="0.25">
      <c r="A794" s="1034">
        <v>1218</v>
      </c>
      <c r="B794" s="1034">
        <f t="shared" si="449"/>
        <v>7</v>
      </c>
      <c r="C794" s="1034" t="str">
        <f t="shared" si="459"/>
        <v>ALI KHUSNAN</v>
      </c>
      <c r="D794" s="1035" t="str">
        <f t="shared" si="460"/>
        <v>MPI-S2</v>
      </c>
      <c r="E794" s="1036">
        <f t="shared" si="461"/>
        <v>2017</v>
      </c>
      <c r="F794" s="1035" t="str">
        <f t="shared" si="462"/>
        <v>AKTIF</v>
      </c>
      <c r="G794" s="1036">
        <f t="shared" si="463"/>
        <v>849117007</v>
      </c>
      <c r="H794" s="1038">
        <f t="shared" si="464"/>
        <v>3000000</v>
      </c>
      <c r="I794" s="1038">
        <f t="shared" si="465"/>
        <v>3000000</v>
      </c>
      <c r="J794" s="1038">
        <f t="shared" si="466"/>
        <v>6000000</v>
      </c>
      <c r="L794" s="1060">
        <f t="shared" si="448"/>
        <v>1</v>
      </c>
      <c r="M794" s="1060">
        <f t="shared" si="467"/>
        <v>0</v>
      </c>
      <c r="N794" s="1060">
        <f t="shared" si="468"/>
        <v>0</v>
      </c>
      <c r="O794" s="1060">
        <f t="shared" si="469"/>
        <v>0</v>
      </c>
      <c r="P794" s="1060">
        <f t="shared" si="470"/>
        <v>0</v>
      </c>
    </row>
    <row r="795" spans="1:16" x14ac:dyDescent="0.25">
      <c r="A795" s="1034">
        <v>1219</v>
      </c>
      <c r="B795" s="1034">
        <f t="shared" si="449"/>
        <v>8</v>
      </c>
      <c r="C795" s="1034" t="str">
        <f t="shared" si="459"/>
        <v>AMIRUDIN</v>
      </c>
      <c r="D795" s="1035" t="str">
        <f t="shared" si="460"/>
        <v>MPI-S2</v>
      </c>
      <c r="E795" s="1036">
        <f t="shared" si="461"/>
        <v>2017</v>
      </c>
      <c r="F795" s="1035" t="str">
        <f t="shared" si="462"/>
        <v>PASIF</v>
      </c>
      <c r="G795" s="1036">
        <f t="shared" si="463"/>
        <v>849117008</v>
      </c>
      <c r="H795" s="1038">
        <f t="shared" si="464"/>
        <v>0</v>
      </c>
      <c r="I795" s="1038">
        <f t="shared" si="465"/>
        <v>0</v>
      </c>
      <c r="J795" s="1038">
        <f t="shared" si="466"/>
        <v>0</v>
      </c>
      <c r="L795" s="1060">
        <f t="shared" si="448"/>
        <v>0</v>
      </c>
      <c r="M795" s="1060">
        <f t="shared" si="467"/>
        <v>0</v>
      </c>
      <c r="N795" s="1060">
        <f t="shared" si="468"/>
        <v>0</v>
      </c>
      <c r="O795" s="1060">
        <f t="shared" si="469"/>
        <v>0</v>
      </c>
      <c r="P795" s="1060">
        <f t="shared" si="470"/>
        <v>1</v>
      </c>
    </row>
    <row r="796" spans="1:16" x14ac:dyDescent="0.25">
      <c r="A796" s="1034">
        <v>1220</v>
      </c>
      <c r="B796" s="1034">
        <f t="shared" si="449"/>
        <v>9</v>
      </c>
      <c r="C796" s="1034" t="str">
        <f t="shared" si="459"/>
        <v>BARLIAN QODARSA</v>
      </c>
      <c r="D796" s="1035" t="str">
        <f t="shared" si="460"/>
        <v>MPI-S2</v>
      </c>
      <c r="E796" s="1036">
        <f t="shared" si="461"/>
        <v>2017</v>
      </c>
      <c r="F796" s="1035" t="str">
        <f t="shared" si="462"/>
        <v>AKTIF</v>
      </c>
      <c r="G796" s="1036">
        <f t="shared" si="463"/>
        <v>849117009</v>
      </c>
      <c r="H796" s="1038">
        <f t="shared" si="464"/>
        <v>3000000</v>
      </c>
      <c r="I796" s="1038">
        <f t="shared" si="465"/>
        <v>3000000</v>
      </c>
      <c r="J796" s="1038">
        <f t="shared" si="466"/>
        <v>6000000</v>
      </c>
      <c r="L796" s="1060">
        <f t="shared" si="448"/>
        <v>1</v>
      </c>
      <c r="M796" s="1060">
        <f t="shared" si="467"/>
        <v>0</v>
      </c>
      <c r="N796" s="1060">
        <f t="shared" si="468"/>
        <v>0</v>
      </c>
      <c r="O796" s="1060">
        <f t="shared" si="469"/>
        <v>0</v>
      </c>
      <c r="P796" s="1060">
        <f t="shared" si="470"/>
        <v>0</v>
      </c>
    </row>
    <row r="797" spans="1:16" x14ac:dyDescent="0.25">
      <c r="A797" s="1034">
        <v>1221</v>
      </c>
      <c r="B797" s="1034">
        <f t="shared" si="449"/>
        <v>10</v>
      </c>
      <c r="C797" s="1034" t="str">
        <f t="shared" si="459"/>
        <v>EVI NURHAYATI</v>
      </c>
      <c r="D797" s="1035" t="str">
        <f t="shared" si="460"/>
        <v>MPI-S2</v>
      </c>
      <c r="E797" s="1036">
        <f t="shared" si="461"/>
        <v>2017</v>
      </c>
      <c r="F797" s="1035" t="str">
        <f t="shared" si="462"/>
        <v>AKTIF</v>
      </c>
      <c r="G797" s="1036">
        <f t="shared" si="463"/>
        <v>849117010</v>
      </c>
      <c r="H797" s="1038">
        <f t="shared" si="464"/>
        <v>3000000</v>
      </c>
      <c r="I797" s="1038">
        <f t="shared" si="465"/>
        <v>3000000</v>
      </c>
      <c r="J797" s="1038">
        <f t="shared" si="466"/>
        <v>6000000</v>
      </c>
      <c r="L797" s="1060">
        <f t="shared" si="448"/>
        <v>1</v>
      </c>
      <c r="M797" s="1060">
        <f t="shared" si="467"/>
        <v>0</v>
      </c>
      <c r="N797" s="1060">
        <f t="shared" si="468"/>
        <v>0</v>
      </c>
      <c r="O797" s="1060">
        <f t="shared" si="469"/>
        <v>0</v>
      </c>
      <c r="P797" s="1060">
        <f t="shared" si="470"/>
        <v>0</v>
      </c>
    </row>
    <row r="798" spans="1:16" x14ac:dyDescent="0.25">
      <c r="A798" s="1034">
        <v>1222</v>
      </c>
      <c r="B798" s="1034">
        <f t="shared" si="449"/>
        <v>11</v>
      </c>
      <c r="C798" s="1034" t="str">
        <f t="shared" si="459"/>
        <v>FAIKATUL WARDA</v>
      </c>
      <c r="D798" s="1035" t="str">
        <f t="shared" si="460"/>
        <v>MPI-S2</v>
      </c>
      <c r="E798" s="1036">
        <f t="shared" si="461"/>
        <v>2017</v>
      </c>
      <c r="F798" s="1035" t="str">
        <f t="shared" si="462"/>
        <v>LULUS</v>
      </c>
      <c r="G798" s="1036">
        <f t="shared" si="463"/>
        <v>849117011</v>
      </c>
      <c r="H798" s="1038">
        <f t="shared" si="464"/>
        <v>0</v>
      </c>
      <c r="I798" s="1038">
        <f t="shared" si="465"/>
        <v>0</v>
      </c>
      <c r="J798" s="1038">
        <f t="shared" si="466"/>
        <v>0</v>
      </c>
      <c r="L798" s="1060">
        <f t="shared" si="448"/>
        <v>0</v>
      </c>
      <c r="M798" s="1060">
        <f t="shared" si="467"/>
        <v>1</v>
      </c>
      <c r="N798" s="1060">
        <f t="shared" si="468"/>
        <v>0</v>
      </c>
      <c r="O798" s="1060">
        <f t="shared" si="469"/>
        <v>0</v>
      </c>
      <c r="P798" s="1060">
        <f t="shared" si="470"/>
        <v>0</v>
      </c>
    </row>
    <row r="799" spans="1:16" x14ac:dyDescent="0.25">
      <c r="A799" s="1034">
        <v>1223</v>
      </c>
      <c r="B799" s="1034">
        <f t="shared" si="449"/>
        <v>12</v>
      </c>
      <c r="C799" s="1034" t="str">
        <f t="shared" si="459"/>
        <v>FARID ROSYIDI</v>
      </c>
      <c r="D799" s="1035" t="str">
        <f t="shared" si="460"/>
        <v>MPI-S2</v>
      </c>
      <c r="E799" s="1036">
        <f t="shared" si="461"/>
        <v>2017</v>
      </c>
      <c r="F799" s="1035" t="str">
        <f t="shared" si="462"/>
        <v>AKTIF</v>
      </c>
      <c r="G799" s="1036">
        <f t="shared" si="463"/>
        <v>849117012</v>
      </c>
      <c r="H799" s="1038">
        <f t="shared" si="464"/>
        <v>3000000</v>
      </c>
      <c r="I799" s="1038">
        <f t="shared" si="465"/>
        <v>3000000</v>
      </c>
      <c r="J799" s="1038">
        <f t="shared" si="466"/>
        <v>6000000</v>
      </c>
      <c r="L799" s="1060">
        <f t="shared" si="448"/>
        <v>1</v>
      </c>
      <c r="M799" s="1060">
        <f t="shared" si="467"/>
        <v>0</v>
      </c>
      <c r="N799" s="1060">
        <f t="shared" si="468"/>
        <v>0</v>
      </c>
      <c r="O799" s="1060">
        <f t="shared" si="469"/>
        <v>0</v>
      </c>
      <c r="P799" s="1060">
        <f t="shared" si="470"/>
        <v>0</v>
      </c>
    </row>
    <row r="800" spans="1:16" x14ac:dyDescent="0.25">
      <c r="A800" s="1034">
        <v>1224</v>
      </c>
      <c r="B800" s="1034">
        <f t="shared" si="449"/>
        <v>13</v>
      </c>
      <c r="C800" s="1034" t="str">
        <f t="shared" si="459"/>
        <v>HASAN MUDZAKKIR</v>
      </c>
      <c r="D800" s="1035" t="str">
        <f t="shared" si="460"/>
        <v>MPI-S2</v>
      </c>
      <c r="E800" s="1036">
        <f t="shared" si="461"/>
        <v>2017</v>
      </c>
      <c r="F800" s="1035" t="str">
        <f t="shared" si="462"/>
        <v>PASIF</v>
      </c>
      <c r="G800" s="1036">
        <f t="shared" si="463"/>
        <v>849117013</v>
      </c>
      <c r="H800" s="1038">
        <f t="shared" si="464"/>
        <v>0</v>
      </c>
      <c r="I800" s="1038">
        <f t="shared" si="465"/>
        <v>0</v>
      </c>
      <c r="J800" s="1038">
        <f t="shared" si="466"/>
        <v>0</v>
      </c>
      <c r="L800" s="1060">
        <f t="shared" si="448"/>
        <v>0</v>
      </c>
      <c r="M800" s="1060">
        <f t="shared" si="467"/>
        <v>0</v>
      </c>
      <c r="N800" s="1060">
        <f t="shared" si="468"/>
        <v>0</v>
      </c>
      <c r="O800" s="1060">
        <f t="shared" si="469"/>
        <v>0</v>
      </c>
      <c r="P800" s="1060">
        <f t="shared" si="470"/>
        <v>1</v>
      </c>
    </row>
    <row r="801" spans="1:16" x14ac:dyDescent="0.25">
      <c r="A801" s="1034">
        <v>1225</v>
      </c>
      <c r="B801" s="1034">
        <f t="shared" si="449"/>
        <v>14</v>
      </c>
      <c r="C801" s="1034" t="str">
        <f t="shared" si="459"/>
        <v>HEVI HEKAYANTI</v>
      </c>
      <c r="D801" s="1035" t="str">
        <f t="shared" si="460"/>
        <v>MPI-S2</v>
      </c>
      <c r="E801" s="1036">
        <f t="shared" si="461"/>
        <v>2017</v>
      </c>
      <c r="F801" s="1035" t="str">
        <f t="shared" si="462"/>
        <v>LULUS</v>
      </c>
      <c r="G801" s="1036">
        <f t="shared" si="463"/>
        <v>849117014</v>
      </c>
      <c r="H801" s="1038">
        <f t="shared" si="464"/>
        <v>0</v>
      </c>
      <c r="I801" s="1038">
        <f t="shared" si="465"/>
        <v>0</v>
      </c>
      <c r="J801" s="1038">
        <f t="shared" si="466"/>
        <v>0</v>
      </c>
      <c r="L801" s="1060">
        <f t="shared" si="448"/>
        <v>0</v>
      </c>
      <c r="M801" s="1060">
        <f t="shared" si="467"/>
        <v>1</v>
      </c>
      <c r="N801" s="1060">
        <f t="shared" si="468"/>
        <v>0</v>
      </c>
      <c r="O801" s="1060">
        <f t="shared" si="469"/>
        <v>0</v>
      </c>
      <c r="P801" s="1060">
        <f t="shared" si="470"/>
        <v>0</v>
      </c>
    </row>
    <row r="802" spans="1:16" x14ac:dyDescent="0.25">
      <c r="A802" s="1034">
        <v>1226</v>
      </c>
      <c r="B802" s="1034">
        <f t="shared" si="449"/>
        <v>15</v>
      </c>
      <c r="C802" s="1034" t="str">
        <f t="shared" si="459"/>
        <v>IMAM HANAFI</v>
      </c>
      <c r="D802" s="1035" t="str">
        <f t="shared" si="460"/>
        <v>MPI-S2</v>
      </c>
      <c r="E802" s="1036">
        <f t="shared" si="461"/>
        <v>2017</v>
      </c>
      <c r="F802" s="1035" t="str">
        <f t="shared" si="462"/>
        <v>PASIF</v>
      </c>
      <c r="G802" s="1036">
        <f t="shared" si="463"/>
        <v>849117015</v>
      </c>
      <c r="H802" s="1038">
        <f t="shared" si="464"/>
        <v>0</v>
      </c>
      <c r="I802" s="1038">
        <f t="shared" si="465"/>
        <v>0</v>
      </c>
      <c r="J802" s="1038">
        <f t="shared" si="466"/>
        <v>0</v>
      </c>
      <c r="L802" s="1060">
        <f t="shared" si="448"/>
        <v>0</v>
      </c>
      <c r="M802" s="1060">
        <f t="shared" si="467"/>
        <v>0</v>
      </c>
      <c r="N802" s="1060">
        <f t="shared" si="468"/>
        <v>0</v>
      </c>
      <c r="O802" s="1060">
        <f t="shared" si="469"/>
        <v>0</v>
      </c>
      <c r="P802" s="1060">
        <f t="shared" si="470"/>
        <v>1</v>
      </c>
    </row>
    <row r="803" spans="1:16" x14ac:dyDescent="0.25">
      <c r="A803" s="1034">
        <v>1227</v>
      </c>
      <c r="B803" s="1034">
        <f t="shared" si="449"/>
        <v>16</v>
      </c>
      <c r="C803" s="1034" t="str">
        <f t="shared" si="459"/>
        <v>IZZATUL MASY'UNAH</v>
      </c>
      <c r="D803" s="1035" t="str">
        <f t="shared" si="460"/>
        <v>MPI-S2</v>
      </c>
      <c r="E803" s="1036">
        <f t="shared" si="461"/>
        <v>2017</v>
      </c>
      <c r="F803" s="1035" t="str">
        <f t="shared" si="462"/>
        <v>LULUS</v>
      </c>
      <c r="G803" s="1036">
        <f t="shared" si="463"/>
        <v>849117016</v>
      </c>
      <c r="H803" s="1038">
        <f t="shared" si="464"/>
        <v>0</v>
      </c>
      <c r="I803" s="1038">
        <f t="shared" si="465"/>
        <v>0</v>
      </c>
      <c r="J803" s="1038">
        <f t="shared" si="466"/>
        <v>0</v>
      </c>
      <c r="L803" s="1060">
        <f t="shared" si="448"/>
        <v>0</v>
      </c>
      <c r="M803" s="1060">
        <f t="shared" si="467"/>
        <v>1</v>
      </c>
      <c r="N803" s="1060">
        <f t="shared" si="468"/>
        <v>0</v>
      </c>
      <c r="O803" s="1060">
        <f t="shared" si="469"/>
        <v>0</v>
      </c>
      <c r="P803" s="1060">
        <f t="shared" si="470"/>
        <v>0</v>
      </c>
    </row>
    <row r="804" spans="1:16" x14ac:dyDescent="0.25">
      <c r="A804" s="1034">
        <v>1228</v>
      </c>
      <c r="B804" s="1034">
        <f t="shared" si="449"/>
        <v>17</v>
      </c>
      <c r="C804" s="1034" t="str">
        <f t="shared" si="459"/>
        <v>LAILIA MUFIDA</v>
      </c>
      <c r="D804" s="1035" t="str">
        <f t="shared" si="460"/>
        <v>MPI-S2</v>
      </c>
      <c r="E804" s="1036">
        <f t="shared" si="461"/>
        <v>2017</v>
      </c>
      <c r="F804" s="1035" t="str">
        <f t="shared" si="462"/>
        <v>LULUS</v>
      </c>
      <c r="G804" s="1036">
        <f t="shared" si="463"/>
        <v>849117017</v>
      </c>
      <c r="H804" s="1038">
        <f t="shared" si="464"/>
        <v>0</v>
      </c>
      <c r="I804" s="1038">
        <f t="shared" si="465"/>
        <v>0</v>
      </c>
      <c r="J804" s="1038">
        <f t="shared" si="466"/>
        <v>0</v>
      </c>
      <c r="L804" s="1060">
        <f t="shared" si="448"/>
        <v>0</v>
      </c>
      <c r="M804" s="1060">
        <f t="shared" si="467"/>
        <v>1</v>
      </c>
      <c r="N804" s="1060">
        <f t="shared" si="468"/>
        <v>0</v>
      </c>
      <c r="O804" s="1060">
        <f t="shared" si="469"/>
        <v>0</v>
      </c>
      <c r="P804" s="1060">
        <f t="shared" si="470"/>
        <v>0</v>
      </c>
    </row>
    <row r="805" spans="1:16" x14ac:dyDescent="0.25">
      <c r="A805" s="1034">
        <v>1229</v>
      </c>
      <c r="B805" s="1034">
        <f t="shared" si="449"/>
        <v>18</v>
      </c>
      <c r="C805" s="1034" t="str">
        <f t="shared" si="459"/>
        <v>LISBINANTIN</v>
      </c>
      <c r="D805" s="1035" t="str">
        <f t="shared" si="460"/>
        <v>MPI-S2</v>
      </c>
      <c r="E805" s="1036">
        <f t="shared" si="461"/>
        <v>2017</v>
      </c>
      <c r="F805" s="1035" t="str">
        <f t="shared" si="462"/>
        <v>LULUS</v>
      </c>
      <c r="G805" s="1036">
        <f t="shared" si="463"/>
        <v>849117018</v>
      </c>
      <c r="H805" s="1038">
        <f t="shared" si="464"/>
        <v>0</v>
      </c>
      <c r="I805" s="1038">
        <f t="shared" si="465"/>
        <v>0</v>
      </c>
      <c r="J805" s="1038">
        <f t="shared" si="466"/>
        <v>0</v>
      </c>
      <c r="L805" s="1060">
        <f t="shared" si="448"/>
        <v>0</v>
      </c>
      <c r="M805" s="1060">
        <f t="shared" si="467"/>
        <v>1</v>
      </c>
      <c r="N805" s="1060">
        <f t="shared" si="468"/>
        <v>0</v>
      </c>
      <c r="O805" s="1060">
        <f t="shared" si="469"/>
        <v>0</v>
      </c>
      <c r="P805" s="1060">
        <f t="shared" si="470"/>
        <v>0</v>
      </c>
    </row>
    <row r="806" spans="1:16" x14ac:dyDescent="0.25">
      <c r="A806" s="1034">
        <v>1230</v>
      </c>
      <c r="B806" s="1034">
        <f t="shared" si="449"/>
        <v>19</v>
      </c>
      <c r="C806" s="1034" t="str">
        <f t="shared" si="459"/>
        <v>LUKMAN HAQIQI</v>
      </c>
      <c r="D806" s="1035" t="str">
        <f t="shared" si="460"/>
        <v>MPI-S2</v>
      </c>
      <c r="E806" s="1036">
        <f t="shared" si="461"/>
        <v>2017</v>
      </c>
      <c r="F806" s="1035" t="str">
        <f t="shared" si="462"/>
        <v>AKTIF</v>
      </c>
      <c r="G806" s="1036">
        <f t="shared" si="463"/>
        <v>849117019</v>
      </c>
      <c r="H806" s="1038">
        <f t="shared" si="464"/>
        <v>3000000</v>
      </c>
      <c r="I806" s="1038">
        <f t="shared" si="465"/>
        <v>3000000</v>
      </c>
      <c r="J806" s="1038">
        <f t="shared" si="466"/>
        <v>6000000</v>
      </c>
      <c r="L806" s="1060">
        <f t="shared" si="448"/>
        <v>1</v>
      </c>
      <c r="M806" s="1060">
        <f t="shared" si="467"/>
        <v>0</v>
      </c>
      <c r="N806" s="1060">
        <f t="shared" si="468"/>
        <v>0</v>
      </c>
      <c r="O806" s="1060">
        <f t="shared" si="469"/>
        <v>0</v>
      </c>
      <c r="P806" s="1060">
        <f t="shared" si="470"/>
        <v>0</v>
      </c>
    </row>
    <row r="807" spans="1:16" x14ac:dyDescent="0.25">
      <c r="A807" s="1034">
        <v>1231</v>
      </c>
      <c r="B807" s="1034">
        <f t="shared" si="449"/>
        <v>20</v>
      </c>
      <c r="C807" s="1034" t="str">
        <f t="shared" si="459"/>
        <v>LUTFI WAKHID</v>
      </c>
      <c r="D807" s="1035" t="str">
        <f t="shared" si="460"/>
        <v>MPI-S2</v>
      </c>
      <c r="E807" s="1036">
        <f t="shared" si="461"/>
        <v>2017</v>
      </c>
      <c r="F807" s="1035" t="str">
        <f t="shared" si="462"/>
        <v>PASIF</v>
      </c>
      <c r="G807" s="1036">
        <f t="shared" si="463"/>
        <v>849117020</v>
      </c>
      <c r="H807" s="1038">
        <f t="shared" si="464"/>
        <v>0</v>
      </c>
      <c r="I807" s="1038">
        <f t="shared" si="465"/>
        <v>0</v>
      </c>
      <c r="J807" s="1038">
        <f t="shared" si="466"/>
        <v>0</v>
      </c>
      <c r="L807" s="1060">
        <f t="shared" si="448"/>
        <v>0</v>
      </c>
      <c r="M807" s="1060">
        <f t="shared" si="467"/>
        <v>0</v>
      </c>
      <c r="N807" s="1060">
        <f t="shared" si="468"/>
        <v>0</v>
      </c>
      <c r="O807" s="1060">
        <f t="shared" si="469"/>
        <v>0</v>
      </c>
      <c r="P807" s="1060">
        <f t="shared" si="470"/>
        <v>1</v>
      </c>
    </row>
    <row r="808" spans="1:16" x14ac:dyDescent="0.25">
      <c r="A808" s="1034">
        <v>1232</v>
      </c>
      <c r="B808" s="1034">
        <f t="shared" si="449"/>
        <v>21</v>
      </c>
      <c r="C808" s="1034" t="str">
        <f t="shared" si="459"/>
        <v>M KHOTIB FIRDAUS</v>
      </c>
      <c r="D808" s="1035" t="str">
        <f t="shared" si="460"/>
        <v>MPI-S2</v>
      </c>
      <c r="E808" s="1036">
        <f t="shared" si="461"/>
        <v>2017</v>
      </c>
      <c r="F808" s="1035" t="str">
        <f t="shared" si="462"/>
        <v>CUTI</v>
      </c>
      <c r="G808" s="1036">
        <f t="shared" si="463"/>
        <v>849117021</v>
      </c>
      <c r="H808" s="1038">
        <f t="shared" si="464"/>
        <v>3000000</v>
      </c>
      <c r="I808" s="1038">
        <f t="shared" si="465"/>
        <v>3000000</v>
      </c>
      <c r="J808" s="1038">
        <f t="shared" si="466"/>
        <v>6000000</v>
      </c>
      <c r="L808" s="1060">
        <f t="shared" si="448"/>
        <v>0</v>
      </c>
      <c r="M808" s="1060">
        <f t="shared" si="467"/>
        <v>0</v>
      </c>
      <c r="N808" s="1060">
        <f t="shared" si="468"/>
        <v>1</v>
      </c>
      <c r="O808" s="1060">
        <f t="shared" si="469"/>
        <v>0</v>
      </c>
      <c r="P808" s="1060">
        <f t="shared" si="470"/>
        <v>0</v>
      </c>
    </row>
    <row r="809" spans="1:16" x14ac:dyDescent="0.25">
      <c r="A809" s="1034">
        <v>1233</v>
      </c>
      <c r="B809" s="1034">
        <f t="shared" si="449"/>
        <v>22</v>
      </c>
      <c r="C809" s="1034" t="str">
        <f t="shared" si="459"/>
        <v>M. ADIB BARIZA MAULANA</v>
      </c>
      <c r="D809" s="1035" t="str">
        <f t="shared" si="460"/>
        <v>MPI-S2</v>
      </c>
      <c r="E809" s="1036">
        <f t="shared" si="461"/>
        <v>2017</v>
      </c>
      <c r="F809" s="1035" t="str">
        <f t="shared" si="462"/>
        <v>AKTIF</v>
      </c>
      <c r="G809" s="1036">
        <f t="shared" si="463"/>
        <v>849117022</v>
      </c>
      <c r="H809" s="1038">
        <f t="shared" si="464"/>
        <v>3000000</v>
      </c>
      <c r="I809" s="1038">
        <f t="shared" si="465"/>
        <v>3000000</v>
      </c>
      <c r="J809" s="1038">
        <f t="shared" si="466"/>
        <v>6000000</v>
      </c>
      <c r="L809" s="1060">
        <f t="shared" si="448"/>
        <v>1</v>
      </c>
      <c r="M809" s="1060">
        <f t="shared" si="467"/>
        <v>0</v>
      </c>
      <c r="N809" s="1060">
        <f t="shared" si="468"/>
        <v>0</v>
      </c>
      <c r="O809" s="1060">
        <f t="shared" si="469"/>
        <v>0</v>
      </c>
      <c r="P809" s="1060">
        <f t="shared" si="470"/>
        <v>0</v>
      </c>
    </row>
    <row r="810" spans="1:16" x14ac:dyDescent="0.25">
      <c r="A810" s="1034">
        <v>1234</v>
      </c>
      <c r="B810" s="1034">
        <f t="shared" si="449"/>
        <v>23</v>
      </c>
      <c r="C810" s="1034" t="str">
        <f t="shared" si="459"/>
        <v>MASHLAHATUS SALAMAH</v>
      </c>
      <c r="D810" s="1035" t="str">
        <f t="shared" si="460"/>
        <v>MPI-S2</v>
      </c>
      <c r="E810" s="1036">
        <f t="shared" si="461"/>
        <v>2017</v>
      </c>
      <c r="F810" s="1035" t="str">
        <f t="shared" si="462"/>
        <v>LULUS</v>
      </c>
      <c r="G810" s="1036">
        <f t="shared" si="463"/>
        <v>849117023</v>
      </c>
      <c r="H810" s="1038">
        <f t="shared" si="464"/>
        <v>0</v>
      </c>
      <c r="I810" s="1038">
        <f t="shared" si="465"/>
        <v>0</v>
      </c>
      <c r="J810" s="1038">
        <f t="shared" si="466"/>
        <v>0</v>
      </c>
      <c r="L810" s="1060">
        <f t="shared" si="448"/>
        <v>0</v>
      </c>
      <c r="M810" s="1060">
        <f t="shared" si="467"/>
        <v>1</v>
      </c>
      <c r="N810" s="1060">
        <f t="shared" si="468"/>
        <v>0</v>
      </c>
      <c r="O810" s="1060">
        <f t="shared" si="469"/>
        <v>0</v>
      </c>
      <c r="P810" s="1060">
        <f t="shared" si="470"/>
        <v>0</v>
      </c>
    </row>
    <row r="811" spans="1:16" x14ac:dyDescent="0.25">
      <c r="A811" s="1034">
        <v>1235</v>
      </c>
      <c r="B811" s="1034">
        <f t="shared" si="449"/>
        <v>24</v>
      </c>
      <c r="C811" s="1034" t="str">
        <f t="shared" si="459"/>
        <v>MIARTI</v>
      </c>
      <c r="D811" s="1035" t="str">
        <f t="shared" si="460"/>
        <v>MPI-S2</v>
      </c>
      <c r="E811" s="1036">
        <f t="shared" si="461"/>
        <v>2017</v>
      </c>
      <c r="F811" s="1035" t="str">
        <f t="shared" si="462"/>
        <v>LULUS</v>
      </c>
      <c r="G811" s="1036">
        <f t="shared" si="463"/>
        <v>849117024</v>
      </c>
      <c r="H811" s="1038">
        <f t="shared" si="464"/>
        <v>0</v>
      </c>
      <c r="I811" s="1038">
        <f t="shared" si="465"/>
        <v>0</v>
      </c>
      <c r="J811" s="1038">
        <f t="shared" si="466"/>
        <v>0</v>
      </c>
      <c r="L811" s="1060">
        <f t="shared" ref="L811:L878" si="471">IF(F811="AKTIF",1,0)</f>
        <v>0</v>
      </c>
      <c r="M811" s="1060">
        <f t="shared" si="467"/>
        <v>1</v>
      </c>
      <c r="N811" s="1060">
        <f t="shared" si="468"/>
        <v>0</v>
      </c>
      <c r="O811" s="1060">
        <f t="shared" si="469"/>
        <v>0</v>
      </c>
      <c r="P811" s="1060">
        <f t="shared" si="470"/>
        <v>0</v>
      </c>
    </row>
    <row r="812" spans="1:16" x14ac:dyDescent="0.25">
      <c r="A812" s="1034">
        <v>1236</v>
      </c>
      <c r="B812" s="1034">
        <f t="shared" si="449"/>
        <v>25</v>
      </c>
      <c r="C812" s="1034" t="str">
        <f t="shared" si="459"/>
        <v>MISBAHUL MUNIR</v>
      </c>
      <c r="D812" s="1035" t="str">
        <f t="shared" si="460"/>
        <v>MPI-S2</v>
      </c>
      <c r="E812" s="1036">
        <f t="shared" si="461"/>
        <v>2017</v>
      </c>
      <c r="F812" s="1035" t="str">
        <f t="shared" si="462"/>
        <v>PASIF</v>
      </c>
      <c r="G812" s="1036">
        <f t="shared" si="463"/>
        <v>849117025</v>
      </c>
      <c r="H812" s="1038">
        <f t="shared" si="464"/>
        <v>0</v>
      </c>
      <c r="I812" s="1038">
        <f t="shared" si="465"/>
        <v>0</v>
      </c>
      <c r="J812" s="1038">
        <f t="shared" si="466"/>
        <v>0</v>
      </c>
      <c r="L812" s="1060">
        <f t="shared" si="471"/>
        <v>0</v>
      </c>
      <c r="M812" s="1060">
        <f t="shared" si="467"/>
        <v>0</v>
      </c>
      <c r="N812" s="1060">
        <f t="shared" si="468"/>
        <v>0</v>
      </c>
      <c r="O812" s="1060">
        <f t="shared" si="469"/>
        <v>0</v>
      </c>
      <c r="P812" s="1060">
        <f t="shared" si="470"/>
        <v>1</v>
      </c>
    </row>
    <row r="813" spans="1:16" x14ac:dyDescent="0.25">
      <c r="A813" s="1034">
        <v>1237</v>
      </c>
      <c r="B813" s="1034">
        <f t="shared" ref="B813:B880" si="472">IFERROR(VLOOKUP(A813,DB,2,FALSE),"")</f>
        <v>26</v>
      </c>
      <c r="C813" s="1034" t="str">
        <f t="shared" si="459"/>
        <v>MOH. TSABIT</v>
      </c>
      <c r="D813" s="1035" t="str">
        <f t="shared" si="460"/>
        <v>MPI-S2</v>
      </c>
      <c r="E813" s="1036">
        <f t="shared" si="461"/>
        <v>2017</v>
      </c>
      <c r="F813" s="1035" t="str">
        <f t="shared" si="462"/>
        <v>LULUS</v>
      </c>
      <c r="G813" s="1036">
        <f t="shared" si="463"/>
        <v>849117026</v>
      </c>
      <c r="H813" s="1038">
        <f t="shared" si="464"/>
        <v>0</v>
      </c>
      <c r="I813" s="1038">
        <f t="shared" si="465"/>
        <v>0</v>
      </c>
      <c r="J813" s="1038">
        <f t="shared" si="466"/>
        <v>0</v>
      </c>
      <c r="L813" s="1060">
        <f t="shared" si="471"/>
        <v>0</v>
      </c>
      <c r="M813" s="1060">
        <f t="shared" si="467"/>
        <v>1</v>
      </c>
      <c r="N813" s="1060">
        <f t="shared" si="468"/>
        <v>0</v>
      </c>
      <c r="O813" s="1060">
        <f t="shared" si="469"/>
        <v>0</v>
      </c>
      <c r="P813" s="1060">
        <f t="shared" si="470"/>
        <v>0</v>
      </c>
    </row>
    <row r="814" spans="1:16" x14ac:dyDescent="0.25">
      <c r="A814" s="1034">
        <v>1238</v>
      </c>
      <c r="B814" s="1034">
        <f t="shared" si="472"/>
        <v>27</v>
      </c>
      <c r="C814" s="1034" t="str">
        <f t="shared" si="459"/>
        <v>MOHAMMAD HAMDI</v>
      </c>
      <c r="D814" s="1035" t="str">
        <f t="shared" si="460"/>
        <v>MPI-S2</v>
      </c>
      <c r="E814" s="1036">
        <f t="shared" si="461"/>
        <v>2017</v>
      </c>
      <c r="F814" s="1035" t="str">
        <f t="shared" si="462"/>
        <v>PASIF</v>
      </c>
      <c r="G814" s="1036">
        <f t="shared" si="463"/>
        <v>849117027</v>
      </c>
      <c r="H814" s="1038">
        <f t="shared" si="464"/>
        <v>0</v>
      </c>
      <c r="I814" s="1038">
        <f t="shared" si="465"/>
        <v>0</v>
      </c>
      <c r="J814" s="1038">
        <f t="shared" si="466"/>
        <v>0</v>
      </c>
      <c r="L814" s="1060">
        <f t="shared" si="471"/>
        <v>0</v>
      </c>
      <c r="M814" s="1060">
        <f t="shared" si="467"/>
        <v>0</v>
      </c>
      <c r="N814" s="1060">
        <f t="shared" si="468"/>
        <v>0</v>
      </c>
      <c r="O814" s="1060">
        <f t="shared" si="469"/>
        <v>0</v>
      </c>
      <c r="P814" s="1060">
        <f t="shared" si="470"/>
        <v>1</v>
      </c>
    </row>
    <row r="815" spans="1:16" x14ac:dyDescent="0.25">
      <c r="A815" s="1034">
        <v>1239</v>
      </c>
      <c r="B815" s="1034">
        <f t="shared" si="472"/>
        <v>28</v>
      </c>
      <c r="C815" s="1034" t="str">
        <f t="shared" si="459"/>
        <v>MUHAMAD NURUL HUDA</v>
      </c>
      <c r="D815" s="1035" t="str">
        <f t="shared" si="460"/>
        <v>MPI-S2</v>
      </c>
      <c r="E815" s="1036">
        <f t="shared" si="461"/>
        <v>2017</v>
      </c>
      <c r="F815" s="1035" t="str">
        <f t="shared" si="462"/>
        <v>LULUS</v>
      </c>
      <c r="G815" s="1036">
        <f t="shared" si="463"/>
        <v>849117028</v>
      </c>
      <c r="H815" s="1038">
        <f t="shared" si="464"/>
        <v>0</v>
      </c>
      <c r="I815" s="1038">
        <f t="shared" si="465"/>
        <v>0</v>
      </c>
      <c r="J815" s="1038">
        <f t="shared" si="466"/>
        <v>0</v>
      </c>
      <c r="L815" s="1060">
        <f t="shared" si="471"/>
        <v>0</v>
      </c>
      <c r="M815" s="1060">
        <f t="shared" si="467"/>
        <v>1</v>
      </c>
      <c r="N815" s="1060">
        <f t="shared" si="468"/>
        <v>0</v>
      </c>
      <c r="O815" s="1060">
        <f t="shared" si="469"/>
        <v>0</v>
      </c>
      <c r="P815" s="1060">
        <f t="shared" si="470"/>
        <v>0</v>
      </c>
    </row>
    <row r="816" spans="1:16" x14ac:dyDescent="0.25">
      <c r="A816" s="1034">
        <v>1240</v>
      </c>
      <c r="B816" s="1034">
        <f t="shared" si="472"/>
        <v>29</v>
      </c>
      <c r="C816" s="1034" t="str">
        <f t="shared" si="459"/>
        <v>MUHAMMAD</v>
      </c>
      <c r="D816" s="1035" t="str">
        <f t="shared" si="460"/>
        <v>MPI-S2</v>
      </c>
      <c r="E816" s="1036">
        <f t="shared" si="461"/>
        <v>2017</v>
      </c>
      <c r="F816" s="1035" t="str">
        <f t="shared" si="462"/>
        <v>PASIF</v>
      </c>
      <c r="G816" s="1036">
        <f t="shared" si="463"/>
        <v>849117029</v>
      </c>
      <c r="H816" s="1038">
        <f t="shared" si="464"/>
        <v>0</v>
      </c>
      <c r="I816" s="1038">
        <f t="shared" si="465"/>
        <v>0</v>
      </c>
      <c r="J816" s="1038">
        <f t="shared" si="466"/>
        <v>0</v>
      </c>
      <c r="L816" s="1060">
        <f t="shared" si="471"/>
        <v>0</v>
      </c>
      <c r="M816" s="1060">
        <f t="shared" si="467"/>
        <v>0</v>
      </c>
      <c r="N816" s="1060">
        <f t="shared" si="468"/>
        <v>0</v>
      </c>
      <c r="O816" s="1060">
        <f t="shared" si="469"/>
        <v>0</v>
      </c>
      <c r="P816" s="1060">
        <f t="shared" si="470"/>
        <v>1</v>
      </c>
    </row>
    <row r="817" spans="1:16" x14ac:dyDescent="0.25">
      <c r="A817" s="1034">
        <v>1241</v>
      </c>
      <c r="B817" s="1034">
        <f t="shared" si="472"/>
        <v>30</v>
      </c>
      <c r="C817" s="1034" t="str">
        <f t="shared" si="459"/>
        <v>MUHAMMAD AFFANDI</v>
      </c>
      <c r="D817" s="1035" t="str">
        <f t="shared" si="460"/>
        <v>MPI-S2</v>
      </c>
      <c r="E817" s="1036">
        <f t="shared" si="461"/>
        <v>2017</v>
      </c>
      <c r="F817" s="1035" t="str">
        <f t="shared" si="462"/>
        <v>PASIF</v>
      </c>
      <c r="G817" s="1036">
        <f t="shared" si="463"/>
        <v>849117030</v>
      </c>
      <c r="H817" s="1038">
        <f t="shared" si="464"/>
        <v>0</v>
      </c>
      <c r="I817" s="1038">
        <f t="shared" si="465"/>
        <v>0</v>
      </c>
      <c r="J817" s="1038">
        <f t="shared" si="466"/>
        <v>0</v>
      </c>
      <c r="L817" s="1060">
        <f t="shared" si="471"/>
        <v>0</v>
      </c>
      <c r="M817" s="1060">
        <f t="shared" si="467"/>
        <v>0</v>
      </c>
      <c r="N817" s="1060">
        <f t="shared" si="468"/>
        <v>0</v>
      </c>
      <c r="O817" s="1060">
        <f t="shared" si="469"/>
        <v>0</v>
      </c>
      <c r="P817" s="1060">
        <f t="shared" si="470"/>
        <v>1</v>
      </c>
    </row>
    <row r="818" spans="1:16" x14ac:dyDescent="0.25">
      <c r="A818" s="1034">
        <v>1242</v>
      </c>
      <c r="B818" s="1034">
        <f t="shared" si="472"/>
        <v>31</v>
      </c>
      <c r="C818" s="1034" t="str">
        <f t="shared" si="459"/>
        <v>MUHAMMAD KHOLIDI</v>
      </c>
      <c r="D818" s="1035" t="str">
        <f t="shared" si="460"/>
        <v>MPI-S2</v>
      </c>
      <c r="E818" s="1036">
        <f t="shared" si="461"/>
        <v>2017</v>
      </c>
      <c r="F818" s="1035" t="str">
        <f t="shared" si="462"/>
        <v>AKTIF</v>
      </c>
      <c r="G818" s="1036">
        <f t="shared" si="463"/>
        <v>849117031</v>
      </c>
      <c r="H818" s="1038">
        <f t="shared" si="464"/>
        <v>3000000</v>
      </c>
      <c r="I818" s="1038">
        <f t="shared" si="465"/>
        <v>3000000</v>
      </c>
      <c r="J818" s="1038">
        <f t="shared" si="466"/>
        <v>6000000</v>
      </c>
      <c r="L818" s="1060">
        <f t="shared" si="471"/>
        <v>1</v>
      </c>
      <c r="M818" s="1060">
        <f t="shared" si="467"/>
        <v>0</v>
      </c>
      <c r="N818" s="1060">
        <f t="shared" si="468"/>
        <v>0</v>
      </c>
      <c r="O818" s="1060">
        <f t="shared" si="469"/>
        <v>0</v>
      </c>
      <c r="P818" s="1060">
        <f t="shared" si="470"/>
        <v>0</v>
      </c>
    </row>
    <row r="819" spans="1:16" x14ac:dyDescent="0.25">
      <c r="A819" s="1034">
        <v>1243</v>
      </c>
      <c r="B819" s="1034">
        <f t="shared" si="472"/>
        <v>32</v>
      </c>
      <c r="C819" s="1034" t="str">
        <f t="shared" si="459"/>
        <v>MUHAMMAD RAHMAN HIDAYAT</v>
      </c>
      <c r="D819" s="1035" t="str">
        <f t="shared" si="460"/>
        <v>MPI-S2</v>
      </c>
      <c r="E819" s="1036">
        <f t="shared" si="461"/>
        <v>2017</v>
      </c>
      <c r="F819" s="1035" t="str">
        <f t="shared" si="462"/>
        <v>LULUS</v>
      </c>
      <c r="G819" s="1036">
        <f t="shared" si="463"/>
        <v>849117032</v>
      </c>
      <c r="H819" s="1038">
        <f t="shared" si="464"/>
        <v>0</v>
      </c>
      <c r="I819" s="1038">
        <f t="shared" si="465"/>
        <v>0</v>
      </c>
      <c r="J819" s="1038">
        <f t="shared" si="466"/>
        <v>0</v>
      </c>
      <c r="L819" s="1060">
        <f t="shared" si="471"/>
        <v>0</v>
      </c>
      <c r="M819" s="1060">
        <f t="shared" si="467"/>
        <v>1</v>
      </c>
      <c r="N819" s="1060">
        <f t="shared" si="468"/>
        <v>0</v>
      </c>
      <c r="O819" s="1060">
        <f t="shared" si="469"/>
        <v>0</v>
      </c>
      <c r="P819" s="1060">
        <f t="shared" si="470"/>
        <v>0</v>
      </c>
    </row>
    <row r="820" spans="1:16" x14ac:dyDescent="0.25">
      <c r="A820" s="1034">
        <v>1244</v>
      </c>
      <c r="B820" s="1034">
        <f t="shared" si="472"/>
        <v>33</v>
      </c>
      <c r="C820" s="1034" t="str">
        <f t="shared" si="459"/>
        <v>MUHAMMAD SHABIBUR RAHMAT</v>
      </c>
      <c r="D820" s="1035" t="str">
        <f t="shared" si="460"/>
        <v>MPI-S2</v>
      </c>
      <c r="E820" s="1036">
        <f t="shared" si="461"/>
        <v>2017</v>
      </c>
      <c r="F820" s="1035" t="str">
        <f t="shared" si="462"/>
        <v>LULUS</v>
      </c>
      <c r="G820" s="1036">
        <f t="shared" si="463"/>
        <v>849117033</v>
      </c>
      <c r="H820" s="1038">
        <f t="shared" si="464"/>
        <v>0</v>
      </c>
      <c r="I820" s="1038">
        <f t="shared" si="465"/>
        <v>0</v>
      </c>
      <c r="J820" s="1038">
        <f t="shared" si="466"/>
        <v>0</v>
      </c>
      <c r="L820" s="1060">
        <f t="shared" si="471"/>
        <v>0</v>
      </c>
      <c r="M820" s="1060">
        <f t="shared" si="467"/>
        <v>1</v>
      </c>
      <c r="N820" s="1060">
        <f t="shared" si="468"/>
        <v>0</v>
      </c>
      <c r="O820" s="1060">
        <f t="shared" si="469"/>
        <v>0</v>
      </c>
      <c r="P820" s="1060">
        <f t="shared" si="470"/>
        <v>0</v>
      </c>
    </row>
    <row r="821" spans="1:16" x14ac:dyDescent="0.25">
      <c r="A821" s="1034">
        <v>1245</v>
      </c>
      <c r="B821" s="1034">
        <f t="shared" si="472"/>
        <v>34</v>
      </c>
      <c r="C821" s="1034" t="str">
        <f t="shared" si="459"/>
        <v>NIMATUL HIDAYATI</v>
      </c>
      <c r="D821" s="1035" t="str">
        <f t="shared" si="460"/>
        <v>MPI-S2</v>
      </c>
      <c r="E821" s="1036">
        <f t="shared" si="461"/>
        <v>2017</v>
      </c>
      <c r="F821" s="1035" t="str">
        <f t="shared" si="462"/>
        <v>LULUS</v>
      </c>
      <c r="G821" s="1036">
        <f t="shared" si="463"/>
        <v>849117034</v>
      </c>
      <c r="H821" s="1038">
        <f t="shared" si="464"/>
        <v>0</v>
      </c>
      <c r="I821" s="1038">
        <f t="shared" si="465"/>
        <v>0</v>
      </c>
      <c r="J821" s="1038">
        <f t="shared" si="466"/>
        <v>0</v>
      </c>
      <c r="L821" s="1060">
        <f t="shared" si="471"/>
        <v>0</v>
      </c>
      <c r="M821" s="1060">
        <f t="shared" si="467"/>
        <v>1</v>
      </c>
      <c r="N821" s="1060">
        <f t="shared" si="468"/>
        <v>0</v>
      </c>
      <c r="O821" s="1060">
        <f t="shared" si="469"/>
        <v>0</v>
      </c>
      <c r="P821" s="1060">
        <f t="shared" si="470"/>
        <v>0</v>
      </c>
    </row>
    <row r="822" spans="1:16" x14ac:dyDescent="0.25">
      <c r="A822" s="1034">
        <v>1246</v>
      </c>
      <c r="B822" s="1034">
        <f t="shared" si="472"/>
        <v>35</v>
      </c>
      <c r="C822" s="1034" t="str">
        <f t="shared" si="459"/>
        <v>NUR HIDAYATI</v>
      </c>
      <c r="D822" s="1035" t="str">
        <f t="shared" si="460"/>
        <v>MPI-S2</v>
      </c>
      <c r="E822" s="1036">
        <f t="shared" si="461"/>
        <v>2017</v>
      </c>
      <c r="F822" s="1035" t="str">
        <f t="shared" si="462"/>
        <v>AKTIF</v>
      </c>
      <c r="G822" s="1036">
        <f t="shared" si="463"/>
        <v>849117035</v>
      </c>
      <c r="H822" s="1038">
        <f t="shared" si="464"/>
        <v>3000000</v>
      </c>
      <c r="I822" s="1038">
        <f t="shared" si="465"/>
        <v>3000000</v>
      </c>
      <c r="J822" s="1038">
        <f t="shared" si="466"/>
        <v>6000000</v>
      </c>
      <c r="L822" s="1060">
        <f t="shared" si="471"/>
        <v>1</v>
      </c>
      <c r="M822" s="1060">
        <f t="shared" si="467"/>
        <v>0</v>
      </c>
      <c r="N822" s="1060">
        <f t="shared" si="468"/>
        <v>0</v>
      </c>
      <c r="O822" s="1060">
        <f t="shared" si="469"/>
        <v>0</v>
      </c>
      <c r="P822" s="1060">
        <f t="shared" si="470"/>
        <v>0</v>
      </c>
    </row>
    <row r="823" spans="1:16" x14ac:dyDescent="0.25">
      <c r="A823" s="1034">
        <v>1247</v>
      </c>
      <c r="B823" s="1034">
        <f t="shared" si="472"/>
        <v>36</v>
      </c>
      <c r="C823" s="1034" t="str">
        <f t="shared" si="459"/>
        <v>NUR ROHIM</v>
      </c>
      <c r="D823" s="1035" t="str">
        <f t="shared" si="460"/>
        <v>MPI-S2</v>
      </c>
      <c r="E823" s="1036">
        <f t="shared" si="461"/>
        <v>2017</v>
      </c>
      <c r="F823" s="1035" t="str">
        <f t="shared" si="462"/>
        <v>LULUS</v>
      </c>
      <c r="G823" s="1036">
        <f t="shared" si="463"/>
        <v>849117036</v>
      </c>
      <c r="H823" s="1038">
        <f t="shared" si="464"/>
        <v>0</v>
      </c>
      <c r="I823" s="1038">
        <f t="shared" si="465"/>
        <v>0</v>
      </c>
      <c r="J823" s="1038">
        <f t="shared" si="466"/>
        <v>0</v>
      </c>
      <c r="L823" s="1060">
        <f t="shared" si="471"/>
        <v>0</v>
      </c>
      <c r="M823" s="1060">
        <f t="shared" si="467"/>
        <v>1</v>
      </c>
      <c r="N823" s="1060">
        <f t="shared" si="468"/>
        <v>0</v>
      </c>
      <c r="O823" s="1060">
        <f t="shared" si="469"/>
        <v>0</v>
      </c>
      <c r="P823" s="1060">
        <f t="shared" si="470"/>
        <v>0</v>
      </c>
    </row>
    <row r="824" spans="1:16" x14ac:dyDescent="0.25">
      <c r="A824" s="1034">
        <v>1248</v>
      </c>
      <c r="B824" s="1034">
        <f t="shared" si="472"/>
        <v>37</v>
      </c>
      <c r="C824" s="1034" t="str">
        <f t="shared" si="459"/>
        <v>NUR SARI AS'ADIYAH</v>
      </c>
      <c r="D824" s="1035" t="str">
        <f t="shared" si="460"/>
        <v>MPI-S2</v>
      </c>
      <c r="E824" s="1036">
        <f t="shared" si="461"/>
        <v>2017</v>
      </c>
      <c r="F824" s="1035" t="str">
        <f t="shared" si="462"/>
        <v>LULUS</v>
      </c>
      <c r="G824" s="1036">
        <f t="shared" si="463"/>
        <v>849117037</v>
      </c>
      <c r="H824" s="1038">
        <f t="shared" si="464"/>
        <v>0</v>
      </c>
      <c r="I824" s="1038">
        <f t="shared" si="465"/>
        <v>0</v>
      </c>
      <c r="J824" s="1038">
        <f t="shared" si="466"/>
        <v>0</v>
      </c>
      <c r="L824" s="1060">
        <f t="shared" si="471"/>
        <v>0</v>
      </c>
      <c r="M824" s="1060">
        <f t="shared" si="467"/>
        <v>1</v>
      </c>
      <c r="N824" s="1060">
        <f t="shared" si="468"/>
        <v>0</v>
      </c>
      <c r="O824" s="1060">
        <f t="shared" si="469"/>
        <v>0</v>
      </c>
      <c r="P824" s="1060">
        <f t="shared" si="470"/>
        <v>0</v>
      </c>
    </row>
    <row r="825" spans="1:16" x14ac:dyDescent="0.25">
      <c r="A825" s="1034">
        <v>1249</v>
      </c>
      <c r="B825" s="1034">
        <f t="shared" si="472"/>
        <v>38</v>
      </c>
      <c r="C825" s="1034" t="str">
        <f t="shared" si="459"/>
        <v>NUR SLAMET RIYADI</v>
      </c>
      <c r="D825" s="1035" t="str">
        <f t="shared" si="460"/>
        <v>MPI-S2</v>
      </c>
      <c r="E825" s="1036">
        <f t="shared" si="461"/>
        <v>2017</v>
      </c>
      <c r="F825" s="1035" t="str">
        <f t="shared" si="462"/>
        <v>LULUS</v>
      </c>
      <c r="G825" s="1036">
        <f t="shared" si="463"/>
        <v>849117038</v>
      </c>
      <c r="H825" s="1038">
        <f t="shared" si="464"/>
        <v>0</v>
      </c>
      <c r="I825" s="1038">
        <f t="shared" si="465"/>
        <v>0</v>
      </c>
      <c r="J825" s="1038">
        <f t="shared" si="466"/>
        <v>0</v>
      </c>
      <c r="L825" s="1060">
        <f t="shared" si="471"/>
        <v>0</v>
      </c>
      <c r="M825" s="1060">
        <f t="shared" si="467"/>
        <v>1</v>
      </c>
      <c r="N825" s="1060">
        <f t="shared" si="468"/>
        <v>0</v>
      </c>
      <c r="O825" s="1060">
        <f t="shared" si="469"/>
        <v>0</v>
      </c>
      <c r="P825" s="1060">
        <f t="shared" si="470"/>
        <v>0</v>
      </c>
    </row>
    <row r="826" spans="1:16" x14ac:dyDescent="0.25">
      <c r="A826" s="1034">
        <v>1250</v>
      </c>
      <c r="B826" s="1034">
        <f t="shared" si="472"/>
        <v>39</v>
      </c>
      <c r="C826" s="1034" t="str">
        <f t="shared" si="459"/>
        <v>SAMSUL ARIFIN</v>
      </c>
      <c r="D826" s="1035" t="str">
        <f t="shared" si="460"/>
        <v>MPI-S2</v>
      </c>
      <c r="E826" s="1036">
        <f t="shared" si="461"/>
        <v>2017</v>
      </c>
      <c r="F826" s="1035" t="str">
        <f t="shared" si="462"/>
        <v>AKTIF</v>
      </c>
      <c r="G826" s="1036">
        <f t="shared" si="463"/>
        <v>849117039</v>
      </c>
      <c r="H826" s="1038">
        <f t="shared" si="464"/>
        <v>3000000</v>
      </c>
      <c r="I826" s="1038">
        <f t="shared" si="465"/>
        <v>3000000</v>
      </c>
      <c r="J826" s="1038">
        <f t="shared" si="466"/>
        <v>6000000</v>
      </c>
      <c r="L826" s="1060">
        <f t="shared" si="471"/>
        <v>1</v>
      </c>
      <c r="M826" s="1060">
        <f t="shared" si="467"/>
        <v>0</v>
      </c>
      <c r="N826" s="1060">
        <f t="shared" si="468"/>
        <v>0</v>
      </c>
      <c r="O826" s="1060">
        <f t="shared" si="469"/>
        <v>0</v>
      </c>
      <c r="P826" s="1060">
        <f t="shared" si="470"/>
        <v>0</v>
      </c>
    </row>
    <row r="827" spans="1:16" x14ac:dyDescent="0.25">
      <c r="A827" s="1034">
        <v>1251</v>
      </c>
      <c r="B827" s="1034">
        <f t="shared" si="472"/>
        <v>40</v>
      </c>
      <c r="C827" s="1034" t="str">
        <f t="shared" si="459"/>
        <v>SILFIYAH AISYATUL MAZIYAH</v>
      </c>
      <c r="D827" s="1035" t="str">
        <f t="shared" si="460"/>
        <v>MPI-S2</v>
      </c>
      <c r="E827" s="1036">
        <f t="shared" si="461"/>
        <v>2017</v>
      </c>
      <c r="F827" s="1035" t="str">
        <f t="shared" si="462"/>
        <v>LULUS</v>
      </c>
      <c r="G827" s="1036">
        <f t="shared" si="463"/>
        <v>849117040</v>
      </c>
      <c r="H827" s="1038">
        <f t="shared" si="464"/>
        <v>0</v>
      </c>
      <c r="I827" s="1038">
        <f t="shared" si="465"/>
        <v>0</v>
      </c>
      <c r="J827" s="1038">
        <f t="shared" si="466"/>
        <v>0</v>
      </c>
      <c r="L827" s="1060">
        <f t="shared" si="471"/>
        <v>0</v>
      </c>
      <c r="M827" s="1060">
        <f t="shared" si="467"/>
        <v>1</v>
      </c>
      <c r="N827" s="1060">
        <f t="shared" si="468"/>
        <v>0</v>
      </c>
      <c r="O827" s="1060">
        <f t="shared" si="469"/>
        <v>0</v>
      </c>
      <c r="P827" s="1060">
        <f t="shared" si="470"/>
        <v>0</v>
      </c>
    </row>
    <row r="828" spans="1:16" x14ac:dyDescent="0.25">
      <c r="A828" s="1034">
        <v>1252</v>
      </c>
      <c r="B828" s="1034">
        <f t="shared" si="472"/>
        <v>41</v>
      </c>
      <c r="C828" s="1034" t="str">
        <f t="shared" si="459"/>
        <v>SITI AFIFATUL MUTMAINAH</v>
      </c>
      <c r="D828" s="1035" t="str">
        <f t="shared" si="460"/>
        <v>MPI-S2</v>
      </c>
      <c r="E828" s="1036">
        <f t="shared" si="461"/>
        <v>2017</v>
      </c>
      <c r="F828" s="1035" t="str">
        <f t="shared" si="462"/>
        <v>PASIF</v>
      </c>
      <c r="G828" s="1036">
        <f t="shared" si="463"/>
        <v>849117041</v>
      </c>
      <c r="H828" s="1038">
        <f t="shared" si="464"/>
        <v>0</v>
      </c>
      <c r="I828" s="1038">
        <f t="shared" si="465"/>
        <v>0</v>
      </c>
      <c r="J828" s="1038">
        <f t="shared" si="466"/>
        <v>0</v>
      </c>
      <c r="L828" s="1060">
        <f t="shared" si="471"/>
        <v>0</v>
      </c>
      <c r="M828" s="1060">
        <f t="shared" si="467"/>
        <v>0</v>
      </c>
      <c r="N828" s="1060">
        <f t="shared" si="468"/>
        <v>0</v>
      </c>
      <c r="O828" s="1060">
        <f t="shared" si="469"/>
        <v>0</v>
      </c>
      <c r="P828" s="1060">
        <f t="shared" si="470"/>
        <v>1</v>
      </c>
    </row>
    <row r="829" spans="1:16" x14ac:dyDescent="0.25">
      <c r="A829" s="1034">
        <v>1253</v>
      </c>
      <c r="B829" s="1034">
        <f t="shared" si="472"/>
        <v>42</v>
      </c>
      <c r="C829" s="1034" t="str">
        <f t="shared" si="459"/>
        <v>SULIYANI</v>
      </c>
      <c r="D829" s="1035" t="str">
        <f t="shared" si="460"/>
        <v>MPI-S2</v>
      </c>
      <c r="E829" s="1036">
        <f t="shared" si="461"/>
        <v>2017</v>
      </c>
      <c r="F829" s="1035" t="str">
        <f t="shared" si="462"/>
        <v>LULUS</v>
      </c>
      <c r="G829" s="1036">
        <f t="shared" si="463"/>
        <v>849117042</v>
      </c>
      <c r="H829" s="1038">
        <f t="shared" si="464"/>
        <v>0</v>
      </c>
      <c r="I829" s="1038">
        <f t="shared" si="465"/>
        <v>0</v>
      </c>
      <c r="J829" s="1038">
        <f t="shared" si="466"/>
        <v>0</v>
      </c>
      <c r="L829" s="1060">
        <f t="shared" si="471"/>
        <v>0</v>
      </c>
      <c r="M829" s="1060">
        <f t="shared" si="467"/>
        <v>1</v>
      </c>
      <c r="N829" s="1060">
        <f t="shared" si="468"/>
        <v>0</v>
      </c>
      <c r="O829" s="1060">
        <f t="shared" si="469"/>
        <v>0</v>
      </c>
      <c r="P829" s="1060">
        <f t="shared" si="470"/>
        <v>0</v>
      </c>
    </row>
    <row r="830" spans="1:16" x14ac:dyDescent="0.25">
      <c r="A830" s="1034">
        <v>1254</v>
      </c>
      <c r="B830" s="1034">
        <f t="shared" si="472"/>
        <v>43</v>
      </c>
      <c r="C830" s="1034" t="str">
        <f t="shared" si="459"/>
        <v>SUSI SUSILAWATI</v>
      </c>
      <c r="D830" s="1035" t="str">
        <f t="shared" si="460"/>
        <v>MPI-S2</v>
      </c>
      <c r="E830" s="1036">
        <f t="shared" si="461"/>
        <v>2017</v>
      </c>
      <c r="F830" s="1035" t="str">
        <f t="shared" si="462"/>
        <v>DROP OUT</v>
      </c>
      <c r="G830" s="1036">
        <f t="shared" si="463"/>
        <v>849117043</v>
      </c>
      <c r="H830" s="1038">
        <f t="shared" si="464"/>
        <v>0</v>
      </c>
      <c r="I830" s="1038">
        <f t="shared" si="465"/>
        <v>0</v>
      </c>
      <c r="J830" s="1038">
        <f t="shared" si="466"/>
        <v>0</v>
      </c>
      <c r="L830" s="1060">
        <f t="shared" si="471"/>
        <v>0</v>
      </c>
      <c r="M830" s="1060">
        <f t="shared" si="467"/>
        <v>0</v>
      </c>
      <c r="N830" s="1060">
        <f t="shared" si="468"/>
        <v>0</v>
      </c>
      <c r="O830" s="1060">
        <f t="shared" si="469"/>
        <v>1</v>
      </c>
      <c r="P830" s="1060">
        <f t="shared" si="470"/>
        <v>0</v>
      </c>
    </row>
    <row r="831" spans="1:16" x14ac:dyDescent="0.25">
      <c r="A831" s="1034">
        <v>1255</v>
      </c>
      <c r="B831" s="1034">
        <f t="shared" si="472"/>
        <v>44</v>
      </c>
      <c r="C831" s="1034" t="str">
        <f t="shared" si="459"/>
        <v>TOTOK SUDARMANTO</v>
      </c>
      <c r="D831" s="1035" t="str">
        <f t="shared" si="460"/>
        <v>MPI-S2</v>
      </c>
      <c r="E831" s="1036">
        <f t="shared" si="461"/>
        <v>2017</v>
      </c>
      <c r="F831" s="1035" t="str">
        <f t="shared" si="462"/>
        <v>LULUS</v>
      </c>
      <c r="G831" s="1036">
        <f t="shared" si="463"/>
        <v>849117044</v>
      </c>
      <c r="H831" s="1038">
        <f t="shared" si="464"/>
        <v>0</v>
      </c>
      <c r="I831" s="1038">
        <f t="shared" si="465"/>
        <v>0</v>
      </c>
      <c r="J831" s="1038">
        <f t="shared" si="466"/>
        <v>0</v>
      </c>
      <c r="L831" s="1060">
        <f t="shared" si="471"/>
        <v>0</v>
      </c>
      <c r="M831" s="1060">
        <f t="shared" si="467"/>
        <v>1</v>
      </c>
      <c r="N831" s="1060">
        <f t="shared" si="468"/>
        <v>0</v>
      </c>
      <c r="O831" s="1060">
        <f t="shared" si="469"/>
        <v>0</v>
      </c>
      <c r="P831" s="1060">
        <f t="shared" si="470"/>
        <v>0</v>
      </c>
    </row>
    <row r="832" spans="1:16" x14ac:dyDescent="0.25">
      <c r="A832" s="1034">
        <v>1256</v>
      </c>
      <c r="B832" s="1034">
        <f t="shared" si="472"/>
        <v>45</v>
      </c>
      <c r="C832" s="1034" t="str">
        <f t="shared" si="459"/>
        <v>TRIANA SUPRIHASTINI</v>
      </c>
      <c r="D832" s="1035" t="str">
        <f t="shared" si="460"/>
        <v>MPI-S2</v>
      </c>
      <c r="E832" s="1036">
        <f t="shared" si="461"/>
        <v>2017</v>
      </c>
      <c r="F832" s="1035" t="str">
        <f t="shared" si="462"/>
        <v>LULUS</v>
      </c>
      <c r="G832" s="1036">
        <f t="shared" si="463"/>
        <v>849117045</v>
      </c>
      <c r="H832" s="1038">
        <f t="shared" si="464"/>
        <v>0</v>
      </c>
      <c r="I832" s="1038">
        <f t="shared" si="465"/>
        <v>0</v>
      </c>
      <c r="J832" s="1038">
        <f t="shared" si="466"/>
        <v>0</v>
      </c>
      <c r="L832" s="1060">
        <f t="shared" si="471"/>
        <v>0</v>
      </c>
      <c r="M832" s="1060">
        <f t="shared" si="467"/>
        <v>1</v>
      </c>
      <c r="N832" s="1060">
        <f t="shared" si="468"/>
        <v>0</v>
      </c>
      <c r="O832" s="1060">
        <f t="shared" si="469"/>
        <v>0</v>
      </c>
      <c r="P832" s="1060">
        <f t="shared" si="470"/>
        <v>0</v>
      </c>
    </row>
    <row r="833" spans="1:16" x14ac:dyDescent="0.25">
      <c r="A833" s="1034">
        <v>1257</v>
      </c>
      <c r="B833" s="1034">
        <f t="shared" si="472"/>
        <v>46</v>
      </c>
      <c r="C833" s="1034" t="str">
        <f t="shared" si="459"/>
        <v>TUTIK SRI UTAMI</v>
      </c>
      <c r="D833" s="1035" t="str">
        <f t="shared" si="460"/>
        <v>MPI-S2</v>
      </c>
      <c r="E833" s="1036">
        <f t="shared" si="461"/>
        <v>2017</v>
      </c>
      <c r="F833" s="1035" t="str">
        <f t="shared" si="462"/>
        <v>LULUS</v>
      </c>
      <c r="G833" s="1036">
        <f t="shared" si="463"/>
        <v>849117046</v>
      </c>
      <c r="H833" s="1038">
        <f t="shared" si="464"/>
        <v>0</v>
      </c>
      <c r="I833" s="1038">
        <f t="shared" si="465"/>
        <v>0</v>
      </c>
      <c r="J833" s="1038">
        <f t="shared" si="466"/>
        <v>0</v>
      </c>
      <c r="L833" s="1060">
        <f t="shared" si="471"/>
        <v>0</v>
      </c>
      <c r="M833" s="1060">
        <f t="shared" si="467"/>
        <v>1</v>
      </c>
      <c r="N833" s="1060">
        <f t="shared" si="468"/>
        <v>0</v>
      </c>
      <c r="O833" s="1060">
        <f t="shared" si="469"/>
        <v>0</v>
      </c>
      <c r="P833" s="1060">
        <f t="shared" si="470"/>
        <v>0</v>
      </c>
    </row>
    <row r="834" spans="1:16" x14ac:dyDescent="0.25">
      <c r="A834" s="1039"/>
      <c r="B834" s="1039"/>
      <c r="C834" s="1039"/>
      <c r="D834" s="1040"/>
      <c r="E834" s="1041"/>
      <c r="F834" s="1040"/>
      <c r="G834" s="1041"/>
      <c r="H834" s="1042"/>
      <c r="I834" s="1042"/>
      <c r="J834" s="1042"/>
      <c r="L834" s="1042"/>
      <c r="M834" s="1042"/>
      <c r="N834" s="1042"/>
      <c r="O834" s="1042"/>
      <c r="P834" s="1042"/>
    </row>
    <row r="835" spans="1:16" x14ac:dyDescent="0.25">
      <c r="A835" s="1043" t="str">
        <f>'Rekap SPP'!A1359</f>
        <v>S2-ES 2017/2018</v>
      </c>
      <c r="B835" s="1043"/>
      <c r="C835" s="1043"/>
      <c r="D835" s="1033" t="s">
        <v>3</v>
      </c>
      <c r="E835" s="1032" t="s">
        <v>4</v>
      </c>
      <c r="F835" s="1033" t="s">
        <v>3195</v>
      </c>
      <c r="G835" s="1032" t="s">
        <v>1</v>
      </c>
      <c r="H835" s="1033" t="s">
        <v>3341</v>
      </c>
      <c r="I835" s="1033" t="s">
        <v>3362</v>
      </c>
      <c r="J835" s="1062">
        <f>SUM(J836:J872)</f>
        <v>30000000</v>
      </c>
      <c r="L835" s="1063">
        <f>SUM(L836:L872)</f>
        <v>4</v>
      </c>
      <c r="M835" s="1063">
        <f>SUM(M836:M872)</f>
        <v>18</v>
      </c>
      <c r="N835" s="1063">
        <f>SUM(N836:N872)</f>
        <v>1</v>
      </c>
      <c r="O835" s="1063">
        <f>SUM(O836:O872)</f>
        <v>0</v>
      </c>
      <c r="P835" s="1063">
        <f>SUM(P836:P872)</f>
        <v>14</v>
      </c>
    </row>
    <row r="836" spans="1:16" x14ac:dyDescent="0.25">
      <c r="A836" s="1034">
        <v>1258</v>
      </c>
      <c r="B836" s="1034">
        <f t="shared" si="472"/>
        <v>1</v>
      </c>
      <c r="C836" s="1034" t="str">
        <f t="shared" ref="C836:C872" si="473">IFERROR(VLOOKUP(A836,DB,4,FALSE),"")</f>
        <v>ABD. GHOFUR AR-ROZI</v>
      </c>
      <c r="D836" s="1035" t="str">
        <f t="shared" ref="D836:D872" si="474">IFERROR(VLOOKUP(A836,DB,5,FALSE),"")</f>
        <v>ES</v>
      </c>
      <c r="E836" s="1036">
        <f t="shared" ref="E836:E872" si="475">IFERROR(VLOOKUP(A836,DB,6,FALSE),"")</f>
        <v>2017</v>
      </c>
      <c r="F836" s="1035" t="str">
        <f t="shared" ref="F836:F872" si="476">IFERROR(VLOOKUP(A836,DB,7,FALSE),"")</f>
        <v>PASIF</v>
      </c>
      <c r="G836" s="1036">
        <f t="shared" ref="G836:G872" si="477">IFERROR(VLOOKUP(A836,DB,3,FALSE),"")</f>
        <v>839217001</v>
      </c>
      <c r="H836" s="1038">
        <f t="shared" ref="H836:H872" si="478">IF(F836="AKTIF",3000000,IF(F836="CUTI",3000000,0))</f>
        <v>0</v>
      </c>
      <c r="I836" s="1038">
        <f t="shared" ref="I836:I872" si="479">IF(F836="AKTIF",3000000,IF(F836="CUTI",3000000,0))</f>
        <v>0</v>
      </c>
      <c r="J836" s="1038">
        <f t="shared" ref="J836:J872" si="480">I836+H836</f>
        <v>0</v>
      </c>
      <c r="L836" s="1060">
        <f t="shared" si="471"/>
        <v>0</v>
      </c>
      <c r="M836" s="1060">
        <f t="shared" ref="M836:M872" si="481">IF(F836="LULUS",1,0)</f>
        <v>0</v>
      </c>
      <c r="N836" s="1060">
        <f t="shared" ref="N836:N872" si="482">IF(F836="CUTI",1,0)</f>
        <v>0</v>
      </c>
      <c r="O836" s="1060">
        <f t="shared" ref="O836:O872" si="483">IF(F836="DROP OUT",1,0)</f>
        <v>0</v>
      </c>
      <c r="P836" s="1060">
        <f t="shared" ref="P836:P872" si="484">IF(F836="PASIF",1,0)</f>
        <v>1</v>
      </c>
    </row>
    <row r="837" spans="1:16" x14ac:dyDescent="0.25">
      <c r="A837" s="1034">
        <v>1259</v>
      </c>
      <c r="B837" s="1034">
        <f t="shared" si="472"/>
        <v>2</v>
      </c>
      <c r="C837" s="1034" t="str">
        <f t="shared" si="473"/>
        <v>ABDUL HAFID</v>
      </c>
      <c r="D837" s="1035" t="str">
        <f t="shared" si="474"/>
        <v>ES</v>
      </c>
      <c r="E837" s="1036">
        <f t="shared" si="475"/>
        <v>2017</v>
      </c>
      <c r="F837" s="1035" t="str">
        <f t="shared" si="476"/>
        <v>PASIF</v>
      </c>
      <c r="G837" s="1036">
        <f t="shared" si="477"/>
        <v>839217002</v>
      </c>
      <c r="H837" s="1038">
        <f t="shared" si="478"/>
        <v>0</v>
      </c>
      <c r="I837" s="1038">
        <f t="shared" si="479"/>
        <v>0</v>
      </c>
      <c r="J837" s="1038">
        <f t="shared" si="480"/>
        <v>0</v>
      </c>
      <c r="L837" s="1060">
        <f t="shared" si="471"/>
        <v>0</v>
      </c>
      <c r="M837" s="1060">
        <f t="shared" si="481"/>
        <v>0</v>
      </c>
      <c r="N837" s="1060">
        <f t="shared" si="482"/>
        <v>0</v>
      </c>
      <c r="O837" s="1060">
        <f t="shared" si="483"/>
        <v>0</v>
      </c>
      <c r="P837" s="1060">
        <f t="shared" si="484"/>
        <v>1</v>
      </c>
    </row>
    <row r="838" spans="1:16" x14ac:dyDescent="0.25">
      <c r="A838" s="1034">
        <v>1260</v>
      </c>
      <c r="B838" s="1034">
        <f t="shared" si="472"/>
        <v>3</v>
      </c>
      <c r="C838" s="1034" t="str">
        <f t="shared" si="473"/>
        <v>ACH TOYYIBUR ROHMAN</v>
      </c>
      <c r="D838" s="1035" t="str">
        <f t="shared" si="474"/>
        <v>ES</v>
      </c>
      <c r="E838" s="1036">
        <f t="shared" si="475"/>
        <v>2017</v>
      </c>
      <c r="F838" s="1035" t="str">
        <f t="shared" si="476"/>
        <v>AKTIF</v>
      </c>
      <c r="G838" s="1036">
        <f t="shared" si="477"/>
        <v>839217003</v>
      </c>
      <c r="H838" s="1038">
        <f t="shared" si="478"/>
        <v>3000000</v>
      </c>
      <c r="I838" s="1038">
        <f t="shared" si="479"/>
        <v>3000000</v>
      </c>
      <c r="J838" s="1038">
        <f t="shared" si="480"/>
        <v>6000000</v>
      </c>
      <c r="L838" s="1060">
        <f t="shared" si="471"/>
        <v>1</v>
      </c>
      <c r="M838" s="1060">
        <f t="shared" si="481"/>
        <v>0</v>
      </c>
      <c r="N838" s="1060">
        <f t="shared" si="482"/>
        <v>0</v>
      </c>
      <c r="O838" s="1060">
        <f t="shared" si="483"/>
        <v>0</v>
      </c>
      <c r="P838" s="1060">
        <f t="shared" si="484"/>
        <v>0</v>
      </c>
    </row>
    <row r="839" spans="1:16" x14ac:dyDescent="0.25">
      <c r="A839" s="1034">
        <v>1261</v>
      </c>
      <c r="B839" s="1034">
        <f t="shared" si="472"/>
        <v>4</v>
      </c>
      <c r="C839" s="1034" t="str">
        <f t="shared" si="473"/>
        <v>ACHMAD MAS UDI</v>
      </c>
      <c r="D839" s="1035" t="str">
        <f t="shared" si="474"/>
        <v>ES</v>
      </c>
      <c r="E839" s="1036">
        <f t="shared" si="475"/>
        <v>2017</v>
      </c>
      <c r="F839" s="1035" t="str">
        <f t="shared" si="476"/>
        <v>AKTIF</v>
      </c>
      <c r="G839" s="1036">
        <f t="shared" si="477"/>
        <v>839217004</v>
      </c>
      <c r="H839" s="1038">
        <f t="shared" si="478"/>
        <v>3000000</v>
      </c>
      <c r="I839" s="1038">
        <f t="shared" si="479"/>
        <v>3000000</v>
      </c>
      <c r="J839" s="1038">
        <f t="shared" si="480"/>
        <v>6000000</v>
      </c>
      <c r="L839" s="1060">
        <f t="shared" si="471"/>
        <v>1</v>
      </c>
      <c r="M839" s="1060">
        <f t="shared" si="481"/>
        <v>0</v>
      </c>
      <c r="N839" s="1060">
        <f t="shared" si="482"/>
        <v>0</v>
      </c>
      <c r="O839" s="1060">
        <f t="shared" si="483"/>
        <v>0</v>
      </c>
      <c r="P839" s="1060">
        <f t="shared" si="484"/>
        <v>0</v>
      </c>
    </row>
    <row r="840" spans="1:16" x14ac:dyDescent="0.25">
      <c r="A840" s="1034">
        <v>1262</v>
      </c>
      <c r="B840" s="1034">
        <f t="shared" si="472"/>
        <v>5</v>
      </c>
      <c r="C840" s="1034" t="str">
        <f t="shared" si="473"/>
        <v>AFIF AMRULLAH</v>
      </c>
      <c r="D840" s="1035" t="str">
        <f t="shared" si="474"/>
        <v>ES</v>
      </c>
      <c r="E840" s="1036">
        <f t="shared" si="475"/>
        <v>2017</v>
      </c>
      <c r="F840" s="1035" t="str">
        <f t="shared" si="476"/>
        <v>PASIF</v>
      </c>
      <c r="G840" s="1036">
        <f t="shared" si="477"/>
        <v>839217005</v>
      </c>
      <c r="H840" s="1038">
        <f t="shared" si="478"/>
        <v>0</v>
      </c>
      <c r="I840" s="1038">
        <f t="shared" si="479"/>
        <v>0</v>
      </c>
      <c r="J840" s="1038">
        <f t="shared" si="480"/>
        <v>0</v>
      </c>
      <c r="L840" s="1060">
        <f t="shared" si="471"/>
        <v>0</v>
      </c>
      <c r="M840" s="1060">
        <f t="shared" si="481"/>
        <v>0</v>
      </c>
      <c r="N840" s="1060">
        <f t="shared" si="482"/>
        <v>0</v>
      </c>
      <c r="O840" s="1060">
        <f t="shared" si="483"/>
        <v>0</v>
      </c>
      <c r="P840" s="1060">
        <f t="shared" si="484"/>
        <v>1</v>
      </c>
    </row>
    <row r="841" spans="1:16" x14ac:dyDescent="0.25">
      <c r="A841" s="1034">
        <v>1263</v>
      </c>
      <c r="B841" s="1034">
        <f t="shared" si="472"/>
        <v>6</v>
      </c>
      <c r="C841" s="1034" t="str">
        <f t="shared" si="473"/>
        <v>AHMAD KUSAIRI</v>
      </c>
      <c r="D841" s="1035" t="str">
        <f t="shared" si="474"/>
        <v>ES</v>
      </c>
      <c r="E841" s="1036">
        <f t="shared" si="475"/>
        <v>2017</v>
      </c>
      <c r="F841" s="1035" t="str">
        <f t="shared" si="476"/>
        <v>LULUS</v>
      </c>
      <c r="G841" s="1036">
        <f t="shared" si="477"/>
        <v>839217006</v>
      </c>
      <c r="H841" s="1038">
        <f t="shared" si="478"/>
        <v>0</v>
      </c>
      <c r="I841" s="1038">
        <f t="shared" si="479"/>
        <v>0</v>
      </c>
      <c r="J841" s="1038">
        <f t="shared" si="480"/>
        <v>0</v>
      </c>
      <c r="L841" s="1060">
        <f t="shared" si="471"/>
        <v>0</v>
      </c>
      <c r="M841" s="1060">
        <f t="shared" si="481"/>
        <v>1</v>
      </c>
      <c r="N841" s="1060">
        <f t="shared" si="482"/>
        <v>0</v>
      </c>
      <c r="O841" s="1060">
        <f t="shared" si="483"/>
        <v>0</v>
      </c>
      <c r="P841" s="1060">
        <f t="shared" si="484"/>
        <v>0</v>
      </c>
    </row>
    <row r="842" spans="1:16" x14ac:dyDescent="0.25">
      <c r="A842" s="1034">
        <v>1264</v>
      </c>
      <c r="B842" s="1034">
        <f t="shared" si="472"/>
        <v>7</v>
      </c>
      <c r="C842" s="1034" t="str">
        <f t="shared" si="473"/>
        <v>AKRIM BILLAH</v>
      </c>
      <c r="D842" s="1035" t="str">
        <f t="shared" si="474"/>
        <v>ES</v>
      </c>
      <c r="E842" s="1036">
        <f t="shared" si="475"/>
        <v>2017</v>
      </c>
      <c r="F842" s="1035" t="str">
        <f t="shared" si="476"/>
        <v>LULUS</v>
      </c>
      <c r="G842" s="1036">
        <f t="shared" si="477"/>
        <v>839217007</v>
      </c>
      <c r="H842" s="1038">
        <f t="shared" si="478"/>
        <v>0</v>
      </c>
      <c r="I842" s="1038">
        <f t="shared" si="479"/>
        <v>0</v>
      </c>
      <c r="J842" s="1038">
        <f t="shared" si="480"/>
        <v>0</v>
      </c>
      <c r="L842" s="1060">
        <f t="shared" si="471"/>
        <v>0</v>
      </c>
      <c r="M842" s="1060">
        <f t="shared" si="481"/>
        <v>1</v>
      </c>
      <c r="N842" s="1060">
        <f t="shared" si="482"/>
        <v>0</v>
      </c>
      <c r="O842" s="1060">
        <f t="shared" si="483"/>
        <v>0</v>
      </c>
      <c r="P842" s="1060">
        <f t="shared" si="484"/>
        <v>0</v>
      </c>
    </row>
    <row r="843" spans="1:16" x14ac:dyDescent="0.25">
      <c r="A843" s="1034">
        <v>1265</v>
      </c>
      <c r="B843" s="1034">
        <f t="shared" si="472"/>
        <v>8</v>
      </c>
      <c r="C843" s="1034" t="str">
        <f t="shared" si="473"/>
        <v>ANANG ASARI</v>
      </c>
      <c r="D843" s="1035" t="str">
        <f t="shared" si="474"/>
        <v>ES</v>
      </c>
      <c r="E843" s="1036">
        <f t="shared" si="475"/>
        <v>2017</v>
      </c>
      <c r="F843" s="1035" t="str">
        <f t="shared" si="476"/>
        <v>PASIF</v>
      </c>
      <c r="G843" s="1036">
        <f t="shared" si="477"/>
        <v>839217008</v>
      </c>
      <c r="H843" s="1038">
        <f t="shared" si="478"/>
        <v>0</v>
      </c>
      <c r="I843" s="1038">
        <f t="shared" si="479"/>
        <v>0</v>
      </c>
      <c r="J843" s="1038">
        <f t="shared" si="480"/>
        <v>0</v>
      </c>
      <c r="L843" s="1060">
        <f t="shared" si="471"/>
        <v>0</v>
      </c>
      <c r="M843" s="1060">
        <f t="shared" si="481"/>
        <v>0</v>
      </c>
      <c r="N843" s="1060">
        <f t="shared" si="482"/>
        <v>0</v>
      </c>
      <c r="O843" s="1060">
        <f t="shared" si="483"/>
        <v>0</v>
      </c>
      <c r="P843" s="1060">
        <f t="shared" si="484"/>
        <v>1</v>
      </c>
    </row>
    <row r="844" spans="1:16" x14ac:dyDescent="0.25">
      <c r="A844" s="1034">
        <v>1266</v>
      </c>
      <c r="B844" s="1034">
        <f t="shared" si="472"/>
        <v>9</v>
      </c>
      <c r="C844" s="1034" t="str">
        <f t="shared" si="473"/>
        <v>ANDI RAHMAD HIDAYAT</v>
      </c>
      <c r="D844" s="1035" t="str">
        <f t="shared" si="474"/>
        <v>ES</v>
      </c>
      <c r="E844" s="1036">
        <f t="shared" si="475"/>
        <v>2017</v>
      </c>
      <c r="F844" s="1035" t="str">
        <f t="shared" si="476"/>
        <v>LULUS</v>
      </c>
      <c r="G844" s="1036">
        <f t="shared" si="477"/>
        <v>839217009</v>
      </c>
      <c r="H844" s="1038">
        <f t="shared" si="478"/>
        <v>0</v>
      </c>
      <c r="I844" s="1038">
        <f t="shared" si="479"/>
        <v>0</v>
      </c>
      <c r="J844" s="1038">
        <f t="shared" si="480"/>
        <v>0</v>
      </c>
      <c r="L844" s="1060">
        <f t="shared" si="471"/>
        <v>0</v>
      </c>
      <c r="M844" s="1060">
        <f t="shared" si="481"/>
        <v>1</v>
      </c>
      <c r="N844" s="1060">
        <f t="shared" si="482"/>
        <v>0</v>
      </c>
      <c r="O844" s="1060">
        <f t="shared" si="483"/>
        <v>0</v>
      </c>
      <c r="P844" s="1060">
        <f t="shared" si="484"/>
        <v>0</v>
      </c>
    </row>
    <row r="845" spans="1:16" x14ac:dyDescent="0.25">
      <c r="A845" s="1034">
        <v>1267</v>
      </c>
      <c r="B845" s="1034">
        <f t="shared" si="472"/>
        <v>10</v>
      </c>
      <c r="C845" s="1034" t="str">
        <f t="shared" si="473"/>
        <v>ARIF HUMAIDI</v>
      </c>
      <c r="D845" s="1035" t="str">
        <f t="shared" si="474"/>
        <v>ES</v>
      </c>
      <c r="E845" s="1036">
        <f t="shared" si="475"/>
        <v>2017</v>
      </c>
      <c r="F845" s="1035" t="str">
        <f t="shared" si="476"/>
        <v>PASIF</v>
      </c>
      <c r="G845" s="1036">
        <f t="shared" si="477"/>
        <v>839217010</v>
      </c>
      <c r="H845" s="1038">
        <f t="shared" si="478"/>
        <v>0</v>
      </c>
      <c r="I845" s="1038">
        <f t="shared" si="479"/>
        <v>0</v>
      </c>
      <c r="J845" s="1038">
        <f t="shared" si="480"/>
        <v>0</v>
      </c>
      <c r="L845" s="1060">
        <f t="shared" si="471"/>
        <v>0</v>
      </c>
      <c r="M845" s="1060">
        <f t="shared" si="481"/>
        <v>0</v>
      </c>
      <c r="N845" s="1060">
        <f t="shared" si="482"/>
        <v>0</v>
      </c>
      <c r="O845" s="1060">
        <f t="shared" si="483"/>
        <v>0</v>
      </c>
      <c r="P845" s="1060">
        <f t="shared" si="484"/>
        <v>1</v>
      </c>
    </row>
    <row r="846" spans="1:16" x14ac:dyDescent="0.25">
      <c r="A846" s="1034">
        <v>1268</v>
      </c>
      <c r="B846" s="1034">
        <f t="shared" si="472"/>
        <v>11</v>
      </c>
      <c r="C846" s="1034" t="str">
        <f t="shared" si="473"/>
        <v>ARIF RAHMAN HAKIM</v>
      </c>
      <c r="D846" s="1035" t="str">
        <f t="shared" si="474"/>
        <v>ES</v>
      </c>
      <c r="E846" s="1036">
        <f t="shared" si="475"/>
        <v>2017</v>
      </c>
      <c r="F846" s="1035" t="str">
        <f t="shared" si="476"/>
        <v>PASIF</v>
      </c>
      <c r="G846" s="1036">
        <f t="shared" si="477"/>
        <v>839217011</v>
      </c>
      <c r="H846" s="1038">
        <f t="shared" si="478"/>
        <v>0</v>
      </c>
      <c r="I846" s="1038">
        <f t="shared" si="479"/>
        <v>0</v>
      </c>
      <c r="J846" s="1038">
        <f t="shared" si="480"/>
        <v>0</v>
      </c>
      <c r="L846" s="1060">
        <f t="shared" si="471"/>
        <v>0</v>
      </c>
      <c r="M846" s="1060">
        <f t="shared" si="481"/>
        <v>0</v>
      </c>
      <c r="N846" s="1060">
        <f t="shared" si="482"/>
        <v>0</v>
      </c>
      <c r="O846" s="1060">
        <f t="shared" si="483"/>
        <v>0</v>
      </c>
      <c r="P846" s="1060">
        <f t="shared" si="484"/>
        <v>1</v>
      </c>
    </row>
    <row r="847" spans="1:16" x14ac:dyDescent="0.25">
      <c r="A847" s="1034">
        <v>1269</v>
      </c>
      <c r="B847" s="1034">
        <f t="shared" si="472"/>
        <v>12</v>
      </c>
      <c r="C847" s="1034" t="str">
        <f t="shared" si="473"/>
        <v>AZIZ ABDILLAH</v>
      </c>
      <c r="D847" s="1035" t="str">
        <f t="shared" si="474"/>
        <v>ES</v>
      </c>
      <c r="E847" s="1036">
        <f t="shared" si="475"/>
        <v>2017</v>
      </c>
      <c r="F847" s="1035" t="str">
        <f t="shared" si="476"/>
        <v>AKTIF</v>
      </c>
      <c r="G847" s="1036">
        <f t="shared" si="477"/>
        <v>839217012</v>
      </c>
      <c r="H847" s="1038">
        <f t="shared" si="478"/>
        <v>3000000</v>
      </c>
      <c r="I847" s="1038">
        <f t="shared" si="479"/>
        <v>3000000</v>
      </c>
      <c r="J847" s="1038">
        <f t="shared" si="480"/>
        <v>6000000</v>
      </c>
      <c r="L847" s="1060">
        <f t="shared" si="471"/>
        <v>1</v>
      </c>
      <c r="M847" s="1060">
        <f t="shared" si="481"/>
        <v>0</v>
      </c>
      <c r="N847" s="1060">
        <f t="shared" si="482"/>
        <v>0</v>
      </c>
      <c r="O847" s="1060">
        <f t="shared" si="483"/>
        <v>0</v>
      </c>
      <c r="P847" s="1060">
        <f t="shared" si="484"/>
        <v>0</v>
      </c>
    </row>
    <row r="848" spans="1:16" x14ac:dyDescent="0.25">
      <c r="A848" s="1034">
        <v>1270</v>
      </c>
      <c r="B848" s="1034">
        <f t="shared" si="472"/>
        <v>13</v>
      </c>
      <c r="C848" s="1034" t="str">
        <f t="shared" si="473"/>
        <v>DWI SISWANTO</v>
      </c>
      <c r="D848" s="1035" t="str">
        <f t="shared" si="474"/>
        <v>ES</v>
      </c>
      <c r="E848" s="1036">
        <f t="shared" si="475"/>
        <v>2017</v>
      </c>
      <c r="F848" s="1035" t="str">
        <f t="shared" si="476"/>
        <v>PASIF</v>
      </c>
      <c r="G848" s="1036">
        <f t="shared" si="477"/>
        <v>839217013</v>
      </c>
      <c r="H848" s="1038">
        <f t="shared" si="478"/>
        <v>0</v>
      </c>
      <c r="I848" s="1038">
        <f t="shared" si="479"/>
        <v>0</v>
      </c>
      <c r="J848" s="1038">
        <f t="shared" si="480"/>
        <v>0</v>
      </c>
      <c r="L848" s="1060">
        <f t="shared" si="471"/>
        <v>0</v>
      </c>
      <c r="M848" s="1060">
        <f t="shared" si="481"/>
        <v>0</v>
      </c>
      <c r="N848" s="1060">
        <f t="shared" si="482"/>
        <v>0</v>
      </c>
      <c r="O848" s="1060">
        <f t="shared" si="483"/>
        <v>0</v>
      </c>
      <c r="P848" s="1060">
        <f t="shared" si="484"/>
        <v>1</v>
      </c>
    </row>
    <row r="849" spans="1:16" x14ac:dyDescent="0.25">
      <c r="A849" s="1034">
        <v>1271</v>
      </c>
      <c r="B849" s="1034">
        <f t="shared" si="472"/>
        <v>14</v>
      </c>
      <c r="C849" s="1034" t="str">
        <f t="shared" si="473"/>
        <v>FENDI PRADANA</v>
      </c>
      <c r="D849" s="1035" t="str">
        <f t="shared" si="474"/>
        <v>ES</v>
      </c>
      <c r="E849" s="1036">
        <f t="shared" si="475"/>
        <v>2017</v>
      </c>
      <c r="F849" s="1035" t="str">
        <f t="shared" si="476"/>
        <v>AKTIF</v>
      </c>
      <c r="G849" s="1036">
        <f t="shared" si="477"/>
        <v>839217014</v>
      </c>
      <c r="H849" s="1038">
        <f t="shared" si="478"/>
        <v>3000000</v>
      </c>
      <c r="I849" s="1038">
        <f t="shared" si="479"/>
        <v>3000000</v>
      </c>
      <c r="J849" s="1038">
        <f t="shared" si="480"/>
        <v>6000000</v>
      </c>
      <c r="L849" s="1060">
        <f t="shared" si="471"/>
        <v>1</v>
      </c>
      <c r="M849" s="1060">
        <f t="shared" si="481"/>
        <v>0</v>
      </c>
      <c r="N849" s="1060">
        <f t="shared" si="482"/>
        <v>0</v>
      </c>
      <c r="O849" s="1060">
        <f t="shared" si="483"/>
        <v>0</v>
      </c>
      <c r="P849" s="1060">
        <f t="shared" si="484"/>
        <v>0</v>
      </c>
    </row>
    <row r="850" spans="1:16" x14ac:dyDescent="0.25">
      <c r="A850" s="1034">
        <v>1272</v>
      </c>
      <c r="B850" s="1034">
        <f t="shared" si="472"/>
        <v>15</v>
      </c>
      <c r="C850" s="1034" t="str">
        <f t="shared" si="473"/>
        <v>ISTIADAH</v>
      </c>
      <c r="D850" s="1035" t="str">
        <f t="shared" si="474"/>
        <v>ES</v>
      </c>
      <c r="E850" s="1036">
        <f t="shared" si="475"/>
        <v>2017</v>
      </c>
      <c r="F850" s="1035" t="str">
        <f t="shared" si="476"/>
        <v>LULUS</v>
      </c>
      <c r="G850" s="1036">
        <f t="shared" si="477"/>
        <v>839217015</v>
      </c>
      <c r="H850" s="1038">
        <f t="shared" si="478"/>
        <v>0</v>
      </c>
      <c r="I850" s="1038">
        <f t="shared" si="479"/>
        <v>0</v>
      </c>
      <c r="J850" s="1038">
        <f t="shared" si="480"/>
        <v>0</v>
      </c>
      <c r="L850" s="1060">
        <f t="shared" si="471"/>
        <v>0</v>
      </c>
      <c r="M850" s="1060">
        <f t="shared" si="481"/>
        <v>1</v>
      </c>
      <c r="N850" s="1060">
        <f t="shared" si="482"/>
        <v>0</v>
      </c>
      <c r="O850" s="1060">
        <f t="shared" si="483"/>
        <v>0</v>
      </c>
      <c r="P850" s="1060">
        <f t="shared" si="484"/>
        <v>0</v>
      </c>
    </row>
    <row r="851" spans="1:16" x14ac:dyDescent="0.25">
      <c r="A851" s="1034">
        <v>1273</v>
      </c>
      <c r="B851" s="1034">
        <f t="shared" si="472"/>
        <v>16</v>
      </c>
      <c r="C851" s="1034" t="str">
        <f t="shared" si="473"/>
        <v>LAILI MUNIKA</v>
      </c>
      <c r="D851" s="1035" t="str">
        <f t="shared" si="474"/>
        <v>ES</v>
      </c>
      <c r="E851" s="1036">
        <f t="shared" si="475"/>
        <v>2017</v>
      </c>
      <c r="F851" s="1035" t="str">
        <f t="shared" si="476"/>
        <v>PASIF</v>
      </c>
      <c r="G851" s="1036">
        <f t="shared" si="477"/>
        <v>839217016</v>
      </c>
      <c r="H851" s="1038">
        <f t="shared" si="478"/>
        <v>0</v>
      </c>
      <c r="I851" s="1038">
        <f t="shared" si="479"/>
        <v>0</v>
      </c>
      <c r="J851" s="1038">
        <f t="shared" si="480"/>
        <v>0</v>
      </c>
      <c r="L851" s="1060">
        <f t="shared" si="471"/>
        <v>0</v>
      </c>
      <c r="M851" s="1060">
        <f t="shared" si="481"/>
        <v>0</v>
      </c>
      <c r="N851" s="1060">
        <f t="shared" si="482"/>
        <v>0</v>
      </c>
      <c r="O851" s="1060">
        <f t="shared" si="483"/>
        <v>0</v>
      </c>
      <c r="P851" s="1060">
        <f t="shared" si="484"/>
        <v>1</v>
      </c>
    </row>
    <row r="852" spans="1:16" x14ac:dyDescent="0.25">
      <c r="A852" s="1034">
        <v>1274</v>
      </c>
      <c r="B852" s="1034">
        <f t="shared" si="472"/>
        <v>17</v>
      </c>
      <c r="C852" s="1034" t="str">
        <f t="shared" si="473"/>
        <v>M. KHANIF ARDZANI</v>
      </c>
      <c r="D852" s="1035" t="str">
        <f t="shared" si="474"/>
        <v>ES</v>
      </c>
      <c r="E852" s="1036">
        <f t="shared" si="475"/>
        <v>2017</v>
      </c>
      <c r="F852" s="1035" t="str">
        <f t="shared" si="476"/>
        <v>LULUS</v>
      </c>
      <c r="G852" s="1036">
        <f t="shared" si="477"/>
        <v>839217017</v>
      </c>
      <c r="H852" s="1038">
        <f t="shared" si="478"/>
        <v>0</v>
      </c>
      <c r="I852" s="1038">
        <f t="shared" si="479"/>
        <v>0</v>
      </c>
      <c r="J852" s="1038">
        <f t="shared" si="480"/>
        <v>0</v>
      </c>
      <c r="L852" s="1060">
        <f t="shared" si="471"/>
        <v>0</v>
      </c>
      <c r="M852" s="1060">
        <f t="shared" si="481"/>
        <v>1</v>
      </c>
      <c r="N852" s="1060">
        <f t="shared" si="482"/>
        <v>0</v>
      </c>
      <c r="O852" s="1060">
        <f t="shared" si="483"/>
        <v>0</v>
      </c>
      <c r="P852" s="1060">
        <f t="shared" si="484"/>
        <v>0</v>
      </c>
    </row>
    <row r="853" spans="1:16" x14ac:dyDescent="0.25">
      <c r="A853" s="1034">
        <v>1275</v>
      </c>
      <c r="B853" s="1034">
        <f t="shared" si="472"/>
        <v>18</v>
      </c>
      <c r="C853" s="1034" t="str">
        <f t="shared" si="473"/>
        <v>MAHFIYAH</v>
      </c>
      <c r="D853" s="1035" t="str">
        <f t="shared" si="474"/>
        <v>ES</v>
      </c>
      <c r="E853" s="1036">
        <f t="shared" si="475"/>
        <v>2017</v>
      </c>
      <c r="F853" s="1035" t="str">
        <f t="shared" si="476"/>
        <v>LULUS</v>
      </c>
      <c r="G853" s="1036">
        <f t="shared" si="477"/>
        <v>839217018</v>
      </c>
      <c r="H853" s="1038">
        <f t="shared" si="478"/>
        <v>0</v>
      </c>
      <c r="I853" s="1038">
        <f t="shared" si="479"/>
        <v>0</v>
      </c>
      <c r="J853" s="1038">
        <f t="shared" si="480"/>
        <v>0</v>
      </c>
      <c r="L853" s="1060">
        <f t="shared" si="471"/>
        <v>0</v>
      </c>
      <c r="M853" s="1060">
        <f t="shared" si="481"/>
        <v>1</v>
      </c>
      <c r="N853" s="1060">
        <f t="shared" si="482"/>
        <v>0</v>
      </c>
      <c r="O853" s="1060">
        <f t="shared" si="483"/>
        <v>0</v>
      </c>
      <c r="P853" s="1060">
        <f t="shared" si="484"/>
        <v>0</v>
      </c>
    </row>
    <row r="854" spans="1:16" x14ac:dyDescent="0.25">
      <c r="A854" s="1034">
        <v>1276</v>
      </c>
      <c r="B854" s="1034">
        <f t="shared" si="472"/>
        <v>19</v>
      </c>
      <c r="C854" s="1034" t="str">
        <f t="shared" si="473"/>
        <v>MALIKUL IRFAN</v>
      </c>
      <c r="D854" s="1035" t="str">
        <f t="shared" si="474"/>
        <v>ES</v>
      </c>
      <c r="E854" s="1036">
        <f t="shared" si="475"/>
        <v>2017</v>
      </c>
      <c r="F854" s="1035" t="str">
        <f t="shared" si="476"/>
        <v>LULUS</v>
      </c>
      <c r="G854" s="1036">
        <f t="shared" si="477"/>
        <v>839217019</v>
      </c>
      <c r="H854" s="1038">
        <f t="shared" si="478"/>
        <v>0</v>
      </c>
      <c r="I854" s="1038">
        <f t="shared" si="479"/>
        <v>0</v>
      </c>
      <c r="J854" s="1038">
        <f t="shared" si="480"/>
        <v>0</v>
      </c>
      <c r="L854" s="1060">
        <f t="shared" si="471"/>
        <v>0</v>
      </c>
      <c r="M854" s="1060">
        <f t="shared" si="481"/>
        <v>1</v>
      </c>
      <c r="N854" s="1060">
        <f t="shared" si="482"/>
        <v>0</v>
      </c>
      <c r="O854" s="1060">
        <f t="shared" si="483"/>
        <v>0</v>
      </c>
      <c r="P854" s="1060">
        <f t="shared" si="484"/>
        <v>0</v>
      </c>
    </row>
    <row r="855" spans="1:16" x14ac:dyDescent="0.25">
      <c r="A855" s="1034">
        <v>1277</v>
      </c>
      <c r="B855" s="1034">
        <f t="shared" si="472"/>
        <v>20</v>
      </c>
      <c r="C855" s="1034" t="str">
        <f t="shared" si="473"/>
        <v>MIFTAKHUL JANNAH</v>
      </c>
      <c r="D855" s="1035" t="str">
        <f t="shared" si="474"/>
        <v>ES</v>
      </c>
      <c r="E855" s="1036">
        <f t="shared" si="475"/>
        <v>2017</v>
      </c>
      <c r="F855" s="1035" t="str">
        <f t="shared" si="476"/>
        <v>LULUS</v>
      </c>
      <c r="G855" s="1036">
        <f t="shared" si="477"/>
        <v>839217020</v>
      </c>
      <c r="H855" s="1038">
        <f t="shared" si="478"/>
        <v>0</v>
      </c>
      <c r="I855" s="1038">
        <f t="shared" si="479"/>
        <v>0</v>
      </c>
      <c r="J855" s="1038">
        <f t="shared" si="480"/>
        <v>0</v>
      </c>
      <c r="L855" s="1060">
        <f t="shared" si="471"/>
        <v>0</v>
      </c>
      <c r="M855" s="1060">
        <f t="shared" si="481"/>
        <v>1</v>
      </c>
      <c r="N855" s="1060">
        <f t="shared" si="482"/>
        <v>0</v>
      </c>
      <c r="O855" s="1060">
        <f t="shared" si="483"/>
        <v>0</v>
      </c>
      <c r="P855" s="1060">
        <f t="shared" si="484"/>
        <v>0</v>
      </c>
    </row>
    <row r="856" spans="1:16" x14ac:dyDescent="0.25">
      <c r="A856" s="1034">
        <v>1278</v>
      </c>
      <c r="B856" s="1034">
        <f t="shared" si="472"/>
        <v>21</v>
      </c>
      <c r="C856" s="1034" t="str">
        <f t="shared" si="473"/>
        <v>MOCH. FUAD HASYIM</v>
      </c>
      <c r="D856" s="1035" t="str">
        <f t="shared" si="474"/>
        <v>ES</v>
      </c>
      <c r="E856" s="1036">
        <f t="shared" si="475"/>
        <v>2017</v>
      </c>
      <c r="F856" s="1035" t="str">
        <f t="shared" si="476"/>
        <v>LULUS</v>
      </c>
      <c r="G856" s="1036">
        <f t="shared" si="477"/>
        <v>839217021</v>
      </c>
      <c r="H856" s="1038">
        <f t="shared" si="478"/>
        <v>0</v>
      </c>
      <c r="I856" s="1038">
        <f t="shared" si="479"/>
        <v>0</v>
      </c>
      <c r="J856" s="1038">
        <f t="shared" si="480"/>
        <v>0</v>
      </c>
      <c r="L856" s="1060">
        <f t="shared" si="471"/>
        <v>0</v>
      </c>
      <c r="M856" s="1060">
        <f t="shared" si="481"/>
        <v>1</v>
      </c>
      <c r="N856" s="1060">
        <f t="shared" si="482"/>
        <v>0</v>
      </c>
      <c r="O856" s="1060">
        <f t="shared" si="483"/>
        <v>0</v>
      </c>
      <c r="P856" s="1060">
        <f t="shared" si="484"/>
        <v>0</v>
      </c>
    </row>
    <row r="857" spans="1:16" x14ac:dyDescent="0.25">
      <c r="A857" s="1034">
        <v>1279</v>
      </c>
      <c r="B857" s="1034">
        <f t="shared" si="472"/>
        <v>22</v>
      </c>
      <c r="C857" s="1034" t="str">
        <f t="shared" si="473"/>
        <v>MOHAMMAD IQBAL BAIDOWI</v>
      </c>
      <c r="D857" s="1035" t="str">
        <f t="shared" si="474"/>
        <v>ES</v>
      </c>
      <c r="E857" s="1036">
        <f t="shared" si="475"/>
        <v>2017</v>
      </c>
      <c r="F857" s="1035" t="str">
        <f t="shared" si="476"/>
        <v>LULUS</v>
      </c>
      <c r="G857" s="1036">
        <f t="shared" si="477"/>
        <v>839217022</v>
      </c>
      <c r="H857" s="1038">
        <f t="shared" si="478"/>
        <v>0</v>
      </c>
      <c r="I857" s="1038">
        <f t="shared" si="479"/>
        <v>0</v>
      </c>
      <c r="J857" s="1038">
        <f t="shared" si="480"/>
        <v>0</v>
      </c>
      <c r="L857" s="1060">
        <f t="shared" si="471"/>
        <v>0</v>
      </c>
      <c r="M857" s="1060">
        <f t="shared" si="481"/>
        <v>1</v>
      </c>
      <c r="N857" s="1060">
        <f t="shared" si="482"/>
        <v>0</v>
      </c>
      <c r="O857" s="1060">
        <f t="shared" si="483"/>
        <v>0</v>
      </c>
      <c r="P857" s="1060">
        <f t="shared" si="484"/>
        <v>0</v>
      </c>
    </row>
    <row r="858" spans="1:16" x14ac:dyDescent="0.25">
      <c r="A858" s="1034">
        <v>1280</v>
      </c>
      <c r="B858" s="1034">
        <f t="shared" si="472"/>
        <v>23</v>
      </c>
      <c r="C858" s="1034" t="str">
        <f t="shared" si="473"/>
        <v>MOHAMMAD MUZAKI</v>
      </c>
      <c r="D858" s="1035" t="str">
        <f t="shared" si="474"/>
        <v>ES</v>
      </c>
      <c r="E858" s="1036">
        <f t="shared" si="475"/>
        <v>2017</v>
      </c>
      <c r="F858" s="1035" t="str">
        <f t="shared" si="476"/>
        <v>PASIF</v>
      </c>
      <c r="G858" s="1036">
        <f t="shared" si="477"/>
        <v>839217023</v>
      </c>
      <c r="H858" s="1038">
        <f t="shared" si="478"/>
        <v>0</v>
      </c>
      <c r="I858" s="1038">
        <f t="shared" si="479"/>
        <v>0</v>
      </c>
      <c r="J858" s="1038">
        <f t="shared" si="480"/>
        <v>0</v>
      </c>
      <c r="L858" s="1060">
        <f t="shared" si="471"/>
        <v>0</v>
      </c>
      <c r="M858" s="1060">
        <f t="shared" si="481"/>
        <v>0</v>
      </c>
      <c r="N858" s="1060">
        <f t="shared" si="482"/>
        <v>0</v>
      </c>
      <c r="O858" s="1060">
        <f t="shared" si="483"/>
        <v>0</v>
      </c>
      <c r="P858" s="1060">
        <f t="shared" si="484"/>
        <v>1</v>
      </c>
    </row>
    <row r="859" spans="1:16" x14ac:dyDescent="0.25">
      <c r="A859" s="1034">
        <v>1281</v>
      </c>
      <c r="B859" s="1034">
        <f t="shared" si="472"/>
        <v>24</v>
      </c>
      <c r="C859" s="1034" t="str">
        <f t="shared" si="473"/>
        <v>MUHAMAD YUSRI HUBIL</v>
      </c>
      <c r="D859" s="1035" t="str">
        <f t="shared" si="474"/>
        <v>ES</v>
      </c>
      <c r="E859" s="1036">
        <f t="shared" si="475"/>
        <v>2017</v>
      </c>
      <c r="F859" s="1035" t="str">
        <f t="shared" si="476"/>
        <v>PASIF</v>
      </c>
      <c r="G859" s="1036">
        <f t="shared" si="477"/>
        <v>839217024</v>
      </c>
      <c r="H859" s="1038">
        <f t="shared" si="478"/>
        <v>0</v>
      </c>
      <c r="I859" s="1038">
        <f t="shared" si="479"/>
        <v>0</v>
      </c>
      <c r="J859" s="1038">
        <f t="shared" si="480"/>
        <v>0</v>
      </c>
      <c r="L859" s="1060">
        <f t="shared" si="471"/>
        <v>0</v>
      </c>
      <c r="M859" s="1060">
        <f t="shared" si="481"/>
        <v>0</v>
      </c>
      <c r="N859" s="1060">
        <f t="shared" si="482"/>
        <v>0</v>
      </c>
      <c r="O859" s="1060">
        <f t="shared" si="483"/>
        <v>0</v>
      </c>
      <c r="P859" s="1060">
        <f t="shared" si="484"/>
        <v>1</v>
      </c>
    </row>
    <row r="860" spans="1:16" x14ac:dyDescent="0.25">
      <c r="A860" s="1034">
        <v>1282</v>
      </c>
      <c r="B860" s="1034">
        <f t="shared" si="472"/>
        <v>25</v>
      </c>
      <c r="C860" s="1034" t="str">
        <f t="shared" si="473"/>
        <v>MUHAMMAD ALY HUSAIN</v>
      </c>
      <c r="D860" s="1035" t="str">
        <f t="shared" si="474"/>
        <v>ES</v>
      </c>
      <c r="E860" s="1036">
        <f t="shared" si="475"/>
        <v>2018</v>
      </c>
      <c r="F860" s="1035" t="str">
        <f t="shared" si="476"/>
        <v>PASIF</v>
      </c>
      <c r="G860" s="1036">
        <f t="shared" si="477"/>
        <v>839217025</v>
      </c>
      <c r="H860" s="1038">
        <f t="shared" si="478"/>
        <v>0</v>
      </c>
      <c r="I860" s="1038">
        <f t="shared" si="479"/>
        <v>0</v>
      </c>
      <c r="J860" s="1038">
        <f t="shared" si="480"/>
        <v>0</v>
      </c>
      <c r="L860" s="1060">
        <f t="shared" si="471"/>
        <v>0</v>
      </c>
      <c r="M860" s="1060">
        <f t="shared" si="481"/>
        <v>0</v>
      </c>
      <c r="N860" s="1060">
        <f t="shared" si="482"/>
        <v>0</v>
      </c>
      <c r="O860" s="1060">
        <f t="shared" si="483"/>
        <v>0</v>
      </c>
      <c r="P860" s="1060">
        <f t="shared" si="484"/>
        <v>1</v>
      </c>
    </row>
    <row r="861" spans="1:16" x14ac:dyDescent="0.25">
      <c r="A861" s="1034">
        <v>1283</v>
      </c>
      <c r="B861" s="1034">
        <f t="shared" si="472"/>
        <v>26</v>
      </c>
      <c r="C861" s="1034" t="str">
        <f t="shared" si="473"/>
        <v>MUHAMMAD FAIZIN ADI PERMANA</v>
      </c>
      <c r="D861" s="1035" t="str">
        <f t="shared" si="474"/>
        <v>ES</v>
      </c>
      <c r="E861" s="1036">
        <f t="shared" si="475"/>
        <v>2019</v>
      </c>
      <c r="F861" s="1035" t="str">
        <f t="shared" si="476"/>
        <v>PASIF</v>
      </c>
      <c r="G861" s="1036">
        <f t="shared" si="477"/>
        <v>839217026</v>
      </c>
      <c r="H861" s="1038">
        <f t="shared" si="478"/>
        <v>0</v>
      </c>
      <c r="I861" s="1038">
        <f t="shared" si="479"/>
        <v>0</v>
      </c>
      <c r="J861" s="1038">
        <f t="shared" si="480"/>
        <v>0</v>
      </c>
      <c r="L861" s="1060">
        <f t="shared" si="471"/>
        <v>0</v>
      </c>
      <c r="M861" s="1060">
        <f t="shared" si="481"/>
        <v>0</v>
      </c>
      <c r="N861" s="1060">
        <f t="shared" si="482"/>
        <v>0</v>
      </c>
      <c r="O861" s="1060">
        <f t="shared" si="483"/>
        <v>0</v>
      </c>
      <c r="P861" s="1060">
        <f t="shared" si="484"/>
        <v>1</v>
      </c>
    </row>
    <row r="862" spans="1:16" x14ac:dyDescent="0.25">
      <c r="A862" s="1034">
        <v>1284</v>
      </c>
      <c r="B862" s="1034">
        <f t="shared" si="472"/>
        <v>27</v>
      </c>
      <c r="C862" s="1034" t="str">
        <f t="shared" si="473"/>
        <v>MUHAMMAD SYAROFI</v>
      </c>
      <c r="D862" s="1035" t="str">
        <f t="shared" si="474"/>
        <v>ES</v>
      </c>
      <c r="E862" s="1036">
        <f t="shared" si="475"/>
        <v>2017</v>
      </c>
      <c r="F862" s="1035" t="str">
        <f t="shared" si="476"/>
        <v>LULUS</v>
      </c>
      <c r="G862" s="1036">
        <f t="shared" si="477"/>
        <v>839217027</v>
      </c>
      <c r="H862" s="1038">
        <f t="shared" si="478"/>
        <v>0</v>
      </c>
      <c r="I862" s="1038">
        <f t="shared" si="479"/>
        <v>0</v>
      </c>
      <c r="J862" s="1038">
        <f t="shared" si="480"/>
        <v>0</v>
      </c>
      <c r="L862" s="1060">
        <f t="shared" si="471"/>
        <v>0</v>
      </c>
      <c r="M862" s="1060">
        <f t="shared" si="481"/>
        <v>1</v>
      </c>
      <c r="N862" s="1060">
        <f t="shared" si="482"/>
        <v>0</v>
      </c>
      <c r="O862" s="1060">
        <f t="shared" si="483"/>
        <v>0</v>
      </c>
      <c r="P862" s="1060">
        <f t="shared" si="484"/>
        <v>0</v>
      </c>
    </row>
    <row r="863" spans="1:16" x14ac:dyDescent="0.25">
      <c r="A863" s="1034">
        <v>1285</v>
      </c>
      <c r="B863" s="1034">
        <f t="shared" si="472"/>
        <v>28</v>
      </c>
      <c r="C863" s="1034" t="str">
        <f t="shared" si="473"/>
        <v>MUKHTAR ROSYADI</v>
      </c>
      <c r="D863" s="1035" t="str">
        <f t="shared" si="474"/>
        <v>ES</v>
      </c>
      <c r="E863" s="1036">
        <f t="shared" si="475"/>
        <v>2017</v>
      </c>
      <c r="F863" s="1035" t="str">
        <f t="shared" si="476"/>
        <v>PASIF</v>
      </c>
      <c r="G863" s="1036">
        <f t="shared" si="477"/>
        <v>839217028</v>
      </c>
      <c r="H863" s="1038">
        <f t="shared" si="478"/>
        <v>0</v>
      </c>
      <c r="I863" s="1038">
        <f t="shared" si="479"/>
        <v>0</v>
      </c>
      <c r="J863" s="1038">
        <f t="shared" si="480"/>
        <v>0</v>
      </c>
      <c r="L863" s="1060">
        <f t="shared" si="471"/>
        <v>0</v>
      </c>
      <c r="M863" s="1060">
        <f t="shared" si="481"/>
        <v>0</v>
      </c>
      <c r="N863" s="1060">
        <f t="shared" si="482"/>
        <v>0</v>
      </c>
      <c r="O863" s="1060">
        <f t="shared" si="483"/>
        <v>0</v>
      </c>
      <c r="P863" s="1060">
        <f t="shared" si="484"/>
        <v>1</v>
      </c>
    </row>
    <row r="864" spans="1:16" x14ac:dyDescent="0.25">
      <c r="A864" s="1034">
        <v>1286</v>
      </c>
      <c r="B864" s="1034">
        <f t="shared" si="472"/>
        <v>29</v>
      </c>
      <c r="C864" s="1034" t="str">
        <f t="shared" si="473"/>
        <v>MUTMAINNAH</v>
      </c>
      <c r="D864" s="1035" t="str">
        <f t="shared" si="474"/>
        <v>ES</v>
      </c>
      <c r="E864" s="1036">
        <f t="shared" si="475"/>
        <v>2017</v>
      </c>
      <c r="F864" s="1035" t="str">
        <f t="shared" si="476"/>
        <v>LULUS</v>
      </c>
      <c r="G864" s="1036">
        <f t="shared" si="477"/>
        <v>839217029</v>
      </c>
      <c r="H864" s="1038">
        <f t="shared" si="478"/>
        <v>0</v>
      </c>
      <c r="I864" s="1038">
        <f t="shared" si="479"/>
        <v>0</v>
      </c>
      <c r="J864" s="1038">
        <f t="shared" si="480"/>
        <v>0</v>
      </c>
      <c r="L864" s="1060">
        <f t="shared" si="471"/>
        <v>0</v>
      </c>
      <c r="M864" s="1060">
        <f t="shared" si="481"/>
        <v>1</v>
      </c>
      <c r="N864" s="1060">
        <f t="shared" si="482"/>
        <v>0</v>
      </c>
      <c r="O864" s="1060">
        <f t="shared" si="483"/>
        <v>0</v>
      </c>
      <c r="P864" s="1060">
        <f t="shared" si="484"/>
        <v>0</v>
      </c>
    </row>
    <row r="865" spans="1:16" x14ac:dyDescent="0.25">
      <c r="A865" s="1034">
        <v>1287</v>
      </c>
      <c r="B865" s="1034">
        <f t="shared" si="472"/>
        <v>30</v>
      </c>
      <c r="C865" s="1034" t="str">
        <f t="shared" si="473"/>
        <v>RINDA QURATUL A'YUN</v>
      </c>
      <c r="D865" s="1035" t="str">
        <f t="shared" si="474"/>
        <v>ES</v>
      </c>
      <c r="E865" s="1036">
        <f t="shared" si="475"/>
        <v>2017</v>
      </c>
      <c r="F865" s="1035" t="str">
        <f t="shared" si="476"/>
        <v>LULUS</v>
      </c>
      <c r="G865" s="1036">
        <f t="shared" si="477"/>
        <v>839217030</v>
      </c>
      <c r="H865" s="1038">
        <f t="shared" si="478"/>
        <v>0</v>
      </c>
      <c r="I865" s="1038">
        <f t="shared" si="479"/>
        <v>0</v>
      </c>
      <c r="J865" s="1038">
        <f t="shared" si="480"/>
        <v>0</v>
      </c>
      <c r="L865" s="1060">
        <f t="shared" si="471"/>
        <v>0</v>
      </c>
      <c r="M865" s="1060">
        <f t="shared" si="481"/>
        <v>1</v>
      </c>
      <c r="N865" s="1060">
        <f t="shared" si="482"/>
        <v>0</v>
      </c>
      <c r="O865" s="1060">
        <f t="shared" si="483"/>
        <v>0</v>
      </c>
      <c r="P865" s="1060">
        <f t="shared" si="484"/>
        <v>0</v>
      </c>
    </row>
    <row r="866" spans="1:16" x14ac:dyDescent="0.25">
      <c r="A866" s="1034">
        <v>1288</v>
      </c>
      <c r="B866" s="1034">
        <f t="shared" si="472"/>
        <v>31</v>
      </c>
      <c r="C866" s="1034" t="str">
        <f t="shared" si="473"/>
        <v>ROBBY REZA ZULFIKRI</v>
      </c>
      <c r="D866" s="1035" t="str">
        <f t="shared" si="474"/>
        <v>ES</v>
      </c>
      <c r="E866" s="1036">
        <f t="shared" si="475"/>
        <v>2017</v>
      </c>
      <c r="F866" s="1035" t="str">
        <f t="shared" si="476"/>
        <v>LULUS</v>
      </c>
      <c r="G866" s="1036">
        <f t="shared" si="477"/>
        <v>839217031</v>
      </c>
      <c r="H866" s="1038">
        <f t="shared" si="478"/>
        <v>0</v>
      </c>
      <c r="I866" s="1038">
        <f t="shared" si="479"/>
        <v>0</v>
      </c>
      <c r="J866" s="1038">
        <f t="shared" si="480"/>
        <v>0</v>
      </c>
      <c r="L866" s="1060">
        <f t="shared" si="471"/>
        <v>0</v>
      </c>
      <c r="M866" s="1060">
        <f t="shared" si="481"/>
        <v>1</v>
      </c>
      <c r="N866" s="1060">
        <f t="shared" si="482"/>
        <v>0</v>
      </c>
      <c r="O866" s="1060">
        <f t="shared" si="483"/>
        <v>0</v>
      </c>
      <c r="P866" s="1060">
        <f t="shared" si="484"/>
        <v>0</v>
      </c>
    </row>
    <row r="867" spans="1:16" x14ac:dyDescent="0.25">
      <c r="A867" s="1034">
        <v>1289</v>
      </c>
      <c r="B867" s="1034">
        <f t="shared" si="472"/>
        <v>32</v>
      </c>
      <c r="C867" s="1034" t="str">
        <f t="shared" si="473"/>
        <v>SHOHIBUL ULUM</v>
      </c>
      <c r="D867" s="1035" t="str">
        <f t="shared" si="474"/>
        <v>ES</v>
      </c>
      <c r="E867" s="1036">
        <f t="shared" si="475"/>
        <v>2017</v>
      </c>
      <c r="F867" s="1035" t="str">
        <f t="shared" si="476"/>
        <v>LULUS</v>
      </c>
      <c r="G867" s="1036">
        <f t="shared" si="477"/>
        <v>839217032</v>
      </c>
      <c r="H867" s="1038">
        <f t="shared" si="478"/>
        <v>0</v>
      </c>
      <c r="I867" s="1038">
        <f t="shared" si="479"/>
        <v>0</v>
      </c>
      <c r="J867" s="1038">
        <f t="shared" si="480"/>
        <v>0</v>
      </c>
      <c r="L867" s="1060">
        <f t="shared" si="471"/>
        <v>0</v>
      </c>
      <c r="M867" s="1060">
        <f t="shared" si="481"/>
        <v>1</v>
      </c>
      <c r="N867" s="1060">
        <f t="shared" si="482"/>
        <v>0</v>
      </c>
      <c r="O867" s="1060">
        <f t="shared" si="483"/>
        <v>0</v>
      </c>
      <c r="P867" s="1060">
        <f t="shared" si="484"/>
        <v>0</v>
      </c>
    </row>
    <row r="868" spans="1:16" x14ac:dyDescent="0.25">
      <c r="A868" s="1034">
        <v>1290</v>
      </c>
      <c r="B868" s="1034">
        <f t="shared" si="472"/>
        <v>33</v>
      </c>
      <c r="C868" s="1034" t="str">
        <f t="shared" si="473"/>
        <v>SITI WAQIAH</v>
      </c>
      <c r="D868" s="1035" t="str">
        <f t="shared" si="474"/>
        <v>ES</v>
      </c>
      <c r="E868" s="1036">
        <f t="shared" si="475"/>
        <v>2017</v>
      </c>
      <c r="F868" s="1035" t="str">
        <f t="shared" si="476"/>
        <v>LULUS</v>
      </c>
      <c r="G868" s="1036">
        <f t="shared" si="477"/>
        <v>839217033</v>
      </c>
      <c r="H868" s="1038">
        <f t="shared" si="478"/>
        <v>0</v>
      </c>
      <c r="I868" s="1038">
        <f t="shared" si="479"/>
        <v>0</v>
      </c>
      <c r="J868" s="1038">
        <f t="shared" si="480"/>
        <v>0</v>
      </c>
      <c r="L868" s="1060">
        <f t="shared" si="471"/>
        <v>0</v>
      </c>
      <c r="M868" s="1060">
        <f t="shared" si="481"/>
        <v>1</v>
      </c>
      <c r="N868" s="1060">
        <f t="shared" si="482"/>
        <v>0</v>
      </c>
      <c r="O868" s="1060">
        <f t="shared" si="483"/>
        <v>0</v>
      </c>
      <c r="P868" s="1060">
        <f t="shared" si="484"/>
        <v>0</v>
      </c>
    </row>
    <row r="869" spans="1:16" x14ac:dyDescent="0.25">
      <c r="A869" s="1034">
        <v>1291</v>
      </c>
      <c r="B869" s="1034">
        <f t="shared" si="472"/>
        <v>34</v>
      </c>
      <c r="C869" s="1034" t="str">
        <f t="shared" si="473"/>
        <v>SRI WAHYUNITA</v>
      </c>
      <c r="D869" s="1035" t="str">
        <f t="shared" si="474"/>
        <v>ES</v>
      </c>
      <c r="E869" s="1036">
        <f t="shared" si="475"/>
        <v>2017</v>
      </c>
      <c r="F869" s="1035" t="str">
        <f t="shared" si="476"/>
        <v>CUTI</v>
      </c>
      <c r="G869" s="1036">
        <f t="shared" si="477"/>
        <v>839217034</v>
      </c>
      <c r="H869" s="1038">
        <f t="shared" si="478"/>
        <v>3000000</v>
      </c>
      <c r="I869" s="1038">
        <f t="shared" si="479"/>
        <v>3000000</v>
      </c>
      <c r="J869" s="1038">
        <f t="shared" si="480"/>
        <v>6000000</v>
      </c>
      <c r="L869" s="1060">
        <f t="shared" si="471"/>
        <v>0</v>
      </c>
      <c r="M869" s="1060">
        <f t="shared" si="481"/>
        <v>0</v>
      </c>
      <c r="N869" s="1060">
        <f t="shared" si="482"/>
        <v>1</v>
      </c>
      <c r="O869" s="1060">
        <f t="shared" si="483"/>
        <v>0</v>
      </c>
      <c r="P869" s="1060">
        <f t="shared" si="484"/>
        <v>0</v>
      </c>
    </row>
    <row r="870" spans="1:16" x14ac:dyDescent="0.25">
      <c r="A870" s="1034">
        <v>1292</v>
      </c>
      <c r="B870" s="1034">
        <f t="shared" si="472"/>
        <v>35</v>
      </c>
      <c r="C870" s="1034" t="str">
        <f t="shared" si="473"/>
        <v>SUAYROH TRI DAMAYANTI</v>
      </c>
      <c r="D870" s="1035" t="str">
        <f t="shared" si="474"/>
        <v>ES</v>
      </c>
      <c r="E870" s="1036">
        <f t="shared" si="475"/>
        <v>2017</v>
      </c>
      <c r="F870" s="1035" t="str">
        <f t="shared" si="476"/>
        <v>LULUS</v>
      </c>
      <c r="G870" s="1036">
        <f t="shared" si="477"/>
        <v>839217035</v>
      </c>
      <c r="H870" s="1038">
        <f t="shared" si="478"/>
        <v>0</v>
      </c>
      <c r="I870" s="1038">
        <f t="shared" si="479"/>
        <v>0</v>
      </c>
      <c r="J870" s="1038">
        <f t="shared" si="480"/>
        <v>0</v>
      </c>
      <c r="L870" s="1060">
        <f t="shared" si="471"/>
        <v>0</v>
      </c>
      <c r="M870" s="1060">
        <f t="shared" si="481"/>
        <v>1</v>
      </c>
      <c r="N870" s="1060">
        <f t="shared" si="482"/>
        <v>0</v>
      </c>
      <c r="O870" s="1060">
        <f t="shared" si="483"/>
        <v>0</v>
      </c>
      <c r="P870" s="1060">
        <f t="shared" si="484"/>
        <v>0</v>
      </c>
    </row>
    <row r="871" spans="1:16" x14ac:dyDescent="0.25">
      <c r="A871" s="1034">
        <v>1293</v>
      </c>
      <c r="B871" s="1034">
        <f t="shared" si="472"/>
        <v>36</v>
      </c>
      <c r="C871" s="1034" t="str">
        <f t="shared" si="473"/>
        <v>ULUL MA'RIFAH</v>
      </c>
      <c r="D871" s="1035" t="str">
        <f t="shared" si="474"/>
        <v>ES</v>
      </c>
      <c r="E871" s="1036">
        <f t="shared" si="475"/>
        <v>2017</v>
      </c>
      <c r="F871" s="1035" t="str">
        <f t="shared" si="476"/>
        <v>PASIF</v>
      </c>
      <c r="G871" s="1036">
        <f t="shared" si="477"/>
        <v>839217036</v>
      </c>
      <c r="H871" s="1038">
        <f t="shared" si="478"/>
        <v>0</v>
      </c>
      <c r="I871" s="1038">
        <f t="shared" si="479"/>
        <v>0</v>
      </c>
      <c r="J871" s="1038">
        <f t="shared" si="480"/>
        <v>0</v>
      </c>
      <c r="L871" s="1060">
        <f t="shared" si="471"/>
        <v>0</v>
      </c>
      <c r="M871" s="1060">
        <f t="shared" si="481"/>
        <v>0</v>
      </c>
      <c r="N871" s="1060">
        <f t="shared" si="482"/>
        <v>0</v>
      </c>
      <c r="O871" s="1060">
        <f t="shared" si="483"/>
        <v>0</v>
      </c>
      <c r="P871" s="1060">
        <f t="shared" si="484"/>
        <v>1</v>
      </c>
    </row>
    <row r="872" spans="1:16" x14ac:dyDescent="0.25">
      <c r="A872" s="1034">
        <v>1294</v>
      </c>
      <c r="B872" s="1034">
        <f t="shared" si="472"/>
        <v>37</v>
      </c>
      <c r="C872" s="1034" t="str">
        <f t="shared" si="473"/>
        <v>WIWIT MUSTAFIDAH</v>
      </c>
      <c r="D872" s="1035" t="str">
        <f t="shared" si="474"/>
        <v>ES</v>
      </c>
      <c r="E872" s="1036">
        <f t="shared" si="475"/>
        <v>2017</v>
      </c>
      <c r="F872" s="1035" t="str">
        <f t="shared" si="476"/>
        <v>LULUS</v>
      </c>
      <c r="G872" s="1036">
        <f t="shared" si="477"/>
        <v>839217037</v>
      </c>
      <c r="H872" s="1038">
        <f t="shared" si="478"/>
        <v>0</v>
      </c>
      <c r="I872" s="1038">
        <f t="shared" si="479"/>
        <v>0</v>
      </c>
      <c r="J872" s="1038">
        <f t="shared" si="480"/>
        <v>0</v>
      </c>
      <c r="L872" s="1060">
        <f t="shared" si="471"/>
        <v>0</v>
      </c>
      <c r="M872" s="1060">
        <f t="shared" si="481"/>
        <v>1</v>
      </c>
      <c r="N872" s="1060">
        <f t="shared" si="482"/>
        <v>0</v>
      </c>
      <c r="O872" s="1060">
        <f t="shared" si="483"/>
        <v>0</v>
      </c>
      <c r="P872" s="1060">
        <f t="shared" si="484"/>
        <v>0</v>
      </c>
    </row>
    <row r="873" spans="1:16" x14ac:dyDescent="0.25">
      <c r="A873" s="1039"/>
      <c r="B873" s="1039"/>
      <c r="C873" s="1039"/>
      <c r="D873" s="1040"/>
      <c r="E873" s="1041"/>
      <c r="F873" s="1040"/>
      <c r="G873" s="1041"/>
      <c r="H873" s="1042"/>
      <c r="I873" s="1042"/>
      <c r="J873" s="1042"/>
      <c r="L873" s="1042"/>
      <c r="M873" s="1042"/>
      <c r="N873" s="1042"/>
      <c r="O873" s="1042"/>
      <c r="P873" s="1042"/>
    </row>
    <row r="874" spans="1:16" x14ac:dyDescent="0.25">
      <c r="A874" s="1043" t="str">
        <f>'Rekap SPP'!A1398</f>
        <v>S2-PGMI 2017/2018</v>
      </c>
      <c r="B874" s="1043"/>
      <c r="C874" s="1043"/>
      <c r="D874" s="1033" t="s">
        <v>3</v>
      </c>
      <c r="E874" s="1032" t="s">
        <v>4</v>
      </c>
      <c r="F874" s="1033" t="s">
        <v>3195</v>
      </c>
      <c r="G874" s="1032" t="s">
        <v>1</v>
      </c>
      <c r="H874" s="1033" t="s">
        <v>3341</v>
      </c>
      <c r="I874" s="1033" t="s">
        <v>3362</v>
      </c>
      <c r="J874" s="1062">
        <f>SUM(J875:J893)</f>
        <v>24000000</v>
      </c>
      <c r="L874" s="1063">
        <f>SUM(L875:L893)</f>
        <v>3</v>
      </c>
      <c r="M874" s="1063">
        <f>SUM(M875:M893)</f>
        <v>12</v>
      </c>
      <c r="N874" s="1063">
        <f>SUM(N875:N893)</f>
        <v>1</v>
      </c>
      <c r="O874" s="1063">
        <f>SUM(O875:O893)</f>
        <v>1</v>
      </c>
      <c r="P874" s="1063">
        <f>SUM(P875:P893)</f>
        <v>2</v>
      </c>
    </row>
    <row r="875" spans="1:16" x14ac:dyDescent="0.25">
      <c r="A875" s="1034">
        <v>1295</v>
      </c>
      <c r="B875" s="1034">
        <f t="shared" si="472"/>
        <v>1</v>
      </c>
      <c r="C875" s="1034" t="str">
        <f t="shared" ref="C875:C893" si="485">IFERROR(VLOOKUP(A875,DB,4,FALSE),"")</f>
        <v>ACH. NUR FUAD ALFAJRI</v>
      </c>
      <c r="D875" s="1035" t="str">
        <f t="shared" ref="D875:D893" si="486">IFERROR(VLOOKUP(A875,DB,5,FALSE),"")</f>
        <v>PGMI</v>
      </c>
      <c r="E875" s="1036">
        <f t="shared" ref="E875:E893" si="487">IFERROR(VLOOKUP(A875,DB,6,FALSE),"")</f>
        <v>2017</v>
      </c>
      <c r="F875" s="1035" t="str">
        <f t="shared" ref="F875:F893" si="488">IFERROR(VLOOKUP(A875,DB,7,FALSE),"")</f>
        <v>PASIF</v>
      </c>
      <c r="G875" s="1036">
        <f t="shared" ref="G875:G893" si="489">IFERROR(VLOOKUP(A875,DB,3,FALSE),"")</f>
        <v>849417001</v>
      </c>
      <c r="H875" s="1038">
        <f t="shared" ref="H875:H893" si="490">IF(F875="AKTIF",3000000,IF(F875="CUTI",3000000,0))</f>
        <v>0</v>
      </c>
      <c r="I875" s="1038">
        <f t="shared" ref="I875:I893" si="491">IF(F875="AKTIF",3000000,IF(F875="CUTI",3000000,0))</f>
        <v>0</v>
      </c>
      <c r="J875" s="1038">
        <f t="shared" ref="J875:J893" si="492">I875+H875</f>
        <v>0</v>
      </c>
      <c r="L875" s="1060">
        <f t="shared" si="471"/>
        <v>0</v>
      </c>
      <c r="M875" s="1060">
        <f t="shared" ref="M875:M893" si="493">IF(F875="LULUS",1,0)</f>
        <v>0</v>
      </c>
      <c r="N875" s="1060">
        <f t="shared" ref="N875:N893" si="494">IF(F875="CUTI",1,0)</f>
        <v>0</v>
      </c>
      <c r="O875" s="1060">
        <f t="shared" ref="O875:O893" si="495">IF(F875="DROP OUT",1,0)</f>
        <v>0</v>
      </c>
      <c r="P875" s="1060">
        <f t="shared" ref="P875:P893" si="496">IF(F875="PASIF",1,0)</f>
        <v>1</v>
      </c>
    </row>
    <row r="876" spans="1:16" x14ac:dyDescent="0.25">
      <c r="A876" s="1034">
        <v>1296</v>
      </c>
      <c r="B876" s="1034">
        <f t="shared" si="472"/>
        <v>2</v>
      </c>
      <c r="C876" s="1034" t="str">
        <f t="shared" si="485"/>
        <v>ACHMAD SOFYAN SAURI</v>
      </c>
      <c r="D876" s="1035" t="str">
        <f t="shared" si="486"/>
        <v>PGMI</v>
      </c>
      <c r="E876" s="1036">
        <f t="shared" si="487"/>
        <v>2017</v>
      </c>
      <c r="F876" s="1035" t="str">
        <f t="shared" si="488"/>
        <v>CUTI</v>
      </c>
      <c r="G876" s="1036">
        <f t="shared" si="489"/>
        <v>849417002</v>
      </c>
      <c r="H876" s="1038">
        <f t="shared" si="490"/>
        <v>3000000</v>
      </c>
      <c r="I876" s="1038">
        <f t="shared" si="491"/>
        <v>3000000</v>
      </c>
      <c r="J876" s="1038">
        <f t="shared" si="492"/>
        <v>6000000</v>
      </c>
      <c r="L876" s="1060">
        <f t="shared" si="471"/>
        <v>0</v>
      </c>
      <c r="M876" s="1060">
        <f t="shared" si="493"/>
        <v>0</v>
      </c>
      <c r="N876" s="1060">
        <f t="shared" si="494"/>
        <v>1</v>
      </c>
      <c r="O876" s="1060">
        <f t="shared" si="495"/>
        <v>0</v>
      </c>
      <c r="P876" s="1060">
        <f t="shared" si="496"/>
        <v>0</v>
      </c>
    </row>
    <row r="877" spans="1:16" x14ac:dyDescent="0.25">
      <c r="A877" s="1034">
        <v>1297</v>
      </c>
      <c r="B877" s="1034">
        <f t="shared" si="472"/>
        <v>3</v>
      </c>
      <c r="C877" s="1034" t="str">
        <f t="shared" si="485"/>
        <v>AGUS RIYADI</v>
      </c>
      <c r="D877" s="1035" t="str">
        <f t="shared" si="486"/>
        <v>PGMI</v>
      </c>
      <c r="E877" s="1036">
        <f t="shared" si="487"/>
        <v>2017</v>
      </c>
      <c r="F877" s="1035" t="str">
        <f t="shared" si="488"/>
        <v>LULUS</v>
      </c>
      <c r="G877" s="1036">
        <f t="shared" si="489"/>
        <v>849417003</v>
      </c>
      <c r="H877" s="1038">
        <f t="shared" si="490"/>
        <v>0</v>
      </c>
      <c r="I877" s="1038">
        <f t="shared" si="491"/>
        <v>0</v>
      </c>
      <c r="J877" s="1038">
        <f t="shared" si="492"/>
        <v>0</v>
      </c>
      <c r="L877" s="1060">
        <f t="shared" si="471"/>
        <v>0</v>
      </c>
      <c r="M877" s="1060">
        <f t="shared" si="493"/>
        <v>1</v>
      </c>
      <c r="N877" s="1060">
        <f t="shared" si="494"/>
        <v>0</v>
      </c>
      <c r="O877" s="1060">
        <f t="shared" si="495"/>
        <v>0</v>
      </c>
      <c r="P877" s="1060">
        <f t="shared" si="496"/>
        <v>0</v>
      </c>
    </row>
    <row r="878" spans="1:16" x14ac:dyDescent="0.25">
      <c r="A878" s="1034">
        <v>1298</v>
      </c>
      <c r="B878" s="1034">
        <f t="shared" si="472"/>
        <v>4</v>
      </c>
      <c r="C878" s="1034" t="str">
        <f t="shared" si="485"/>
        <v>AHMAD FADLU ROHMAN</v>
      </c>
      <c r="D878" s="1035" t="str">
        <f t="shared" si="486"/>
        <v>PGMI</v>
      </c>
      <c r="E878" s="1036">
        <f t="shared" si="487"/>
        <v>2017</v>
      </c>
      <c r="F878" s="1035" t="str">
        <f t="shared" si="488"/>
        <v>AKTIF</v>
      </c>
      <c r="G878" s="1036">
        <f t="shared" si="489"/>
        <v>849417004</v>
      </c>
      <c r="H878" s="1038">
        <f t="shared" si="490"/>
        <v>3000000</v>
      </c>
      <c r="I878" s="1038">
        <f t="shared" si="491"/>
        <v>3000000</v>
      </c>
      <c r="J878" s="1038">
        <f t="shared" si="492"/>
        <v>6000000</v>
      </c>
      <c r="L878" s="1060">
        <f t="shared" si="471"/>
        <v>1</v>
      </c>
      <c r="M878" s="1060">
        <f t="shared" si="493"/>
        <v>0</v>
      </c>
      <c r="N878" s="1060">
        <f t="shared" si="494"/>
        <v>0</v>
      </c>
      <c r="O878" s="1060">
        <f t="shared" si="495"/>
        <v>0</v>
      </c>
      <c r="P878" s="1060">
        <f t="shared" si="496"/>
        <v>0</v>
      </c>
    </row>
    <row r="879" spans="1:16" x14ac:dyDescent="0.25">
      <c r="A879" s="1034">
        <v>1299</v>
      </c>
      <c r="B879" s="1034">
        <f t="shared" si="472"/>
        <v>5</v>
      </c>
      <c r="C879" s="1034" t="str">
        <f t="shared" si="485"/>
        <v>HADI HUSEN NURROHMAN</v>
      </c>
      <c r="D879" s="1035" t="str">
        <f t="shared" si="486"/>
        <v>PGMI</v>
      </c>
      <c r="E879" s="1036">
        <f t="shared" si="487"/>
        <v>2017</v>
      </c>
      <c r="F879" s="1035" t="str">
        <f t="shared" si="488"/>
        <v>LULUS</v>
      </c>
      <c r="G879" s="1036">
        <f t="shared" si="489"/>
        <v>849417005</v>
      </c>
      <c r="H879" s="1038">
        <f t="shared" si="490"/>
        <v>0</v>
      </c>
      <c r="I879" s="1038">
        <f t="shared" si="491"/>
        <v>0</v>
      </c>
      <c r="J879" s="1038">
        <f t="shared" si="492"/>
        <v>0</v>
      </c>
      <c r="L879" s="1060">
        <f t="shared" ref="L879:L950" si="497">IF(F879="AKTIF",1,0)</f>
        <v>0</v>
      </c>
      <c r="M879" s="1060">
        <f t="shared" si="493"/>
        <v>1</v>
      </c>
      <c r="N879" s="1060">
        <f t="shared" si="494"/>
        <v>0</v>
      </c>
      <c r="O879" s="1060">
        <f t="shared" si="495"/>
        <v>0</v>
      </c>
      <c r="P879" s="1060">
        <f t="shared" si="496"/>
        <v>0</v>
      </c>
    </row>
    <row r="880" spans="1:16" x14ac:dyDescent="0.25">
      <c r="A880" s="1034">
        <v>1300</v>
      </c>
      <c r="B880" s="1034">
        <f t="shared" si="472"/>
        <v>6</v>
      </c>
      <c r="C880" s="1034" t="str">
        <f t="shared" si="485"/>
        <v>IMAM BAEDLOWI</v>
      </c>
      <c r="D880" s="1035" t="str">
        <f t="shared" si="486"/>
        <v>PGMI</v>
      </c>
      <c r="E880" s="1036">
        <f t="shared" si="487"/>
        <v>2017</v>
      </c>
      <c r="F880" s="1035" t="str">
        <f t="shared" si="488"/>
        <v>LULUS</v>
      </c>
      <c r="G880" s="1036">
        <f t="shared" si="489"/>
        <v>849417006</v>
      </c>
      <c r="H880" s="1038">
        <f t="shared" si="490"/>
        <v>0</v>
      </c>
      <c r="I880" s="1038">
        <f t="shared" si="491"/>
        <v>0</v>
      </c>
      <c r="J880" s="1038">
        <f t="shared" si="492"/>
        <v>0</v>
      </c>
      <c r="L880" s="1060">
        <f t="shared" si="497"/>
        <v>0</v>
      </c>
      <c r="M880" s="1060">
        <f t="shared" si="493"/>
        <v>1</v>
      </c>
      <c r="N880" s="1060">
        <f t="shared" si="494"/>
        <v>0</v>
      </c>
      <c r="O880" s="1060">
        <f t="shared" si="495"/>
        <v>0</v>
      </c>
      <c r="P880" s="1060">
        <f t="shared" si="496"/>
        <v>0</v>
      </c>
    </row>
    <row r="881" spans="1:16" x14ac:dyDescent="0.25">
      <c r="A881" s="1034">
        <v>1301</v>
      </c>
      <c r="B881" s="1034">
        <f t="shared" ref="B881:B952" si="498">IFERROR(VLOOKUP(A881,DB,2,FALSE),"")</f>
        <v>7</v>
      </c>
      <c r="C881" s="1034" t="str">
        <f t="shared" si="485"/>
        <v>INDAH FARIDA</v>
      </c>
      <c r="D881" s="1035" t="str">
        <f t="shared" si="486"/>
        <v>PGMI</v>
      </c>
      <c r="E881" s="1036">
        <f t="shared" si="487"/>
        <v>2017</v>
      </c>
      <c r="F881" s="1035" t="str">
        <f t="shared" si="488"/>
        <v>LULUS</v>
      </c>
      <c r="G881" s="1036">
        <f t="shared" si="489"/>
        <v>849417007</v>
      </c>
      <c r="H881" s="1038">
        <f t="shared" si="490"/>
        <v>0</v>
      </c>
      <c r="I881" s="1038">
        <f t="shared" si="491"/>
        <v>0</v>
      </c>
      <c r="J881" s="1038">
        <f t="shared" si="492"/>
        <v>0</v>
      </c>
      <c r="L881" s="1060">
        <f t="shared" si="497"/>
        <v>0</v>
      </c>
      <c r="M881" s="1060">
        <f t="shared" si="493"/>
        <v>1</v>
      </c>
      <c r="N881" s="1060">
        <f t="shared" si="494"/>
        <v>0</v>
      </c>
      <c r="O881" s="1060">
        <f t="shared" si="495"/>
        <v>0</v>
      </c>
      <c r="P881" s="1060">
        <f t="shared" si="496"/>
        <v>0</v>
      </c>
    </row>
    <row r="882" spans="1:16" x14ac:dyDescent="0.25">
      <c r="A882" s="1034">
        <v>1302</v>
      </c>
      <c r="B882" s="1034">
        <f t="shared" si="498"/>
        <v>8</v>
      </c>
      <c r="C882" s="1034" t="str">
        <f t="shared" si="485"/>
        <v>INDRI WIJAYANTI NINGSIH</v>
      </c>
      <c r="D882" s="1035" t="str">
        <f t="shared" si="486"/>
        <v>PGMI</v>
      </c>
      <c r="E882" s="1036">
        <f t="shared" si="487"/>
        <v>2017</v>
      </c>
      <c r="F882" s="1035" t="str">
        <f t="shared" si="488"/>
        <v>LULUS</v>
      </c>
      <c r="G882" s="1036">
        <f t="shared" si="489"/>
        <v>849417008</v>
      </c>
      <c r="H882" s="1038">
        <f t="shared" si="490"/>
        <v>0</v>
      </c>
      <c r="I882" s="1038">
        <f t="shared" si="491"/>
        <v>0</v>
      </c>
      <c r="J882" s="1038">
        <f t="shared" si="492"/>
        <v>0</v>
      </c>
      <c r="L882" s="1060">
        <f t="shared" si="497"/>
        <v>0</v>
      </c>
      <c r="M882" s="1060">
        <f t="shared" si="493"/>
        <v>1</v>
      </c>
      <c r="N882" s="1060">
        <f t="shared" si="494"/>
        <v>0</v>
      </c>
      <c r="O882" s="1060">
        <f t="shared" si="495"/>
        <v>0</v>
      </c>
      <c r="P882" s="1060">
        <f t="shared" si="496"/>
        <v>0</v>
      </c>
    </row>
    <row r="883" spans="1:16" x14ac:dyDescent="0.25">
      <c r="A883" s="1034">
        <v>1303</v>
      </c>
      <c r="B883" s="1034">
        <f t="shared" si="498"/>
        <v>9</v>
      </c>
      <c r="C883" s="1034" t="str">
        <f t="shared" si="485"/>
        <v>LILIS ISNAINI</v>
      </c>
      <c r="D883" s="1035" t="str">
        <f t="shared" si="486"/>
        <v>PGMI</v>
      </c>
      <c r="E883" s="1036">
        <f t="shared" si="487"/>
        <v>2017</v>
      </c>
      <c r="F883" s="1035" t="str">
        <f t="shared" si="488"/>
        <v>LULUS</v>
      </c>
      <c r="G883" s="1036">
        <f t="shared" si="489"/>
        <v>849417009</v>
      </c>
      <c r="H883" s="1038">
        <f t="shared" si="490"/>
        <v>0</v>
      </c>
      <c r="I883" s="1038">
        <f t="shared" si="491"/>
        <v>0</v>
      </c>
      <c r="J883" s="1038">
        <f t="shared" si="492"/>
        <v>0</v>
      </c>
      <c r="L883" s="1060">
        <f t="shared" si="497"/>
        <v>0</v>
      </c>
      <c r="M883" s="1060">
        <f t="shared" si="493"/>
        <v>1</v>
      </c>
      <c r="N883" s="1060">
        <f t="shared" si="494"/>
        <v>0</v>
      </c>
      <c r="O883" s="1060">
        <f t="shared" si="495"/>
        <v>0</v>
      </c>
      <c r="P883" s="1060">
        <f t="shared" si="496"/>
        <v>0</v>
      </c>
    </row>
    <row r="884" spans="1:16" x14ac:dyDescent="0.25">
      <c r="A884" s="1034">
        <v>1304</v>
      </c>
      <c r="B884" s="1034">
        <f t="shared" si="498"/>
        <v>10</v>
      </c>
      <c r="C884" s="1034" t="str">
        <f t="shared" si="485"/>
        <v>LULUK SULTHONIYAH</v>
      </c>
      <c r="D884" s="1035" t="str">
        <f t="shared" si="486"/>
        <v>PGMI</v>
      </c>
      <c r="E884" s="1036">
        <f t="shared" si="487"/>
        <v>2018</v>
      </c>
      <c r="F884" s="1035" t="str">
        <f t="shared" si="488"/>
        <v>LULUS</v>
      </c>
      <c r="G884" s="1036">
        <f t="shared" si="489"/>
        <v>849417010</v>
      </c>
      <c r="H884" s="1038">
        <f t="shared" si="490"/>
        <v>0</v>
      </c>
      <c r="I884" s="1038">
        <f t="shared" si="491"/>
        <v>0</v>
      </c>
      <c r="J884" s="1038">
        <f t="shared" si="492"/>
        <v>0</v>
      </c>
      <c r="L884" s="1060">
        <f t="shared" si="497"/>
        <v>0</v>
      </c>
      <c r="M884" s="1060">
        <f t="shared" si="493"/>
        <v>1</v>
      </c>
      <c r="N884" s="1060">
        <f t="shared" si="494"/>
        <v>0</v>
      </c>
      <c r="O884" s="1060">
        <f t="shared" si="495"/>
        <v>0</v>
      </c>
      <c r="P884" s="1060">
        <f t="shared" si="496"/>
        <v>0</v>
      </c>
    </row>
    <row r="885" spans="1:16" x14ac:dyDescent="0.25">
      <c r="A885" s="1034">
        <v>1305</v>
      </c>
      <c r="B885" s="1034">
        <f t="shared" si="498"/>
        <v>11</v>
      </c>
      <c r="C885" s="1034" t="str">
        <f t="shared" si="485"/>
        <v>M SHOLEH HUDDIN</v>
      </c>
      <c r="D885" s="1035" t="str">
        <f t="shared" si="486"/>
        <v>PGMI</v>
      </c>
      <c r="E885" s="1036">
        <f t="shared" si="487"/>
        <v>2017</v>
      </c>
      <c r="F885" s="1035" t="str">
        <f t="shared" si="488"/>
        <v>PASIF</v>
      </c>
      <c r="G885" s="1036">
        <f t="shared" si="489"/>
        <v>849417011</v>
      </c>
      <c r="H885" s="1038">
        <f t="shared" si="490"/>
        <v>0</v>
      </c>
      <c r="I885" s="1038">
        <f t="shared" si="491"/>
        <v>0</v>
      </c>
      <c r="J885" s="1038">
        <f t="shared" si="492"/>
        <v>0</v>
      </c>
      <c r="L885" s="1060">
        <f t="shared" si="497"/>
        <v>0</v>
      </c>
      <c r="M885" s="1060">
        <f t="shared" si="493"/>
        <v>0</v>
      </c>
      <c r="N885" s="1060">
        <f t="shared" si="494"/>
        <v>0</v>
      </c>
      <c r="O885" s="1060">
        <f t="shared" si="495"/>
        <v>0</v>
      </c>
      <c r="P885" s="1060">
        <f t="shared" si="496"/>
        <v>1</v>
      </c>
    </row>
    <row r="886" spans="1:16" x14ac:dyDescent="0.25">
      <c r="A886" s="1034">
        <v>1306</v>
      </c>
      <c r="B886" s="1034">
        <f t="shared" si="498"/>
        <v>12</v>
      </c>
      <c r="C886" s="1034" t="str">
        <f t="shared" si="485"/>
        <v>MOH IRSAD</v>
      </c>
      <c r="D886" s="1035" t="str">
        <f t="shared" si="486"/>
        <v>PGMI</v>
      </c>
      <c r="E886" s="1036">
        <f t="shared" si="487"/>
        <v>2017</v>
      </c>
      <c r="F886" s="1035" t="str">
        <f t="shared" si="488"/>
        <v>DROP OUT</v>
      </c>
      <c r="G886" s="1036">
        <f t="shared" si="489"/>
        <v>849417012</v>
      </c>
      <c r="H886" s="1038">
        <f t="shared" si="490"/>
        <v>0</v>
      </c>
      <c r="I886" s="1038">
        <f t="shared" si="491"/>
        <v>0</v>
      </c>
      <c r="J886" s="1038">
        <f t="shared" si="492"/>
        <v>0</v>
      </c>
      <c r="L886" s="1060">
        <f t="shared" si="497"/>
        <v>0</v>
      </c>
      <c r="M886" s="1060">
        <f t="shared" si="493"/>
        <v>0</v>
      </c>
      <c r="N886" s="1060">
        <f t="shared" si="494"/>
        <v>0</v>
      </c>
      <c r="O886" s="1060">
        <f t="shared" si="495"/>
        <v>1</v>
      </c>
      <c r="P886" s="1060">
        <f t="shared" si="496"/>
        <v>0</v>
      </c>
    </row>
    <row r="887" spans="1:16" x14ac:dyDescent="0.25">
      <c r="A887" s="1034">
        <v>1307</v>
      </c>
      <c r="B887" s="1034">
        <f t="shared" si="498"/>
        <v>13</v>
      </c>
      <c r="C887" s="1034" t="str">
        <f t="shared" si="485"/>
        <v>MUHAMMAD MUSOFFA</v>
      </c>
      <c r="D887" s="1035" t="str">
        <f t="shared" si="486"/>
        <v>PGMI</v>
      </c>
      <c r="E887" s="1036">
        <f t="shared" si="487"/>
        <v>2017</v>
      </c>
      <c r="F887" s="1035" t="str">
        <f t="shared" si="488"/>
        <v>AKTIF</v>
      </c>
      <c r="G887" s="1036">
        <f t="shared" si="489"/>
        <v>849417013</v>
      </c>
      <c r="H887" s="1038">
        <f t="shared" si="490"/>
        <v>3000000</v>
      </c>
      <c r="I887" s="1038">
        <f t="shared" si="491"/>
        <v>3000000</v>
      </c>
      <c r="J887" s="1038">
        <f t="shared" si="492"/>
        <v>6000000</v>
      </c>
      <c r="L887" s="1060">
        <f t="shared" si="497"/>
        <v>1</v>
      </c>
      <c r="M887" s="1060">
        <f t="shared" si="493"/>
        <v>0</v>
      </c>
      <c r="N887" s="1060">
        <f t="shared" si="494"/>
        <v>0</v>
      </c>
      <c r="O887" s="1060">
        <f t="shared" si="495"/>
        <v>0</v>
      </c>
      <c r="P887" s="1060">
        <f t="shared" si="496"/>
        <v>0</v>
      </c>
    </row>
    <row r="888" spans="1:16" x14ac:dyDescent="0.25">
      <c r="A888" s="1034">
        <v>1308</v>
      </c>
      <c r="B888" s="1034">
        <f t="shared" si="498"/>
        <v>14</v>
      </c>
      <c r="C888" s="1034" t="str">
        <f t="shared" si="485"/>
        <v>MUHAMMAD SALIM</v>
      </c>
      <c r="D888" s="1035" t="str">
        <f t="shared" si="486"/>
        <v>PGMI</v>
      </c>
      <c r="E888" s="1036">
        <f t="shared" si="487"/>
        <v>2017</v>
      </c>
      <c r="F888" s="1035" t="str">
        <f t="shared" si="488"/>
        <v>LULUS</v>
      </c>
      <c r="G888" s="1036">
        <f t="shared" si="489"/>
        <v>849417014</v>
      </c>
      <c r="H888" s="1038">
        <f t="shared" si="490"/>
        <v>0</v>
      </c>
      <c r="I888" s="1038">
        <f t="shared" si="491"/>
        <v>0</v>
      </c>
      <c r="J888" s="1038">
        <f t="shared" si="492"/>
        <v>0</v>
      </c>
      <c r="L888" s="1060">
        <f t="shared" si="497"/>
        <v>0</v>
      </c>
      <c r="M888" s="1060">
        <f t="shared" si="493"/>
        <v>1</v>
      </c>
      <c r="N888" s="1060">
        <f t="shared" si="494"/>
        <v>0</v>
      </c>
      <c r="O888" s="1060">
        <f t="shared" si="495"/>
        <v>0</v>
      </c>
      <c r="P888" s="1060">
        <f t="shared" si="496"/>
        <v>0</v>
      </c>
    </row>
    <row r="889" spans="1:16" x14ac:dyDescent="0.25">
      <c r="A889" s="1034">
        <v>1309</v>
      </c>
      <c r="B889" s="1034">
        <f t="shared" si="498"/>
        <v>15</v>
      </c>
      <c r="C889" s="1034" t="str">
        <f t="shared" si="485"/>
        <v>MULTAZEM AJI BUSONO</v>
      </c>
      <c r="D889" s="1035" t="str">
        <f t="shared" si="486"/>
        <v>PGMI</v>
      </c>
      <c r="E889" s="1036">
        <f t="shared" si="487"/>
        <v>2017</v>
      </c>
      <c r="F889" s="1035" t="str">
        <f t="shared" si="488"/>
        <v>LULUS</v>
      </c>
      <c r="G889" s="1036">
        <f t="shared" si="489"/>
        <v>849417015</v>
      </c>
      <c r="H889" s="1038">
        <f t="shared" si="490"/>
        <v>0</v>
      </c>
      <c r="I889" s="1038">
        <f t="shared" si="491"/>
        <v>0</v>
      </c>
      <c r="J889" s="1038">
        <f t="shared" si="492"/>
        <v>0</v>
      </c>
      <c r="L889" s="1060">
        <f t="shared" si="497"/>
        <v>0</v>
      </c>
      <c r="M889" s="1060">
        <f t="shared" si="493"/>
        <v>1</v>
      </c>
      <c r="N889" s="1060">
        <f t="shared" si="494"/>
        <v>0</v>
      </c>
      <c r="O889" s="1060">
        <f t="shared" si="495"/>
        <v>0</v>
      </c>
      <c r="P889" s="1060">
        <f t="shared" si="496"/>
        <v>0</v>
      </c>
    </row>
    <row r="890" spans="1:16" x14ac:dyDescent="0.25">
      <c r="A890" s="1034">
        <v>1310</v>
      </c>
      <c r="B890" s="1034">
        <f t="shared" si="498"/>
        <v>16</v>
      </c>
      <c r="C890" s="1034" t="str">
        <f t="shared" si="485"/>
        <v>NASILAH</v>
      </c>
      <c r="D890" s="1035" t="str">
        <f t="shared" si="486"/>
        <v>PGMI</v>
      </c>
      <c r="E890" s="1036">
        <f t="shared" si="487"/>
        <v>2017</v>
      </c>
      <c r="F890" s="1035" t="str">
        <f t="shared" si="488"/>
        <v>LULUS</v>
      </c>
      <c r="G890" s="1036">
        <f t="shared" si="489"/>
        <v>849417016</v>
      </c>
      <c r="H890" s="1038">
        <f t="shared" si="490"/>
        <v>0</v>
      </c>
      <c r="I890" s="1038">
        <f t="shared" si="491"/>
        <v>0</v>
      </c>
      <c r="J890" s="1038">
        <f t="shared" si="492"/>
        <v>0</v>
      </c>
      <c r="L890" s="1060">
        <f t="shared" si="497"/>
        <v>0</v>
      </c>
      <c r="M890" s="1060">
        <f t="shared" si="493"/>
        <v>1</v>
      </c>
      <c r="N890" s="1060">
        <f t="shared" si="494"/>
        <v>0</v>
      </c>
      <c r="O890" s="1060">
        <f t="shared" si="495"/>
        <v>0</v>
      </c>
      <c r="P890" s="1060">
        <f t="shared" si="496"/>
        <v>0</v>
      </c>
    </row>
    <row r="891" spans="1:16" x14ac:dyDescent="0.25">
      <c r="A891" s="1034">
        <v>1311</v>
      </c>
      <c r="B891" s="1034">
        <f t="shared" si="498"/>
        <v>17</v>
      </c>
      <c r="C891" s="1034" t="str">
        <f t="shared" si="485"/>
        <v>NUR INDAH SARI</v>
      </c>
      <c r="D891" s="1035" t="str">
        <f t="shared" si="486"/>
        <v>PGMI</v>
      </c>
      <c r="E891" s="1036">
        <f t="shared" si="487"/>
        <v>2017</v>
      </c>
      <c r="F891" s="1035" t="str">
        <f t="shared" si="488"/>
        <v>LULUS</v>
      </c>
      <c r="G891" s="1036">
        <f t="shared" si="489"/>
        <v>849417017</v>
      </c>
      <c r="H891" s="1038">
        <f t="shared" si="490"/>
        <v>0</v>
      </c>
      <c r="I891" s="1038">
        <f t="shared" si="491"/>
        <v>0</v>
      </c>
      <c r="J891" s="1038">
        <f t="shared" si="492"/>
        <v>0</v>
      </c>
      <c r="L891" s="1060">
        <f t="shared" si="497"/>
        <v>0</v>
      </c>
      <c r="M891" s="1060">
        <f t="shared" si="493"/>
        <v>1</v>
      </c>
      <c r="N891" s="1060">
        <f t="shared" si="494"/>
        <v>0</v>
      </c>
      <c r="O891" s="1060">
        <f t="shared" si="495"/>
        <v>0</v>
      </c>
      <c r="P891" s="1060">
        <f t="shared" si="496"/>
        <v>0</v>
      </c>
    </row>
    <row r="892" spans="1:16" x14ac:dyDescent="0.25">
      <c r="A892" s="1034">
        <v>1312</v>
      </c>
      <c r="B892" s="1034">
        <f t="shared" si="498"/>
        <v>18</v>
      </c>
      <c r="C892" s="1034" t="str">
        <f t="shared" si="485"/>
        <v>SAMSURI</v>
      </c>
      <c r="D892" s="1035" t="str">
        <f t="shared" si="486"/>
        <v>PGMI</v>
      </c>
      <c r="E892" s="1036">
        <f t="shared" si="487"/>
        <v>2017</v>
      </c>
      <c r="F892" s="1035" t="str">
        <f t="shared" si="488"/>
        <v>LULUS</v>
      </c>
      <c r="G892" s="1036">
        <f t="shared" si="489"/>
        <v>849417018</v>
      </c>
      <c r="H892" s="1038">
        <f t="shared" si="490"/>
        <v>0</v>
      </c>
      <c r="I892" s="1038">
        <f t="shared" si="491"/>
        <v>0</v>
      </c>
      <c r="J892" s="1038">
        <f t="shared" si="492"/>
        <v>0</v>
      </c>
      <c r="L892" s="1060">
        <f t="shared" si="497"/>
        <v>0</v>
      </c>
      <c r="M892" s="1060">
        <f t="shared" si="493"/>
        <v>1</v>
      </c>
      <c r="N892" s="1060">
        <f t="shared" si="494"/>
        <v>0</v>
      </c>
      <c r="O892" s="1060">
        <f t="shared" si="495"/>
        <v>0</v>
      </c>
      <c r="P892" s="1060">
        <f t="shared" si="496"/>
        <v>0</v>
      </c>
    </row>
    <row r="893" spans="1:16" x14ac:dyDescent="0.25">
      <c r="A893" s="1034">
        <v>1313</v>
      </c>
      <c r="B893" s="1034">
        <f t="shared" si="498"/>
        <v>19</v>
      </c>
      <c r="C893" s="1034" t="str">
        <f t="shared" si="485"/>
        <v>SOFI RATIH KUMALA</v>
      </c>
      <c r="D893" s="1035" t="str">
        <f t="shared" si="486"/>
        <v>PGMI</v>
      </c>
      <c r="E893" s="1036">
        <f t="shared" si="487"/>
        <v>2017</v>
      </c>
      <c r="F893" s="1035" t="str">
        <f t="shared" si="488"/>
        <v>AKTIF</v>
      </c>
      <c r="G893" s="1036">
        <f t="shared" si="489"/>
        <v>849417019</v>
      </c>
      <c r="H893" s="1038">
        <f t="shared" si="490"/>
        <v>3000000</v>
      </c>
      <c r="I893" s="1038">
        <f t="shared" si="491"/>
        <v>3000000</v>
      </c>
      <c r="J893" s="1038">
        <f t="shared" si="492"/>
        <v>6000000</v>
      </c>
      <c r="L893" s="1060">
        <f t="shared" si="497"/>
        <v>1</v>
      </c>
      <c r="M893" s="1060">
        <f t="shared" si="493"/>
        <v>0</v>
      </c>
      <c r="N893" s="1060">
        <f t="shared" si="494"/>
        <v>0</v>
      </c>
      <c r="O893" s="1060">
        <f t="shared" si="495"/>
        <v>0</v>
      </c>
      <c r="P893" s="1060">
        <f t="shared" si="496"/>
        <v>0</v>
      </c>
    </row>
    <row r="894" spans="1:16" x14ac:dyDescent="0.25">
      <c r="A894" s="1039"/>
      <c r="B894" s="1039"/>
      <c r="C894" s="1039"/>
      <c r="D894" s="1040"/>
      <c r="E894" s="1041"/>
      <c r="F894" s="1040"/>
      <c r="G894" s="1041"/>
      <c r="H894" s="1042"/>
      <c r="I894" s="1042"/>
      <c r="J894" s="1042"/>
      <c r="L894" s="1042"/>
      <c r="M894" s="1042"/>
      <c r="N894" s="1042"/>
      <c r="O894" s="1042"/>
      <c r="P894" s="1042"/>
    </row>
    <row r="895" spans="1:16" x14ac:dyDescent="0.25">
      <c r="A895" s="1043" t="str">
        <f>'Rekap SPP'!A1419</f>
        <v>S2-PBA 2017/2018</v>
      </c>
      <c r="B895" s="1043"/>
      <c r="C895" s="1043"/>
      <c r="D895" s="1033" t="s">
        <v>3</v>
      </c>
      <c r="E895" s="1032" t="s">
        <v>4</v>
      </c>
      <c r="F895" s="1033" t="s">
        <v>3195</v>
      </c>
      <c r="G895" s="1032" t="s">
        <v>1</v>
      </c>
      <c r="H895" s="1033" t="s">
        <v>3341</v>
      </c>
      <c r="I895" s="1033" t="s">
        <v>3362</v>
      </c>
      <c r="J895" s="1062">
        <f>SUM(J896:J915)</f>
        <v>18000000</v>
      </c>
      <c r="L895" s="1063">
        <f>SUM(L896:L915)</f>
        <v>3</v>
      </c>
      <c r="M895" s="1063">
        <f>SUM(M896:M915)</f>
        <v>9</v>
      </c>
      <c r="N895" s="1063">
        <f>SUM(N896:N915)</f>
        <v>0</v>
      </c>
      <c r="O895" s="1063">
        <f>SUM(O896:O915)</f>
        <v>0</v>
      </c>
      <c r="P895" s="1063">
        <f>SUM(P896:P915)</f>
        <v>8</v>
      </c>
    </row>
    <row r="896" spans="1:16" x14ac:dyDescent="0.25">
      <c r="A896" s="1034">
        <v>1314</v>
      </c>
      <c r="B896" s="1034">
        <f t="shared" si="498"/>
        <v>1</v>
      </c>
      <c r="C896" s="1034" t="str">
        <f t="shared" ref="C896:C915" si="499">IFERROR(VLOOKUP(A896,DB,4,FALSE),"")</f>
        <v>ABDUL BASITH</v>
      </c>
      <c r="D896" s="1035" t="str">
        <f t="shared" ref="D896:D915" si="500">IFERROR(VLOOKUP(A896,DB,5,FALSE),"")</f>
        <v>PBA</v>
      </c>
      <c r="E896" s="1036">
        <f t="shared" ref="E896:E915" si="501">IFERROR(VLOOKUP(A896,DB,6,FALSE),"")</f>
        <v>2017</v>
      </c>
      <c r="F896" s="1035" t="str">
        <f t="shared" ref="F896:F915" si="502">IFERROR(VLOOKUP(A896,DB,7,FALSE),"")</f>
        <v>LULUS</v>
      </c>
      <c r="G896" s="1036">
        <f t="shared" ref="G896:G915" si="503">IFERROR(VLOOKUP(A896,DB,3,FALSE),"")</f>
        <v>849217001</v>
      </c>
      <c r="H896" s="1038">
        <f t="shared" ref="H896:H915" si="504">IF(F896="AKTIF",3000000,IF(F896="CUTI",3000000,0))</f>
        <v>0</v>
      </c>
      <c r="I896" s="1038">
        <f t="shared" ref="I896:I915" si="505">IF(F896="AKTIF",3000000,IF(F896="CUTI",3000000,0))</f>
        <v>0</v>
      </c>
      <c r="J896" s="1038">
        <f t="shared" ref="J896:J915" si="506">I896+H896</f>
        <v>0</v>
      </c>
      <c r="L896" s="1060">
        <f t="shared" si="497"/>
        <v>0</v>
      </c>
      <c r="M896" s="1060">
        <f t="shared" ref="M896:M915" si="507">IF(F896="LULUS",1,0)</f>
        <v>1</v>
      </c>
      <c r="N896" s="1060">
        <f t="shared" ref="N896:N915" si="508">IF(F896="CUTI",1,0)</f>
        <v>0</v>
      </c>
      <c r="O896" s="1060">
        <f t="shared" ref="O896:O915" si="509">IF(F896="DROP OUT",1,0)</f>
        <v>0</v>
      </c>
      <c r="P896" s="1060">
        <f t="shared" ref="P896:P915" si="510">IF(F896="PASIF",1,0)</f>
        <v>0</v>
      </c>
    </row>
    <row r="897" spans="1:16" x14ac:dyDescent="0.25">
      <c r="A897" s="1034">
        <v>1315</v>
      </c>
      <c r="B897" s="1034">
        <f t="shared" si="498"/>
        <v>2</v>
      </c>
      <c r="C897" s="1034" t="str">
        <f t="shared" si="499"/>
        <v>AGUSTRI RAY MURTI HIDAYAH SHALEH</v>
      </c>
      <c r="D897" s="1035" t="str">
        <f t="shared" si="500"/>
        <v>PBA</v>
      </c>
      <c r="E897" s="1036">
        <f t="shared" si="501"/>
        <v>2017</v>
      </c>
      <c r="F897" s="1035" t="str">
        <f t="shared" si="502"/>
        <v>AKTIF</v>
      </c>
      <c r="G897" s="1036">
        <f t="shared" si="503"/>
        <v>849217002</v>
      </c>
      <c r="H897" s="1038">
        <f t="shared" si="504"/>
        <v>3000000</v>
      </c>
      <c r="I897" s="1038">
        <f t="shared" si="505"/>
        <v>3000000</v>
      </c>
      <c r="J897" s="1038">
        <f t="shared" si="506"/>
        <v>6000000</v>
      </c>
      <c r="L897" s="1060">
        <f t="shared" si="497"/>
        <v>1</v>
      </c>
      <c r="M897" s="1060">
        <f t="shared" si="507"/>
        <v>0</v>
      </c>
      <c r="N897" s="1060">
        <f t="shared" si="508"/>
        <v>0</v>
      </c>
      <c r="O897" s="1060">
        <f t="shared" si="509"/>
        <v>0</v>
      </c>
      <c r="P897" s="1060">
        <f t="shared" si="510"/>
        <v>0</v>
      </c>
    </row>
    <row r="898" spans="1:16" x14ac:dyDescent="0.25">
      <c r="A898" s="1034">
        <v>1316</v>
      </c>
      <c r="B898" s="1034">
        <f t="shared" si="498"/>
        <v>3</v>
      </c>
      <c r="C898" s="1034" t="str">
        <f t="shared" si="499"/>
        <v>AHYAT HABIBI</v>
      </c>
      <c r="D898" s="1035" t="str">
        <f t="shared" si="500"/>
        <v>PBA</v>
      </c>
      <c r="E898" s="1036">
        <f t="shared" si="501"/>
        <v>2017</v>
      </c>
      <c r="F898" s="1035" t="str">
        <f t="shared" si="502"/>
        <v>LULUS</v>
      </c>
      <c r="G898" s="1036">
        <f t="shared" si="503"/>
        <v>849217003</v>
      </c>
      <c r="H898" s="1038">
        <f t="shared" si="504"/>
        <v>0</v>
      </c>
      <c r="I898" s="1038">
        <f t="shared" si="505"/>
        <v>0</v>
      </c>
      <c r="J898" s="1038">
        <f t="shared" si="506"/>
        <v>0</v>
      </c>
      <c r="L898" s="1060">
        <f t="shared" si="497"/>
        <v>0</v>
      </c>
      <c r="M898" s="1060">
        <f t="shared" si="507"/>
        <v>1</v>
      </c>
      <c r="N898" s="1060">
        <f t="shared" si="508"/>
        <v>0</v>
      </c>
      <c r="O898" s="1060">
        <f t="shared" si="509"/>
        <v>0</v>
      </c>
      <c r="P898" s="1060">
        <f t="shared" si="510"/>
        <v>0</v>
      </c>
    </row>
    <row r="899" spans="1:16" x14ac:dyDescent="0.25">
      <c r="A899" s="1034">
        <v>1317</v>
      </c>
      <c r="B899" s="1034">
        <f t="shared" si="498"/>
        <v>4</v>
      </c>
      <c r="C899" s="1034" t="str">
        <f t="shared" si="499"/>
        <v>ALI ROSYADI</v>
      </c>
      <c r="D899" s="1035" t="str">
        <f t="shared" si="500"/>
        <v>PBA</v>
      </c>
      <c r="E899" s="1036">
        <f t="shared" si="501"/>
        <v>2017</v>
      </c>
      <c r="F899" s="1035" t="str">
        <f t="shared" si="502"/>
        <v>PASIF</v>
      </c>
      <c r="G899" s="1036">
        <f t="shared" si="503"/>
        <v>849217004</v>
      </c>
      <c r="H899" s="1038">
        <f t="shared" si="504"/>
        <v>0</v>
      </c>
      <c r="I899" s="1038">
        <f t="shared" si="505"/>
        <v>0</v>
      </c>
      <c r="J899" s="1038">
        <f t="shared" si="506"/>
        <v>0</v>
      </c>
      <c r="L899" s="1060">
        <f t="shared" si="497"/>
        <v>0</v>
      </c>
      <c r="M899" s="1060">
        <f t="shared" si="507"/>
        <v>0</v>
      </c>
      <c r="N899" s="1060">
        <f t="shared" si="508"/>
        <v>0</v>
      </c>
      <c r="O899" s="1060">
        <f t="shared" si="509"/>
        <v>0</v>
      </c>
      <c r="P899" s="1060">
        <f t="shared" si="510"/>
        <v>1</v>
      </c>
    </row>
    <row r="900" spans="1:16" x14ac:dyDescent="0.25">
      <c r="A900" s="1034">
        <v>1318</v>
      </c>
      <c r="B900" s="1034">
        <f t="shared" si="498"/>
        <v>5</v>
      </c>
      <c r="C900" s="1034" t="str">
        <f t="shared" si="499"/>
        <v>ANSORI</v>
      </c>
      <c r="D900" s="1035" t="str">
        <f t="shared" si="500"/>
        <v>PBA</v>
      </c>
      <c r="E900" s="1036">
        <f t="shared" si="501"/>
        <v>2017</v>
      </c>
      <c r="F900" s="1035" t="str">
        <f t="shared" si="502"/>
        <v>LULUS</v>
      </c>
      <c r="G900" s="1036">
        <f t="shared" si="503"/>
        <v>849217005</v>
      </c>
      <c r="H900" s="1038">
        <f t="shared" si="504"/>
        <v>0</v>
      </c>
      <c r="I900" s="1038">
        <f t="shared" si="505"/>
        <v>0</v>
      </c>
      <c r="J900" s="1038">
        <f t="shared" si="506"/>
        <v>0</v>
      </c>
      <c r="L900" s="1060">
        <f t="shared" si="497"/>
        <v>0</v>
      </c>
      <c r="M900" s="1060">
        <f t="shared" si="507"/>
        <v>1</v>
      </c>
      <c r="N900" s="1060">
        <f t="shared" si="508"/>
        <v>0</v>
      </c>
      <c r="O900" s="1060">
        <f t="shared" si="509"/>
        <v>0</v>
      </c>
      <c r="P900" s="1060">
        <f t="shared" si="510"/>
        <v>0</v>
      </c>
    </row>
    <row r="901" spans="1:16" x14ac:dyDescent="0.25">
      <c r="A901" s="1034">
        <v>1319</v>
      </c>
      <c r="B901" s="1034">
        <f t="shared" si="498"/>
        <v>6</v>
      </c>
      <c r="C901" s="1034" t="str">
        <f t="shared" si="499"/>
        <v>AULIYAH HASANAH</v>
      </c>
      <c r="D901" s="1035" t="str">
        <f t="shared" si="500"/>
        <v>PBA</v>
      </c>
      <c r="E901" s="1036">
        <f t="shared" si="501"/>
        <v>2017</v>
      </c>
      <c r="F901" s="1035" t="str">
        <f t="shared" si="502"/>
        <v>PASIF</v>
      </c>
      <c r="G901" s="1036">
        <f t="shared" si="503"/>
        <v>849217006</v>
      </c>
      <c r="H901" s="1038">
        <f t="shared" si="504"/>
        <v>0</v>
      </c>
      <c r="I901" s="1038">
        <f t="shared" si="505"/>
        <v>0</v>
      </c>
      <c r="J901" s="1038">
        <f t="shared" si="506"/>
        <v>0</v>
      </c>
      <c r="L901" s="1060">
        <f t="shared" si="497"/>
        <v>0</v>
      </c>
      <c r="M901" s="1060">
        <f t="shared" si="507"/>
        <v>0</v>
      </c>
      <c r="N901" s="1060">
        <f t="shared" si="508"/>
        <v>0</v>
      </c>
      <c r="O901" s="1060">
        <f t="shared" si="509"/>
        <v>0</v>
      </c>
      <c r="P901" s="1060">
        <f t="shared" si="510"/>
        <v>1</v>
      </c>
    </row>
    <row r="902" spans="1:16" x14ac:dyDescent="0.25">
      <c r="A902" s="1034">
        <v>1320</v>
      </c>
      <c r="B902" s="1034">
        <f t="shared" si="498"/>
        <v>7</v>
      </c>
      <c r="C902" s="1034" t="str">
        <f t="shared" si="499"/>
        <v>FEBRIAN FIRMANTO</v>
      </c>
      <c r="D902" s="1035" t="str">
        <f t="shared" si="500"/>
        <v>PBA</v>
      </c>
      <c r="E902" s="1036">
        <f t="shared" si="501"/>
        <v>2017</v>
      </c>
      <c r="F902" s="1035" t="str">
        <f t="shared" si="502"/>
        <v>PASIF</v>
      </c>
      <c r="G902" s="1036">
        <f t="shared" si="503"/>
        <v>849217007</v>
      </c>
      <c r="H902" s="1038">
        <f t="shared" si="504"/>
        <v>0</v>
      </c>
      <c r="I902" s="1038">
        <f t="shared" si="505"/>
        <v>0</v>
      </c>
      <c r="J902" s="1038">
        <f t="shared" si="506"/>
        <v>0</v>
      </c>
      <c r="L902" s="1060">
        <f t="shared" si="497"/>
        <v>0</v>
      </c>
      <c r="M902" s="1060">
        <f t="shared" si="507"/>
        <v>0</v>
      </c>
      <c r="N902" s="1060">
        <f t="shared" si="508"/>
        <v>0</v>
      </c>
      <c r="O902" s="1060">
        <f t="shared" si="509"/>
        <v>0</v>
      </c>
      <c r="P902" s="1060">
        <f t="shared" si="510"/>
        <v>1</v>
      </c>
    </row>
    <row r="903" spans="1:16" x14ac:dyDescent="0.25">
      <c r="A903" s="1034">
        <v>1321</v>
      </c>
      <c r="B903" s="1034">
        <f t="shared" si="498"/>
        <v>8</v>
      </c>
      <c r="C903" s="1034" t="str">
        <f t="shared" si="499"/>
        <v>KHUROTUL AINI</v>
      </c>
      <c r="D903" s="1035" t="str">
        <f t="shared" si="500"/>
        <v>PBA</v>
      </c>
      <c r="E903" s="1036">
        <f t="shared" si="501"/>
        <v>2017</v>
      </c>
      <c r="F903" s="1035" t="str">
        <f t="shared" si="502"/>
        <v>LULUS</v>
      </c>
      <c r="G903" s="1036">
        <f t="shared" si="503"/>
        <v>849217008</v>
      </c>
      <c r="H903" s="1038">
        <f t="shared" si="504"/>
        <v>0</v>
      </c>
      <c r="I903" s="1038">
        <f t="shared" si="505"/>
        <v>0</v>
      </c>
      <c r="J903" s="1038">
        <f t="shared" si="506"/>
        <v>0</v>
      </c>
      <c r="L903" s="1060">
        <f t="shared" si="497"/>
        <v>0</v>
      </c>
      <c r="M903" s="1060">
        <f t="shared" si="507"/>
        <v>1</v>
      </c>
      <c r="N903" s="1060">
        <f t="shared" si="508"/>
        <v>0</v>
      </c>
      <c r="O903" s="1060">
        <f t="shared" si="509"/>
        <v>0</v>
      </c>
      <c r="P903" s="1060">
        <f t="shared" si="510"/>
        <v>0</v>
      </c>
    </row>
    <row r="904" spans="1:16" x14ac:dyDescent="0.25">
      <c r="A904" s="1034">
        <v>1322</v>
      </c>
      <c r="B904" s="1034">
        <f t="shared" si="498"/>
        <v>9</v>
      </c>
      <c r="C904" s="1034" t="str">
        <f t="shared" si="499"/>
        <v>LUKMAN SYAH</v>
      </c>
      <c r="D904" s="1035" t="str">
        <f t="shared" si="500"/>
        <v>PBA</v>
      </c>
      <c r="E904" s="1036">
        <f t="shared" si="501"/>
        <v>2017</v>
      </c>
      <c r="F904" s="1035" t="str">
        <f t="shared" si="502"/>
        <v>PASIF</v>
      </c>
      <c r="G904" s="1036">
        <f t="shared" si="503"/>
        <v>849217009</v>
      </c>
      <c r="H904" s="1038">
        <f t="shared" si="504"/>
        <v>0</v>
      </c>
      <c r="I904" s="1038">
        <f t="shared" si="505"/>
        <v>0</v>
      </c>
      <c r="J904" s="1038">
        <f t="shared" si="506"/>
        <v>0</v>
      </c>
      <c r="L904" s="1060">
        <f t="shared" si="497"/>
        <v>0</v>
      </c>
      <c r="M904" s="1060">
        <f t="shared" si="507"/>
        <v>0</v>
      </c>
      <c r="N904" s="1060">
        <f t="shared" si="508"/>
        <v>0</v>
      </c>
      <c r="O904" s="1060">
        <f t="shared" si="509"/>
        <v>0</v>
      </c>
      <c r="P904" s="1060">
        <f t="shared" si="510"/>
        <v>1</v>
      </c>
    </row>
    <row r="905" spans="1:16" x14ac:dyDescent="0.25">
      <c r="A905" s="1034">
        <v>1323</v>
      </c>
      <c r="B905" s="1034">
        <f t="shared" si="498"/>
        <v>10</v>
      </c>
      <c r="C905" s="1034" t="str">
        <f t="shared" si="499"/>
        <v>M. FAHRUR ROJI</v>
      </c>
      <c r="D905" s="1035" t="str">
        <f t="shared" si="500"/>
        <v>PBA</v>
      </c>
      <c r="E905" s="1036">
        <f t="shared" si="501"/>
        <v>2017</v>
      </c>
      <c r="F905" s="1035" t="str">
        <f t="shared" si="502"/>
        <v>LULUS</v>
      </c>
      <c r="G905" s="1036">
        <f t="shared" si="503"/>
        <v>849217010</v>
      </c>
      <c r="H905" s="1038">
        <f t="shared" si="504"/>
        <v>0</v>
      </c>
      <c r="I905" s="1038">
        <f t="shared" si="505"/>
        <v>0</v>
      </c>
      <c r="J905" s="1038">
        <f t="shared" si="506"/>
        <v>0</v>
      </c>
      <c r="L905" s="1060">
        <f t="shared" si="497"/>
        <v>0</v>
      </c>
      <c r="M905" s="1060">
        <f t="shared" si="507"/>
        <v>1</v>
      </c>
      <c r="N905" s="1060">
        <f t="shared" si="508"/>
        <v>0</v>
      </c>
      <c r="O905" s="1060">
        <f t="shared" si="509"/>
        <v>0</v>
      </c>
      <c r="P905" s="1060">
        <f t="shared" si="510"/>
        <v>0</v>
      </c>
    </row>
    <row r="906" spans="1:16" x14ac:dyDescent="0.25">
      <c r="A906" s="1034">
        <v>1324</v>
      </c>
      <c r="B906" s="1034">
        <f t="shared" si="498"/>
        <v>11</v>
      </c>
      <c r="C906" s="1034" t="str">
        <f t="shared" si="499"/>
        <v>MINANUR ROHMAN</v>
      </c>
      <c r="D906" s="1035" t="str">
        <f t="shared" si="500"/>
        <v>PBA</v>
      </c>
      <c r="E906" s="1036">
        <f t="shared" si="501"/>
        <v>2017</v>
      </c>
      <c r="F906" s="1035" t="str">
        <f t="shared" si="502"/>
        <v>PASIF</v>
      </c>
      <c r="G906" s="1036">
        <f t="shared" si="503"/>
        <v>849217011</v>
      </c>
      <c r="H906" s="1038">
        <f t="shared" si="504"/>
        <v>0</v>
      </c>
      <c r="I906" s="1038">
        <f t="shared" si="505"/>
        <v>0</v>
      </c>
      <c r="J906" s="1038">
        <f t="shared" si="506"/>
        <v>0</v>
      </c>
      <c r="L906" s="1060">
        <f t="shared" si="497"/>
        <v>0</v>
      </c>
      <c r="M906" s="1060">
        <f t="shared" si="507"/>
        <v>0</v>
      </c>
      <c r="N906" s="1060">
        <f t="shared" si="508"/>
        <v>0</v>
      </c>
      <c r="O906" s="1060">
        <f t="shared" si="509"/>
        <v>0</v>
      </c>
      <c r="P906" s="1060">
        <f t="shared" si="510"/>
        <v>1</v>
      </c>
    </row>
    <row r="907" spans="1:16" x14ac:dyDescent="0.25">
      <c r="A907" s="1034">
        <v>1325</v>
      </c>
      <c r="B907" s="1034">
        <f t="shared" si="498"/>
        <v>12</v>
      </c>
      <c r="C907" s="1034" t="str">
        <f t="shared" si="499"/>
        <v>MOHAMMAD DLOIFULLAH</v>
      </c>
      <c r="D907" s="1035" t="str">
        <f t="shared" si="500"/>
        <v>PBA</v>
      </c>
      <c r="E907" s="1036">
        <f t="shared" si="501"/>
        <v>2017</v>
      </c>
      <c r="F907" s="1035" t="str">
        <f t="shared" si="502"/>
        <v>PASIF</v>
      </c>
      <c r="G907" s="1036">
        <f t="shared" si="503"/>
        <v>849217012</v>
      </c>
      <c r="H907" s="1038">
        <f t="shared" si="504"/>
        <v>0</v>
      </c>
      <c r="I907" s="1038">
        <f t="shared" si="505"/>
        <v>0</v>
      </c>
      <c r="J907" s="1038">
        <f t="shared" si="506"/>
        <v>0</v>
      </c>
      <c r="L907" s="1060">
        <f t="shared" si="497"/>
        <v>0</v>
      </c>
      <c r="M907" s="1060">
        <f t="shared" si="507"/>
        <v>0</v>
      </c>
      <c r="N907" s="1060">
        <f t="shared" si="508"/>
        <v>0</v>
      </c>
      <c r="O907" s="1060">
        <f t="shared" si="509"/>
        <v>0</v>
      </c>
      <c r="P907" s="1060">
        <f t="shared" si="510"/>
        <v>1</v>
      </c>
    </row>
    <row r="908" spans="1:16" x14ac:dyDescent="0.25">
      <c r="A908" s="1034">
        <v>1326</v>
      </c>
      <c r="B908" s="1034">
        <f t="shared" si="498"/>
        <v>13</v>
      </c>
      <c r="C908" s="1034" t="str">
        <f t="shared" si="499"/>
        <v>MUHAMMAD ZAINUDDIN</v>
      </c>
      <c r="D908" s="1035" t="str">
        <f t="shared" si="500"/>
        <v>PBA</v>
      </c>
      <c r="E908" s="1036">
        <f t="shared" si="501"/>
        <v>2018</v>
      </c>
      <c r="F908" s="1035" t="str">
        <f t="shared" si="502"/>
        <v>PASIF</v>
      </c>
      <c r="G908" s="1036">
        <f t="shared" si="503"/>
        <v>849217013</v>
      </c>
      <c r="H908" s="1038">
        <f t="shared" si="504"/>
        <v>0</v>
      </c>
      <c r="I908" s="1038">
        <f t="shared" si="505"/>
        <v>0</v>
      </c>
      <c r="J908" s="1038">
        <f t="shared" si="506"/>
        <v>0</v>
      </c>
      <c r="L908" s="1060">
        <f t="shared" si="497"/>
        <v>0</v>
      </c>
      <c r="M908" s="1060">
        <f t="shared" si="507"/>
        <v>0</v>
      </c>
      <c r="N908" s="1060">
        <f t="shared" si="508"/>
        <v>0</v>
      </c>
      <c r="O908" s="1060">
        <f t="shared" si="509"/>
        <v>0</v>
      </c>
      <c r="P908" s="1060">
        <f t="shared" si="510"/>
        <v>1</v>
      </c>
    </row>
    <row r="909" spans="1:16" x14ac:dyDescent="0.25">
      <c r="A909" s="1034">
        <v>1327</v>
      </c>
      <c r="B909" s="1034">
        <f t="shared" si="498"/>
        <v>14</v>
      </c>
      <c r="C909" s="1034" t="str">
        <f t="shared" si="499"/>
        <v>MUHYIDIN</v>
      </c>
      <c r="D909" s="1035" t="str">
        <f t="shared" si="500"/>
        <v>PBA</v>
      </c>
      <c r="E909" s="1036">
        <f t="shared" si="501"/>
        <v>2017</v>
      </c>
      <c r="F909" s="1035" t="str">
        <f t="shared" si="502"/>
        <v>LULUS</v>
      </c>
      <c r="G909" s="1036">
        <f t="shared" si="503"/>
        <v>849217014</v>
      </c>
      <c r="H909" s="1038">
        <f t="shared" si="504"/>
        <v>0</v>
      </c>
      <c r="I909" s="1038">
        <f t="shared" si="505"/>
        <v>0</v>
      </c>
      <c r="J909" s="1038">
        <f t="shared" si="506"/>
        <v>0</v>
      </c>
      <c r="L909" s="1060">
        <f t="shared" si="497"/>
        <v>0</v>
      </c>
      <c r="M909" s="1060">
        <f t="shared" si="507"/>
        <v>1</v>
      </c>
      <c r="N909" s="1060">
        <f t="shared" si="508"/>
        <v>0</v>
      </c>
      <c r="O909" s="1060">
        <f t="shared" si="509"/>
        <v>0</v>
      </c>
      <c r="P909" s="1060">
        <f t="shared" si="510"/>
        <v>0</v>
      </c>
    </row>
    <row r="910" spans="1:16" x14ac:dyDescent="0.25">
      <c r="A910" s="1034">
        <v>1328</v>
      </c>
      <c r="B910" s="1034">
        <f t="shared" si="498"/>
        <v>15</v>
      </c>
      <c r="C910" s="1034" t="str">
        <f t="shared" si="499"/>
        <v>NOOR ZINATUL H</v>
      </c>
      <c r="D910" s="1035" t="str">
        <f t="shared" si="500"/>
        <v>PBA</v>
      </c>
      <c r="E910" s="1036">
        <f t="shared" si="501"/>
        <v>2017</v>
      </c>
      <c r="F910" s="1035" t="str">
        <f t="shared" si="502"/>
        <v>PASIF</v>
      </c>
      <c r="G910" s="1036">
        <f t="shared" si="503"/>
        <v>849217015</v>
      </c>
      <c r="H910" s="1038">
        <f t="shared" si="504"/>
        <v>0</v>
      </c>
      <c r="I910" s="1038">
        <f t="shared" si="505"/>
        <v>0</v>
      </c>
      <c r="J910" s="1038">
        <f t="shared" si="506"/>
        <v>0</v>
      </c>
      <c r="L910" s="1060">
        <f t="shared" si="497"/>
        <v>0</v>
      </c>
      <c r="M910" s="1060">
        <f t="shared" si="507"/>
        <v>0</v>
      </c>
      <c r="N910" s="1060">
        <f t="shared" si="508"/>
        <v>0</v>
      </c>
      <c r="O910" s="1060">
        <f t="shared" si="509"/>
        <v>0</v>
      </c>
      <c r="P910" s="1060">
        <f t="shared" si="510"/>
        <v>1</v>
      </c>
    </row>
    <row r="911" spans="1:16" x14ac:dyDescent="0.25">
      <c r="A911" s="1034">
        <v>1329</v>
      </c>
      <c r="B911" s="1034">
        <f t="shared" si="498"/>
        <v>16</v>
      </c>
      <c r="C911" s="1034" t="str">
        <f t="shared" si="499"/>
        <v>NURFAIZA</v>
      </c>
      <c r="D911" s="1035" t="str">
        <f t="shared" si="500"/>
        <v>PBA</v>
      </c>
      <c r="E911" s="1036">
        <f t="shared" si="501"/>
        <v>2017</v>
      </c>
      <c r="F911" s="1035" t="str">
        <f t="shared" si="502"/>
        <v>AKTIF</v>
      </c>
      <c r="G911" s="1036">
        <f t="shared" si="503"/>
        <v>849217016</v>
      </c>
      <c r="H911" s="1038">
        <f t="shared" si="504"/>
        <v>3000000</v>
      </c>
      <c r="I911" s="1038">
        <f t="shared" si="505"/>
        <v>3000000</v>
      </c>
      <c r="J911" s="1038">
        <f t="shared" si="506"/>
        <v>6000000</v>
      </c>
      <c r="L911" s="1060">
        <f t="shared" si="497"/>
        <v>1</v>
      </c>
      <c r="M911" s="1060">
        <f t="shared" si="507"/>
        <v>0</v>
      </c>
      <c r="N911" s="1060">
        <f t="shared" si="508"/>
        <v>0</v>
      </c>
      <c r="O911" s="1060">
        <f t="shared" si="509"/>
        <v>0</v>
      </c>
      <c r="P911" s="1060">
        <f t="shared" si="510"/>
        <v>0</v>
      </c>
    </row>
    <row r="912" spans="1:16" x14ac:dyDescent="0.25">
      <c r="A912" s="1034">
        <v>1330</v>
      </c>
      <c r="B912" s="1034">
        <f t="shared" si="498"/>
        <v>17</v>
      </c>
      <c r="C912" s="1034" t="str">
        <f t="shared" si="499"/>
        <v>NUR IMAMATUN NISA</v>
      </c>
      <c r="D912" s="1035" t="str">
        <f t="shared" si="500"/>
        <v>PBA</v>
      </c>
      <c r="E912" s="1036">
        <f t="shared" si="501"/>
        <v>2017</v>
      </c>
      <c r="F912" s="1035" t="str">
        <f t="shared" si="502"/>
        <v>LULUS</v>
      </c>
      <c r="G912" s="1036">
        <f t="shared" si="503"/>
        <v>849217017</v>
      </c>
      <c r="H912" s="1038">
        <f t="shared" si="504"/>
        <v>0</v>
      </c>
      <c r="I912" s="1038">
        <f t="shared" si="505"/>
        <v>0</v>
      </c>
      <c r="J912" s="1038">
        <f t="shared" si="506"/>
        <v>0</v>
      </c>
      <c r="L912" s="1060">
        <f t="shared" si="497"/>
        <v>0</v>
      </c>
      <c r="M912" s="1060">
        <f t="shared" si="507"/>
        <v>1</v>
      </c>
      <c r="N912" s="1060">
        <f t="shared" si="508"/>
        <v>0</v>
      </c>
      <c r="O912" s="1060">
        <f t="shared" si="509"/>
        <v>0</v>
      </c>
      <c r="P912" s="1060">
        <f t="shared" si="510"/>
        <v>0</v>
      </c>
    </row>
    <row r="913" spans="1:16" x14ac:dyDescent="0.25">
      <c r="A913" s="1034">
        <v>1331</v>
      </c>
      <c r="B913" s="1034">
        <f t="shared" si="498"/>
        <v>18</v>
      </c>
      <c r="C913" s="1034" t="str">
        <f t="shared" si="499"/>
        <v>NURI FIRDAUSIAH</v>
      </c>
      <c r="D913" s="1035" t="str">
        <f t="shared" si="500"/>
        <v>PBA</v>
      </c>
      <c r="E913" s="1036">
        <f t="shared" si="501"/>
        <v>2017</v>
      </c>
      <c r="F913" s="1035" t="str">
        <f t="shared" si="502"/>
        <v>AKTIF</v>
      </c>
      <c r="G913" s="1036">
        <f t="shared" si="503"/>
        <v>849217018</v>
      </c>
      <c r="H913" s="1038">
        <f t="shared" si="504"/>
        <v>3000000</v>
      </c>
      <c r="I913" s="1038">
        <f t="shared" si="505"/>
        <v>3000000</v>
      </c>
      <c r="J913" s="1038">
        <f t="shared" si="506"/>
        <v>6000000</v>
      </c>
      <c r="L913" s="1060">
        <f t="shared" si="497"/>
        <v>1</v>
      </c>
      <c r="M913" s="1060">
        <f t="shared" si="507"/>
        <v>0</v>
      </c>
      <c r="N913" s="1060">
        <f t="shared" si="508"/>
        <v>0</v>
      </c>
      <c r="O913" s="1060">
        <f t="shared" si="509"/>
        <v>0</v>
      </c>
      <c r="P913" s="1060">
        <f t="shared" si="510"/>
        <v>0</v>
      </c>
    </row>
    <row r="914" spans="1:16" x14ac:dyDescent="0.25">
      <c r="A914" s="1034">
        <v>1332</v>
      </c>
      <c r="B914" s="1034">
        <f t="shared" si="498"/>
        <v>19</v>
      </c>
      <c r="C914" s="1034" t="str">
        <f t="shared" si="499"/>
        <v>RUSYAIFAH</v>
      </c>
      <c r="D914" s="1035" t="str">
        <f t="shared" si="500"/>
        <v>PBA</v>
      </c>
      <c r="E914" s="1036">
        <f t="shared" si="501"/>
        <v>2017</v>
      </c>
      <c r="F914" s="1035" t="str">
        <f t="shared" si="502"/>
        <v>LULUS</v>
      </c>
      <c r="G914" s="1036">
        <f t="shared" si="503"/>
        <v>849217019</v>
      </c>
      <c r="H914" s="1038">
        <f t="shared" si="504"/>
        <v>0</v>
      </c>
      <c r="I914" s="1038">
        <f t="shared" si="505"/>
        <v>0</v>
      </c>
      <c r="J914" s="1038">
        <f t="shared" si="506"/>
        <v>0</v>
      </c>
      <c r="L914" s="1060">
        <f t="shared" si="497"/>
        <v>0</v>
      </c>
      <c r="M914" s="1060">
        <f t="shared" si="507"/>
        <v>1</v>
      </c>
      <c r="N914" s="1060">
        <f t="shared" si="508"/>
        <v>0</v>
      </c>
      <c r="O914" s="1060">
        <f t="shared" si="509"/>
        <v>0</v>
      </c>
      <c r="P914" s="1060">
        <f t="shared" si="510"/>
        <v>0</v>
      </c>
    </row>
    <row r="915" spans="1:16" x14ac:dyDescent="0.25">
      <c r="A915" s="1034">
        <v>1333</v>
      </c>
      <c r="B915" s="1034">
        <f t="shared" si="498"/>
        <v>20</v>
      </c>
      <c r="C915" s="1034" t="str">
        <f t="shared" si="499"/>
        <v>SYAFIUDIN</v>
      </c>
      <c r="D915" s="1035" t="str">
        <f t="shared" si="500"/>
        <v>PBA</v>
      </c>
      <c r="E915" s="1036">
        <f t="shared" si="501"/>
        <v>2017</v>
      </c>
      <c r="F915" s="1035" t="str">
        <f t="shared" si="502"/>
        <v>LULUS</v>
      </c>
      <c r="G915" s="1036">
        <f t="shared" si="503"/>
        <v>849217020</v>
      </c>
      <c r="H915" s="1038">
        <f t="shared" si="504"/>
        <v>0</v>
      </c>
      <c r="I915" s="1038">
        <f t="shared" si="505"/>
        <v>0</v>
      </c>
      <c r="J915" s="1038">
        <f t="shared" si="506"/>
        <v>0</v>
      </c>
      <c r="L915" s="1060">
        <f t="shared" si="497"/>
        <v>0</v>
      </c>
      <c r="M915" s="1060">
        <f t="shared" si="507"/>
        <v>1</v>
      </c>
      <c r="N915" s="1060">
        <f t="shared" si="508"/>
        <v>0</v>
      </c>
      <c r="O915" s="1060">
        <f t="shared" si="509"/>
        <v>0</v>
      </c>
      <c r="P915" s="1060">
        <f t="shared" si="510"/>
        <v>0</v>
      </c>
    </row>
    <row r="916" spans="1:16" x14ac:dyDescent="0.25">
      <c r="A916" s="1039"/>
      <c r="B916" s="1039"/>
      <c r="C916" s="1039"/>
      <c r="D916" s="1040"/>
      <c r="E916" s="1041"/>
      <c r="F916" s="1040"/>
      <c r="G916" s="1041"/>
      <c r="H916" s="1042"/>
      <c r="I916" s="1042"/>
      <c r="J916" s="1042"/>
      <c r="L916" s="1042"/>
      <c r="M916" s="1042"/>
      <c r="N916" s="1042"/>
      <c r="O916" s="1042"/>
      <c r="P916" s="1042"/>
    </row>
    <row r="917" spans="1:16" x14ac:dyDescent="0.25">
      <c r="A917" s="1043" t="str">
        <f>'Rekap SPP'!A1441</f>
        <v>S2-HK 2017/2018</v>
      </c>
      <c r="B917" s="1043"/>
      <c r="C917" s="1043"/>
      <c r="D917" s="1033" t="s">
        <v>3</v>
      </c>
      <c r="E917" s="1032" t="s">
        <v>4</v>
      </c>
      <c r="F917" s="1033" t="s">
        <v>3195</v>
      </c>
      <c r="G917" s="1032" t="s">
        <v>1</v>
      </c>
      <c r="H917" s="1033" t="s">
        <v>3341</v>
      </c>
      <c r="I917" s="1033" t="s">
        <v>3362</v>
      </c>
      <c r="J917" s="1062">
        <f>SUM(J918:J931)</f>
        <v>18000000</v>
      </c>
      <c r="L917" s="1063">
        <f>SUM(L918:L931)</f>
        <v>3</v>
      </c>
      <c r="M917" s="1063">
        <f>SUM(M918:M931)</f>
        <v>8</v>
      </c>
      <c r="N917" s="1063">
        <f>SUM(N918:N931)</f>
        <v>0</v>
      </c>
      <c r="O917" s="1063">
        <f>SUM(O918:O931)</f>
        <v>0</v>
      </c>
      <c r="P917" s="1063">
        <f>SUM(P918:P931)</f>
        <v>3</v>
      </c>
    </row>
    <row r="918" spans="1:16" x14ac:dyDescent="0.25">
      <c r="A918" s="1034">
        <v>1334</v>
      </c>
      <c r="B918" s="1034">
        <f t="shared" si="498"/>
        <v>1</v>
      </c>
      <c r="C918" s="1034" t="str">
        <f t="shared" ref="C918:C931" si="511">IFERROR(VLOOKUP(A918,DB,4,FALSE),"")</f>
        <v>ACHMAD FAUZAN</v>
      </c>
      <c r="D918" s="1035" t="str">
        <f t="shared" ref="D918:D931" si="512">IFERROR(VLOOKUP(A918,DB,5,FALSE),"")</f>
        <v>HK</v>
      </c>
      <c r="E918" s="1036">
        <f t="shared" ref="E918:E931" si="513">IFERROR(VLOOKUP(A918,DB,6,FALSE),"")</f>
        <v>2017</v>
      </c>
      <c r="F918" s="1035" t="str">
        <f t="shared" ref="F918:F931" si="514">IFERROR(VLOOKUP(A918,DB,7,FALSE),"")</f>
        <v>LULUS</v>
      </c>
      <c r="G918" s="1036">
        <f t="shared" ref="G918:G931" si="515">IFERROR(VLOOKUP(A918,DB,3,FALSE),"")</f>
        <v>839117001</v>
      </c>
      <c r="H918" s="1038">
        <f t="shared" ref="H918:H931" si="516">IF(F918="AKTIF",3000000,IF(F918="CUTI",3000000,0))</f>
        <v>0</v>
      </c>
      <c r="I918" s="1038">
        <f t="shared" ref="I918:I931" si="517">IF(F918="AKTIF",3000000,IF(F918="CUTI",3000000,0))</f>
        <v>0</v>
      </c>
      <c r="J918" s="1038">
        <f t="shared" ref="J918:J931" si="518">I918+H918</f>
        <v>0</v>
      </c>
      <c r="L918" s="1060">
        <f t="shared" si="497"/>
        <v>0</v>
      </c>
      <c r="M918" s="1060">
        <f t="shared" ref="M918:M931" si="519">IF(F918="LULUS",1,0)</f>
        <v>1</v>
      </c>
      <c r="N918" s="1060">
        <f t="shared" ref="N918:N931" si="520">IF(F918="CUTI",1,0)</f>
        <v>0</v>
      </c>
      <c r="O918" s="1060">
        <f t="shared" ref="O918:O931" si="521">IF(F918="DROP OUT",1,0)</f>
        <v>0</v>
      </c>
      <c r="P918" s="1060">
        <f t="shared" ref="P918:P931" si="522">IF(F918="PASIF",1,0)</f>
        <v>0</v>
      </c>
    </row>
    <row r="919" spans="1:16" x14ac:dyDescent="0.25">
      <c r="A919" s="1034">
        <v>1335</v>
      </c>
      <c r="B919" s="1034">
        <f t="shared" si="498"/>
        <v>2</v>
      </c>
      <c r="C919" s="1034" t="str">
        <f t="shared" si="511"/>
        <v>BADRUT TAMAM</v>
      </c>
      <c r="D919" s="1035" t="str">
        <f t="shared" si="512"/>
        <v>HK</v>
      </c>
      <c r="E919" s="1036">
        <f t="shared" si="513"/>
        <v>2017</v>
      </c>
      <c r="F919" s="1035" t="str">
        <f t="shared" si="514"/>
        <v>LULUS</v>
      </c>
      <c r="G919" s="1036">
        <f t="shared" si="515"/>
        <v>839117002</v>
      </c>
      <c r="H919" s="1038">
        <f t="shared" si="516"/>
        <v>0</v>
      </c>
      <c r="I919" s="1038">
        <f t="shared" si="517"/>
        <v>0</v>
      </c>
      <c r="J919" s="1038">
        <f t="shared" si="518"/>
        <v>0</v>
      </c>
      <c r="L919" s="1060">
        <f t="shared" si="497"/>
        <v>0</v>
      </c>
      <c r="M919" s="1060">
        <f t="shared" si="519"/>
        <v>1</v>
      </c>
      <c r="N919" s="1060">
        <f t="shared" si="520"/>
        <v>0</v>
      </c>
      <c r="O919" s="1060">
        <f t="shared" si="521"/>
        <v>0</v>
      </c>
      <c r="P919" s="1060">
        <f t="shared" si="522"/>
        <v>0</v>
      </c>
    </row>
    <row r="920" spans="1:16" x14ac:dyDescent="0.25">
      <c r="A920" s="1034">
        <v>1336</v>
      </c>
      <c r="B920" s="1034">
        <f t="shared" si="498"/>
        <v>3</v>
      </c>
      <c r="C920" s="1034" t="str">
        <f t="shared" si="511"/>
        <v>BURHANUDDIN</v>
      </c>
      <c r="D920" s="1035" t="str">
        <f t="shared" si="512"/>
        <v>HK</v>
      </c>
      <c r="E920" s="1036">
        <f t="shared" si="513"/>
        <v>2017</v>
      </c>
      <c r="F920" s="1035" t="str">
        <f t="shared" si="514"/>
        <v>PASIF</v>
      </c>
      <c r="G920" s="1036">
        <f t="shared" si="515"/>
        <v>839117003</v>
      </c>
      <c r="H920" s="1038">
        <f t="shared" si="516"/>
        <v>0</v>
      </c>
      <c r="I920" s="1038">
        <f t="shared" si="517"/>
        <v>0</v>
      </c>
      <c r="J920" s="1038">
        <f t="shared" si="518"/>
        <v>0</v>
      </c>
      <c r="L920" s="1060">
        <f t="shared" si="497"/>
        <v>0</v>
      </c>
      <c r="M920" s="1060">
        <f t="shared" si="519"/>
        <v>0</v>
      </c>
      <c r="N920" s="1060">
        <f t="shared" si="520"/>
        <v>0</v>
      </c>
      <c r="O920" s="1060">
        <f t="shared" si="521"/>
        <v>0</v>
      </c>
      <c r="P920" s="1060">
        <f t="shared" si="522"/>
        <v>1</v>
      </c>
    </row>
    <row r="921" spans="1:16" x14ac:dyDescent="0.25">
      <c r="A921" s="1034">
        <v>1337</v>
      </c>
      <c r="B921" s="1034">
        <f t="shared" si="498"/>
        <v>4</v>
      </c>
      <c r="C921" s="1034" t="str">
        <f t="shared" si="511"/>
        <v>EKTI OKTAVIANA</v>
      </c>
      <c r="D921" s="1035" t="str">
        <f t="shared" si="512"/>
        <v>HK</v>
      </c>
      <c r="E921" s="1036">
        <f t="shared" si="513"/>
        <v>2017</v>
      </c>
      <c r="F921" s="1035" t="str">
        <f t="shared" si="514"/>
        <v>LULUS</v>
      </c>
      <c r="G921" s="1036">
        <f t="shared" si="515"/>
        <v>839117004</v>
      </c>
      <c r="H921" s="1038">
        <f t="shared" si="516"/>
        <v>0</v>
      </c>
      <c r="I921" s="1038">
        <f t="shared" si="517"/>
        <v>0</v>
      </c>
      <c r="J921" s="1038">
        <f t="shared" si="518"/>
        <v>0</v>
      </c>
      <c r="L921" s="1060">
        <f t="shared" si="497"/>
        <v>0</v>
      </c>
      <c r="M921" s="1060">
        <f t="shared" si="519"/>
        <v>1</v>
      </c>
      <c r="N921" s="1060">
        <f t="shared" si="520"/>
        <v>0</v>
      </c>
      <c r="O921" s="1060">
        <f t="shared" si="521"/>
        <v>0</v>
      </c>
      <c r="P921" s="1060">
        <f t="shared" si="522"/>
        <v>0</v>
      </c>
    </row>
    <row r="922" spans="1:16" x14ac:dyDescent="0.25">
      <c r="A922" s="1034">
        <v>1338</v>
      </c>
      <c r="B922" s="1034">
        <f t="shared" si="498"/>
        <v>5</v>
      </c>
      <c r="C922" s="1034" t="str">
        <f t="shared" si="511"/>
        <v>FAHMI RIDLOL U</v>
      </c>
      <c r="D922" s="1035" t="str">
        <f t="shared" si="512"/>
        <v>HK</v>
      </c>
      <c r="E922" s="1036">
        <f t="shared" si="513"/>
        <v>2017</v>
      </c>
      <c r="F922" s="1035" t="str">
        <f t="shared" si="514"/>
        <v>LULUS</v>
      </c>
      <c r="G922" s="1036">
        <f t="shared" si="515"/>
        <v>839117005</v>
      </c>
      <c r="H922" s="1038">
        <f t="shared" si="516"/>
        <v>0</v>
      </c>
      <c r="I922" s="1038">
        <f t="shared" si="517"/>
        <v>0</v>
      </c>
      <c r="J922" s="1038">
        <f t="shared" si="518"/>
        <v>0</v>
      </c>
      <c r="L922" s="1060">
        <f t="shared" si="497"/>
        <v>0</v>
      </c>
      <c r="M922" s="1060">
        <f t="shared" si="519"/>
        <v>1</v>
      </c>
      <c r="N922" s="1060">
        <f t="shared" si="520"/>
        <v>0</v>
      </c>
      <c r="O922" s="1060">
        <f t="shared" si="521"/>
        <v>0</v>
      </c>
      <c r="P922" s="1060">
        <f t="shared" si="522"/>
        <v>0</v>
      </c>
    </row>
    <row r="923" spans="1:16" x14ac:dyDescent="0.25">
      <c r="A923" s="1034">
        <v>1339</v>
      </c>
      <c r="B923" s="1034">
        <f t="shared" si="498"/>
        <v>6</v>
      </c>
      <c r="C923" s="1034" t="str">
        <f t="shared" si="511"/>
        <v>KHOTIBUL UMAM</v>
      </c>
      <c r="D923" s="1035" t="str">
        <f t="shared" si="512"/>
        <v>HK</v>
      </c>
      <c r="E923" s="1036">
        <f t="shared" si="513"/>
        <v>2017</v>
      </c>
      <c r="F923" s="1035" t="str">
        <f t="shared" si="514"/>
        <v>AKTIF</v>
      </c>
      <c r="G923" s="1036">
        <f t="shared" si="515"/>
        <v>839117006</v>
      </c>
      <c r="H923" s="1038">
        <f t="shared" si="516"/>
        <v>3000000</v>
      </c>
      <c r="I923" s="1038">
        <f t="shared" si="517"/>
        <v>3000000</v>
      </c>
      <c r="J923" s="1038">
        <f t="shared" si="518"/>
        <v>6000000</v>
      </c>
      <c r="L923" s="1060">
        <f t="shared" si="497"/>
        <v>1</v>
      </c>
      <c r="M923" s="1060">
        <f t="shared" si="519"/>
        <v>0</v>
      </c>
      <c r="N923" s="1060">
        <f t="shared" si="520"/>
        <v>0</v>
      </c>
      <c r="O923" s="1060">
        <f t="shared" si="521"/>
        <v>0</v>
      </c>
      <c r="P923" s="1060">
        <f t="shared" si="522"/>
        <v>0</v>
      </c>
    </row>
    <row r="924" spans="1:16" x14ac:dyDescent="0.25">
      <c r="A924" s="1034">
        <v>1340</v>
      </c>
      <c r="B924" s="1034">
        <f t="shared" si="498"/>
        <v>7</v>
      </c>
      <c r="C924" s="1034" t="str">
        <f t="shared" si="511"/>
        <v>M KHOIRUL BASHOR</v>
      </c>
      <c r="D924" s="1035" t="str">
        <f t="shared" si="512"/>
        <v>HK</v>
      </c>
      <c r="E924" s="1036">
        <f t="shared" si="513"/>
        <v>2017</v>
      </c>
      <c r="F924" s="1035" t="str">
        <f t="shared" si="514"/>
        <v>PASIF</v>
      </c>
      <c r="G924" s="1036">
        <f t="shared" si="515"/>
        <v>839117007</v>
      </c>
      <c r="H924" s="1038">
        <f t="shared" si="516"/>
        <v>0</v>
      </c>
      <c r="I924" s="1038">
        <f t="shared" si="517"/>
        <v>0</v>
      </c>
      <c r="J924" s="1038">
        <f t="shared" si="518"/>
        <v>0</v>
      </c>
      <c r="L924" s="1060">
        <f t="shared" si="497"/>
        <v>0</v>
      </c>
      <c r="M924" s="1060">
        <f t="shared" si="519"/>
        <v>0</v>
      </c>
      <c r="N924" s="1060">
        <f t="shared" si="520"/>
        <v>0</v>
      </c>
      <c r="O924" s="1060">
        <f t="shared" si="521"/>
        <v>0</v>
      </c>
      <c r="P924" s="1060">
        <f t="shared" si="522"/>
        <v>1</v>
      </c>
    </row>
    <row r="925" spans="1:16" x14ac:dyDescent="0.25">
      <c r="A925" s="1034">
        <v>1341</v>
      </c>
      <c r="B925" s="1034">
        <f t="shared" si="498"/>
        <v>8</v>
      </c>
      <c r="C925" s="1034" t="str">
        <f t="shared" si="511"/>
        <v>MUHAMMAD SULAHAK</v>
      </c>
      <c r="D925" s="1035" t="str">
        <f t="shared" si="512"/>
        <v>HK</v>
      </c>
      <c r="E925" s="1036">
        <f t="shared" si="513"/>
        <v>2018</v>
      </c>
      <c r="F925" s="1035" t="str">
        <f t="shared" si="514"/>
        <v>AKTIF</v>
      </c>
      <c r="G925" s="1036">
        <f t="shared" si="515"/>
        <v>839117008</v>
      </c>
      <c r="H925" s="1038">
        <f t="shared" si="516"/>
        <v>3000000</v>
      </c>
      <c r="I925" s="1038">
        <f t="shared" si="517"/>
        <v>3000000</v>
      </c>
      <c r="J925" s="1038">
        <f t="shared" si="518"/>
        <v>6000000</v>
      </c>
      <c r="L925" s="1060">
        <f t="shared" si="497"/>
        <v>1</v>
      </c>
      <c r="M925" s="1060">
        <f t="shared" si="519"/>
        <v>0</v>
      </c>
      <c r="N925" s="1060">
        <f t="shared" si="520"/>
        <v>0</v>
      </c>
      <c r="O925" s="1060">
        <f t="shared" si="521"/>
        <v>0</v>
      </c>
      <c r="P925" s="1060">
        <f t="shared" si="522"/>
        <v>0</v>
      </c>
    </row>
    <row r="926" spans="1:16" x14ac:dyDescent="0.25">
      <c r="A926" s="1034">
        <v>1342</v>
      </c>
      <c r="B926" s="1034">
        <f t="shared" si="498"/>
        <v>9</v>
      </c>
      <c r="C926" s="1034" t="str">
        <f t="shared" si="511"/>
        <v>NUR LATIFAH</v>
      </c>
      <c r="D926" s="1035" t="str">
        <f t="shared" si="512"/>
        <v>HK</v>
      </c>
      <c r="E926" s="1036">
        <f t="shared" si="513"/>
        <v>2017</v>
      </c>
      <c r="F926" s="1035" t="str">
        <f t="shared" si="514"/>
        <v>LULUS</v>
      </c>
      <c r="G926" s="1036">
        <f t="shared" si="515"/>
        <v>839117009</v>
      </c>
      <c r="H926" s="1038">
        <f t="shared" si="516"/>
        <v>0</v>
      </c>
      <c r="I926" s="1038">
        <f t="shared" si="517"/>
        <v>0</v>
      </c>
      <c r="J926" s="1038">
        <f t="shared" si="518"/>
        <v>0</v>
      </c>
      <c r="L926" s="1060">
        <f t="shared" si="497"/>
        <v>0</v>
      </c>
      <c r="M926" s="1060">
        <f t="shared" si="519"/>
        <v>1</v>
      </c>
      <c r="N926" s="1060">
        <f t="shared" si="520"/>
        <v>0</v>
      </c>
      <c r="O926" s="1060">
        <f t="shared" si="521"/>
        <v>0</v>
      </c>
      <c r="P926" s="1060">
        <f t="shared" si="522"/>
        <v>0</v>
      </c>
    </row>
    <row r="927" spans="1:16" x14ac:dyDescent="0.25">
      <c r="A927" s="1034">
        <v>1343</v>
      </c>
      <c r="B927" s="1034">
        <f t="shared" si="498"/>
        <v>10</v>
      </c>
      <c r="C927" s="1034" t="str">
        <f t="shared" si="511"/>
        <v>NUR WAKHIDAH</v>
      </c>
      <c r="D927" s="1035" t="str">
        <f t="shared" si="512"/>
        <v>HK</v>
      </c>
      <c r="E927" s="1036">
        <f t="shared" si="513"/>
        <v>2017</v>
      </c>
      <c r="F927" s="1035" t="str">
        <f t="shared" si="514"/>
        <v>PASIF</v>
      </c>
      <c r="G927" s="1036">
        <f t="shared" si="515"/>
        <v>839117010</v>
      </c>
      <c r="H927" s="1038">
        <f t="shared" si="516"/>
        <v>0</v>
      </c>
      <c r="I927" s="1038">
        <f t="shared" si="517"/>
        <v>0</v>
      </c>
      <c r="J927" s="1038">
        <f t="shared" si="518"/>
        <v>0</v>
      </c>
      <c r="L927" s="1060">
        <f t="shared" si="497"/>
        <v>0</v>
      </c>
      <c r="M927" s="1060">
        <f t="shared" si="519"/>
        <v>0</v>
      </c>
      <c r="N927" s="1060">
        <f t="shared" si="520"/>
        <v>0</v>
      </c>
      <c r="O927" s="1060">
        <f t="shared" si="521"/>
        <v>0</v>
      </c>
      <c r="P927" s="1060">
        <f t="shared" si="522"/>
        <v>1</v>
      </c>
    </row>
    <row r="928" spans="1:16" x14ac:dyDescent="0.25">
      <c r="A928" s="1034">
        <v>1344</v>
      </c>
      <c r="B928" s="1034">
        <f t="shared" si="498"/>
        <v>11</v>
      </c>
      <c r="C928" s="1034" t="str">
        <f t="shared" si="511"/>
        <v>NURKAFIDZ NIZAM FAHMI</v>
      </c>
      <c r="D928" s="1035" t="str">
        <f t="shared" si="512"/>
        <v>HK</v>
      </c>
      <c r="E928" s="1036">
        <f t="shared" si="513"/>
        <v>2017</v>
      </c>
      <c r="F928" s="1035" t="str">
        <f t="shared" si="514"/>
        <v>LULUS</v>
      </c>
      <c r="G928" s="1036">
        <f t="shared" si="515"/>
        <v>839117011</v>
      </c>
      <c r="H928" s="1038">
        <f t="shared" si="516"/>
        <v>0</v>
      </c>
      <c r="I928" s="1038">
        <f t="shared" si="517"/>
        <v>0</v>
      </c>
      <c r="J928" s="1038">
        <f t="shared" si="518"/>
        <v>0</v>
      </c>
      <c r="L928" s="1060">
        <f t="shared" si="497"/>
        <v>0</v>
      </c>
      <c r="M928" s="1060">
        <f t="shared" si="519"/>
        <v>1</v>
      </c>
      <c r="N928" s="1060">
        <f t="shared" si="520"/>
        <v>0</v>
      </c>
      <c r="O928" s="1060">
        <f t="shared" si="521"/>
        <v>0</v>
      </c>
      <c r="P928" s="1060">
        <f t="shared" si="522"/>
        <v>0</v>
      </c>
    </row>
    <row r="929" spans="1:16" x14ac:dyDescent="0.25">
      <c r="A929" s="1034">
        <v>1345</v>
      </c>
      <c r="B929" s="1034">
        <f t="shared" si="498"/>
        <v>12</v>
      </c>
      <c r="C929" s="1034" t="str">
        <f t="shared" si="511"/>
        <v>RUDI ADI</v>
      </c>
      <c r="D929" s="1035" t="str">
        <f t="shared" si="512"/>
        <v>HK</v>
      </c>
      <c r="E929" s="1036">
        <f t="shared" si="513"/>
        <v>2017</v>
      </c>
      <c r="F929" s="1035" t="str">
        <f t="shared" si="514"/>
        <v>LULUS</v>
      </c>
      <c r="G929" s="1036">
        <f t="shared" si="515"/>
        <v>839117012</v>
      </c>
      <c r="H929" s="1038">
        <f t="shared" si="516"/>
        <v>0</v>
      </c>
      <c r="I929" s="1038">
        <f t="shared" si="517"/>
        <v>0</v>
      </c>
      <c r="J929" s="1038">
        <f t="shared" si="518"/>
        <v>0</v>
      </c>
      <c r="L929" s="1060">
        <f t="shared" si="497"/>
        <v>0</v>
      </c>
      <c r="M929" s="1060">
        <f t="shared" si="519"/>
        <v>1</v>
      </c>
      <c r="N929" s="1060">
        <f t="shared" si="520"/>
        <v>0</v>
      </c>
      <c r="O929" s="1060">
        <f t="shared" si="521"/>
        <v>0</v>
      </c>
      <c r="P929" s="1060">
        <f t="shared" si="522"/>
        <v>0</v>
      </c>
    </row>
    <row r="930" spans="1:16" x14ac:dyDescent="0.25">
      <c r="A930" s="1034">
        <v>1346</v>
      </c>
      <c r="B930" s="1034">
        <f t="shared" si="498"/>
        <v>13</v>
      </c>
      <c r="C930" s="1034" t="str">
        <f t="shared" si="511"/>
        <v>YANTO HASYIM</v>
      </c>
      <c r="D930" s="1035" t="str">
        <f t="shared" si="512"/>
        <v>HK</v>
      </c>
      <c r="E930" s="1036">
        <f t="shared" si="513"/>
        <v>2017</v>
      </c>
      <c r="F930" s="1035" t="str">
        <f t="shared" si="514"/>
        <v>LULUS</v>
      </c>
      <c r="G930" s="1036">
        <f t="shared" si="515"/>
        <v>839117013</v>
      </c>
      <c r="H930" s="1038">
        <f t="shared" si="516"/>
        <v>0</v>
      </c>
      <c r="I930" s="1038">
        <f t="shared" si="517"/>
        <v>0</v>
      </c>
      <c r="J930" s="1038">
        <f t="shared" si="518"/>
        <v>0</v>
      </c>
      <c r="L930" s="1060">
        <f t="shared" si="497"/>
        <v>0</v>
      </c>
      <c r="M930" s="1060">
        <f t="shared" si="519"/>
        <v>1</v>
      </c>
      <c r="N930" s="1060">
        <f t="shared" si="520"/>
        <v>0</v>
      </c>
      <c r="O930" s="1060">
        <f t="shared" si="521"/>
        <v>0</v>
      </c>
      <c r="P930" s="1060">
        <f t="shared" si="522"/>
        <v>0</v>
      </c>
    </row>
    <row r="931" spans="1:16" x14ac:dyDescent="0.25">
      <c r="A931" s="1034">
        <v>1347</v>
      </c>
      <c r="B931" s="1034">
        <f t="shared" si="498"/>
        <v>14</v>
      </c>
      <c r="C931" s="1034" t="str">
        <f t="shared" si="511"/>
        <v>YAUMIL HIKMAH</v>
      </c>
      <c r="D931" s="1035" t="str">
        <f t="shared" si="512"/>
        <v>HK</v>
      </c>
      <c r="E931" s="1036">
        <f t="shared" si="513"/>
        <v>2017</v>
      </c>
      <c r="F931" s="1035" t="str">
        <f t="shared" si="514"/>
        <v>AKTIF</v>
      </c>
      <c r="G931" s="1036">
        <f t="shared" si="515"/>
        <v>839117014</v>
      </c>
      <c r="H931" s="1038">
        <f t="shared" si="516"/>
        <v>3000000</v>
      </c>
      <c r="I931" s="1038">
        <f t="shared" si="517"/>
        <v>3000000</v>
      </c>
      <c r="J931" s="1038">
        <f t="shared" si="518"/>
        <v>6000000</v>
      </c>
      <c r="L931" s="1060">
        <f t="shared" si="497"/>
        <v>1</v>
      </c>
      <c r="M931" s="1060">
        <f t="shared" si="519"/>
        <v>0</v>
      </c>
      <c r="N931" s="1060">
        <f t="shared" si="520"/>
        <v>0</v>
      </c>
      <c r="O931" s="1060">
        <f t="shared" si="521"/>
        <v>0</v>
      </c>
      <c r="P931" s="1060">
        <f t="shared" si="522"/>
        <v>0</v>
      </c>
    </row>
    <row r="932" spans="1:16" x14ac:dyDescent="0.25">
      <c r="A932" s="1039"/>
      <c r="B932" s="1039"/>
      <c r="C932" s="1039"/>
      <c r="D932" s="1040"/>
      <c r="E932" s="1041"/>
      <c r="F932" s="1040"/>
      <c r="G932" s="1041"/>
      <c r="H932" s="1042"/>
      <c r="I932" s="1042"/>
      <c r="J932" s="1042"/>
      <c r="L932" s="1042"/>
      <c r="M932" s="1042"/>
      <c r="N932" s="1042"/>
      <c r="O932" s="1042"/>
      <c r="P932" s="1042"/>
    </row>
    <row r="933" spans="1:16" x14ac:dyDescent="0.25">
      <c r="A933" s="1043" t="str">
        <f>'Rekap SPP'!A1457</f>
        <v>S2-KPI 2017/2018</v>
      </c>
      <c r="B933" s="1043"/>
      <c r="C933" s="1043"/>
      <c r="D933" s="1033" t="s">
        <v>3</v>
      </c>
      <c r="E933" s="1032" t="s">
        <v>4</v>
      </c>
      <c r="F933" s="1033" t="s">
        <v>3195</v>
      </c>
      <c r="G933" s="1032" t="s">
        <v>1</v>
      </c>
      <c r="H933" s="1033" t="s">
        <v>3341</v>
      </c>
      <c r="I933" s="1033" t="s">
        <v>3362</v>
      </c>
      <c r="J933" s="1062">
        <f>SUM(J934:J947)</f>
        <v>12000000</v>
      </c>
      <c r="L933" s="1063">
        <f>SUM(L934:L947)</f>
        <v>2</v>
      </c>
      <c r="M933" s="1063">
        <f>SUM(M934:M947)</f>
        <v>8</v>
      </c>
      <c r="N933" s="1063">
        <f>SUM(N934:N947)</f>
        <v>0</v>
      </c>
      <c r="O933" s="1063">
        <f>SUM(O934:O947)</f>
        <v>1</v>
      </c>
      <c r="P933" s="1063">
        <f>SUM(P934:P947)</f>
        <v>3</v>
      </c>
    </row>
    <row r="934" spans="1:16" x14ac:dyDescent="0.25">
      <c r="A934" s="1034">
        <v>1348</v>
      </c>
      <c r="B934" s="1034">
        <f t="shared" si="498"/>
        <v>1</v>
      </c>
      <c r="C934" s="1034" t="str">
        <f t="shared" ref="C934:C947" si="523">IFERROR(VLOOKUP(A934,DB,4,FALSE),"")</f>
        <v>ABDUL WAHET</v>
      </c>
      <c r="D934" s="1035" t="str">
        <f t="shared" ref="D934:D947" si="524">IFERROR(VLOOKUP(A934,DB,5,FALSE),"")</f>
        <v>KPI</v>
      </c>
      <c r="E934" s="1036">
        <f t="shared" ref="E934:E947" si="525">IFERROR(VLOOKUP(A934,DB,6,FALSE),"")</f>
        <v>2017</v>
      </c>
      <c r="F934" s="1035" t="str">
        <f t="shared" ref="F934:F947" si="526">IFERROR(VLOOKUP(A934,DB,7,FALSE),"")</f>
        <v>DROP OUT</v>
      </c>
      <c r="G934" s="1036">
        <f t="shared" ref="G934:G947" si="527">IFERROR(VLOOKUP(A934,DB,3,FALSE),"")</f>
        <v>829117001</v>
      </c>
      <c r="H934" s="1038">
        <f t="shared" ref="H934:H947" si="528">IF(F934="AKTIF",3000000,IF(F934="CUTI",3000000,0))</f>
        <v>0</v>
      </c>
      <c r="I934" s="1038">
        <f t="shared" ref="I934:I947" si="529">IF(F934="AKTIF",3000000,IF(F934="CUTI",3000000,0))</f>
        <v>0</v>
      </c>
      <c r="J934" s="1038">
        <f t="shared" ref="J934:J947" si="530">I934+H934</f>
        <v>0</v>
      </c>
      <c r="L934" s="1060">
        <f t="shared" si="497"/>
        <v>0</v>
      </c>
      <c r="M934" s="1060">
        <f t="shared" ref="M934:M947" si="531">IF(F934="LULUS",1,0)</f>
        <v>0</v>
      </c>
      <c r="N934" s="1060">
        <f t="shared" ref="N934:N947" si="532">IF(F934="CUTI",1,0)</f>
        <v>0</v>
      </c>
      <c r="O934" s="1060">
        <f t="shared" ref="O934:O947" si="533">IF(F934="DROP OUT",1,0)</f>
        <v>1</v>
      </c>
      <c r="P934" s="1060">
        <f t="shared" ref="P934:P947" si="534">IF(F934="PASIF",1,0)</f>
        <v>0</v>
      </c>
    </row>
    <row r="935" spans="1:16" x14ac:dyDescent="0.25">
      <c r="A935" s="1034">
        <v>1349</v>
      </c>
      <c r="B935" s="1034">
        <f t="shared" si="498"/>
        <v>2</v>
      </c>
      <c r="C935" s="1034" t="str">
        <f t="shared" si="523"/>
        <v>AFIF MAHMUDI</v>
      </c>
      <c r="D935" s="1035" t="str">
        <f t="shared" si="524"/>
        <v>KPI</v>
      </c>
      <c r="E935" s="1036">
        <f t="shared" si="525"/>
        <v>2017</v>
      </c>
      <c r="F935" s="1035" t="str">
        <f t="shared" si="526"/>
        <v>PASIF</v>
      </c>
      <c r="G935" s="1036">
        <f t="shared" si="527"/>
        <v>829117002</v>
      </c>
      <c r="H935" s="1038">
        <f t="shared" si="528"/>
        <v>0</v>
      </c>
      <c r="I935" s="1038">
        <f t="shared" si="529"/>
        <v>0</v>
      </c>
      <c r="J935" s="1038">
        <f t="shared" si="530"/>
        <v>0</v>
      </c>
      <c r="L935" s="1060">
        <f t="shared" si="497"/>
        <v>0</v>
      </c>
      <c r="M935" s="1060">
        <f t="shared" si="531"/>
        <v>0</v>
      </c>
      <c r="N935" s="1060">
        <f t="shared" si="532"/>
        <v>0</v>
      </c>
      <c r="O935" s="1060">
        <f t="shared" si="533"/>
        <v>0</v>
      </c>
      <c r="P935" s="1060">
        <f t="shared" si="534"/>
        <v>1</v>
      </c>
    </row>
    <row r="936" spans="1:16" x14ac:dyDescent="0.25">
      <c r="A936" s="1034">
        <v>1350</v>
      </c>
      <c r="B936" s="1034">
        <f t="shared" si="498"/>
        <v>3</v>
      </c>
      <c r="C936" s="1034" t="str">
        <f t="shared" si="523"/>
        <v>ATIYATUL MAWADDAH</v>
      </c>
      <c r="D936" s="1035" t="str">
        <f t="shared" si="524"/>
        <v>KPI</v>
      </c>
      <c r="E936" s="1036">
        <f t="shared" si="525"/>
        <v>2017</v>
      </c>
      <c r="F936" s="1035" t="str">
        <f t="shared" si="526"/>
        <v>LULUS</v>
      </c>
      <c r="G936" s="1036">
        <f t="shared" si="527"/>
        <v>829117003</v>
      </c>
      <c r="H936" s="1038">
        <f t="shared" si="528"/>
        <v>0</v>
      </c>
      <c r="I936" s="1038">
        <f t="shared" si="529"/>
        <v>0</v>
      </c>
      <c r="J936" s="1038">
        <f t="shared" si="530"/>
        <v>0</v>
      </c>
      <c r="L936" s="1060">
        <f t="shared" si="497"/>
        <v>0</v>
      </c>
      <c r="M936" s="1060">
        <f t="shared" si="531"/>
        <v>1</v>
      </c>
      <c r="N936" s="1060">
        <f t="shared" si="532"/>
        <v>0</v>
      </c>
      <c r="O936" s="1060">
        <f t="shared" si="533"/>
        <v>0</v>
      </c>
      <c r="P936" s="1060">
        <f t="shared" si="534"/>
        <v>0</v>
      </c>
    </row>
    <row r="937" spans="1:16" x14ac:dyDescent="0.25">
      <c r="A937" s="1034">
        <v>1351</v>
      </c>
      <c r="B937" s="1034">
        <f t="shared" si="498"/>
        <v>4</v>
      </c>
      <c r="C937" s="1034" t="str">
        <f t="shared" si="523"/>
        <v>BUNGA SURAWIJAYA NINGSIH</v>
      </c>
      <c r="D937" s="1035" t="str">
        <f t="shared" si="524"/>
        <v>KPI</v>
      </c>
      <c r="E937" s="1036">
        <f t="shared" si="525"/>
        <v>2017</v>
      </c>
      <c r="F937" s="1035" t="str">
        <f t="shared" si="526"/>
        <v>LULUS</v>
      </c>
      <c r="G937" s="1036">
        <f t="shared" si="527"/>
        <v>829117004</v>
      </c>
      <c r="H937" s="1038">
        <f t="shared" si="528"/>
        <v>0</v>
      </c>
      <c r="I937" s="1038">
        <f t="shared" si="529"/>
        <v>0</v>
      </c>
      <c r="J937" s="1038">
        <f t="shared" si="530"/>
        <v>0</v>
      </c>
      <c r="L937" s="1060">
        <f t="shared" si="497"/>
        <v>0</v>
      </c>
      <c r="M937" s="1060">
        <f t="shared" si="531"/>
        <v>1</v>
      </c>
      <c r="N937" s="1060">
        <f t="shared" si="532"/>
        <v>0</v>
      </c>
      <c r="O937" s="1060">
        <f t="shared" si="533"/>
        <v>0</v>
      </c>
      <c r="P937" s="1060">
        <f t="shared" si="534"/>
        <v>0</v>
      </c>
    </row>
    <row r="938" spans="1:16" x14ac:dyDescent="0.25">
      <c r="A938" s="1034">
        <v>1352</v>
      </c>
      <c r="B938" s="1034">
        <f t="shared" si="498"/>
        <v>5</v>
      </c>
      <c r="C938" s="1034" t="str">
        <f t="shared" si="523"/>
        <v>CLARA SINTA PRATIWI</v>
      </c>
      <c r="D938" s="1035" t="str">
        <f t="shared" si="524"/>
        <v>KPI</v>
      </c>
      <c r="E938" s="1036">
        <f t="shared" si="525"/>
        <v>2017</v>
      </c>
      <c r="F938" s="1035" t="str">
        <f t="shared" si="526"/>
        <v>LULUS</v>
      </c>
      <c r="G938" s="1036">
        <f t="shared" si="527"/>
        <v>829117005</v>
      </c>
      <c r="H938" s="1038">
        <f t="shared" si="528"/>
        <v>0</v>
      </c>
      <c r="I938" s="1038">
        <f t="shared" si="529"/>
        <v>0</v>
      </c>
      <c r="J938" s="1038">
        <f t="shared" si="530"/>
        <v>0</v>
      </c>
      <c r="L938" s="1060">
        <f t="shared" si="497"/>
        <v>0</v>
      </c>
      <c r="M938" s="1060">
        <f t="shared" si="531"/>
        <v>1</v>
      </c>
      <c r="N938" s="1060">
        <f t="shared" si="532"/>
        <v>0</v>
      </c>
      <c r="O938" s="1060">
        <f t="shared" si="533"/>
        <v>0</v>
      </c>
      <c r="P938" s="1060">
        <f t="shared" si="534"/>
        <v>0</v>
      </c>
    </row>
    <row r="939" spans="1:16" x14ac:dyDescent="0.25">
      <c r="A939" s="1034">
        <v>1353</v>
      </c>
      <c r="B939" s="1034">
        <f t="shared" si="498"/>
        <v>6</v>
      </c>
      <c r="C939" s="1034" t="str">
        <f t="shared" si="523"/>
        <v>KARTIKA BINA KASIH</v>
      </c>
      <c r="D939" s="1035" t="str">
        <f t="shared" si="524"/>
        <v>KPI</v>
      </c>
      <c r="E939" s="1036">
        <f t="shared" si="525"/>
        <v>2017</v>
      </c>
      <c r="F939" s="1035" t="str">
        <f t="shared" si="526"/>
        <v>AKTIF</v>
      </c>
      <c r="G939" s="1036">
        <f t="shared" si="527"/>
        <v>829117006</v>
      </c>
      <c r="H939" s="1038">
        <f t="shared" si="528"/>
        <v>3000000</v>
      </c>
      <c r="I939" s="1038">
        <f t="shared" si="529"/>
        <v>3000000</v>
      </c>
      <c r="J939" s="1038">
        <f t="shared" si="530"/>
        <v>6000000</v>
      </c>
      <c r="L939" s="1060">
        <f t="shared" si="497"/>
        <v>1</v>
      </c>
      <c r="M939" s="1060">
        <f t="shared" si="531"/>
        <v>0</v>
      </c>
      <c r="N939" s="1060">
        <f t="shared" si="532"/>
        <v>0</v>
      </c>
      <c r="O939" s="1060">
        <f t="shared" si="533"/>
        <v>0</v>
      </c>
      <c r="P939" s="1060">
        <f t="shared" si="534"/>
        <v>0</v>
      </c>
    </row>
    <row r="940" spans="1:16" x14ac:dyDescent="0.25">
      <c r="A940" s="1034">
        <v>1354</v>
      </c>
      <c r="B940" s="1034">
        <f t="shared" si="498"/>
        <v>7</v>
      </c>
      <c r="C940" s="1034" t="str">
        <f t="shared" si="523"/>
        <v>M. SOFIATUL IMAN</v>
      </c>
      <c r="D940" s="1035" t="str">
        <f t="shared" si="524"/>
        <v>KPI</v>
      </c>
      <c r="E940" s="1036">
        <f t="shared" si="525"/>
        <v>2017</v>
      </c>
      <c r="F940" s="1035" t="str">
        <f t="shared" si="526"/>
        <v>LULUS</v>
      </c>
      <c r="G940" s="1036">
        <f t="shared" si="527"/>
        <v>829117007</v>
      </c>
      <c r="H940" s="1038">
        <f t="shared" si="528"/>
        <v>0</v>
      </c>
      <c r="I940" s="1038">
        <f t="shared" si="529"/>
        <v>0</v>
      </c>
      <c r="J940" s="1038">
        <f t="shared" si="530"/>
        <v>0</v>
      </c>
      <c r="L940" s="1060">
        <f t="shared" si="497"/>
        <v>0</v>
      </c>
      <c r="M940" s="1060">
        <f t="shared" si="531"/>
        <v>1</v>
      </c>
      <c r="N940" s="1060">
        <f t="shared" si="532"/>
        <v>0</v>
      </c>
      <c r="O940" s="1060">
        <f t="shared" si="533"/>
        <v>0</v>
      </c>
      <c r="P940" s="1060">
        <f t="shared" si="534"/>
        <v>0</v>
      </c>
    </row>
    <row r="941" spans="1:16" x14ac:dyDescent="0.25">
      <c r="A941" s="1034">
        <v>1355</v>
      </c>
      <c r="B941" s="1034">
        <f t="shared" si="498"/>
        <v>8</v>
      </c>
      <c r="C941" s="1034" t="str">
        <f t="shared" si="523"/>
        <v>MOH SYARIF HIDAYAT</v>
      </c>
      <c r="D941" s="1035" t="str">
        <f t="shared" si="524"/>
        <v>KPI</v>
      </c>
      <c r="E941" s="1036">
        <f t="shared" si="525"/>
        <v>2017</v>
      </c>
      <c r="F941" s="1035" t="str">
        <f t="shared" si="526"/>
        <v>PASIF</v>
      </c>
      <c r="G941" s="1036">
        <f t="shared" si="527"/>
        <v>829117008</v>
      </c>
      <c r="H941" s="1038">
        <f t="shared" si="528"/>
        <v>0</v>
      </c>
      <c r="I941" s="1038">
        <f t="shared" si="529"/>
        <v>0</v>
      </c>
      <c r="J941" s="1038">
        <f t="shared" si="530"/>
        <v>0</v>
      </c>
      <c r="L941" s="1060">
        <f t="shared" si="497"/>
        <v>0</v>
      </c>
      <c r="M941" s="1060">
        <f t="shared" si="531"/>
        <v>0</v>
      </c>
      <c r="N941" s="1060">
        <f t="shared" si="532"/>
        <v>0</v>
      </c>
      <c r="O941" s="1060">
        <f t="shared" si="533"/>
        <v>0</v>
      </c>
      <c r="P941" s="1060">
        <f t="shared" si="534"/>
        <v>1</v>
      </c>
    </row>
    <row r="942" spans="1:16" x14ac:dyDescent="0.25">
      <c r="A942" s="1034">
        <v>1356</v>
      </c>
      <c r="B942" s="1034">
        <f t="shared" si="498"/>
        <v>9</v>
      </c>
      <c r="C942" s="1034" t="str">
        <f t="shared" si="523"/>
        <v>NURUL LAILA HIDAYAT</v>
      </c>
      <c r="D942" s="1035" t="str">
        <f t="shared" si="524"/>
        <v>KPI</v>
      </c>
      <c r="E942" s="1036">
        <f t="shared" si="525"/>
        <v>2017</v>
      </c>
      <c r="F942" s="1035" t="str">
        <f t="shared" si="526"/>
        <v>LULUS</v>
      </c>
      <c r="G942" s="1036">
        <f t="shared" si="527"/>
        <v>829117009</v>
      </c>
      <c r="H942" s="1038">
        <f t="shared" si="528"/>
        <v>0</v>
      </c>
      <c r="I942" s="1038">
        <f t="shared" si="529"/>
        <v>0</v>
      </c>
      <c r="J942" s="1038">
        <f t="shared" si="530"/>
        <v>0</v>
      </c>
      <c r="L942" s="1060">
        <f t="shared" si="497"/>
        <v>0</v>
      </c>
      <c r="M942" s="1060">
        <f t="shared" si="531"/>
        <v>1</v>
      </c>
      <c r="N942" s="1060">
        <f t="shared" si="532"/>
        <v>0</v>
      </c>
      <c r="O942" s="1060">
        <f t="shared" si="533"/>
        <v>0</v>
      </c>
      <c r="P942" s="1060">
        <f t="shared" si="534"/>
        <v>0</v>
      </c>
    </row>
    <row r="943" spans="1:16" x14ac:dyDescent="0.25">
      <c r="A943" s="1034">
        <v>1357</v>
      </c>
      <c r="B943" s="1034">
        <f t="shared" si="498"/>
        <v>10</v>
      </c>
      <c r="C943" s="1034" t="str">
        <f t="shared" si="523"/>
        <v>ROBIATUL ADAWIYAH</v>
      </c>
      <c r="D943" s="1035" t="str">
        <f t="shared" si="524"/>
        <v>KPI</v>
      </c>
      <c r="E943" s="1036">
        <f t="shared" si="525"/>
        <v>2017</v>
      </c>
      <c r="F943" s="1035" t="str">
        <f t="shared" si="526"/>
        <v>AKTIF</v>
      </c>
      <c r="G943" s="1036">
        <f t="shared" si="527"/>
        <v>829117010</v>
      </c>
      <c r="H943" s="1038">
        <f t="shared" si="528"/>
        <v>3000000</v>
      </c>
      <c r="I943" s="1038">
        <f t="shared" si="529"/>
        <v>3000000</v>
      </c>
      <c r="J943" s="1038">
        <f t="shared" si="530"/>
        <v>6000000</v>
      </c>
      <c r="L943" s="1060">
        <f t="shared" si="497"/>
        <v>1</v>
      </c>
      <c r="M943" s="1060">
        <f t="shared" si="531"/>
        <v>0</v>
      </c>
      <c r="N943" s="1060">
        <f t="shared" si="532"/>
        <v>0</v>
      </c>
      <c r="O943" s="1060">
        <f t="shared" si="533"/>
        <v>0</v>
      </c>
      <c r="P943" s="1060">
        <f t="shared" si="534"/>
        <v>0</v>
      </c>
    </row>
    <row r="944" spans="1:16" x14ac:dyDescent="0.25">
      <c r="A944" s="1034">
        <v>1358</v>
      </c>
      <c r="B944" s="1034">
        <f t="shared" si="498"/>
        <v>11</v>
      </c>
      <c r="C944" s="1034" t="str">
        <f t="shared" si="523"/>
        <v>SUYITNO</v>
      </c>
      <c r="D944" s="1035" t="str">
        <f t="shared" si="524"/>
        <v>KPI</v>
      </c>
      <c r="E944" s="1036">
        <f t="shared" si="525"/>
        <v>2017</v>
      </c>
      <c r="F944" s="1035" t="str">
        <f t="shared" si="526"/>
        <v>LULUS</v>
      </c>
      <c r="G944" s="1036">
        <f t="shared" si="527"/>
        <v>829117011</v>
      </c>
      <c r="H944" s="1038">
        <f t="shared" si="528"/>
        <v>0</v>
      </c>
      <c r="I944" s="1038">
        <f t="shared" si="529"/>
        <v>0</v>
      </c>
      <c r="J944" s="1038">
        <f t="shared" si="530"/>
        <v>0</v>
      </c>
      <c r="L944" s="1060">
        <f t="shared" si="497"/>
        <v>0</v>
      </c>
      <c r="M944" s="1060">
        <f t="shared" si="531"/>
        <v>1</v>
      </c>
      <c r="N944" s="1060">
        <f t="shared" si="532"/>
        <v>0</v>
      </c>
      <c r="O944" s="1060">
        <f t="shared" si="533"/>
        <v>0</v>
      </c>
      <c r="P944" s="1060">
        <f t="shared" si="534"/>
        <v>0</v>
      </c>
    </row>
    <row r="945" spans="1:16" x14ac:dyDescent="0.25">
      <c r="A945" s="1034">
        <v>1359</v>
      </c>
      <c r="B945" s="1034">
        <f t="shared" si="498"/>
        <v>12</v>
      </c>
      <c r="C945" s="1034" t="str">
        <f t="shared" si="523"/>
        <v>SY ARIFIN</v>
      </c>
      <c r="D945" s="1035" t="str">
        <f t="shared" si="524"/>
        <v>KPI</v>
      </c>
      <c r="E945" s="1036">
        <f t="shared" si="525"/>
        <v>2017</v>
      </c>
      <c r="F945" s="1035" t="str">
        <f t="shared" si="526"/>
        <v>LULUS</v>
      </c>
      <c r="G945" s="1036">
        <f t="shared" si="527"/>
        <v>829117012</v>
      </c>
      <c r="H945" s="1038">
        <f t="shared" si="528"/>
        <v>0</v>
      </c>
      <c r="I945" s="1038">
        <f t="shared" si="529"/>
        <v>0</v>
      </c>
      <c r="J945" s="1038">
        <f t="shared" si="530"/>
        <v>0</v>
      </c>
      <c r="L945" s="1060">
        <f t="shared" si="497"/>
        <v>0</v>
      </c>
      <c r="M945" s="1060">
        <f t="shared" si="531"/>
        <v>1</v>
      </c>
      <c r="N945" s="1060">
        <f t="shared" si="532"/>
        <v>0</v>
      </c>
      <c r="O945" s="1060">
        <f t="shared" si="533"/>
        <v>0</v>
      </c>
      <c r="P945" s="1060">
        <f t="shared" si="534"/>
        <v>0</v>
      </c>
    </row>
    <row r="946" spans="1:16" x14ac:dyDescent="0.25">
      <c r="A946" s="1034">
        <v>1360</v>
      </c>
      <c r="B946" s="1034">
        <f t="shared" si="498"/>
        <v>13</v>
      </c>
      <c r="C946" s="1034" t="str">
        <f t="shared" si="523"/>
        <v>YULIS SRI WAHYUNINGSIH</v>
      </c>
      <c r="D946" s="1035" t="str">
        <f t="shared" si="524"/>
        <v>KPI</v>
      </c>
      <c r="E946" s="1036">
        <f t="shared" si="525"/>
        <v>2017</v>
      </c>
      <c r="F946" s="1035" t="str">
        <f t="shared" si="526"/>
        <v>LULUS</v>
      </c>
      <c r="G946" s="1036">
        <f t="shared" si="527"/>
        <v>829117013</v>
      </c>
      <c r="H946" s="1038">
        <f t="shared" si="528"/>
        <v>0</v>
      </c>
      <c r="I946" s="1038">
        <f t="shared" si="529"/>
        <v>0</v>
      </c>
      <c r="J946" s="1038">
        <f t="shared" si="530"/>
        <v>0</v>
      </c>
      <c r="L946" s="1060">
        <f t="shared" si="497"/>
        <v>0</v>
      </c>
      <c r="M946" s="1060">
        <f t="shared" si="531"/>
        <v>1</v>
      </c>
      <c r="N946" s="1060">
        <f t="shared" si="532"/>
        <v>0</v>
      </c>
      <c r="O946" s="1060">
        <f t="shared" si="533"/>
        <v>0</v>
      </c>
      <c r="P946" s="1060">
        <f t="shared" si="534"/>
        <v>0</v>
      </c>
    </row>
    <row r="947" spans="1:16" x14ac:dyDescent="0.25">
      <c r="A947" s="1034">
        <v>1361</v>
      </c>
      <c r="B947" s="1034">
        <f t="shared" si="498"/>
        <v>14</v>
      </c>
      <c r="C947" s="1034" t="str">
        <f t="shared" si="523"/>
        <v>ZAKIA ULFI MU'MININ</v>
      </c>
      <c r="D947" s="1035" t="str">
        <f t="shared" si="524"/>
        <v>KPI</v>
      </c>
      <c r="E947" s="1036">
        <f t="shared" si="525"/>
        <v>2017</v>
      </c>
      <c r="F947" s="1035" t="str">
        <f t="shared" si="526"/>
        <v>PASIF</v>
      </c>
      <c r="G947" s="1036">
        <f t="shared" si="527"/>
        <v>829117014</v>
      </c>
      <c r="H947" s="1038">
        <f t="shared" si="528"/>
        <v>0</v>
      </c>
      <c r="I947" s="1038">
        <f t="shared" si="529"/>
        <v>0</v>
      </c>
      <c r="J947" s="1038">
        <f t="shared" si="530"/>
        <v>0</v>
      </c>
      <c r="L947" s="1060">
        <f t="shared" si="497"/>
        <v>0</v>
      </c>
      <c r="M947" s="1060">
        <f t="shared" si="531"/>
        <v>0</v>
      </c>
      <c r="N947" s="1060">
        <f t="shared" si="532"/>
        <v>0</v>
      </c>
      <c r="O947" s="1060">
        <f t="shared" si="533"/>
        <v>0</v>
      </c>
      <c r="P947" s="1060">
        <f t="shared" si="534"/>
        <v>1</v>
      </c>
    </row>
    <row r="948" spans="1:16" x14ac:dyDescent="0.25">
      <c r="A948" s="1039"/>
      <c r="B948" s="1039"/>
      <c r="C948" s="1039"/>
      <c r="D948" s="1040"/>
      <c r="E948" s="1041"/>
      <c r="F948" s="1040"/>
      <c r="G948" s="1041"/>
      <c r="H948" s="1042"/>
      <c r="I948" s="1042"/>
      <c r="J948" s="1042"/>
      <c r="L948" s="1042"/>
      <c r="M948" s="1042"/>
      <c r="N948" s="1042"/>
      <c r="O948" s="1042"/>
      <c r="P948" s="1042"/>
    </row>
    <row r="949" spans="1:16" x14ac:dyDescent="0.25">
      <c r="A949" s="1073" t="str">
        <f>'Rekap SPP'!A1473</f>
        <v>S3-MPI 2017/2018</v>
      </c>
      <c r="B949" s="1073"/>
      <c r="C949" s="1073"/>
      <c r="D949" s="1074" t="s">
        <v>3</v>
      </c>
      <c r="E949" s="1075" t="s">
        <v>4</v>
      </c>
      <c r="F949" s="1074" t="s">
        <v>3195</v>
      </c>
      <c r="G949" s="1075" t="s">
        <v>1</v>
      </c>
      <c r="H949" s="1074" t="s">
        <v>3341</v>
      </c>
      <c r="I949" s="1074" t="s">
        <v>3362</v>
      </c>
      <c r="J949" s="1062">
        <f>SUM(J950:J962)</f>
        <v>36000000</v>
      </c>
      <c r="L949" s="1063">
        <f>SUM(L950:L962)</f>
        <v>3</v>
      </c>
      <c r="M949" s="1063">
        <f>SUM(M950:M962)</f>
        <v>1</v>
      </c>
      <c r="N949" s="1063">
        <f>SUM(N950:N962)</f>
        <v>0</v>
      </c>
      <c r="O949" s="1063">
        <f>SUM(O950:O962)</f>
        <v>1</v>
      </c>
      <c r="P949" s="1063">
        <f>SUM(P950:P962)</f>
        <v>8</v>
      </c>
    </row>
    <row r="950" spans="1:16" x14ac:dyDescent="0.25">
      <c r="A950" s="1034">
        <v>1362</v>
      </c>
      <c r="B950" s="1034">
        <f t="shared" si="498"/>
        <v>1</v>
      </c>
      <c r="C950" s="1034" t="str">
        <f t="shared" ref="C950:C962" si="535">IFERROR(VLOOKUP(A950,DB,4,FALSE),"")</f>
        <v>ARINI SADIYAH</v>
      </c>
      <c r="D950" s="1035" t="str">
        <f t="shared" ref="D950:D962" si="536">IFERROR(VLOOKUP(A950,DB,5,FALSE),"")</f>
        <v>MPI-S3</v>
      </c>
      <c r="E950" s="1036">
        <f t="shared" ref="E950:E962" si="537">IFERROR(VLOOKUP(A950,DB,6,FALSE),"")</f>
        <v>2017</v>
      </c>
      <c r="F950" s="1035" t="str">
        <f t="shared" ref="F950:F962" si="538">IFERROR(VLOOKUP(A950,DB,7,FALSE),"")</f>
        <v>AKTIF</v>
      </c>
      <c r="G950" s="1036">
        <f t="shared" ref="G950:G962" si="539">IFERROR(VLOOKUP(A950,DB,3,FALSE),"")</f>
        <v>841917001</v>
      </c>
      <c r="H950" s="1038">
        <f>IF(F950="AKTIF",6000000,IF(F950="CUTI",6000000,0))</f>
        <v>6000000</v>
      </c>
      <c r="I950" s="1038">
        <f>IF(F950="AKTIF",6000000,IF(F950="CUTI",6000000,0))</f>
        <v>6000000</v>
      </c>
      <c r="J950" s="1038">
        <f t="shared" ref="J950:J962" si="540">I950+H950</f>
        <v>12000000</v>
      </c>
      <c r="L950" s="1060">
        <f t="shared" si="497"/>
        <v>1</v>
      </c>
      <c r="M950" s="1060">
        <f t="shared" ref="M950:M962" si="541">IF(F950="LULUS",1,0)</f>
        <v>0</v>
      </c>
      <c r="N950" s="1060">
        <f t="shared" ref="N950:N962" si="542">IF(F950="CUTI",1,0)</f>
        <v>0</v>
      </c>
      <c r="O950" s="1060">
        <f t="shared" ref="O950:O962" si="543">IF(F950="DROP OUT",1,0)</f>
        <v>0</v>
      </c>
      <c r="P950" s="1060">
        <f t="shared" ref="P950:P962" si="544">IF(F950="PASIF",1,0)</f>
        <v>0</v>
      </c>
    </row>
    <row r="951" spans="1:16" x14ac:dyDescent="0.25">
      <c r="A951" s="1034">
        <v>1363</v>
      </c>
      <c r="B951" s="1034">
        <f t="shared" si="498"/>
        <v>2</v>
      </c>
      <c r="C951" s="1034" t="str">
        <f t="shared" si="535"/>
        <v>BADRUL MUDARRIS</v>
      </c>
      <c r="D951" s="1035" t="str">
        <f t="shared" si="536"/>
        <v>MPI-S3</v>
      </c>
      <c r="E951" s="1036">
        <f t="shared" si="537"/>
        <v>2017</v>
      </c>
      <c r="F951" s="1035" t="str">
        <f t="shared" si="538"/>
        <v>PASIF</v>
      </c>
      <c r="G951" s="1036">
        <f t="shared" si="539"/>
        <v>841917002</v>
      </c>
      <c r="H951" s="1038">
        <f t="shared" ref="H951:H962" si="545">IF(F951="AKTIF",6000000,IF(F951="CUTI",6000000,0))</f>
        <v>0</v>
      </c>
      <c r="I951" s="1038">
        <f t="shared" ref="I951:I962" si="546">IF(F951="AKTIF",6000000,IF(F951="CUTI",6000000,0))</f>
        <v>0</v>
      </c>
      <c r="J951" s="1038">
        <f t="shared" si="540"/>
        <v>0</v>
      </c>
      <c r="L951" s="1060">
        <f t="shared" ref="L951:L980" si="547">IF(F951="AKTIF",1,0)</f>
        <v>0</v>
      </c>
      <c r="M951" s="1060">
        <f t="shared" si="541"/>
        <v>0</v>
      </c>
      <c r="N951" s="1060">
        <f t="shared" si="542"/>
        <v>0</v>
      </c>
      <c r="O951" s="1060">
        <f t="shared" si="543"/>
        <v>0</v>
      </c>
      <c r="P951" s="1060">
        <f t="shared" si="544"/>
        <v>1</v>
      </c>
    </row>
    <row r="952" spans="1:16" x14ac:dyDescent="0.25">
      <c r="A952" s="1034">
        <v>1364</v>
      </c>
      <c r="B952" s="1034">
        <f t="shared" si="498"/>
        <v>3</v>
      </c>
      <c r="C952" s="1034" t="str">
        <f t="shared" si="535"/>
        <v>BAMBANG EKO ADITIA</v>
      </c>
      <c r="D952" s="1035" t="str">
        <f t="shared" si="536"/>
        <v>MPI-S3</v>
      </c>
      <c r="E952" s="1036">
        <f t="shared" si="537"/>
        <v>2017</v>
      </c>
      <c r="F952" s="1035" t="str">
        <f t="shared" si="538"/>
        <v>PASIF</v>
      </c>
      <c r="G952" s="1036">
        <f t="shared" si="539"/>
        <v>841917003</v>
      </c>
      <c r="H952" s="1038">
        <f t="shared" si="545"/>
        <v>0</v>
      </c>
      <c r="I952" s="1038">
        <f t="shared" si="546"/>
        <v>0</v>
      </c>
      <c r="J952" s="1038">
        <f t="shared" si="540"/>
        <v>0</v>
      </c>
      <c r="L952" s="1060">
        <f t="shared" si="547"/>
        <v>0</v>
      </c>
      <c r="M952" s="1060">
        <f t="shared" si="541"/>
        <v>0</v>
      </c>
      <c r="N952" s="1060">
        <f t="shared" si="542"/>
        <v>0</v>
      </c>
      <c r="O952" s="1060">
        <f t="shared" si="543"/>
        <v>0</v>
      </c>
      <c r="P952" s="1060">
        <f t="shared" si="544"/>
        <v>1</v>
      </c>
    </row>
    <row r="953" spans="1:16" x14ac:dyDescent="0.25">
      <c r="A953" s="1034">
        <v>1365</v>
      </c>
      <c r="B953" s="1034">
        <f t="shared" ref="B953:B1018" si="548">IFERROR(VLOOKUP(A953,DB,2,FALSE),"")</f>
        <v>4</v>
      </c>
      <c r="C953" s="1034" t="str">
        <f t="shared" si="535"/>
        <v>ESIN</v>
      </c>
      <c r="D953" s="1035" t="str">
        <f t="shared" si="536"/>
        <v>MPI-S3</v>
      </c>
      <c r="E953" s="1036">
        <f t="shared" si="537"/>
        <v>2017</v>
      </c>
      <c r="F953" s="1035" t="str">
        <f t="shared" si="538"/>
        <v>PASIF</v>
      </c>
      <c r="G953" s="1036">
        <f t="shared" si="539"/>
        <v>841917004</v>
      </c>
      <c r="H953" s="1038">
        <f t="shared" si="545"/>
        <v>0</v>
      </c>
      <c r="I953" s="1038">
        <f t="shared" si="546"/>
        <v>0</v>
      </c>
      <c r="J953" s="1038">
        <f t="shared" si="540"/>
        <v>0</v>
      </c>
      <c r="L953" s="1060">
        <f t="shared" si="547"/>
        <v>0</v>
      </c>
      <c r="M953" s="1060">
        <f t="shared" si="541"/>
        <v>0</v>
      </c>
      <c r="N953" s="1060">
        <f t="shared" si="542"/>
        <v>0</v>
      </c>
      <c r="O953" s="1060">
        <f t="shared" si="543"/>
        <v>0</v>
      </c>
      <c r="P953" s="1060">
        <f t="shared" si="544"/>
        <v>1</v>
      </c>
    </row>
    <row r="954" spans="1:16" x14ac:dyDescent="0.25">
      <c r="A954" s="1034">
        <v>1366</v>
      </c>
      <c r="B954" s="1034">
        <f t="shared" si="548"/>
        <v>5</v>
      </c>
      <c r="C954" s="1034" t="str">
        <f t="shared" si="535"/>
        <v>FINADATUL WAHIDAH</v>
      </c>
      <c r="D954" s="1035" t="str">
        <f t="shared" si="536"/>
        <v>MPI-S3</v>
      </c>
      <c r="E954" s="1036">
        <f t="shared" si="537"/>
        <v>2017</v>
      </c>
      <c r="F954" s="1035" t="str">
        <f t="shared" si="538"/>
        <v>PASIF</v>
      </c>
      <c r="G954" s="1036">
        <f t="shared" si="539"/>
        <v>841917005</v>
      </c>
      <c r="H954" s="1038">
        <f t="shared" si="545"/>
        <v>0</v>
      </c>
      <c r="I954" s="1038">
        <f t="shared" si="546"/>
        <v>0</v>
      </c>
      <c r="J954" s="1038">
        <f t="shared" si="540"/>
        <v>0</v>
      </c>
      <c r="L954" s="1060">
        <f t="shared" si="547"/>
        <v>0</v>
      </c>
      <c r="M954" s="1060">
        <f t="shared" si="541"/>
        <v>0</v>
      </c>
      <c r="N954" s="1060">
        <f t="shared" si="542"/>
        <v>0</v>
      </c>
      <c r="O954" s="1060">
        <f t="shared" si="543"/>
        <v>0</v>
      </c>
      <c r="P954" s="1060">
        <f t="shared" si="544"/>
        <v>1</v>
      </c>
    </row>
    <row r="955" spans="1:16" x14ac:dyDescent="0.25">
      <c r="A955" s="1034">
        <v>1367</v>
      </c>
      <c r="B955" s="1034">
        <f t="shared" si="548"/>
        <v>6</v>
      </c>
      <c r="C955" s="1034" t="str">
        <f t="shared" si="535"/>
        <v>GHUFRON</v>
      </c>
      <c r="D955" s="1035" t="str">
        <f t="shared" si="536"/>
        <v>MPI-S3</v>
      </c>
      <c r="E955" s="1036">
        <f t="shared" si="537"/>
        <v>2017</v>
      </c>
      <c r="F955" s="1035" t="str">
        <f t="shared" si="538"/>
        <v>PASIF</v>
      </c>
      <c r="G955" s="1036">
        <f t="shared" si="539"/>
        <v>841917006</v>
      </c>
      <c r="H955" s="1038">
        <f t="shared" si="545"/>
        <v>0</v>
      </c>
      <c r="I955" s="1038">
        <f t="shared" si="546"/>
        <v>0</v>
      </c>
      <c r="J955" s="1038">
        <f t="shared" si="540"/>
        <v>0</v>
      </c>
      <c r="L955" s="1060">
        <f t="shared" si="547"/>
        <v>0</v>
      </c>
      <c r="M955" s="1060">
        <f t="shared" si="541"/>
        <v>0</v>
      </c>
      <c r="N955" s="1060">
        <f t="shared" si="542"/>
        <v>0</v>
      </c>
      <c r="O955" s="1060">
        <f t="shared" si="543"/>
        <v>0</v>
      </c>
      <c r="P955" s="1060">
        <f t="shared" si="544"/>
        <v>1</v>
      </c>
    </row>
    <row r="956" spans="1:16" x14ac:dyDescent="0.25">
      <c r="A956" s="1034">
        <v>1368</v>
      </c>
      <c r="B956" s="1034">
        <f t="shared" si="548"/>
        <v>7</v>
      </c>
      <c r="C956" s="1034" t="str">
        <f t="shared" si="535"/>
        <v>MOH BAITS SULTHON</v>
      </c>
      <c r="D956" s="1035" t="str">
        <f t="shared" si="536"/>
        <v>MPI-S3</v>
      </c>
      <c r="E956" s="1036">
        <f t="shared" si="537"/>
        <v>2017</v>
      </c>
      <c r="F956" s="1035" t="str">
        <f t="shared" si="538"/>
        <v>PASIF</v>
      </c>
      <c r="G956" s="1036">
        <f t="shared" si="539"/>
        <v>841917007</v>
      </c>
      <c r="H956" s="1038">
        <f t="shared" si="545"/>
        <v>0</v>
      </c>
      <c r="I956" s="1038">
        <f t="shared" si="546"/>
        <v>0</v>
      </c>
      <c r="J956" s="1038">
        <f t="shared" si="540"/>
        <v>0</v>
      </c>
      <c r="L956" s="1060">
        <f t="shared" si="547"/>
        <v>0</v>
      </c>
      <c r="M956" s="1060">
        <f t="shared" si="541"/>
        <v>0</v>
      </c>
      <c r="N956" s="1060">
        <f t="shared" si="542"/>
        <v>0</v>
      </c>
      <c r="O956" s="1060">
        <f t="shared" si="543"/>
        <v>0</v>
      </c>
      <c r="P956" s="1060">
        <f t="shared" si="544"/>
        <v>1</v>
      </c>
    </row>
    <row r="957" spans="1:16" x14ac:dyDescent="0.25">
      <c r="A957" s="1034">
        <v>1369</v>
      </c>
      <c r="B957" s="1034">
        <f t="shared" si="548"/>
        <v>8</v>
      </c>
      <c r="C957" s="1034" t="str">
        <f t="shared" si="535"/>
        <v>MORY VICTOR FEBRIANTO</v>
      </c>
      <c r="D957" s="1035" t="str">
        <f t="shared" si="536"/>
        <v>MPI-S3</v>
      </c>
      <c r="E957" s="1036">
        <f t="shared" si="537"/>
        <v>2017</v>
      </c>
      <c r="F957" s="1035" t="str">
        <f t="shared" si="538"/>
        <v>AKTIF</v>
      </c>
      <c r="G957" s="1036">
        <f t="shared" si="539"/>
        <v>841917008</v>
      </c>
      <c r="H957" s="1038">
        <f t="shared" si="545"/>
        <v>6000000</v>
      </c>
      <c r="I957" s="1038">
        <f t="shared" si="546"/>
        <v>6000000</v>
      </c>
      <c r="J957" s="1038">
        <f t="shared" si="540"/>
        <v>12000000</v>
      </c>
      <c r="L957" s="1060">
        <f t="shared" si="547"/>
        <v>1</v>
      </c>
      <c r="M957" s="1060">
        <f t="shared" si="541"/>
        <v>0</v>
      </c>
      <c r="N957" s="1060">
        <f t="shared" si="542"/>
        <v>0</v>
      </c>
      <c r="O957" s="1060">
        <f t="shared" si="543"/>
        <v>0</v>
      </c>
      <c r="P957" s="1060">
        <f t="shared" si="544"/>
        <v>0</v>
      </c>
    </row>
    <row r="958" spans="1:16" x14ac:dyDescent="0.25">
      <c r="A958" s="1034">
        <v>1370</v>
      </c>
      <c r="B958" s="1034">
        <f t="shared" si="548"/>
        <v>1</v>
      </c>
      <c r="C958" s="1034" t="str">
        <f t="shared" si="535"/>
        <v>AHMAD ROYANI</v>
      </c>
      <c r="D958" s="1035" t="str">
        <f t="shared" si="536"/>
        <v>MPI-S3</v>
      </c>
      <c r="E958" s="1036">
        <f t="shared" si="537"/>
        <v>2017</v>
      </c>
      <c r="F958" s="1035" t="str">
        <f t="shared" si="538"/>
        <v>LULUS</v>
      </c>
      <c r="G958" s="1036">
        <f t="shared" si="539"/>
        <v>841917009</v>
      </c>
      <c r="H958" s="1038">
        <f t="shared" si="545"/>
        <v>0</v>
      </c>
      <c r="I958" s="1038">
        <f t="shared" si="546"/>
        <v>0</v>
      </c>
      <c r="J958" s="1038">
        <f t="shared" si="540"/>
        <v>0</v>
      </c>
      <c r="L958" s="1060">
        <f t="shared" si="547"/>
        <v>0</v>
      </c>
      <c r="M958" s="1060">
        <f t="shared" si="541"/>
        <v>1</v>
      </c>
      <c r="N958" s="1060">
        <f t="shared" si="542"/>
        <v>0</v>
      </c>
      <c r="O958" s="1060">
        <f t="shared" si="543"/>
        <v>0</v>
      </c>
      <c r="P958" s="1060">
        <f t="shared" si="544"/>
        <v>0</v>
      </c>
    </row>
    <row r="959" spans="1:16" x14ac:dyDescent="0.25">
      <c r="A959" s="1034">
        <v>1371</v>
      </c>
      <c r="B959" s="1034">
        <f t="shared" si="548"/>
        <v>2</v>
      </c>
      <c r="C959" s="1034" t="str">
        <f t="shared" si="535"/>
        <v>RASYID</v>
      </c>
      <c r="D959" s="1035" t="str">
        <f t="shared" si="536"/>
        <v>MPI-S3</v>
      </c>
      <c r="E959" s="1036">
        <f t="shared" si="537"/>
        <v>2017</v>
      </c>
      <c r="F959" s="1035" t="str">
        <f t="shared" si="538"/>
        <v>DROP OUT</v>
      </c>
      <c r="G959" s="1036">
        <f t="shared" si="539"/>
        <v>841917010</v>
      </c>
      <c r="H959" s="1038">
        <f t="shared" si="545"/>
        <v>0</v>
      </c>
      <c r="I959" s="1038">
        <f t="shared" si="546"/>
        <v>0</v>
      </c>
      <c r="J959" s="1038">
        <f t="shared" si="540"/>
        <v>0</v>
      </c>
      <c r="L959" s="1060">
        <f t="shared" si="547"/>
        <v>0</v>
      </c>
      <c r="M959" s="1060">
        <f t="shared" si="541"/>
        <v>0</v>
      </c>
      <c r="N959" s="1060">
        <f t="shared" si="542"/>
        <v>0</v>
      </c>
      <c r="O959" s="1060">
        <f t="shared" si="543"/>
        <v>1</v>
      </c>
      <c r="P959" s="1060">
        <f t="shared" si="544"/>
        <v>0</v>
      </c>
    </row>
    <row r="960" spans="1:16" x14ac:dyDescent="0.25">
      <c r="A960" s="1034">
        <v>1372</v>
      </c>
      <c r="B960" s="1034">
        <f t="shared" si="548"/>
        <v>3</v>
      </c>
      <c r="C960" s="1034" t="str">
        <f t="shared" si="535"/>
        <v>FAISOL ABRARI</v>
      </c>
      <c r="D960" s="1035" t="str">
        <f t="shared" si="536"/>
        <v>MPI-S3</v>
      </c>
      <c r="E960" s="1036">
        <f t="shared" si="537"/>
        <v>2017</v>
      </c>
      <c r="F960" s="1035" t="str">
        <f t="shared" si="538"/>
        <v>PASIF</v>
      </c>
      <c r="G960" s="1036">
        <f t="shared" si="539"/>
        <v>841917011</v>
      </c>
      <c r="H960" s="1038">
        <f t="shared" si="545"/>
        <v>0</v>
      </c>
      <c r="I960" s="1038">
        <f t="shared" si="546"/>
        <v>0</v>
      </c>
      <c r="J960" s="1038">
        <f t="shared" si="540"/>
        <v>0</v>
      </c>
      <c r="L960" s="1060">
        <f t="shared" si="547"/>
        <v>0</v>
      </c>
      <c r="M960" s="1060">
        <f t="shared" si="541"/>
        <v>0</v>
      </c>
      <c r="N960" s="1060">
        <f t="shared" si="542"/>
        <v>0</v>
      </c>
      <c r="O960" s="1060">
        <f t="shared" si="543"/>
        <v>0</v>
      </c>
      <c r="P960" s="1060">
        <f t="shared" si="544"/>
        <v>1</v>
      </c>
    </row>
    <row r="961" spans="1:16" x14ac:dyDescent="0.25">
      <c r="A961" s="1034">
        <v>1373</v>
      </c>
      <c r="B961" s="1034">
        <f t="shared" si="548"/>
        <v>4</v>
      </c>
      <c r="C961" s="1034" t="str">
        <f t="shared" si="535"/>
        <v>MOH. DASUKI</v>
      </c>
      <c r="D961" s="1035" t="str">
        <f t="shared" si="536"/>
        <v>MPI-S3</v>
      </c>
      <c r="E961" s="1036">
        <f t="shared" si="537"/>
        <v>2017</v>
      </c>
      <c r="F961" s="1035" t="str">
        <f t="shared" si="538"/>
        <v>PASIF</v>
      </c>
      <c r="G961" s="1036">
        <f t="shared" si="539"/>
        <v>841917012</v>
      </c>
      <c r="H961" s="1038">
        <f t="shared" si="545"/>
        <v>0</v>
      </c>
      <c r="I961" s="1038">
        <f t="shared" si="546"/>
        <v>0</v>
      </c>
      <c r="J961" s="1038">
        <f t="shared" si="540"/>
        <v>0</v>
      </c>
      <c r="L961" s="1060">
        <f t="shared" si="547"/>
        <v>0</v>
      </c>
      <c r="M961" s="1060">
        <f t="shared" si="541"/>
        <v>0</v>
      </c>
      <c r="N961" s="1060">
        <f t="shared" si="542"/>
        <v>0</v>
      </c>
      <c r="O961" s="1060">
        <f t="shared" si="543"/>
        <v>0</v>
      </c>
      <c r="P961" s="1060">
        <f t="shared" si="544"/>
        <v>1</v>
      </c>
    </row>
    <row r="962" spans="1:16" x14ac:dyDescent="0.25">
      <c r="A962" s="1034">
        <v>1374</v>
      </c>
      <c r="B962" s="1034">
        <f t="shared" si="548"/>
        <v>5</v>
      </c>
      <c r="C962" s="1034" t="str">
        <f t="shared" si="535"/>
        <v>SAIFUL ASYARI</v>
      </c>
      <c r="D962" s="1035" t="str">
        <f t="shared" si="536"/>
        <v>MPI-S3</v>
      </c>
      <c r="E962" s="1036">
        <f t="shared" si="537"/>
        <v>2017</v>
      </c>
      <c r="F962" s="1035" t="str">
        <f t="shared" si="538"/>
        <v>AKTIF</v>
      </c>
      <c r="G962" s="1036">
        <f t="shared" si="539"/>
        <v>841917013</v>
      </c>
      <c r="H962" s="1038">
        <f t="shared" si="545"/>
        <v>6000000</v>
      </c>
      <c r="I962" s="1038">
        <f t="shared" si="546"/>
        <v>6000000</v>
      </c>
      <c r="J962" s="1038">
        <f t="shared" si="540"/>
        <v>12000000</v>
      </c>
      <c r="L962" s="1060">
        <f t="shared" si="547"/>
        <v>1</v>
      </c>
      <c r="M962" s="1060">
        <f t="shared" si="541"/>
        <v>0</v>
      </c>
      <c r="N962" s="1060">
        <f t="shared" si="542"/>
        <v>0</v>
      </c>
      <c r="O962" s="1060">
        <f t="shared" si="543"/>
        <v>0</v>
      </c>
      <c r="P962" s="1060">
        <f t="shared" si="544"/>
        <v>0</v>
      </c>
    </row>
    <row r="963" spans="1:16" x14ac:dyDescent="0.25">
      <c r="A963" s="1039"/>
      <c r="B963" s="1039"/>
      <c r="C963" s="1039"/>
      <c r="D963" s="1040"/>
      <c r="E963" s="1041"/>
      <c r="F963" s="1040"/>
      <c r="G963" s="1041"/>
      <c r="H963" s="1042"/>
      <c r="I963" s="1042"/>
      <c r="J963" s="1042"/>
      <c r="L963" s="1042"/>
      <c r="M963" s="1042"/>
      <c r="N963" s="1042"/>
      <c r="O963" s="1042"/>
      <c r="P963" s="1042"/>
    </row>
    <row r="964" spans="1:16" x14ac:dyDescent="0.25">
      <c r="A964" s="1073" t="str">
        <f>'Rekap SPP'!A1489</f>
        <v>S3-MPI 2017/2018 - Bea 5000 Dok (III)</v>
      </c>
      <c r="B964" s="1073"/>
      <c r="C964" s="1073"/>
      <c r="D964" s="1074" t="s">
        <v>3</v>
      </c>
      <c r="E964" s="1075" t="s">
        <v>4</v>
      </c>
      <c r="F964" s="1074" t="s">
        <v>3195</v>
      </c>
      <c r="G964" s="1075" t="s">
        <v>1</v>
      </c>
      <c r="H964" s="1074" t="s">
        <v>3341</v>
      </c>
      <c r="I964" s="1074" t="s">
        <v>3362</v>
      </c>
      <c r="J964" s="1062">
        <f>SUM(J965:J980)</f>
        <v>72000000</v>
      </c>
      <c r="L964" s="1063">
        <f>SUM(L965:L980)</f>
        <v>6</v>
      </c>
      <c r="M964" s="1063">
        <f>SUM(M965:M980)</f>
        <v>10</v>
      </c>
      <c r="N964" s="1063">
        <f>SUM(N965:N980)</f>
        <v>0</v>
      </c>
      <c r="O964" s="1063">
        <f>SUM(O965:O980)</f>
        <v>0</v>
      </c>
      <c r="P964" s="1063">
        <f>SUM(P965:P980)</f>
        <v>0</v>
      </c>
    </row>
    <row r="965" spans="1:16" x14ac:dyDescent="0.25">
      <c r="A965" s="1034">
        <v>1375</v>
      </c>
      <c r="B965" s="1034">
        <f t="shared" si="548"/>
        <v>1</v>
      </c>
      <c r="C965" s="1034" t="str">
        <f t="shared" ref="C965:C981" si="549">IFERROR(VLOOKUP(A965,DB,4,FALSE),"")</f>
        <v>ABDULLAH</v>
      </c>
      <c r="D965" s="1035" t="str">
        <f t="shared" ref="D965:D981" si="550">IFERROR(VLOOKUP(A965,DB,5,FALSE),"")</f>
        <v>5000 Dok</v>
      </c>
      <c r="E965" s="1036">
        <f t="shared" ref="E965:E981" si="551">IFERROR(VLOOKUP(A965,DB,6,FALSE),"")</f>
        <v>2017</v>
      </c>
      <c r="F965" s="1035" t="str">
        <f t="shared" ref="F965:F980" si="552">IFERROR(VLOOKUP(A965,DB,7,FALSE),"")</f>
        <v>AKTIF</v>
      </c>
      <c r="G965" s="1036">
        <f t="shared" ref="G965:G981" si="553">IFERROR(VLOOKUP(A965,DB,3,FALSE),"")</f>
        <v>841917014</v>
      </c>
      <c r="H965" s="1038">
        <f t="shared" ref="H965:H980" si="554">IF(F965="AKTIF",6000000,IF(F965="CUTI",6000000,0))</f>
        <v>6000000</v>
      </c>
      <c r="I965" s="1038">
        <f t="shared" ref="I965:I980" si="555">IF(F965="AKTIF",6000000,IF(F965="CUTI",6000000,0))</f>
        <v>6000000</v>
      </c>
      <c r="J965" s="1038">
        <f t="shared" ref="J965:J980" si="556">I965+H965</f>
        <v>12000000</v>
      </c>
      <c r="L965" s="1060">
        <f t="shared" si="547"/>
        <v>1</v>
      </c>
      <c r="M965" s="1060">
        <f t="shared" ref="M965:M980" si="557">IF(F965="LULUS",1,0)</f>
        <v>0</v>
      </c>
      <c r="N965" s="1060">
        <f t="shared" ref="N965:N980" si="558">IF(F965="CUTI",1,0)</f>
        <v>0</v>
      </c>
      <c r="O965" s="1060">
        <f t="shared" ref="O965:O980" si="559">IF(F965="DROP OUT",1,0)</f>
        <v>0</v>
      </c>
      <c r="P965" s="1060">
        <f t="shared" ref="P965:P980" si="560">IF(F965="PASIF",1,0)</f>
        <v>0</v>
      </c>
    </row>
    <row r="966" spans="1:16" x14ac:dyDescent="0.25">
      <c r="A966" s="1034">
        <v>1376</v>
      </c>
      <c r="B966" s="1034">
        <f t="shared" si="548"/>
        <v>2</v>
      </c>
      <c r="C966" s="1034" t="str">
        <f t="shared" si="549"/>
        <v>ACH ROFIQ</v>
      </c>
      <c r="D966" s="1035" t="str">
        <f t="shared" si="550"/>
        <v>5000 Dok</v>
      </c>
      <c r="E966" s="1036">
        <f t="shared" si="551"/>
        <v>2017</v>
      </c>
      <c r="F966" s="1035" t="str">
        <f t="shared" si="552"/>
        <v>AKTIF</v>
      </c>
      <c r="G966" s="1036">
        <f t="shared" si="553"/>
        <v>841917015</v>
      </c>
      <c r="H966" s="1038">
        <f t="shared" si="554"/>
        <v>6000000</v>
      </c>
      <c r="I966" s="1038">
        <f t="shared" si="555"/>
        <v>6000000</v>
      </c>
      <c r="J966" s="1038">
        <f t="shared" si="556"/>
        <v>12000000</v>
      </c>
      <c r="L966" s="1060">
        <f t="shared" si="547"/>
        <v>1</v>
      </c>
      <c r="M966" s="1060">
        <f t="shared" si="557"/>
        <v>0</v>
      </c>
      <c r="N966" s="1060">
        <f t="shared" si="558"/>
        <v>0</v>
      </c>
      <c r="O966" s="1060">
        <f t="shared" si="559"/>
        <v>0</v>
      </c>
      <c r="P966" s="1060">
        <f t="shared" si="560"/>
        <v>0</v>
      </c>
    </row>
    <row r="967" spans="1:16" x14ac:dyDescent="0.25">
      <c r="A967" s="1034">
        <v>1377</v>
      </c>
      <c r="B967" s="1034">
        <f t="shared" si="548"/>
        <v>3</v>
      </c>
      <c r="C967" s="1034" t="str">
        <f t="shared" si="549"/>
        <v>AGUS SALIM SALABI</v>
      </c>
      <c r="D967" s="1035" t="str">
        <f t="shared" si="550"/>
        <v>5000 Dok</v>
      </c>
      <c r="E967" s="1036">
        <f t="shared" si="551"/>
        <v>2017</v>
      </c>
      <c r="F967" s="1035" t="str">
        <f t="shared" si="552"/>
        <v>LULUS</v>
      </c>
      <c r="G967" s="1036">
        <f t="shared" si="553"/>
        <v>841917016</v>
      </c>
      <c r="H967" s="1038">
        <f t="shared" si="554"/>
        <v>0</v>
      </c>
      <c r="I967" s="1038">
        <f t="shared" si="555"/>
        <v>0</v>
      </c>
      <c r="J967" s="1038">
        <f t="shared" si="556"/>
        <v>0</v>
      </c>
      <c r="L967" s="1060">
        <f t="shared" si="547"/>
        <v>0</v>
      </c>
      <c r="M967" s="1060">
        <f t="shared" si="557"/>
        <v>1</v>
      </c>
      <c r="N967" s="1060">
        <f t="shared" si="558"/>
        <v>0</v>
      </c>
      <c r="O967" s="1060">
        <f t="shared" si="559"/>
        <v>0</v>
      </c>
      <c r="P967" s="1060">
        <f t="shared" si="560"/>
        <v>0</v>
      </c>
    </row>
    <row r="968" spans="1:16" x14ac:dyDescent="0.25">
      <c r="A968" s="1034">
        <v>1378</v>
      </c>
      <c r="B968" s="1034">
        <f t="shared" si="548"/>
        <v>4</v>
      </c>
      <c r="C968" s="1034" t="str">
        <f t="shared" si="549"/>
        <v>AHMAD MUADIN</v>
      </c>
      <c r="D968" s="1035" t="str">
        <f t="shared" si="550"/>
        <v>5000 Dok</v>
      </c>
      <c r="E968" s="1036">
        <f t="shared" si="551"/>
        <v>2017</v>
      </c>
      <c r="F968" s="1035" t="str">
        <f t="shared" si="552"/>
        <v>LULUS</v>
      </c>
      <c r="G968" s="1036">
        <f t="shared" si="553"/>
        <v>841917017</v>
      </c>
      <c r="H968" s="1038">
        <f t="shared" si="554"/>
        <v>0</v>
      </c>
      <c r="I968" s="1038">
        <f t="shared" si="555"/>
        <v>0</v>
      </c>
      <c r="J968" s="1038">
        <f t="shared" si="556"/>
        <v>0</v>
      </c>
      <c r="L968" s="1060">
        <f t="shared" si="547"/>
        <v>0</v>
      </c>
      <c r="M968" s="1060">
        <f t="shared" si="557"/>
        <v>1</v>
      </c>
      <c r="N968" s="1060">
        <f t="shared" si="558"/>
        <v>0</v>
      </c>
      <c r="O968" s="1060">
        <f t="shared" si="559"/>
        <v>0</v>
      </c>
      <c r="P968" s="1060">
        <f t="shared" si="560"/>
        <v>0</v>
      </c>
    </row>
    <row r="969" spans="1:16" x14ac:dyDescent="0.25">
      <c r="A969" s="1034">
        <v>1379</v>
      </c>
      <c r="B969" s="1034">
        <f t="shared" si="548"/>
        <v>5</v>
      </c>
      <c r="C969" s="1034" t="str">
        <f t="shared" si="549"/>
        <v>AHMAD MUSADDAD</v>
      </c>
      <c r="D969" s="1035" t="str">
        <f t="shared" si="550"/>
        <v>5000 Dok</v>
      </c>
      <c r="E969" s="1036">
        <f t="shared" si="551"/>
        <v>2017</v>
      </c>
      <c r="F969" s="1035" t="str">
        <f t="shared" si="552"/>
        <v>AKTIF</v>
      </c>
      <c r="G969" s="1036">
        <f t="shared" si="553"/>
        <v>841917018</v>
      </c>
      <c r="H969" s="1038">
        <f t="shared" si="554"/>
        <v>6000000</v>
      </c>
      <c r="I969" s="1038">
        <f t="shared" si="555"/>
        <v>6000000</v>
      </c>
      <c r="J969" s="1038">
        <f t="shared" si="556"/>
        <v>12000000</v>
      </c>
      <c r="L969" s="1060">
        <f t="shared" si="547"/>
        <v>1</v>
      </c>
      <c r="M969" s="1060">
        <f t="shared" si="557"/>
        <v>0</v>
      </c>
      <c r="N969" s="1060">
        <f t="shared" si="558"/>
        <v>0</v>
      </c>
      <c r="O969" s="1060">
        <f t="shared" si="559"/>
        <v>0</v>
      </c>
      <c r="P969" s="1060">
        <f t="shared" si="560"/>
        <v>0</v>
      </c>
    </row>
    <row r="970" spans="1:16" x14ac:dyDescent="0.25">
      <c r="A970" s="1034">
        <v>1380</v>
      </c>
      <c r="B970" s="1034">
        <f t="shared" si="548"/>
        <v>6</v>
      </c>
      <c r="C970" s="1034" t="str">
        <f t="shared" si="549"/>
        <v>BADRUN FAWAIDI</v>
      </c>
      <c r="D970" s="1035" t="str">
        <f t="shared" si="550"/>
        <v>5000 Dok</v>
      </c>
      <c r="E970" s="1036">
        <f t="shared" si="551"/>
        <v>2017</v>
      </c>
      <c r="F970" s="1035" t="str">
        <f t="shared" si="552"/>
        <v>LULUS</v>
      </c>
      <c r="G970" s="1036">
        <f t="shared" si="553"/>
        <v>841917019</v>
      </c>
      <c r="H970" s="1038">
        <f t="shared" si="554"/>
        <v>0</v>
      </c>
      <c r="I970" s="1038">
        <f t="shared" si="555"/>
        <v>0</v>
      </c>
      <c r="J970" s="1038">
        <f t="shared" si="556"/>
        <v>0</v>
      </c>
      <c r="L970" s="1060">
        <f t="shared" si="547"/>
        <v>0</v>
      </c>
      <c r="M970" s="1060">
        <f t="shared" si="557"/>
        <v>1</v>
      </c>
      <c r="N970" s="1060">
        <f t="shared" si="558"/>
        <v>0</v>
      </c>
      <c r="O970" s="1060">
        <f t="shared" si="559"/>
        <v>0</v>
      </c>
      <c r="P970" s="1060">
        <f t="shared" si="560"/>
        <v>0</v>
      </c>
    </row>
    <row r="971" spans="1:16" x14ac:dyDescent="0.25">
      <c r="A971" s="1034">
        <v>1381</v>
      </c>
      <c r="B971" s="1034">
        <f t="shared" si="548"/>
        <v>7</v>
      </c>
      <c r="C971" s="1034" t="str">
        <f t="shared" si="549"/>
        <v>FATHORRAHMAN</v>
      </c>
      <c r="D971" s="1035" t="str">
        <f t="shared" si="550"/>
        <v>5000 Dok</v>
      </c>
      <c r="E971" s="1036">
        <f t="shared" si="551"/>
        <v>2017</v>
      </c>
      <c r="F971" s="1035" t="str">
        <f t="shared" si="552"/>
        <v>AKTIF</v>
      </c>
      <c r="G971" s="1036">
        <f t="shared" si="553"/>
        <v>841917020</v>
      </c>
      <c r="H971" s="1038">
        <f t="shared" si="554"/>
        <v>6000000</v>
      </c>
      <c r="I971" s="1038">
        <f t="shared" si="555"/>
        <v>6000000</v>
      </c>
      <c r="J971" s="1038">
        <f t="shared" si="556"/>
        <v>12000000</v>
      </c>
      <c r="L971" s="1060">
        <f t="shared" si="547"/>
        <v>1</v>
      </c>
      <c r="M971" s="1060">
        <f t="shared" si="557"/>
        <v>0</v>
      </c>
      <c r="N971" s="1060">
        <f t="shared" si="558"/>
        <v>0</v>
      </c>
      <c r="O971" s="1060">
        <f t="shared" si="559"/>
        <v>0</v>
      </c>
      <c r="P971" s="1060">
        <f t="shared" si="560"/>
        <v>0</v>
      </c>
    </row>
    <row r="972" spans="1:16" x14ac:dyDescent="0.25">
      <c r="A972" s="1034">
        <v>1382</v>
      </c>
      <c r="B972" s="1034">
        <f t="shared" si="548"/>
        <v>8</v>
      </c>
      <c r="C972" s="1034" t="str">
        <f t="shared" si="549"/>
        <v>HERMANTO HALIL</v>
      </c>
      <c r="D972" s="1035" t="str">
        <f t="shared" si="550"/>
        <v>5000 Dok</v>
      </c>
      <c r="E972" s="1036">
        <f t="shared" si="551"/>
        <v>2017</v>
      </c>
      <c r="F972" s="1035" t="str">
        <f t="shared" si="552"/>
        <v>LULUS</v>
      </c>
      <c r="G972" s="1036">
        <f t="shared" si="553"/>
        <v>841917021</v>
      </c>
      <c r="H972" s="1038">
        <f t="shared" si="554"/>
        <v>0</v>
      </c>
      <c r="I972" s="1038">
        <f t="shared" si="555"/>
        <v>0</v>
      </c>
      <c r="J972" s="1038">
        <f t="shared" si="556"/>
        <v>0</v>
      </c>
      <c r="L972" s="1060">
        <f t="shared" si="547"/>
        <v>0</v>
      </c>
      <c r="M972" s="1060">
        <f t="shared" si="557"/>
        <v>1</v>
      </c>
      <c r="N972" s="1060">
        <f t="shared" si="558"/>
        <v>0</v>
      </c>
      <c r="O972" s="1060">
        <f t="shared" si="559"/>
        <v>0</v>
      </c>
      <c r="P972" s="1060">
        <f t="shared" si="560"/>
        <v>0</v>
      </c>
    </row>
    <row r="973" spans="1:16" x14ac:dyDescent="0.25">
      <c r="A973" s="1034">
        <v>1383</v>
      </c>
      <c r="B973" s="1034">
        <f t="shared" si="548"/>
        <v>9</v>
      </c>
      <c r="C973" s="1034" t="str">
        <f t="shared" si="549"/>
        <v>IMAM WAHYONO</v>
      </c>
      <c r="D973" s="1035" t="str">
        <f t="shared" si="550"/>
        <v>5000 Dok</v>
      </c>
      <c r="E973" s="1036">
        <f t="shared" si="551"/>
        <v>2017</v>
      </c>
      <c r="F973" s="1035" t="str">
        <f t="shared" si="552"/>
        <v>AKTIF</v>
      </c>
      <c r="G973" s="1036">
        <f t="shared" si="553"/>
        <v>841917022</v>
      </c>
      <c r="H973" s="1038">
        <f t="shared" si="554"/>
        <v>6000000</v>
      </c>
      <c r="I973" s="1038">
        <f t="shared" si="555"/>
        <v>6000000</v>
      </c>
      <c r="J973" s="1038">
        <f t="shared" si="556"/>
        <v>12000000</v>
      </c>
      <c r="L973" s="1060">
        <f t="shared" si="547"/>
        <v>1</v>
      </c>
      <c r="M973" s="1060">
        <f t="shared" si="557"/>
        <v>0</v>
      </c>
      <c r="N973" s="1060">
        <f t="shared" si="558"/>
        <v>0</v>
      </c>
      <c r="O973" s="1060">
        <f t="shared" si="559"/>
        <v>0</v>
      </c>
      <c r="P973" s="1060">
        <f t="shared" si="560"/>
        <v>0</v>
      </c>
    </row>
    <row r="974" spans="1:16" x14ac:dyDescent="0.25">
      <c r="A974" s="1034">
        <v>1384</v>
      </c>
      <c r="B974" s="1034">
        <f t="shared" si="548"/>
        <v>10</v>
      </c>
      <c r="C974" s="1034" t="str">
        <f t="shared" si="549"/>
        <v>MOH. HAMZAH</v>
      </c>
      <c r="D974" s="1035" t="str">
        <f t="shared" si="550"/>
        <v>5000 Dok</v>
      </c>
      <c r="E974" s="1036">
        <f t="shared" si="551"/>
        <v>2017</v>
      </c>
      <c r="F974" s="1035" t="str">
        <f t="shared" si="552"/>
        <v>AKTIF</v>
      </c>
      <c r="G974" s="1036">
        <f t="shared" si="553"/>
        <v>841917023</v>
      </c>
      <c r="H974" s="1038">
        <f t="shared" si="554"/>
        <v>6000000</v>
      </c>
      <c r="I974" s="1038">
        <f t="shared" si="555"/>
        <v>6000000</v>
      </c>
      <c r="J974" s="1038">
        <f t="shared" si="556"/>
        <v>12000000</v>
      </c>
      <c r="L974" s="1060">
        <f t="shared" si="547"/>
        <v>1</v>
      </c>
      <c r="M974" s="1060">
        <f t="shared" si="557"/>
        <v>0</v>
      </c>
      <c r="N974" s="1060">
        <f t="shared" si="558"/>
        <v>0</v>
      </c>
      <c r="O974" s="1060">
        <f t="shared" si="559"/>
        <v>0</v>
      </c>
      <c r="P974" s="1060">
        <f t="shared" si="560"/>
        <v>0</v>
      </c>
    </row>
    <row r="975" spans="1:16" x14ac:dyDescent="0.25">
      <c r="A975" s="1034">
        <v>1385</v>
      </c>
      <c r="B975" s="1034">
        <f t="shared" si="548"/>
        <v>11</v>
      </c>
      <c r="C975" s="1034" t="str">
        <f t="shared" si="549"/>
        <v>MUHAMAD ARIFIN</v>
      </c>
      <c r="D975" s="1035" t="str">
        <f t="shared" si="550"/>
        <v>5000 Dok</v>
      </c>
      <c r="E975" s="1036">
        <f t="shared" si="551"/>
        <v>2017</v>
      </c>
      <c r="F975" s="1035" t="str">
        <f t="shared" si="552"/>
        <v>LULUS</v>
      </c>
      <c r="G975" s="1036">
        <f t="shared" si="553"/>
        <v>841917024</v>
      </c>
      <c r="H975" s="1038">
        <f t="shared" si="554"/>
        <v>0</v>
      </c>
      <c r="I975" s="1038">
        <f t="shared" si="555"/>
        <v>0</v>
      </c>
      <c r="J975" s="1038">
        <f t="shared" si="556"/>
        <v>0</v>
      </c>
      <c r="L975" s="1060">
        <f t="shared" si="547"/>
        <v>0</v>
      </c>
      <c r="M975" s="1060">
        <f t="shared" si="557"/>
        <v>1</v>
      </c>
      <c r="N975" s="1060">
        <f t="shared" si="558"/>
        <v>0</v>
      </c>
      <c r="O975" s="1060">
        <f t="shared" si="559"/>
        <v>0</v>
      </c>
      <c r="P975" s="1060">
        <f t="shared" si="560"/>
        <v>0</v>
      </c>
    </row>
    <row r="976" spans="1:16" x14ac:dyDescent="0.25">
      <c r="A976" s="1034">
        <v>1386</v>
      </c>
      <c r="B976" s="1034">
        <f t="shared" si="548"/>
        <v>12</v>
      </c>
      <c r="C976" s="1034" t="str">
        <f t="shared" si="549"/>
        <v>NAWAWI</v>
      </c>
      <c r="D976" s="1035" t="str">
        <f t="shared" si="550"/>
        <v>5000 Dok</v>
      </c>
      <c r="E976" s="1036">
        <f t="shared" si="551"/>
        <v>2017</v>
      </c>
      <c r="F976" s="1035" t="str">
        <f t="shared" si="552"/>
        <v>LULUS</v>
      </c>
      <c r="G976" s="1036">
        <f t="shared" si="553"/>
        <v>841917025</v>
      </c>
      <c r="H976" s="1038">
        <f t="shared" si="554"/>
        <v>0</v>
      </c>
      <c r="I976" s="1038">
        <f t="shared" si="555"/>
        <v>0</v>
      </c>
      <c r="J976" s="1038">
        <f t="shared" si="556"/>
        <v>0</v>
      </c>
      <c r="L976" s="1060">
        <f t="shared" si="547"/>
        <v>0</v>
      </c>
      <c r="M976" s="1060">
        <f t="shared" si="557"/>
        <v>1</v>
      </c>
      <c r="N976" s="1060">
        <f t="shared" si="558"/>
        <v>0</v>
      </c>
      <c r="O976" s="1060">
        <f t="shared" si="559"/>
        <v>0</v>
      </c>
      <c r="P976" s="1060">
        <f t="shared" si="560"/>
        <v>0</v>
      </c>
    </row>
    <row r="977" spans="1:16" x14ac:dyDescent="0.25">
      <c r="A977" s="1034">
        <v>1387</v>
      </c>
      <c r="B977" s="1034">
        <f t="shared" si="548"/>
        <v>13</v>
      </c>
      <c r="C977" s="1034" t="str">
        <f t="shared" si="549"/>
        <v>SUDARSONO</v>
      </c>
      <c r="D977" s="1035" t="str">
        <f t="shared" si="550"/>
        <v>5000 Dok</v>
      </c>
      <c r="E977" s="1036">
        <f t="shared" si="551"/>
        <v>2017</v>
      </c>
      <c r="F977" s="1035" t="str">
        <f t="shared" si="552"/>
        <v>LULUS</v>
      </c>
      <c r="G977" s="1036">
        <f t="shared" si="553"/>
        <v>841917026</v>
      </c>
      <c r="H977" s="1038">
        <f t="shared" si="554"/>
        <v>0</v>
      </c>
      <c r="I977" s="1038">
        <f t="shared" si="555"/>
        <v>0</v>
      </c>
      <c r="J977" s="1038">
        <f t="shared" si="556"/>
        <v>0</v>
      </c>
      <c r="L977" s="1060">
        <f t="shared" si="547"/>
        <v>0</v>
      </c>
      <c r="M977" s="1060">
        <f t="shared" si="557"/>
        <v>1</v>
      </c>
      <c r="N977" s="1060">
        <f t="shared" si="558"/>
        <v>0</v>
      </c>
      <c r="O977" s="1060">
        <f t="shared" si="559"/>
        <v>0</v>
      </c>
      <c r="P977" s="1060">
        <f t="shared" si="560"/>
        <v>0</v>
      </c>
    </row>
    <row r="978" spans="1:16" x14ac:dyDescent="0.25">
      <c r="A978" s="1034">
        <v>1388</v>
      </c>
      <c r="B978" s="1034">
        <f t="shared" si="548"/>
        <v>14</v>
      </c>
      <c r="C978" s="1034" t="str">
        <f t="shared" si="549"/>
        <v>YUDI ARDIAN RAHMAN</v>
      </c>
      <c r="D978" s="1035" t="str">
        <f t="shared" si="550"/>
        <v>5000 Dok</v>
      </c>
      <c r="E978" s="1036">
        <f t="shared" si="551"/>
        <v>2017</v>
      </c>
      <c r="F978" s="1035" t="str">
        <f t="shared" si="552"/>
        <v>LULUS</v>
      </c>
      <c r="G978" s="1036">
        <f t="shared" si="553"/>
        <v>841917027</v>
      </c>
      <c r="H978" s="1038">
        <f t="shared" si="554"/>
        <v>0</v>
      </c>
      <c r="I978" s="1038">
        <f t="shared" si="555"/>
        <v>0</v>
      </c>
      <c r="J978" s="1038">
        <f t="shared" si="556"/>
        <v>0</v>
      </c>
      <c r="L978" s="1060">
        <f t="shared" si="547"/>
        <v>0</v>
      </c>
      <c r="M978" s="1060">
        <f t="shared" si="557"/>
        <v>1</v>
      </c>
      <c r="N978" s="1060">
        <f t="shared" si="558"/>
        <v>0</v>
      </c>
      <c r="O978" s="1060">
        <f t="shared" si="559"/>
        <v>0</v>
      </c>
      <c r="P978" s="1060">
        <f t="shared" si="560"/>
        <v>0</v>
      </c>
    </row>
    <row r="979" spans="1:16" x14ac:dyDescent="0.25">
      <c r="A979" s="1034">
        <v>1389</v>
      </c>
      <c r="B979" s="1034">
        <f t="shared" si="548"/>
        <v>15</v>
      </c>
      <c r="C979" s="1034" t="str">
        <f t="shared" si="549"/>
        <v>ZAENALFANANI</v>
      </c>
      <c r="D979" s="1035" t="str">
        <f t="shared" si="550"/>
        <v>5000 Dok</v>
      </c>
      <c r="E979" s="1036">
        <f t="shared" si="551"/>
        <v>2017</v>
      </c>
      <c r="F979" s="1035" t="str">
        <f t="shared" si="552"/>
        <v>LULUS</v>
      </c>
      <c r="G979" s="1036">
        <f t="shared" si="553"/>
        <v>841917028</v>
      </c>
      <c r="H979" s="1038">
        <f t="shared" si="554"/>
        <v>0</v>
      </c>
      <c r="I979" s="1038">
        <f t="shared" si="555"/>
        <v>0</v>
      </c>
      <c r="J979" s="1038">
        <f t="shared" si="556"/>
        <v>0</v>
      </c>
      <c r="L979" s="1060">
        <f t="shared" si="547"/>
        <v>0</v>
      </c>
      <c r="M979" s="1060">
        <f t="shared" si="557"/>
        <v>1</v>
      </c>
      <c r="N979" s="1060">
        <f t="shared" si="558"/>
        <v>0</v>
      </c>
      <c r="O979" s="1060">
        <f t="shared" si="559"/>
        <v>0</v>
      </c>
      <c r="P979" s="1060">
        <f t="shared" si="560"/>
        <v>0</v>
      </c>
    </row>
    <row r="980" spans="1:16" x14ac:dyDescent="0.25">
      <c r="A980" s="1034">
        <v>1390</v>
      </c>
      <c r="B980" s="1034">
        <f t="shared" si="548"/>
        <v>16</v>
      </c>
      <c r="C980" s="1034" t="str">
        <f t="shared" si="549"/>
        <v>ZAINAL ABIDIN</v>
      </c>
      <c r="D980" s="1035" t="str">
        <f t="shared" si="550"/>
        <v>5000 Dok</v>
      </c>
      <c r="E980" s="1036">
        <f t="shared" si="551"/>
        <v>2017</v>
      </c>
      <c r="F980" s="1035" t="str">
        <f t="shared" si="552"/>
        <v>LULUS</v>
      </c>
      <c r="G980" s="1036">
        <f t="shared" si="553"/>
        <v>841917029</v>
      </c>
      <c r="H980" s="1038">
        <f t="shared" si="554"/>
        <v>0</v>
      </c>
      <c r="I980" s="1038">
        <f t="shared" si="555"/>
        <v>0</v>
      </c>
      <c r="J980" s="1038">
        <f t="shared" si="556"/>
        <v>0</v>
      </c>
      <c r="L980" s="1060">
        <f t="shared" si="547"/>
        <v>0</v>
      </c>
      <c r="M980" s="1060">
        <f t="shared" si="557"/>
        <v>1</v>
      </c>
      <c r="N980" s="1060">
        <f t="shared" si="558"/>
        <v>0</v>
      </c>
      <c r="O980" s="1060">
        <f t="shared" si="559"/>
        <v>0</v>
      </c>
      <c r="P980" s="1060">
        <f t="shared" si="560"/>
        <v>0</v>
      </c>
    </row>
    <row r="981" spans="1:16" x14ac:dyDescent="0.25">
      <c r="A981" s="1039"/>
      <c r="B981" s="1039" t="str">
        <f t="shared" si="548"/>
        <v/>
      </c>
      <c r="C981" s="1039" t="str">
        <f t="shared" si="549"/>
        <v/>
      </c>
      <c r="D981" s="1040" t="str">
        <f t="shared" si="550"/>
        <v/>
      </c>
      <c r="E981" s="1041" t="str">
        <f t="shared" si="551"/>
        <v/>
      </c>
      <c r="F981" s="1040"/>
      <c r="G981" s="1041" t="str">
        <f t="shared" si="553"/>
        <v/>
      </c>
      <c r="H981" s="1042" t="str">
        <f>IFERROR(VLOOKUP(A981,DB,45,FALSE),"")</f>
        <v/>
      </c>
      <c r="I981" s="1042" t="str">
        <f>IFERROR(VLOOKUP(A981,DB,46,FALSE),"")</f>
        <v/>
      </c>
      <c r="J981" s="1042" t="str">
        <f>IFERROR(VLOOKUP(A981,DB,47,FALSE),"")</f>
        <v/>
      </c>
    </row>
    <row r="982" spans="1:16" x14ac:dyDescent="0.25">
      <c r="A982" s="1076" t="str">
        <f>'Rekap SPP'!A1507</f>
        <v>S2-MPI 2018/2019</v>
      </c>
      <c r="B982" s="1077"/>
      <c r="C982" s="1077"/>
      <c r="D982" s="1033" t="s">
        <v>3</v>
      </c>
      <c r="E982" s="1032" t="s">
        <v>4</v>
      </c>
      <c r="F982" s="1033" t="s">
        <v>3195</v>
      </c>
      <c r="G982" s="1032" t="s">
        <v>1</v>
      </c>
      <c r="H982" s="1033" t="s">
        <v>3362</v>
      </c>
      <c r="I982" s="1033" t="s">
        <v>3341</v>
      </c>
      <c r="J982" s="1062">
        <f>SUM(J983:J1026)</f>
        <v>313800000</v>
      </c>
      <c r="L982" s="1063">
        <f>SUM(L983:L1033)</f>
        <v>29</v>
      </c>
      <c r="M982" s="1063">
        <f>SUM(M983:M1033)</f>
        <v>6</v>
      </c>
      <c r="N982" s="1063">
        <f>SUM(N983:N1033)</f>
        <v>3</v>
      </c>
      <c r="O982" s="1063">
        <f>SUM(O983:O1033)</f>
        <v>0</v>
      </c>
      <c r="P982" s="1063">
        <f>SUM(P983:P1033)</f>
        <v>12</v>
      </c>
    </row>
    <row r="983" spans="1:16" x14ac:dyDescent="0.25">
      <c r="A983" s="1039">
        <v>1391</v>
      </c>
      <c r="B983" s="1039">
        <f>IFERROR(VLOOKUP(A983,DB,2,FALSE),"")</f>
        <v>1</v>
      </c>
      <c r="C983" s="1039" t="str">
        <f t="shared" ref="C983:C1014" si="561">IFERROR(VLOOKUP(A983,DB,4,FALSE),"")</f>
        <v>Agus Firmanto</v>
      </c>
      <c r="D983" s="1040" t="str">
        <f t="shared" ref="D983:D1014" si="562">IFERROR(VLOOKUP(A983,DB,5,FALSE),"")</f>
        <v>MPI-3A</v>
      </c>
      <c r="E983" s="1041">
        <f t="shared" ref="E983:E1014" si="563">IFERROR(VLOOKUP(A983,DB,6,FALSE),"")</f>
        <v>2018</v>
      </c>
      <c r="F983" s="1040" t="str">
        <f t="shared" ref="F983:F1014" si="564">IFERROR(VLOOKUP(A983,DB,7,FALSE),"")</f>
        <v>AKTIF</v>
      </c>
      <c r="G983" s="1041">
        <f t="shared" ref="G983:G1014" si="565">IFERROR(VLOOKUP(A983,DB,3,FALSE),"")</f>
        <v>849118036</v>
      </c>
      <c r="H983" s="1042">
        <f>IF(F983="AKTIF",6450000,IF(F983="CUTI",3000000,0))</f>
        <v>6450000</v>
      </c>
      <c r="I983" s="1042">
        <f>IF(F983="AKTIF",3750000,IF(F983="CUTI",3000000,0))</f>
        <v>3750000</v>
      </c>
      <c r="J983" s="1042">
        <f t="shared" ref="J983:J1055" si="566">I983+H983</f>
        <v>10200000</v>
      </c>
      <c r="L983" s="1060">
        <f>IF(F983="AKTIF",1,0)</f>
        <v>1</v>
      </c>
      <c r="M983" s="1060">
        <f t="shared" ref="M983:M1026" si="567">IF(F983="LULUS",1,0)</f>
        <v>0</v>
      </c>
      <c r="N983" s="1060">
        <f t="shared" ref="N983:N1026" si="568">IF(F983="CUTI",1,0)</f>
        <v>0</v>
      </c>
      <c r="O983" s="1060">
        <f t="shared" ref="O983:O1026" si="569">IF(F983="DROP OUT",1,0)</f>
        <v>0</v>
      </c>
      <c r="P983" s="1060">
        <f t="shared" ref="P983:P1026" si="570">IF(F983="PASIF",1,0)</f>
        <v>0</v>
      </c>
    </row>
    <row r="984" spans="1:16" x14ac:dyDescent="0.25">
      <c r="A984" s="1039">
        <v>1392</v>
      </c>
      <c r="B984" s="1039">
        <f t="shared" si="548"/>
        <v>2</v>
      </c>
      <c r="C984" s="1039" t="str">
        <f t="shared" si="561"/>
        <v>Muhammad Sidiq Purnomo</v>
      </c>
      <c r="D984" s="1040" t="str">
        <f t="shared" si="562"/>
        <v>MPI-3A</v>
      </c>
      <c r="E984" s="1041">
        <f t="shared" si="563"/>
        <v>2018</v>
      </c>
      <c r="F984" s="1040" t="str">
        <f t="shared" si="564"/>
        <v>LULUS</v>
      </c>
      <c r="G984" s="1041">
        <f t="shared" si="565"/>
        <v>849118039</v>
      </c>
      <c r="H984" s="1042">
        <f t="shared" ref="H984:H1056" si="571">IF(F984="AKTIF",6450000,IF(F984="CUTI",3000000,0))</f>
        <v>0</v>
      </c>
      <c r="I984" s="1042">
        <f t="shared" ref="I984:I1056" si="572">IF(F984="AKTIF",3750000,IF(F984="CUTI",3000000,0))</f>
        <v>0</v>
      </c>
      <c r="J984" s="1042">
        <f t="shared" si="566"/>
        <v>0</v>
      </c>
      <c r="L984" s="1060">
        <f t="shared" ref="L984:L1026" si="573">IF(F984="AKTIF",1,0)</f>
        <v>0</v>
      </c>
      <c r="M984" s="1060">
        <f t="shared" si="567"/>
        <v>1</v>
      </c>
      <c r="N984" s="1060">
        <f t="shared" si="568"/>
        <v>0</v>
      </c>
      <c r="O984" s="1060">
        <f t="shared" si="569"/>
        <v>0</v>
      </c>
      <c r="P984" s="1060">
        <f t="shared" si="570"/>
        <v>0</v>
      </c>
    </row>
    <row r="985" spans="1:16" x14ac:dyDescent="0.25">
      <c r="A985" s="1039">
        <v>1393</v>
      </c>
      <c r="B985" s="1039">
        <f t="shared" si="548"/>
        <v>3</v>
      </c>
      <c r="C985" s="1039" t="str">
        <f t="shared" si="561"/>
        <v>Taufiqurrahman</v>
      </c>
      <c r="D985" s="1040" t="str">
        <f t="shared" si="562"/>
        <v>MPI-3A</v>
      </c>
      <c r="E985" s="1041">
        <f t="shared" si="563"/>
        <v>2018</v>
      </c>
      <c r="F985" s="1040" t="str">
        <f t="shared" si="564"/>
        <v>PASIF</v>
      </c>
      <c r="G985" s="1041">
        <f t="shared" si="565"/>
        <v>849118040</v>
      </c>
      <c r="H985" s="1042">
        <f t="shared" si="571"/>
        <v>0</v>
      </c>
      <c r="I985" s="1042">
        <f t="shared" si="572"/>
        <v>0</v>
      </c>
      <c r="J985" s="1042">
        <f t="shared" si="566"/>
        <v>0</v>
      </c>
      <c r="L985" s="1060">
        <f t="shared" si="573"/>
        <v>0</v>
      </c>
      <c r="M985" s="1060">
        <f t="shared" si="567"/>
        <v>0</v>
      </c>
      <c r="N985" s="1060">
        <f t="shared" si="568"/>
        <v>0</v>
      </c>
      <c r="O985" s="1060">
        <f t="shared" si="569"/>
        <v>0</v>
      </c>
      <c r="P985" s="1060">
        <f t="shared" si="570"/>
        <v>1</v>
      </c>
    </row>
    <row r="986" spans="1:16" x14ac:dyDescent="0.25">
      <c r="A986" s="1039">
        <v>1394</v>
      </c>
      <c r="B986" s="1039">
        <f t="shared" si="548"/>
        <v>4</v>
      </c>
      <c r="C986" s="1039" t="str">
        <f t="shared" si="561"/>
        <v>Abdul Karim Amrulloh</v>
      </c>
      <c r="D986" s="1040" t="str">
        <f t="shared" si="562"/>
        <v>MPI-3A</v>
      </c>
      <c r="E986" s="1041">
        <f t="shared" si="563"/>
        <v>2018</v>
      </c>
      <c r="F986" s="1040" t="str">
        <f t="shared" si="564"/>
        <v>PASIF</v>
      </c>
      <c r="G986" s="1041">
        <f t="shared" si="565"/>
        <v>849118041</v>
      </c>
      <c r="H986" s="1042">
        <f t="shared" si="571"/>
        <v>0</v>
      </c>
      <c r="I986" s="1042">
        <f t="shared" si="572"/>
        <v>0</v>
      </c>
      <c r="J986" s="1042">
        <f t="shared" si="566"/>
        <v>0</v>
      </c>
      <c r="L986" s="1060">
        <f t="shared" si="573"/>
        <v>0</v>
      </c>
      <c r="M986" s="1060">
        <f t="shared" si="567"/>
        <v>0</v>
      </c>
      <c r="N986" s="1060">
        <f t="shared" si="568"/>
        <v>0</v>
      </c>
      <c r="O986" s="1060">
        <f t="shared" si="569"/>
        <v>0</v>
      </c>
      <c r="P986" s="1060">
        <f t="shared" si="570"/>
        <v>1</v>
      </c>
    </row>
    <row r="987" spans="1:16" x14ac:dyDescent="0.25">
      <c r="A987" s="1039">
        <v>1395</v>
      </c>
      <c r="B987" s="1039">
        <f t="shared" si="548"/>
        <v>5</v>
      </c>
      <c r="C987" s="1039" t="str">
        <f t="shared" si="561"/>
        <v>Slamet Riadi</v>
      </c>
      <c r="D987" s="1040" t="str">
        <f t="shared" si="562"/>
        <v>MPI-3A</v>
      </c>
      <c r="E987" s="1041">
        <f t="shared" si="563"/>
        <v>2018</v>
      </c>
      <c r="F987" s="1040" t="str">
        <f t="shared" si="564"/>
        <v>AKTIF</v>
      </c>
      <c r="G987" s="1041">
        <f t="shared" si="565"/>
        <v>849118042</v>
      </c>
      <c r="H987" s="1042">
        <f t="shared" si="571"/>
        <v>6450000</v>
      </c>
      <c r="I987" s="1042">
        <f t="shared" si="572"/>
        <v>3750000</v>
      </c>
      <c r="J987" s="1042">
        <f t="shared" si="566"/>
        <v>10200000</v>
      </c>
      <c r="L987" s="1060">
        <f t="shared" si="573"/>
        <v>1</v>
      </c>
      <c r="M987" s="1060">
        <f t="shared" si="567"/>
        <v>0</v>
      </c>
      <c r="N987" s="1060">
        <f t="shared" si="568"/>
        <v>0</v>
      </c>
      <c r="O987" s="1060">
        <f t="shared" si="569"/>
        <v>0</v>
      </c>
      <c r="P987" s="1060">
        <f t="shared" si="570"/>
        <v>0</v>
      </c>
    </row>
    <row r="988" spans="1:16" x14ac:dyDescent="0.25">
      <c r="A988" s="1039">
        <v>1396</v>
      </c>
      <c r="B988" s="1039">
        <f t="shared" si="548"/>
        <v>6</v>
      </c>
      <c r="C988" s="1039" t="str">
        <f t="shared" si="561"/>
        <v>Abdurrahman</v>
      </c>
      <c r="D988" s="1040" t="str">
        <f t="shared" si="562"/>
        <v>MPI-3A</v>
      </c>
      <c r="E988" s="1041">
        <f t="shared" si="563"/>
        <v>2018</v>
      </c>
      <c r="F988" s="1040" t="str">
        <f t="shared" si="564"/>
        <v>AKTIF</v>
      </c>
      <c r="G988" s="1041">
        <f t="shared" si="565"/>
        <v>849118043</v>
      </c>
      <c r="H988" s="1042">
        <f t="shared" si="571"/>
        <v>6450000</v>
      </c>
      <c r="I988" s="1042">
        <f t="shared" si="572"/>
        <v>3750000</v>
      </c>
      <c r="J988" s="1042">
        <f t="shared" si="566"/>
        <v>10200000</v>
      </c>
      <c r="L988" s="1060">
        <f t="shared" si="573"/>
        <v>1</v>
      </c>
      <c r="M988" s="1060">
        <f t="shared" si="567"/>
        <v>0</v>
      </c>
      <c r="N988" s="1060">
        <f t="shared" si="568"/>
        <v>0</v>
      </c>
      <c r="O988" s="1060">
        <f t="shared" si="569"/>
        <v>0</v>
      </c>
      <c r="P988" s="1060">
        <f t="shared" si="570"/>
        <v>0</v>
      </c>
    </row>
    <row r="989" spans="1:16" x14ac:dyDescent="0.25">
      <c r="A989" s="1039">
        <v>1397</v>
      </c>
      <c r="B989" s="1039">
        <f t="shared" si="548"/>
        <v>7</v>
      </c>
      <c r="C989" s="1039" t="str">
        <f t="shared" si="561"/>
        <v>Dian Purnama</v>
      </c>
      <c r="D989" s="1040" t="str">
        <f t="shared" si="562"/>
        <v>MPI-3A</v>
      </c>
      <c r="E989" s="1041">
        <f t="shared" si="563"/>
        <v>2018</v>
      </c>
      <c r="F989" s="1040" t="str">
        <f t="shared" si="564"/>
        <v>AKTIF</v>
      </c>
      <c r="G989" s="1041">
        <f t="shared" si="565"/>
        <v>849118044</v>
      </c>
      <c r="H989" s="1042">
        <f t="shared" si="571"/>
        <v>6450000</v>
      </c>
      <c r="I989" s="1042">
        <f t="shared" si="572"/>
        <v>3750000</v>
      </c>
      <c r="J989" s="1042">
        <f t="shared" si="566"/>
        <v>10200000</v>
      </c>
      <c r="L989" s="1060">
        <f t="shared" si="573"/>
        <v>1</v>
      </c>
      <c r="M989" s="1060">
        <f t="shared" si="567"/>
        <v>0</v>
      </c>
      <c r="N989" s="1060">
        <f t="shared" si="568"/>
        <v>0</v>
      </c>
      <c r="O989" s="1060">
        <f t="shared" si="569"/>
        <v>0</v>
      </c>
      <c r="P989" s="1060">
        <f t="shared" si="570"/>
        <v>0</v>
      </c>
    </row>
    <row r="990" spans="1:16" x14ac:dyDescent="0.25">
      <c r="A990" s="1039">
        <v>1398</v>
      </c>
      <c r="B990" s="1039">
        <f t="shared" si="548"/>
        <v>8</v>
      </c>
      <c r="C990" s="1039" t="str">
        <f t="shared" si="561"/>
        <v>Ahsan Saiful Rijal</v>
      </c>
      <c r="D990" s="1040" t="str">
        <f t="shared" si="562"/>
        <v>MPI-3A</v>
      </c>
      <c r="E990" s="1041">
        <f t="shared" si="563"/>
        <v>2018</v>
      </c>
      <c r="F990" s="1040" t="str">
        <f t="shared" si="564"/>
        <v>AKTIF</v>
      </c>
      <c r="G990" s="1041">
        <f t="shared" si="565"/>
        <v>849118045</v>
      </c>
      <c r="H990" s="1042">
        <f t="shared" si="571"/>
        <v>6450000</v>
      </c>
      <c r="I990" s="1042">
        <f t="shared" si="572"/>
        <v>3750000</v>
      </c>
      <c r="J990" s="1042">
        <f t="shared" si="566"/>
        <v>10200000</v>
      </c>
      <c r="L990" s="1060">
        <f t="shared" si="573"/>
        <v>1</v>
      </c>
      <c r="M990" s="1060">
        <f t="shared" si="567"/>
        <v>0</v>
      </c>
      <c r="N990" s="1060">
        <f t="shared" si="568"/>
        <v>0</v>
      </c>
      <c r="O990" s="1060">
        <f t="shared" si="569"/>
        <v>0</v>
      </c>
      <c r="P990" s="1060">
        <f t="shared" si="570"/>
        <v>0</v>
      </c>
    </row>
    <row r="991" spans="1:16" x14ac:dyDescent="0.25">
      <c r="A991" s="1039">
        <v>1399</v>
      </c>
      <c r="B991" s="1039">
        <f t="shared" si="548"/>
        <v>9</v>
      </c>
      <c r="C991" s="1039" t="str">
        <f t="shared" si="561"/>
        <v>Ismi Noerul Izzah</v>
      </c>
      <c r="D991" s="1040" t="str">
        <f t="shared" si="562"/>
        <v>MPI-3B</v>
      </c>
      <c r="E991" s="1041">
        <f t="shared" si="563"/>
        <v>2018</v>
      </c>
      <c r="F991" s="1040" t="str">
        <f t="shared" si="564"/>
        <v>AKTIF</v>
      </c>
      <c r="G991" s="1041">
        <f t="shared" si="565"/>
        <v>849118001</v>
      </c>
      <c r="H991" s="1042">
        <f t="shared" si="571"/>
        <v>6450000</v>
      </c>
      <c r="I991" s="1042">
        <f t="shared" si="572"/>
        <v>3750000</v>
      </c>
      <c r="J991" s="1042">
        <f t="shared" si="566"/>
        <v>10200000</v>
      </c>
      <c r="L991" s="1060">
        <f t="shared" si="573"/>
        <v>1</v>
      </c>
      <c r="M991" s="1060">
        <f t="shared" si="567"/>
        <v>0</v>
      </c>
      <c r="N991" s="1060">
        <f t="shared" si="568"/>
        <v>0</v>
      </c>
      <c r="O991" s="1060">
        <f t="shared" si="569"/>
        <v>0</v>
      </c>
      <c r="P991" s="1060">
        <f t="shared" si="570"/>
        <v>0</v>
      </c>
    </row>
    <row r="992" spans="1:16" x14ac:dyDescent="0.25">
      <c r="A992" s="1039">
        <v>1400</v>
      </c>
      <c r="B992" s="1039">
        <f t="shared" si="548"/>
        <v>10</v>
      </c>
      <c r="C992" s="1039" t="str">
        <f t="shared" si="561"/>
        <v>Fathorrozi</v>
      </c>
      <c r="D992" s="1040" t="str">
        <f t="shared" si="562"/>
        <v>MPI-3B</v>
      </c>
      <c r="E992" s="1041">
        <f t="shared" si="563"/>
        <v>2018</v>
      </c>
      <c r="F992" s="1040" t="str">
        <f t="shared" si="564"/>
        <v>AKTIF</v>
      </c>
      <c r="G992" s="1041">
        <f t="shared" si="565"/>
        <v>849118002</v>
      </c>
      <c r="H992" s="1042">
        <f t="shared" si="571"/>
        <v>6450000</v>
      </c>
      <c r="I992" s="1042">
        <f t="shared" si="572"/>
        <v>3750000</v>
      </c>
      <c r="J992" s="1042">
        <f t="shared" si="566"/>
        <v>10200000</v>
      </c>
      <c r="L992" s="1060">
        <f t="shared" si="573"/>
        <v>1</v>
      </c>
      <c r="M992" s="1060">
        <f t="shared" si="567"/>
        <v>0</v>
      </c>
      <c r="N992" s="1060">
        <f t="shared" si="568"/>
        <v>0</v>
      </c>
      <c r="O992" s="1060">
        <f t="shared" si="569"/>
        <v>0</v>
      </c>
      <c r="P992" s="1060">
        <f t="shared" si="570"/>
        <v>0</v>
      </c>
    </row>
    <row r="993" spans="1:16" x14ac:dyDescent="0.25">
      <c r="A993" s="1039">
        <v>1401</v>
      </c>
      <c r="B993" s="1039">
        <f t="shared" si="548"/>
        <v>11</v>
      </c>
      <c r="C993" s="1039" t="str">
        <f t="shared" si="561"/>
        <v>Latifatul Muniroh</v>
      </c>
      <c r="D993" s="1040" t="str">
        <f t="shared" si="562"/>
        <v>MPI-3B</v>
      </c>
      <c r="E993" s="1041">
        <f t="shared" si="563"/>
        <v>2018</v>
      </c>
      <c r="F993" s="1040" t="str">
        <f t="shared" si="564"/>
        <v>CUTI</v>
      </c>
      <c r="G993" s="1041">
        <f t="shared" si="565"/>
        <v>849118003</v>
      </c>
      <c r="H993" s="1042">
        <f t="shared" si="571"/>
        <v>3000000</v>
      </c>
      <c r="I993" s="1042">
        <f t="shared" si="572"/>
        <v>3000000</v>
      </c>
      <c r="J993" s="1042">
        <f t="shared" si="566"/>
        <v>6000000</v>
      </c>
      <c r="L993" s="1060">
        <f t="shared" si="573"/>
        <v>0</v>
      </c>
      <c r="M993" s="1060">
        <f t="shared" si="567"/>
        <v>0</v>
      </c>
      <c r="N993" s="1060">
        <f t="shared" si="568"/>
        <v>1</v>
      </c>
      <c r="O993" s="1060">
        <f t="shared" si="569"/>
        <v>0</v>
      </c>
      <c r="P993" s="1060">
        <f t="shared" si="570"/>
        <v>0</v>
      </c>
    </row>
    <row r="994" spans="1:16" x14ac:dyDescent="0.25">
      <c r="A994" s="1039">
        <v>1402</v>
      </c>
      <c r="B994" s="1039">
        <f t="shared" si="548"/>
        <v>12</v>
      </c>
      <c r="C994" s="1039" t="str">
        <f t="shared" si="561"/>
        <v>Elin Ida Sabti</v>
      </c>
      <c r="D994" s="1040" t="str">
        <f t="shared" si="562"/>
        <v>MPI-3B</v>
      </c>
      <c r="E994" s="1041">
        <f t="shared" si="563"/>
        <v>2018</v>
      </c>
      <c r="F994" s="1040" t="str">
        <f t="shared" si="564"/>
        <v>AKTIF</v>
      </c>
      <c r="G994" s="1041">
        <f t="shared" si="565"/>
        <v>849118004</v>
      </c>
      <c r="H994" s="1042">
        <f t="shared" si="571"/>
        <v>6450000</v>
      </c>
      <c r="I994" s="1042">
        <f t="shared" si="572"/>
        <v>3750000</v>
      </c>
      <c r="J994" s="1042">
        <f t="shared" si="566"/>
        <v>10200000</v>
      </c>
      <c r="L994" s="1060">
        <f t="shared" si="573"/>
        <v>1</v>
      </c>
      <c r="M994" s="1060">
        <f t="shared" si="567"/>
        <v>0</v>
      </c>
      <c r="N994" s="1060">
        <f t="shared" si="568"/>
        <v>0</v>
      </c>
      <c r="O994" s="1060">
        <f t="shared" si="569"/>
        <v>0</v>
      </c>
      <c r="P994" s="1060">
        <f t="shared" si="570"/>
        <v>0</v>
      </c>
    </row>
    <row r="995" spans="1:16" x14ac:dyDescent="0.25">
      <c r="A995" s="1039">
        <v>1403</v>
      </c>
      <c r="B995" s="1039">
        <f t="shared" si="548"/>
        <v>13</v>
      </c>
      <c r="C995" s="1039" t="str">
        <f t="shared" si="561"/>
        <v>Siti Khomariyah</v>
      </c>
      <c r="D995" s="1040" t="str">
        <f t="shared" si="562"/>
        <v>MPI-3B</v>
      </c>
      <c r="E995" s="1041">
        <f t="shared" si="563"/>
        <v>2018</v>
      </c>
      <c r="F995" s="1040" t="str">
        <f t="shared" si="564"/>
        <v>AKTIF</v>
      </c>
      <c r="G995" s="1041">
        <f t="shared" si="565"/>
        <v>849118005</v>
      </c>
      <c r="H995" s="1042">
        <f t="shared" si="571"/>
        <v>6450000</v>
      </c>
      <c r="I995" s="1042">
        <f t="shared" si="572"/>
        <v>3750000</v>
      </c>
      <c r="J995" s="1042">
        <f t="shared" si="566"/>
        <v>10200000</v>
      </c>
      <c r="L995" s="1060">
        <f t="shared" si="573"/>
        <v>1</v>
      </c>
      <c r="M995" s="1060">
        <f t="shared" si="567"/>
        <v>0</v>
      </c>
      <c r="N995" s="1060">
        <f t="shared" si="568"/>
        <v>0</v>
      </c>
      <c r="O995" s="1060">
        <f t="shared" si="569"/>
        <v>0</v>
      </c>
      <c r="P995" s="1060">
        <f t="shared" si="570"/>
        <v>0</v>
      </c>
    </row>
    <row r="996" spans="1:16" x14ac:dyDescent="0.25">
      <c r="A996" s="1039">
        <v>1404</v>
      </c>
      <c r="B996" s="1039">
        <f t="shared" si="548"/>
        <v>14</v>
      </c>
      <c r="C996" s="1039" t="str">
        <f t="shared" si="561"/>
        <v>Vina Zuhria</v>
      </c>
      <c r="D996" s="1040" t="str">
        <f t="shared" si="562"/>
        <v>MPI-3B</v>
      </c>
      <c r="E996" s="1041">
        <f t="shared" si="563"/>
        <v>2018</v>
      </c>
      <c r="F996" s="1040" t="str">
        <f t="shared" si="564"/>
        <v>AKTIF</v>
      </c>
      <c r="G996" s="1041">
        <f t="shared" si="565"/>
        <v>849118006</v>
      </c>
      <c r="H996" s="1042">
        <f t="shared" si="571"/>
        <v>6450000</v>
      </c>
      <c r="I996" s="1042">
        <f t="shared" si="572"/>
        <v>3750000</v>
      </c>
      <c r="J996" s="1042">
        <f t="shared" si="566"/>
        <v>10200000</v>
      </c>
      <c r="L996" s="1060">
        <f t="shared" si="573"/>
        <v>1</v>
      </c>
      <c r="M996" s="1060">
        <f t="shared" si="567"/>
        <v>0</v>
      </c>
      <c r="N996" s="1060">
        <f t="shared" si="568"/>
        <v>0</v>
      </c>
      <c r="O996" s="1060">
        <f t="shared" si="569"/>
        <v>0</v>
      </c>
      <c r="P996" s="1060">
        <f t="shared" si="570"/>
        <v>0</v>
      </c>
    </row>
    <row r="997" spans="1:16" x14ac:dyDescent="0.25">
      <c r="A997" s="1039">
        <v>1405</v>
      </c>
      <c r="B997" s="1039">
        <f t="shared" si="548"/>
        <v>15</v>
      </c>
      <c r="C997" s="1039" t="str">
        <f t="shared" si="561"/>
        <v>Ahmad Zainul Hasan</v>
      </c>
      <c r="D997" s="1040" t="str">
        <f t="shared" si="562"/>
        <v>MPI-3B</v>
      </c>
      <c r="E997" s="1041">
        <f t="shared" si="563"/>
        <v>2018</v>
      </c>
      <c r="F997" s="1040" t="str">
        <f t="shared" si="564"/>
        <v>AKTIF</v>
      </c>
      <c r="G997" s="1041">
        <f t="shared" si="565"/>
        <v>849118007</v>
      </c>
      <c r="H997" s="1042">
        <f t="shared" si="571"/>
        <v>6450000</v>
      </c>
      <c r="I997" s="1042">
        <f t="shared" si="572"/>
        <v>3750000</v>
      </c>
      <c r="J997" s="1042">
        <f t="shared" si="566"/>
        <v>10200000</v>
      </c>
      <c r="L997" s="1060">
        <f t="shared" si="573"/>
        <v>1</v>
      </c>
      <c r="M997" s="1060">
        <f t="shared" si="567"/>
        <v>0</v>
      </c>
      <c r="N997" s="1060">
        <f t="shared" si="568"/>
        <v>0</v>
      </c>
      <c r="O997" s="1060">
        <f t="shared" si="569"/>
        <v>0</v>
      </c>
      <c r="P997" s="1060">
        <f t="shared" si="570"/>
        <v>0</v>
      </c>
    </row>
    <row r="998" spans="1:16" x14ac:dyDescent="0.25">
      <c r="A998" s="1039">
        <v>1406</v>
      </c>
      <c r="B998" s="1039">
        <f t="shared" si="548"/>
        <v>16</v>
      </c>
      <c r="C998" s="1039" t="str">
        <f t="shared" si="561"/>
        <v>Musrifah</v>
      </c>
      <c r="D998" s="1040" t="str">
        <f t="shared" si="562"/>
        <v>MPI-3B</v>
      </c>
      <c r="E998" s="1041">
        <f t="shared" si="563"/>
        <v>2018</v>
      </c>
      <c r="F998" s="1040" t="str">
        <f t="shared" si="564"/>
        <v>AKTIF</v>
      </c>
      <c r="G998" s="1041">
        <f t="shared" si="565"/>
        <v>849118008</v>
      </c>
      <c r="H998" s="1042">
        <f t="shared" si="571"/>
        <v>6450000</v>
      </c>
      <c r="I998" s="1042">
        <f t="shared" si="572"/>
        <v>3750000</v>
      </c>
      <c r="J998" s="1042">
        <f t="shared" si="566"/>
        <v>10200000</v>
      </c>
      <c r="L998" s="1060">
        <f t="shared" si="573"/>
        <v>1</v>
      </c>
      <c r="M998" s="1060">
        <f t="shared" si="567"/>
        <v>0</v>
      </c>
      <c r="N998" s="1060">
        <f t="shared" si="568"/>
        <v>0</v>
      </c>
      <c r="O998" s="1060">
        <f t="shared" si="569"/>
        <v>0</v>
      </c>
      <c r="P998" s="1060">
        <f t="shared" si="570"/>
        <v>0</v>
      </c>
    </row>
    <row r="999" spans="1:16" x14ac:dyDescent="0.25">
      <c r="A999" s="1039">
        <v>1407</v>
      </c>
      <c r="B999" s="1039">
        <f t="shared" si="548"/>
        <v>17</v>
      </c>
      <c r="C999" s="1039" t="str">
        <f t="shared" si="561"/>
        <v>Haskil Khorimah</v>
      </c>
      <c r="D999" s="1040" t="str">
        <f t="shared" si="562"/>
        <v>MPI-3B</v>
      </c>
      <c r="E999" s="1041">
        <f t="shared" si="563"/>
        <v>2018</v>
      </c>
      <c r="F999" s="1040" t="str">
        <f t="shared" si="564"/>
        <v>PASIF</v>
      </c>
      <c r="G999" s="1041">
        <f t="shared" si="565"/>
        <v>849118010</v>
      </c>
      <c r="H999" s="1042">
        <f t="shared" si="571"/>
        <v>0</v>
      </c>
      <c r="I999" s="1042">
        <f t="shared" si="572"/>
        <v>0</v>
      </c>
      <c r="J999" s="1042">
        <f t="shared" si="566"/>
        <v>0</v>
      </c>
      <c r="L999" s="1060">
        <f t="shared" si="573"/>
        <v>0</v>
      </c>
      <c r="M999" s="1060">
        <f t="shared" si="567"/>
        <v>0</v>
      </c>
      <c r="N999" s="1060">
        <f t="shared" si="568"/>
        <v>0</v>
      </c>
      <c r="O999" s="1060">
        <f t="shared" si="569"/>
        <v>0</v>
      </c>
      <c r="P999" s="1060">
        <f t="shared" si="570"/>
        <v>1</v>
      </c>
    </row>
    <row r="1000" spans="1:16" x14ac:dyDescent="0.25">
      <c r="A1000" s="1039">
        <v>1408</v>
      </c>
      <c r="B1000" s="1039">
        <f t="shared" si="548"/>
        <v>18</v>
      </c>
      <c r="C1000" s="1039" t="str">
        <f t="shared" si="561"/>
        <v>Sukandar</v>
      </c>
      <c r="D1000" s="1040" t="str">
        <f t="shared" si="562"/>
        <v>MPI-3B</v>
      </c>
      <c r="E1000" s="1041">
        <f t="shared" si="563"/>
        <v>2018</v>
      </c>
      <c r="F1000" s="1040" t="str">
        <f t="shared" si="564"/>
        <v>AKTIF</v>
      </c>
      <c r="G1000" s="1041">
        <f t="shared" si="565"/>
        <v>849118011</v>
      </c>
      <c r="H1000" s="1042">
        <f t="shared" si="571"/>
        <v>6450000</v>
      </c>
      <c r="I1000" s="1042">
        <f t="shared" si="572"/>
        <v>3750000</v>
      </c>
      <c r="J1000" s="1042">
        <f t="shared" si="566"/>
        <v>10200000</v>
      </c>
      <c r="L1000" s="1060">
        <f t="shared" si="573"/>
        <v>1</v>
      </c>
      <c r="M1000" s="1060">
        <f t="shared" si="567"/>
        <v>0</v>
      </c>
      <c r="N1000" s="1060">
        <f t="shared" si="568"/>
        <v>0</v>
      </c>
      <c r="O1000" s="1060">
        <f t="shared" si="569"/>
        <v>0</v>
      </c>
      <c r="P1000" s="1060">
        <f t="shared" si="570"/>
        <v>0</v>
      </c>
    </row>
    <row r="1001" spans="1:16" x14ac:dyDescent="0.25">
      <c r="A1001" s="1039">
        <v>1409</v>
      </c>
      <c r="B1001" s="1039">
        <f t="shared" si="548"/>
        <v>19</v>
      </c>
      <c r="C1001" s="1039" t="str">
        <f t="shared" si="561"/>
        <v>Linda Rusiana</v>
      </c>
      <c r="D1001" s="1040" t="str">
        <f t="shared" si="562"/>
        <v>MPI-3B</v>
      </c>
      <c r="E1001" s="1041">
        <f t="shared" si="563"/>
        <v>2018</v>
      </c>
      <c r="F1001" s="1040" t="str">
        <f t="shared" si="564"/>
        <v>CUTI</v>
      </c>
      <c r="G1001" s="1041">
        <f t="shared" si="565"/>
        <v>849118012</v>
      </c>
      <c r="H1001" s="1042">
        <f t="shared" si="571"/>
        <v>3000000</v>
      </c>
      <c r="I1001" s="1042">
        <f t="shared" si="572"/>
        <v>3000000</v>
      </c>
      <c r="J1001" s="1042">
        <f t="shared" si="566"/>
        <v>6000000</v>
      </c>
      <c r="L1001" s="1060">
        <f t="shared" si="573"/>
        <v>0</v>
      </c>
      <c r="M1001" s="1060">
        <f t="shared" si="567"/>
        <v>0</v>
      </c>
      <c r="N1001" s="1060">
        <f t="shared" si="568"/>
        <v>1</v>
      </c>
      <c r="O1001" s="1060">
        <f t="shared" si="569"/>
        <v>0</v>
      </c>
      <c r="P1001" s="1060">
        <f t="shared" si="570"/>
        <v>0</v>
      </c>
    </row>
    <row r="1002" spans="1:16" x14ac:dyDescent="0.25">
      <c r="A1002" s="1039">
        <v>1410</v>
      </c>
      <c r="B1002" s="1039">
        <f t="shared" si="548"/>
        <v>20</v>
      </c>
      <c r="C1002" s="1039" t="str">
        <f t="shared" si="561"/>
        <v xml:space="preserve">Winning Son Ashari </v>
      </c>
      <c r="D1002" s="1040" t="str">
        <f t="shared" si="562"/>
        <v>MPI-3B</v>
      </c>
      <c r="E1002" s="1041">
        <f t="shared" si="563"/>
        <v>2018</v>
      </c>
      <c r="F1002" s="1040" t="str">
        <f t="shared" si="564"/>
        <v>AKTIF</v>
      </c>
      <c r="G1002" s="1041">
        <f t="shared" si="565"/>
        <v>849118013</v>
      </c>
      <c r="H1002" s="1042">
        <f t="shared" si="571"/>
        <v>6450000</v>
      </c>
      <c r="I1002" s="1042">
        <f t="shared" si="572"/>
        <v>3750000</v>
      </c>
      <c r="J1002" s="1042">
        <f t="shared" si="566"/>
        <v>10200000</v>
      </c>
      <c r="L1002" s="1060">
        <f t="shared" si="573"/>
        <v>1</v>
      </c>
      <c r="M1002" s="1060">
        <f t="shared" si="567"/>
        <v>0</v>
      </c>
      <c r="N1002" s="1060">
        <f t="shared" si="568"/>
        <v>0</v>
      </c>
      <c r="O1002" s="1060">
        <f t="shared" si="569"/>
        <v>0</v>
      </c>
      <c r="P1002" s="1060">
        <f t="shared" si="570"/>
        <v>0</v>
      </c>
    </row>
    <row r="1003" spans="1:16" x14ac:dyDescent="0.25">
      <c r="A1003" s="1039">
        <v>1411</v>
      </c>
      <c r="B1003" s="1039">
        <f t="shared" si="548"/>
        <v>21</v>
      </c>
      <c r="C1003" s="1039" t="str">
        <f t="shared" si="561"/>
        <v>M. Kholiful Ma'sum</v>
      </c>
      <c r="D1003" s="1040" t="str">
        <f t="shared" si="562"/>
        <v>MPI-3B</v>
      </c>
      <c r="E1003" s="1041">
        <f t="shared" si="563"/>
        <v>2018</v>
      </c>
      <c r="F1003" s="1040" t="str">
        <f t="shared" si="564"/>
        <v>AKTIF</v>
      </c>
      <c r="G1003" s="1041">
        <f t="shared" si="565"/>
        <v>849118014</v>
      </c>
      <c r="H1003" s="1042">
        <f t="shared" si="571"/>
        <v>6450000</v>
      </c>
      <c r="I1003" s="1042">
        <f t="shared" si="572"/>
        <v>3750000</v>
      </c>
      <c r="J1003" s="1042">
        <f t="shared" si="566"/>
        <v>10200000</v>
      </c>
      <c r="L1003" s="1060">
        <f t="shared" si="573"/>
        <v>1</v>
      </c>
      <c r="M1003" s="1060">
        <f t="shared" si="567"/>
        <v>0</v>
      </c>
      <c r="N1003" s="1060">
        <f t="shared" si="568"/>
        <v>0</v>
      </c>
      <c r="O1003" s="1060">
        <f t="shared" si="569"/>
        <v>0</v>
      </c>
      <c r="P1003" s="1060">
        <f t="shared" si="570"/>
        <v>0</v>
      </c>
    </row>
    <row r="1004" spans="1:16" x14ac:dyDescent="0.25">
      <c r="A1004" s="1039">
        <v>1412</v>
      </c>
      <c r="B1004" s="1039">
        <f t="shared" si="548"/>
        <v>22</v>
      </c>
      <c r="C1004" s="1039" t="str">
        <f t="shared" si="561"/>
        <v>Khoirul Anam</v>
      </c>
      <c r="D1004" s="1040" t="str">
        <f t="shared" si="562"/>
        <v>MPI-3B</v>
      </c>
      <c r="E1004" s="1041">
        <f t="shared" si="563"/>
        <v>2018</v>
      </c>
      <c r="F1004" s="1040" t="str">
        <f t="shared" si="564"/>
        <v>CUTI</v>
      </c>
      <c r="G1004" s="1041">
        <f t="shared" si="565"/>
        <v>849118015</v>
      </c>
      <c r="H1004" s="1042">
        <f t="shared" si="571"/>
        <v>3000000</v>
      </c>
      <c r="I1004" s="1042">
        <f t="shared" si="572"/>
        <v>3000000</v>
      </c>
      <c r="J1004" s="1042">
        <f t="shared" si="566"/>
        <v>6000000</v>
      </c>
      <c r="L1004" s="1060">
        <f t="shared" si="573"/>
        <v>0</v>
      </c>
      <c r="M1004" s="1060">
        <f t="shared" si="567"/>
        <v>0</v>
      </c>
      <c r="N1004" s="1060">
        <f t="shared" si="568"/>
        <v>1</v>
      </c>
      <c r="O1004" s="1060">
        <f t="shared" si="569"/>
        <v>0</v>
      </c>
      <c r="P1004" s="1060">
        <f t="shared" si="570"/>
        <v>0</v>
      </c>
    </row>
    <row r="1005" spans="1:16" x14ac:dyDescent="0.25">
      <c r="A1005" s="1039">
        <v>1413</v>
      </c>
      <c r="B1005" s="1039">
        <f t="shared" si="548"/>
        <v>23</v>
      </c>
      <c r="C1005" s="1039" t="str">
        <f t="shared" si="561"/>
        <v>Abdul Fatahilah</v>
      </c>
      <c r="D1005" s="1040" t="str">
        <f t="shared" si="562"/>
        <v>MPI-3B</v>
      </c>
      <c r="E1005" s="1041">
        <f t="shared" si="563"/>
        <v>2018</v>
      </c>
      <c r="F1005" s="1040" t="str">
        <f t="shared" si="564"/>
        <v>AKTIF</v>
      </c>
      <c r="G1005" s="1041">
        <f t="shared" si="565"/>
        <v>849118016</v>
      </c>
      <c r="H1005" s="1042">
        <f t="shared" si="571"/>
        <v>6450000</v>
      </c>
      <c r="I1005" s="1042">
        <f t="shared" si="572"/>
        <v>3750000</v>
      </c>
      <c r="J1005" s="1042">
        <f t="shared" si="566"/>
        <v>10200000</v>
      </c>
      <c r="L1005" s="1060">
        <f t="shared" si="573"/>
        <v>1</v>
      </c>
      <c r="M1005" s="1060">
        <f t="shared" si="567"/>
        <v>0</v>
      </c>
      <c r="N1005" s="1060">
        <f t="shared" si="568"/>
        <v>0</v>
      </c>
      <c r="O1005" s="1060">
        <f t="shared" si="569"/>
        <v>0</v>
      </c>
      <c r="P1005" s="1060">
        <f t="shared" si="570"/>
        <v>0</v>
      </c>
    </row>
    <row r="1006" spans="1:16" x14ac:dyDescent="0.25">
      <c r="A1006" s="1039">
        <v>1414</v>
      </c>
      <c r="B1006" s="1039">
        <f t="shared" si="548"/>
        <v>24</v>
      </c>
      <c r="C1006" s="1039" t="str">
        <f t="shared" si="561"/>
        <v>Mulyadi</v>
      </c>
      <c r="D1006" s="1040" t="str">
        <f t="shared" si="562"/>
        <v>MPI-3B</v>
      </c>
      <c r="E1006" s="1041">
        <f t="shared" si="563"/>
        <v>2018</v>
      </c>
      <c r="F1006" s="1040" t="str">
        <f t="shared" si="564"/>
        <v>AKTIF</v>
      </c>
      <c r="G1006" s="1041">
        <f t="shared" si="565"/>
        <v>849118017</v>
      </c>
      <c r="H1006" s="1042">
        <f t="shared" si="571"/>
        <v>6450000</v>
      </c>
      <c r="I1006" s="1042">
        <f t="shared" si="572"/>
        <v>3750000</v>
      </c>
      <c r="J1006" s="1042">
        <f t="shared" si="566"/>
        <v>10200000</v>
      </c>
      <c r="L1006" s="1060">
        <f t="shared" si="573"/>
        <v>1</v>
      </c>
      <c r="M1006" s="1060">
        <f t="shared" si="567"/>
        <v>0</v>
      </c>
      <c r="N1006" s="1060">
        <f t="shared" si="568"/>
        <v>0</v>
      </c>
      <c r="O1006" s="1060">
        <f t="shared" si="569"/>
        <v>0</v>
      </c>
      <c r="P1006" s="1060">
        <f t="shared" si="570"/>
        <v>0</v>
      </c>
    </row>
    <row r="1007" spans="1:16" x14ac:dyDescent="0.25">
      <c r="A1007" s="1039">
        <v>1415</v>
      </c>
      <c r="B1007" s="1039">
        <f t="shared" si="548"/>
        <v>25</v>
      </c>
      <c r="C1007" s="1039" t="str">
        <f t="shared" si="561"/>
        <v>Kholilur Rohman</v>
      </c>
      <c r="D1007" s="1040" t="str">
        <f t="shared" si="562"/>
        <v>MPI-3B</v>
      </c>
      <c r="E1007" s="1041">
        <f t="shared" si="563"/>
        <v>2018</v>
      </c>
      <c r="F1007" s="1040" t="str">
        <f t="shared" si="564"/>
        <v>AKTIF</v>
      </c>
      <c r="G1007" s="1041">
        <f t="shared" si="565"/>
        <v>849118019</v>
      </c>
      <c r="H1007" s="1042">
        <f t="shared" si="571"/>
        <v>6450000</v>
      </c>
      <c r="I1007" s="1042">
        <f t="shared" si="572"/>
        <v>3750000</v>
      </c>
      <c r="J1007" s="1042">
        <f t="shared" si="566"/>
        <v>10200000</v>
      </c>
      <c r="L1007" s="1060">
        <f t="shared" si="573"/>
        <v>1</v>
      </c>
      <c r="M1007" s="1060">
        <f t="shared" si="567"/>
        <v>0</v>
      </c>
      <c r="N1007" s="1060">
        <f t="shared" si="568"/>
        <v>0</v>
      </c>
      <c r="O1007" s="1060">
        <f t="shared" si="569"/>
        <v>0</v>
      </c>
      <c r="P1007" s="1060">
        <f t="shared" si="570"/>
        <v>0</v>
      </c>
    </row>
    <row r="1008" spans="1:16" x14ac:dyDescent="0.25">
      <c r="A1008" s="1039">
        <v>1416</v>
      </c>
      <c r="B1008" s="1039">
        <f t="shared" si="548"/>
        <v>26</v>
      </c>
      <c r="C1008" s="1039" t="str">
        <f t="shared" si="561"/>
        <v>Afthon Sholeh</v>
      </c>
      <c r="D1008" s="1040" t="str">
        <f t="shared" si="562"/>
        <v>MPI-3B</v>
      </c>
      <c r="E1008" s="1041">
        <f t="shared" si="563"/>
        <v>2018</v>
      </c>
      <c r="F1008" s="1040" t="str">
        <f t="shared" si="564"/>
        <v>PASIF</v>
      </c>
      <c r="G1008" s="1041">
        <f t="shared" si="565"/>
        <v>849118020</v>
      </c>
      <c r="H1008" s="1042">
        <f t="shared" si="571"/>
        <v>0</v>
      </c>
      <c r="I1008" s="1042">
        <f t="shared" si="572"/>
        <v>0</v>
      </c>
      <c r="J1008" s="1042">
        <f t="shared" si="566"/>
        <v>0</v>
      </c>
      <c r="L1008" s="1060">
        <f t="shared" si="573"/>
        <v>0</v>
      </c>
      <c r="M1008" s="1060">
        <f t="shared" si="567"/>
        <v>0</v>
      </c>
      <c r="N1008" s="1060">
        <f t="shared" si="568"/>
        <v>0</v>
      </c>
      <c r="O1008" s="1060">
        <f t="shared" si="569"/>
        <v>0</v>
      </c>
      <c r="P1008" s="1060">
        <f t="shared" si="570"/>
        <v>1</v>
      </c>
    </row>
    <row r="1009" spans="1:16" x14ac:dyDescent="0.25">
      <c r="A1009" s="1039">
        <v>1417</v>
      </c>
      <c r="B1009" s="1039">
        <f t="shared" si="548"/>
        <v>27</v>
      </c>
      <c r="C1009" s="1039" t="str">
        <f t="shared" si="561"/>
        <v>Masfufah</v>
      </c>
      <c r="D1009" s="1040" t="str">
        <f t="shared" si="562"/>
        <v>MPI-3C</v>
      </c>
      <c r="E1009" s="1041">
        <f t="shared" si="563"/>
        <v>2018</v>
      </c>
      <c r="F1009" s="1040" t="str">
        <f t="shared" si="564"/>
        <v>AKTIF</v>
      </c>
      <c r="G1009" s="1041">
        <f t="shared" si="565"/>
        <v>849118022</v>
      </c>
      <c r="H1009" s="1042">
        <f t="shared" si="571"/>
        <v>6450000</v>
      </c>
      <c r="I1009" s="1042">
        <f t="shared" si="572"/>
        <v>3750000</v>
      </c>
      <c r="J1009" s="1042">
        <f t="shared" si="566"/>
        <v>10200000</v>
      </c>
      <c r="L1009" s="1060">
        <f t="shared" si="573"/>
        <v>1</v>
      </c>
      <c r="M1009" s="1060">
        <f t="shared" si="567"/>
        <v>0</v>
      </c>
      <c r="N1009" s="1060">
        <f t="shared" si="568"/>
        <v>0</v>
      </c>
      <c r="O1009" s="1060">
        <f t="shared" si="569"/>
        <v>0</v>
      </c>
      <c r="P1009" s="1060">
        <f t="shared" si="570"/>
        <v>0</v>
      </c>
    </row>
    <row r="1010" spans="1:16" x14ac:dyDescent="0.25">
      <c r="A1010" s="1039">
        <v>1418</v>
      </c>
      <c r="B1010" s="1039">
        <f t="shared" si="548"/>
        <v>28</v>
      </c>
      <c r="C1010" s="1039" t="str">
        <f t="shared" si="561"/>
        <v>Miftakhudin Munir</v>
      </c>
      <c r="D1010" s="1040" t="str">
        <f t="shared" si="562"/>
        <v>MPI-3C</v>
      </c>
      <c r="E1010" s="1041">
        <f t="shared" si="563"/>
        <v>2018</v>
      </c>
      <c r="F1010" s="1040" t="str">
        <f t="shared" si="564"/>
        <v>AKTIF</v>
      </c>
      <c r="G1010" s="1041">
        <f t="shared" si="565"/>
        <v>849118023</v>
      </c>
      <c r="H1010" s="1042">
        <f t="shared" si="571"/>
        <v>6450000</v>
      </c>
      <c r="I1010" s="1042">
        <f t="shared" si="572"/>
        <v>3750000</v>
      </c>
      <c r="J1010" s="1042">
        <f t="shared" si="566"/>
        <v>10200000</v>
      </c>
      <c r="L1010" s="1060">
        <f t="shared" si="573"/>
        <v>1</v>
      </c>
      <c r="M1010" s="1060">
        <f t="shared" si="567"/>
        <v>0</v>
      </c>
      <c r="N1010" s="1060">
        <f t="shared" si="568"/>
        <v>0</v>
      </c>
      <c r="O1010" s="1060">
        <f t="shared" si="569"/>
        <v>0</v>
      </c>
      <c r="P1010" s="1060">
        <f t="shared" si="570"/>
        <v>0</v>
      </c>
    </row>
    <row r="1011" spans="1:16" x14ac:dyDescent="0.25">
      <c r="A1011" s="1039">
        <v>1419</v>
      </c>
      <c r="B1011" s="1039">
        <f t="shared" si="548"/>
        <v>29</v>
      </c>
      <c r="C1011" s="1039" t="str">
        <f t="shared" si="561"/>
        <v>Entin Rusmartiningsih</v>
      </c>
      <c r="D1011" s="1040" t="str">
        <f t="shared" si="562"/>
        <v>MPI-3C</v>
      </c>
      <c r="E1011" s="1041">
        <f t="shared" si="563"/>
        <v>2018</v>
      </c>
      <c r="F1011" s="1040" t="str">
        <f t="shared" si="564"/>
        <v>LULUS</v>
      </c>
      <c r="G1011" s="1041">
        <f t="shared" si="565"/>
        <v>849118025</v>
      </c>
      <c r="H1011" s="1042">
        <f t="shared" si="571"/>
        <v>0</v>
      </c>
      <c r="I1011" s="1042">
        <f t="shared" si="572"/>
        <v>0</v>
      </c>
      <c r="J1011" s="1042">
        <f t="shared" si="566"/>
        <v>0</v>
      </c>
      <c r="L1011" s="1060">
        <f t="shared" si="573"/>
        <v>0</v>
      </c>
      <c r="M1011" s="1060">
        <f t="shared" si="567"/>
        <v>1</v>
      </c>
      <c r="N1011" s="1060">
        <f t="shared" si="568"/>
        <v>0</v>
      </c>
      <c r="O1011" s="1060">
        <f t="shared" si="569"/>
        <v>0</v>
      </c>
      <c r="P1011" s="1060">
        <f t="shared" si="570"/>
        <v>0</v>
      </c>
    </row>
    <row r="1012" spans="1:16" x14ac:dyDescent="0.25">
      <c r="A1012" s="1039">
        <v>1420</v>
      </c>
      <c r="B1012" s="1039">
        <f t="shared" si="548"/>
        <v>30</v>
      </c>
      <c r="C1012" s="1039" t="str">
        <f t="shared" si="561"/>
        <v>Achmad Zainur Roziqin</v>
      </c>
      <c r="D1012" s="1040" t="str">
        <f t="shared" si="562"/>
        <v>MPI-3C</v>
      </c>
      <c r="E1012" s="1041">
        <f t="shared" si="563"/>
        <v>2018</v>
      </c>
      <c r="F1012" s="1040" t="str">
        <f t="shared" si="564"/>
        <v>AKTIF</v>
      </c>
      <c r="G1012" s="1041">
        <f t="shared" si="565"/>
        <v>849118026</v>
      </c>
      <c r="H1012" s="1042">
        <f t="shared" si="571"/>
        <v>6450000</v>
      </c>
      <c r="I1012" s="1042">
        <f t="shared" si="572"/>
        <v>3750000</v>
      </c>
      <c r="J1012" s="1042">
        <f t="shared" si="566"/>
        <v>10200000</v>
      </c>
      <c r="L1012" s="1060">
        <f t="shared" si="573"/>
        <v>1</v>
      </c>
      <c r="M1012" s="1060">
        <f t="shared" si="567"/>
        <v>0</v>
      </c>
      <c r="N1012" s="1060">
        <f t="shared" si="568"/>
        <v>0</v>
      </c>
      <c r="O1012" s="1060">
        <f t="shared" si="569"/>
        <v>0</v>
      </c>
      <c r="P1012" s="1060">
        <f t="shared" si="570"/>
        <v>0</v>
      </c>
    </row>
    <row r="1013" spans="1:16" x14ac:dyDescent="0.25">
      <c r="A1013" s="1039">
        <v>1421</v>
      </c>
      <c r="B1013" s="1039">
        <f t="shared" si="548"/>
        <v>31</v>
      </c>
      <c r="C1013" s="1039" t="str">
        <f t="shared" si="561"/>
        <v>Fina Inayawati</v>
      </c>
      <c r="D1013" s="1040" t="str">
        <f t="shared" si="562"/>
        <v>MPI-3C</v>
      </c>
      <c r="E1013" s="1041">
        <f t="shared" si="563"/>
        <v>2018</v>
      </c>
      <c r="F1013" s="1040" t="str">
        <f t="shared" si="564"/>
        <v>LULUS</v>
      </c>
      <c r="G1013" s="1041">
        <f t="shared" si="565"/>
        <v>849118027</v>
      </c>
      <c r="H1013" s="1042">
        <f t="shared" si="571"/>
        <v>0</v>
      </c>
      <c r="I1013" s="1042">
        <f t="shared" si="572"/>
        <v>0</v>
      </c>
      <c r="J1013" s="1042">
        <f t="shared" si="566"/>
        <v>0</v>
      </c>
      <c r="L1013" s="1060">
        <f t="shared" si="573"/>
        <v>0</v>
      </c>
      <c r="M1013" s="1060">
        <f t="shared" si="567"/>
        <v>1</v>
      </c>
      <c r="N1013" s="1060">
        <f t="shared" si="568"/>
        <v>0</v>
      </c>
      <c r="O1013" s="1060">
        <f t="shared" si="569"/>
        <v>0</v>
      </c>
      <c r="P1013" s="1060">
        <f t="shared" si="570"/>
        <v>0</v>
      </c>
    </row>
    <row r="1014" spans="1:16" x14ac:dyDescent="0.25">
      <c r="A1014" s="1039">
        <v>1422</v>
      </c>
      <c r="B1014" s="1039">
        <f t="shared" si="548"/>
        <v>32</v>
      </c>
      <c r="C1014" s="1039" t="str">
        <f t="shared" si="561"/>
        <v>Muhammad Sihabuddin Nasrulloh</v>
      </c>
      <c r="D1014" s="1040" t="str">
        <f t="shared" si="562"/>
        <v>MPI-3C</v>
      </c>
      <c r="E1014" s="1041">
        <f t="shared" si="563"/>
        <v>2018</v>
      </c>
      <c r="F1014" s="1040" t="str">
        <f t="shared" si="564"/>
        <v>AKTIF</v>
      </c>
      <c r="G1014" s="1041">
        <f t="shared" si="565"/>
        <v>849118028</v>
      </c>
      <c r="H1014" s="1042">
        <f t="shared" si="571"/>
        <v>6450000</v>
      </c>
      <c r="I1014" s="1042">
        <f t="shared" si="572"/>
        <v>3750000</v>
      </c>
      <c r="J1014" s="1042">
        <f t="shared" si="566"/>
        <v>10200000</v>
      </c>
      <c r="L1014" s="1060">
        <f t="shared" si="573"/>
        <v>1</v>
      </c>
      <c r="M1014" s="1060">
        <f t="shared" si="567"/>
        <v>0</v>
      </c>
      <c r="N1014" s="1060">
        <f t="shared" si="568"/>
        <v>0</v>
      </c>
      <c r="O1014" s="1060">
        <f t="shared" si="569"/>
        <v>0</v>
      </c>
      <c r="P1014" s="1060">
        <f t="shared" si="570"/>
        <v>0</v>
      </c>
    </row>
    <row r="1015" spans="1:16" x14ac:dyDescent="0.25">
      <c r="A1015" s="1039">
        <v>1423</v>
      </c>
      <c r="B1015" s="1039">
        <f t="shared" si="548"/>
        <v>33</v>
      </c>
      <c r="C1015" s="1039" t="str">
        <f t="shared" ref="C1015:C1033" si="574">IFERROR(VLOOKUP(A1015,DB,4,FALSE),"")</f>
        <v>Hafidatul Mufasiroh</v>
      </c>
      <c r="D1015" s="1040" t="str">
        <f t="shared" ref="D1015:D1033" si="575">IFERROR(VLOOKUP(A1015,DB,5,FALSE),"")</f>
        <v>MPI-3C</v>
      </c>
      <c r="E1015" s="1041">
        <f t="shared" ref="E1015:E1033" si="576">IFERROR(VLOOKUP(A1015,DB,6,FALSE),"")</f>
        <v>2018</v>
      </c>
      <c r="F1015" s="1040" t="str">
        <f t="shared" ref="F1015:F1033" si="577">IFERROR(VLOOKUP(A1015,DB,7,FALSE),"")</f>
        <v>AKTIF</v>
      </c>
      <c r="G1015" s="1041">
        <f t="shared" ref="G1015:G1033" si="578">IFERROR(VLOOKUP(A1015,DB,3,FALSE),"")</f>
        <v>849118030</v>
      </c>
      <c r="H1015" s="1042">
        <f t="shared" si="571"/>
        <v>6450000</v>
      </c>
      <c r="I1015" s="1042">
        <f t="shared" si="572"/>
        <v>3750000</v>
      </c>
      <c r="J1015" s="1042">
        <f t="shared" si="566"/>
        <v>10200000</v>
      </c>
      <c r="L1015" s="1060">
        <f t="shared" si="573"/>
        <v>1</v>
      </c>
      <c r="M1015" s="1060">
        <f t="shared" si="567"/>
        <v>0</v>
      </c>
      <c r="N1015" s="1060">
        <f t="shared" si="568"/>
        <v>0</v>
      </c>
      <c r="O1015" s="1060">
        <f t="shared" si="569"/>
        <v>0</v>
      </c>
      <c r="P1015" s="1060">
        <f t="shared" si="570"/>
        <v>0</v>
      </c>
    </row>
    <row r="1016" spans="1:16" x14ac:dyDescent="0.25">
      <c r="A1016" s="1039">
        <v>1424</v>
      </c>
      <c r="B1016" s="1039">
        <f t="shared" si="548"/>
        <v>34</v>
      </c>
      <c r="C1016" s="1039" t="str">
        <f t="shared" si="574"/>
        <v>Samsul Arifin</v>
      </c>
      <c r="D1016" s="1040" t="str">
        <f t="shared" si="575"/>
        <v>MPI-3C</v>
      </c>
      <c r="E1016" s="1041">
        <f t="shared" si="576"/>
        <v>2018</v>
      </c>
      <c r="F1016" s="1040" t="str">
        <f t="shared" si="577"/>
        <v>LULUS</v>
      </c>
      <c r="G1016" s="1041">
        <f t="shared" si="578"/>
        <v>849118031</v>
      </c>
      <c r="H1016" s="1042">
        <f t="shared" si="571"/>
        <v>0</v>
      </c>
      <c r="I1016" s="1042">
        <f t="shared" si="572"/>
        <v>0</v>
      </c>
      <c r="J1016" s="1042">
        <f t="shared" si="566"/>
        <v>0</v>
      </c>
      <c r="L1016" s="1060">
        <f t="shared" si="573"/>
        <v>0</v>
      </c>
      <c r="M1016" s="1060">
        <f t="shared" si="567"/>
        <v>1</v>
      </c>
      <c r="N1016" s="1060">
        <f t="shared" si="568"/>
        <v>0</v>
      </c>
      <c r="O1016" s="1060">
        <f t="shared" si="569"/>
        <v>0</v>
      </c>
      <c r="P1016" s="1060">
        <f t="shared" si="570"/>
        <v>0</v>
      </c>
    </row>
    <row r="1017" spans="1:16" x14ac:dyDescent="0.25">
      <c r="A1017" s="1039">
        <v>1425</v>
      </c>
      <c r="B1017" s="1039">
        <f t="shared" si="548"/>
        <v>35</v>
      </c>
      <c r="C1017" s="1039" t="str">
        <f t="shared" si="574"/>
        <v>Achmad Edris</v>
      </c>
      <c r="D1017" s="1040" t="str">
        <f t="shared" si="575"/>
        <v>MPI-3C</v>
      </c>
      <c r="E1017" s="1041">
        <f t="shared" si="576"/>
        <v>2018</v>
      </c>
      <c r="F1017" s="1040" t="str">
        <f t="shared" si="577"/>
        <v>AKTIF</v>
      </c>
      <c r="G1017" s="1041">
        <f t="shared" si="578"/>
        <v>849118032</v>
      </c>
      <c r="H1017" s="1042">
        <f t="shared" si="571"/>
        <v>6450000</v>
      </c>
      <c r="I1017" s="1042">
        <f t="shared" si="572"/>
        <v>3750000</v>
      </c>
      <c r="J1017" s="1042">
        <f t="shared" si="566"/>
        <v>10200000</v>
      </c>
      <c r="L1017" s="1060">
        <f t="shared" si="573"/>
        <v>1</v>
      </c>
      <c r="M1017" s="1060">
        <f t="shared" si="567"/>
        <v>0</v>
      </c>
      <c r="N1017" s="1060">
        <f t="shared" si="568"/>
        <v>0</v>
      </c>
      <c r="O1017" s="1060">
        <f t="shared" si="569"/>
        <v>0</v>
      </c>
      <c r="P1017" s="1060">
        <f t="shared" si="570"/>
        <v>0</v>
      </c>
    </row>
    <row r="1018" spans="1:16" x14ac:dyDescent="0.25">
      <c r="A1018" s="1039">
        <v>1426</v>
      </c>
      <c r="B1018" s="1039">
        <f t="shared" si="548"/>
        <v>36</v>
      </c>
      <c r="C1018" s="1039" t="str">
        <f t="shared" si="574"/>
        <v>Fadil Abdullah</v>
      </c>
      <c r="D1018" s="1040" t="str">
        <f t="shared" si="575"/>
        <v>MPI-3C</v>
      </c>
      <c r="E1018" s="1041">
        <f t="shared" si="576"/>
        <v>2018</v>
      </c>
      <c r="F1018" s="1040" t="str">
        <f t="shared" si="577"/>
        <v>AKTIF</v>
      </c>
      <c r="G1018" s="1041">
        <f t="shared" si="578"/>
        <v>849118033</v>
      </c>
      <c r="H1018" s="1042">
        <f t="shared" si="571"/>
        <v>6450000</v>
      </c>
      <c r="I1018" s="1042">
        <f t="shared" si="572"/>
        <v>3750000</v>
      </c>
      <c r="J1018" s="1042">
        <f t="shared" si="566"/>
        <v>10200000</v>
      </c>
      <c r="L1018" s="1060">
        <f t="shared" si="573"/>
        <v>1</v>
      </c>
      <c r="M1018" s="1060">
        <f t="shared" si="567"/>
        <v>0</v>
      </c>
      <c r="N1018" s="1060">
        <f t="shared" si="568"/>
        <v>0</v>
      </c>
      <c r="O1018" s="1060">
        <f t="shared" si="569"/>
        <v>0</v>
      </c>
      <c r="P1018" s="1060">
        <f t="shared" si="570"/>
        <v>0</v>
      </c>
    </row>
    <row r="1019" spans="1:16" x14ac:dyDescent="0.25">
      <c r="A1019" s="1039">
        <v>1427</v>
      </c>
      <c r="B1019" s="1039">
        <f t="shared" ref="B1019:B1091" si="579">IFERROR(VLOOKUP(A1019,DB,2,FALSE),"")</f>
        <v>37</v>
      </c>
      <c r="C1019" s="1039" t="str">
        <f t="shared" si="574"/>
        <v>Didik Purwanto</v>
      </c>
      <c r="D1019" s="1040" t="str">
        <f t="shared" si="575"/>
        <v>MPI-3C</v>
      </c>
      <c r="E1019" s="1041">
        <f t="shared" si="576"/>
        <v>2018</v>
      </c>
      <c r="F1019" s="1040" t="str">
        <f t="shared" si="577"/>
        <v>AKTIF</v>
      </c>
      <c r="G1019" s="1041">
        <f t="shared" si="578"/>
        <v>849118034</v>
      </c>
      <c r="H1019" s="1042">
        <f t="shared" si="571"/>
        <v>6450000</v>
      </c>
      <c r="I1019" s="1042">
        <f t="shared" si="572"/>
        <v>3750000</v>
      </c>
      <c r="J1019" s="1042">
        <f t="shared" si="566"/>
        <v>10200000</v>
      </c>
      <c r="L1019" s="1060">
        <f t="shared" si="573"/>
        <v>1</v>
      </c>
      <c r="M1019" s="1060">
        <f t="shared" si="567"/>
        <v>0</v>
      </c>
      <c r="N1019" s="1060">
        <f t="shared" si="568"/>
        <v>0</v>
      </c>
      <c r="O1019" s="1060">
        <f t="shared" si="569"/>
        <v>0</v>
      </c>
      <c r="P1019" s="1060">
        <f t="shared" si="570"/>
        <v>0</v>
      </c>
    </row>
    <row r="1020" spans="1:16" x14ac:dyDescent="0.25">
      <c r="A1020" s="1039">
        <v>1428</v>
      </c>
      <c r="B1020" s="1039">
        <f t="shared" si="579"/>
        <v>38</v>
      </c>
      <c r="C1020" s="1039" t="str">
        <f t="shared" si="574"/>
        <v>Age Juhdi Alfani</v>
      </c>
      <c r="D1020" s="1040" t="str">
        <f t="shared" si="575"/>
        <v>MPI-3C</v>
      </c>
      <c r="E1020" s="1041">
        <f t="shared" si="576"/>
        <v>2018</v>
      </c>
      <c r="F1020" s="1040" t="str">
        <f t="shared" si="577"/>
        <v>AKTIF</v>
      </c>
      <c r="G1020" s="1041">
        <f t="shared" si="578"/>
        <v>849118035</v>
      </c>
      <c r="H1020" s="1042">
        <f t="shared" si="571"/>
        <v>6450000</v>
      </c>
      <c r="I1020" s="1042">
        <f t="shared" si="572"/>
        <v>3750000</v>
      </c>
      <c r="J1020" s="1042">
        <f t="shared" si="566"/>
        <v>10200000</v>
      </c>
      <c r="L1020" s="1060">
        <f t="shared" si="573"/>
        <v>1</v>
      </c>
      <c r="M1020" s="1060">
        <f t="shared" si="567"/>
        <v>0</v>
      </c>
      <c r="N1020" s="1060">
        <f t="shared" si="568"/>
        <v>0</v>
      </c>
      <c r="O1020" s="1060">
        <f t="shared" si="569"/>
        <v>0</v>
      </c>
      <c r="P1020" s="1060">
        <f t="shared" si="570"/>
        <v>0</v>
      </c>
    </row>
    <row r="1021" spans="1:16" x14ac:dyDescent="0.25">
      <c r="A1021" s="1039">
        <v>1429</v>
      </c>
      <c r="B1021" s="1039">
        <f t="shared" si="579"/>
        <v>39</v>
      </c>
      <c r="C1021" s="1039" t="str">
        <f t="shared" si="574"/>
        <v>Abdul Syakur Musawiru</v>
      </c>
      <c r="D1021" s="1040" t="str">
        <f t="shared" si="575"/>
        <v>MPI-3C</v>
      </c>
      <c r="E1021" s="1041">
        <f t="shared" si="576"/>
        <v>2018</v>
      </c>
      <c r="F1021" s="1040" t="str">
        <f t="shared" si="577"/>
        <v>LULUS</v>
      </c>
      <c r="G1021" s="1041">
        <f t="shared" si="578"/>
        <v>849118049</v>
      </c>
      <c r="H1021" s="1042">
        <f t="shared" si="571"/>
        <v>0</v>
      </c>
      <c r="I1021" s="1042">
        <f t="shared" si="572"/>
        <v>0</v>
      </c>
      <c r="J1021" s="1042">
        <f t="shared" si="566"/>
        <v>0</v>
      </c>
      <c r="L1021" s="1060">
        <f t="shared" si="573"/>
        <v>0</v>
      </c>
      <c r="M1021" s="1060">
        <f t="shared" si="567"/>
        <v>1</v>
      </c>
      <c r="N1021" s="1060">
        <f t="shared" si="568"/>
        <v>0</v>
      </c>
      <c r="O1021" s="1060">
        <f t="shared" si="569"/>
        <v>0</v>
      </c>
      <c r="P1021" s="1060">
        <f t="shared" si="570"/>
        <v>0</v>
      </c>
    </row>
    <row r="1022" spans="1:16" x14ac:dyDescent="0.25">
      <c r="A1022" s="1039">
        <v>1430</v>
      </c>
      <c r="B1022" s="1039">
        <f t="shared" si="579"/>
        <v>40</v>
      </c>
      <c r="C1022" s="1039" t="str">
        <f t="shared" si="574"/>
        <v>Sudahri</v>
      </c>
      <c r="D1022" s="1040" t="str">
        <f t="shared" si="575"/>
        <v>MPI-3C</v>
      </c>
      <c r="E1022" s="1041">
        <f t="shared" si="576"/>
        <v>2018</v>
      </c>
      <c r="F1022" s="1040" t="str">
        <f t="shared" si="577"/>
        <v>AKTIF</v>
      </c>
      <c r="G1022" s="1041">
        <f t="shared" si="578"/>
        <v>849118050</v>
      </c>
      <c r="H1022" s="1042">
        <f t="shared" si="571"/>
        <v>6450000</v>
      </c>
      <c r="I1022" s="1042">
        <f t="shared" si="572"/>
        <v>3750000</v>
      </c>
      <c r="J1022" s="1042">
        <f t="shared" si="566"/>
        <v>10200000</v>
      </c>
      <c r="L1022" s="1060">
        <f t="shared" si="573"/>
        <v>1</v>
      </c>
      <c r="M1022" s="1060">
        <f t="shared" si="567"/>
        <v>0</v>
      </c>
      <c r="N1022" s="1060">
        <f t="shared" si="568"/>
        <v>0</v>
      </c>
      <c r="O1022" s="1060">
        <f t="shared" si="569"/>
        <v>0</v>
      </c>
      <c r="P1022" s="1060">
        <f t="shared" si="570"/>
        <v>0</v>
      </c>
    </row>
    <row r="1023" spans="1:16" x14ac:dyDescent="0.25">
      <c r="A1023" s="1039">
        <v>1431</v>
      </c>
      <c r="B1023" s="1039">
        <f t="shared" si="579"/>
        <v>41</v>
      </c>
      <c r="C1023" s="1039" t="str">
        <f t="shared" si="574"/>
        <v>Riadi Hartono</v>
      </c>
      <c r="D1023" s="1040" t="str">
        <f t="shared" si="575"/>
        <v>MPI-3C</v>
      </c>
      <c r="E1023" s="1041">
        <f t="shared" si="576"/>
        <v>2018</v>
      </c>
      <c r="F1023" s="1040" t="str">
        <f t="shared" si="577"/>
        <v>AKTIF</v>
      </c>
      <c r="G1023" s="1041">
        <f t="shared" si="578"/>
        <v>849118052</v>
      </c>
      <c r="H1023" s="1042">
        <f t="shared" si="571"/>
        <v>6450000</v>
      </c>
      <c r="I1023" s="1042">
        <f t="shared" si="572"/>
        <v>3750000</v>
      </c>
      <c r="J1023" s="1042">
        <f t="shared" si="566"/>
        <v>10200000</v>
      </c>
      <c r="L1023" s="1060">
        <f t="shared" si="573"/>
        <v>1</v>
      </c>
      <c r="M1023" s="1060">
        <f t="shared" si="567"/>
        <v>0</v>
      </c>
      <c r="N1023" s="1060">
        <f t="shared" si="568"/>
        <v>0</v>
      </c>
      <c r="O1023" s="1060">
        <f t="shared" si="569"/>
        <v>0</v>
      </c>
      <c r="P1023" s="1060">
        <f t="shared" si="570"/>
        <v>0</v>
      </c>
    </row>
    <row r="1024" spans="1:16" x14ac:dyDescent="0.25">
      <c r="A1024" s="1039">
        <v>1432</v>
      </c>
      <c r="B1024" s="1039">
        <f t="shared" si="579"/>
        <v>42</v>
      </c>
      <c r="C1024" s="1039" t="str">
        <f t="shared" si="574"/>
        <v>Hasyim Mahmud</v>
      </c>
      <c r="D1024" s="1040" t="str">
        <f t="shared" si="575"/>
        <v>MPI-3C</v>
      </c>
      <c r="E1024" s="1041">
        <f t="shared" si="576"/>
        <v>2018</v>
      </c>
      <c r="F1024" s="1040" t="str">
        <f t="shared" si="577"/>
        <v>PASIF</v>
      </c>
      <c r="G1024" s="1041">
        <f t="shared" si="578"/>
        <v>849118054</v>
      </c>
      <c r="H1024" s="1042">
        <f t="shared" si="571"/>
        <v>0</v>
      </c>
      <c r="I1024" s="1042">
        <f t="shared" si="572"/>
        <v>0</v>
      </c>
      <c r="J1024" s="1042">
        <f t="shared" si="566"/>
        <v>0</v>
      </c>
      <c r="L1024" s="1060">
        <f t="shared" si="573"/>
        <v>0</v>
      </c>
      <c r="M1024" s="1060">
        <f t="shared" si="567"/>
        <v>0</v>
      </c>
      <c r="N1024" s="1060">
        <f t="shared" si="568"/>
        <v>0</v>
      </c>
      <c r="O1024" s="1060">
        <f t="shared" si="569"/>
        <v>0</v>
      </c>
      <c r="P1024" s="1060">
        <f t="shared" si="570"/>
        <v>1</v>
      </c>
    </row>
    <row r="1025" spans="1:16" x14ac:dyDescent="0.25">
      <c r="A1025" s="1039">
        <v>1433</v>
      </c>
      <c r="B1025" s="1039">
        <f t="shared" si="579"/>
        <v>43</v>
      </c>
      <c r="C1025" s="1039" t="str">
        <f t="shared" si="574"/>
        <v>Sutali</v>
      </c>
      <c r="D1025" s="1040" t="str">
        <f t="shared" si="575"/>
        <v>MPI-3C</v>
      </c>
      <c r="E1025" s="1041">
        <f t="shared" si="576"/>
        <v>2018</v>
      </c>
      <c r="F1025" s="1040" t="str">
        <f t="shared" si="577"/>
        <v>PASIF</v>
      </c>
      <c r="G1025" s="1041">
        <f t="shared" si="578"/>
        <v>849118055</v>
      </c>
      <c r="H1025" s="1042">
        <f t="shared" si="571"/>
        <v>0</v>
      </c>
      <c r="I1025" s="1042">
        <f t="shared" si="572"/>
        <v>0</v>
      </c>
      <c r="J1025" s="1042">
        <f t="shared" si="566"/>
        <v>0</v>
      </c>
      <c r="L1025" s="1060">
        <f t="shared" si="573"/>
        <v>0</v>
      </c>
      <c r="M1025" s="1060">
        <f t="shared" si="567"/>
        <v>0</v>
      </c>
      <c r="N1025" s="1060">
        <f t="shared" si="568"/>
        <v>0</v>
      </c>
      <c r="O1025" s="1060">
        <f t="shared" si="569"/>
        <v>0</v>
      </c>
      <c r="P1025" s="1060">
        <f t="shared" si="570"/>
        <v>1</v>
      </c>
    </row>
    <row r="1026" spans="1:16" x14ac:dyDescent="0.25">
      <c r="A1026" s="1039">
        <v>1434</v>
      </c>
      <c r="B1026" s="1039">
        <f t="shared" si="579"/>
        <v>44</v>
      </c>
      <c r="C1026" s="1039" t="str">
        <f t="shared" si="574"/>
        <v>Muhammad Romli</v>
      </c>
      <c r="D1026" s="1040" t="str">
        <f t="shared" si="575"/>
        <v>MPI-3C</v>
      </c>
      <c r="E1026" s="1041">
        <f t="shared" si="576"/>
        <v>2018</v>
      </c>
      <c r="F1026" s="1040" t="str">
        <f t="shared" si="577"/>
        <v>PASIF</v>
      </c>
      <c r="G1026" s="1041">
        <f t="shared" si="578"/>
        <v>849118056</v>
      </c>
      <c r="H1026" s="1042">
        <f t="shared" si="571"/>
        <v>0</v>
      </c>
      <c r="I1026" s="1042">
        <f t="shared" si="572"/>
        <v>0</v>
      </c>
      <c r="J1026" s="1042">
        <f t="shared" si="566"/>
        <v>0</v>
      </c>
      <c r="L1026" s="1060">
        <f t="shared" si="573"/>
        <v>0</v>
      </c>
      <c r="M1026" s="1060">
        <f t="shared" si="567"/>
        <v>0</v>
      </c>
      <c r="N1026" s="1060">
        <f t="shared" si="568"/>
        <v>0</v>
      </c>
      <c r="O1026" s="1060">
        <f t="shared" si="569"/>
        <v>0</v>
      </c>
      <c r="P1026" s="1060">
        <f t="shared" si="570"/>
        <v>1</v>
      </c>
    </row>
    <row r="1027" spans="1:16" x14ac:dyDescent="0.25">
      <c r="A1027" s="1039">
        <v>1435</v>
      </c>
      <c r="B1027" s="1039">
        <f t="shared" ref="B1027:B1033" si="580">IFERROR(VLOOKUP(A1027,DB,2,FALSE),"")</f>
        <v>45</v>
      </c>
      <c r="C1027" s="1039" t="str">
        <f t="shared" si="574"/>
        <v>ZAINOR RAHMAN</v>
      </c>
      <c r="D1027" s="1040" t="str">
        <f t="shared" si="575"/>
        <v>MPI-3C</v>
      </c>
      <c r="E1027" s="1041">
        <f t="shared" si="576"/>
        <v>2018</v>
      </c>
      <c r="F1027" s="1040" t="str">
        <f t="shared" si="577"/>
        <v>LULUS</v>
      </c>
      <c r="G1027" s="1041">
        <f t="shared" si="578"/>
        <v>849118057</v>
      </c>
      <c r="H1027" s="1042">
        <f t="shared" ref="H1027:H1033" si="581">IF(F1027="AKTIF",6450000,IF(F1027="CUTI",3000000,0))</f>
        <v>0</v>
      </c>
      <c r="I1027" s="1042">
        <f t="shared" ref="I1027:I1033" si="582">IF(F1027="AKTIF",3750000,IF(F1027="CUTI",3000000,0))</f>
        <v>0</v>
      </c>
      <c r="J1027" s="1042">
        <f t="shared" ref="J1027:J1033" si="583">I1027+H1027</f>
        <v>0</v>
      </c>
      <c r="L1027" s="1060">
        <f t="shared" ref="L1027:L1033" si="584">IF(F1027="AKTIF",1,0)</f>
        <v>0</v>
      </c>
      <c r="M1027" s="1060">
        <f t="shared" ref="M1027:M1033" si="585">IF(F1027="LULUS",1,0)</f>
        <v>1</v>
      </c>
      <c r="N1027" s="1060">
        <f t="shared" ref="N1027:N1033" si="586">IF(F1027="CUTI",1,0)</f>
        <v>0</v>
      </c>
      <c r="O1027" s="1060">
        <f t="shared" ref="O1027:O1033" si="587">IF(F1027="DROP OUT",1,0)</f>
        <v>0</v>
      </c>
      <c r="P1027" s="1060">
        <f t="shared" ref="P1027:P1033" si="588">IF(F1027="PASIF",1,0)</f>
        <v>0</v>
      </c>
    </row>
    <row r="1028" spans="1:16" x14ac:dyDescent="0.25">
      <c r="A1028" s="1039">
        <v>1436</v>
      </c>
      <c r="B1028" s="1039">
        <f t="shared" si="580"/>
        <v>46</v>
      </c>
      <c r="C1028" s="1039" t="str">
        <f t="shared" si="574"/>
        <v>AFIFAH ZAKIYAH DORAJAH</v>
      </c>
      <c r="D1028" s="1040" t="str">
        <f t="shared" si="575"/>
        <v>MPI-3C</v>
      </c>
      <c r="E1028" s="1041">
        <f t="shared" si="576"/>
        <v>2018</v>
      </c>
      <c r="F1028" s="1040" t="str">
        <f t="shared" si="577"/>
        <v>PASIF</v>
      </c>
      <c r="G1028" s="1041">
        <f t="shared" si="578"/>
        <v>849118058</v>
      </c>
      <c r="H1028" s="1042">
        <f t="shared" si="581"/>
        <v>0</v>
      </c>
      <c r="I1028" s="1042">
        <f t="shared" si="582"/>
        <v>0</v>
      </c>
      <c r="J1028" s="1042">
        <f t="shared" si="583"/>
        <v>0</v>
      </c>
      <c r="L1028" s="1060">
        <f t="shared" si="584"/>
        <v>0</v>
      </c>
      <c r="M1028" s="1060">
        <f t="shared" si="585"/>
        <v>0</v>
      </c>
      <c r="N1028" s="1060">
        <f t="shared" si="586"/>
        <v>0</v>
      </c>
      <c r="O1028" s="1060">
        <f t="shared" si="587"/>
        <v>0</v>
      </c>
      <c r="P1028" s="1060">
        <f t="shared" si="588"/>
        <v>1</v>
      </c>
    </row>
    <row r="1029" spans="1:16" x14ac:dyDescent="0.25">
      <c r="A1029" s="1039">
        <v>1437</v>
      </c>
      <c r="B1029" s="1039">
        <f t="shared" si="580"/>
        <v>47</v>
      </c>
      <c r="C1029" s="1039" t="str">
        <f t="shared" si="574"/>
        <v>SITI SOFIAH</v>
      </c>
      <c r="D1029" s="1040" t="str">
        <f t="shared" si="575"/>
        <v>MPI-3C</v>
      </c>
      <c r="E1029" s="1041">
        <f t="shared" si="576"/>
        <v>2018</v>
      </c>
      <c r="F1029" s="1040" t="str">
        <f t="shared" si="577"/>
        <v>PASIF</v>
      </c>
      <c r="G1029" s="1041">
        <f t="shared" si="578"/>
        <v>849118059</v>
      </c>
      <c r="H1029" s="1042">
        <f t="shared" si="581"/>
        <v>0</v>
      </c>
      <c r="I1029" s="1042">
        <f t="shared" si="582"/>
        <v>0</v>
      </c>
      <c r="J1029" s="1042">
        <f t="shared" si="583"/>
        <v>0</v>
      </c>
      <c r="L1029" s="1060">
        <f t="shared" si="584"/>
        <v>0</v>
      </c>
      <c r="M1029" s="1060">
        <f t="shared" si="585"/>
        <v>0</v>
      </c>
      <c r="N1029" s="1060">
        <f t="shared" si="586"/>
        <v>0</v>
      </c>
      <c r="O1029" s="1060">
        <f t="shared" si="587"/>
        <v>0</v>
      </c>
      <c r="P1029" s="1060">
        <f t="shared" si="588"/>
        <v>1</v>
      </c>
    </row>
    <row r="1030" spans="1:16" x14ac:dyDescent="0.25">
      <c r="A1030" s="1039">
        <v>1438</v>
      </c>
      <c r="B1030" s="1039">
        <f t="shared" si="580"/>
        <v>48</v>
      </c>
      <c r="C1030" s="1039" t="str">
        <f t="shared" si="574"/>
        <v>SAMAN</v>
      </c>
      <c r="D1030" s="1040" t="str">
        <f t="shared" si="575"/>
        <v>MPI-3C</v>
      </c>
      <c r="E1030" s="1041">
        <f t="shared" si="576"/>
        <v>2018</v>
      </c>
      <c r="F1030" s="1040" t="str">
        <f t="shared" si="577"/>
        <v>PASIF</v>
      </c>
      <c r="G1030" s="1041">
        <f t="shared" si="578"/>
        <v>849118060</v>
      </c>
      <c r="H1030" s="1042">
        <f t="shared" si="581"/>
        <v>0</v>
      </c>
      <c r="I1030" s="1042">
        <f t="shared" si="582"/>
        <v>0</v>
      </c>
      <c r="J1030" s="1042">
        <f t="shared" si="583"/>
        <v>0</v>
      </c>
      <c r="L1030" s="1060">
        <f t="shared" si="584"/>
        <v>0</v>
      </c>
      <c r="M1030" s="1060">
        <f t="shared" si="585"/>
        <v>0</v>
      </c>
      <c r="N1030" s="1060">
        <f t="shared" si="586"/>
        <v>0</v>
      </c>
      <c r="O1030" s="1060">
        <f t="shared" si="587"/>
        <v>0</v>
      </c>
      <c r="P1030" s="1060">
        <f t="shared" si="588"/>
        <v>1</v>
      </c>
    </row>
    <row r="1031" spans="1:16" x14ac:dyDescent="0.25">
      <c r="A1031" s="1039">
        <v>1439</v>
      </c>
      <c r="B1031" s="1039">
        <f t="shared" si="580"/>
        <v>49</v>
      </c>
      <c r="C1031" s="1039" t="str">
        <f t="shared" si="574"/>
        <v>MUHAMMAD ITQON SYAUQI</v>
      </c>
      <c r="D1031" s="1040" t="str">
        <f t="shared" si="575"/>
        <v>MPI-3C</v>
      </c>
      <c r="E1031" s="1041">
        <f t="shared" si="576"/>
        <v>2018</v>
      </c>
      <c r="F1031" s="1040" t="str">
        <f t="shared" si="577"/>
        <v>PASIF</v>
      </c>
      <c r="G1031" s="1041">
        <f t="shared" si="578"/>
        <v>849118061</v>
      </c>
      <c r="H1031" s="1042">
        <f t="shared" si="581"/>
        <v>0</v>
      </c>
      <c r="I1031" s="1042">
        <f t="shared" si="582"/>
        <v>0</v>
      </c>
      <c r="J1031" s="1042">
        <f t="shared" si="583"/>
        <v>0</v>
      </c>
      <c r="L1031" s="1060">
        <f t="shared" si="584"/>
        <v>0</v>
      </c>
      <c r="M1031" s="1060">
        <f t="shared" si="585"/>
        <v>0</v>
      </c>
      <c r="N1031" s="1060">
        <f t="shared" si="586"/>
        <v>0</v>
      </c>
      <c r="O1031" s="1060">
        <f t="shared" si="587"/>
        <v>0</v>
      </c>
      <c r="P1031" s="1060">
        <f t="shared" si="588"/>
        <v>1</v>
      </c>
    </row>
    <row r="1032" spans="1:16" x14ac:dyDescent="0.25">
      <c r="A1032" s="1039">
        <v>1440</v>
      </c>
      <c r="B1032" s="1039">
        <f t="shared" si="580"/>
        <v>50</v>
      </c>
      <c r="C1032" s="1039" t="str">
        <f t="shared" si="574"/>
        <v>HATMAN HADIB</v>
      </c>
      <c r="D1032" s="1040" t="str">
        <f t="shared" si="575"/>
        <v>MPI-3C</v>
      </c>
      <c r="E1032" s="1041">
        <f t="shared" si="576"/>
        <v>2018</v>
      </c>
      <c r="F1032" s="1040" t="str">
        <f t="shared" si="577"/>
        <v>PASIF</v>
      </c>
      <c r="G1032" s="1041">
        <f t="shared" si="578"/>
        <v>849118062</v>
      </c>
      <c r="H1032" s="1042">
        <f t="shared" si="581"/>
        <v>0</v>
      </c>
      <c r="I1032" s="1042">
        <f t="shared" si="582"/>
        <v>0</v>
      </c>
      <c r="J1032" s="1042">
        <f t="shared" si="583"/>
        <v>0</v>
      </c>
      <c r="L1032" s="1060">
        <f t="shared" si="584"/>
        <v>0</v>
      </c>
      <c r="M1032" s="1060">
        <f t="shared" si="585"/>
        <v>0</v>
      </c>
      <c r="N1032" s="1060">
        <f t="shared" si="586"/>
        <v>0</v>
      </c>
      <c r="O1032" s="1060">
        <f t="shared" si="587"/>
        <v>0</v>
      </c>
      <c r="P1032" s="1060">
        <f t="shared" si="588"/>
        <v>1</v>
      </c>
    </row>
    <row r="1033" spans="1:16" x14ac:dyDescent="0.25">
      <c r="A1033" s="1039"/>
      <c r="B1033" s="1039" t="str">
        <f t="shared" si="580"/>
        <v/>
      </c>
      <c r="C1033" s="1039" t="str">
        <f t="shared" si="574"/>
        <v/>
      </c>
      <c r="D1033" s="1040" t="str">
        <f t="shared" si="575"/>
        <v/>
      </c>
      <c r="E1033" s="1041" t="str">
        <f t="shared" si="576"/>
        <v/>
      </c>
      <c r="F1033" s="1040" t="str">
        <f t="shared" si="577"/>
        <v/>
      </c>
      <c r="G1033" s="1041" t="str">
        <f t="shared" si="578"/>
        <v/>
      </c>
      <c r="H1033" s="1042">
        <f t="shared" si="581"/>
        <v>0</v>
      </c>
      <c r="I1033" s="1042">
        <f t="shared" si="582"/>
        <v>0</v>
      </c>
      <c r="J1033" s="1042">
        <f t="shared" si="583"/>
        <v>0</v>
      </c>
      <c r="L1033" s="1060">
        <f t="shared" si="584"/>
        <v>0</v>
      </c>
      <c r="M1033" s="1060">
        <f t="shared" si="585"/>
        <v>0</v>
      </c>
      <c r="N1033" s="1060">
        <f t="shared" si="586"/>
        <v>0</v>
      </c>
      <c r="O1033" s="1060">
        <f t="shared" si="587"/>
        <v>0</v>
      </c>
      <c r="P1033" s="1060">
        <f t="shared" si="588"/>
        <v>0</v>
      </c>
    </row>
    <row r="1034" spans="1:16" x14ac:dyDescent="0.25">
      <c r="A1034" s="1039"/>
      <c r="B1034" s="1039"/>
      <c r="C1034" s="1039"/>
      <c r="D1034" s="1040"/>
      <c r="E1034" s="1041"/>
      <c r="F1034" s="1040"/>
      <c r="G1034" s="1041"/>
      <c r="H1034" s="1042"/>
      <c r="I1034" s="1042"/>
      <c r="J1034" s="1042"/>
    </row>
    <row r="1035" spans="1:16" x14ac:dyDescent="0.25">
      <c r="A1035" s="1076" t="str">
        <f>'Rekap SPP'!A1561</f>
        <v>S2-PAI 2018/2019</v>
      </c>
      <c r="B1035" s="1077"/>
      <c r="C1035" s="1077"/>
      <c r="D1035" s="1033" t="s">
        <v>3</v>
      </c>
      <c r="E1035" s="1032" t="s">
        <v>4</v>
      </c>
      <c r="F1035" s="1033" t="s">
        <v>3195</v>
      </c>
      <c r="G1035" s="1032" t="s">
        <v>1</v>
      </c>
      <c r="H1035" s="1033" t="s">
        <v>3362</v>
      </c>
      <c r="I1035" s="1033" t="s">
        <v>3341</v>
      </c>
      <c r="J1035" s="1062">
        <f>SUM(J1036:J1092)</f>
        <v>345000000</v>
      </c>
      <c r="L1035" s="1063">
        <f>SUM(L1036:L1092)</f>
        <v>25</v>
      </c>
      <c r="M1035" s="1063">
        <f>SUM(M1036:M1092)</f>
        <v>9</v>
      </c>
      <c r="N1035" s="1063">
        <f>SUM(N1036:N1092)</f>
        <v>15</v>
      </c>
      <c r="O1035" s="1063">
        <f>SUM(O1036:O1092)</f>
        <v>2</v>
      </c>
      <c r="P1035" s="1063">
        <f>SUM(P1036:P1092)</f>
        <v>6</v>
      </c>
    </row>
    <row r="1036" spans="1:16" x14ac:dyDescent="0.25">
      <c r="A1036" s="1039">
        <v>1441</v>
      </c>
      <c r="B1036" s="1039">
        <f t="shared" si="579"/>
        <v>1</v>
      </c>
      <c r="C1036" s="1039" t="str">
        <f t="shared" ref="C1036:C1067" si="589">IFERROR(VLOOKUP(A1036,DB,4,FALSE),"")</f>
        <v>Rizky Alfiyan</v>
      </c>
      <c r="D1036" s="1040" t="str">
        <f t="shared" ref="D1036:D1067" si="590">IFERROR(VLOOKUP(A1036,DB,5,FALSE),"")</f>
        <v>PAI-3A</v>
      </c>
      <c r="E1036" s="1041">
        <f t="shared" ref="E1036:E1067" si="591">IFERROR(VLOOKUP(A1036,DB,6,FALSE),"")</f>
        <v>2018</v>
      </c>
      <c r="F1036" s="1040" t="str">
        <f t="shared" ref="F1036:F1067" si="592">IFERROR(VLOOKUP(A1036,DB,7,FALSE),"")</f>
        <v>CUTI</v>
      </c>
      <c r="G1036" s="1041">
        <f t="shared" ref="G1036:G1067" si="593">IFERROR(VLOOKUP(A1036,DB,3,FALSE),"")</f>
        <v>849318043</v>
      </c>
      <c r="H1036" s="1042">
        <f t="shared" si="571"/>
        <v>3000000</v>
      </c>
      <c r="I1036" s="1042">
        <f t="shared" si="572"/>
        <v>3000000</v>
      </c>
      <c r="J1036" s="1042">
        <f t="shared" si="566"/>
        <v>6000000</v>
      </c>
      <c r="L1036" s="1060">
        <f>IF(F1036="AKTIF",1,0)</f>
        <v>0</v>
      </c>
      <c r="M1036" s="1060">
        <f t="shared" ref="M1036:M1067" si="594">IF(F1036="LULUS",1,0)</f>
        <v>0</v>
      </c>
      <c r="N1036" s="1060">
        <f t="shared" ref="N1036:N1067" si="595">IF(F1036="CUTI",1,0)</f>
        <v>1</v>
      </c>
      <c r="O1036" s="1060">
        <f t="shared" ref="O1036:O1067" si="596">IF(F1036="DROP OUT",1,0)</f>
        <v>0</v>
      </c>
      <c r="P1036" s="1060">
        <f t="shared" ref="P1036:P1067" si="597">IF(F1036="PASIF",1,0)</f>
        <v>0</v>
      </c>
    </row>
    <row r="1037" spans="1:16" x14ac:dyDescent="0.25">
      <c r="A1037" s="1039">
        <v>1442</v>
      </c>
      <c r="B1037" s="1039">
        <f t="shared" si="579"/>
        <v>2</v>
      </c>
      <c r="C1037" s="1039" t="str">
        <f t="shared" si="589"/>
        <v>Nasihatus Silmiyah</v>
      </c>
      <c r="D1037" s="1040" t="str">
        <f t="shared" si="590"/>
        <v>PAI-3A</v>
      </c>
      <c r="E1037" s="1041">
        <f t="shared" si="591"/>
        <v>2018</v>
      </c>
      <c r="F1037" s="1040" t="str">
        <f t="shared" si="592"/>
        <v>AKTIF</v>
      </c>
      <c r="G1037" s="1041">
        <f t="shared" si="593"/>
        <v>849318044</v>
      </c>
      <c r="H1037" s="1042">
        <f t="shared" si="571"/>
        <v>6450000</v>
      </c>
      <c r="I1037" s="1042">
        <f t="shared" si="572"/>
        <v>3750000</v>
      </c>
      <c r="J1037" s="1042">
        <f t="shared" si="566"/>
        <v>10200000</v>
      </c>
      <c r="L1037" s="1060">
        <f>IF(F1037="AKTIF",1,0)</f>
        <v>1</v>
      </c>
      <c r="M1037" s="1060">
        <f t="shared" si="594"/>
        <v>0</v>
      </c>
      <c r="N1037" s="1060">
        <f t="shared" si="595"/>
        <v>0</v>
      </c>
      <c r="O1037" s="1060">
        <f t="shared" si="596"/>
        <v>0</v>
      </c>
      <c r="P1037" s="1060">
        <f t="shared" si="597"/>
        <v>0</v>
      </c>
    </row>
    <row r="1038" spans="1:16" x14ac:dyDescent="0.25">
      <c r="A1038" s="1039">
        <v>1443</v>
      </c>
      <c r="B1038" s="1039">
        <f t="shared" si="579"/>
        <v>3</v>
      </c>
      <c r="C1038" s="1039" t="str">
        <f t="shared" si="589"/>
        <v>Moh. Hafid Baihaqi</v>
      </c>
      <c r="D1038" s="1040" t="str">
        <f t="shared" si="590"/>
        <v>PAI-3A</v>
      </c>
      <c r="E1038" s="1041">
        <f t="shared" si="591"/>
        <v>2018</v>
      </c>
      <c r="F1038" s="1040" t="str">
        <f t="shared" si="592"/>
        <v>AKTIF</v>
      </c>
      <c r="G1038" s="1041">
        <f t="shared" si="593"/>
        <v>849318045</v>
      </c>
      <c r="H1038" s="1042">
        <f t="shared" si="571"/>
        <v>6450000</v>
      </c>
      <c r="I1038" s="1042">
        <f t="shared" si="572"/>
        <v>3750000</v>
      </c>
      <c r="J1038" s="1042">
        <f t="shared" si="566"/>
        <v>10200000</v>
      </c>
      <c r="L1038" s="1060">
        <f t="shared" ref="L1038:L1092" si="598">IF(F1038="AKTIF",1,0)</f>
        <v>1</v>
      </c>
      <c r="M1038" s="1060">
        <f t="shared" si="594"/>
        <v>0</v>
      </c>
      <c r="N1038" s="1060">
        <f t="shared" si="595"/>
        <v>0</v>
      </c>
      <c r="O1038" s="1060">
        <f t="shared" si="596"/>
        <v>0</v>
      </c>
      <c r="P1038" s="1060">
        <f t="shared" si="597"/>
        <v>0</v>
      </c>
    </row>
    <row r="1039" spans="1:16" x14ac:dyDescent="0.25">
      <c r="A1039" s="1039">
        <v>1444</v>
      </c>
      <c r="B1039" s="1039">
        <f t="shared" si="579"/>
        <v>4</v>
      </c>
      <c r="C1039" s="1039" t="str">
        <f t="shared" si="589"/>
        <v>Safaruddin Ridwan</v>
      </c>
      <c r="D1039" s="1040" t="str">
        <f t="shared" si="590"/>
        <v>PAI-3A</v>
      </c>
      <c r="E1039" s="1041">
        <f t="shared" si="591"/>
        <v>2018</v>
      </c>
      <c r="F1039" s="1040" t="str">
        <f t="shared" si="592"/>
        <v>CUTI</v>
      </c>
      <c r="G1039" s="1041">
        <f t="shared" si="593"/>
        <v>849318046</v>
      </c>
      <c r="H1039" s="1042">
        <f t="shared" si="571"/>
        <v>3000000</v>
      </c>
      <c r="I1039" s="1042">
        <f t="shared" si="572"/>
        <v>3000000</v>
      </c>
      <c r="J1039" s="1042">
        <f t="shared" si="566"/>
        <v>6000000</v>
      </c>
      <c r="L1039" s="1060">
        <f t="shared" si="598"/>
        <v>0</v>
      </c>
      <c r="M1039" s="1060">
        <f t="shared" si="594"/>
        <v>0</v>
      </c>
      <c r="N1039" s="1060">
        <f t="shared" si="595"/>
        <v>1</v>
      </c>
      <c r="O1039" s="1060">
        <f t="shared" si="596"/>
        <v>0</v>
      </c>
      <c r="P1039" s="1060">
        <f t="shared" si="597"/>
        <v>0</v>
      </c>
    </row>
    <row r="1040" spans="1:16" x14ac:dyDescent="0.25">
      <c r="A1040" s="1039">
        <v>1445</v>
      </c>
      <c r="B1040" s="1039">
        <f t="shared" si="579"/>
        <v>5</v>
      </c>
      <c r="C1040" s="1039" t="str">
        <f t="shared" si="589"/>
        <v>Zubairi</v>
      </c>
      <c r="D1040" s="1040" t="str">
        <f t="shared" si="590"/>
        <v>PAI-3A</v>
      </c>
      <c r="E1040" s="1041">
        <f t="shared" si="591"/>
        <v>2018</v>
      </c>
      <c r="F1040" s="1040" t="str">
        <f t="shared" si="592"/>
        <v>LULUS</v>
      </c>
      <c r="G1040" s="1041">
        <f t="shared" si="593"/>
        <v>849318047</v>
      </c>
      <c r="H1040" s="1042">
        <f t="shared" si="571"/>
        <v>0</v>
      </c>
      <c r="I1040" s="1042">
        <f t="shared" si="572"/>
        <v>0</v>
      </c>
      <c r="J1040" s="1042">
        <f t="shared" si="566"/>
        <v>0</v>
      </c>
      <c r="L1040" s="1060">
        <f t="shared" si="598"/>
        <v>0</v>
      </c>
      <c r="M1040" s="1060">
        <f t="shared" si="594"/>
        <v>1</v>
      </c>
      <c r="N1040" s="1060">
        <f t="shared" si="595"/>
        <v>0</v>
      </c>
      <c r="O1040" s="1060">
        <f t="shared" si="596"/>
        <v>0</v>
      </c>
      <c r="P1040" s="1060">
        <f t="shared" si="597"/>
        <v>0</v>
      </c>
    </row>
    <row r="1041" spans="1:16" x14ac:dyDescent="0.25">
      <c r="A1041" s="1039">
        <v>1446</v>
      </c>
      <c r="B1041" s="1039">
        <f t="shared" si="579"/>
        <v>6</v>
      </c>
      <c r="C1041" s="1039" t="str">
        <f t="shared" si="589"/>
        <v xml:space="preserve">Hariska </v>
      </c>
      <c r="D1041" s="1040" t="str">
        <f t="shared" si="590"/>
        <v>PAI-3A</v>
      </c>
      <c r="E1041" s="1041">
        <f t="shared" si="591"/>
        <v>2018</v>
      </c>
      <c r="F1041" s="1040" t="str">
        <f t="shared" si="592"/>
        <v>LULUS</v>
      </c>
      <c r="G1041" s="1041">
        <f t="shared" si="593"/>
        <v>849318050</v>
      </c>
      <c r="H1041" s="1042">
        <f t="shared" si="571"/>
        <v>0</v>
      </c>
      <c r="I1041" s="1042">
        <f t="shared" si="572"/>
        <v>0</v>
      </c>
      <c r="J1041" s="1042">
        <f t="shared" si="566"/>
        <v>0</v>
      </c>
      <c r="L1041" s="1060">
        <f t="shared" si="598"/>
        <v>0</v>
      </c>
      <c r="M1041" s="1060">
        <f t="shared" si="594"/>
        <v>1</v>
      </c>
      <c r="N1041" s="1060">
        <f t="shared" si="595"/>
        <v>0</v>
      </c>
      <c r="O1041" s="1060">
        <f t="shared" si="596"/>
        <v>0</v>
      </c>
      <c r="P1041" s="1060">
        <f t="shared" si="597"/>
        <v>0</v>
      </c>
    </row>
    <row r="1042" spans="1:16" x14ac:dyDescent="0.25">
      <c r="A1042" s="1039">
        <v>1447</v>
      </c>
      <c r="B1042" s="1039">
        <f t="shared" si="579"/>
        <v>7</v>
      </c>
      <c r="C1042" s="1039" t="str">
        <f t="shared" si="589"/>
        <v>Wildan Hadi Rochmanu</v>
      </c>
      <c r="D1042" s="1040" t="str">
        <f t="shared" si="590"/>
        <v>PAI-3A</v>
      </c>
      <c r="E1042" s="1041">
        <f t="shared" si="591"/>
        <v>2018</v>
      </c>
      <c r="F1042" s="1040" t="str">
        <f t="shared" si="592"/>
        <v>PASIF</v>
      </c>
      <c r="G1042" s="1041">
        <f t="shared" si="593"/>
        <v>849318051</v>
      </c>
      <c r="H1042" s="1042">
        <f t="shared" si="571"/>
        <v>0</v>
      </c>
      <c r="I1042" s="1042">
        <f t="shared" si="572"/>
        <v>0</v>
      </c>
      <c r="J1042" s="1042">
        <f t="shared" si="566"/>
        <v>0</v>
      </c>
      <c r="L1042" s="1060">
        <f t="shared" si="598"/>
        <v>0</v>
      </c>
      <c r="M1042" s="1060">
        <f t="shared" si="594"/>
        <v>0</v>
      </c>
      <c r="N1042" s="1060">
        <f t="shared" si="595"/>
        <v>0</v>
      </c>
      <c r="O1042" s="1060">
        <f t="shared" si="596"/>
        <v>0</v>
      </c>
      <c r="P1042" s="1060">
        <f t="shared" si="597"/>
        <v>1</v>
      </c>
    </row>
    <row r="1043" spans="1:16" x14ac:dyDescent="0.25">
      <c r="A1043" s="1039">
        <v>1448</v>
      </c>
      <c r="B1043" s="1039">
        <f t="shared" si="579"/>
        <v>8</v>
      </c>
      <c r="C1043" s="1039" t="str">
        <f t="shared" si="589"/>
        <v>Akhmad Syaiho</v>
      </c>
      <c r="D1043" s="1040" t="str">
        <f t="shared" si="590"/>
        <v>PAI-3A</v>
      </c>
      <c r="E1043" s="1041">
        <f t="shared" si="591"/>
        <v>2018</v>
      </c>
      <c r="F1043" s="1040" t="str">
        <f t="shared" si="592"/>
        <v>AKTIF</v>
      </c>
      <c r="G1043" s="1041">
        <f t="shared" si="593"/>
        <v>849318052</v>
      </c>
      <c r="H1043" s="1042">
        <f t="shared" si="571"/>
        <v>6450000</v>
      </c>
      <c r="I1043" s="1042">
        <f t="shared" si="572"/>
        <v>3750000</v>
      </c>
      <c r="J1043" s="1042">
        <f t="shared" si="566"/>
        <v>10200000</v>
      </c>
      <c r="L1043" s="1060">
        <f t="shared" si="598"/>
        <v>1</v>
      </c>
      <c r="M1043" s="1060">
        <f t="shared" si="594"/>
        <v>0</v>
      </c>
      <c r="N1043" s="1060">
        <f t="shared" si="595"/>
        <v>0</v>
      </c>
      <c r="O1043" s="1060">
        <f t="shared" si="596"/>
        <v>0</v>
      </c>
      <c r="P1043" s="1060">
        <f t="shared" si="597"/>
        <v>0</v>
      </c>
    </row>
    <row r="1044" spans="1:16" x14ac:dyDescent="0.25">
      <c r="A1044" s="1039">
        <v>1449</v>
      </c>
      <c r="B1044" s="1039">
        <f t="shared" si="579"/>
        <v>9</v>
      </c>
      <c r="C1044" s="1039" t="str">
        <f t="shared" si="589"/>
        <v>Bambang Sutrisno Akhmad Mudakir</v>
      </c>
      <c r="D1044" s="1040" t="str">
        <f t="shared" si="590"/>
        <v>PAI-3A</v>
      </c>
      <c r="E1044" s="1041">
        <f t="shared" si="591"/>
        <v>2018</v>
      </c>
      <c r="F1044" s="1040" t="str">
        <f t="shared" si="592"/>
        <v>PASIF</v>
      </c>
      <c r="G1044" s="1041">
        <f t="shared" si="593"/>
        <v>849318055</v>
      </c>
      <c r="H1044" s="1042">
        <f t="shared" si="571"/>
        <v>0</v>
      </c>
      <c r="I1044" s="1042">
        <f t="shared" si="572"/>
        <v>0</v>
      </c>
      <c r="J1044" s="1042">
        <f t="shared" si="566"/>
        <v>0</v>
      </c>
      <c r="L1044" s="1060">
        <f t="shared" si="598"/>
        <v>0</v>
      </c>
      <c r="M1044" s="1060">
        <f t="shared" si="594"/>
        <v>0</v>
      </c>
      <c r="N1044" s="1060">
        <f t="shared" si="595"/>
        <v>0</v>
      </c>
      <c r="O1044" s="1060">
        <f t="shared" si="596"/>
        <v>0</v>
      </c>
      <c r="P1044" s="1060">
        <f t="shared" si="597"/>
        <v>1</v>
      </c>
    </row>
    <row r="1045" spans="1:16" x14ac:dyDescent="0.25">
      <c r="A1045" s="1039">
        <v>1450</v>
      </c>
      <c r="B1045" s="1039">
        <f t="shared" si="579"/>
        <v>10</v>
      </c>
      <c r="C1045" s="1039" t="str">
        <f t="shared" si="589"/>
        <v>Elok Bariyatul Hasanah</v>
      </c>
      <c r="D1045" s="1040" t="str">
        <f t="shared" si="590"/>
        <v>PAI-3A</v>
      </c>
      <c r="E1045" s="1041">
        <f t="shared" si="591"/>
        <v>2018</v>
      </c>
      <c r="F1045" s="1040" t="str">
        <f t="shared" si="592"/>
        <v>CUTI</v>
      </c>
      <c r="G1045" s="1041">
        <f t="shared" si="593"/>
        <v>849318058</v>
      </c>
      <c r="H1045" s="1042">
        <f t="shared" si="571"/>
        <v>3000000</v>
      </c>
      <c r="I1045" s="1042">
        <f t="shared" si="572"/>
        <v>3000000</v>
      </c>
      <c r="J1045" s="1042">
        <f t="shared" si="566"/>
        <v>6000000</v>
      </c>
      <c r="L1045" s="1060">
        <f t="shared" si="598"/>
        <v>0</v>
      </c>
      <c r="M1045" s="1060">
        <f t="shared" si="594"/>
        <v>0</v>
      </c>
      <c r="N1045" s="1060">
        <f t="shared" si="595"/>
        <v>1</v>
      </c>
      <c r="O1045" s="1060">
        <f t="shared" si="596"/>
        <v>0</v>
      </c>
      <c r="P1045" s="1060">
        <f t="shared" si="597"/>
        <v>0</v>
      </c>
    </row>
    <row r="1046" spans="1:16" x14ac:dyDescent="0.25">
      <c r="A1046" s="1039">
        <v>1451</v>
      </c>
      <c r="B1046" s="1039">
        <f t="shared" si="579"/>
        <v>11</v>
      </c>
      <c r="C1046" s="1039" t="str">
        <f t="shared" si="589"/>
        <v>Fitriatul Munawaroh</v>
      </c>
      <c r="D1046" s="1040" t="str">
        <f t="shared" si="590"/>
        <v>PAI-3A</v>
      </c>
      <c r="E1046" s="1041">
        <f t="shared" si="591"/>
        <v>2018</v>
      </c>
      <c r="F1046" s="1040" t="str">
        <f t="shared" si="592"/>
        <v>LULUS</v>
      </c>
      <c r="G1046" s="1041">
        <f t="shared" si="593"/>
        <v>849318059</v>
      </c>
      <c r="H1046" s="1042">
        <f t="shared" si="571"/>
        <v>0</v>
      </c>
      <c r="I1046" s="1042">
        <f t="shared" si="572"/>
        <v>0</v>
      </c>
      <c r="J1046" s="1042">
        <f t="shared" si="566"/>
        <v>0</v>
      </c>
      <c r="L1046" s="1060">
        <f t="shared" si="598"/>
        <v>0</v>
      </c>
      <c r="M1046" s="1060">
        <f t="shared" si="594"/>
        <v>1</v>
      </c>
      <c r="N1046" s="1060">
        <f t="shared" si="595"/>
        <v>0</v>
      </c>
      <c r="O1046" s="1060">
        <f t="shared" si="596"/>
        <v>0</v>
      </c>
      <c r="P1046" s="1060">
        <f t="shared" si="597"/>
        <v>0</v>
      </c>
    </row>
    <row r="1047" spans="1:16" x14ac:dyDescent="0.25">
      <c r="A1047" s="1039">
        <v>1452</v>
      </c>
      <c r="B1047" s="1039">
        <f t="shared" si="579"/>
        <v>12</v>
      </c>
      <c r="C1047" s="1039" t="str">
        <f t="shared" si="589"/>
        <v>Riza Nur Hidayat</v>
      </c>
      <c r="D1047" s="1040" t="str">
        <f t="shared" si="590"/>
        <v>PAI-3A</v>
      </c>
      <c r="E1047" s="1041">
        <f t="shared" si="591"/>
        <v>2018</v>
      </c>
      <c r="F1047" s="1040" t="str">
        <f t="shared" si="592"/>
        <v>AKTIF</v>
      </c>
      <c r="G1047" s="1041">
        <f t="shared" si="593"/>
        <v>849318060</v>
      </c>
      <c r="H1047" s="1042">
        <f t="shared" si="571"/>
        <v>6450000</v>
      </c>
      <c r="I1047" s="1042">
        <f t="shared" si="572"/>
        <v>3750000</v>
      </c>
      <c r="J1047" s="1042">
        <f t="shared" si="566"/>
        <v>10200000</v>
      </c>
      <c r="L1047" s="1060">
        <f t="shared" si="598"/>
        <v>1</v>
      </c>
      <c r="M1047" s="1060">
        <f t="shared" si="594"/>
        <v>0</v>
      </c>
      <c r="N1047" s="1060">
        <f t="shared" si="595"/>
        <v>0</v>
      </c>
      <c r="O1047" s="1060">
        <f t="shared" si="596"/>
        <v>0</v>
      </c>
      <c r="P1047" s="1060">
        <f t="shared" si="597"/>
        <v>0</v>
      </c>
    </row>
    <row r="1048" spans="1:16" x14ac:dyDescent="0.25">
      <c r="A1048" s="1039">
        <v>1453</v>
      </c>
      <c r="B1048" s="1039">
        <f t="shared" si="579"/>
        <v>13</v>
      </c>
      <c r="C1048" s="1039" t="str">
        <f t="shared" si="589"/>
        <v>Rizka Dwi Aryani</v>
      </c>
      <c r="D1048" s="1040" t="str">
        <f t="shared" si="590"/>
        <v>PAI-3A</v>
      </c>
      <c r="E1048" s="1041">
        <f t="shared" si="591"/>
        <v>2018</v>
      </c>
      <c r="F1048" s="1040" t="str">
        <f t="shared" si="592"/>
        <v>AKTIF</v>
      </c>
      <c r="G1048" s="1041">
        <f t="shared" si="593"/>
        <v>849318061</v>
      </c>
      <c r="H1048" s="1042">
        <f t="shared" si="571"/>
        <v>6450000</v>
      </c>
      <c r="I1048" s="1042">
        <f t="shared" si="572"/>
        <v>3750000</v>
      </c>
      <c r="J1048" s="1042">
        <f t="shared" si="566"/>
        <v>10200000</v>
      </c>
      <c r="L1048" s="1060">
        <f t="shared" si="598"/>
        <v>1</v>
      </c>
      <c r="M1048" s="1060">
        <f t="shared" si="594"/>
        <v>0</v>
      </c>
      <c r="N1048" s="1060">
        <f t="shared" si="595"/>
        <v>0</v>
      </c>
      <c r="O1048" s="1060">
        <f t="shared" si="596"/>
        <v>0</v>
      </c>
      <c r="P1048" s="1060">
        <f t="shared" si="597"/>
        <v>0</v>
      </c>
    </row>
    <row r="1049" spans="1:16" x14ac:dyDescent="0.25">
      <c r="A1049" s="1039">
        <v>1454</v>
      </c>
      <c r="B1049" s="1039">
        <f t="shared" si="579"/>
        <v>14</v>
      </c>
      <c r="C1049" s="1039" t="str">
        <f t="shared" si="589"/>
        <v>Fajar Abdillah</v>
      </c>
      <c r="D1049" s="1040" t="str">
        <f t="shared" si="590"/>
        <v>PAI-3A</v>
      </c>
      <c r="E1049" s="1041">
        <f t="shared" si="591"/>
        <v>2018</v>
      </c>
      <c r="F1049" s="1040" t="str">
        <f t="shared" si="592"/>
        <v>CUTI</v>
      </c>
      <c r="G1049" s="1041">
        <f t="shared" si="593"/>
        <v>849318062</v>
      </c>
      <c r="H1049" s="1042">
        <f t="shared" si="571"/>
        <v>3000000</v>
      </c>
      <c r="I1049" s="1042">
        <f t="shared" si="572"/>
        <v>3000000</v>
      </c>
      <c r="J1049" s="1042">
        <f t="shared" si="566"/>
        <v>6000000</v>
      </c>
      <c r="L1049" s="1060">
        <f t="shared" si="598"/>
        <v>0</v>
      </c>
      <c r="M1049" s="1060">
        <f t="shared" si="594"/>
        <v>0</v>
      </c>
      <c r="N1049" s="1060">
        <f t="shared" si="595"/>
        <v>1</v>
      </c>
      <c r="O1049" s="1060">
        <f t="shared" si="596"/>
        <v>0</v>
      </c>
      <c r="P1049" s="1060">
        <f t="shared" si="597"/>
        <v>0</v>
      </c>
    </row>
    <row r="1050" spans="1:16" x14ac:dyDescent="0.25">
      <c r="A1050" s="1039">
        <v>1455</v>
      </c>
      <c r="B1050" s="1039">
        <f t="shared" si="579"/>
        <v>15</v>
      </c>
      <c r="C1050" s="1039" t="str">
        <f t="shared" si="589"/>
        <v>Muhammad Jaelani</v>
      </c>
      <c r="D1050" s="1040" t="str">
        <f t="shared" si="590"/>
        <v>PAI-3A</v>
      </c>
      <c r="E1050" s="1041">
        <f t="shared" si="591"/>
        <v>2018</v>
      </c>
      <c r="F1050" s="1040" t="str">
        <f t="shared" si="592"/>
        <v>AKTIF</v>
      </c>
      <c r="G1050" s="1041">
        <f t="shared" si="593"/>
        <v>849318063</v>
      </c>
      <c r="H1050" s="1042">
        <f t="shared" si="571"/>
        <v>6450000</v>
      </c>
      <c r="I1050" s="1042">
        <f t="shared" si="572"/>
        <v>3750000</v>
      </c>
      <c r="J1050" s="1042">
        <f t="shared" si="566"/>
        <v>10200000</v>
      </c>
      <c r="L1050" s="1060">
        <f t="shared" si="598"/>
        <v>1</v>
      </c>
      <c r="M1050" s="1060">
        <f t="shared" si="594"/>
        <v>0</v>
      </c>
      <c r="N1050" s="1060">
        <f t="shared" si="595"/>
        <v>0</v>
      </c>
      <c r="O1050" s="1060">
        <f t="shared" si="596"/>
        <v>0</v>
      </c>
      <c r="P1050" s="1060">
        <f t="shared" si="597"/>
        <v>0</v>
      </c>
    </row>
    <row r="1051" spans="1:16" x14ac:dyDescent="0.25">
      <c r="A1051" s="1039">
        <v>1456</v>
      </c>
      <c r="B1051" s="1039">
        <f t="shared" si="579"/>
        <v>16</v>
      </c>
      <c r="C1051" s="1039" t="str">
        <f t="shared" si="589"/>
        <v>Roviani Darojah</v>
      </c>
      <c r="D1051" s="1040" t="str">
        <f t="shared" si="590"/>
        <v>PAI-3B</v>
      </c>
      <c r="E1051" s="1041">
        <f t="shared" si="591"/>
        <v>2018</v>
      </c>
      <c r="F1051" s="1040" t="str">
        <f t="shared" si="592"/>
        <v>CUTI</v>
      </c>
      <c r="G1051" s="1041">
        <f t="shared" si="593"/>
        <v>849318001</v>
      </c>
      <c r="H1051" s="1042">
        <f t="shared" si="571"/>
        <v>3000000</v>
      </c>
      <c r="I1051" s="1042">
        <f t="shared" si="572"/>
        <v>3000000</v>
      </c>
      <c r="J1051" s="1042">
        <f t="shared" si="566"/>
        <v>6000000</v>
      </c>
      <c r="L1051" s="1060">
        <f t="shared" si="598"/>
        <v>0</v>
      </c>
      <c r="M1051" s="1060">
        <f t="shared" si="594"/>
        <v>0</v>
      </c>
      <c r="N1051" s="1060">
        <f t="shared" si="595"/>
        <v>1</v>
      </c>
      <c r="O1051" s="1060">
        <f t="shared" si="596"/>
        <v>0</v>
      </c>
      <c r="P1051" s="1060">
        <f t="shared" si="597"/>
        <v>0</v>
      </c>
    </row>
    <row r="1052" spans="1:16" x14ac:dyDescent="0.25">
      <c r="A1052" s="1039">
        <v>1457</v>
      </c>
      <c r="B1052" s="1039">
        <f t="shared" si="579"/>
        <v>17</v>
      </c>
      <c r="C1052" s="1039" t="str">
        <f t="shared" si="589"/>
        <v>Muhammad Hilali</v>
      </c>
      <c r="D1052" s="1040" t="str">
        <f t="shared" si="590"/>
        <v>PAI-3B</v>
      </c>
      <c r="E1052" s="1041">
        <f t="shared" si="591"/>
        <v>2018</v>
      </c>
      <c r="F1052" s="1040" t="str">
        <f t="shared" si="592"/>
        <v>LULUS</v>
      </c>
      <c r="G1052" s="1041">
        <f t="shared" si="593"/>
        <v>849318002</v>
      </c>
      <c r="H1052" s="1042">
        <f t="shared" si="571"/>
        <v>0</v>
      </c>
      <c r="I1052" s="1042">
        <f t="shared" si="572"/>
        <v>0</v>
      </c>
      <c r="J1052" s="1042">
        <f t="shared" si="566"/>
        <v>0</v>
      </c>
      <c r="L1052" s="1060">
        <f t="shared" si="598"/>
        <v>0</v>
      </c>
      <c r="M1052" s="1060">
        <f t="shared" si="594"/>
        <v>1</v>
      </c>
      <c r="N1052" s="1060">
        <f t="shared" si="595"/>
        <v>0</v>
      </c>
      <c r="O1052" s="1060">
        <f t="shared" si="596"/>
        <v>0</v>
      </c>
      <c r="P1052" s="1060">
        <f t="shared" si="597"/>
        <v>0</v>
      </c>
    </row>
    <row r="1053" spans="1:16" x14ac:dyDescent="0.25">
      <c r="A1053" s="1039">
        <v>1458</v>
      </c>
      <c r="B1053" s="1039">
        <f t="shared" si="579"/>
        <v>18</v>
      </c>
      <c r="C1053" s="1039" t="str">
        <f t="shared" si="589"/>
        <v>Retno Damayanti</v>
      </c>
      <c r="D1053" s="1040" t="str">
        <f t="shared" si="590"/>
        <v>PAI-3B</v>
      </c>
      <c r="E1053" s="1041">
        <f t="shared" si="591"/>
        <v>2018</v>
      </c>
      <c r="F1053" s="1040" t="str">
        <f t="shared" si="592"/>
        <v>AKTIF</v>
      </c>
      <c r="G1053" s="1041">
        <f t="shared" si="593"/>
        <v>849318003</v>
      </c>
      <c r="H1053" s="1042">
        <f t="shared" si="571"/>
        <v>6450000</v>
      </c>
      <c r="I1053" s="1042">
        <f t="shared" si="572"/>
        <v>3750000</v>
      </c>
      <c r="J1053" s="1042">
        <f t="shared" si="566"/>
        <v>10200000</v>
      </c>
      <c r="L1053" s="1060">
        <f t="shared" si="598"/>
        <v>1</v>
      </c>
      <c r="M1053" s="1060">
        <f t="shared" si="594"/>
        <v>0</v>
      </c>
      <c r="N1053" s="1060">
        <f t="shared" si="595"/>
        <v>0</v>
      </c>
      <c r="O1053" s="1060">
        <f t="shared" si="596"/>
        <v>0</v>
      </c>
      <c r="P1053" s="1060">
        <f t="shared" si="597"/>
        <v>0</v>
      </c>
    </row>
    <row r="1054" spans="1:16" x14ac:dyDescent="0.25">
      <c r="A1054" s="1039">
        <v>1459</v>
      </c>
      <c r="B1054" s="1039">
        <f t="shared" si="579"/>
        <v>19</v>
      </c>
      <c r="C1054" s="1039" t="str">
        <f t="shared" si="589"/>
        <v>Ahmad Amiruddin</v>
      </c>
      <c r="D1054" s="1040" t="str">
        <f t="shared" si="590"/>
        <v>PAI-3B</v>
      </c>
      <c r="E1054" s="1041">
        <f t="shared" si="591"/>
        <v>2018</v>
      </c>
      <c r="F1054" s="1040" t="str">
        <f t="shared" si="592"/>
        <v>AKTIF</v>
      </c>
      <c r="G1054" s="1041">
        <f t="shared" si="593"/>
        <v>849318004</v>
      </c>
      <c r="H1054" s="1042">
        <f t="shared" si="571"/>
        <v>6450000</v>
      </c>
      <c r="I1054" s="1042">
        <f t="shared" si="572"/>
        <v>3750000</v>
      </c>
      <c r="J1054" s="1042">
        <f t="shared" si="566"/>
        <v>10200000</v>
      </c>
      <c r="L1054" s="1060">
        <f t="shared" si="598"/>
        <v>1</v>
      </c>
      <c r="M1054" s="1060">
        <f t="shared" si="594"/>
        <v>0</v>
      </c>
      <c r="N1054" s="1060">
        <f t="shared" si="595"/>
        <v>0</v>
      </c>
      <c r="O1054" s="1060">
        <f t="shared" si="596"/>
        <v>0</v>
      </c>
      <c r="P1054" s="1060">
        <f t="shared" si="597"/>
        <v>0</v>
      </c>
    </row>
    <row r="1055" spans="1:16" x14ac:dyDescent="0.25">
      <c r="A1055" s="1039">
        <v>1460</v>
      </c>
      <c r="B1055" s="1039">
        <f t="shared" si="579"/>
        <v>20</v>
      </c>
      <c r="C1055" s="1039" t="str">
        <f t="shared" si="589"/>
        <v xml:space="preserve">Indah Wahyuni </v>
      </c>
      <c r="D1055" s="1040" t="str">
        <f t="shared" si="590"/>
        <v>PAI-3B</v>
      </c>
      <c r="E1055" s="1041">
        <f t="shared" si="591"/>
        <v>2018</v>
      </c>
      <c r="F1055" s="1040" t="str">
        <f t="shared" si="592"/>
        <v>AKTIF</v>
      </c>
      <c r="G1055" s="1041">
        <f t="shared" si="593"/>
        <v>849318005</v>
      </c>
      <c r="H1055" s="1042">
        <f t="shared" si="571"/>
        <v>6450000</v>
      </c>
      <c r="I1055" s="1042">
        <f t="shared" si="572"/>
        <v>3750000</v>
      </c>
      <c r="J1055" s="1042">
        <f t="shared" si="566"/>
        <v>10200000</v>
      </c>
      <c r="L1055" s="1060">
        <f t="shared" si="598"/>
        <v>1</v>
      </c>
      <c r="M1055" s="1060">
        <f t="shared" si="594"/>
        <v>0</v>
      </c>
      <c r="N1055" s="1060">
        <f t="shared" si="595"/>
        <v>0</v>
      </c>
      <c r="O1055" s="1060">
        <f t="shared" si="596"/>
        <v>0</v>
      </c>
      <c r="P1055" s="1060">
        <f t="shared" si="597"/>
        <v>0</v>
      </c>
    </row>
    <row r="1056" spans="1:16" x14ac:dyDescent="0.25">
      <c r="A1056" s="1039">
        <v>1461</v>
      </c>
      <c r="B1056" s="1039">
        <f t="shared" si="579"/>
        <v>21</v>
      </c>
      <c r="C1056" s="1039" t="str">
        <f t="shared" si="589"/>
        <v>Muhammad Adib Ali Muchtar</v>
      </c>
      <c r="D1056" s="1040" t="str">
        <f t="shared" si="590"/>
        <v>PAI-3B</v>
      </c>
      <c r="E1056" s="1041">
        <f t="shared" si="591"/>
        <v>2018</v>
      </c>
      <c r="F1056" s="1040" t="str">
        <f t="shared" si="592"/>
        <v>PASIF</v>
      </c>
      <c r="G1056" s="1041">
        <f t="shared" si="593"/>
        <v>849318006</v>
      </c>
      <c r="H1056" s="1042">
        <f t="shared" si="571"/>
        <v>0</v>
      </c>
      <c r="I1056" s="1042">
        <f t="shared" si="572"/>
        <v>0</v>
      </c>
      <c r="J1056" s="1042">
        <f t="shared" ref="J1056:J1122" si="599">I1056+H1056</f>
        <v>0</v>
      </c>
      <c r="L1056" s="1060">
        <f t="shared" si="598"/>
        <v>0</v>
      </c>
      <c r="M1056" s="1060">
        <f t="shared" si="594"/>
        <v>0</v>
      </c>
      <c r="N1056" s="1060">
        <f t="shared" si="595"/>
        <v>0</v>
      </c>
      <c r="O1056" s="1060">
        <f t="shared" si="596"/>
        <v>0</v>
      </c>
      <c r="P1056" s="1060">
        <f t="shared" si="597"/>
        <v>1</v>
      </c>
    </row>
    <row r="1057" spans="1:16" x14ac:dyDescent="0.25">
      <c r="A1057" s="1039">
        <v>1462</v>
      </c>
      <c r="B1057" s="1039">
        <f t="shared" si="579"/>
        <v>22</v>
      </c>
      <c r="C1057" s="1039" t="str">
        <f t="shared" si="589"/>
        <v>Khotib</v>
      </c>
      <c r="D1057" s="1040" t="str">
        <f t="shared" si="590"/>
        <v>PAI-3B</v>
      </c>
      <c r="E1057" s="1041">
        <f t="shared" si="591"/>
        <v>2018</v>
      </c>
      <c r="F1057" s="1040" t="str">
        <f t="shared" si="592"/>
        <v>PASIF</v>
      </c>
      <c r="G1057" s="1041">
        <f t="shared" si="593"/>
        <v>849318007</v>
      </c>
      <c r="H1057" s="1042">
        <f t="shared" ref="H1057:H1123" si="600">IF(F1057="AKTIF",6450000,IF(F1057="CUTI",3000000,0))</f>
        <v>0</v>
      </c>
      <c r="I1057" s="1042">
        <f t="shared" ref="I1057:I1123" si="601">IF(F1057="AKTIF",3750000,IF(F1057="CUTI",3000000,0))</f>
        <v>0</v>
      </c>
      <c r="J1057" s="1042">
        <f t="shared" si="599"/>
        <v>0</v>
      </c>
      <c r="L1057" s="1060">
        <f t="shared" si="598"/>
        <v>0</v>
      </c>
      <c r="M1057" s="1060">
        <f t="shared" si="594"/>
        <v>0</v>
      </c>
      <c r="N1057" s="1060">
        <f t="shared" si="595"/>
        <v>0</v>
      </c>
      <c r="O1057" s="1060">
        <f t="shared" si="596"/>
        <v>0</v>
      </c>
      <c r="P1057" s="1060">
        <f t="shared" si="597"/>
        <v>1</v>
      </c>
    </row>
    <row r="1058" spans="1:16" x14ac:dyDescent="0.25">
      <c r="A1058" s="1039">
        <v>1463</v>
      </c>
      <c r="B1058" s="1039">
        <f t="shared" si="579"/>
        <v>23</v>
      </c>
      <c r="C1058" s="1039" t="str">
        <f t="shared" si="589"/>
        <v>Hanif Muqorrobin</v>
      </c>
      <c r="D1058" s="1040" t="str">
        <f t="shared" si="590"/>
        <v>PAI-3B</v>
      </c>
      <c r="E1058" s="1041">
        <f t="shared" si="591"/>
        <v>2018</v>
      </c>
      <c r="F1058" s="1040" t="str">
        <f t="shared" si="592"/>
        <v>PASIF</v>
      </c>
      <c r="G1058" s="1041">
        <f t="shared" si="593"/>
        <v>849318008</v>
      </c>
      <c r="H1058" s="1042">
        <f t="shared" si="600"/>
        <v>0</v>
      </c>
      <c r="I1058" s="1042">
        <f t="shared" si="601"/>
        <v>0</v>
      </c>
      <c r="J1058" s="1042">
        <f t="shared" si="599"/>
        <v>0</v>
      </c>
      <c r="L1058" s="1060">
        <f t="shared" si="598"/>
        <v>0</v>
      </c>
      <c r="M1058" s="1060">
        <f t="shared" si="594"/>
        <v>0</v>
      </c>
      <c r="N1058" s="1060">
        <f t="shared" si="595"/>
        <v>0</v>
      </c>
      <c r="O1058" s="1060">
        <f t="shared" si="596"/>
        <v>0</v>
      </c>
      <c r="P1058" s="1060">
        <f t="shared" si="597"/>
        <v>1</v>
      </c>
    </row>
    <row r="1059" spans="1:16" x14ac:dyDescent="0.25">
      <c r="A1059" s="1039">
        <v>1464</v>
      </c>
      <c r="B1059" s="1039">
        <f t="shared" si="579"/>
        <v>24</v>
      </c>
      <c r="C1059" s="1039" t="str">
        <f t="shared" si="589"/>
        <v>Riski Husniah Nurjannah</v>
      </c>
      <c r="D1059" s="1040" t="str">
        <f t="shared" si="590"/>
        <v>PAI-3B</v>
      </c>
      <c r="E1059" s="1041">
        <f t="shared" si="591"/>
        <v>2018</v>
      </c>
      <c r="F1059" s="1040" t="str">
        <f t="shared" si="592"/>
        <v>CUTI</v>
      </c>
      <c r="G1059" s="1041">
        <f t="shared" si="593"/>
        <v>849318009</v>
      </c>
      <c r="H1059" s="1042">
        <f t="shared" si="600"/>
        <v>3000000</v>
      </c>
      <c r="I1059" s="1042">
        <f t="shared" si="601"/>
        <v>3000000</v>
      </c>
      <c r="J1059" s="1042">
        <f t="shared" si="599"/>
        <v>6000000</v>
      </c>
      <c r="L1059" s="1060">
        <f t="shared" si="598"/>
        <v>0</v>
      </c>
      <c r="M1059" s="1060">
        <f t="shared" si="594"/>
        <v>0</v>
      </c>
      <c r="N1059" s="1060">
        <f t="shared" si="595"/>
        <v>1</v>
      </c>
      <c r="O1059" s="1060">
        <f t="shared" si="596"/>
        <v>0</v>
      </c>
      <c r="P1059" s="1060">
        <f t="shared" si="597"/>
        <v>0</v>
      </c>
    </row>
    <row r="1060" spans="1:16" x14ac:dyDescent="0.25">
      <c r="A1060" s="1039">
        <v>1465</v>
      </c>
      <c r="B1060" s="1039">
        <f t="shared" si="579"/>
        <v>25</v>
      </c>
      <c r="C1060" s="1039" t="str">
        <f t="shared" si="589"/>
        <v>Riski Yulia Anggraeni</v>
      </c>
      <c r="D1060" s="1040" t="str">
        <f t="shared" si="590"/>
        <v>PAI-3B</v>
      </c>
      <c r="E1060" s="1041">
        <f t="shared" si="591"/>
        <v>2018</v>
      </c>
      <c r="F1060" s="1040" t="str">
        <f t="shared" si="592"/>
        <v>CUTI</v>
      </c>
      <c r="G1060" s="1041">
        <f t="shared" si="593"/>
        <v>849318010</v>
      </c>
      <c r="H1060" s="1042">
        <f t="shared" si="600"/>
        <v>3000000</v>
      </c>
      <c r="I1060" s="1042">
        <f t="shared" si="601"/>
        <v>3000000</v>
      </c>
      <c r="J1060" s="1042">
        <f t="shared" si="599"/>
        <v>6000000</v>
      </c>
      <c r="L1060" s="1060">
        <f t="shared" si="598"/>
        <v>0</v>
      </c>
      <c r="M1060" s="1060">
        <f t="shared" si="594"/>
        <v>0</v>
      </c>
      <c r="N1060" s="1060">
        <f t="shared" si="595"/>
        <v>1</v>
      </c>
      <c r="O1060" s="1060">
        <f t="shared" si="596"/>
        <v>0</v>
      </c>
      <c r="P1060" s="1060">
        <f t="shared" si="597"/>
        <v>0</v>
      </c>
    </row>
    <row r="1061" spans="1:16" x14ac:dyDescent="0.25">
      <c r="A1061" s="1039">
        <v>1466</v>
      </c>
      <c r="B1061" s="1039">
        <f t="shared" si="579"/>
        <v>26</v>
      </c>
      <c r="C1061" s="1039" t="str">
        <f t="shared" si="589"/>
        <v>Alifan Abiyu</v>
      </c>
      <c r="D1061" s="1040" t="str">
        <f t="shared" si="590"/>
        <v>PAI-3B</v>
      </c>
      <c r="E1061" s="1041">
        <f t="shared" si="591"/>
        <v>2018</v>
      </c>
      <c r="F1061" s="1040" t="str">
        <f t="shared" si="592"/>
        <v>CUTI</v>
      </c>
      <c r="G1061" s="1041">
        <f t="shared" si="593"/>
        <v>849318011</v>
      </c>
      <c r="H1061" s="1042">
        <f t="shared" si="600"/>
        <v>3000000</v>
      </c>
      <c r="I1061" s="1042">
        <f t="shared" si="601"/>
        <v>3000000</v>
      </c>
      <c r="J1061" s="1042">
        <f t="shared" si="599"/>
        <v>6000000</v>
      </c>
      <c r="L1061" s="1060">
        <f t="shared" si="598"/>
        <v>0</v>
      </c>
      <c r="M1061" s="1060">
        <f t="shared" si="594"/>
        <v>0</v>
      </c>
      <c r="N1061" s="1060">
        <f t="shared" si="595"/>
        <v>1</v>
      </c>
      <c r="O1061" s="1060">
        <f t="shared" si="596"/>
        <v>0</v>
      </c>
      <c r="P1061" s="1060">
        <f t="shared" si="597"/>
        <v>0</v>
      </c>
    </row>
    <row r="1062" spans="1:16" x14ac:dyDescent="0.25">
      <c r="A1062" s="1039">
        <v>1467</v>
      </c>
      <c r="B1062" s="1039">
        <f t="shared" si="579"/>
        <v>27</v>
      </c>
      <c r="C1062" s="1039" t="str">
        <f t="shared" si="589"/>
        <v>Nurul Hikmah</v>
      </c>
      <c r="D1062" s="1040" t="str">
        <f t="shared" si="590"/>
        <v>PAI-3B</v>
      </c>
      <c r="E1062" s="1041">
        <f t="shared" si="591"/>
        <v>2018</v>
      </c>
      <c r="F1062" s="1040" t="str">
        <f t="shared" si="592"/>
        <v>LULUS</v>
      </c>
      <c r="G1062" s="1041">
        <f t="shared" si="593"/>
        <v>849318012</v>
      </c>
      <c r="H1062" s="1042">
        <f t="shared" si="600"/>
        <v>0</v>
      </c>
      <c r="I1062" s="1042">
        <f t="shared" si="601"/>
        <v>0</v>
      </c>
      <c r="J1062" s="1042">
        <f t="shared" si="599"/>
        <v>0</v>
      </c>
      <c r="L1062" s="1060">
        <f t="shared" si="598"/>
        <v>0</v>
      </c>
      <c r="M1062" s="1060">
        <f t="shared" si="594"/>
        <v>1</v>
      </c>
      <c r="N1062" s="1060">
        <f t="shared" si="595"/>
        <v>0</v>
      </c>
      <c r="O1062" s="1060">
        <f t="shared" si="596"/>
        <v>0</v>
      </c>
      <c r="P1062" s="1060">
        <f t="shared" si="597"/>
        <v>0</v>
      </c>
    </row>
    <row r="1063" spans="1:16" x14ac:dyDescent="0.25">
      <c r="A1063" s="1039">
        <v>1468</v>
      </c>
      <c r="B1063" s="1039">
        <f t="shared" si="579"/>
        <v>28</v>
      </c>
      <c r="C1063" s="1039" t="str">
        <f t="shared" si="589"/>
        <v>Syurayyah Hijrin</v>
      </c>
      <c r="D1063" s="1040" t="str">
        <f t="shared" si="590"/>
        <v>PAI-3B</v>
      </c>
      <c r="E1063" s="1041">
        <f t="shared" si="591"/>
        <v>2018</v>
      </c>
      <c r="F1063" s="1040" t="str">
        <f t="shared" si="592"/>
        <v>AKTIF</v>
      </c>
      <c r="G1063" s="1041">
        <f t="shared" si="593"/>
        <v>849318013</v>
      </c>
      <c r="H1063" s="1042">
        <f t="shared" si="600"/>
        <v>6450000</v>
      </c>
      <c r="I1063" s="1042">
        <f t="shared" si="601"/>
        <v>3750000</v>
      </c>
      <c r="J1063" s="1042">
        <f t="shared" si="599"/>
        <v>10200000</v>
      </c>
      <c r="L1063" s="1060">
        <f t="shared" si="598"/>
        <v>1</v>
      </c>
      <c r="M1063" s="1060">
        <f t="shared" si="594"/>
        <v>0</v>
      </c>
      <c r="N1063" s="1060">
        <f t="shared" si="595"/>
        <v>0</v>
      </c>
      <c r="O1063" s="1060">
        <f t="shared" si="596"/>
        <v>0</v>
      </c>
      <c r="P1063" s="1060">
        <f t="shared" si="597"/>
        <v>0</v>
      </c>
    </row>
    <row r="1064" spans="1:16" x14ac:dyDescent="0.25">
      <c r="A1064" s="1039">
        <v>1469</v>
      </c>
      <c r="B1064" s="1039">
        <f t="shared" si="579"/>
        <v>29</v>
      </c>
      <c r="C1064" s="1039" t="str">
        <f t="shared" si="589"/>
        <v>Sulissatul Hasanah</v>
      </c>
      <c r="D1064" s="1040" t="str">
        <f t="shared" si="590"/>
        <v>PAI-3B</v>
      </c>
      <c r="E1064" s="1041">
        <f t="shared" si="591"/>
        <v>2018</v>
      </c>
      <c r="F1064" s="1040" t="str">
        <f t="shared" si="592"/>
        <v>AKTIF</v>
      </c>
      <c r="G1064" s="1041">
        <f t="shared" si="593"/>
        <v>849318014</v>
      </c>
      <c r="H1064" s="1042">
        <f t="shared" si="600"/>
        <v>6450000</v>
      </c>
      <c r="I1064" s="1042">
        <f t="shared" si="601"/>
        <v>3750000</v>
      </c>
      <c r="J1064" s="1042">
        <f t="shared" si="599"/>
        <v>10200000</v>
      </c>
      <c r="L1064" s="1060">
        <f t="shared" si="598"/>
        <v>1</v>
      </c>
      <c r="M1064" s="1060">
        <f t="shared" si="594"/>
        <v>0</v>
      </c>
      <c r="N1064" s="1060">
        <f t="shared" si="595"/>
        <v>0</v>
      </c>
      <c r="O1064" s="1060">
        <f t="shared" si="596"/>
        <v>0</v>
      </c>
      <c r="P1064" s="1060">
        <f t="shared" si="597"/>
        <v>0</v>
      </c>
    </row>
    <row r="1065" spans="1:16" x14ac:dyDescent="0.25">
      <c r="A1065" s="1039">
        <v>1470</v>
      </c>
      <c r="B1065" s="1039">
        <f t="shared" si="579"/>
        <v>30</v>
      </c>
      <c r="C1065" s="1039" t="str">
        <f t="shared" si="589"/>
        <v>Jamilah</v>
      </c>
      <c r="D1065" s="1040" t="str">
        <f t="shared" si="590"/>
        <v>PAI-3B</v>
      </c>
      <c r="E1065" s="1041">
        <f t="shared" si="591"/>
        <v>2018</v>
      </c>
      <c r="F1065" s="1040" t="str">
        <f t="shared" si="592"/>
        <v>CUTI</v>
      </c>
      <c r="G1065" s="1041">
        <f t="shared" si="593"/>
        <v>849318015</v>
      </c>
      <c r="H1065" s="1042">
        <f t="shared" si="600"/>
        <v>3000000</v>
      </c>
      <c r="I1065" s="1042">
        <f t="shared" si="601"/>
        <v>3000000</v>
      </c>
      <c r="J1065" s="1042">
        <f t="shared" si="599"/>
        <v>6000000</v>
      </c>
      <c r="L1065" s="1060">
        <f t="shared" si="598"/>
        <v>0</v>
      </c>
      <c r="M1065" s="1060">
        <f t="shared" si="594"/>
        <v>0</v>
      </c>
      <c r="N1065" s="1060">
        <f t="shared" si="595"/>
        <v>1</v>
      </c>
      <c r="O1065" s="1060">
        <f t="shared" si="596"/>
        <v>0</v>
      </c>
      <c r="P1065" s="1060">
        <f t="shared" si="597"/>
        <v>0</v>
      </c>
    </row>
    <row r="1066" spans="1:16" x14ac:dyDescent="0.25">
      <c r="A1066" s="1039">
        <v>1471</v>
      </c>
      <c r="B1066" s="1039">
        <f t="shared" si="579"/>
        <v>31</v>
      </c>
      <c r="C1066" s="1039" t="str">
        <f t="shared" si="589"/>
        <v>Muhammad Usman</v>
      </c>
      <c r="D1066" s="1040" t="str">
        <f t="shared" si="590"/>
        <v>PAI-3B</v>
      </c>
      <c r="E1066" s="1041">
        <f t="shared" si="591"/>
        <v>2018</v>
      </c>
      <c r="F1066" s="1040" t="str">
        <f t="shared" si="592"/>
        <v>AKTIF</v>
      </c>
      <c r="G1066" s="1041">
        <f t="shared" si="593"/>
        <v>849318016</v>
      </c>
      <c r="H1066" s="1042">
        <f t="shared" si="600"/>
        <v>6450000</v>
      </c>
      <c r="I1066" s="1042">
        <f t="shared" si="601"/>
        <v>3750000</v>
      </c>
      <c r="J1066" s="1042">
        <f t="shared" si="599"/>
        <v>10200000</v>
      </c>
      <c r="L1066" s="1060">
        <f t="shared" si="598"/>
        <v>1</v>
      </c>
      <c r="M1066" s="1060">
        <f t="shared" si="594"/>
        <v>0</v>
      </c>
      <c r="N1066" s="1060">
        <f t="shared" si="595"/>
        <v>0</v>
      </c>
      <c r="O1066" s="1060">
        <f t="shared" si="596"/>
        <v>0</v>
      </c>
      <c r="P1066" s="1060">
        <f t="shared" si="597"/>
        <v>0</v>
      </c>
    </row>
    <row r="1067" spans="1:16" x14ac:dyDescent="0.25">
      <c r="A1067" s="1039">
        <v>1472</v>
      </c>
      <c r="B1067" s="1039">
        <f t="shared" si="579"/>
        <v>32</v>
      </c>
      <c r="C1067" s="1039" t="str">
        <f t="shared" si="589"/>
        <v>Muhammad Emzet</v>
      </c>
      <c r="D1067" s="1040" t="str">
        <f t="shared" si="590"/>
        <v>PAI-3B</v>
      </c>
      <c r="E1067" s="1041">
        <f t="shared" si="591"/>
        <v>2018</v>
      </c>
      <c r="F1067" s="1040" t="str">
        <f t="shared" si="592"/>
        <v>LULUS</v>
      </c>
      <c r="G1067" s="1041">
        <f t="shared" si="593"/>
        <v>849318017</v>
      </c>
      <c r="H1067" s="1042">
        <f t="shared" si="600"/>
        <v>0</v>
      </c>
      <c r="I1067" s="1042">
        <f t="shared" si="601"/>
        <v>0</v>
      </c>
      <c r="J1067" s="1042">
        <f t="shared" si="599"/>
        <v>0</v>
      </c>
      <c r="L1067" s="1060">
        <f t="shared" si="598"/>
        <v>0</v>
      </c>
      <c r="M1067" s="1060">
        <f t="shared" si="594"/>
        <v>1</v>
      </c>
      <c r="N1067" s="1060">
        <f t="shared" si="595"/>
        <v>0</v>
      </c>
      <c r="O1067" s="1060">
        <f t="shared" si="596"/>
        <v>0</v>
      </c>
      <c r="P1067" s="1060">
        <f t="shared" si="597"/>
        <v>0</v>
      </c>
    </row>
    <row r="1068" spans="1:16" x14ac:dyDescent="0.25">
      <c r="A1068" s="1039">
        <v>1473</v>
      </c>
      <c r="B1068" s="1039">
        <f t="shared" si="579"/>
        <v>33</v>
      </c>
      <c r="C1068" s="1039" t="str">
        <f t="shared" ref="C1068:C1092" si="602">IFERROR(VLOOKUP(A1068,DB,4,FALSE),"")</f>
        <v>Sil Silatil Isro'iyah</v>
      </c>
      <c r="D1068" s="1040" t="str">
        <f t="shared" ref="D1068:D1092" si="603">IFERROR(VLOOKUP(A1068,DB,5,FALSE),"")</f>
        <v>PAI-3B</v>
      </c>
      <c r="E1068" s="1041">
        <f t="shared" ref="E1068:E1092" si="604">IFERROR(VLOOKUP(A1068,DB,6,FALSE),"")</f>
        <v>2018</v>
      </c>
      <c r="F1068" s="1040" t="str">
        <f t="shared" ref="F1068:F1092" si="605">IFERROR(VLOOKUP(A1068,DB,7,FALSE),"")</f>
        <v>CUTI</v>
      </c>
      <c r="G1068" s="1041">
        <f t="shared" ref="G1068:G1092" si="606">IFERROR(VLOOKUP(A1068,DB,3,FALSE),"")</f>
        <v>849318018</v>
      </c>
      <c r="H1068" s="1042">
        <f t="shared" si="600"/>
        <v>3000000</v>
      </c>
      <c r="I1068" s="1042">
        <f t="shared" si="601"/>
        <v>3000000</v>
      </c>
      <c r="J1068" s="1042">
        <f t="shared" si="599"/>
        <v>6000000</v>
      </c>
      <c r="L1068" s="1060">
        <f t="shared" si="598"/>
        <v>0</v>
      </c>
      <c r="M1068" s="1060">
        <f t="shared" ref="M1068:M1092" si="607">IF(F1068="LULUS",1,0)</f>
        <v>0</v>
      </c>
      <c r="N1068" s="1060">
        <f t="shared" ref="N1068:N1092" si="608">IF(F1068="CUTI",1,0)</f>
        <v>1</v>
      </c>
      <c r="O1068" s="1060">
        <f t="shared" ref="O1068:O1092" si="609">IF(F1068="DROP OUT",1,0)</f>
        <v>0</v>
      </c>
      <c r="P1068" s="1060">
        <f t="shared" ref="P1068:P1092" si="610">IF(F1068="PASIF",1,0)</f>
        <v>0</v>
      </c>
    </row>
    <row r="1069" spans="1:16" x14ac:dyDescent="0.25">
      <c r="A1069" s="1039">
        <v>1474</v>
      </c>
      <c r="B1069" s="1039">
        <f t="shared" si="579"/>
        <v>34</v>
      </c>
      <c r="C1069" s="1039" t="str">
        <f t="shared" si="602"/>
        <v>Yuli Nur Komariah</v>
      </c>
      <c r="D1069" s="1040" t="str">
        <f t="shared" si="603"/>
        <v>PAI-3B</v>
      </c>
      <c r="E1069" s="1041">
        <f t="shared" si="604"/>
        <v>2018</v>
      </c>
      <c r="F1069" s="1040" t="str">
        <f t="shared" si="605"/>
        <v>PASIF</v>
      </c>
      <c r="G1069" s="1041">
        <f t="shared" si="606"/>
        <v>849318019</v>
      </c>
      <c r="H1069" s="1042">
        <f t="shared" si="600"/>
        <v>0</v>
      </c>
      <c r="I1069" s="1042">
        <f t="shared" si="601"/>
        <v>0</v>
      </c>
      <c r="J1069" s="1042">
        <f t="shared" si="599"/>
        <v>0</v>
      </c>
      <c r="L1069" s="1060">
        <f t="shared" si="598"/>
        <v>0</v>
      </c>
      <c r="M1069" s="1060">
        <f t="shared" si="607"/>
        <v>0</v>
      </c>
      <c r="N1069" s="1060">
        <f t="shared" si="608"/>
        <v>0</v>
      </c>
      <c r="O1069" s="1060">
        <f t="shared" si="609"/>
        <v>0</v>
      </c>
      <c r="P1069" s="1060">
        <f t="shared" si="610"/>
        <v>1</v>
      </c>
    </row>
    <row r="1070" spans="1:16" x14ac:dyDescent="0.25">
      <c r="A1070" s="1039">
        <v>1475</v>
      </c>
      <c r="B1070" s="1039">
        <f t="shared" si="579"/>
        <v>35</v>
      </c>
      <c r="C1070" s="1039" t="str">
        <f t="shared" si="602"/>
        <v>Aminatul Fikriyah</v>
      </c>
      <c r="D1070" s="1040" t="str">
        <f t="shared" si="603"/>
        <v>PAI-3B</v>
      </c>
      <c r="E1070" s="1041">
        <f t="shared" si="604"/>
        <v>2018</v>
      </c>
      <c r="F1070" s="1040" t="str">
        <f t="shared" si="605"/>
        <v>CUTI</v>
      </c>
      <c r="G1070" s="1041">
        <f t="shared" si="606"/>
        <v>849318020</v>
      </c>
      <c r="H1070" s="1042">
        <f t="shared" si="600"/>
        <v>3000000</v>
      </c>
      <c r="I1070" s="1042">
        <f t="shared" si="601"/>
        <v>3000000</v>
      </c>
      <c r="J1070" s="1042">
        <f t="shared" si="599"/>
        <v>6000000</v>
      </c>
      <c r="L1070" s="1060">
        <f t="shared" si="598"/>
        <v>0</v>
      </c>
      <c r="M1070" s="1060">
        <f t="shared" si="607"/>
        <v>0</v>
      </c>
      <c r="N1070" s="1060">
        <f t="shared" si="608"/>
        <v>1</v>
      </c>
      <c r="O1070" s="1060">
        <f t="shared" si="609"/>
        <v>0</v>
      </c>
      <c r="P1070" s="1060">
        <f t="shared" si="610"/>
        <v>0</v>
      </c>
    </row>
    <row r="1071" spans="1:16" x14ac:dyDescent="0.25">
      <c r="A1071" s="1039">
        <v>1476</v>
      </c>
      <c r="B1071" s="1039">
        <f t="shared" si="579"/>
        <v>36</v>
      </c>
      <c r="C1071" s="1039" t="str">
        <f t="shared" si="602"/>
        <v>Silent Normalina Supraba</v>
      </c>
      <c r="D1071" s="1040" t="str">
        <f t="shared" si="603"/>
        <v>PAI-3B</v>
      </c>
      <c r="E1071" s="1041">
        <f t="shared" si="604"/>
        <v>2018</v>
      </c>
      <c r="F1071" s="1040" t="str">
        <f t="shared" si="605"/>
        <v>AKTIF</v>
      </c>
      <c r="G1071" s="1041">
        <f t="shared" si="606"/>
        <v>849318021</v>
      </c>
      <c r="H1071" s="1042">
        <f t="shared" si="600"/>
        <v>6450000</v>
      </c>
      <c r="I1071" s="1042">
        <f t="shared" si="601"/>
        <v>3750000</v>
      </c>
      <c r="J1071" s="1042">
        <f t="shared" si="599"/>
        <v>10200000</v>
      </c>
      <c r="L1071" s="1060">
        <f t="shared" si="598"/>
        <v>1</v>
      </c>
      <c r="M1071" s="1060">
        <f t="shared" si="607"/>
        <v>0</v>
      </c>
      <c r="N1071" s="1060">
        <f t="shared" si="608"/>
        <v>0</v>
      </c>
      <c r="O1071" s="1060">
        <f t="shared" si="609"/>
        <v>0</v>
      </c>
      <c r="P1071" s="1060">
        <f t="shared" si="610"/>
        <v>0</v>
      </c>
    </row>
    <row r="1072" spans="1:16" x14ac:dyDescent="0.25">
      <c r="A1072" s="1039">
        <v>1477</v>
      </c>
      <c r="B1072" s="1039">
        <f t="shared" si="579"/>
        <v>37</v>
      </c>
      <c r="C1072" s="1039" t="str">
        <f t="shared" si="602"/>
        <v>Khuril Aini</v>
      </c>
      <c r="D1072" s="1040" t="str">
        <f t="shared" si="603"/>
        <v>PAI-3C</v>
      </c>
      <c r="E1072" s="1041">
        <f t="shared" si="604"/>
        <v>2018</v>
      </c>
      <c r="F1072" s="1040" t="str">
        <f t="shared" si="605"/>
        <v>AKTIF</v>
      </c>
      <c r="G1072" s="1041">
        <f t="shared" si="606"/>
        <v>849318022</v>
      </c>
      <c r="H1072" s="1042">
        <f t="shared" si="600"/>
        <v>6450000</v>
      </c>
      <c r="I1072" s="1042">
        <f t="shared" si="601"/>
        <v>3750000</v>
      </c>
      <c r="J1072" s="1042">
        <f t="shared" si="599"/>
        <v>10200000</v>
      </c>
      <c r="L1072" s="1060">
        <f t="shared" si="598"/>
        <v>1</v>
      </c>
      <c r="M1072" s="1060">
        <f t="shared" si="607"/>
        <v>0</v>
      </c>
      <c r="N1072" s="1060">
        <f t="shared" si="608"/>
        <v>0</v>
      </c>
      <c r="O1072" s="1060">
        <f t="shared" si="609"/>
        <v>0</v>
      </c>
      <c r="P1072" s="1060">
        <f t="shared" si="610"/>
        <v>0</v>
      </c>
    </row>
    <row r="1073" spans="1:16" x14ac:dyDescent="0.25">
      <c r="A1073" s="1039">
        <v>1478</v>
      </c>
      <c r="B1073" s="1039">
        <f t="shared" si="579"/>
        <v>38</v>
      </c>
      <c r="C1073" s="1039" t="str">
        <f t="shared" si="602"/>
        <v xml:space="preserve">Hikmah Firdausi Nuzula </v>
      </c>
      <c r="D1073" s="1040" t="str">
        <f t="shared" si="603"/>
        <v>PAI-3C</v>
      </c>
      <c r="E1073" s="1041">
        <f t="shared" si="604"/>
        <v>2018</v>
      </c>
      <c r="F1073" s="1040" t="str">
        <f t="shared" si="605"/>
        <v>CUTI</v>
      </c>
      <c r="G1073" s="1041">
        <f t="shared" si="606"/>
        <v>849318023</v>
      </c>
      <c r="H1073" s="1042">
        <f t="shared" si="600"/>
        <v>3000000</v>
      </c>
      <c r="I1073" s="1042">
        <f t="shared" si="601"/>
        <v>3000000</v>
      </c>
      <c r="J1073" s="1042">
        <f t="shared" si="599"/>
        <v>6000000</v>
      </c>
      <c r="L1073" s="1060">
        <f t="shared" si="598"/>
        <v>0</v>
      </c>
      <c r="M1073" s="1060">
        <f t="shared" si="607"/>
        <v>0</v>
      </c>
      <c r="N1073" s="1060">
        <f t="shared" si="608"/>
        <v>1</v>
      </c>
      <c r="O1073" s="1060">
        <f t="shared" si="609"/>
        <v>0</v>
      </c>
      <c r="P1073" s="1060">
        <f t="shared" si="610"/>
        <v>0</v>
      </c>
    </row>
    <row r="1074" spans="1:16" x14ac:dyDescent="0.25">
      <c r="A1074" s="1039">
        <v>1479</v>
      </c>
      <c r="B1074" s="1039">
        <f t="shared" si="579"/>
        <v>39</v>
      </c>
      <c r="C1074" s="1039" t="str">
        <f t="shared" si="602"/>
        <v>Hasiburrohman</v>
      </c>
      <c r="D1074" s="1040" t="str">
        <f t="shared" si="603"/>
        <v>PAI-3C</v>
      </c>
      <c r="E1074" s="1041">
        <f t="shared" si="604"/>
        <v>2018</v>
      </c>
      <c r="F1074" s="1040" t="str">
        <f t="shared" si="605"/>
        <v>AKTIF</v>
      </c>
      <c r="G1074" s="1041">
        <f t="shared" si="606"/>
        <v>849318024</v>
      </c>
      <c r="H1074" s="1042">
        <f t="shared" si="600"/>
        <v>6450000</v>
      </c>
      <c r="I1074" s="1042">
        <f t="shared" si="601"/>
        <v>3750000</v>
      </c>
      <c r="J1074" s="1042">
        <f t="shared" si="599"/>
        <v>10200000</v>
      </c>
      <c r="L1074" s="1060">
        <f t="shared" si="598"/>
        <v>1</v>
      </c>
      <c r="M1074" s="1060">
        <f t="shared" si="607"/>
        <v>0</v>
      </c>
      <c r="N1074" s="1060">
        <f t="shared" si="608"/>
        <v>0</v>
      </c>
      <c r="O1074" s="1060">
        <f t="shared" si="609"/>
        <v>0</v>
      </c>
      <c r="P1074" s="1060">
        <f t="shared" si="610"/>
        <v>0</v>
      </c>
    </row>
    <row r="1075" spans="1:16" x14ac:dyDescent="0.25">
      <c r="A1075" s="1039">
        <v>1480</v>
      </c>
      <c r="B1075" s="1039">
        <f t="shared" si="579"/>
        <v>40</v>
      </c>
      <c r="C1075" s="1039" t="str">
        <f t="shared" si="602"/>
        <v>Dewi Khumairoh</v>
      </c>
      <c r="D1075" s="1040" t="str">
        <f t="shared" si="603"/>
        <v>PAI-3C</v>
      </c>
      <c r="E1075" s="1041">
        <f t="shared" si="604"/>
        <v>2018</v>
      </c>
      <c r="F1075" s="1040" t="str">
        <f t="shared" si="605"/>
        <v>LULUS</v>
      </c>
      <c r="G1075" s="1041">
        <f t="shared" si="606"/>
        <v>849318026</v>
      </c>
      <c r="H1075" s="1042">
        <f t="shared" si="600"/>
        <v>0</v>
      </c>
      <c r="I1075" s="1042">
        <f t="shared" si="601"/>
        <v>0</v>
      </c>
      <c r="J1075" s="1042">
        <f t="shared" si="599"/>
        <v>0</v>
      </c>
      <c r="L1075" s="1060">
        <f t="shared" si="598"/>
        <v>0</v>
      </c>
      <c r="M1075" s="1060">
        <f t="shared" si="607"/>
        <v>1</v>
      </c>
      <c r="N1075" s="1060">
        <f t="shared" si="608"/>
        <v>0</v>
      </c>
      <c r="O1075" s="1060">
        <f t="shared" si="609"/>
        <v>0</v>
      </c>
      <c r="P1075" s="1060">
        <f t="shared" si="610"/>
        <v>0</v>
      </c>
    </row>
    <row r="1076" spans="1:16" x14ac:dyDescent="0.25">
      <c r="A1076" s="1039">
        <v>1481</v>
      </c>
      <c r="B1076" s="1039">
        <f t="shared" si="579"/>
        <v>41</v>
      </c>
      <c r="C1076" s="1039" t="str">
        <f t="shared" si="602"/>
        <v>Nurul Lailiyatis Sa'adah</v>
      </c>
      <c r="D1076" s="1040" t="str">
        <f t="shared" si="603"/>
        <v>PAI-3C</v>
      </c>
      <c r="E1076" s="1041">
        <f t="shared" si="604"/>
        <v>2018</v>
      </c>
      <c r="F1076" s="1040" t="str">
        <f t="shared" si="605"/>
        <v>AKTIF</v>
      </c>
      <c r="G1076" s="1041">
        <f t="shared" si="606"/>
        <v>849318027</v>
      </c>
      <c r="H1076" s="1042">
        <f t="shared" si="600"/>
        <v>6450000</v>
      </c>
      <c r="I1076" s="1042">
        <f t="shared" si="601"/>
        <v>3750000</v>
      </c>
      <c r="J1076" s="1042">
        <f t="shared" si="599"/>
        <v>10200000</v>
      </c>
      <c r="L1076" s="1060">
        <f t="shared" si="598"/>
        <v>1</v>
      </c>
      <c r="M1076" s="1060">
        <f t="shared" si="607"/>
        <v>0</v>
      </c>
      <c r="N1076" s="1060">
        <f t="shared" si="608"/>
        <v>0</v>
      </c>
      <c r="O1076" s="1060">
        <f t="shared" si="609"/>
        <v>0</v>
      </c>
      <c r="P1076" s="1060">
        <f t="shared" si="610"/>
        <v>0</v>
      </c>
    </row>
    <row r="1077" spans="1:16" x14ac:dyDescent="0.25">
      <c r="A1077" s="1039">
        <v>1482</v>
      </c>
      <c r="B1077" s="1039">
        <f t="shared" si="579"/>
        <v>42</v>
      </c>
      <c r="C1077" s="1039" t="str">
        <f t="shared" si="602"/>
        <v>Arif Rahman Hakim</v>
      </c>
      <c r="D1077" s="1040" t="str">
        <f t="shared" si="603"/>
        <v>PAI-3C</v>
      </c>
      <c r="E1077" s="1041">
        <f t="shared" si="604"/>
        <v>2018</v>
      </c>
      <c r="F1077" s="1040" t="str">
        <f t="shared" si="605"/>
        <v>AKTIF</v>
      </c>
      <c r="G1077" s="1041">
        <f t="shared" si="606"/>
        <v>849318028</v>
      </c>
      <c r="H1077" s="1042">
        <f t="shared" si="600"/>
        <v>6450000</v>
      </c>
      <c r="I1077" s="1042">
        <f t="shared" si="601"/>
        <v>3750000</v>
      </c>
      <c r="J1077" s="1042">
        <f t="shared" si="599"/>
        <v>10200000</v>
      </c>
      <c r="L1077" s="1060">
        <f t="shared" si="598"/>
        <v>1</v>
      </c>
      <c r="M1077" s="1060">
        <f t="shared" si="607"/>
        <v>0</v>
      </c>
      <c r="N1077" s="1060">
        <f t="shared" si="608"/>
        <v>0</v>
      </c>
      <c r="O1077" s="1060">
        <f t="shared" si="609"/>
        <v>0</v>
      </c>
      <c r="P1077" s="1060">
        <f t="shared" si="610"/>
        <v>0</v>
      </c>
    </row>
    <row r="1078" spans="1:16" x14ac:dyDescent="0.25">
      <c r="A1078" s="1039">
        <v>1483</v>
      </c>
      <c r="B1078" s="1039">
        <f t="shared" si="579"/>
        <v>43</v>
      </c>
      <c r="C1078" s="1039" t="str">
        <f t="shared" si="602"/>
        <v>Nur Azizatun Nisya'</v>
      </c>
      <c r="D1078" s="1040" t="str">
        <f t="shared" si="603"/>
        <v>PAI-3C</v>
      </c>
      <c r="E1078" s="1041">
        <f t="shared" si="604"/>
        <v>2018</v>
      </c>
      <c r="F1078" s="1040" t="str">
        <f t="shared" si="605"/>
        <v>AKTIF</v>
      </c>
      <c r="G1078" s="1041">
        <f t="shared" si="606"/>
        <v>849318029</v>
      </c>
      <c r="H1078" s="1042">
        <f t="shared" si="600"/>
        <v>6450000</v>
      </c>
      <c r="I1078" s="1042">
        <f t="shared" si="601"/>
        <v>3750000</v>
      </c>
      <c r="J1078" s="1042">
        <f t="shared" si="599"/>
        <v>10200000</v>
      </c>
      <c r="L1078" s="1060">
        <f t="shared" si="598"/>
        <v>1</v>
      </c>
      <c r="M1078" s="1060">
        <f t="shared" si="607"/>
        <v>0</v>
      </c>
      <c r="N1078" s="1060">
        <f t="shared" si="608"/>
        <v>0</v>
      </c>
      <c r="O1078" s="1060">
        <f t="shared" si="609"/>
        <v>0</v>
      </c>
      <c r="P1078" s="1060">
        <f t="shared" si="610"/>
        <v>0</v>
      </c>
    </row>
    <row r="1079" spans="1:16" x14ac:dyDescent="0.25">
      <c r="A1079" s="1039">
        <v>1484</v>
      </c>
      <c r="B1079" s="1039">
        <f t="shared" si="579"/>
        <v>44</v>
      </c>
      <c r="C1079" s="1039" t="str">
        <f t="shared" si="602"/>
        <v>Siti Aisyah</v>
      </c>
      <c r="D1079" s="1040" t="str">
        <f t="shared" si="603"/>
        <v>PAI-3C</v>
      </c>
      <c r="E1079" s="1041">
        <f t="shared" si="604"/>
        <v>2018</v>
      </c>
      <c r="F1079" s="1040" t="str">
        <f t="shared" si="605"/>
        <v>LULUS</v>
      </c>
      <c r="G1079" s="1041">
        <f t="shared" si="606"/>
        <v>849318030</v>
      </c>
      <c r="H1079" s="1042">
        <f t="shared" si="600"/>
        <v>0</v>
      </c>
      <c r="I1079" s="1042">
        <f t="shared" si="601"/>
        <v>0</v>
      </c>
      <c r="J1079" s="1042">
        <f t="shared" si="599"/>
        <v>0</v>
      </c>
      <c r="L1079" s="1060">
        <f t="shared" si="598"/>
        <v>0</v>
      </c>
      <c r="M1079" s="1060">
        <f t="shared" si="607"/>
        <v>1</v>
      </c>
      <c r="N1079" s="1060">
        <f t="shared" si="608"/>
        <v>0</v>
      </c>
      <c r="O1079" s="1060">
        <f t="shared" si="609"/>
        <v>0</v>
      </c>
      <c r="P1079" s="1060">
        <f t="shared" si="610"/>
        <v>0</v>
      </c>
    </row>
    <row r="1080" spans="1:16" x14ac:dyDescent="0.25">
      <c r="A1080" s="1039">
        <v>1485</v>
      </c>
      <c r="B1080" s="1039">
        <f t="shared" si="579"/>
        <v>45</v>
      </c>
      <c r="C1080" s="1039" t="str">
        <f t="shared" si="602"/>
        <v>Faruq Abdillah</v>
      </c>
      <c r="D1080" s="1040" t="str">
        <f t="shared" si="603"/>
        <v>PAI-3C</v>
      </c>
      <c r="E1080" s="1041">
        <f t="shared" si="604"/>
        <v>2018</v>
      </c>
      <c r="F1080" s="1040" t="str">
        <f t="shared" si="605"/>
        <v>AKTIF</v>
      </c>
      <c r="G1080" s="1041">
        <f t="shared" si="606"/>
        <v>849318031</v>
      </c>
      <c r="H1080" s="1042">
        <f t="shared" si="600"/>
        <v>6450000</v>
      </c>
      <c r="I1080" s="1042">
        <f t="shared" si="601"/>
        <v>3750000</v>
      </c>
      <c r="J1080" s="1042">
        <f t="shared" si="599"/>
        <v>10200000</v>
      </c>
      <c r="L1080" s="1060">
        <f t="shared" si="598"/>
        <v>1</v>
      </c>
      <c r="M1080" s="1060">
        <f t="shared" si="607"/>
        <v>0</v>
      </c>
      <c r="N1080" s="1060">
        <f t="shared" si="608"/>
        <v>0</v>
      </c>
      <c r="O1080" s="1060">
        <f t="shared" si="609"/>
        <v>0</v>
      </c>
      <c r="P1080" s="1060">
        <f t="shared" si="610"/>
        <v>0</v>
      </c>
    </row>
    <row r="1081" spans="1:16" x14ac:dyDescent="0.25">
      <c r="A1081" s="1039">
        <v>1486</v>
      </c>
      <c r="B1081" s="1039">
        <f t="shared" si="579"/>
        <v>46</v>
      </c>
      <c r="C1081" s="1039" t="str">
        <f t="shared" si="602"/>
        <v>Hayyus Shomad Az</v>
      </c>
      <c r="D1081" s="1040" t="str">
        <f t="shared" si="603"/>
        <v>PAI-3C</v>
      </c>
      <c r="E1081" s="1041">
        <f t="shared" si="604"/>
        <v>2018</v>
      </c>
      <c r="F1081" s="1040" t="str">
        <f t="shared" si="605"/>
        <v>CUTI</v>
      </c>
      <c r="G1081" s="1041">
        <f t="shared" si="606"/>
        <v>849318032</v>
      </c>
      <c r="H1081" s="1042">
        <f t="shared" si="600"/>
        <v>3000000</v>
      </c>
      <c r="I1081" s="1042">
        <f t="shared" si="601"/>
        <v>3000000</v>
      </c>
      <c r="J1081" s="1042">
        <f t="shared" si="599"/>
        <v>6000000</v>
      </c>
      <c r="L1081" s="1060">
        <f t="shared" si="598"/>
        <v>0</v>
      </c>
      <c r="M1081" s="1060">
        <f t="shared" si="607"/>
        <v>0</v>
      </c>
      <c r="N1081" s="1060">
        <f t="shared" si="608"/>
        <v>1</v>
      </c>
      <c r="O1081" s="1060">
        <f t="shared" si="609"/>
        <v>0</v>
      </c>
      <c r="P1081" s="1060">
        <f t="shared" si="610"/>
        <v>0</v>
      </c>
    </row>
    <row r="1082" spans="1:16" x14ac:dyDescent="0.25">
      <c r="A1082" s="1039">
        <v>1487</v>
      </c>
      <c r="B1082" s="1039">
        <f t="shared" si="579"/>
        <v>47</v>
      </c>
      <c r="C1082" s="1039" t="str">
        <f t="shared" si="602"/>
        <v>Luthfan Bahsyirudin</v>
      </c>
      <c r="D1082" s="1040" t="str">
        <f t="shared" si="603"/>
        <v>PAI-3C</v>
      </c>
      <c r="E1082" s="1041">
        <f t="shared" si="604"/>
        <v>2018</v>
      </c>
      <c r="F1082" s="1040" t="str">
        <f t="shared" si="605"/>
        <v>CUTI</v>
      </c>
      <c r="G1082" s="1041">
        <f t="shared" si="606"/>
        <v>849318033</v>
      </c>
      <c r="H1082" s="1042">
        <f t="shared" si="600"/>
        <v>3000000</v>
      </c>
      <c r="I1082" s="1042">
        <f t="shared" si="601"/>
        <v>3000000</v>
      </c>
      <c r="J1082" s="1042">
        <f t="shared" si="599"/>
        <v>6000000</v>
      </c>
      <c r="L1082" s="1060">
        <f t="shared" si="598"/>
        <v>0</v>
      </c>
      <c r="M1082" s="1060">
        <f t="shared" si="607"/>
        <v>0</v>
      </c>
      <c r="N1082" s="1060">
        <f t="shared" si="608"/>
        <v>1</v>
      </c>
      <c r="O1082" s="1060">
        <f t="shared" si="609"/>
        <v>0</v>
      </c>
      <c r="P1082" s="1060">
        <f t="shared" si="610"/>
        <v>0</v>
      </c>
    </row>
    <row r="1083" spans="1:16" x14ac:dyDescent="0.25">
      <c r="A1083" s="1039">
        <v>1488</v>
      </c>
      <c r="B1083" s="1039">
        <f t="shared" si="579"/>
        <v>48</v>
      </c>
      <c r="C1083" s="1039" t="str">
        <f t="shared" si="602"/>
        <v>Fajar Hidayat</v>
      </c>
      <c r="D1083" s="1040" t="str">
        <f t="shared" si="603"/>
        <v>PAI-3C</v>
      </c>
      <c r="E1083" s="1041">
        <f t="shared" si="604"/>
        <v>2018</v>
      </c>
      <c r="F1083" s="1040" t="str">
        <f t="shared" si="605"/>
        <v>AKTIF</v>
      </c>
      <c r="G1083" s="1041">
        <f t="shared" si="606"/>
        <v>849318034</v>
      </c>
      <c r="H1083" s="1042">
        <f t="shared" si="600"/>
        <v>6450000</v>
      </c>
      <c r="I1083" s="1042">
        <f t="shared" si="601"/>
        <v>3750000</v>
      </c>
      <c r="J1083" s="1042">
        <f t="shared" si="599"/>
        <v>10200000</v>
      </c>
      <c r="L1083" s="1060">
        <f t="shared" si="598"/>
        <v>1</v>
      </c>
      <c r="M1083" s="1060">
        <f t="shared" si="607"/>
        <v>0</v>
      </c>
      <c r="N1083" s="1060">
        <f t="shared" si="608"/>
        <v>0</v>
      </c>
      <c r="O1083" s="1060">
        <f t="shared" si="609"/>
        <v>0</v>
      </c>
      <c r="P1083" s="1060">
        <f t="shared" si="610"/>
        <v>0</v>
      </c>
    </row>
    <row r="1084" spans="1:16" x14ac:dyDescent="0.25">
      <c r="A1084" s="1039">
        <v>1489</v>
      </c>
      <c r="B1084" s="1039">
        <f t="shared" si="579"/>
        <v>49</v>
      </c>
      <c r="C1084" s="1039" t="str">
        <f t="shared" si="602"/>
        <v>Muhammad Shohibul Izar</v>
      </c>
      <c r="D1084" s="1040" t="str">
        <f t="shared" si="603"/>
        <v>PAI-3C</v>
      </c>
      <c r="E1084" s="1041">
        <f t="shared" si="604"/>
        <v>2018</v>
      </c>
      <c r="F1084" s="1040" t="str">
        <f t="shared" si="605"/>
        <v>AKTIF</v>
      </c>
      <c r="G1084" s="1041">
        <f t="shared" si="606"/>
        <v>849318035</v>
      </c>
      <c r="H1084" s="1042">
        <f t="shared" si="600"/>
        <v>6450000</v>
      </c>
      <c r="I1084" s="1042">
        <f t="shared" si="601"/>
        <v>3750000</v>
      </c>
      <c r="J1084" s="1042">
        <f t="shared" si="599"/>
        <v>10200000</v>
      </c>
      <c r="L1084" s="1060">
        <f t="shared" si="598"/>
        <v>1</v>
      </c>
      <c r="M1084" s="1060">
        <f t="shared" si="607"/>
        <v>0</v>
      </c>
      <c r="N1084" s="1060">
        <f t="shared" si="608"/>
        <v>0</v>
      </c>
      <c r="O1084" s="1060">
        <f t="shared" si="609"/>
        <v>0</v>
      </c>
      <c r="P1084" s="1060">
        <f t="shared" si="610"/>
        <v>0</v>
      </c>
    </row>
    <row r="1085" spans="1:16" x14ac:dyDescent="0.25">
      <c r="A1085" s="1039">
        <v>1490</v>
      </c>
      <c r="B1085" s="1039">
        <f t="shared" si="579"/>
        <v>50</v>
      </c>
      <c r="C1085" s="1039" t="str">
        <f t="shared" si="602"/>
        <v>Dana Nuril Ibad</v>
      </c>
      <c r="D1085" s="1040" t="str">
        <f t="shared" si="603"/>
        <v>PAI-3C</v>
      </c>
      <c r="E1085" s="1041">
        <f t="shared" si="604"/>
        <v>2018</v>
      </c>
      <c r="F1085" s="1040" t="str">
        <f t="shared" si="605"/>
        <v>AKTIF</v>
      </c>
      <c r="G1085" s="1041">
        <f t="shared" si="606"/>
        <v>849318036</v>
      </c>
      <c r="H1085" s="1042">
        <f t="shared" si="600"/>
        <v>6450000</v>
      </c>
      <c r="I1085" s="1042">
        <f t="shared" si="601"/>
        <v>3750000</v>
      </c>
      <c r="J1085" s="1042">
        <f t="shared" si="599"/>
        <v>10200000</v>
      </c>
      <c r="L1085" s="1060">
        <f t="shared" si="598"/>
        <v>1</v>
      </c>
      <c r="M1085" s="1060">
        <f t="shared" si="607"/>
        <v>0</v>
      </c>
      <c r="N1085" s="1060">
        <f t="shared" si="608"/>
        <v>0</v>
      </c>
      <c r="O1085" s="1060">
        <f t="shared" si="609"/>
        <v>0</v>
      </c>
      <c r="P1085" s="1060">
        <f t="shared" si="610"/>
        <v>0</v>
      </c>
    </row>
    <row r="1086" spans="1:16" x14ac:dyDescent="0.25">
      <c r="A1086" s="1039">
        <v>1491</v>
      </c>
      <c r="B1086" s="1039">
        <f t="shared" si="579"/>
        <v>51</v>
      </c>
      <c r="C1086" s="1039" t="str">
        <f t="shared" si="602"/>
        <v>Ahmad Ardiyanto</v>
      </c>
      <c r="D1086" s="1040" t="str">
        <f t="shared" si="603"/>
        <v>PAI-3C</v>
      </c>
      <c r="E1086" s="1041">
        <f t="shared" si="604"/>
        <v>2018</v>
      </c>
      <c r="F1086" s="1040" t="str">
        <f t="shared" si="605"/>
        <v>CUTI</v>
      </c>
      <c r="G1086" s="1041">
        <f t="shared" si="606"/>
        <v>849318037</v>
      </c>
      <c r="H1086" s="1042">
        <f t="shared" si="600"/>
        <v>3000000</v>
      </c>
      <c r="I1086" s="1042">
        <f t="shared" si="601"/>
        <v>3000000</v>
      </c>
      <c r="J1086" s="1042">
        <f t="shared" si="599"/>
        <v>6000000</v>
      </c>
      <c r="L1086" s="1060">
        <f t="shared" si="598"/>
        <v>0</v>
      </c>
      <c r="M1086" s="1060">
        <f t="shared" si="607"/>
        <v>0</v>
      </c>
      <c r="N1086" s="1060">
        <f t="shared" si="608"/>
        <v>1</v>
      </c>
      <c r="O1086" s="1060">
        <f t="shared" si="609"/>
        <v>0</v>
      </c>
      <c r="P1086" s="1060">
        <f t="shared" si="610"/>
        <v>0</v>
      </c>
    </row>
    <row r="1087" spans="1:16" x14ac:dyDescent="0.25">
      <c r="A1087" s="1039">
        <v>1492</v>
      </c>
      <c r="B1087" s="1039">
        <f t="shared" si="579"/>
        <v>52</v>
      </c>
      <c r="C1087" s="1039" t="str">
        <f t="shared" si="602"/>
        <v>Toyibatus Zahro</v>
      </c>
      <c r="D1087" s="1040" t="str">
        <f t="shared" si="603"/>
        <v>PAI-3C</v>
      </c>
      <c r="E1087" s="1041">
        <f t="shared" si="604"/>
        <v>2018</v>
      </c>
      <c r="F1087" s="1040" t="str">
        <f t="shared" si="605"/>
        <v>AKTIF</v>
      </c>
      <c r="G1087" s="1041">
        <f t="shared" si="606"/>
        <v>849318038</v>
      </c>
      <c r="H1087" s="1042">
        <f t="shared" si="600"/>
        <v>6450000</v>
      </c>
      <c r="I1087" s="1042">
        <f t="shared" si="601"/>
        <v>3750000</v>
      </c>
      <c r="J1087" s="1042">
        <f t="shared" si="599"/>
        <v>10200000</v>
      </c>
      <c r="L1087" s="1060">
        <f t="shared" si="598"/>
        <v>1</v>
      </c>
      <c r="M1087" s="1060">
        <f t="shared" si="607"/>
        <v>0</v>
      </c>
      <c r="N1087" s="1060">
        <f t="shared" si="608"/>
        <v>0</v>
      </c>
      <c r="O1087" s="1060">
        <f t="shared" si="609"/>
        <v>0</v>
      </c>
      <c r="P1087" s="1060">
        <f t="shared" si="610"/>
        <v>0</v>
      </c>
    </row>
    <row r="1088" spans="1:16" x14ac:dyDescent="0.25">
      <c r="A1088" s="1039">
        <v>1493</v>
      </c>
      <c r="B1088" s="1039">
        <f t="shared" si="579"/>
        <v>53</v>
      </c>
      <c r="C1088" s="1039" t="str">
        <f t="shared" si="602"/>
        <v>Widia Mirantika</v>
      </c>
      <c r="D1088" s="1040" t="str">
        <f t="shared" si="603"/>
        <v>PAI-3C</v>
      </c>
      <c r="E1088" s="1041">
        <f t="shared" si="604"/>
        <v>2018</v>
      </c>
      <c r="F1088" s="1040" t="str">
        <f t="shared" si="605"/>
        <v>DROP OUT</v>
      </c>
      <c r="G1088" s="1041">
        <f t="shared" si="606"/>
        <v>849318039</v>
      </c>
      <c r="H1088" s="1042">
        <f t="shared" si="600"/>
        <v>0</v>
      </c>
      <c r="I1088" s="1042">
        <f t="shared" si="601"/>
        <v>0</v>
      </c>
      <c r="J1088" s="1042">
        <f t="shared" si="599"/>
        <v>0</v>
      </c>
      <c r="L1088" s="1060">
        <f t="shared" si="598"/>
        <v>0</v>
      </c>
      <c r="M1088" s="1060">
        <f t="shared" si="607"/>
        <v>0</v>
      </c>
      <c r="N1088" s="1060">
        <f t="shared" si="608"/>
        <v>0</v>
      </c>
      <c r="O1088" s="1060">
        <f t="shared" si="609"/>
        <v>1</v>
      </c>
      <c r="P1088" s="1060">
        <f t="shared" si="610"/>
        <v>0</v>
      </c>
    </row>
    <row r="1089" spans="1:16" x14ac:dyDescent="0.25">
      <c r="A1089" s="1039">
        <v>1494</v>
      </c>
      <c r="B1089" s="1039">
        <f t="shared" si="579"/>
        <v>54</v>
      </c>
      <c r="C1089" s="1039" t="str">
        <f t="shared" si="602"/>
        <v>Naila Rizka Ainurfiya</v>
      </c>
      <c r="D1089" s="1040" t="str">
        <f t="shared" si="603"/>
        <v>PAI-3C</v>
      </c>
      <c r="E1089" s="1041">
        <f t="shared" si="604"/>
        <v>2018</v>
      </c>
      <c r="F1089" s="1040" t="str">
        <f t="shared" si="605"/>
        <v>AKTIF</v>
      </c>
      <c r="G1089" s="1041">
        <f t="shared" si="606"/>
        <v>849318040</v>
      </c>
      <c r="H1089" s="1042">
        <f t="shared" si="600"/>
        <v>6450000</v>
      </c>
      <c r="I1089" s="1042">
        <f t="shared" si="601"/>
        <v>3750000</v>
      </c>
      <c r="J1089" s="1042">
        <f t="shared" si="599"/>
        <v>10200000</v>
      </c>
      <c r="L1089" s="1060">
        <f t="shared" si="598"/>
        <v>1</v>
      </c>
      <c r="M1089" s="1060">
        <f t="shared" si="607"/>
        <v>0</v>
      </c>
      <c r="N1089" s="1060">
        <f t="shared" si="608"/>
        <v>0</v>
      </c>
      <c r="O1089" s="1060">
        <f t="shared" si="609"/>
        <v>0</v>
      </c>
      <c r="P1089" s="1060">
        <f t="shared" si="610"/>
        <v>0</v>
      </c>
    </row>
    <row r="1090" spans="1:16" x14ac:dyDescent="0.25">
      <c r="A1090" s="1039">
        <v>1495</v>
      </c>
      <c r="B1090" s="1039">
        <f t="shared" si="579"/>
        <v>55</v>
      </c>
      <c r="C1090" s="1039" t="str">
        <f t="shared" si="602"/>
        <v>Muhammad Andi Pranoto</v>
      </c>
      <c r="D1090" s="1040" t="str">
        <f t="shared" si="603"/>
        <v>PAI-3C</v>
      </c>
      <c r="E1090" s="1041">
        <f t="shared" si="604"/>
        <v>2018</v>
      </c>
      <c r="F1090" s="1040" t="str">
        <f t="shared" si="605"/>
        <v>AKTIF</v>
      </c>
      <c r="G1090" s="1041">
        <f t="shared" si="606"/>
        <v>849318054</v>
      </c>
      <c r="H1090" s="1042">
        <f t="shared" si="600"/>
        <v>6450000</v>
      </c>
      <c r="I1090" s="1042">
        <f t="shared" si="601"/>
        <v>3750000</v>
      </c>
      <c r="J1090" s="1042">
        <f t="shared" si="599"/>
        <v>10200000</v>
      </c>
      <c r="L1090" s="1060">
        <f t="shared" si="598"/>
        <v>1</v>
      </c>
      <c r="M1090" s="1060">
        <f t="shared" si="607"/>
        <v>0</v>
      </c>
      <c r="N1090" s="1060">
        <f t="shared" si="608"/>
        <v>0</v>
      </c>
      <c r="O1090" s="1060">
        <f t="shared" si="609"/>
        <v>0</v>
      </c>
      <c r="P1090" s="1060">
        <f t="shared" si="610"/>
        <v>0</v>
      </c>
    </row>
    <row r="1091" spans="1:16" x14ac:dyDescent="0.25">
      <c r="A1091" s="1039">
        <v>1496</v>
      </c>
      <c r="B1091" s="1039">
        <f t="shared" si="579"/>
        <v>56</v>
      </c>
      <c r="C1091" s="1039" t="str">
        <f t="shared" si="602"/>
        <v>Ali Mursafa</v>
      </c>
      <c r="D1091" s="1040" t="str">
        <f t="shared" si="603"/>
        <v>PAI-3C</v>
      </c>
      <c r="E1091" s="1041">
        <f t="shared" si="604"/>
        <v>2018</v>
      </c>
      <c r="F1091" s="1040" t="str">
        <f t="shared" si="605"/>
        <v>DROP OUT</v>
      </c>
      <c r="G1091" s="1041">
        <f t="shared" si="606"/>
        <v>849318056</v>
      </c>
      <c r="H1091" s="1042">
        <f t="shared" si="600"/>
        <v>0</v>
      </c>
      <c r="I1091" s="1042">
        <f t="shared" si="601"/>
        <v>0</v>
      </c>
      <c r="J1091" s="1042">
        <f t="shared" si="599"/>
        <v>0</v>
      </c>
      <c r="L1091" s="1060">
        <f t="shared" si="598"/>
        <v>0</v>
      </c>
      <c r="M1091" s="1060">
        <f t="shared" si="607"/>
        <v>0</v>
      </c>
      <c r="N1091" s="1060">
        <f t="shared" si="608"/>
        <v>0</v>
      </c>
      <c r="O1091" s="1060">
        <f t="shared" si="609"/>
        <v>1</v>
      </c>
      <c r="P1091" s="1060">
        <f t="shared" si="610"/>
        <v>0</v>
      </c>
    </row>
    <row r="1092" spans="1:16" x14ac:dyDescent="0.25">
      <c r="A1092" s="1039">
        <v>1497</v>
      </c>
      <c r="B1092" s="1039">
        <f t="shared" ref="B1092:B1163" si="611">IFERROR(VLOOKUP(A1092,DB,2,FALSE),"")</f>
        <v>57</v>
      </c>
      <c r="C1092" s="1039" t="str">
        <f t="shared" si="602"/>
        <v>Wulidatul Aminah</v>
      </c>
      <c r="D1092" s="1040" t="str">
        <f t="shared" si="603"/>
        <v>PAI-3C</v>
      </c>
      <c r="E1092" s="1041">
        <f t="shared" si="604"/>
        <v>2018</v>
      </c>
      <c r="F1092" s="1040" t="str">
        <f t="shared" si="605"/>
        <v>LULUS</v>
      </c>
      <c r="G1092" s="1041">
        <f t="shared" si="606"/>
        <v>849318057</v>
      </c>
      <c r="H1092" s="1042">
        <f t="shared" si="600"/>
        <v>0</v>
      </c>
      <c r="I1092" s="1042">
        <f t="shared" si="601"/>
        <v>0</v>
      </c>
      <c r="J1092" s="1042">
        <f t="shared" si="599"/>
        <v>0</v>
      </c>
      <c r="L1092" s="1060">
        <f t="shared" si="598"/>
        <v>0</v>
      </c>
      <c r="M1092" s="1060">
        <f t="shared" si="607"/>
        <v>1</v>
      </c>
      <c r="N1092" s="1060">
        <f t="shared" si="608"/>
        <v>0</v>
      </c>
      <c r="O1092" s="1060">
        <f t="shared" si="609"/>
        <v>0</v>
      </c>
      <c r="P1092" s="1060">
        <f t="shared" si="610"/>
        <v>0</v>
      </c>
    </row>
    <row r="1093" spans="1:16" x14ac:dyDescent="0.25">
      <c r="A1093" s="1039"/>
      <c r="B1093" s="1039"/>
      <c r="C1093" s="1039"/>
      <c r="D1093" s="1040"/>
      <c r="E1093" s="1041"/>
      <c r="F1093" s="1040"/>
      <c r="G1093" s="1041"/>
      <c r="H1093" s="1042"/>
      <c r="I1093" s="1042"/>
      <c r="K1093" s="752"/>
    </row>
    <row r="1094" spans="1:16" x14ac:dyDescent="0.25">
      <c r="A1094" s="1039"/>
      <c r="B1094" s="1039"/>
      <c r="C1094" s="1039"/>
      <c r="D1094" s="1040"/>
      <c r="E1094" s="1041"/>
      <c r="F1094" s="1040"/>
      <c r="G1094" s="1041"/>
      <c r="H1094" s="1042"/>
      <c r="I1094" s="1042"/>
      <c r="K1094" s="752"/>
    </row>
    <row r="1095" spans="1:16" x14ac:dyDescent="0.25">
      <c r="A1095" s="1076" t="str">
        <f>'Rekap SPP'!A1621</f>
        <v>S2-ES 2018/2019</v>
      </c>
      <c r="B1095" s="1077"/>
      <c r="C1095" s="1077"/>
      <c r="D1095" s="1033" t="s">
        <v>3</v>
      </c>
      <c r="E1095" s="1032" t="s">
        <v>4</v>
      </c>
      <c r="F1095" s="1033" t="s">
        <v>3195</v>
      </c>
      <c r="G1095" s="1032" t="s">
        <v>1</v>
      </c>
      <c r="H1095" s="1033" t="s">
        <v>3362</v>
      </c>
      <c r="I1095" s="1033" t="s">
        <v>3341</v>
      </c>
      <c r="J1095" s="1062">
        <f>SUM(J1096:J1149)</f>
        <v>317400000</v>
      </c>
      <c r="K1095" s="752"/>
      <c r="L1095" s="1063">
        <f>SUM(L1096:L1149)</f>
        <v>27</v>
      </c>
      <c r="M1095" s="1063">
        <f>SUM(M1096:M1149)</f>
        <v>11</v>
      </c>
      <c r="N1095" s="1063">
        <f>SUM(N1096:N1149)</f>
        <v>7</v>
      </c>
      <c r="O1095" s="1063">
        <f>SUM(O1096:O1149)</f>
        <v>2</v>
      </c>
      <c r="P1095" s="1063">
        <f>SUM(P1096:P1149)</f>
        <v>7</v>
      </c>
    </row>
    <row r="1096" spans="1:16" x14ac:dyDescent="0.25">
      <c r="A1096" s="1039">
        <v>1498</v>
      </c>
      <c r="B1096" s="1039">
        <f t="shared" si="611"/>
        <v>1</v>
      </c>
      <c r="C1096" s="1039" t="str">
        <f t="shared" ref="C1096:C1127" si="612">IFERROR(VLOOKUP(A1096,DB,4,FALSE),"")</f>
        <v>Umi Faizatud Daroini</v>
      </c>
      <c r="D1096" s="1040" t="str">
        <f t="shared" ref="D1096:D1127" si="613">IFERROR(VLOOKUP(A1096,DB,5,FALSE),"")</f>
        <v>ES-3A</v>
      </c>
      <c r="E1096" s="1041">
        <f t="shared" ref="E1096:E1127" si="614">IFERROR(VLOOKUP(A1096,DB,6,FALSE),"")</f>
        <v>2018</v>
      </c>
      <c r="F1096" s="1040" t="str">
        <f t="shared" ref="F1096:F1127" si="615">IFERROR(VLOOKUP(A1096,DB,7,FALSE),"")</f>
        <v>AKTIF</v>
      </c>
      <c r="G1096" s="1041">
        <f t="shared" ref="G1096:G1127" si="616">IFERROR(VLOOKUP(A1096,DB,3,FALSE),"")</f>
        <v>839218005</v>
      </c>
      <c r="H1096" s="1042">
        <f t="shared" si="600"/>
        <v>6450000</v>
      </c>
      <c r="I1096" s="1042">
        <f t="shared" si="601"/>
        <v>3750000</v>
      </c>
      <c r="J1096" s="1042">
        <f t="shared" si="599"/>
        <v>10200000</v>
      </c>
      <c r="L1096" s="1060">
        <f>IF(F1096="AKTIF",1,0)</f>
        <v>1</v>
      </c>
      <c r="M1096" s="1060">
        <f t="shared" ref="M1096:M1127" si="617">IF(F1096="LULUS",1,0)</f>
        <v>0</v>
      </c>
      <c r="N1096" s="1060">
        <f t="shared" ref="N1096:N1127" si="618">IF(F1096="CUTI",1,0)</f>
        <v>0</v>
      </c>
      <c r="O1096" s="1060">
        <f t="shared" ref="O1096:O1127" si="619">IF(F1096="DROP OUT",1,0)</f>
        <v>0</v>
      </c>
      <c r="P1096" s="1060">
        <f t="shared" ref="P1096:P1127" si="620">IF(F1096="PASIF",1,0)</f>
        <v>0</v>
      </c>
    </row>
    <row r="1097" spans="1:16" x14ac:dyDescent="0.25">
      <c r="A1097" s="1039">
        <v>1499</v>
      </c>
      <c r="B1097" s="1039">
        <f t="shared" si="611"/>
        <v>2</v>
      </c>
      <c r="C1097" s="1039" t="str">
        <f t="shared" si="612"/>
        <v>Bambang Irawan</v>
      </c>
      <c r="D1097" s="1040" t="str">
        <f t="shared" si="613"/>
        <v>ES-3A</v>
      </c>
      <c r="E1097" s="1041">
        <f t="shared" si="614"/>
        <v>2018</v>
      </c>
      <c r="F1097" s="1040" t="str">
        <f t="shared" si="615"/>
        <v>DROP OUT</v>
      </c>
      <c r="G1097" s="1041">
        <f t="shared" si="616"/>
        <v>839218008</v>
      </c>
      <c r="H1097" s="1042">
        <f t="shared" si="600"/>
        <v>0</v>
      </c>
      <c r="I1097" s="1042">
        <f t="shared" si="601"/>
        <v>0</v>
      </c>
      <c r="J1097" s="1042">
        <f t="shared" si="599"/>
        <v>0</v>
      </c>
      <c r="L1097" s="1060">
        <f t="shared" ref="L1097:L1149" si="621">IF(F1097="AKTIF",1,0)</f>
        <v>0</v>
      </c>
      <c r="M1097" s="1060">
        <f t="shared" si="617"/>
        <v>0</v>
      </c>
      <c r="N1097" s="1060">
        <f t="shared" si="618"/>
        <v>0</v>
      </c>
      <c r="O1097" s="1060">
        <f t="shared" si="619"/>
        <v>1</v>
      </c>
      <c r="P1097" s="1060">
        <f t="shared" si="620"/>
        <v>0</v>
      </c>
    </row>
    <row r="1098" spans="1:16" x14ac:dyDescent="0.25">
      <c r="A1098" s="1039">
        <v>1500</v>
      </c>
      <c r="B1098" s="1039">
        <f t="shared" si="611"/>
        <v>3</v>
      </c>
      <c r="C1098" s="1039" t="str">
        <f t="shared" si="612"/>
        <v>Mashur Imam</v>
      </c>
      <c r="D1098" s="1040" t="str">
        <f t="shared" si="613"/>
        <v>ES-3A</v>
      </c>
      <c r="E1098" s="1041">
        <f t="shared" si="614"/>
        <v>2018</v>
      </c>
      <c r="F1098" s="1040" t="str">
        <f t="shared" si="615"/>
        <v>AKTIF</v>
      </c>
      <c r="G1098" s="1041">
        <f t="shared" si="616"/>
        <v>839218017</v>
      </c>
      <c r="H1098" s="1042">
        <f t="shared" si="600"/>
        <v>6450000</v>
      </c>
      <c r="I1098" s="1042">
        <f t="shared" si="601"/>
        <v>3750000</v>
      </c>
      <c r="J1098" s="1042">
        <f t="shared" si="599"/>
        <v>10200000</v>
      </c>
      <c r="L1098" s="1060">
        <f t="shared" si="621"/>
        <v>1</v>
      </c>
      <c r="M1098" s="1060">
        <f t="shared" si="617"/>
        <v>0</v>
      </c>
      <c r="N1098" s="1060">
        <f t="shared" si="618"/>
        <v>0</v>
      </c>
      <c r="O1098" s="1060">
        <f t="shared" si="619"/>
        <v>0</v>
      </c>
      <c r="P1098" s="1060">
        <f t="shared" si="620"/>
        <v>0</v>
      </c>
    </row>
    <row r="1099" spans="1:16" x14ac:dyDescent="0.25">
      <c r="A1099" s="1039">
        <v>1501</v>
      </c>
      <c r="B1099" s="1039">
        <f t="shared" si="611"/>
        <v>4</v>
      </c>
      <c r="C1099" s="1039" t="str">
        <f t="shared" si="612"/>
        <v>Halimatussa'diyah</v>
      </c>
      <c r="D1099" s="1040" t="str">
        <f t="shared" si="613"/>
        <v>ES-3A</v>
      </c>
      <c r="E1099" s="1041">
        <f t="shared" si="614"/>
        <v>2018</v>
      </c>
      <c r="F1099" s="1040" t="str">
        <f t="shared" si="615"/>
        <v>PASIF</v>
      </c>
      <c r="G1099" s="1041">
        <f t="shared" si="616"/>
        <v>839218020</v>
      </c>
      <c r="H1099" s="1042">
        <f t="shared" si="600"/>
        <v>0</v>
      </c>
      <c r="I1099" s="1042">
        <f t="shared" si="601"/>
        <v>0</v>
      </c>
      <c r="J1099" s="1042">
        <f t="shared" si="599"/>
        <v>0</v>
      </c>
      <c r="L1099" s="1060">
        <f t="shared" si="621"/>
        <v>0</v>
      </c>
      <c r="M1099" s="1060">
        <f t="shared" si="617"/>
        <v>0</v>
      </c>
      <c r="N1099" s="1060">
        <f t="shared" si="618"/>
        <v>0</v>
      </c>
      <c r="O1099" s="1060">
        <f t="shared" si="619"/>
        <v>0</v>
      </c>
      <c r="P1099" s="1060">
        <f t="shared" si="620"/>
        <v>1</v>
      </c>
    </row>
    <row r="1100" spans="1:16" x14ac:dyDescent="0.25">
      <c r="A1100" s="1039">
        <v>1502</v>
      </c>
      <c r="B1100" s="1039">
        <f t="shared" si="611"/>
        <v>5</v>
      </c>
      <c r="C1100" s="1039" t="str">
        <f t="shared" si="612"/>
        <v>Faikatul Ummah</v>
      </c>
      <c r="D1100" s="1040" t="str">
        <f t="shared" si="613"/>
        <v>ES-3A</v>
      </c>
      <c r="E1100" s="1041">
        <f t="shared" si="614"/>
        <v>2018</v>
      </c>
      <c r="F1100" s="1040" t="str">
        <f t="shared" si="615"/>
        <v>AKTIF</v>
      </c>
      <c r="G1100" s="1041">
        <f t="shared" si="616"/>
        <v>839218031</v>
      </c>
      <c r="H1100" s="1042">
        <f t="shared" si="600"/>
        <v>6450000</v>
      </c>
      <c r="I1100" s="1042">
        <f t="shared" si="601"/>
        <v>3750000</v>
      </c>
      <c r="J1100" s="1042">
        <f t="shared" si="599"/>
        <v>10200000</v>
      </c>
      <c r="L1100" s="1060">
        <f t="shared" si="621"/>
        <v>1</v>
      </c>
      <c r="M1100" s="1060">
        <f t="shared" si="617"/>
        <v>0</v>
      </c>
      <c r="N1100" s="1060">
        <f t="shared" si="618"/>
        <v>0</v>
      </c>
      <c r="O1100" s="1060">
        <f t="shared" si="619"/>
        <v>0</v>
      </c>
      <c r="P1100" s="1060">
        <f t="shared" si="620"/>
        <v>0</v>
      </c>
    </row>
    <row r="1101" spans="1:16" x14ac:dyDescent="0.25">
      <c r="A1101" s="1039">
        <v>1503</v>
      </c>
      <c r="B1101" s="1039">
        <f t="shared" si="611"/>
        <v>6</v>
      </c>
      <c r="C1101" s="1039" t="str">
        <f t="shared" si="612"/>
        <v>Abdul Mujib</v>
      </c>
      <c r="D1101" s="1040" t="str">
        <f t="shared" si="613"/>
        <v>ES-3A</v>
      </c>
      <c r="E1101" s="1041">
        <f t="shared" si="614"/>
        <v>2018</v>
      </c>
      <c r="F1101" s="1040" t="str">
        <f t="shared" si="615"/>
        <v>AKTIF</v>
      </c>
      <c r="G1101" s="1041">
        <f t="shared" si="616"/>
        <v>839218037</v>
      </c>
      <c r="H1101" s="1042">
        <f t="shared" si="600"/>
        <v>6450000</v>
      </c>
      <c r="I1101" s="1042">
        <f t="shared" si="601"/>
        <v>3750000</v>
      </c>
      <c r="J1101" s="1042">
        <f t="shared" si="599"/>
        <v>10200000</v>
      </c>
      <c r="L1101" s="1060">
        <f t="shared" si="621"/>
        <v>1</v>
      </c>
      <c r="M1101" s="1060">
        <f t="shared" si="617"/>
        <v>0</v>
      </c>
      <c r="N1101" s="1060">
        <f t="shared" si="618"/>
        <v>0</v>
      </c>
      <c r="O1101" s="1060">
        <f t="shared" si="619"/>
        <v>0</v>
      </c>
      <c r="P1101" s="1060">
        <f t="shared" si="620"/>
        <v>0</v>
      </c>
    </row>
    <row r="1102" spans="1:16" x14ac:dyDescent="0.25">
      <c r="A1102" s="1039">
        <v>1504</v>
      </c>
      <c r="B1102" s="1039">
        <f t="shared" si="611"/>
        <v>7</v>
      </c>
      <c r="C1102" s="1039" t="str">
        <f t="shared" si="612"/>
        <v>Syaiful Anam</v>
      </c>
      <c r="D1102" s="1040" t="str">
        <f t="shared" si="613"/>
        <v>ES-3A</v>
      </c>
      <c r="E1102" s="1041">
        <f t="shared" si="614"/>
        <v>2018</v>
      </c>
      <c r="F1102" s="1040" t="str">
        <f t="shared" si="615"/>
        <v>AKTIF</v>
      </c>
      <c r="G1102" s="1041">
        <f t="shared" si="616"/>
        <v>839218038</v>
      </c>
      <c r="H1102" s="1042">
        <f t="shared" si="600"/>
        <v>6450000</v>
      </c>
      <c r="I1102" s="1042">
        <f t="shared" si="601"/>
        <v>3750000</v>
      </c>
      <c r="J1102" s="1042">
        <f t="shared" si="599"/>
        <v>10200000</v>
      </c>
      <c r="L1102" s="1060">
        <f t="shared" si="621"/>
        <v>1</v>
      </c>
      <c r="M1102" s="1060">
        <f t="shared" si="617"/>
        <v>0</v>
      </c>
      <c r="N1102" s="1060">
        <f t="shared" si="618"/>
        <v>0</v>
      </c>
      <c r="O1102" s="1060">
        <f t="shared" si="619"/>
        <v>0</v>
      </c>
      <c r="P1102" s="1060">
        <f t="shared" si="620"/>
        <v>0</v>
      </c>
    </row>
    <row r="1103" spans="1:16" x14ac:dyDescent="0.25">
      <c r="A1103" s="1039">
        <v>1505</v>
      </c>
      <c r="B1103" s="1039">
        <f t="shared" si="611"/>
        <v>8</v>
      </c>
      <c r="C1103" s="1039" t="str">
        <f t="shared" si="612"/>
        <v>Sochibah Istiqomah</v>
      </c>
      <c r="D1103" s="1040" t="str">
        <f t="shared" si="613"/>
        <v>ES-3A</v>
      </c>
      <c r="E1103" s="1041">
        <f t="shared" si="614"/>
        <v>2018</v>
      </c>
      <c r="F1103" s="1040" t="str">
        <f t="shared" si="615"/>
        <v>AKTIF</v>
      </c>
      <c r="G1103" s="1041">
        <f t="shared" si="616"/>
        <v>839218039</v>
      </c>
      <c r="H1103" s="1042">
        <f t="shared" si="600"/>
        <v>6450000</v>
      </c>
      <c r="I1103" s="1042">
        <f t="shared" si="601"/>
        <v>3750000</v>
      </c>
      <c r="J1103" s="1042">
        <f t="shared" si="599"/>
        <v>10200000</v>
      </c>
      <c r="L1103" s="1060">
        <f t="shared" si="621"/>
        <v>1</v>
      </c>
      <c r="M1103" s="1060">
        <f t="shared" si="617"/>
        <v>0</v>
      </c>
      <c r="N1103" s="1060">
        <f t="shared" si="618"/>
        <v>0</v>
      </c>
      <c r="O1103" s="1060">
        <f t="shared" si="619"/>
        <v>0</v>
      </c>
      <c r="P1103" s="1060">
        <f t="shared" si="620"/>
        <v>0</v>
      </c>
    </row>
    <row r="1104" spans="1:16" x14ac:dyDescent="0.25">
      <c r="A1104" s="1039">
        <v>1506</v>
      </c>
      <c r="B1104" s="1039">
        <f t="shared" si="611"/>
        <v>9</v>
      </c>
      <c r="C1104" s="1039" t="str">
        <f t="shared" si="612"/>
        <v>Afrila Mu'arrofah</v>
      </c>
      <c r="D1104" s="1040" t="str">
        <f t="shared" si="613"/>
        <v>ES-3A</v>
      </c>
      <c r="E1104" s="1041">
        <f t="shared" si="614"/>
        <v>2018</v>
      </c>
      <c r="F1104" s="1040" t="str">
        <f t="shared" si="615"/>
        <v>LULUS</v>
      </c>
      <c r="G1104" s="1041">
        <f t="shared" si="616"/>
        <v>839218040</v>
      </c>
      <c r="H1104" s="1042">
        <f t="shared" si="600"/>
        <v>0</v>
      </c>
      <c r="I1104" s="1042">
        <f t="shared" si="601"/>
        <v>0</v>
      </c>
      <c r="J1104" s="1042">
        <f t="shared" si="599"/>
        <v>0</v>
      </c>
      <c r="L1104" s="1060">
        <f t="shared" si="621"/>
        <v>0</v>
      </c>
      <c r="M1104" s="1060">
        <f t="shared" si="617"/>
        <v>1</v>
      </c>
      <c r="N1104" s="1060">
        <f t="shared" si="618"/>
        <v>0</v>
      </c>
      <c r="O1104" s="1060">
        <f t="shared" si="619"/>
        <v>0</v>
      </c>
      <c r="P1104" s="1060">
        <f t="shared" si="620"/>
        <v>0</v>
      </c>
    </row>
    <row r="1105" spans="1:16" x14ac:dyDescent="0.25">
      <c r="A1105" s="1039">
        <v>1507</v>
      </c>
      <c r="B1105" s="1039">
        <f t="shared" si="611"/>
        <v>10</v>
      </c>
      <c r="C1105" s="1039" t="str">
        <f t="shared" si="612"/>
        <v>Shahnaz Aisyah Arifiah</v>
      </c>
      <c r="D1105" s="1040" t="str">
        <f t="shared" si="613"/>
        <v>ES-3A</v>
      </c>
      <c r="E1105" s="1041">
        <f t="shared" si="614"/>
        <v>2018</v>
      </c>
      <c r="F1105" s="1040" t="str">
        <f t="shared" si="615"/>
        <v>AKTIF</v>
      </c>
      <c r="G1105" s="1041">
        <f t="shared" si="616"/>
        <v>839218042</v>
      </c>
      <c r="H1105" s="1042">
        <f t="shared" si="600"/>
        <v>6450000</v>
      </c>
      <c r="I1105" s="1042">
        <f t="shared" si="601"/>
        <v>3750000</v>
      </c>
      <c r="J1105" s="1042">
        <f t="shared" si="599"/>
        <v>10200000</v>
      </c>
      <c r="L1105" s="1060">
        <f t="shared" si="621"/>
        <v>1</v>
      </c>
      <c r="M1105" s="1060">
        <f t="shared" si="617"/>
        <v>0</v>
      </c>
      <c r="N1105" s="1060">
        <f t="shared" si="618"/>
        <v>0</v>
      </c>
      <c r="O1105" s="1060">
        <f t="shared" si="619"/>
        <v>0</v>
      </c>
      <c r="P1105" s="1060">
        <f t="shared" si="620"/>
        <v>0</v>
      </c>
    </row>
    <row r="1106" spans="1:16" x14ac:dyDescent="0.25">
      <c r="A1106" s="1039">
        <v>1508</v>
      </c>
      <c r="B1106" s="1039">
        <f t="shared" si="611"/>
        <v>11</v>
      </c>
      <c r="C1106" s="1039" t="str">
        <f t="shared" si="612"/>
        <v>Achmad Taufik</v>
      </c>
      <c r="D1106" s="1040" t="str">
        <f t="shared" si="613"/>
        <v>ES-3A</v>
      </c>
      <c r="E1106" s="1041">
        <f t="shared" si="614"/>
        <v>2018</v>
      </c>
      <c r="F1106" s="1040" t="str">
        <f t="shared" si="615"/>
        <v>CUTI</v>
      </c>
      <c r="G1106" s="1041">
        <f t="shared" si="616"/>
        <v>839218050</v>
      </c>
      <c r="H1106" s="1042">
        <f t="shared" si="600"/>
        <v>3000000</v>
      </c>
      <c r="I1106" s="1042">
        <f t="shared" si="601"/>
        <v>3000000</v>
      </c>
      <c r="J1106" s="1042">
        <f t="shared" si="599"/>
        <v>6000000</v>
      </c>
      <c r="L1106" s="1060">
        <f t="shared" si="621"/>
        <v>0</v>
      </c>
      <c r="M1106" s="1060">
        <f t="shared" si="617"/>
        <v>0</v>
      </c>
      <c r="N1106" s="1060">
        <f t="shared" si="618"/>
        <v>1</v>
      </c>
      <c r="O1106" s="1060">
        <f t="shared" si="619"/>
        <v>0</v>
      </c>
      <c r="P1106" s="1060">
        <f t="shared" si="620"/>
        <v>0</v>
      </c>
    </row>
    <row r="1107" spans="1:16" x14ac:dyDescent="0.25">
      <c r="A1107" s="1039">
        <v>1509</v>
      </c>
      <c r="B1107" s="1039">
        <f t="shared" si="611"/>
        <v>12</v>
      </c>
      <c r="C1107" s="1039" t="str">
        <f t="shared" si="612"/>
        <v>Muzeqqi Madhani</v>
      </c>
      <c r="D1107" s="1040" t="str">
        <f t="shared" si="613"/>
        <v>ES-3A</v>
      </c>
      <c r="E1107" s="1041">
        <f t="shared" si="614"/>
        <v>2018</v>
      </c>
      <c r="F1107" s="1040" t="str">
        <f t="shared" si="615"/>
        <v>AKTIF</v>
      </c>
      <c r="G1107" s="1041">
        <f t="shared" si="616"/>
        <v>839218051</v>
      </c>
      <c r="H1107" s="1042">
        <f t="shared" si="600"/>
        <v>6450000</v>
      </c>
      <c r="I1107" s="1042">
        <f t="shared" si="601"/>
        <v>3750000</v>
      </c>
      <c r="J1107" s="1042">
        <f t="shared" si="599"/>
        <v>10200000</v>
      </c>
      <c r="L1107" s="1060">
        <f t="shared" si="621"/>
        <v>1</v>
      </c>
      <c r="M1107" s="1060">
        <f t="shared" si="617"/>
        <v>0</v>
      </c>
      <c r="N1107" s="1060">
        <f t="shared" si="618"/>
        <v>0</v>
      </c>
      <c r="O1107" s="1060">
        <f t="shared" si="619"/>
        <v>0</v>
      </c>
      <c r="P1107" s="1060">
        <f t="shared" si="620"/>
        <v>0</v>
      </c>
    </row>
    <row r="1108" spans="1:16" x14ac:dyDescent="0.25">
      <c r="A1108" s="1039">
        <v>1510</v>
      </c>
      <c r="B1108" s="1039">
        <f t="shared" si="611"/>
        <v>13</v>
      </c>
      <c r="C1108" s="1039" t="str">
        <f t="shared" si="612"/>
        <v>Armawi</v>
      </c>
      <c r="D1108" s="1040" t="str">
        <f t="shared" si="613"/>
        <v>ES-3A</v>
      </c>
      <c r="E1108" s="1041">
        <f t="shared" si="614"/>
        <v>2018</v>
      </c>
      <c r="F1108" s="1040" t="str">
        <f t="shared" si="615"/>
        <v>PASIF</v>
      </c>
      <c r="G1108" s="1041">
        <f t="shared" si="616"/>
        <v>839218052</v>
      </c>
      <c r="H1108" s="1042">
        <f t="shared" si="600"/>
        <v>0</v>
      </c>
      <c r="I1108" s="1042">
        <f t="shared" si="601"/>
        <v>0</v>
      </c>
      <c r="J1108" s="1042">
        <f t="shared" si="599"/>
        <v>0</v>
      </c>
      <c r="L1108" s="1060">
        <f t="shared" si="621"/>
        <v>0</v>
      </c>
      <c r="M1108" s="1060">
        <f t="shared" si="617"/>
        <v>0</v>
      </c>
      <c r="N1108" s="1060">
        <f t="shared" si="618"/>
        <v>0</v>
      </c>
      <c r="O1108" s="1060">
        <f t="shared" si="619"/>
        <v>0</v>
      </c>
      <c r="P1108" s="1060">
        <f t="shared" si="620"/>
        <v>1</v>
      </c>
    </row>
    <row r="1109" spans="1:16" x14ac:dyDescent="0.25">
      <c r="A1109" s="1039">
        <v>1511</v>
      </c>
      <c r="B1109" s="1039">
        <f t="shared" si="611"/>
        <v>14</v>
      </c>
      <c r="C1109" s="1039" t="str">
        <f t="shared" si="612"/>
        <v>Syaifuddin Yahya</v>
      </c>
      <c r="D1109" s="1040" t="str">
        <f t="shared" si="613"/>
        <v>ES-3A</v>
      </c>
      <c r="E1109" s="1041">
        <f t="shared" si="614"/>
        <v>2018</v>
      </c>
      <c r="F1109" s="1040" t="str">
        <f t="shared" si="615"/>
        <v>AKTIF</v>
      </c>
      <c r="G1109" s="1041">
        <f t="shared" si="616"/>
        <v>839218053</v>
      </c>
      <c r="H1109" s="1042">
        <f t="shared" si="600"/>
        <v>6450000</v>
      </c>
      <c r="I1109" s="1042">
        <f t="shared" si="601"/>
        <v>3750000</v>
      </c>
      <c r="J1109" s="1042">
        <f t="shared" si="599"/>
        <v>10200000</v>
      </c>
      <c r="L1109" s="1060">
        <f t="shared" si="621"/>
        <v>1</v>
      </c>
      <c r="M1109" s="1060">
        <f t="shared" si="617"/>
        <v>0</v>
      </c>
      <c r="N1109" s="1060">
        <f t="shared" si="618"/>
        <v>0</v>
      </c>
      <c r="O1109" s="1060">
        <f t="shared" si="619"/>
        <v>0</v>
      </c>
      <c r="P1109" s="1060">
        <f t="shared" si="620"/>
        <v>0</v>
      </c>
    </row>
    <row r="1110" spans="1:16" x14ac:dyDescent="0.25">
      <c r="A1110" s="1039">
        <v>1512</v>
      </c>
      <c r="B1110" s="1039">
        <f t="shared" si="611"/>
        <v>15</v>
      </c>
      <c r="C1110" s="1039" t="str">
        <f t="shared" si="612"/>
        <v>Achmad Farid</v>
      </c>
      <c r="D1110" s="1040" t="str">
        <f t="shared" si="613"/>
        <v>ES-3B</v>
      </c>
      <c r="E1110" s="1041">
        <f t="shared" si="614"/>
        <v>2018</v>
      </c>
      <c r="F1110" s="1040" t="str">
        <f t="shared" si="615"/>
        <v>PASIF</v>
      </c>
      <c r="G1110" s="1041">
        <f t="shared" si="616"/>
        <v>839218001</v>
      </c>
      <c r="H1110" s="1042">
        <f t="shared" si="600"/>
        <v>0</v>
      </c>
      <c r="I1110" s="1042">
        <f t="shared" si="601"/>
        <v>0</v>
      </c>
      <c r="J1110" s="1042">
        <f t="shared" si="599"/>
        <v>0</v>
      </c>
      <c r="L1110" s="1060">
        <f t="shared" si="621"/>
        <v>0</v>
      </c>
      <c r="M1110" s="1060">
        <f t="shared" si="617"/>
        <v>0</v>
      </c>
      <c r="N1110" s="1060">
        <f t="shared" si="618"/>
        <v>0</v>
      </c>
      <c r="O1110" s="1060">
        <f t="shared" si="619"/>
        <v>0</v>
      </c>
      <c r="P1110" s="1060">
        <f t="shared" si="620"/>
        <v>1</v>
      </c>
    </row>
    <row r="1111" spans="1:16" x14ac:dyDescent="0.25">
      <c r="A1111" s="1039">
        <v>1513</v>
      </c>
      <c r="B1111" s="1039">
        <f t="shared" si="611"/>
        <v>16</v>
      </c>
      <c r="C1111" s="1039" t="str">
        <f t="shared" si="612"/>
        <v>Muzanni</v>
      </c>
      <c r="D1111" s="1040" t="str">
        <f t="shared" si="613"/>
        <v>ES-3B</v>
      </c>
      <c r="E1111" s="1041">
        <f t="shared" si="614"/>
        <v>2018</v>
      </c>
      <c r="F1111" s="1040" t="str">
        <f t="shared" si="615"/>
        <v>LULUS</v>
      </c>
      <c r="G1111" s="1041">
        <f t="shared" si="616"/>
        <v>839218003</v>
      </c>
      <c r="H1111" s="1042">
        <f t="shared" si="600"/>
        <v>0</v>
      </c>
      <c r="I1111" s="1042">
        <f t="shared" si="601"/>
        <v>0</v>
      </c>
      <c r="J1111" s="1042">
        <f t="shared" si="599"/>
        <v>0</v>
      </c>
      <c r="L1111" s="1060">
        <f t="shared" si="621"/>
        <v>0</v>
      </c>
      <c r="M1111" s="1060">
        <f t="shared" si="617"/>
        <v>1</v>
      </c>
      <c r="N1111" s="1060">
        <f t="shared" si="618"/>
        <v>0</v>
      </c>
      <c r="O1111" s="1060">
        <f t="shared" si="619"/>
        <v>0</v>
      </c>
      <c r="P1111" s="1060">
        <f t="shared" si="620"/>
        <v>0</v>
      </c>
    </row>
    <row r="1112" spans="1:16" x14ac:dyDescent="0.25">
      <c r="A1112" s="1039">
        <v>1514</v>
      </c>
      <c r="B1112" s="1039">
        <f t="shared" si="611"/>
        <v>17</v>
      </c>
      <c r="C1112" s="1039" t="str">
        <f t="shared" si="612"/>
        <v>F.I. Januarum Sari</v>
      </c>
      <c r="D1112" s="1040" t="str">
        <f t="shared" si="613"/>
        <v>ES-3B</v>
      </c>
      <c r="E1112" s="1041">
        <f t="shared" si="614"/>
        <v>2018</v>
      </c>
      <c r="F1112" s="1040" t="str">
        <f t="shared" si="615"/>
        <v>AKTIF</v>
      </c>
      <c r="G1112" s="1041">
        <f t="shared" si="616"/>
        <v>839218004</v>
      </c>
      <c r="H1112" s="1042">
        <f t="shared" si="600"/>
        <v>6450000</v>
      </c>
      <c r="I1112" s="1042">
        <f t="shared" si="601"/>
        <v>3750000</v>
      </c>
      <c r="J1112" s="1042">
        <f t="shared" si="599"/>
        <v>10200000</v>
      </c>
      <c r="L1112" s="1060">
        <f t="shared" si="621"/>
        <v>1</v>
      </c>
      <c r="M1112" s="1060">
        <f t="shared" si="617"/>
        <v>0</v>
      </c>
      <c r="N1112" s="1060">
        <f t="shared" si="618"/>
        <v>0</v>
      </c>
      <c r="O1112" s="1060">
        <f t="shared" si="619"/>
        <v>0</v>
      </c>
      <c r="P1112" s="1060">
        <f t="shared" si="620"/>
        <v>0</v>
      </c>
    </row>
    <row r="1113" spans="1:16" x14ac:dyDescent="0.25">
      <c r="A1113" s="1039">
        <v>1515</v>
      </c>
      <c r="B1113" s="1039">
        <f t="shared" si="611"/>
        <v>18</v>
      </c>
      <c r="C1113" s="1039" t="str">
        <f t="shared" si="612"/>
        <v>Aditya Rizki Wicaksono</v>
      </c>
      <c r="D1113" s="1040" t="str">
        <f t="shared" si="613"/>
        <v>ES-3B</v>
      </c>
      <c r="E1113" s="1041">
        <f t="shared" si="614"/>
        <v>2018</v>
      </c>
      <c r="F1113" s="1040" t="str">
        <f t="shared" si="615"/>
        <v>AKTIF</v>
      </c>
      <c r="G1113" s="1041">
        <f t="shared" si="616"/>
        <v>839218006</v>
      </c>
      <c r="H1113" s="1042">
        <f t="shared" si="600"/>
        <v>6450000</v>
      </c>
      <c r="I1113" s="1042">
        <f t="shared" si="601"/>
        <v>3750000</v>
      </c>
      <c r="J1113" s="1042">
        <f t="shared" si="599"/>
        <v>10200000</v>
      </c>
      <c r="L1113" s="1060">
        <f t="shared" si="621"/>
        <v>1</v>
      </c>
      <c r="M1113" s="1060">
        <f t="shared" si="617"/>
        <v>0</v>
      </c>
      <c r="N1113" s="1060">
        <f t="shared" si="618"/>
        <v>0</v>
      </c>
      <c r="O1113" s="1060">
        <f t="shared" si="619"/>
        <v>0</v>
      </c>
      <c r="P1113" s="1060">
        <f t="shared" si="620"/>
        <v>0</v>
      </c>
    </row>
    <row r="1114" spans="1:16" x14ac:dyDescent="0.25">
      <c r="A1114" s="1039">
        <v>1516</v>
      </c>
      <c r="B1114" s="1039">
        <f t="shared" si="611"/>
        <v>19</v>
      </c>
      <c r="C1114" s="1039" t="str">
        <f t="shared" si="612"/>
        <v>Wiwik Nur Cahyani</v>
      </c>
      <c r="D1114" s="1040" t="str">
        <f t="shared" si="613"/>
        <v>ES-3B</v>
      </c>
      <c r="E1114" s="1041">
        <f t="shared" si="614"/>
        <v>2018</v>
      </c>
      <c r="F1114" s="1040" t="str">
        <f t="shared" si="615"/>
        <v>PASIF</v>
      </c>
      <c r="G1114" s="1041">
        <f t="shared" si="616"/>
        <v>839218007</v>
      </c>
      <c r="H1114" s="1042">
        <f t="shared" si="600"/>
        <v>0</v>
      </c>
      <c r="I1114" s="1042">
        <f t="shared" si="601"/>
        <v>0</v>
      </c>
      <c r="J1114" s="1042">
        <f t="shared" si="599"/>
        <v>0</v>
      </c>
      <c r="L1114" s="1060">
        <f t="shared" si="621"/>
        <v>0</v>
      </c>
      <c r="M1114" s="1060">
        <f t="shared" si="617"/>
        <v>0</v>
      </c>
      <c r="N1114" s="1060">
        <f t="shared" si="618"/>
        <v>0</v>
      </c>
      <c r="O1114" s="1060">
        <f t="shared" si="619"/>
        <v>0</v>
      </c>
      <c r="P1114" s="1060">
        <f t="shared" si="620"/>
        <v>1</v>
      </c>
    </row>
    <row r="1115" spans="1:16" x14ac:dyDescent="0.25">
      <c r="A1115" s="1039">
        <v>1517</v>
      </c>
      <c r="B1115" s="1039">
        <f t="shared" si="611"/>
        <v>20</v>
      </c>
      <c r="C1115" s="1039" t="str">
        <f t="shared" si="612"/>
        <v>Habib Sirojul Munir</v>
      </c>
      <c r="D1115" s="1040" t="str">
        <f t="shared" si="613"/>
        <v>ES-3B</v>
      </c>
      <c r="E1115" s="1041">
        <f t="shared" si="614"/>
        <v>2018</v>
      </c>
      <c r="F1115" s="1040" t="str">
        <f t="shared" si="615"/>
        <v>PASIF</v>
      </c>
      <c r="G1115" s="1041">
        <f t="shared" si="616"/>
        <v>839218009</v>
      </c>
      <c r="H1115" s="1042">
        <f t="shared" si="600"/>
        <v>0</v>
      </c>
      <c r="I1115" s="1042">
        <f t="shared" si="601"/>
        <v>0</v>
      </c>
      <c r="J1115" s="1042">
        <f t="shared" si="599"/>
        <v>0</v>
      </c>
      <c r="L1115" s="1060">
        <f t="shared" si="621"/>
        <v>0</v>
      </c>
      <c r="M1115" s="1060">
        <f t="shared" si="617"/>
        <v>0</v>
      </c>
      <c r="N1115" s="1060">
        <f t="shared" si="618"/>
        <v>0</v>
      </c>
      <c r="O1115" s="1060">
        <f t="shared" si="619"/>
        <v>0</v>
      </c>
      <c r="P1115" s="1060">
        <f t="shared" si="620"/>
        <v>1</v>
      </c>
    </row>
    <row r="1116" spans="1:16" x14ac:dyDescent="0.25">
      <c r="A1116" s="1039">
        <v>1518</v>
      </c>
      <c r="B1116" s="1039">
        <f t="shared" si="611"/>
        <v>21</v>
      </c>
      <c r="C1116" s="1039" t="str">
        <f t="shared" si="612"/>
        <v>Andiono Putra</v>
      </c>
      <c r="D1116" s="1040" t="str">
        <f t="shared" si="613"/>
        <v>ES-3B</v>
      </c>
      <c r="E1116" s="1041">
        <f t="shared" si="614"/>
        <v>2018</v>
      </c>
      <c r="F1116" s="1040" t="str">
        <f t="shared" si="615"/>
        <v>AKTIF</v>
      </c>
      <c r="G1116" s="1041">
        <f t="shared" si="616"/>
        <v>839218010</v>
      </c>
      <c r="H1116" s="1042">
        <f t="shared" si="600"/>
        <v>6450000</v>
      </c>
      <c r="I1116" s="1042">
        <f t="shared" si="601"/>
        <v>3750000</v>
      </c>
      <c r="J1116" s="1042">
        <f t="shared" si="599"/>
        <v>10200000</v>
      </c>
      <c r="L1116" s="1060">
        <f t="shared" si="621"/>
        <v>1</v>
      </c>
      <c r="M1116" s="1060">
        <f t="shared" si="617"/>
        <v>0</v>
      </c>
      <c r="N1116" s="1060">
        <f t="shared" si="618"/>
        <v>0</v>
      </c>
      <c r="O1116" s="1060">
        <f t="shared" si="619"/>
        <v>0</v>
      </c>
      <c r="P1116" s="1060">
        <f t="shared" si="620"/>
        <v>0</v>
      </c>
    </row>
    <row r="1117" spans="1:16" x14ac:dyDescent="0.25">
      <c r="A1117" s="1039">
        <v>1519</v>
      </c>
      <c r="B1117" s="1039">
        <f t="shared" si="611"/>
        <v>22</v>
      </c>
      <c r="C1117" s="1039" t="str">
        <f t="shared" si="612"/>
        <v>Muh. Khoiruddin</v>
      </c>
      <c r="D1117" s="1040" t="str">
        <f t="shared" si="613"/>
        <v>ES-3B</v>
      </c>
      <c r="E1117" s="1041">
        <f t="shared" si="614"/>
        <v>2018</v>
      </c>
      <c r="F1117" s="1040" t="str">
        <f t="shared" si="615"/>
        <v>LULUS</v>
      </c>
      <c r="G1117" s="1041">
        <f t="shared" si="616"/>
        <v>839218012</v>
      </c>
      <c r="H1117" s="1042">
        <f t="shared" si="600"/>
        <v>0</v>
      </c>
      <c r="I1117" s="1042">
        <f t="shared" si="601"/>
        <v>0</v>
      </c>
      <c r="J1117" s="1042">
        <f t="shared" si="599"/>
        <v>0</v>
      </c>
      <c r="L1117" s="1060">
        <f t="shared" si="621"/>
        <v>0</v>
      </c>
      <c r="M1117" s="1060">
        <f t="shared" si="617"/>
        <v>1</v>
      </c>
      <c r="N1117" s="1060">
        <f t="shared" si="618"/>
        <v>0</v>
      </c>
      <c r="O1117" s="1060">
        <f t="shared" si="619"/>
        <v>0</v>
      </c>
      <c r="P1117" s="1060">
        <f t="shared" si="620"/>
        <v>0</v>
      </c>
    </row>
    <row r="1118" spans="1:16" x14ac:dyDescent="0.25">
      <c r="A1118" s="1039">
        <v>1520</v>
      </c>
      <c r="B1118" s="1039">
        <f t="shared" si="611"/>
        <v>23</v>
      </c>
      <c r="C1118" s="1039" t="str">
        <f t="shared" si="612"/>
        <v>Halili</v>
      </c>
      <c r="D1118" s="1040" t="str">
        <f t="shared" si="613"/>
        <v>ES-3B</v>
      </c>
      <c r="E1118" s="1041">
        <f t="shared" si="614"/>
        <v>2018</v>
      </c>
      <c r="F1118" s="1040" t="str">
        <f t="shared" si="615"/>
        <v>AKTIF</v>
      </c>
      <c r="G1118" s="1041">
        <f t="shared" si="616"/>
        <v>839218013</v>
      </c>
      <c r="H1118" s="1042">
        <f t="shared" si="600"/>
        <v>6450000</v>
      </c>
      <c r="I1118" s="1042">
        <f t="shared" si="601"/>
        <v>3750000</v>
      </c>
      <c r="J1118" s="1042">
        <f t="shared" si="599"/>
        <v>10200000</v>
      </c>
      <c r="L1118" s="1060">
        <f t="shared" si="621"/>
        <v>1</v>
      </c>
      <c r="M1118" s="1060">
        <f t="shared" si="617"/>
        <v>0</v>
      </c>
      <c r="N1118" s="1060">
        <f t="shared" si="618"/>
        <v>0</v>
      </c>
      <c r="O1118" s="1060">
        <f t="shared" si="619"/>
        <v>0</v>
      </c>
      <c r="P1118" s="1060">
        <f t="shared" si="620"/>
        <v>0</v>
      </c>
    </row>
    <row r="1119" spans="1:16" x14ac:dyDescent="0.25">
      <c r="A1119" s="1039">
        <v>1521</v>
      </c>
      <c r="B1119" s="1039">
        <f t="shared" si="611"/>
        <v>24</v>
      </c>
      <c r="C1119" s="1039" t="str">
        <f t="shared" si="612"/>
        <v>Niesfi Laily Rahman</v>
      </c>
      <c r="D1119" s="1040" t="str">
        <f t="shared" si="613"/>
        <v>ES-3B</v>
      </c>
      <c r="E1119" s="1041">
        <f t="shared" si="614"/>
        <v>2018</v>
      </c>
      <c r="F1119" s="1040" t="str">
        <f t="shared" si="615"/>
        <v>AKTIF</v>
      </c>
      <c r="G1119" s="1041">
        <f t="shared" si="616"/>
        <v>839218014</v>
      </c>
      <c r="H1119" s="1042">
        <f t="shared" si="600"/>
        <v>6450000</v>
      </c>
      <c r="I1119" s="1042">
        <f t="shared" si="601"/>
        <v>3750000</v>
      </c>
      <c r="J1119" s="1042">
        <f t="shared" si="599"/>
        <v>10200000</v>
      </c>
      <c r="L1119" s="1060">
        <f t="shared" si="621"/>
        <v>1</v>
      </c>
      <c r="M1119" s="1060">
        <f t="shared" si="617"/>
        <v>0</v>
      </c>
      <c r="N1119" s="1060">
        <f t="shared" si="618"/>
        <v>0</v>
      </c>
      <c r="O1119" s="1060">
        <f t="shared" si="619"/>
        <v>0</v>
      </c>
      <c r="P1119" s="1060">
        <f t="shared" si="620"/>
        <v>0</v>
      </c>
    </row>
    <row r="1120" spans="1:16" x14ac:dyDescent="0.25">
      <c r="A1120" s="1039">
        <v>1522</v>
      </c>
      <c r="B1120" s="1039">
        <f t="shared" si="611"/>
        <v>25</v>
      </c>
      <c r="C1120" s="1039" t="str">
        <f t="shared" si="612"/>
        <v>Ahmad Ficky Rozaqi</v>
      </c>
      <c r="D1120" s="1040" t="str">
        <f t="shared" si="613"/>
        <v>ES-3B</v>
      </c>
      <c r="E1120" s="1041">
        <f t="shared" si="614"/>
        <v>2018</v>
      </c>
      <c r="F1120" s="1040" t="str">
        <f t="shared" si="615"/>
        <v>CUTI</v>
      </c>
      <c r="G1120" s="1041">
        <f t="shared" si="616"/>
        <v>839218015</v>
      </c>
      <c r="H1120" s="1042">
        <f t="shared" si="600"/>
        <v>3000000</v>
      </c>
      <c r="I1120" s="1042">
        <f t="shared" si="601"/>
        <v>3000000</v>
      </c>
      <c r="J1120" s="1042">
        <f t="shared" si="599"/>
        <v>6000000</v>
      </c>
      <c r="L1120" s="1060">
        <f t="shared" si="621"/>
        <v>0</v>
      </c>
      <c r="M1120" s="1060">
        <f t="shared" si="617"/>
        <v>0</v>
      </c>
      <c r="N1120" s="1060">
        <f t="shared" si="618"/>
        <v>1</v>
      </c>
      <c r="O1120" s="1060">
        <f t="shared" si="619"/>
        <v>0</v>
      </c>
      <c r="P1120" s="1060">
        <f t="shared" si="620"/>
        <v>0</v>
      </c>
    </row>
    <row r="1121" spans="1:16" x14ac:dyDescent="0.25">
      <c r="A1121" s="1039">
        <v>1523</v>
      </c>
      <c r="B1121" s="1039">
        <f t="shared" si="611"/>
        <v>26</v>
      </c>
      <c r="C1121" s="1039" t="str">
        <f t="shared" si="612"/>
        <v>Zaini Miftah</v>
      </c>
      <c r="D1121" s="1040" t="str">
        <f t="shared" si="613"/>
        <v>ES-3B</v>
      </c>
      <c r="E1121" s="1041">
        <f t="shared" si="614"/>
        <v>2018</v>
      </c>
      <c r="F1121" s="1040" t="str">
        <f t="shared" si="615"/>
        <v>LULUS</v>
      </c>
      <c r="G1121" s="1041">
        <f t="shared" si="616"/>
        <v>839218016</v>
      </c>
      <c r="H1121" s="1042">
        <f t="shared" si="600"/>
        <v>0</v>
      </c>
      <c r="I1121" s="1042">
        <f t="shared" si="601"/>
        <v>0</v>
      </c>
      <c r="J1121" s="1042">
        <f t="shared" si="599"/>
        <v>0</v>
      </c>
      <c r="L1121" s="1060">
        <f t="shared" si="621"/>
        <v>0</v>
      </c>
      <c r="M1121" s="1060">
        <f t="shared" si="617"/>
        <v>1</v>
      </c>
      <c r="N1121" s="1060">
        <f t="shared" si="618"/>
        <v>0</v>
      </c>
      <c r="O1121" s="1060">
        <f t="shared" si="619"/>
        <v>0</v>
      </c>
      <c r="P1121" s="1060">
        <f t="shared" si="620"/>
        <v>0</v>
      </c>
    </row>
    <row r="1122" spans="1:16" x14ac:dyDescent="0.25">
      <c r="A1122" s="1039">
        <v>1524</v>
      </c>
      <c r="B1122" s="1039">
        <f t="shared" si="611"/>
        <v>27</v>
      </c>
      <c r="C1122" s="1039" t="str">
        <f t="shared" si="612"/>
        <v>Muhammad Husen</v>
      </c>
      <c r="D1122" s="1040" t="str">
        <f t="shared" si="613"/>
        <v>ES-3B</v>
      </c>
      <c r="E1122" s="1041">
        <f t="shared" si="614"/>
        <v>2018</v>
      </c>
      <c r="F1122" s="1040" t="str">
        <f t="shared" si="615"/>
        <v>LULUS</v>
      </c>
      <c r="G1122" s="1041">
        <f t="shared" si="616"/>
        <v>839218018</v>
      </c>
      <c r="H1122" s="1042">
        <f t="shared" si="600"/>
        <v>0</v>
      </c>
      <c r="I1122" s="1042">
        <f t="shared" si="601"/>
        <v>0</v>
      </c>
      <c r="J1122" s="1042">
        <f t="shared" si="599"/>
        <v>0</v>
      </c>
      <c r="L1122" s="1060">
        <f t="shared" si="621"/>
        <v>0</v>
      </c>
      <c r="M1122" s="1060">
        <f t="shared" si="617"/>
        <v>1</v>
      </c>
      <c r="N1122" s="1060">
        <f t="shared" si="618"/>
        <v>0</v>
      </c>
      <c r="O1122" s="1060">
        <f t="shared" si="619"/>
        <v>0</v>
      </c>
      <c r="P1122" s="1060">
        <f t="shared" si="620"/>
        <v>0</v>
      </c>
    </row>
    <row r="1123" spans="1:16" x14ac:dyDescent="0.25">
      <c r="A1123" s="1039">
        <v>1525</v>
      </c>
      <c r="B1123" s="1039">
        <f t="shared" si="611"/>
        <v>28</v>
      </c>
      <c r="C1123" s="1039" t="str">
        <f t="shared" si="612"/>
        <v>Mahmudi</v>
      </c>
      <c r="D1123" s="1040" t="str">
        <f t="shared" si="613"/>
        <v>ES-3B</v>
      </c>
      <c r="E1123" s="1041">
        <f t="shared" si="614"/>
        <v>2018</v>
      </c>
      <c r="F1123" s="1040" t="str">
        <f t="shared" si="615"/>
        <v>AKTIF</v>
      </c>
      <c r="G1123" s="1041">
        <f t="shared" si="616"/>
        <v>839218019</v>
      </c>
      <c r="H1123" s="1042">
        <f t="shared" si="600"/>
        <v>6450000</v>
      </c>
      <c r="I1123" s="1042">
        <f t="shared" si="601"/>
        <v>3750000</v>
      </c>
      <c r="J1123" s="1042">
        <f t="shared" ref="J1123:J1191" si="622">I1123+H1123</f>
        <v>10200000</v>
      </c>
      <c r="L1123" s="1060">
        <f t="shared" si="621"/>
        <v>1</v>
      </c>
      <c r="M1123" s="1060">
        <f t="shared" si="617"/>
        <v>0</v>
      </c>
      <c r="N1123" s="1060">
        <f t="shared" si="618"/>
        <v>0</v>
      </c>
      <c r="O1123" s="1060">
        <f t="shared" si="619"/>
        <v>0</v>
      </c>
      <c r="P1123" s="1060">
        <f t="shared" si="620"/>
        <v>0</v>
      </c>
    </row>
    <row r="1124" spans="1:16" x14ac:dyDescent="0.25">
      <c r="A1124" s="1039">
        <v>1526</v>
      </c>
      <c r="B1124" s="1039">
        <f t="shared" si="611"/>
        <v>29</v>
      </c>
      <c r="C1124" s="1039" t="str">
        <f t="shared" si="612"/>
        <v>M. Ja'far Shodiq R</v>
      </c>
      <c r="D1124" s="1040" t="str">
        <f t="shared" si="613"/>
        <v>ES-3B</v>
      </c>
      <c r="E1124" s="1041">
        <f t="shared" si="614"/>
        <v>2018</v>
      </c>
      <c r="F1124" s="1040" t="str">
        <f t="shared" si="615"/>
        <v>DROP OUT</v>
      </c>
      <c r="G1124" s="1041">
        <f t="shared" si="616"/>
        <v>839218021</v>
      </c>
      <c r="H1124" s="1042">
        <f t="shared" ref="H1124:H1191" si="623">IF(F1124="AKTIF",6450000,IF(F1124="CUTI",3000000,0))</f>
        <v>0</v>
      </c>
      <c r="I1124" s="1042">
        <f t="shared" ref="I1124:I1191" si="624">IF(F1124="AKTIF",3750000,IF(F1124="CUTI",3000000,0))</f>
        <v>0</v>
      </c>
      <c r="J1124" s="1042">
        <f t="shared" si="622"/>
        <v>0</v>
      </c>
      <c r="L1124" s="1060">
        <f t="shared" si="621"/>
        <v>0</v>
      </c>
      <c r="M1124" s="1060">
        <f t="shared" si="617"/>
        <v>0</v>
      </c>
      <c r="N1124" s="1060">
        <f t="shared" si="618"/>
        <v>0</v>
      </c>
      <c r="O1124" s="1060">
        <f t="shared" si="619"/>
        <v>1</v>
      </c>
      <c r="P1124" s="1060">
        <f t="shared" si="620"/>
        <v>0</v>
      </c>
    </row>
    <row r="1125" spans="1:16" x14ac:dyDescent="0.25">
      <c r="A1125" s="1039">
        <v>1527</v>
      </c>
      <c r="B1125" s="1039">
        <f t="shared" si="611"/>
        <v>30</v>
      </c>
      <c r="C1125" s="1039" t="str">
        <f t="shared" si="612"/>
        <v>Syarifah Aini</v>
      </c>
      <c r="D1125" s="1040" t="str">
        <f t="shared" si="613"/>
        <v>ES-3B</v>
      </c>
      <c r="E1125" s="1041">
        <f t="shared" si="614"/>
        <v>2018</v>
      </c>
      <c r="F1125" s="1040" t="str">
        <f t="shared" si="615"/>
        <v>AKTIF</v>
      </c>
      <c r="G1125" s="1041">
        <f t="shared" si="616"/>
        <v>839218022</v>
      </c>
      <c r="H1125" s="1042">
        <f t="shared" si="623"/>
        <v>6450000</v>
      </c>
      <c r="I1125" s="1042">
        <f t="shared" si="624"/>
        <v>3750000</v>
      </c>
      <c r="J1125" s="1042">
        <f t="shared" si="622"/>
        <v>10200000</v>
      </c>
      <c r="L1125" s="1060">
        <f t="shared" si="621"/>
        <v>1</v>
      </c>
      <c r="M1125" s="1060">
        <f t="shared" si="617"/>
        <v>0</v>
      </c>
      <c r="N1125" s="1060">
        <f t="shared" si="618"/>
        <v>0</v>
      </c>
      <c r="O1125" s="1060">
        <f t="shared" si="619"/>
        <v>0</v>
      </c>
      <c r="P1125" s="1060">
        <f t="shared" si="620"/>
        <v>0</v>
      </c>
    </row>
    <row r="1126" spans="1:16" x14ac:dyDescent="0.25">
      <c r="A1126" s="1039">
        <v>1528</v>
      </c>
      <c r="B1126" s="1039">
        <f t="shared" si="611"/>
        <v>31</v>
      </c>
      <c r="C1126" s="1039" t="str">
        <f t="shared" si="612"/>
        <v>Heriyanto</v>
      </c>
      <c r="D1126" s="1040" t="str">
        <f t="shared" si="613"/>
        <v>ES-3B</v>
      </c>
      <c r="E1126" s="1041">
        <f t="shared" si="614"/>
        <v>2018</v>
      </c>
      <c r="F1126" s="1040" t="str">
        <f t="shared" si="615"/>
        <v>CUTI</v>
      </c>
      <c r="G1126" s="1041">
        <f t="shared" si="616"/>
        <v>839218023</v>
      </c>
      <c r="H1126" s="1042">
        <f t="shared" si="623"/>
        <v>3000000</v>
      </c>
      <c r="I1126" s="1042">
        <f t="shared" si="624"/>
        <v>3000000</v>
      </c>
      <c r="J1126" s="1042">
        <f t="shared" si="622"/>
        <v>6000000</v>
      </c>
      <c r="L1126" s="1060">
        <f t="shared" si="621"/>
        <v>0</v>
      </c>
      <c r="M1126" s="1060">
        <f t="shared" si="617"/>
        <v>0</v>
      </c>
      <c r="N1126" s="1060">
        <f t="shared" si="618"/>
        <v>1</v>
      </c>
      <c r="O1126" s="1060">
        <f t="shared" si="619"/>
        <v>0</v>
      </c>
      <c r="P1126" s="1060">
        <f t="shared" si="620"/>
        <v>0</v>
      </c>
    </row>
    <row r="1127" spans="1:16" x14ac:dyDescent="0.25">
      <c r="A1127" s="1039">
        <v>1529</v>
      </c>
      <c r="B1127" s="1039">
        <f t="shared" si="611"/>
        <v>32</v>
      </c>
      <c r="C1127" s="1039" t="str">
        <f t="shared" si="612"/>
        <v>Nur Muhammad</v>
      </c>
      <c r="D1127" s="1040" t="str">
        <f t="shared" si="613"/>
        <v>ES-3B</v>
      </c>
      <c r="E1127" s="1041">
        <f t="shared" si="614"/>
        <v>2018</v>
      </c>
      <c r="F1127" s="1040" t="str">
        <f t="shared" si="615"/>
        <v>LULUS</v>
      </c>
      <c r="G1127" s="1041">
        <f t="shared" si="616"/>
        <v>839218024</v>
      </c>
      <c r="H1127" s="1042">
        <f t="shared" si="623"/>
        <v>0</v>
      </c>
      <c r="I1127" s="1042">
        <f t="shared" si="624"/>
        <v>0</v>
      </c>
      <c r="J1127" s="1042">
        <f t="shared" si="622"/>
        <v>0</v>
      </c>
      <c r="L1127" s="1060">
        <f t="shared" si="621"/>
        <v>0</v>
      </c>
      <c r="M1127" s="1060">
        <f t="shared" si="617"/>
        <v>1</v>
      </c>
      <c r="N1127" s="1060">
        <f t="shared" si="618"/>
        <v>0</v>
      </c>
      <c r="O1127" s="1060">
        <f t="shared" si="619"/>
        <v>0</v>
      </c>
      <c r="P1127" s="1060">
        <f t="shared" si="620"/>
        <v>0</v>
      </c>
    </row>
    <row r="1128" spans="1:16" x14ac:dyDescent="0.25">
      <c r="A1128" s="1039">
        <v>1530</v>
      </c>
      <c r="B1128" s="1039">
        <f t="shared" si="611"/>
        <v>33</v>
      </c>
      <c r="C1128" s="1039" t="str">
        <f t="shared" ref="C1128:C1149" si="625">IFERROR(VLOOKUP(A1128,DB,4,FALSE),"")</f>
        <v>Mohamad Romli Firdaus</v>
      </c>
      <c r="D1128" s="1040" t="str">
        <f t="shared" ref="D1128:D1149" si="626">IFERROR(VLOOKUP(A1128,DB,5,FALSE),"")</f>
        <v>ES-3B</v>
      </c>
      <c r="E1128" s="1041">
        <f t="shared" ref="E1128:E1149" si="627">IFERROR(VLOOKUP(A1128,DB,6,FALSE),"")</f>
        <v>2018</v>
      </c>
      <c r="F1128" s="1040" t="str">
        <f t="shared" ref="F1128:F1149" si="628">IFERROR(VLOOKUP(A1128,DB,7,FALSE),"")</f>
        <v>AKTIF</v>
      </c>
      <c r="G1128" s="1041">
        <f t="shared" ref="G1128:G1149" si="629">IFERROR(VLOOKUP(A1128,DB,3,FALSE),"")</f>
        <v>839218034</v>
      </c>
      <c r="H1128" s="1042">
        <f t="shared" si="623"/>
        <v>6450000</v>
      </c>
      <c r="I1128" s="1042">
        <f t="shared" si="624"/>
        <v>3750000</v>
      </c>
      <c r="J1128" s="1042">
        <f t="shared" si="622"/>
        <v>10200000</v>
      </c>
      <c r="L1128" s="1060">
        <f t="shared" si="621"/>
        <v>1</v>
      </c>
      <c r="M1128" s="1060">
        <f t="shared" ref="M1128:M1149" si="630">IF(F1128="LULUS",1,0)</f>
        <v>0</v>
      </c>
      <c r="N1128" s="1060">
        <f t="shared" ref="N1128:N1149" si="631">IF(F1128="CUTI",1,0)</f>
        <v>0</v>
      </c>
      <c r="O1128" s="1060">
        <f t="shared" ref="O1128:O1149" si="632">IF(F1128="DROP OUT",1,0)</f>
        <v>0</v>
      </c>
      <c r="P1128" s="1060">
        <f t="shared" ref="P1128:P1149" si="633">IF(F1128="PASIF",1,0)</f>
        <v>0</v>
      </c>
    </row>
    <row r="1129" spans="1:16" x14ac:dyDescent="0.25">
      <c r="A1129" s="1039">
        <v>1531</v>
      </c>
      <c r="B1129" s="1039">
        <f t="shared" si="611"/>
        <v>34</v>
      </c>
      <c r="C1129" s="1039" t="str">
        <f t="shared" si="625"/>
        <v>Muh. Kanzul Fikri</v>
      </c>
      <c r="D1129" s="1040" t="str">
        <f t="shared" si="626"/>
        <v>ES-3C</v>
      </c>
      <c r="E1129" s="1041">
        <f t="shared" si="627"/>
        <v>2018</v>
      </c>
      <c r="F1129" s="1040" t="str">
        <f t="shared" si="628"/>
        <v>LULUS</v>
      </c>
      <c r="G1129" s="1041">
        <f t="shared" si="629"/>
        <v>839218011</v>
      </c>
      <c r="H1129" s="1042">
        <f t="shared" si="623"/>
        <v>0</v>
      </c>
      <c r="I1129" s="1042">
        <f t="shared" si="624"/>
        <v>0</v>
      </c>
      <c r="J1129" s="1042">
        <f t="shared" si="622"/>
        <v>0</v>
      </c>
      <c r="L1129" s="1060">
        <f t="shared" si="621"/>
        <v>0</v>
      </c>
      <c r="M1129" s="1060">
        <f t="shared" si="630"/>
        <v>1</v>
      </c>
      <c r="N1129" s="1060">
        <f t="shared" si="631"/>
        <v>0</v>
      </c>
      <c r="O1129" s="1060">
        <f t="shared" si="632"/>
        <v>0</v>
      </c>
      <c r="P1129" s="1060">
        <f t="shared" si="633"/>
        <v>0</v>
      </c>
    </row>
    <row r="1130" spans="1:16" x14ac:dyDescent="0.25">
      <c r="A1130" s="1039">
        <v>1532</v>
      </c>
      <c r="B1130" s="1039">
        <f t="shared" si="611"/>
        <v>35</v>
      </c>
      <c r="C1130" s="1039" t="str">
        <f t="shared" si="625"/>
        <v>Nofaldy Hasbulah Al Madani</v>
      </c>
      <c r="D1130" s="1040" t="str">
        <f t="shared" si="626"/>
        <v>ES-3C</v>
      </c>
      <c r="E1130" s="1041">
        <f t="shared" si="627"/>
        <v>2018</v>
      </c>
      <c r="F1130" s="1040" t="str">
        <f t="shared" si="628"/>
        <v>AKTIF</v>
      </c>
      <c r="G1130" s="1041">
        <f t="shared" si="629"/>
        <v>839218025</v>
      </c>
      <c r="H1130" s="1042">
        <f t="shared" si="623"/>
        <v>6450000</v>
      </c>
      <c r="I1130" s="1042">
        <f t="shared" si="624"/>
        <v>3750000</v>
      </c>
      <c r="J1130" s="1042">
        <f t="shared" si="622"/>
        <v>10200000</v>
      </c>
      <c r="L1130" s="1060">
        <f t="shared" si="621"/>
        <v>1</v>
      </c>
      <c r="M1130" s="1060">
        <f t="shared" si="630"/>
        <v>0</v>
      </c>
      <c r="N1130" s="1060">
        <f t="shared" si="631"/>
        <v>0</v>
      </c>
      <c r="O1130" s="1060">
        <f t="shared" si="632"/>
        <v>0</v>
      </c>
      <c r="P1130" s="1060">
        <f t="shared" si="633"/>
        <v>0</v>
      </c>
    </row>
    <row r="1131" spans="1:16" x14ac:dyDescent="0.25">
      <c r="A1131" s="1039">
        <v>1533</v>
      </c>
      <c r="B1131" s="1039">
        <f t="shared" si="611"/>
        <v>36</v>
      </c>
      <c r="C1131" s="1039" t="str">
        <f t="shared" si="625"/>
        <v>Munifa</v>
      </c>
      <c r="D1131" s="1040" t="str">
        <f t="shared" si="626"/>
        <v>ES-3C</v>
      </c>
      <c r="E1131" s="1041">
        <f t="shared" si="627"/>
        <v>2018</v>
      </c>
      <c r="F1131" s="1040" t="str">
        <f t="shared" si="628"/>
        <v>AKTIF</v>
      </c>
      <c r="G1131" s="1041">
        <f t="shared" si="629"/>
        <v>839218026</v>
      </c>
      <c r="H1131" s="1042">
        <f t="shared" si="623"/>
        <v>6450000</v>
      </c>
      <c r="I1131" s="1042">
        <f t="shared" si="624"/>
        <v>3750000</v>
      </c>
      <c r="J1131" s="1042">
        <f t="shared" si="622"/>
        <v>10200000</v>
      </c>
      <c r="L1131" s="1060">
        <f t="shared" si="621"/>
        <v>1</v>
      </c>
      <c r="M1131" s="1060">
        <f t="shared" si="630"/>
        <v>0</v>
      </c>
      <c r="N1131" s="1060">
        <f t="shared" si="631"/>
        <v>0</v>
      </c>
      <c r="O1131" s="1060">
        <f t="shared" si="632"/>
        <v>0</v>
      </c>
      <c r="P1131" s="1060">
        <f t="shared" si="633"/>
        <v>0</v>
      </c>
    </row>
    <row r="1132" spans="1:16" x14ac:dyDescent="0.25">
      <c r="A1132" s="1039">
        <v>1534</v>
      </c>
      <c r="B1132" s="1039">
        <f t="shared" si="611"/>
        <v>37</v>
      </c>
      <c r="C1132" s="1039" t="str">
        <f t="shared" si="625"/>
        <v>Mohammad Sholehuddin</v>
      </c>
      <c r="D1132" s="1040" t="str">
        <f t="shared" si="626"/>
        <v>ES-3C</v>
      </c>
      <c r="E1132" s="1041">
        <f t="shared" si="627"/>
        <v>2018</v>
      </c>
      <c r="F1132" s="1040" t="str">
        <f t="shared" si="628"/>
        <v>AKTIF</v>
      </c>
      <c r="G1132" s="1041">
        <f t="shared" si="629"/>
        <v>839218027</v>
      </c>
      <c r="H1132" s="1042">
        <f t="shared" si="623"/>
        <v>6450000</v>
      </c>
      <c r="I1132" s="1042">
        <f t="shared" si="624"/>
        <v>3750000</v>
      </c>
      <c r="J1132" s="1042">
        <f t="shared" si="622"/>
        <v>10200000</v>
      </c>
      <c r="L1132" s="1060">
        <f t="shared" si="621"/>
        <v>1</v>
      </c>
      <c r="M1132" s="1060">
        <f t="shared" si="630"/>
        <v>0</v>
      </c>
      <c r="N1132" s="1060">
        <f t="shared" si="631"/>
        <v>0</v>
      </c>
      <c r="O1132" s="1060">
        <f t="shared" si="632"/>
        <v>0</v>
      </c>
      <c r="P1132" s="1060">
        <f t="shared" si="633"/>
        <v>0</v>
      </c>
    </row>
    <row r="1133" spans="1:16" x14ac:dyDescent="0.25">
      <c r="A1133" s="1039">
        <v>1535</v>
      </c>
      <c r="B1133" s="1039">
        <f t="shared" si="611"/>
        <v>38</v>
      </c>
      <c r="C1133" s="1039" t="str">
        <f t="shared" si="625"/>
        <v>Ahmad Munir</v>
      </c>
      <c r="D1133" s="1040" t="str">
        <f t="shared" si="626"/>
        <v>ES-3C</v>
      </c>
      <c r="E1133" s="1041">
        <f t="shared" si="627"/>
        <v>2018</v>
      </c>
      <c r="F1133" s="1040" t="str">
        <f t="shared" si="628"/>
        <v>AKTIF</v>
      </c>
      <c r="G1133" s="1041">
        <f t="shared" si="629"/>
        <v>839218028</v>
      </c>
      <c r="H1133" s="1042">
        <f t="shared" si="623"/>
        <v>6450000</v>
      </c>
      <c r="I1133" s="1042">
        <f t="shared" si="624"/>
        <v>3750000</v>
      </c>
      <c r="J1133" s="1042">
        <f t="shared" si="622"/>
        <v>10200000</v>
      </c>
      <c r="L1133" s="1060">
        <f t="shared" si="621"/>
        <v>1</v>
      </c>
      <c r="M1133" s="1060">
        <f t="shared" si="630"/>
        <v>0</v>
      </c>
      <c r="N1133" s="1060">
        <f t="shared" si="631"/>
        <v>0</v>
      </c>
      <c r="O1133" s="1060">
        <f t="shared" si="632"/>
        <v>0</v>
      </c>
      <c r="P1133" s="1060">
        <f t="shared" si="633"/>
        <v>0</v>
      </c>
    </row>
    <row r="1134" spans="1:16" x14ac:dyDescent="0.25">
      <c r="A1134" s="1039">
        <v>1536</v>
      </c>
      <c r="B1134" s="1039">
        <f t="shared" si="611"/>
        <v>39</v>
      </c>
      <c r="C1134" s="1039" t="str">
        <f t="shared" si="625"/>
        <v>Nur Muhammad Anuroin</v>
      </c>
      <c r="D1134" s="1040" t="str">
        <f t="shared" si="626"/>
        <v>ES-3C</v>
      </c>
      <c r="E1134" s="1041">
        <f t="shared" si="627"/>
        <v>2018</v>
      </c>
      <c r="F1134" s="1040" t="str">
        <f t="shared" si="628"/>
        <v>LULUS</v>
      </c>
      <c r="G1134" s="1041">
        <f t="shared" si="629"/>
        <v>839218029</v>
      </c>
      <c r="H1134" s="1042">
        <f t="shared" si="623"/>
        <v>0</v>
      </c>
      <c r="I1134" s="1042">
        <f t="shared" si="624"/>
        <v>0</v>
      </c>
      <c r="J1134" s="1042">
        <f t="shared" si="622"/>
        <v>0</v>
      </c>
      <c r="L1134" s="1060">
        <f t="shared" si="621"/>
        <v>0</v>
      </c>
      <c r="M1134" s="1060">
        <f t="shared" si="630"/>
        <v>1</v>
      </c>
      <c r="N1134" s="1060">
        <f t="shared" si="631"/>
        <v>0</v>
      </c>
      <c r="O1134" s="1060">
        <f t="shared" si="632"/>
        <v>0</v>
      </c>
      <c r="P1134" s="1060">
        <f t="shared" si="633"/>
        <v>0</v>
      </c>
    </row>
    <row r="1135" spans="1:16" x14ac:dyDescent="0.25">
      <c r="A1135" s="1039">
        <v>1537</v>
      </c>
      <c r="B1135" s="1039">
        <f t="shared" si="611"/>
        <v>40</v>
      </c>
      <c r="C1135" s="1039" t="str">
        <f t="shared" si="625"/>
        <v>Fikri Hidayatullah</v>
      </c>
      <c r="D1135" s="1040" t="str">
        <f t="shared" si="626"/>
        <v>ES-3C</v>
      </c>
      <c r="E1135" s="1041">
        <f t="shared" si="627"/>
        <v>2018</v>
      </c>
      <c r="F1135" s="1040" t="str">
        <f t="shared" si="628"/>
        <v>AKTIF</v>
      </c>
      <c r="G1135" s="1041">
        <f t="shared" si="629"/>
        <v>839218030</v>
      </c>
      <c r="H1135" s="1042">
        <f t="shared" si="623"/>
        <v>6450000</v>
      </c>
      <c r="I1135" s="1042">
        <f t="shared" si="624"/>
        <v>3750000</v>
      </c>
      <c r="J1135" s="1042">
        <f t="shared" si="622"/>
        <v>10200000</v>
      </c>
      <c r="L1135" s="1060">
        <f t="shared" si="621"/>
        <v>1</v>
      </c>
      <c r="M1135" s="1060">
        <f t="shared" si="630"/>
        <v>0</v>
      </c>
      <c r="N1135" s="1060">
        <f t="shared" si="631"/>
        <v>0</v>
      </c>
      <c r="O1135" s="1060">
        <f t="shared" si="632"/>
        <v>0</v>
      </c>
      <c r="P1135" s="1060">
        <f t="shared" si="633"/>
        <v>0</v>
      </c>
    </row>
    <row r="1136" spans="1:16" x14ac:dyDescent="0.25">
      <c r="A1136" s="1039">
        <v>1538</v>
      </c>
      <c r="B1136" s="1039">
        <f t="shared" si="611"/>
        <v>32</v>
      </c>
      <c r="C1136" s="1039" t="str">
        <f t="shared" si="625"/>
        <v>Mahyudi</v>
      </c>
      <c r="D1136" s="1040" t="str">
        <f t="shared" si="626"/>
        <v>ES-3B</v>
      </c>
      <c r="E1136" s="1041">
        <f t="shared" si="627"/>
        <v>2018</v>
      </c>
      <c r="F1136" s="1040" t="str">
        <f t="shared" si="628"/>
        <v>LULUS</v>
      </c>
      <c r="G1136" s="1041">
        <f t="shared" si="629"/>
        <v>839218032</v>
      </c>
      <c r="H1136" s="1042">
        <f t="shared" si="623"/>
        <v>0</v>
      </c>
      <c r="I1136" s="1042">
        <f t="shared" si="624"/>
        <v>0</v>
      </c>
      <c r="J1136" s="1042">
        <f t="shared" si="622"/>
        <v>0</v>
      </c>
      <c r="L1136" s="1060">
        <f t="shared" si="621"/>
        <v>0</v>
      </c>
      <c r="M1136" s="1060">
        <f t="shared" si="630"/>
        <v>1</v>
      </c>
      <c r="N1136" s="1060">
        <f t="shared" si="631"/>
        <v>0</v>
      </c>
      <c r="O1136" s="1060">
        <f t="shared" si="632"/>
        <v>0</v>
      </c>
      <c r="P1136" s="1060">
        <f t="shared" si="633"/>
        <v>0</v>
      </c>
    </row>
    <row r="1137" spans="1:16" x14ac:dyDescent="0.25">
      <c r="A1137" s="1039">
        <v>1539</v>
      </c>
      <c r="B1137" s="1039">
        <f t="shared" si="611"/>
        <v>42</v>
      </c>
      <c r="C1137" s="1039" t="str">
        <f t="shared" si="625"/>
        <v xml:space="preserve">Sri Yuniati </v>
      </c>
      <c r="D1137" s="1040" t="str">
        <f t="shared" si="626"/>
        <v>ES-3C</v>
      </c>
      <c r="E1137" s="1041">
        <f t="shared" si="627"/>
        <v>2018</v>
      </c>
      <c r="F1137" s="1040" t="str">
        <f t="shared" si="628"/>
        <v>AKTIF</v>
      </c>
      <c r="G1137" s="1041">
        <f t="shared" si="629"/>
        <v>839218033</v>
      </c>
      <c r="H1137" s="1042">
        <f t="shared" si="623"/>
        <v>6450000</v>
      </c>
      <c r="I1137" s="1042">
        <f t="shared" si="624"/>
        <v>3750000</v>
      </c>
      <c r="J1137" s="1042">
        <f t="shared" si="622"/>
        <v>10200000</v>
      </c>
      <c r="L1137" s="1060">
        <f t="shared" si="621"/>
        <v>1</v>
      </c>
      <c r="M1137" s="1060">
        <f t="shared" si="630"/>
        <v>0</v>
      </c>
      <c r="N1137" s="1060">
        <f t="shared" si="631"/>
        <v>0</v>
      </c>
      <c r="O1137" s="1060">
        <f t="shared" si="632"/>
        <v>0</v>
      </c>
      <c r="P1137" s="1060">
        <f t="shared" si="633"/>
        <v>0</v>
      </c>
    </row>
    <row r="1138" spans="1:16" x14ac:dyDescent="0.25">
      <c r="A1138" s="1039">
        <v>1540</v>
      </c>
      <c r="B1138" s="1039">
        <f t="shared" si="611"/>
        <v>43</v>
      </c>
      <c r="C1138" s="1039" t="str">
        <f t="shared" si="625"/>
        <v>Nor Khalis</v>
      </c>
      <c r="D1138" s="1040" t="str">
        <f t="shared" si="626"/>
        <v>ES-3C</v>
      </c>
      <c r="E1138" s="1041">
        <f t="shared" si="627"/>
        <v>2018</v>
      </c>
      <c r="F1138" s="1040" t="str">
        <f t="shared" si="628"/>
        <v>CUTI</v>
      </c>
      <c r="G1138" s="1041">
        <f t="shared" si="629"/>
        <v>839218035</v>
      </c>
      <c r="H1138" s="1042">
        <f t="shared" si="623"/>
        <v>3000000</v>
      </c>
      <c r="I1138" s="1042">
        <f t="shared" si="624"/>
        <v>3000000</v>
      </c>
      <c r="J1138" s="1042">
        <f t="shared" si="622"/>
        <v>6000000</v>
      </c>
      <c r="L1138" s="1060">
        <f t="shared" si="621"/>
        <v>0</v>
      </c>
      <c r="M1138" s="1060">
        <f t="shared" si="630"/>
        <v>0</v>
      </c>
      <c r="N1138" s="1060">
        <f t="shared" si="631"/>
        <v>1</v>
      </c>
      <c r="O1138" s="1060">
        <f t="shared" si="632"/>
        <v>0</v>
      </c>
      <c r="P1138" s="1060">
        <f t="shared" si="633"/>
        <v>0</v>
      </c>
    </row>
    <row r="1139" spans="1:16" x14ac:dyDescent="0.25">
      <c r="A1139" s="1039">
        <v>1541</v>
      </c>
      <c r="B1139" s="1039">
        <f t="shared" si="611"/>
        <v>44</v>
      </c>
      <c r="C1139" s="1039" t="str">
        <f t="shared" si="625"/>
        <v>Basriyanto</v>
      </c>
      <c r="D1139" s="1040" t="str">
        <f t="shared" si="626"/>
        <v>ES-3C</v>
      </c>
      <c r="E1139" s="1041">
        <f t="shared" si="627"/>
        <v>2018</v>
      </c>
      <c r="F1139" s="1040" t="str">
        <f t="shared" si="628"/>
        <v>AKTIF</v>
      </c>
      <c r="G1139" s="1041">
        <f t="shared" si="629"/>
        <v>839218036</v>
      </c>
      <c r="H1139" s="1042">
        <f t="shared" si="623"/>
        <v>6450000</v>
      </c>
      <c r="I1139" s="1042">
        <f t="shared" si="624"/>
        <v>3750000</v>
      </c>
      <c r="J1139" s="1042">
        <f t="shared" si="622"/>
        <v>10200000</v>
      </c>
      <c r="L1139" s="1060">
        <f t="shared" si="621"/>
        <v>1</v>
      </c>
      <c r="M1139" s="1060">
        <f t="shared" si="630"/>
        <v>0</v>
      </c>
      <c r="N1139" s="1060">
        <f t="shared" si="631"/>
        <v>0</v>
      </c>
      <c r="O1139" s="1060">
        <f t="shared" si="632"/>
        <v>0</v>
      </c>
      <c r="P1139" s="1060">
        <f t="shared" si="633"/>
        <v>0</v>
      </c>
    </row>
    <row r="1140" spans="1:16" x14ac:dyDescent="0.25">
      <c r="A1140" s="1039">
        <v>1542</v>
      </c>
      <c r="B1140" s="1039">
        <f t="shared" si="611"/>
        <v>45</v>
      </c>
      <c r="C1140" s="1039" t="str">
        <f t="shared" si="625"/>
        <v>Imam Muslih</v>
      </c>
      <c r="D1140" s="1040" t="str">
        <f t="shared" si="626"/>
        <v>ES-3C</v>
      </c>
      <c r="E1140" s="1041">
        <f t="shared" si="627"/>
        <v>2018</v>
      </c>
      <c r="F1140" s="1040" t="str">
        <f t="shared" si="628"/>
        <v>LULUS</v>
      </c>
      <c r="G1140" s="1041">
        <f t="shared" si="629"/>
        <v>839218041</v>
      </c>
      <c r="H1140" s="1042">
        <f t="shared" si="623"/>
        <v>0</v>
      </c>
      <c r="I1140" s="1042">
        <f t="shared" si="624"/>
        <v>0</v>
      </c>
      <c r="J1140" s="1042">
        <f t="shared" si="622"/>
        <v>0</v>
      </c>
      <c r="L1140" s="1060">
        <f t="shared" si="621"/>
        <v>0</v>
      </c>
      <c r="M1140" s="1060">
        <f t="shared" si="630"/>
        <v>1</v>
      </c>
      <c r="N1140" s="1060">
        <f t="shared" si="631"/>
        <v>0</v>
      </c>
      <c r="O1140" s="1060">
        <f t="shared" si="632"/>
        <v>0</v>
      </c>
      <c r="P1140" s="1060">
        <f t="shared" si="633"/>
        <v>0</v>
      </c>
    </row>
    <row r="1141" spans="1:16" x14ac:dyDescent="0.25">
      <c r="A1141" s="1039">
        <v>1543</v>
      </c>
      <c r="B1141" s="1039">
        <f t="shared" si="611"/>
        <v>46</v>
      </c>
      <c r="C1141" s="1039" t="str">
        <f t="shared" si="625"/>
        <v>Nur Hakim.</v>
      </c>
      <c r="D1141" s="1040" t="str">
        <f t="shared" si="626"/>
        <v>ES-3C</v>
      </c>
      <c r="E1141" s="1041">
        <f t="shared" si="627"/>
        <v>2018</v>
      </c>
      <c r="F1141" s="1040" t="str">
        <f t="shared" si="628"/>
        <v>LULUS</v>
      </c>
      <c r="G1141" s="1041">
        <f t="shared" si="629"/>
        <v>839218043</v>
      </c>
      <c r="H1141" s="1042">
        <f t="shared" si="623"/>
        <v>0</v>
      </c>
      <c r="I1141" s="1042">
        <f t="shared" si="624"/>
        <v>0</v>
      </c>
      <c r="J1141" s="1042">
        <f t="shared" si="622"/>
        <v>0</v>
      </c>
      <c r="L1141" s="1060">
        <f t="shared" si="621"/>
        <v>0</v>
      </c>
      <c r="M1141" s="1060">
        <f t="shared" si="630"/>
        <v>1</v>
      </c>
      <c r="N1141" s="1060">
        <f t="shared" si="631"/>
        <v>0</v>
      </c>
      <c r="O1141" s="1060">
        <f t="shared" si="632"/>
        <v>0</v>
      </c>
      <c r="P1141" s="1060">
        <f t="shared" si="633"/>
        <v>0</v>
      </c>
    </row>
    <row r="1142" spans="1:16" x14ac:dyDescent="0.25">
      <c r="A1142" s="1039">
        <v>1544</v>
      </c>
      <c r="B1142" s="1039">
        <f t="shared" si="611"/>
        <v>47</v>
      </c>
      <c r="C1142" s="1039" t="str">
        <f t="shared" si="625"/>
        <v>Andika</v>
      </c>
      <c r="D1142" s="1040" t="str">
        <f t="shared" si="626"/>
        <v>ES-3C</v>
      </c>
      <c r="E1142" s="1041">
        <f t="shared" si="627"/>
        <v>2018</v>
      </c>
      <c r="F1142" s="1040" t="str">
        <f t="shared" si="628"/>
        <v>AKTIF</v>
      </c>
      <c r="G1142" s="1041">
        <f t="shared" si="629"/>
        <v>839218044</v>
      </c>
      <c r="H1142" s="1042">
        <f t="shared" si="623"/>
        <v>6450000</v>
      </c>
      <c r="I1142" s="1042">
        <f t="shared" si="624"/>
        <v>3750000</v>
      </c>
      <c r="J1142" s="1042">
        <f t="shared" si="622"/>
        <v>10200000</v>
      </c>
      <c r="L1142" s="1060">
        <f t="shared" si="621"/>
        <v>1</v>
      </c>
      <c r="M1142" s="1060">
        <f t="shared" si="630"/>
        <v>0</v>
      </c>
      <c r="N1142" s="1060">
        <f t="shared" si="631"/>
        <v>0</v>
      </c>
      <c r="O1142" s="1060">
        <f t="shared" si="632"/>
        <v>0</v>
      </c>
      <c r="P1142" s="1060">
        <f t="shared" si="633"/>
        <v>0</v>
      </c>
    </row>
    <row r="1143" spans="1:16" x14ac:dyDescent="0.25">
      <c r="A1143" s="1039">
        <v>1545</v>
      </c>
      <c r="B1143" s="1039">
        <f t="shared" si="611"/>
        <v>48</v>
      </c>
      <c r="C1143" s="1039" t="str">
        <f t="shared" si="625"/>
        <v>M. Ilham Zainullah</v>
      </c>
      <c r="D1143" s="1040" t="str">
        <f t="shared" si="626"/>
        <v>ES-3C</v>
      </c>
      <c r="E1143" s="1041">
        <f t="shared" si="627"/>
        <v>2018</v>
      </c>
      <c r="F1143" s="1040" t="str">
        <f t="shared" si="628"/>
        <v>AKTIF</v>
      </c>
      <c r="G1143" s="1041">
        <f t="shared" si="629"/>
        <v>839218045</v>
      </c>
      <c r="H1143" s="1042">
        <f t="shared" si="623"/>
        <v>6450000</v>
      </c>
      <c r="I1143" s="1042">
        <f t="shared" si="624"/>
        <v>3750000</v>
      </c>
      <c r="J1143" s="1042">
        <f t="shared" si="622"/>
        <v>10200000</v>
      </c>
      <c r="L1143" s="1060">
        <f t="shared" si="621"/>
        <v>1</v>
      </c>
      <c r="M1143" s="1060">
        <f t="shared" si="630"/>
        <v>0</v>
      </c>
      <c r="N1143" s="1060">
        <f t="shared" si="631"/>
        <v>0</v>
      </c>
      <c r="O1143" s="1060">
        <f t="shared" si="632"/>
        <v>0</v>
      </c>
      <c r="P1143" s="1060">
        <f t="shared" si="633"/>
        <v>0</v>
      </c>
    </row>
    <row r="1144" spans="1:16" x14ac:dyDescent="0.25">
      <c r="A1144" s="1039">
        <v>1546</v>
      </c>
      <c r="B1144" s="1039">
        <f t="shared" si="611"/>
        <v>49</v>
      </c>
      <c r="C1144" s="1039" t="str">
        <f t="shared" si="625"/>
        <v>Moh. Yanuar Rifky</v>
      </c>
      <c r="D1144" s="1040" t="str">
        <f t="shared" si="626"/>
        <v>ES-3C</v>
      </c>
      <c r="E1144" s="1041">
        <f t="shared" si="627"/>
        <v>2018</v>
      </c>
      <c r="F1144" s="1040" t="str">
        <f t="shared" si="628"/>
        <v>AKTIF</v>
      </c>
      <c r="G1144" s="1041">
        <f t="shared" si="629"/>
        <v>839218046</v>
      </c>
      <c r="H1144" s="1042">
        <f t="shared" si="623"/>
        <v>6450000</v>
      </c>
      <c r="I1144" s="1042">
        <f t="shared" si="624"/>
        <v>3750000</v>
      </c>
      <c r="J1144" s="1042">
        <f t="shared" si="622"/>
        <v>10200000</v>
      </c>
      <c r="L1144" s="1060">
        <f t="shared" si="621"/>
        <v>1</v>
      </c>
      <c r="M1144" s="1060">
        <f t="shared" si="630"/>
        <v>0</v>
      </c>
      <c r="N1144" s="1060">
        <f t="shared" si="631"/>
        <v>0</v>
      </c>
      <c r="O1144" s="1060">
        <f t="shared" si="632"/>
        <v>0</v>
      </c>
      <c r="P1144" s="1060">
        <f t="shared" si="633"/>
        <v>0</v>
      </c>
    </row>
    <row r="1145" spans="1:16" x14ac:dyDescent="0.25">
      <c r="A1145" s="1039">
        <v>1547</v>
      </c>
      <c r="B1145" s="1039">
        <f t="shared" si="611"/>
        <v>50</v>
      </c>
      <c r="C1145" s="1039" t="str">
        <f t="shared" si="625"/>
        <v>Alimuddin</v>
      </c>
      <c r="D1145" s="1040" t="str">
        <f t="shared" si="626"/>
        <v>ES-3C</v>
      </c>
      <c r="E1145" s="1041">
        <f t="shared" si="627"/>
        <v>2018</v>
      </c>
      <c r="F1145" s="1040" t="str">
        <f t="shared" si="628"/>
        <v>CUTI</v>
      </c>
      <c r="G1145" s="1041">
        <f t="shared" si="629"/>
        <v>839218047</v>
      </c>
      <c r="H1145" s="1042">
        <f t="shared" si="623"/>
        <v>3000000</v>
      </c>
      <c r="I1145" s="1042">
        <f t="shared" si="624"/>
        <v>3000000</v>
      </c>
      <c r="J1145" s="1042">
        <f t="shared" si="622"/>
        <v>6000000</v>
      </c>
      <c r="L1145" s="1060">
        <f t="shared" si="621"/>
        <v>0</v>
      </c>
      <c r="M1145" s="1060">
        <f t="shared" si="630"/>
        <v>0</v>
      </c>
      <c r="N1145" s="1060">
        <f t="shared" si="631"/>
        <v>1</v>
      </c>
      <c r="O1145" s="1060">
        <f t="shared" si="632"/>
        <v>0</v>
      </c>
      <c r="P1145" s="1060">
        <f t="shared" si="633"/>
        <v>0</v>
      </c>
    </row>
    <row r="1146" spans="1:16" x14ac:dyDescent="0.25">
      <c r="A1146" s="1039">
        <v>1548</v>
      </c>
      <c r="B1146" s="1039">
        <f t="shared" ref="B1146:B1147" si="634">IFERROR(VLOOKUP(A1146,DB,2,FALSE),"")</f>
        <v>51</v>
      </c>
      <c r="C1146" s="1039" t="str">
        <f t="shared" si="625"/>
        <v>M. Isbullah</v>
      </c>
      <c r="D1146" s="1040" t="str">
        <f t="shared" si="626"/>
        <v>ES-3C</v>
      </c>
      <c r="E1146" s="1041">
        <f t="shared" si="627"/>
        <v>2018</v>
      </c>
      <c r="F1146" s="1040" t="str">
        <f t="shared" si="628"/>
        <v>CUTI</v>
      </c>
      <c r="G1146" s="1041">
        <f t="shared" si="629"/>
        <v>839218048</v>
      </c>
      <c r="H1146" s="1042">
        <f t="shared" ref="H1146:H1147" si="635">IF(F1146="AKTIF",6450000,IF(F1146="CUTI",3000000,0))</f>
        <v>3000000</v>
      </c>
      <c r="I1146" s="1042">
        <f t="shared" ref="I1146:I1147" si="636">IF(F1146="AKTIF",3750000,IF(F1146="CUTI",3000000,0))</f>
        <v>3000000</v>
      </c>
      <c r="J1146" s="1042">
        <f t="shared" ref="J1146:J1147" si="637">I1146+H1146</f>
        <v>6000000</v>
      </c>
      <c r="L1146" s="1060">
        <f t="shared" ref="L1146:L1147" si="638">IF(F1146="AKTIF",1,0)</f>
        <v>0</v>
      </c>
      <c r="M1146" s="1060">
        <f t="shared" ref="M1146:M1147" si="639">IF(F1146="LULUS",1,0)</f>
        <v>0</v>
      </c>
      <c r="N1146" s="1060">
        <f t="shared" ref="N1146:N1147" si="640">IF(F1146="CUTI",1,0)</f>
        <v>1</v>
      </c>
      <c r="O1146" s="1060">
        <f t="shared" ref="O1146:O1147" si="641">IF(F1146="DROP OUT",1,0)</f>
        <v>0</v>
      </c>
      <c r="P1146" s="1060">
        <f t="shared" ref="P1146:P1147" si="642">IF(F1146="PASIF",1,0)</f>
        <v>0</v>
      </c>
    </row>
    <row r="1147" spans="1:16" x14ac:dyDescent="0.25">
      <c r="A1147" s="1039">
        <v>1549</v>
      </c>
      <c r="B1147" s="1039">
        <f t="shared" si="634"/>
        <v>52</v>
      </c>
      <c r="C1147" s="1039" t="str">
        <f t="shared" si="625"/>
        <v>Ahmad Bisri</v>
      </c>
      <c r="D1147" s="1040" t="str">
        <f t="shared" si="626"/>
        <v>ES-3C</v>
      </c>
      <c r="E1147" s="1041">
        <f t="shared" si="627"/>
        <v>2018</v>
      </c>
      <c r="F1147" s="1040" t="str">
        <f t="shared" si="628"/>
        <v>CUTI</v>
      </c>
      <c r="G1147" s="1041">
        <f t="shared" si="629"/>
        <v>839218049</v>
      </c>
      <c r="H1147" s="1042">
        <f t="shared" si="635"/>
        <v>3000000</v>
      </c>
      <c r="I1147" s="1042">
        <f t="shared" si="636"/>
        <v>3000000</v>
      </c>
      <c r="J1147" s="1042">
        <f t="shared" si="637"/>
        <v>6000000</v>
      </c>
      <c r="L1147" s="1060">
        <f t="shared" si="638"/>
        <v>0</v>
      </c>
      <c r="M1147" s="1060">
        <f t="shared" si="639"/>
        <v>0</v>
      </c>
      <c r="N1147" s="1060">
        <f t="shared" si="640"/>
        <v>1</v>
      </c>
      <c r="O1147" s="1060">
        <f t="shared" si="641"/>
        <v>0</v>
      </c>
      <c r="P1147" s="1060">
        <f t="shared" si="642"/>
        <v>0</v>
      </c>
    </row>
    <row r="1148" spans="1:16" x14ac:dyDescent="0.25">
      <c r="A1148" s="1039">
        <v>1550</v>
      </c>
      <c r="B1148" s="1039">
        <f t="shared" si="611"/>
        <v>53</v>
      </c>
      <c r="C1148" s="1039" t="str">
        <f t="shared" si="625"/>
        <v>AINUL YAQIN</v>
      </c>
      <c r="D1148" s="1040" t="str">
        <f t="shared" si="626"/>
        <v>ES-3C</v>
      </c>
      <c r="E1148" s="1041">
        <f t="shared" si="627"/>
        <v>2018</v>
      </c>
      <c r="F1148" s="1040" t="str">
        <f t="shared" si="628"/>
        <v>PASIF</v>
      </c>
      <c r="G1148" s="1041">
        <f t="shared" si="629"/>
        <v>839218054</v>
      </c>
      <c r="H1148" s="1042">
        <f t="shared" si="623"/>
        <v>0</v>
      </c>
      <c r="I1148" s="1042">
        <f t="shared" si="624"/>
        <v>0</v>
      </c>
      <c r="J1148" s="1042">
        <f t="shared" si="622"/>
        <v>0</v>
      </c>
      <c r="L1148" s="1060">
        <f t="shared" si="621"/>
        <v>0</v>
      </c>
      <c r="M1148" s="1060">
        <f t="shared" si="630"/>
        <v>0</v>
      </c>
      <c r="N1148" s="1060">
        <f t="shared" si="631"/>
        <v>0</v>
      </c>
      <c r="O1148" s="1060">
        <f t="shared" si="632"/>
        <v>0</v>
      </c>
      <c r="P1148" s="1060">
        <f t="shared" si="633"/>
        <v>1</v>
      </c>
    </row>
    <row r="1149" spans="1:16" x14ac:dyDescent="0.25">
      <c r="A1149" s="1039">
        <v>1551</v>
      </c>
      <c r="B1149" s="1039">
        <f t="shared" si="611"/>
        <v>54</v>
      </c>
      <c r="C1149" s="1039" t="str">
        <f t="shared" si="625"/>
        <v>SUWARNO</v>
      </c>
      <c r="D1149" s="1040" t="str">
        <f t="shared" si="626"/>
        <v>ES-3C</v>
      </c>
      <c r="E1149" s="1041">
        <f t="shared" si="627"/>
        <v>2018</v>
      </c>
      <c r="F1149" s="1040" t="str">
        <f t="shared" si="628"/>
        <v>PASIF</v>
      </c>
      <c r="G1149" s="1041">
        <f t="shared" si="629"/>
        <v>839218055</v>
      </c>
      <c r="H1149" s="1042">
        <f t="shared" si="623"/>
        <v>0</v>
      </c>
      <c r="I1149" s="1042">
        <f t="shared" si="624"/>
        <v>0</v>
      </c>
      <c r="J1149" s="1042">
        <f t="shared" si="622"/>
        <v>0</v>
      </c>
      <c r="L1149" s="1060">
        <f t="shared" si="621"/>
        <v>0</v>
      </c>
      <c r="M1149" s="1060">
        <f t="shared" si="630"/>
        <v>0</v>
      </c>
      <c r="N1149" s="1060">
        <f t="shared" si="631"/>
        <v>0</v>
      </c>
      <c r="O1149" s="1060">
        <f t="shared" si="632"/>
        <v>0</v>
      </c>
      <c r="P1149" s="1060">
        <f t="shared" si="633"/>
        <v>1</v>
      </c>
    </row>
    <row r="1150" spans="1:16" x14ac:dyDescent="0.25">
      <c r="A1150" s="1039"/>
      <c r="B1150" s="1039"/>
      <c r="C1150" s="1039"/>
      <c r="D1150" s="1040"/>
      <c r="E1150" s="1041"/>
      <c r="F1150" s="1040"/>
      <c r="G1150" s="1041"/>
      <c r="H1150" s="1042"/>
      <c r="K1150" s="752"/>
    </row>
    <row r="1151" spans="1:16" x14ac:dyDescent="0.25">
      <c r="A1151" s="1039"/>
      <c r="B1151" s="1039"/>
      <c r="C1151" s="1039"/>
      <c r="D1151" s="1040"/>
      <c r="E1151" s="1041"/>
      <c r="F1151" s="1040"/>
      <c r="G1151" s="1041"/>
      <c r="H1151" s="1042"/>
      <c r="K1151" s="752"/>
    </row>
    <row r="1152" spans="1:16" x14ac:dyDescent="0.25">
      <c r="A1152" s="1076" t="str">
        <f>'Rekap SPP'!A1678</f>
        <v>S2-PBA 2018/2019</v>
      </c>
      <c r="B1152" s="1077"/>
      <c r="C1152" s="1077"/>
      <c r="D1152" s="1033" t="s">
        <v>3</v>
      </c>
      <c r="E1152" s="1032" t="s">
        <v>4</v>
      </c>
      <c r="F1152" s="1033" t="s">
        <v>3195</v>
      </c>
      <c r="G1152" s="1032" t="s">
        <v>1</v>
      </c>
      <c r="H1152" s="1033" t="s">
        <v>3362</v>
      </c>
      <c r="I1152" s="1033" t="s">
        <v>3341</v>
      </c>
      <c r="J1152" s="1062">
        <f>SUM(J1153:J1165)</f>
        <v>83400000</v>
      </c>
      <c r="K1152" s="752"/>
      <c r="L1152" s="1063">
        <f>SUM(L1153:L1165)</f>
        <v>7</v>
      </c>
      <c r="M1152" s="1063">
        <f>SUM(M1153:M1165)</f>
        <v>0</v>
      </c>
      <c r="N1152" s="1063">
        <f>SUM(N1153:N1165)</f>
        <v>2</v>
      </c>
      <c r="O1152" s="1063">
        <f>SUM(O1153:O1165)</f>
        <v>0</v>
      </c>
      <c r="P1152" s="1063">
        <f>SUM(P1153:P1165)</f>
        <v>4</v>
      </c>
    </row>
    <row r="1153" spans="1:16" x14ac:dyDescent="0.25">
      <c r="A1153" s="1039">
        <v>1552</v>
      </c>
      <c r="B1153" s="1039">
        <f t="shared" si="611"/>
        <v>1</v>
      </c>
      <c r="C1153" s="1039" t="str">
        <f t="shared" ref="C1153:C1165" si="643">IFERROR(VLOOKUP(A1153,DB,4,FALSE),"")</f>
        <v>Zulfa Mukarromah</v>
      </c>
      <c r="D1153" s="1040" t="str">
        <f t="shared" ref="D1153:D1165" si="644">IFERROR(VLOOKUP(A1153,DB,5,FALSE),"")</f>
        <v>PBA-3</v>
      </c>
      <c r="E1153" s="1041">
        <f t="shared" ref="E1153:E1165" si="645">IFERROR(VLOOKUP(A1153,DB,6,FALSE),"")</f>
        <v>2018</v>
      </c>
      <c r="F1153" s="1040" t="str">
        <f t="shared" ref="F1153:F1165" si="646">IFERROR(VLOOKUP(A1153,DB,7,FALSE),"")</f>
        <v>AKTIF</v>
      </c>
      <c r="G1153" s="1041">
        <f t="shared" ref="G1153:G1165" si="647">IFERROR(VLOOKUP(A1153,DB,3,FALSE),"")</f>
        <v>849218001</v>
      </c>
      <c r="H1153" s="1042">
        <f t="shared" si="623"/>
        <v>6450000</v>
      </c>
      <c r="I1153" s="1042">
        <f t="shared" si="624"/>
        <v>3750000</v>
      </c>
      <c r="J1153" s="1042">
        <f t="shared" si="622"/>
        <v>10200000</v>
      </c>
      <c r="L1153" s="1060">
        <f>IF(F1153="AKTIF",1,0)</f>
        <v>1</v>
      </c>
      <c r="M1153" s="1060">
        <f t="shared" ref="M1153:M1165" si="648">IF(F1153="LULUS",1,0)</f>
        <v>0</v>
      </c>
      <c r="N1153" s="1060">
        <f t="shared" ref="N1153:N1165" si="649">IF(F1153="CUTI",1,0)</f>
        <v>0</v>
      </c>
      <c r="O1153" s="1060">
        <f t="shared" ref="O1153:O1165" si="650">IF(F1153="DROP OUT",1,0)</f>
        <v>0</v>
      </c>
      <c r="P1153" s="1060">
        <f t="shared" ref="P1153:P1165" si="651">IF(F1153="PASIF",1,0)</f>
        <v>0</v>
      </c>
    </row>
    <row r="1154" spans="1:16" x14ac:dyDescent="0.25">
      <c r="A1154" s="1039">
        <v>1553</v>
      </c>
      <c r="B1154" s="1039">
        <f t="shared" si="611"/>
        <v>2</v>
      </c>
      <c r="C1154" s="1039" t="str">
        <f t="shared" si="643"/>
        <v>Muhammad Haekal Abdun</v>
      </c>
      <c r="D1154" s="1040" t="str">
        <f t="shared" si="644"/>
        <v>PBA-3</v>
      </c>
      <c r="E1154" s="1041">
        <f t="shared" si="645"/>
        <v>2018</v>
      </c>
      <c r="F1154" s="1040" t="str">
        <f t="shared" si="646"/>
        <v>AKTIF</v>
      </c>
      <c r="G1154" s="1041">
        <f t="shared" si="647"/>
        <v>849218002</v>
      </c>
      <c r="H1154" s="1042">
        <f t="shared" si="623"/>
        <v>6450000</v>
      </c>
      <c r="I1154" s="1042">
        <f t="shared" si="624"/>
        <v>3750000</v>
      </c>
      <c r="J1154" s="1042">
        <f t="shared" si="622"/>
        <v>10200000</v>
      </c>
      <c r="L1154" s="1060">
        <f t="shared" ref="L1154:L1165" si="652">IF(F1154="AKTIF",1,0)</f>
        <v>1</v>
      </c>
      <c r="M1154" s="1060">
        <f t="shared" si="648"/>
        <v>0</v>
      </c>
      <c r="N1154" s="1060">
        <f t="shared" si="649"/>
        <v>0</v>
      </c>
      <c r="O1154" s="1060">
        <f t="shared" si="650"/>
        <v>0</v>
      </c>
      <c r="P1154" s="1060">
        <f t="shared" si="651"/>
        <v>0</v>
      </c>
    </row>
    <row r="1155" spans="1:16" x14ac:dyDescent="0.25">
      <c r="A1155" s="1039">
        <v>1554</v>
      </c>
      <c r="B1155" s="1039">
        <f t="shared" si="611"/>
        <v>3</v>
      </c>
      <c r="C1155" s="1039" t="str">
        <f t="shared" si="643"/>
        <v>Endang Oktavia Arida</v>
      </c>
      <c r="D1155" s="1040" t="str">
        <f t="shared" si="644"/>
        <v>PBA-3</v>
      </c>
      <c r="E1155" s="1041">
        <f t="shared" si="645"/>
        <v>2018</v>
      </c>
      <c r="F1155" s="1040" t="str">
        <f t="shared" si="646"/>
        <v>CUTI</v>
      </c>
      <c r="G1155" s="1041">
        <f t="shared" si="647"/>
        <v>849218004</v>
      </c>
      <c r="H1155" s="1042">
        <f t="shared" si="623"/>
        <v>3000000</v>
      </c>
      <c r="I1155" s="1042">
        <f t="shared" si="624"/>
        <v>3000000</v>
      </c>
      <c r="J1155" s="1042">
        <f t="shared" si="622"/>
        <v>6000000</v>
      </c>
      <c r="L1155" s="1060">
        <f t="shared" si="652"/>
        <v>0</v>
      </c>
      <c r="M1155" s="1060">
        <f t="shared" si="648"/>
        <v>0</v>
      </c>
      <c r="N1155" s="1060">
        <f t="shared" si="649"/>
        <v>1</v>
      </c>
      <c r="O1155" s="1060">
        <f t="shared" si="650"/>
        <v>0</v>
      </c>
      <c r="P1155" s="1060">
        <f t="shared" si="651"/>
        <v>0</v>
      </c>
    </row>
    <row r="1156" spans="1:16" x14ac:dyDescent="0.25">
      <c r="A1156" s="1039">
        <v>1555</v>
      </c>
      <c r="B1156" s="1039">
        <f t="shared" si="611"/>
        <v>4</v>
      </c>
      <c r="C1156" s="1039" t="str">
        <f t="shared" si="643"/>
        <v>Kholil Imam</v>
      </c>
      <c r="D1156" s="1040" t="str">
        <f t="shared" si="644"/>
        <v>PBA-3</v>
      </c>
      <c r="E1156" s="1041">
        <f t="shared" si="645"/>
        <v>2018</v>
      </c>
      <c r="F1156" s="1040" t="str">
        <f t="shared" si="646"/>
        <v>AKTIF</v>
      </c>
      <c r="G1156" s="1041">
        <f t="shared" si="647"/>
        <v>849218005</v>
      </c>
      <c r="H1156" s="1042">
        <f t="shared" si="623"/>
        <v>6450000</v>
      </c>
      <c r="I1156" s="1042">
        <f t="shared" si="624"/>
        <v>3750000</v>
      </c>
      <c r="J1156" s="1042">
        <f t="shared" si="622"/>
        <v>10200000</v>
      </c>
      <c r="L1156" s="1060">
        <f t="shared" si="652"/>
        <v>1</v>
      </c>
      <c r="M1156" s="1060">
        <f t="shared" si="648"/>
        <v>0</v>
      </c>
      <c r="N1156" s="1060">
        <f t="shared" si="649"/>
        <v>0</v>
      </c>
      <c r="O1156" s="1060">
        <f t="shared" si="650"/>
        <v>0</v>
      </c>
      <c r="P1156" s="1060">
        <f t="shared" si="651"/>
        <v>0</v>
      </c>
    </row>
    <row r="1157" spans="1:16" x14ac:dyDescent="0.25">
      <c r="A1157" s="1039">
        <v>1556</v>
      </c>
      <c r="B1157" s="1039">
        <f t="shared" si="611"/>
        <v>5</v>
      </c>
      <c r="C1157" s="1039" t="str">
        <f t="shared" si="643"/>
        <v>Qurrotul Aini</v>
      </c>
      <c r="D1157" s="1040" t="str">
        <f t="shared" si="644"/>
        <v>PBA-3</v>
      </c>
      <c r="E1157" s="1041">
        <f t="shared" si="645"/>
        <v>2018</v>
      </c>
      <c r="F1157" s="1040" t="str">
        <f t="shared" si="646"/>
        <v>CUTI</v>
      </c>
      <c r="G1157" s="1041">
        <f t="shared" si="647"/>
        <v>849218006</v>
      </c>
      <c r="H1157" s="1042">
        <f t="shared" si="623"/>
        <v>3000000</v>
      </c>
      <c r="I1157" s="1042">
        <f t="shared" si="624"/>
        <v>3000000</v>
      </c>
      <c r="J1157" s="1042">
        <f t="shared" si="622"/>
        <v>6000000</v>
      </c>
      <c r="L1157" s="1060">
        <f t="shared" si="652"/>
        <v>0</v>
      </c>
      <c r="M1157" s="1060">
        <f t="shared" si="648"/>
        <v>0</v>
      </c>
      <c r="N1157" s="1060">
        <f t="shared" si="649"/>
        <v>1</v>
      </c>
      <c r="O1157" s="1060">
        <f t="shared" si="650"/>
        <v>0</v>
      </c>
      <c r="P1157" s="1060">
        <f t="shared" si="651"/>
        <v>0</v>
      </c>
    </row>
    <row r="1158" spans="1:16" x14ac:dyDescent="0.25">
      <c r="A1158" s="1039">
        <v>1557</v>
      </c>
      <c r="B1158" s="1039">
        <f t="shared" si="611"/>
        <v>6</v>
      </c>
      <c r="C1158" s="1039" t="str">
        <f t="shared" si="643"/>
        <v>Zainur Roziqin</v>
      </c>
      <c r="D1158" s="1040" t="str">
        <f t="shared" si="644"/>
        <v>PBA-3</v>
      </c>
      <c r="E1158" s="1041">
        <f t="shared" si="645"/>
        <v>2018</v>
      </c>
      <c r="F1158" s="1040" t="str">
        <f t="shared" si="646"/>
        <v>PASIF</v>
      </c>
      <c r="G1158" s="1041">
        <f t="shared" si="647"/>
        <v>849218007</v>
      </c>
      <c r="H1158" s="1042">
        <f t="shared" si="623"/>
        <v>0</v>
      </c>
      <c r="I1158" s="1042">
        <f t="shared" si="624"/>
        <v>0</v>
      </c>
      <c r="J1158" s="1042">
        <f t="shared" si="622"/>
        <v>0</v>
      </c>
      <c r="L1158" s="1060">
        <f t="shared" si="652"/>
        <v>0</v>
      </c>
      <c r="M1158" s="1060">
        <f t="shared" si="648"/>
        <v>0</v>
      </c>
      <c r="N1158" s="1060">
        <f t="shared" si="649"/>
        <v>0</v>
      </c>
      <c r="O1158" s="1060">
        <f t="shared" si="650"/>
        <v>0</v>
      </c>
      <c r="P1158" s="1060">
        <f t="shared" si="651"/>
        <v>1</v>
      </c>
    </row>
    <row r="1159" spans="1:16" x14ac:dyDescent="0.25">
      <c r="A1159" s="1039">
        <v>1558</v>
      </c>
      <c r="B1159" s="1039">
        <f t="shared" si="611"/>
        <v>7</v>
      </c>
      <c r="C1159" s="1039" t="str">
        <f t="shared" si="643"/>
        <v>Yusri</v>
      </c>
      <c r="D1159" s="1040" t="str">
        <f t="shared" si="644"/>
        <v>PBA-3</v>
      </c>
      <c r="E1159" s="1041">
        <f t="shared" si="645"/>
        <v>2018</v>
      </c>
      <c r="F1159" s="1040" t="str">
        <f t="shared" si="646"/>
        <v>AKTIF</v>
      </c>
      <c r="G1159" s="1041">
        <f t="shared" si="647"/>
        <v>849218008</v>
      </c>
      <c r="H1159" s="1042">
        <f t="shared" si="623"/>
        <v>6450000</v>
      </c>
      <c r="I1159" s="1042">
        <f t="shared" si="624"/>
        <v>3750000</v>
      </c>
      <c r="J1159" s="1042">
        <f t="shared" si="622"/>
        <v>10200000</v>
      </c>
      <c r="L1159" s="1060">
        <f t="shared" si="652"/>
        <v>1</v>
      </c>
      <c r="M1159" s="1060">
        <f t="shared" si="648"/>
        <v>0</v>
      </c>
      <c r="N1159" s="1060">
        <f t="shared" si="649"/>
        <v>0</v>
      </c>
      <c r="O1159" s="1060">
        <f t="shared" si="650"/>
        <v>0</v>
      </c>
      <c r="P1159" s="1060">
        <f t="shared" si="651"/>
        <v>0</v>
      </c>
    </row>
    <row r="1160" spans="1:16" x14ac:dyDescent="0.25">
      <c r="A1160" s="1039">
        <v>1559</v>
      </c>
      <c r="B1160" s="1039">
        <f t="shared" si="611"/>
        <v>8</v>
      </c>
      <c r="C1160" s="1039" t="str">
        <f t="shared" si="643"/>
        <v>Muzayyin</v>
      </c>
      <c r="D1160" s="1040" t="str">
        <f t="shared" si="644"/>
        <v>PBA-3</v>
      </c>
      <c r="E1160" s="1041">
        <f t="shared" si="645"/>
        <v>2018</v>
      </c>
      <c r="F1160" s="1040" t="str">
        <f t="shared" si="646"/>
        <v>AKTIF</v>
      </c>
      <c r="G1160" s="1041">
        <f t="shared" si="647"/>
        <v>849218010</v>
      </c>
      <c r="H1160" s="1042">
        <f t="shared" si="623"/>
        <v>6450000</v>
      </c>
      <c r="I1160" s="1042">
        <f t="shared" si="624"/>
        <v>3750000</v>
      </c>
      <c r="J1160" s="1042">
        <f t="shared" si="622"/>
        <v>10200000</v>
      </c>
      <c r="L1160" s="1060">
        <f t="shared" si="652"/>
        <v>1</v>
      </c>
      <c r="M1160" s="1060">
        <f t="shared" si="648"/>
        <v>0</v>
      </c>
      <c r="N1160" s="1060">
        <f t="shared" si="649"/>
        <v>0</v>
      </c>
      <c r="O1160" s="1060">
        <f t="shared" si="650"/>
        <v>0</v>
      </c>
      <c r="P1160" s="1060">
        <f t="shared" si="651"/>
        <v>0</v>
      </c>
    </row>
    <row r="1161" spans="1:16" x14ac:dyDescent="0.25">
      <c r="A1161" s="1039">
        <v>1560</v>
      </c>
      <c r="B1161" s="1039">
        <f t="shared" si="611"/>
        <v>9</v>
      </c>
      <c r="C1161" s="1039" t="str">
        <f t="shared" si="643"/>
        <v>Achmad Bastomi</v>
      </c>
      <c r="D1161" s="1040" t="str">
        <f t="shared" si="644"/>
        <v>PBA-3</v>
      </c>
      <c r="E1161" s="1041">
        <f t="shared" si="645"/>
        <v>2018</v>
      </c>
      <c r="F1161" s="1040" t="str">
        <f t="shared" si="646"/>
        <v>AKTIF</v>
      </c>
      <c r="G1161" s="1041">
        <f t="shared" si="647"/>
        <v>849218011</v>
      </c>
      <c r="H1161" s="1042">
        <f t="shared" si="623"/>
        <v>6450000</v>
      </c>
      <c r="I1161" s="1042">
        <f t="shared" si="624"/>
        <v>3750000</v>
      </c>
      <c r="J1161" s="1042">
        <f t="shared" si="622"/>
        <v>10200000</v>
      </c>
      <c r="L1161" s="1060">
        <f t="shared" si="652"/>
        <v>1</v>
      </c>
      <c r="M1161" s="1060">
        <f t="shared" si="648"/>
        <v>0</v>
      </c>
      <c r="N1161" s="1060">
        <f t="shared" si="649"/>
        <v>0</v>
      </c>
      <c r="O1161" s="1060">
        <f t="shared" si="650"/>
        <v>0</v>
      </c>
      <c r="P1161" s="1060">
        <f t="shared" si="651"/>
        <v>0</v>
      </c>
    </row>
    <row r="1162" spans="1:16" x14ac:dyDescent="0.25">
      <c r="A1162" s="1039">
        <v>1561</v>
      </c>
      <c r="B1162" s="1039">
        <f t="shared" si="611"/>
        <v>10</v>
      </c>
      <c r="C1162" s="1039" t="str">
        <f t="shared" si="643"/>
        <v>Anshori</v>
      </c>
      <c r="D1162" s="1040" t="str">
        <f t="shared" si="644"/>
        <v>PBA-3</v>
      </c>
      <c r="E1162" s="1041">
        <f t="shared" si="645"/>
        <v>2018</v>
      </c>
      <c r="F1162" s="1040" t="str">
        <f t="shared" si="646"/>
        <v>PASIF</v>
      </c>
      <c r="G1162" s="1041">
        <f t="shared" si="647"/>
        <v>849218012</v>
      </c>
      <c r="H1162" s="1042">
        <f t="shared" si="623"/>
        <v>0</v>
      </c>
      <c r="I1162" s="1042">
        <f t="shared" si="624"/>
        <v>0</v>
      </c>
      <c r="J1162" s="1042">
        <f t="shared" si="622"/>
        <v>0</v>
      </c>
      <c r="L1162" s="1060">
        <f t="shared" si="652"/>
        <v>0</v>
      </c>
      <c r="M1162" s="1060">
        <f t="shared" si="648"/>
        <v>0</v>
      </c>
      <c r="N1162" s="1060">
        <f t="shared" si="649"/>
        <v>0</v>
      </c>
      <c r="O1162" s="1060">
        <f t="shared" si="650"/>
        <v>0</v>
      </c>
      <c r="P1162" s="1060">
        <f t="shared" si="651"/>
        <v>1</v>
      </c>
    </row>
    <row r="1163" spans="1:16" x14ac:dyDescent="0.25">
      <c r="A1163" s="1039">
        <v>1562</v>
      </c>
      <c r="B1163" s="1039">
        <f t="shared" si="611"/>
        <v>11</v>
      </c>
      <c r="C1163" s="1039" t="str">
        <f t="shared" si="643"/>
        <v>Khoiril Akhbar</v>
      </c>
      <c r="D1163" s="1040" t="str">
        <f t="shared" si="644"/>
        <v>PBA-3</v>
      </c>
      <c r="E1163" s="1041">
        <f t="shared" si="645"/>
        <v>2018</v>
      </c>
      <c r="F1163" s="1040" t="str">
        <f t="shared" si="646"/>
        <v>AKTIF</v>
      </c>
      <c r="G1163" s="1041">
        <f t="shared" si="647"/>
        <v>849218013</v>
      </c>
      <c r="H1163" s="1042">
        <f t="shared" si="623"/>
        <v>6450000</v>
      </c>
      <c r="I1163" s="1042">
        <f t="shared" si="624"/>
        <v>3750000</v>
      </c>
      <c r="J1163" s="1042">
        <f t="shared" si="622"/>
        <v>10200000</v>
      </c>
      <c r="L1163" s="1060">
        <f t="shared" si="652"/>
        <v>1</v>
      </c>
      <c r="M1163" s="1060">
        <f t="shared" si="648"/>
        <v>0</v>
      </c>
      <c r="N1163" s="1060">
        <f t="shared" si="649"/>
        <v>0</v>
      </c>
      <c r="O1163" s="1060">
        <f t="shared" si="650"/>
        <v>0</v>
      </c>
      <c r="P1163" s="1060">
        <f t="shared" si="651"/>
        <v>0</v>
      </c>
    </row>
    <row r="1164" spans="1:16" x14ac:dyDescent="0.25">
      <c r="A1164" s="1039">
        <v>1563</v>
      </c>
      <c r="B1164" s="1039">
        <f>IFERROR(VLOOKUP(A1164,DB,2,FALSE),"")</f>
        <v>12</v>
      </c>
      <c r="C1164" s="1039" t="str">
        <f t="shared" si="643"/>
        <v>Idris Efendi</v>
      </c>
      <c r="D1164" s="1040" t="str">
        <f t="shared" si="644"/>
        <v>PBA-3</v>
      </c>
      <c r="E1164" s="1041">
        <f t="shared" si="645"/>
        <v>2018</v>
      </c>
      <c r="F1164" s="1040" t="str">
        <f t="shared" si="646"/>
        <v>PASIF</v>
      </c>
      <c r="G1164" s="1041">
        <f t="shared" si="647"/>
        <v>849218015</v>
      </c>
      <c r="H1164" s="1042">
        <f t="shared" si="623"/>
        <v>0</v>
      </c>
      <c r="I1164" s="1042">
        <f t="shared" si="624"/>
        <v>0</v>
      </c>
      <c r="J1164" s="1042">
        <f t="shared" si="622"/>
        <v>0</v>
      </c>
      <c r="L1164" s="1060">
        <f t="shared" si="652"/>
        <v>0</v>
      </c>
      <c r="M1164" s="1060">
        <f t="shared" si="648"/>
        <v>0</v>
      </c>
      <c r="N1164" s="1060">
        <f t="shared" si="649"/>
        <v>0</v>
      </c>
      <c r="O1164" s="1060">
        <f t="shared" si="650"/>
        <v>0</v>
      </c>
      <c r="P1164" s="1060">
        <f t="shared" si="651"/>
        <v>1</v>
      </c>
    </row>
    <row r="1165" spans="1:16" x14ac:dyDescent="0.25">
      <c r="A1165" s="1039">
        <v>1564</v>
      </c>
      <c r="B1165" s="1039">
        <f>IFERROR(VLOOKUP(A1165,DB,2,FALSE),"")</f>
        <v>13</v>
      </c>
      <c r="C1165" s="1039" t="str">
        <f t="shared" si="643"/>
        <v>Abdul Mu'iz</v>
      </c>
      <c r="D1165" s="1040" t="str">
        <f t="shared" si="644"/>
        <v>PBA-3</v>
      </c>
      <c r="E1165" s="1041">
        <f t="shared" si="645"/>
        <v>2018</v>
      </c>
      <c r="F1165" s="1040" t="str">
        <f t="shared" si="646"/>
        <v>PASIF</v>
      </c>
      <c r="G1165" s="1041">
        <f t="shared" si="647"/>
        <v>849218016</v>
      </c>
      <c r="H1165" s="1042">
        <f t="shared" si="623"/>
        <v>0</v>
      </c>
      <c r="I1165" s="1042">
        <f t="shared" si="624"/>
        <v>0</v>
      </c>
      <c r="J1165" s="1042">
        <f t="shared" si="622"/>
        <v>0</v>
      </c>
      <c r="L1165" s="1060">
        <f t="shared" si="652"/>
        <v>0</v>
      </c>
      <c r="M1165" s="1060">
        <f t="shared" si="648"/>
        <v>0</v>
      </c>
      <c r="N1165" s="1060">
        <f t="shared" si="649"/>
        <v>0</v>
      </c>
      <c r="O1165" s="1060">
        <f t="shared" si="650"/>
        <v>0</v>
      </c>
      <c r="P1165" s="1060">
        <f t="shared" si="651"/>
        <v>1</v>
      </c>
    </row>
    <row r="1166" spans="1:16" x14ac:dyDescent="0.25">
      <c r="A1166" s="1039"/>
      <c r="B1166" s="1039"/>
      <c r="C1166" s="1039"/>
      <c r="D1166" s="1040"/>
      <c r="E1166" s="1041"/>
      <c r="F1166" s="1040"/>
      <c r="G1166" s="1041"/>
      <c r="H1166" s="1042"/>
      <c r="I1166" s="1042"/>
    </row>
    <row r="1167" spans="1:16" x14ac:dyDescent="0.25">
      <c r="A1167" s="1039"/>
      <c r="B1167" s="1039"/>
      <c r="C1167" s="1039"/>
      <c r="D1167" s="1040"/>
      <c r="E1167" s="1041"/>
      <c r="F1167" s="1040"/>
      <c r="G1167" s="1041"/>
      <c r="H1167" s="1042"/>
      <c r="I1167" s="1042"/>
    </row>
    <row r="1168" spans="1:16" x14ac:dyDescent="0.25">
      <c r="A1168" s="1076" t="str">
        <f>'Rekap SPP'!A1694</f>
        <v>S2-PGMI 2018/2019</v>
      </c>
      <c r="B1168" s="1077"/>
      <c r="C1168" s="1077"/>
      <c r="D1168" s="1033" t="s">
        <v>3</v>
      </c>
      <c r="E1168" s="1032" t="s">
        <v>4</v>
      </c>
      <c r="F1168" s="1033" t="s">
        <v>3195</v>
      </c>
      <c r="G1168" s="1032" t="s">
        <v>1</v>
      </c>
      <c r="H1168" s="1033" t="s">
        <v>3362</v>
      </c>
      <c r="I1168" s="1033" t="s">
        <v>3341</v>
      </c>
      <c r="J1168" s="1062">
        <f>SUM(J1169:J1191)</f>
        <v>133800000</v>
      </c>
      <c r="L1168" s="1063">
        <f>SUM(L1169:L1191)</f>
        <v>9</v>
      </c>
      <c r="M1168" s="1063">
        <f>SUM(M1169:M1191)</f>
        <v>3</v>
      </c>
      <c r="N1168" s="1063">
        <f>SUM(N1169:N1191)</f>
        <v>7</v>
      </c>
      <c r="O1168" s="1063">
        <f>SUM(O1169:O1191)</f>
        <v>1</v>
      </c>
      <c r="P1168" s="1063">
        <f>SUM(P1169:P1191)</f>
        <v>3</v>
      </c>
    </row>
    <row r="1169" spans="1:16" x14ac:dyDescent="0.25">
      <c r="A1169" s="1039">
        <v>1565</v>
      </c>
      <c r="B1169" s="1039">
        <f t="shared" ref="B1169:B1178" si="653">IFERROR(VLOOKUP(A1169,DB,2,FALSE),"")</f>
        <v>1</v>
      </c>
      <c r="C1169" s="1039" t="str">
        <f t="shared" ref="C1169:C1191" si="654">IFERROR(VLOOKUP(A1169,DB,4,FALSE),"")</f>
        <v>Leny Marinda</v>
      </c>
      <c r="D1169" s="1040" t="str">
        <f t="shared" ref="D1169:D1191" si="655">IFERROR(VLOOKUP(A1169,DB,5,FALSE),"")</f>
        <v>PGMI-3</v>
      </c>
      <c r="E1169" s="1041">
        <f t="shared" ref="E1169:E1191" si="656">IFERROR(VLOOKUP(A1169,DB,6,FALSE),"")</f>
        <v>2018</v>
      </c>
      <c r="F1169" s="1040" t="str">
        <f t="shared" ref="F1169:F1191" si="657">IFERROR(VLOOKUP(A1169,DB,7,FALSE),"")</f>
        <v>CUTI</v>
      </c>
      <c r="G1169" s="1041">
        <f t="shared" ref="G1169:G1191" si="658">IFERROR(VLOOKUP(A1169,DB,3,FALSE),"")</f>
        <v>849418001</v>
      </c>
      <c r="H1169" s="1042">
        <f t="shared" ref="H1169:H1178" si="659">IF(F1169="AKTIF",6450000,IF(F1169="CUTI",3000000,0))</f>
        <v>3000000</v>
      </c>
      <c r="I1169" s="1042">
        <f t="shared" ref="I1169:I1178" si="660">IF(F1169="AKTIF",3750000,IF(F1169="CUTI",3000000,0))</f>
        <v>3000000</v>
      </c>
      <c r="J1169" s="1042">
        <f t="shared" ref="J1169:J1178" si="661">I1169+H1169</f>
        <v>6000000</v>
      </c>
      <c r="L1169" s="1060">
        <f t="shared" ref="L1169:L1179" si="662">IF(F1169="AKTIF",1,0)</f>
        <v>0</v>
      </c>
      <c r="M1169" s="1060">
        <f t="shared" ref="M1169:M1191" si="663">IF(F1169="LULUS",1,0)</f>
        <v>0</v>
      </c>
      <c r="N1169" s="1060">
        <f t="shared" ref="N1169:N1191" si="664">IF(F1169="CUTI",1,0)</f>
        <v>1</v>
      </c>
      <c r="O1169" s="1060">
        <f t="shared" ref="O1169:O1191" si="665">IF(F1169="DROP OUT",1,0)</f>
        <v>0</v>
      </c>
      <c r="P1169" s="1060">
        <f t="shared" ref="P1169:P1191" si="666">IF(F1169="PASIF",1,0)</f>
        <v>0</v>
      </c>
    </row>
    <row r="1170" spans="1:16" x14ac:dyDescent="0.25">
      <c r="A1170" s="1039">
        <v>1566</v>
      </c>
      <c r="B1170" s="1039">
        <f t="shared" si="653"/>
        <v>2</v>
      </c>
      <c r="C1170" s="1039" t="str">
        <f t="shared" si="654"/>
        <v>Siti Hamidatur Rofi'ah</v>
      </c>
      <c r="D1170" s="1040" t="str">
        <f t="shared" si="655"/>
        <v>PGMI-3</v>
      </c>
      <c r="E1170" s="1041">
        <f t="shared" si="656"/>
        <v>2018</v>
      </c>
      <c r="F1170" s="1040" t="str">
        <f t="shared" si="657"/>
        <v>LULUS</v>
      </c>
      <c r="G1170" s="1041">
        <f t="shared" si="658"/>
        <v>849418002</v>
      </c>
      <c r="H1170" s="1042">
        <f t="shared" si="659"/>
        <v>0</v>
      </c>
      <c r="I1170" s="1042">
        <f t="shared" si="660"/>
        <v>0</v>
      </c>
      <c r="J1170" s="1042">
        <f t="shared" si="661"/>
        <v>0</v>
      </c>
      <c r="L1170" s="1060">
        <f t="shared" si="662"/>
        <v>0</v>
      </c>
      <c r="M1170" s="1060">
        <f t="shared" si="663"/>
        <v>1</v>
      </c>
      <c r="N1170" s="1060">
        <f t="shared" si="664"/>
        <v>0</v>
      </c>
      <c r="O1170" s="1060">
        <f t="shared" si="665"/>
        <v>0</v>
      </c>
      <c r="P1170" s="1060">
        <f t="shared" si="666"/>
        <v>0</v>
      </c>
    </row>
    <row r="1171" spans="1:16" x14ac:dyDescent="0.25">
      <c r="A1171" s="1039">
        <v>1567</v>
      </c>
      <c r="B1171" s="1039">
        <f t="shared" si="653"/>
        <v>3</v>
      </c>
      <c r="C1171" s="1039" t="str">
        <f t="shared" si="654"/>
        <v>Ahmad Syaekhoni</v>
      </c>
      <c r="D1171" s="1040" t="str">
        <f t="shared" si="655"/>
        <v>PGMI-3</v>
      </c>
      <c r="E1171" s="1041">
        <f t="shared" si="656"/>
        <v>2018</v>
      </c>
      <c r="F1171" s="1040" t="str">
        <f t="shared" si="657"/>
        <v>AKTIF</v>
      </c>
      <c r="G1171" s="1041">
        <f t="shared" si="658"/>
        <v>849418003</v>
      </c>
      <c r="H1171" s="1042">
        <f t="shared" si="659"/>
        <v>6450000</v>
      </c>
      <c r="I1171" s="1042">
        <f t="shared" si="660"/>
        <v>3750000</v>
      </c>
      <c r="J1171" s="1042">
        <f t="shared" si="661"/>
        <v>10200000</v>
      </c>
      <c r="L1171" s="1060">
        <f t="shared" si="662"/>
        <v>1</v>
      </c>
      <c r="M1171" s="1060">
        <f t="shared" si="663"/>
        <v>0</v>
      </c>
      <c r="N1171" s="1060">
        <f t="shared" si="664"/>
        <v>0</v>
      </c>
      <c r="O1171" s="1060">
        <f t="shared" si="665"/>
        <v>0</v>
      </c>
      <c r="P1171" s="1060">
        <f t="shared" si="666"/>
        <v>0</v>
      </c>
    </row>
    <row r="1172" spans="1:16" x14ac:dyDescent="0.25">
      <c r="A1172" s="1039">
        <v>1568</v>
      </c>
      <c r="B1172" s="1039">
        <f t="shared" si="653"/>
        <v>4</v>
      </c>
      <c r="C1172" s="1039" t="str">
        <f t="shared" si="654"/>
        <v>Wilda Alufia Rahmi</v>
      </c>
      <c r="D1172" s="1040" t="str">
        <f t="shared" si="655"/>
        <v>PGMI-3</v>
      </c>
      <c r="E1172" s="1041">
        <f t="shared" si="656"/>
        <v>2018</v>
      </c>
      <c r="F1172" s="1040" t="str">
        <f t="shared" si="657"/>
        <v>CUTI</v>
      </c>
      <c r="G1172" s="1041">
        <f t="shared" si="658"/>
        <v>849418004</v>
      </c>
      <c r="H1172" s="1042">
        <f t="shared" si="659"/>
        <v>3000000</v>
      </c>
      <c r="I1172" s="1042">
        <f t="shared" si="660"/>
        <v>3000000</v>
      </c>
      <c r="J1172" s="1042">
        <f t="shared" si="661"/>
        <v>6000000</v>
      </c>
      <c r="L1172" s="1060">
        <f t="shared" si="662"/>
        <v>0</v>
      </c>
      <c r="M1172" s="1060">
        <f t="shared" si="663"/>
        <v>0</v>
      </c>
      <c r="N1172" s="1060">
        <f t="shared" si="664"/>
        <v>1</v>
      </c>
      <c r="O1172" s="1060">
        <f t="shared" si="665"/>
        <v>0</v>
      </c>
      <c r="P1172" s="1060">
        <f t="shared" si="666"/>
        <v>0</v>
      </c>
    </row>
    <row r="1173" spans="1:16" x14ac:dyDescent="0.25">
      <c r="A1173" s="1039">
        <v>1569</v>
      </c>
      <c r="B1173" s="1039">
        <f t="shared" si="653"/>
        <v>5</v>
      </c>
      <c r="C1173" s="1039" t="str">
        <f t="shared" si="654"/>
        <v>Didik Fermansah</v>
      </c>
      <c r="D1173" s="1040" t="str">
        <f t="shared" si="655"/>
        <v>PGMI-3</v>
      </c>
      <c r="E1173" s="1041">
        <f t="shared" si="656"/>
        <v>2018</v>
      </c>
      <c r="F1173" s="1040" t="str">
        <f t="shared" si="657"/>
        <v>AKTIF</v>
      </c>
      <c r="G1173" s="1041">
        <f t="shared" si="658"/>
        <v>849418005</v>
      </c>
      <c r="H1173" s="1042">
        <f t="shared" si="659"/>
        <v>6450000</v>
      </c>
      <c r="I1173" s="1042">
        <f t="shared" si="660"/>
        <v>3750000</v>
      </c>
      <c r="J1173" s="1042">
        <f t="shared" si="661"/>
        <v>10200000</v>
      </c>
      <c r="L1173" s="1060">
        <f t="shared" si="662"/>
        <v>1</v>
      </c>
      <c r="M1173" s="1060">
        <f t="shared" si="663"/>
        <v>0</v>
      </c>
      <c r="N1173" s="1060">
        <f t="shared" si="664"/>
        <v>0</v>
      </c>
      <c r="O1173" s="1060">
        <f t="shared" si="665"/>
        <v>0</v>
      </c>
      <c r="P1173" s="1060">
        <f t="shared" si="666"/>
        <v>0</v>
      </c>
    </row>
    <row r="1174" spans="1:16" x14ac:dyDescent="0.25">
      <c r="A1174" s="1039">
        <v>1570</v>
      </c>
      <c r="B1174" s="1039">
        <f t="shared" si="653"/>
        <v>6</v>
      </c>
      <c r="C1174" s="1039" t="str">
        <f t="shared" si="654"/>
        <v>Mochamad Farouk</v>
      </c>
      <c r="D1174" s="1040" t="str">
        <f t="shared" si="655"/>
        <v>PGMI-3</v>
      </c>
      <c r="E1174" s="1041">
        <f t="shared" si="656"/>
        <v>2018</v>
      </c>
      <c r="F1174" s="1040" t="str">
        <f t="shared" si="657"/>
        <v>CUTI</v>
      </c>
      <c r="G1174" s="1041">
        <f t="shared" si="658"/>
        <v>849418006</v>
      </c>
      <c r="H1174" s="1042">
        <f t="shared" si="659"/>
        <v>3000000</v>
      </c>
      <c r="I1174" s="1042">
        <f t="shared" si="660"/>
        <v>3000000</v>
      </c>
      <c r="J1174" s="1042">
        <f t="shared" si="661"/>
        <v>6000000</v>
      </c>
      <c r="L1174" s="1060">
        <f t="shared" si="662"/>
        <v>0</v>
      </c>
      <c r="M1174" s="1060">
        <f t="shared" si="663"/>
        <v>0</v>
      </c>
      <c r="N1174" s="1060">
        <f t="shared" si="664"/>
        <v>1</v>
      </c>
      <c r="O1174" s="1060">
        <f t="shared" si="665"/>
        <v>0</v>
      </c>
      <c r="P1174" s="1060">
        <f t="shared" si="666"/>
        <v>0</v>
      </c>
    </row>
    <row r="1175" spans="1:16" x14ac:dyDescent="0.25">
      <c r="A1175" s="1039">
        <v>1571</v>
      </c>
      <c r="B1175" s="1039">
        <f t="shared" si="653"/>
        <v>7</v>
      </c>
      <c r="C1175" s="1039" t="str">
        <f t="shared" si="654"/>
        <v>Ana Nur Lailatul Fitriani</v>
      </c>
      <c r="D1175" s="1040" t="str">
        <f t="shared" si="655"/>
        <v>PGMI-3</v>
      </c>
      <c r="E1175" s="1041">
        <f t="shared" si="656"/>
        <v>2018</v>
      </c>
      <c r="F1175" s="1040" t="str">
        <f t="shared" si="657"/>
        <v>AKTIF</v>
      </c>
      <c r="G1175" s="1041">
        <f t="shared" si="658"/>
        <v>849418007</v>
      </c>
      <c r="H1175" s="1042">
        <f t="shared" si="659"/>
        <v>6450000</v>
      </c>
      <c r="I1175" s="1042">
        <f t="shared" si="660"/>
        <v>3750000</v>
      </c>
      <c r="J1175" s="1042">
        <f t="shared" si="661"/>
        <v>10200000</v>
      </c>
      <c r="L1175" s="1060">
        <f t="shared" si="662"/>
        <v>1</v>
      </c>
      <c r="M1175" s="1060">
        <f t="shared" si="663"/>
        <v>0</v>
      </c>
      <c r="N1175" s="1060">
        <f t="shared" si="664"/>
        <v>0</v>
      </c>
      <c r="O1175" s="1060">
        <f t="shared" si="665"/>
        <v>0</v>
      </c>
      <c r="P1175" s="1060">
        <f t="shared" si="666"/>
        <v>0</v>
      </c>
    </row>
    <row r="1176" spans="1:16" x14ac:dyDescent="0.25">
      <c r="A1176" s="1039">
        <v>1572</v>
      </c>
      <c r="B1176" s="1039">
        <f t="shared" si="653"/>
        <v>8</v>
      </c>
      <c r="C1176" s="1039" t="str">
        <f t="shared" si="654"/>
        <v>Nika Hadiya Rahmawati</v>
      </c>
      <c r="D1176" s="1040" t="str">
        <f t="shared" si="655"/>
        <v>PGMI-3</v>
      </c>
      <c r="E1176" s="1041">
        <f t="shared" si="656"/>
        <v>2018</v>
      </c>
      <c r="F1176" s="1040" t="str">
        <f t="shared" si="657"/>
        <v>CUTI</v>
      </c>
      <c r="G1176" s="1041">
        <f t="shared" si="658"/>
        <v>849418008</v>
      </c>
      <c r="H1176" s="1042">
        <f t="shared" si="659"/>
        <v>3000000</v>
      </c>
      <c r="I1176" s="1042">
        <f t="shared" si="660"/>
        <v>3000000</v>
      </c>
      <c r="J1176" s="1042">
        <f t="shared" si="661"/>
        <v>6000000</v>
      </c>
      <c r="L1176" s="1060">
        <f t="shared" si="662"/>
        <v>0</v>
      </c>
      <c r="M1176" s="1060">
        <f t="shared" si="663"/>
        <v>0</v>
      </c>
      <c r="N1176" s="1060">
        <f t="shared" si="664"/>
        <v>1</v>
      </c>
      <c r="O1176" s="1060">
        <f t="shared" si="665"/>
        <v>0</v>
      </c>
      <c r="P1176" s="1060">
        <f t="shared" si="666"/>
        <v>0</v>
      </c>
    </row>
    <row r="1177" spans="1:16" x14ac:dyDescent="0.25">
      <c r="A1177" s="1039">
        <v>1573</v>
      </c>
      <c r="B1177" s="1039">
        <f t="shared" si="653"/>
        <v>9</v>
      </c>
      <c r="C1177" s="1039" t="str">
        <f t="shared" si="654"/>
        <v>Yatik Septi Wulandari</v>
      </c>
      <c r="D1177" s="1040" t="str">
        <f t="shared" si="655"/>
        <v>PGMI-3</v>
      </c>
      <c r="E1177" s="1041">
        <f t="shared" si="656"/>
        <v>2018</v>
      </c>
      <c r="F1177" s="1040" t="str">
        <f t="shared" si="657"/>
        <v>AKTIF</v>
      </c>
      <c r="G1177" s="1041">
        <f t="shared" si="658"/>
        <v>849418009</v>
      </c>
      <c r="H1177" s="1042">
        <f t="shared" si="659"/>
        <v>6450000</v>
      </c>
      <c r="I1177" s="1042">
        <f t="shared" si="660"/>
        <v>3750000</v>
      </c>
      <c r="J1177" s="1042">
        <f t="shared" si="661"/>
        <v>10200000</v>
      </c>
      <c r="L1177" s="1060">
        <f t="shared" si="662"/>
        <v>1</v>
      </c>
      <c r="M1177" s="1060">
        <f t="shared" si="663"/>
        <v>0</v>
      </c>
      <c r="N1177" s="1060">
        <f t="shared" si="664"/>
        <v>0</v>
      </c>
      <c r="O1177" s="1060">
        <f t="shared" si="665"/>
        <v>0</v>
      </c>
      <c r="P1177" s="1060">
        <f t="shared" si="666"/>
        <v>0</v>
      </c>
    </row>
    <row r="1178" spans="1:16" x14ac:dyDescent="0.25">
      <c r="A1178" s="1039">
        <v>1574</v>
      </c>
      <c r="B1178" s="1039">
        <f t="shared" si="653"/>
        <v>10</v>
      </c>
      <c r="C1178" s="1039" t="str">
        <f t="shared" si="654"/>
        <v>Fandrik Hs Putra</v>
      </c>
      <c r="D1178" s="1040" t="str">
        <f t="shared" si="655"/>
        <v>PGMI-3</v>
      </c>
      <c r="E1178" s="1041">
        <f t="shared" si="656"/>
        <v>2018</v>
      </c>
      <c r="F1178" s="1040" t="str">
        <f t="shared" si="657"/>
        <v>AKTIF</v>
      </c>
      <c r="G1178" s="1041">
        <f t="shared" si="658"/>
        <v>849418010</v>
      </c>
      <c r="H1178" s="1042">
        <f t="shared" si="659"/>
        <v>6450000</v>
      </c>
      <c r="I1178" s="1042">
        <f t="shared" si="660"/>
        <v>3750000</v>
      </c>
      <c r="J1178" s="1042">
        <f t="shared" si="661"/>
        <v>10200000</v>
      </c>
      <c r="L1178" s="1060">
        <f t="shared" si="662"/>
        <v>1</v>
      </c>
      <c r="M1178" s="1060">
        <f t="shared" si="663"/>
        <v>0</v>
      </c>
      <c r="N1178" s="1060">
        <f t="shared" si="664"/>
        <v>0</v>
      </c>
      <c r="O1178" s="1060">
        <f t="shared" si="665"/>
        <v>0</v>
      </c>
      <c r="P1178" s="1060">
        <f t="shared" si="666"/>
        <v>0</v>
      </c>
    </row>
    <row r="1179" spans="1:16" x14ac:dyDescent="0.25">
      <c r="A1179" s="1039">
        <v>1575</v>
      </c>
      <c r="B1179" s="1039">
        <f t="shared" ref="B1179:B1191" si="667">IFERROR(VLOOKUP(A1179,DB,2,FALSE),"")</f>
        <v>11</v>
      </c>
      <c r="C1179" s="1039" t="str">
        <f t="shared" si="654"/>
        <v>Moh Asy'ari</v>
      </c>
      <c r="D1179" s="1040" t="str">
        <f t="shared" si="655"/>
        <v>PGMI-3</v>
      </c>
      <c r="E1179" s="1041">
        <f t="shared" si="656"/>
        <v>2018</v>
      </c>
      <c r="F1179" s="1040" t="str">
        <f t="shared" si="657"/>
        <v>CUTI</v>
      </c>
      <c r="G1179" s="1041">
        <f t="shared" si="658"/>
        <v>849418011</v>
      </c>
      <c r="H1179" s="1042">
        <f t="shared" si="623"/>
        <v>3000000</v>
      </c>
      <c r="I1179" s="1042">
        <f t="shared" si="624"/>
        <v>3000000</v>
      </c>
      <c r="J1179" s="1042">
        <f t="shared" si="622"/>
        <v>6000000</v>
      </c>
      <c r="L1179" s="1060">
        <f t="shared" si="662"/>
        <v>0</v>
      </c>
      <c r="M1179" s="1060">
        <f t="shared" si="663"/>
        <v>0</v>
      </c>
      <c r="N1179" s="1060">
        <f t="shared" si="664"/>
        <v>1</v>
      </c>
      <c r="O1179" s="1060">
        <f t="shared" si="665"/>
        <v>0</v>
      </c>
      <c r="P1179" s="1060">
        <f t="shared" si="666"/>
        <v>0</v>
      </c>
    </row>
    <row r="1180" spans="1:16" x14ac:dyDescent="0.25">
      <c r="A1180" s="1039">
        <v>1576</v>
      </c>
      <c r="B1180" s="1039">
        <f t="shared" si="667"/>
        <v>12</v>
      </c>
      <c r="C1180" s="1039" t="str">
        <f t="shared" si="654"/>
        <v>Muhammad Muslih</v>
      </c>
      <c r="D1180" s="1040" t="str">
        <f t="shared" si="655"/>
        <v>PGMI-3</v>
      </c>
      <c r="E1180" s="1041">
        <f t="shared" si="656"/>
        <v>2018</v>
      </c>
      <c r="F1180" s="1040" t="str">
        <f t="shared" si="657"/>
        <v>LULUS</v>
      </c>
      <c r="G1180" s="1041">
        <f t="shared" si="658"/>
        <v>849418012</v>
      </c>
      <c r="H1180" s="1042">
        <f t="shared" si="623"/>
        <v>0</v>
      </c>
      <c r="I1180" s="1042">
        <f t="shared" si="624"/>
        <v>0</v>
      </c>
      <c r="J1180" s="1042">
        <f t="shared" si="622"/>
        <v>0</v>
      </c>
      <c r="L1180" s="1060">
        <f t="shared" ref="L1180:L1191" si="668">IF(F1180="AKTIF",1,0)</f>
        <v>0</v>
      </c>
      <c r="M1180" s="1060">
        <f t="shared" si="663"/>
        <v>1</v>
      </c>
      <c r="N1180" s="1060">
        <f t="shared" si="664"/>
        <v>0</v>
      </c>
      <c r="O1180" s="1060">
        <f t="shared" si="665"/>
        <v>0</v>
      </c>
      <c r="P1180" s="1060">
        <f t="shared" si="666"/>
        <v>0</v>
      </c>
    </row>
    <row r="1181" spans="1:16" x14ac:dyDescent="0.25">
      <c r="A1181" s="1039">
        <v>1577</v>
      </c>
      <c r="B1181" s="1039">
        <f t="shared" si="667"/>
        <v>13</v>
      </c>
      <c r="C1181" s="1039" t="str">
        <f t="shared" si="654"/>
        <v>Intan Hosniati</v>
      </c>
      <c r="D1181" s="1040" t="str">
        <f t="shared" si="655"/>
        <v>PGMI-3</v>
      </c>
      <c r="E1181" s="1041">
        <f t="shared" si="656"/>
        <v>2018</v>
      </c>
      <c r="F1181" s="1040" t="str">
        <f t="shared" si="657"/>
        <v>CUTI</v>
      </c>
      <c r="G1181" s="1041">
        <f t="shared" si="658"/>
        <v>849418013</v>
      </c>
      <c r="H1181" s="1042">
        <f t="shared" si="623"/>
        <v>3000000</v>
      </c>
      <c r="I1181" s="1042">
        <f t="shared" si="624"/>
        <v>3000000</v>
      </c>
      <c r="J1181" s="1042">
        <f t="shared" si="622"/>
        <v>6000000</v>
      </c>
      <c r="L1181" s="1060">
        <f t="shared" si="668"/>
        <v>0</v>
      </c>
      <c r="M1181" s="1060">
        <f t="shared" si="663"/>
        <v>0</v>
      </c>
      <c r="N1181" s="1060">
        <f t="shared" si="664"/>
        <v>1</v>
      </c>
      <c r="O1181" s="1060">
        <f t="shared" si="665"/>
        <v>0</v>
      </c>
      <c r="P1181" s="1060">
        <f t="shared" si="666"/>
        <v>0</v>
      </c>
    </row>
    <row r="1182" spans="1:16" x14ac:dyDescent="0.25">
      <c r="A1182" s="1039">
        <v>1578</v>
      </c>
      <c r="B1182" s="1039">
        <f t="shared" si="667"/>
        <v>14</v>
      </c>
      <c r="C1182" s="1039" t="str">
        <f t="shared" si="654"/>
        <v>Dewi Retnosari</v>
      </c>
      <c r="D1182" s="1040" t="str">
        <f t="shared" si="655"/>
        <v>PGMI-3</v>
      </c>
      <c r="E1182" s="1041">
        <f t="shared" si="656"/>
        <v>2018</v>
      </c>
      <c r="F1182" s="1040" t="str">
        <f t="shared" si="657"/>
        <v>PASIF</v>
      </c>
      <c r="G1182" s="1041">
        <f t="shared" si="658"/>
        <v>849418014</v>
      </c>
      <c r="H1182" s="1042">
        <f t="shared" si="623"/>
        <v>0</v>
      </c>
      <c r="I1182" s="1042">
        <f t="shared" si="624"/>
        <v>0</v>
      </c>
      <c r="J1182" s="1042">
        <f t="shared" si="622"/>
        <v>0</v>
      </c>
      <c r="L1182" s="1060">
        <f t="shared" si="668"/>
        <v>0</v>
      </c>
      <c r="M1182" s="1060">
        <f t="shared" si="663"/>
        <v>0</v>
      </c>
      <c r="N1182" s="1060">
        <f t="shared" si="664"/>
        <v>0</v>
      </c>
      <c r="O1182" s="1060">
        <f t="shared" si="665"/>
        <v>0</v>
      </c>
      <c r="P1182" s="1060">
        <f t="shared" si="666"/>
        <v>1</v>
      </c>
    </row>
    <row r="1183" spans="1:16" x14ac:dyDescent="0.25">
      <c r="A1183" s="1039">
        <v>1579</v>
      </c>
      <c r="B1183" s="1039">
        <f t="shared" si="667"/>
        <v>15</v>
      </c>
      <c r="C1183" s="1039" t="str">
        <f t="shared" si="654"/>
        <v>Nailul Izzah</v>
      </c>
      <c r="D1183" s="1040" t="str">
        <f t="shared" si="655"/>
        <v>PGMI-3</v>
      </c>
      <c r="E1183" s="1041">
        <f t="shared" si="656"/>
        <v>2018</v>
      </c>
      <c r="F1183" s="1040" t="str">
        <f t="shared" si="657"/>
        <v>AKTIF</v>
      </c>
      <c r="G1183" s="1041">
        <f t="shared" si="658"/>
        <v>849418015</v>
      </c>
      <c r="H1183" s="1042">
        <f t="shared" si="623"/>
        <v>6450000</v>
      </c>
      <c r="I1183" s="1042">
        <f t="shared" si="624"/>
        <v>3750000</v>
      </c>
      <c r="J1183" s="1042">
        <f t="shared" si="622"/>
        <v>10200000</v>
      </c>
      <c r="L1183" s="1060">
        <f t="shared" si="668"/>
        <v>1</v>
      </c>
      <c r="M1183" s="1060">
        <f t="shared" si="663"/>
        <v>0</v>
      </c>
      <c r="N1183" s="1060">
        <f t="shared" si="664"/>
        <v>0</v>
      </c>
      <c r="O1183" s="1060">
        <f t="shared" si="665"/>
        <v>0</v>
      </c>
      <c r="P1183" s="1060">
        <f t="shared" si="666"/>
        <v>0</v>
      </c>
    </row>
    <row r="1184" spans="1:16" x14ac:dyDescent="0.25">
      <c r="A1184" s="1039">
        <v>1580</v>
      </c>
      <c r="B1184" s="1039">
        <f t="shared" si="667"/>
        <v>16</v>
      </c>
      <c r="C1184" s="1039" t="str">
        <f t="shared" si="654"/>
        <v>Laela Fitriani</v>
      </c>
      <c r="D1184" s="1040" t="str">
        <f t="shared" si="655"/>
        <v>PGMI-3</v>
      </c>
      <c r="E1184" s="1041">
        <f t="shared" si="656"/>
        <v>2018</v>
      </c>
      <c r="F1184" s="1040" t="str">
        <f t="shared" si="657"/>
        <v>AKTIF</v>
      </c>
      <c r="G1184" s="1041">
        <f t="shared" si="658"/>
        <v>849418016</v>
      </c>
      <c r="H1184" s="1042">
        <f t="shared" si="623"/>
        <v>6450000</v>
      </c>
      <c r="I1184" s="1042">
        <f t="shared" si="624"/>
        <v>3750000</v>
      </c>
      <c r="J1184" s="1042">
        <f t="shared" si="622"/>
        <v>10200000</v>
      </c>
      <c r="L1184" s="1060">
        <f t="shared" si="668"/>
        <v>1</v>
      </c>
      <c r="M1184" s="1060">
        <f t="shared" si="663"/>
        <v>0</v>
      </c>
      <c r="N1184" s="1060">
        <f t="shared" si="664"/>
        <v>0</v>
      </c>
      <c r="O1184" s="1060">
        <f t="shared" si="665"/>
        <v>0</v>
      </c>
      <c r="P1184" s="1060">
        <f t="shared" si="666"/>
        <v>0</v>
      </c>
    </row>
    <row r="1185" spans="1:16" x14ac:dyDescent="0.25">
      <c r="A1185" s="1039">
        <v>1581</v>
      </c>
      <c r="B1185" s="1039">
        <f t="shared" si="667"/>
        <v>17</v>
      </c>
      <c r="C1185" s="1039" t="str">
        <f t="shared" si="654"/>
        <v>Maliana Muhimma</v>
      </c>
      <c r="D1185" s="1040" t="str">
        <f t="shared" si="655"/>
        <v>PGMI-3</v>
      </c>
      <c r="E1185" s="1041">
        <f t="shared" si="656"/>
        <v>2018</v>
      </c>
      <c r="F1185" s="1040" t="str">
        <f t="shared" si="657"/>
        <v>PASIF</v>
      </c>
      <c r="G1185" s="1041">
        <f t="shared" si="658"/>
        <v>849418017</v>
      </c>
      <c r="H1185" s="1042">
        <f t="shared" si="623"/>
        <v>0</v>
      </c>
      <c r="I1185" s="1042">
        <f t="shared" si="624"/>
        <v>0</v>
      </c>
      <c r="J1185" s="1042">
        <f t="shared" si="622"/>
        <v>0</v>
      </c>
      <c r="L1185" s="1060">
        <f t="shared" si="668"/>
        <v>0</v>
      </c>
      <c r="M1185" s="1060">
        <f t="shared" si="663"/>
        <v>0</v>
      </c>
      <c r="N1185" s="1060">
        <f t="shared" si="664"/>
        <v>0</v>
      </c>
      <c r="O1185" s="1060">
        <f t="shared" si="665"/>
        <v>0</v>
      </c>
      <c r="P1185" s="1060">
        <f t="shared" si="666"/>
        <v>1</v>
      </c>
    </row>
    <row r="1186" spans="1:16" x14ac:dyDescent="0.25">
      <c r="A1186" s="1039">
        <v>1582</v>
      </c>
      <c r="B1186" s="1039">
        <f t="shared" si="667"/>
        <v>18</v>
      </c>
      <c r="C1186" s="1039" t="str">
        <f t="shared" si="654"/>
        <v>Moh. Mahbub Junaidi</v>
      </c>
      <c r="D1186" s="1040" t="str">
        <f t="shared" si="655"/>
        <v>PGMI-3</v>
      </c>
      <c r="E1186" s="1041">
        <f t="shared" si="656"/>
        <v>2018</v>
      </c>
      <c r="F1186" s="1040" t="str">
        <f t="shared" si="657"/>
        <v>DROP OUT</v>
      </c>
      <c r="G1186" s="1041">
        <f t="shared" si="658"/>
        <v>849418018</v>
      </c>
      <c r="H1186" s="1042">
        <f t="shared" si="623"/>
        <v>0</v>
      </c>
      <c r="I1186" s="1042">
        <f t="shared" si="624"/>
        <v>0</v>
      </c>
      <c r="J1186" s="1042">
        <f t="shared" si="622"/>
        <v>0</v>
      </c>
      <c r="L1186" s="1060">
        <f t="shared" si="668"/>
        <v>0</v>
      </c>
      <c r="M1186" s="1060">
        <f t="shared" si="663"/>
        <v>0</v>
      </c>
      <c r="N1186" s="1060">
        <f t="shared" si="664"/>
        <v>0</v>
      </c>
      <c r="O1186" s="1060">
        <f t="shared" si="665"/>
        <v>1</v>
      </c>
      <c r="P1186" s="1060">
        <f t="shared" si="666"/>
        <v>0</v>
      </c>
    </row>
    <row r="1187" spans="1:16" x14ac:dyDescent="0.25">
      <c r="A1187" s="1039">
        <v>1583</v>
      </c>
      <c r="B1187" s="1039">
        <f t="shared" si="667"/>
        <v>19</v>
      </c>
      <c r="C1187" s="1039" t="str">
        <f t="shared" si="654"/>
        <v>Jumari</v>
      </c>
      <c r="D1187" s="1040" t="str">
        <f t="shared" si="655"/>
        <v>PGMI-3</v>
      </c>
      <c r="E1187" s="1041">
        <f t="shared" si="656"/>
        <v>2018</v>
      </c>
      <c r="F1187" s="1040" t="str">
        <f t="shared" si="657"/>
        <v>AKTIF</v>
      </c>
      <c r="G1187" s="1041">
        <f t="shared" si="658"/>
        <v>849418019</v>
      </c>
      <c r="H1187" s="1042">
        <f t="shared" si="623"/>
        <v>6450000</v>
      </c>
      <c r="I1187" s="1042">
        <f t="shared" si="624"/>
        <v>3750000</v>
      </c>
      <c r="J1187" s="1042">
        <f t="shared" si="622"/>
        <v>10200000</v>
      </c>
      <c r="L1187" s="1060">
        <f t="shared" si="668"/>
        <v>1</v>
      </c>
      <c r="M1187" s="1060">
        <f t="shared" si="663"/>
        <v>0</v>
      </c>
      <c r="N1187" s="1060">
        <f t="shared" si="664"/>
        <v>0</v>
      </c>
      <c r="O1187" s="1060">
        <f t="shared" si="665"/>
        <v>0</v>
      </c>
      <c r="P1187" s="1060">
        <f t="shared" si="666"/>
        <v>0</v>
      </c>
    </row>
    <row r="1188" spans="1:16" x14ac:dyDescent="0.25">
      <c r="A1188" s="1039">
        <v>1584</v>
      </c>
      <c r="B1188" s="1039">
        <f t="shared" si="667"/>
        <v>20</v>
      </c>
      <c r="C1188" s="1039" t="str">
        <f t="shared" si="654"/>
        <v>Suhadi</v>
      </c>
      <c r="D1188" s="1040" t="str">
        <f t="shared" si="655"/>
        <v>PGMI-3</v>
      </c>
      <c r="E1188" s="1041">
        <f t="shared" si="656"/>
        <v>2018</v>
      </c>
      <c r="F1188" s="1040" t="str">
        <f t="shared" si="657"/>
        <v>CUTI</v>
      </c>
      <c r="G1188" s="1041">
        <f t="shared" si="658"/>
        <v>849418020</v>
      </c>
      <c r="H1188" s="1042">
        <f t="shared" si="623"/>
        <v>3000000</v>
      </c>
      <c r="I1188" s="1042">
        <f t="shared" si="624"/>
        <v>3000000</v>
      </c>
      <c r="J1188" s="1042">
        <f t="shared" si="622"/>
        <v>6000000</v>
      </c>
      <c r="L1188" s="1060">
        <f t="shared" si="668"/>
        <v>0</v>
      </c>
      <c r="M1188" s="1060">
        <f t="shared" si="663"/>
        <v>0</v>
      </c>
      <c r="N1188" s="1060">
        <f t="shared" si="664"/>
        <v>1</v>
      </c>
      <c r="O1188" s="1060">
        <f t="shared" si="665"/>
        <v>0</v>
      </c>
      <c r="P1188" s="1060">
        <f t="shared" si="666"/>
        <v>0</v>
      </c>
    </row>
    <row r="1189" spans="1:16" x14ac:dyDescent="0.25">
      <c r="A1189" s="1039">
        <v>1585</v>
      </c>
      <c r="B1189" s="1039">
        <f t="shared" si="667"/>
        <v>21</v>
      </c>
      <c r="C1189" s="1039" t="str">
        <f t="shared" si="654"/>
        <v>Ainul Yaqin</v>
      </c>
      <c r="D1189" s="1040" t="str">
        <f t="shared" si="655"/>
        <v>PGMI-3</v>
      </c>
      <c r="E1189" s="1041">
        <f t="shared" si="656"/>
        <v>2018</v>
      </c>
      <c r="F1189" s="1040" t="str">
        <f t="shared" si="657"/>
        <v>PASIF</v>
      </c>
      <c r="G1189" s="1041">
        <f t="shared" si="658"/>
        <v>849418021</v>
      </c>
      <c r="H1189" s="1042">
        <f t="shared" si="623"/>
        <v>0</v>
      </c>
      <c r="I1189" s="1042">
        <f t="shared" si="624"/>
        <v>0</v>
      </c>
      <c r="J1189" s="1042">
        <f t="shared" si="622"/>
        <v>0</v>
      </c>
      <c r="L1189" s="1060">
        <f t="shared" si="668"/>
        <v>0</v>
      </c>
      <c r="M1189" s="1060">
        <f t="shared" si="663"/>
        <v>0</v>
      </c>
      <c r="N1189" s="1060">
        <f t="shared" si="664"/>
        <v>0</v>
      </c>
      <c r="O1189" s="1060">
        <f t="shared" si="665"/>
        <v>0</v>
      </c>
      <c r="P1189" s="1060">
        <f t="shared" si="666"/>
        <v>1</v>
      </c>
    </row>
    <row r="1190" spans="1:16" x14ac:dyDescent="0.25">
      <c r="A1190" s="1039">
        <v>1586</v>
      </c>
      <c r="B1190" s="1039">
        <f t="shared" si="667"/>
        <v>22</v>
      </c>
      <c r="C1190" s="1039" t="str">
        <f t="shared" si="654"/>
        <v>Alfiah</v>
      </c>
      <c r="D1190" s="1040" t="str">
        <f t="shared" si="655"/>
        <v>PGMI-3</v>
      </c>
      <c r="E1190" s="1041">
        <f t="shared" si="656"/>
        <v>2018</v>
      </c>
      <c r="F1190" s="1040" t="str">
        <f t="shared" si="657"/>
        <v>AKTIF</v>
      </c>
      <c r="G1190" s="1041">
        <f t="shared" si="658"/>
        <v>849418022</v>
      </c>
      <c r="H1190" s="1042">
        <f t="shared" si="623"/>
        <v>6450000</v>
      </c>
      <c r="I1190" s="1042">
        <f t="shared" si="624"/>
        <v>3750000</v>
      </c>
      <c r="J1190" s="1042">
        <f t="shared" si="622"/>
        <v>10200000</v>
      </c>
      <c r="L1190" s="1060">
        <f t="shared" si="668"/>
        <v>1</v>
      </c>
      <c r="M1190" s="1060">
        <f t="shared" si="663"/>
        <v>0</v>
      </c>
      <c r="N1190" s="1060">
        <f t="shared" si="664"/>
        <v>0</v>
      </c>
      <c r="O1190" s="1060">
        <f t="shared" si="665"/>
        <v>0</v>
      </c>
      <c r="P1190" s="1060">
        <f t="shared" si="666"/>
        <v>0</v>
      </c>
    </row>
    <row r="1191" spans="1:16" x14ac:dyDescent="0.25">
      <c r="A1191" s="1039">
        <v>1587</v>
      </c>
      <c r="B1191" s="1039">
        <f t="shared" si="667"/>
        <v>23</v>
      </c>
      <c r="C1191" s="1039" t="str">
        <f t="shared" si="654"/>
        <v>Sumining</v>
      </c>
      <c r="D1191" s="1040" t="str">
        <f t="shared" si="655"/>
        <v>PGMI-3</v>
      </c>
      <c r="E1191" s="1041">
        <f t="shared" si="656"/>
        <v>2018</v>
      </c>
      <c r="F1191" s="1040" t="str">
        <f t="shared" si="657"/>
        <v>LULUS</v>
      </c>
      <c r="G1191" s="1041">
        <f t="shared" si="658"/>
        <v>849418023</v>
      </c>
      <c r="H1191" s="1042">
        <f t="shared" si="623"/>
        <v>0</v>
      </c>
      <c r="I1191" s="1042">
        <f t="shared" si="624"/>
        <v>0</v>
      </c>
      <c r="J1191" s="1042">
        <f t="shared" si="622"/>
        <v>0</v>
      </c>
      <c r="L1191" s="1060">
        <f t="shared" si="668"/>
        <v>0</v>
      </c>
      <c r="M1191" s="1060">
        <f t="shared" si="663"/>
        <v>1</v>
      </c>
      <c r="N1191" s="1060">
        <f t="shared" si="664"/>
        <v>0</v>
      </c>
      <c r="O1191" s="1060">
        <f t="shared" si="665"/>
        <v>0</v>
      </c>
      <c r="P1191" s="1060">
        <f t="shared" si="666"/>
        <v>0</v>
      </c>
    </row>
    <row r="1192" spans="1:16" x14ac:dyDescent="0.25">
      <c r="A1192" s="1039"/>
      <c r="B1192" s="1039"/>
      <c r="C1192" s="1039"/>
      <c r="D1192" s="1040"/>
      <c r="E1192" s="1041"/>
      <c r="F1192" s="1040"/>
      <c r="G1192" s="1041"/>
      <c r="H1192" s="1042"/>
      <c r="I1192" s="1042"/>
      <c r="J1192" s="1042"/>
    </row>
    <row r="1193" spans="1:16" x14ac:dyDescent="0.25">
      <c r="A1193" s="1039"/>
      <c r="B1193" s="1039"/>
      <c r="C1193" s="1039"/>
      <c r="D1193" s="1040"/>
      <c r="E1193" s="1041"/>
      <c r="F1193" s="1040"/>
      <c r="G1193" s="1041"/>
      <c r="H1193" s="1042"/>
      <c r="I1193" s="1042"/>
      <c r="J1193" s="1042"/>
    </row>
    <row r="1194" spans="1:16" x14ac:dyDescent="0.25">
      <c r="A1194" s="1076" t="str">
        <f>'Rekap SPP'!A1720</f>
        <v>S2-HK 2018/2019</v>
      </c>
      <c r="B1194" s="1077"/>
      <c r="C1194" s="1077"/>
      <c r="D1194" s="1033" t="s">
        <v>3</v>
      </c>
      <c r="E1194" s="1032" t="s">
        <v>4</v>
      </c>
      <c r="F1194" s="1033" t="s">
        <v>3195</v>
      </c>
      <c r="G1194" s="1032" t="s">
        <v>1</v>
      </c>
      <c r="H1194" s="1033" t="s">
        <v>3362</v>
      </c>
      <c r="I1194" s="1033" t="s">
        <v>3341</v>
      </c>
      <c r="J1194" s="1062">
        <f>SUM(J1195:J1222)</f>
        <v>148800000</v>
      </c>
      <c r="L1194" s="1063">
        <f>SUM(L1195:L1222)</f>
        <v>14</v>
      </c>
      <c r="M1194" s="1063">
        <f>SUM(M1195:M1222)</f>
        <v>9</v>
      </c>
      <c r="N1194" s="1063">
        <f>SUM(N1195:N1222)</f>
        <v>1</v>
      </c>
      <c r="O1194" s="1063">
        <f>SUM(O1195:O1222)</f>
        <v>0</v>
      </c>
      <c r="P1194" s="1063">
        <f>SUM(P1195:P1222)</f>
        <v>4</v>
      </c>
    </row>
    <row r="1195" spans="1:16" x14ac:dyDescent="0.25">
      <c r="A1195" s="1039">
        <v>1588</v>
      </c>
      <c r="B1195" s="1039">
        <f t="shared" ref="B1195:B1207" si="669">IFERROR(VLOOKUP(A1195,DB,2,FALSE),"")</f>
        <v>1</v>
      </c>
      <c r="C1195" s="1039" t="str">
        <f t="shared" ref="C1195:C1222" si="670">IFERROR(VLOOKUP(A1195,DB,4,FALSE),"")</f>
        <v>Muhammad Soleh</v>
      </c>
      <c r="D1195" s="1040" t="str">
        <f t="shared" ref="D1195:D1222" si="671">IFERROR(VLOOKUP(A1195,DB,5,FALSE),"")</f>
        <v>HK-3A</v>
      </c>
      <c r="E1195" s="1041">
        <f t="shared" ref="E1195:E1222" si="672">IFERROR(VLOOKUP(A1195,DB,6,FALSE),"")</f>
        <v>2018</v>
      </c>
      <c r="F1195" s="1040" t="str">
        <f t="shared" ref="F1195:F1222" si="673">IFERROR(VLOOKUP(A1195,DB,7,FALSE),"")</f>
        <v>LULUS</v>
      </c>
      <c r="G1195" s="1041">
        <f t="shared" ref="G1195:G1222" si="674">IFERROR(VLOOKUP(A1195,DB,3,FALSE),"")</f>
        <v>839118001</v>
      </c>
      <c r="H1195" s="1042">
        <f t="shared" ref="H1195:H1207" si="675">IF(F1195="AKTIF",6450000,IF(F1195="CUTI",3000000,0))</f>
        <v>0</v>
      </c>
      <c r="I1195" s="1042">
        <f t="shared" ref="I1195:I1207" si="676">IF(F1195="AKTIF",3750000,IF(F1195="CUTI",3000000,0))</f>
        <v>0</v>
      </c>
      <c r="J1195" s="1042">
        <f t="shared" ref="J1195:J1207" si="677">I1195+H1195</f>
        <v>0</v>
      </c>
      <c r="L1195" s="1060">
        <f t="shared" ref="L1195:L1207" si="678">IF(F1195="AKTIF",1,0)</f>
        <v>0</v>
      </c>
      <c r="M1195" s="1060">
        <f t="shared" ref="M1195:M1222" si="679">IF(F1195="LULUS",1,0)</f>
        <v>1</v>
      </c>
      <c r="N1195" s="1060">
        <f t="shared" ref="N1195:N1222" si="680">IF(F1195="CUTI",1,0)</f>
        <v>0</v>
      </c>
      <c r="O1195" s="1060">
        <f t="shared" ref="O1195:O1222" si="681">IF(F1195="DROP OUT",1,0)</f>
        <v>0</v>
      </c>
      <c r="P1195" s="1060">
        <f t="shared" ref="P1195:P1222" si="682">IF(F1195="PASIF",1,0)</f>
        <v>0</v>
      </c>
    </row>
    <row r="1196" spans="1:16" x14ac:dyDescent="0.25">
      <c r="A1196" s="1039">
        <v>1589</v>
      </c>
      <c r="B1196" s="1039">
        <f t="shared" si="669"/>
        <v>2</v>
      </c>
      <c r="C1196" s="1039" t="str">
        <f t="shared" si="670"/>
        <v>Sulthon Umar</v>
      </c>
      <c r="D1196" s="1040" t="str">
        <f t="shared" si="671"/>
        <v>HK-3A</v>
      </c>
      <c r="E1196" s="1041">
        <f t="shared" si="672"/>
        <v>2018</v>
      </c>
      <c r="F1196" s="1040" t="str">
        <f t="shared" si="673"/>
        <v>LULUS</v>
      </c>
      <c r="G1196" s="1041">
        <f t="shared" si="674"/>
        <v>839118002</v>
      </c>
      <c r="H1196" s="1042">
        <f t="shared" si="675"/>
        <v>0</v>
      </c>
      <c r="I1196" s="1042">
        <f t="shared" si="676"/>
        <v>0</v>
      </c>
      <c r="J1196" s="1042">
        <f t="shared" si="677"/>
        <v>0</v>
      </c>
      <c r="L1196" s="1060">
        <f t="shared" si="678"/>
        <v>0</v>
      </c>
      <c r="M1196" s="1060">
        <f t="shared" si="679"/>
        <v>1</v>
      </c>
      <c r="N1196" s="1060">
        <f t="shared" si="680"/>
        <v>0</v>
      </c>
      <c r="O1196" s="1060">
        <f t="shared" si="681"/>
        <v>0</v>
      </c>
      <c r="P1196" s="1060">
        <f t="shared" si="682"/>
        <v>0</v>
      </c>
    </row>
    <row r="1197" spans="1:16" x14ac:dyDescent="0.25">
      <c r="A1197" s="1039">
        <v>1590</v>
      </c>
      <c r="B1197" s="1039">
        <f t="shared" si="669"/>
        <v>3</v>
      </c>
      <c r="C1197" s="1039" t="str">
        <f t="shared" si="670"/>
        <v>Abdul Hamid</v>
      </c>
      <c r="D1197" s="1040" t="str">
        <f t="shared" si="671"/>
        <v>HK-3A</v>
      </c>
      <c r="E1197" s="1041">
        <f t="shared" si="672"/>
        <v>2018</v>
      </c>
      <c r="F1197" s="1040" t="str">
        <f t="shared" si="673"/>
        <v>AKTIF</v>
      </c>
      <c r="G1197" s="1041">
        <f t="shared" si="674"/>
        <v>839118003</v>
      </c>
      <c r="H1197" s="1042">
        <f t="shared" si="675"/>
        <v>6450000</v>
      </c>
      <c r="I1197" s="1042">
        <f t="shared" si="676"/>
        <v>3750000</v>
      </c>
      <c r="J1197" s="1042">
        <f t="shared" si="677"/>
        <v>10200000</v>
      </c>
      <c r="L1197" s="1060">
        <f t="shared" si="678"/>
        <v>1</v>
      </c>
      <c r="M1197" s="1060">
        <f t="shared" si="679"/>
        <v>0</v>
      </c>
      <c r="N1197" s="1060">
        <f t="shared" si="680"/>
        <v>0</v>
      </c>
      <c r="O1197" s="1060">
        <f t="shared" si="681"/>
        <v>0</v>
      </c>
      <c r="P1197" s="1060">
        <f t="shared" si="682"/>
        <v>0</v>
      </c>
    </row>
    <row r="1198" spans="1:16" x14ac:dyDescent="0.25">
      <c r="A1198" s="1039">
        <v>1591</v>
      </c>
      <c r="B1198" s="1039">
        <f t="shared" si="669"/>
        <v>4</v>
      </c>
      <c r="C1198" s="1039" t="str">
        <f t="shared" si="670"/>
        <v xml:space="preserve">Fatmawati </v>
      </c>
      <c r="D1198" s="1040" t="str">
        <f t="shared" si="671"/>
        <v>HK-3A</v>
      </c>
      <c r="E1198" s="1041">
        <f t="shared" si="672"/>
        <v>2018</v>
      </c>
      <c r="F1198" s="1040" t="str">
        <f t="shared" si="673"/>
        <v>LULUS</v>
      </c>
      <c r="G1198" s="1041">
        <f t="shared" si="674"/>
        <v>839118004</v>
      </c>
      <c r="H1198" s="1042">
        <f t="shared" si="675"/>
        <v>0</v>
      </c>
      <c r="I1198" s="1042">
        <f t="shared" si="676"/>
        <v>0</v>
      </c>
      <c r="J1198" s="1042">
        <f t="shared" si="677"/>
        <v>0</v>
      </c>
      <c r="L1198" s="1060">
        <f t="shared" si="678"/>
        <v>0</v>
      </c>
      <c r="M1198" s="1060">
        <f t="shared" si="679"/>
        <v>1</v>
      </c>
      <c r="N1198" s="1060">
        <f t="shared" si="680"/>
        <v>0</v>
      </c>
      <c r="O1198" s="1060">
        <f t="shared" si="681"/>
        <v>0</v>
      </c>
      <c r="P1198" s="1060">
        <f t="shared" si="682"/>
        <v>0</v>
      </c>
    </row>
    <row r="1199" spans="1:16" x14ac:dyDescent="0.25">
      <c r="A1199" s="1039">
        <v>1592</v>
      </c>
      <c r="B1199" s="1039">
        <f t="shared" si="669"/>
        <v>5</v>
      </c>
      <c r="C1199" s="1039" t="str">
        <f t="shared" si="670"/>
        <v>Siti Nurholilah</v>
      </c>
      <c r="D1199" s="1040" t="str">
        <f t="shared" si="671"/>
        <v>HK-3A</v>
      </c>
      <c r="E1199" s="1041">
        <f t="shared" si="672"/>
        <v>2018</v>
      </c>
      <c r="F1199" s="1040" t="str">
        <f t="shared" si="673"/>
        <v>LULUS</v>
      </c>
      <c r="G1199" s="1041">
        <f t="shared" si="674"/>
        <v>839118005</v>
      </c>
      <c r="H1199" s="1042">
        <f t="shared" si="675"/>
        <v>0</v>
      </c>
      <c r="I1199" s="1042">
        <f t="shared" si="676"/>
        <v>0</v>
      </c>
      <c r="J1199" s="1042">
        <f t="shared" si="677"/>
        <v>0</v>
      </c>
      <c r="L1199" s="1060">
        <f t="shared" si="678"/>
        <v>0</v>
      </c>
      <c r="M1199" s="1060">
        <f t="shared" si="679"/>
        <v>1</v>
      </c>
      <c r="N1199" s="1060">
        <f t="shared" si="680"/>
        <v>0</v>
      </c>
      <c r="O1199" s="1060">
        <f t="shared" si="681"/>
        <v>0</v>
      </c>
      <c r="P1199" s="1060">
        <f t="shared" si="682"/>
        <v>0</v>
      </c>
    </row>
    <row r="1200" spans="1:16" x14ac:dyDescent="0.25">
      <c r="A1200" s="1039">
        <v>1593</v>
      </c>
      <c r="B1200" s="1039">
        <f t="shared" si="669"/>
        <v>6</v>
      </c>
      <c r="C1200" s="1039" t="str">
        <f t="shared" si="670"/>
        <v>Edi Purwanto</v>
      </c>
      <c r="D1200" s="1040" t="str">
        <f t="shared" si="671"/>
        <v>HK-3A</v>
      </c>
      <c r="E1200" s="1041">
        <f t="shared" si="672"/>
        <v>2018</v>
      </c>
      <c r="F1200" s="1040" t="str">
        <f t="shared" si="673"/>
        <v>AKTIF</v>
      </c>
      <c r="G1200" s="1041">
        <f t="shared" si="674"/>
        <v>839118006</v>
      </c>
      <c r="H1200" s="1042">
        <f t="shared" si="675"/>
        <v>6450000</v>
      </c>
      <c r="I1200" s="1042">
        <f t="shared" si="676"/>
        <v>3750000</v>
      </c>
      <c r="J1200" s="1042">
        <f t="shared" si="677"/>
        <v>10200000</v>
      </c>
      <c r="L1200" s="1060">
        <f t="shared" si="678"/>
        <v>1</v>
      </c>
      <c r="M1200" s="1060">
        <f t="shared" si="679"/>
        <v>0</v>
      </c>
      <c r="N1200" s="1060">
        <f t="shared" si="680"/>
        <v>0</v>
      </c>
      <c r="O1200" s="1060">
        <f t="shared" si="681"/>
        <v>0</v>
      </c>
      <c r="P1200" s="1060">
        <f t="shared" si="682"/>
        <v>0</v>
      </c>
    </row>
    <row r="1201" spans="1:16" x14ac:dyDescent="0.25">
      <c r="A1201" s="1039">
        <v>1594</v>
      </c>
      <c r="B1201" s="1039">
        <f t="shared" si="669"/>
        <v>7</v>
      </c>
      <c r="C1201" s="1039" t="str">
        <f t="shared" si="670"/>
        <v>Moh. Jeweherul Kalamiah</v>
      </c>
      <c r="D1201" s="1040" t="str">
        <f t="shared" si="671"/>
        <v>HK-3A</v>
      </c>
      <c r="E1201" s="1041">
        <f t="shared" si="672"/>
        <v>2018</v>
      </c>
      <c r="F1201" s="1040" t="str">
        <f t="shared" si="673"/>
        <v>AKTIF</v>
      </c>
      <c r="G1201" s="1041">
        <f t="shared" si="674"/>
        <v>839118007</v>
      </c>
      <c r="H1201" s="1042">
        <f t="shared" si="675"/>
        <v>6450000</v>
      </c>
      <c r="I1201" s="1042">
        <f t="shared" si="676"/>
        <v>3750000</v>
      </c>
      <c r="J1201" s="1042">
        <f t="shared" si="677"/>
        <v>10200000</v>
      </c>
      <c r="L1201" s="1060">
        <f t="shared" si="678"/>
        <v>1</v>
      </c>
      <c r="M1201" s="1060">
        <f t="shared" si="679"/>
        <v>0</v>
      </c>
      <c r="N1201" s="1060">
        <f t="shared" si="680"/>
        <v>0</v>
      </c>
      <c r="O1201" s="1060">
        <f t="shared" si="681"/>
        <v>0</v>
      </c>
      <c r="P1201" s="1060">
        <f t="shared" si="682"/>
        <v>0</v>
      </c>
    </row>
    <row r="1202" spans="1:16" x14ac:dyDescent="0.25">
      <c r="A1202" s="1039">
        <v>1595</v>
      </c>
      <c r="B1202" s="1039">
        <f t="shared" si="669"/>
        <v>8</v>
      </c>
      <c r="C1202" s="1039" t="str">
        <f t="shared" si="670"/>
        <v>Malik Ibrohim</v>
      </c>
      <c r="D1202" s="1040" t="str">
        <f t="shared" si="671"/>
        <v>HK-3A</v>
      </c>
      <c r="E1202" s="1041">
        <f t="shared" si="672"/>
        <v>2018</v>
      </c>
      <c r="F1202" s="1040" t="str">
        <f t="shared" si="673"/>
        <v>AKTIF</v>
      </c>
      <c r="G1202" s="1041">
        <f t="shared" si="674"/>
        <v>839118011</v>
      </c>
      <c r="H1202" s="1042">
        <f t="shared" si="675"/>
        <v>6450000</v>
      </c>
      <c r="I1202" s="1042">
        <f t="shared" si="676"/>
        <v>3750000</v>
      </c>
      <c r="J1202" s="1042">
        <f t="shared" si="677"/>
        <v>10200000</v>
      </c>
      <c r="L1202" s="1060">
        <f t="shared" si="678"/>
        <v>1</v>
      </c>
      <c r="M1202" s="1060">
        <f t="shared" si="679"/>
        <v>0</v>
      </c>
      <c r="N1202" s="1060">
        <f t="shared" si="680"/>
        <v>0</v>
      </c>
      <c r="O1202" s="1060">
        <f t="shared" si="681"/>
        <v>0</v>
      </c>
      <c r="P1202" s="1060">
        <f t="shared" si="682"/>
        <v>0</v>
      </c>
    </row>
    <row r="1203" spans="1:16" x14ac:dyDescent="0.25">
      <c r="A1203" s="1039">
        <v>1596</v>
      </c>
      <c r="B1203" s="1039">
        <f t="shared" si="669"/>
        <v>9</v>
      </c>
      <c r="C1203" s="1039" t="str">
        <f t="shared" si="670"/>
        <v>Mohamad Sholeh Maulana</v>
      </c>
      <c r="D1203" s="1040" t="str">
        <f t="shared" si="671"/>
        <v>HK-3A</v>
      </c>
      <c r="E1203" s="1041">
        <f t="shared" si="672"/>
        <v>2018</v>
      </c>
      <c r="F1203" s="1040" t="str">
        <f t="shared" si="673"/>
        <v>AKTIF</v>
      </c>
      <c r="G1203" s="1041">
        <f t="shared" si="674"/>
        <v>839118012</v>
      </c>
      <c r="H1203" s="1042">
        <f t="shared" si="675"/>
        <v>6450000</v>
      </c>
      <c r="I1203" s="1042">
        <f t="shared" si="676"/>
        <v>3750000</v>
      </c>
      <c r="J1203" s="1042">
        <f t="shared" si="677"/>
        <v>10200000</v>
      </c>
      <c r="L1203" s="1060">
        <f t="shared" si="678"/>
        <v>1</v>
      </c>
      <c r="M1203" s="1060">
        <f t="shared" si="679"/>
        <v>0</v>
      </c>
      <c r="N1203" s="1060">
        <f t="shared" si="680"/>
        <v>0</v>
      </c>
      <c r="O1203" s="1060">
        <f t="shared" si="681"/>
        <v>0</v>
      </c>
      <c r="P1203" s="1060">
        <f t="shared" si="682"/>
        <v>0</v>
      </c>
    </row>
    <row r="1204" spans="1:16" x14ac:dyDescent="0.25">
      <c r="A1204" s="1039">
        <v>1597</v>
      </c>
      <c r="B1204" s="1039">
        <f t="shared" si="669"/>
        <v>10</v>
      </c>
      <c r="C1204" s="1039" t="str">
        <f t="shared" si="670"/>
        <v>Zaenal Arifin</v>
      </c>
      <c r="D1204" s="1040" t="str">
        <f t="shared" si="671"/>
        <v>HK-3A</v>
      </c>
      <c r="E1204" s="1041">
        <f t="shared" si="672"/>
        <v>2018</v>
      </c>
      <c r="F1204" s="1040" t="str">
        <f t="shared" si="673"/>
        <v>AKTIF</v>
      </c>
      <c r="G1204" s="1041">
        <f t="shared" si="674"/>
        <v>839118013</v>
      </c>
      <c r="H1204" s="1042">
        <f t="shared" si="675"/>
        <v>6450000</v>
      </c>
      <c r="I1204" s="1042">
        <f t="shared" si="676"/>
        <v>3750000</v>
      </c>
      <c r="J1204" s="1042">
        <f t="shared" si="677"/>
        <v>10200000</v>
      </c>
      <c r="L1204" s="1060">
        <f t="shared" si="678"/>
        <v>1</v>
      </c>
      <c r="M1204" s="1060">
        <f t="shared" si="679"/>
        <v>0</v>
      </c>
      <c r="N1204" s="1060">
        <f t="shared" si="680"/>
        <v>0</v>
      </c>
      <c r="O1204" s="1060">
        <f t="shared" si="681"/>
        <v>0</v>
      </c>
      <c r="P1204" s="1060">
        <f t="shared" si="682"/>
        <v>0</v>
      </c>
    </row>
    <row r="1205" spans="1:16" x14ac:dyDescent="0.25">
      <c r="A1205" s="1039">
        <v>1598</v>
      </c>
      <c r="B1205" s="1039">
        <f t="shared" si="669"/>
        <v>11</v>
      </c>
      <c r="C1205" s="1039" t="str">
        <f t="shared" si="670"/>
        <v>Moh. Ali Maksum</v>
      </c>
      <c r="D1205" s="1040" t="str">
        <f t="shared" si="671"/>
        <v>HK-3A</v>
      </c>
      <c r="E1205" s="1041">
        <f t="shared" si="672"/>
        <v>2018</v>
      </c>
      <c r="F1205" s="1040" t="str">
        <f t="shared" si="673"/>
        <v>CUTI</v>
      </c>
      <c r="G1205" s="1041">
        <f t="shared" si="674"/>
        <v>839118014</v>
      </c>
      <c r="H1205" s="1042">
        <f t="shared" si="675"/>
        <v>3000000</v>
      </c>
      <c r="I1205" s="1042">
        <f t="shared" si="676"/>
        <v>3000000</v>
      </c>
      <c r="J1205" s="1042">
        <f t="shared" si="677"/>
        <v>6000000</v>
      </c>
      <c r="L1205" s="1060">
        <f t="shared" si="678"/>
        <v>0</v>
      </c>
      <c r="M1205" s="1060">
        <f t="shared" si="679"/>
        <v>0</v>
      </c>
      <c r="N1205" s="1060">
        <f t="shared" si="680"/>
        <v>1</v>
      </c>
      <c r="O1205" s="1060">
        <f t="shared" si="681"/>
        <v>0</v>
      </c>
      <c r="P1205" s="1060">
        <f t="shared" si="682"/>
        <v>0</v>
      </c>
    </row>
    <row r="1206" spans="1:16" x14ac:dyDescent="0.25">
      <c r="A1206" s="1039">
        <v>1599</v>
      </c>
      <c r="B1206" s="1039">
        <f t="shared" si="669"/>
        <v>12</v>
      </c>
      <c r="C1206" s="1039" t="str">
        <f t="shared" si="670"/>
        <v>Salma Mufidah</v>
      </c>
      <c r="D1206" s="1040" t="str">
        <f t="shared" si="671"/>
        <v>HK-3A</v>
      </c>
      <c r="E1206" s="1041">
        <f t="shared" si="672"/>
        <v>2018</v>
      </c>
      <c r="F1206" s="1040" t="str">
        <f t="shared" si="673"/>
        <v>AKTIF</v>
      </c>
      <c r="G1206" s="1041">
        <f t="shared" si="674"/>
        <v>839118017</v>
      </c>
      <c r="H1206" s="1042">
        <f t="shared" si="675"/>
        <v>6450000</v>
      </c>
      <c r="I1206" s="1042">
        <f t="shared" si="676"/>
        <v>3750000</v>
      </c>
      <c r="J1206" s="1042">
        <f t="shared" si="677"/>
        <v>10200000</v>
      </c>
      <c r="L1206" s="1060">
        <f t="shared" si="678"/>
        <v>1</v>
      </c>
      <c r="M1206" s="1060">
        <f t="shared" si="679"/>
        <v>0</v>
      </c>
      <c r="N1206" s="1060">
        <f t="shared" si="680"/>
        <v>0</v>
      </c>
      <c r="O1206" s="1060">
        <f t="shared" si="681"/>
        <v>0</v>
      </c>
      <c r="P1206" s="1060">
        <f t="shared" si="682"/>
        <v>0</v>
      </c>
    </row>
    <row r="1207" spans="1:16" x14ac:dyDescent="0.25">
      <c r="A1207" s="1039">
        <v>1600</v>
      </c>
      <c r="B1207" s="1039">
        <f t="shared" si="669"/>
        <v>13</v>
      </c>
      <c r="C1207" s="1039" t="str">
        <f t="shared" si="670"/>
        <v>Moh Imam Haroqi</v>
      </c>
      <c r="D1207" s="1040" t="str">
        <f t="shared" si="671"/>
        <v>HK-3A</v>
      </c>
      <c r="E1207" s="1041">
        <f t="shared" si="672"/>
        <v>2018</v>
      </c>
      <c r="F1207" s="1040" t="str">
        <f t="shared" si="673"/>
        <v>PASIF</v>
      </c>
      <c r="G1207" s="1041">
        <f t="shared" si="674"/>
        <v>839118024</v>
      </c>
      <c r="H1207" s="1042">
        <f t="shared" si="675"/>
        <v>0</v>
      </c>
      <c r="I1207" s="1042">
        <f t="shared" si="676"/>
        <v>0</v>
      </c>
      <c r="J1207" s="1042">
        <f t="shared" si="677"/>
        <v>0</v>
      </c>
      <c r="L1207" s="1060">
        <f t="shared" si="678"/>
        <v>0</v>
      </c>
      <c r="M1207" s="1060">
        <f t="shared" si="679"/>
        <v>0</v>
      </c>
      <c r="N1207" s="1060">
        <f t="shared" si="680"/>
        <v>0</v>
      </c>
      <c r="O1207" s="1060">
        <f t="shared" si="681"/>
        <v>0</v>
      </c>
      <c r="P1207" s="1060">
        <f t="shared" si="682"/>
        <v>1</v>
      </c>
    </row>
    <row r="1208" spans="1:16" x14ac:dyDescent="0.25">
      <c r="A1208" s="1039">
        <v>1601</v>
      </c>
      <c r="B1208" s="1039">
        <f t="shared" ref="B1208:B1213" si="683">IFERROR(VLOOKUP(A1208,DB,2,FALSE),"")</f>
        <v>14</v>
      </c>
      <c r="C1208" s="1039" t="str">
        <f t="shared" si="670"/>
        <v>Azmil Wafi</v>
      </c>
      <c r="D1208" s="1040" t="str">
        <f t="shared" si="671"/>
        <v>HK-3B</v>
      </c>
      <c r="E1208" s="1041">
        <f t="shared" si="672"/>
        <v>2018</v>
      </c>
      <c r="F1208" s="1040" t="str">
        <f t="shared" si="673"/>
        <v>AKTIF</v>
      </c>
      <c r="G1208" s="1041">
        <f t="shared" si="674"/>
        <v>839118008</v>
      </c>
      <c r="H1208" s="1042">
        <f t="shared" ref="H1208:H1276" si="684">IF(F1208="AKTIF",6450000,IF(F1208="CUTI",3000000,0))</f>
        <v>6450000</v>
      </c>
      <c r="I1208" s="1042">
        <f t="shared" ref="I1208:I1276" si="685">IF(F1208="AKTIF",3750000,IF(F1208="CUTI",3000000,0))</f>
        <v>3750000</v>
      </c>
      <c r="J1208" s="1042">
        <f t="shared" ref="J1208:J1275" si="686">I1208+H1208</f>
        <v>10200000</v>
      </c>
      <c r="L1208" s="1060">
        <f t="shared" ref="L1208:L1213" si="687">IF(F1208="AKTIF",1,0)</f>
        <v>1</v>
      </c>
      <c r="M1208" s="1060">
        <f t="shared" si="679"/>
        <v>0</v>
      </c>
      <c r="N1208" s="1060">
        <f t="shared" si="680"/>
        <v>0</v>
      </c>
      <c r="O1208" s="1060">
        <f t="shared" si="681"/>
        <v>0</v>
      </c>
      <c r="P1208" s="1060">
        <f t="shared" si="682"/>
        <v>0</v>
      </c>
    </row>
    <row r="1209" spans="1:16" x14ac:dyDescent="0.25">
      <c r="A1209" s="1039">
        <v>1602</v>
      </c>
      <c r="B1209" s="1039">
        <f t="shared" si="683"/>
        <v>15</v>
      </c>
      <c r="C1209" s="1039" t="str">
        <f t="shared" si="670"/>
        <v>Junaidi Ali</v>
      </c>
      <c r="D1209" s="1040" t="str">
        <f t="shared" si="671"/>
        <v>HK-3B</v>
      </c>
      <c r="E1209" s="1041">
        <f t="shared" si="672"/>
        <v>2018</v>
      </c>
      <c r="F1209" s="1040" t="str">
        <f t="shared" si="673"/>
        <v>LULUS</v>
      </c>
      <c r="G1209" s="1041">
        <f t="shared" si="674"/>
        <v>839118009</v>
      </c>
      <c r="H1209" s="1042">
        <f t="shared" si="684"/>
        <v>0</v>
      </c>
      <c r="I1209" s="1042">
        <f t="shared" si="685"/>
        <v>0</v>
      </c>
      <c r="J1209" s="1042">
        <f t="shared" si="686"/>
        <v>0</v>
      </c>
      <c r="L1209" s="1060">
        <f t="shared" si="687"/>
        <v>0</v>
      </c>
      <c r="M1209" s="1060">
        <f t="shared" si="679"/>
        <v>1</v>
      </c>
      <c r="N1209" s="1060">
        <f t="shared" si="680"/>
        <v>0</v>
      </c>
      <c r="O1209" s="1060">
        <f t="shared" si="681"/>
        <v>0</v>
      </c>
      <c r="P1209" s="1060">
        <f t="shared" si="682"/>
        <v>0</v>
      </c>
    </row>
    <row r="1210" spans="1:16" x14ac:dyDescent="0.25">
      <c r="A1210" s="1039">
        <v>1603</v>
      </c>
      <c r="B1210" s="1039">
        <f t="shared" si="683"/>
        <v>16</v>
      </c>
      <c r="C1210" s="1039" t="str">
        <f t="shared" si="670"/>
        <v>Moh. Afif Zahirul Alam</v>
      </c>
      <c r="D1210" s="1040" t="str">
        <f t="shared" si="671"/>
        <v>HK-3B</v>
      </c>
      <c r="E1210" s="1041">
        <f t="shared" si="672"/>
        <v>2018</v>
      </c>
      <c r="F1210" s="1040" t="str">
        <f t="shared" si="673"/>
        <v>PASIF</v>
      </c>
      <c r="G1210" s="1041">
        <f t="shared" si="674"/>
        <v>839118015</v>
      </c>
      <c r="H1210" s="1042">
        <f t="shared" si="684"/>
        <v>0</v>
      </c>
      <c r="I1210" s="1042">
        <f t="shared" si="685"/>
        <v>0</v>
      </c>
      <c r="J1210" s="1042">
        <f t="shared" si="686"/>
        <v>0</v>
      </c>
      <c r="L1210" s="1060">
        <f t="shared" si="687"/>
        <v>0</v>
      </c>
      <c r="M1210" s="1060">
        <f t="shared" si="679"/>
        <v>0</v>
      </c>
      <c r="N1210" s="1060">
        <f t="shared" si="680"/>
        <v>0</v>
      </c>
      <c r="O1210" s="1060">
        <f t="shared" si="681"/>
        <v>0</v>
      </c>
      <c r="P1210" s="1060">
        <f t="shared" si="682"/>
        <v>1</v>
      </c>
    </row>
    <row r="1211" spans="1:16" x14ac:dyDescent="0.25">
      <c r="A1211" s="1039">
        <v>1604</v>
      </c>
      <c r="B1211" s="1039">
        <f t="shared" si="683"/>
        <v>17</v>
      </c>
      <c r="C1211" s="1039" t="str">
        <f t="shared" si="670"/>
        <v>Izzuddin</v>
      </c>
      <c r="D1211" s="1040" t="str">
        <f t="shared" si="671"/>
        <v>HK-3B</v>
      </c>
      <c r="E1211" s="1041">
        <f t="shared" si="672"/>
        <v>2018</v>
      </c>
      <c r="F1211" s="1040" t="str">
        <f t="shared" si="673"/>
        <v>AKTIF</v>
      </c>
      <c r="G1211" s="1041">
        <f t="shared" si="674"/>
        <v>839118016</v>
      </c>
      <c r="H1211" s="1042">
        <f t="shared" si="684"/>
        <v>6450000</v>
      </c>
      <c r="I1211" s="1042">
        <f t="shared" si="685"/>
        <v>3750000</v>
      </c>
      <c r="J1211" s="1042">
        <f t="shared" si="686"/>
        <v>10200000</v>
      </c>
      <c r="L1211" s="1060">
        <f t="shared" si="687"/>
        <v>1</v>
      </c>
      <c r="M1211" s="1060">
        <f t="shared" si="679"/>
        <v>0</v>
      </c>
      <c r="N1211" s="1060">
        <f t="shared" si="680"/>
        <v>0</v>
      </c>
      <c r="O1211" s="1060">
        <f t="shared" si="681"/>
        <v>0</v>
      </c>
      <c r="P1211" s="1060">
        <f t="shared" si="682"/>
        <v>0</v>
      </c>
    </row>
    <row r="1212" spans="1:16" x14ac:dyDescent="0.25">
      <c r="A1212" s="1039">
        <v>1605</v>
      </c>
      <c r="B1212" s="1039">
        <f t="shared" si="683"/>
        <v>18</v>
      </c>
      <c r="C1212" s="1039" t="str">
        <f t="shared" si="670"/>
        <v>Mursyid Madani</v>
      </c>
      <c r="D1212" s="1040" t="str">
        <f t="shared" si="671"/>
        <v>HK-3B</v>
      </c>
      <c r="E1212" s="1041">
        <f t="shared" si="672"/>
        <v>2018</v>
      </c>
      <c r="F1212" s="1040" t="str">
        <f t="shared" si="673"/>
        <v>AKTIF</v>
      </c>
      <c r="G1212" s="1041">
        <f t="shared" si="674"/>
        <v>839118018</v>
      </c>
      <c r="H1212" s="1042">
        <f t="shared" si="684"/>
        <v>6450000</v>
      </c>
      <c r="I1212" s="1042">
        <f t="shared" si="685"/>
        <v>3750000</v>
      </c>
      <c r="J1212" s="1042">
        <f t="shared" si="686"/>
        <v>10200000</v>
      </c>
      <c r="L1212" s="1060">
        <f t="shared" si="687"/>
        <v>1</v>
      </c>
      <c r="M1212" s="1060">
        <f t="shared" si="679"/>
        <v>0</v>
      </c>
      <c r="N1212" s="1060">
        <f t="shared" si="680"/>
        <v>0</v>
      </c>
      <c r="O1212" s="1060">
        <f t="shared" si="681"/>
        <v>0</v>
      </c>
      <c r="P1212" s="1060">
        <f t="shared" si="682"/>
        <v>0</v>
      </c>
    </row>
    <row r="1213" spans="1:16" x14ac:dyDescent="0.25">
      <c r="A1213" s="1039">
        <v>1606</v>
      </c>
      <c r="B1213" s="1039">
        <f t="shared" si="683"/>
        <v>19</v>
      </c>
      <c r="C1213" s="1039" t="str">
        <f t="shared" si="670"/>
        <v>Efan Chairul Abdi</v>
      </c>
      <c r="D1213" s="1040" t="str">
        <f t="shared" si="671"/>
        <v>HK-3B</v>
      </c>
      <c r="E1213" s="1041">
        <f t="shared" si="672"/>
        <v>2018</v>
      </c>
      <c r="F1213" s="1040" t="str">
        <f t="shared" si="673"/>
        <v>LULUS</v>
      </c>
      <c r="G1213" s="1041">
        <f t="shared" si="674"/>
        <v>839118019</v>
      </c>
      <c r="H1213" s="1042">
        <f t="shared" si="684"/>
        <v>0</v>
      </c>
      <c r="I1213" s="1042">
        <f t="shared" si="685"/>
        <v>0</v>
      </c>
      <c r="J1213" s="1042">
        <f t="shared" si="686"/>
        <v>0</v>
      </c>
      <c r="L1213" s="1060">
        <f t="shared" si="687"/>
        <v>0</v>
      </c>
      <c r="M1213" s="1060">
        <f t="shared" si="679"/>
        <v>1</v>
      </c>
      <c r="N1213" s="1060">
        <f t="shared" si="680"/>
        <v>0</v>
      </c>
      <c r="O1213" s="1060">
        <f t="shared" si="681"/>
        <v>0</v>
      </c>
      <c r="P1213" s="1060">
        <f t="shared" si="682"/>
        <v>0</v>
      </c>
    </row>
    <row r="1214" spans="1:16" x14ac:dyDescent="0.25">
      <c r="A1214" s="1039">
        <v>1607</v>
      </c>
      <c r="B1214" s="1039">
        <f t="shared" ref="B1214:B1222" si="688">IFERROR(VLOOKUP(A1214,DB,2,FALSE),"")</f>
        <v>20</v>
      </c>
      <c r="C1214" s="1039" t="str">
        <f t="shared" si="670"/>
        <v>Muhammad Fauzan</v>
      </c>
      <c r="D1214" s="1040" t="str">
        <f t="shared" si="671"/>
        <v>HK-3B</v>
      </c>
      <c r="E1214" s="1041">
        <f t="shared" si="672"/>
        <v>2018</v>
      </c>
      <c r="F1214" s="1040" t="str">
        <f t="shared" si="673"/>
        <v>AKTIF</v>
      </c>
      <c r="G1214" s="1041">
        <f t="shared" si="674"/>
        <v>839118020</v>
      </c>
      <c r="H1214" s="1042">
        <f t="shared" ref="H1214:H1222" si="689">IF(F1214="AKTIF",6450000,IF(F1214="CUTI",3000000,0))</f>
        <v>6450000</v>
      </c>
      <c r="I1214" s="1042">
        <f t="shared" ref="I1214:I1222" si="690">IF(F1214="AKTIF",3750000,IF(F1214="CUTI",3000000,0))</f>
        <v>3750000</v>
      </c>
      <c r="J1214" s="1042">
        <f t="shared" ref="J1214:J1222" si="691">I1214+H1214</f>
        <v>10200000</v>
      </c>
      <c r="L1214" s="1060">
        <f t="shared" ref="L1214:L1222" si="692">IF(F1214="AKTIF",1,0)</f>
        <v>1</v>
      </c>
      <c r="M1214" s="1060">
        <f t="shared" si="679"/>
        <v>0</v>
      </c>
      <c r="N1214" s="1060">
        <f t="shared" si="680"/>
        <v>0</v>
      </c>
      <c r="O1214" s="1060">
        <f t="shared" si="681"/>
        <v>0</v>
      </c>
      <c r="P1214" s="1060">
        <f t="shared" si="682"/>
        <v>0</v>
      </c>
    </row>
    <row r="1215" spans="1:16" x14ac:dyDescent="0.25">
      <c r="A1215" s="1039">
        <v>1608</v>
      </c>
      <c r="B1215" s="1039">
        <f t="shared" si="688"/>
        <v>21</v>
      </c>
      <c r="C1215" s="1039" t="str">
        <f t="shared" si="670"/>
        <v>Arief Maulana Asy Ari</v>
      </c>
      <c r="D1215" s="1040" t="str">
        <f t="shared" si="671"/>
        <v>HK-3B</v>
      </c>
      <c r="E1215" s="1041">
        <f t="shared" si="672"/>
        <v>2018</v>
      </c>
      <c r="F1215" s="1040" t="str">
        <f t="shared" si="673"/>
        <v>AKTIF</v>
      </c>
      <c r="G1215" s="1041">
        <f t="shared" si="674"/>
        <v>839118021</v>
      </c>
      <c r="H1215" s="1042">
        <f t="shared" si="689"/>
        <v>6450000</v>
      </c>
      <c r="I1215" s="1042">
        <f t="shared" si="690"/>
        <v>3750000</v>
      </c>
      <c r="J1215" s="1042">
        <f t="shared" si="691"/>
        <v>10200000</v>
      </c>
      <c r="L1215" s="1060">
        <f t="shared" si="692"/>
        <v>1</v>
      </c>
      <c r="M1215" s="1060">
        <f t="shared" si="679"/>
        <v>0</v>
      </c>
      <c r="N1215" s="1060">
        <f t="shared" si="680"/>
        <v>0</v>
      </c>
      <c r="O1215" s="1060">
        <f t="shared" si="681"/>
        <v>0</v>
      </c>
      <c r="P1215" s="1060">
        <f t="shared" si="682"/>
        <v>0</v>
      </c>
    </row>
    <row r="1216" spans="1:16" x14ac:dyDescent="0.25">
      <c r="A1216" s="1039">
        <v>1609</v>
      </c>
      <c r="B1216" s="1039">
        <f t="shared" si="688"/>
        <v>22</v>
      </c>
      <c r="C1216" s="1039" t="str">
        <f t="shared" si="670"/>
        <v>Muhammad Choriri</v>
      </c>
      <c r="D1216" s="1040" t="str">
        <f t="shared" si="671"/>
        <v>HK-3B</v>
      </c>
      <c r="E1216" s="1041">
        <f t="shared" si="672"/>
        <v>2018</v>
      </c>
      <c r="F1216" s="1040" t="str">
        <f t="shared" si="673"/>
        <v>LULUS</v>
      </c>
      <c r="G1216" s="1041">
        <f t="shared" si="674"/>
        <v>839118022</v>
      </c>
      <c r="H1216" s="1042">
        <f t="shared" si="689"/>
        <v>0</v>
      </c>
      <c r="I1216" s="1042">
        <f t="shared" si="690"/>
        <v>0</v>
      </c>
      <c r="J1216" s="1042">
        <f t="shared" si="691"/>
        <v>0</v>
      </c>
      <c r="L1216" s="1060">
        <f t="shared" si="692"/>
        <v>0</v>
      </c>
      <c r="M1216" s="1060">
        <f t="shared" si="679"/>
        <v>1</v>
      </c>
      <c r="N1216" s="1060">
        <f t="shared" si="680"/>
        <v>0</v>
      </c>
      <c r="O1216" s="1060">
        <f t="shared" si="681"/>
        <v>0</v>
      </c>
      <c r="P1216" s="1060">
        <f t="shared" si="682"/>
        <v>0</v>
      </c>
    </row>
    <row r="1217" spans="1:16" x14ac:dyDescent="0.25">
      <c r="A1217" s="1039">
        <v>1610</v>
      </c>
      <c r="B1217" s="1039">
        <f t="shared" si="688"/>
        <v>23</v>
      </c>
      <c r="C1217" s="1039" t="str">
        <f t="shared" si="670"/>
        <v>Moh. Kholil Arrosyid</v>
      </c>
      <c r="D1217" s="1040" t="str">
        <f t="shared" si="671"/>
        <v>HK-3B</v>
      </c>
      <c r="E1217" s="1041">
        <f t="shared" si="672"/>
        <v>2018</v>
      </c>
      <c r="F1217" s="1040" t="str">
        <f t="shared" si="673"/>
        <v>PASIF</v>
      </c>
      <c r="G1217" s="1041">
        <f t="shared" si="674"/>
        <v>839118023</v>
      </c>
      <c r="H1217" s="1042">
        <f t="shared" si="689"/>
        <v>0</v>
      </c>
      <c r="I1217" s="1042">
        <f t="shared" si="690"/>
        <v>0</v>
      </c>
      <c r="J1217" s="1042">
        <f t="shared" si="691"/>
        <v>0</v>
      </c>
      <c r="L1217" s="1060">
        <f t="shared" si="692"/>
        <v>0</v>
      </c>
      <c r="M1217" s="1060">
        <f t="shared" si="679"/>
        <v>0</v>
      </c>
      <c r="N1217" s="1060">
        <f t="shared" si="680"/>
        <v>0</v>
      </c>
      <c r="O1217" s="1060">
        <f t="shared" si="681"/>
        <v>0</v>
      </c>
      <c r="P1217" s="1060">
        <f t="shared" si="682"/>
        <v>1</v>
      </c>
    </row>
    <row r="1218" spans="1:16" x14ac:dyDescent="0.25">
      <c r="A1218" s="1039">
        <v>1611</v>
      </c>
      <c r="B1218" s="1039">
        <f t="shared" ref="B1218:B1219" si="693">IFERROR(VLOOKUP(A1218,DB,2,FALSE),"")</f>
        <v>24</v>
      </c>
      <c r="C1218" s="1039" t="str">
        <f t="shared" si="670"/>
        <v>Akhmad Husaini</v>
      </c>
      <c r="D1218" s="1040" t="str">
        <f t="shared" si="671"/>
        <v>HK-3B</v>
      </c>
      <c r="E1218" s="1041">
        <f t="shared" si="672"/>
        <v>2018</v>
      </c>
      <c r="F1218" s="1040" t="str">
        <f t="shared" si="673"/>
        <v>LULUS</v>
      </c>
      <c r="G1218" s="1041">
        <f t="shared" si="674"/>
        <v>839118025</v>
      </c>
      <c r="H1218" s="1042">
        <f t="shared" ref="H1218:H1219" si="694">IF(F1218="AKTIF",6450000,IF(F1218="CUTI",3000000,0))</f>
        <v>0</v>
      </c>
      <c r="I1218" s="1042">
        <f t="shared" ref="I1218:I1219" si="695">IF(F1218="AKTIF",3750000,IF(F1218="CUTI",3000000,0))</f>
        <v>0</v>
      </c>
      <c r="J1218" s="1042">
        <f t="shared" ref="J1218:J1219" si="696">I1218+H1218</f>
        <v>0</v>
      </c>
      <c r="L1218" s="1060">
        <f t="shared" ref="L1218:L1219" si="697">IF(F1218="AKTIF",1,0)</f>
        <v>0</v>
      </c>
      <c r="M1218" s="1060">
        <f t="shared" ref="M1218:M1219" si="698">IF(F1218="LULUS",1,0)</f>
        <v>1</v>
      </c>
      <c r="N1218" s="1060">
        <f t="shared" ref="N1218:N1219" si="699">IF(F1218="CUTI",1,0)</f>
        <v>0</v>
      </c>
      <c r="O1218" s="1060">
        <f t="shared" ref="O1218:O1219" si="700">IF(F1218="DROP OUT",1,0)</f>
        <v>0</v>
      </c>
      <c r="P1218" s="1060">
        <f t="shared" ref="P1218:P1219" si="701">IF(F1218="PASIF",1,0)</f>
        <v>0</v>
      </c>
    </row>
    <row r="1219" spans="1:16" x14ac:dyDescent="0.25">
      <c r="A1219" s="1039">
        <v>1612</v>
      </c>
      <c r="B1219" s="1039">
        <f t="shared" si="693"/>
        <v>25</v>
      </c>
      <c r="C1219" s="1039" t="str">
        <f t="shared" si="670"/>
        <v>Khoirul Ahsan</v>
      </c>
      <c r="D1219" s="1040" t="str">
        <f t="shared" si="671"/>
        <v>HK-3B</v>
      </c>
      <c r="E1219" s="1041">
        <f t="shared" si="672"/>
        <v>2018</v>
      </c>
      <c r="F1219" s="1040" t="str">
        <f t="shared" si="673"/>
        <v>AKTIF</v>
      </c>
      <c r="G1219" s="1041">
        <f t="shared" si="674"/>
        <v>839118026</v>
      </c>
      <c r="H1219" s="1042">
        <f t="shared" si="694"/>
        <v>6450000</v>
      </c>
      <c r="I1219" s="1042">
        <f t="shared" si="695"/>
        <v>3750000</v>
      </c>
      <c r="J1219" s="1042">
        <f t="shared" si="696"/>
        <v>10200000</v>
      </c>
      <c r="L1219" s="1060">
        <f t="shared" si="697"/>
        <v>1</v>
      </c>
      <c r="M1219" s="1060">
        <f t="shared" si="698"/>
        <v>0</v>
      </c>
      <c r="N1219" s="1060">
        <f t="shared" si="699"/>
        <v>0</v>
      </c>
      <c r="O1219" s="1060">
        <f t="shared" si="700"/>
        <v>0</v>
      </c>
      <c r="P1219" s="1060">
        <f t="shared" si="701"/>
        <v>0</v>
      </c>
    </row>
    <row r="1220" spans="1:16" x14ac:dyDescent="0.25">
      <c r="A1220" s="1039">
        <v>1613</v>
      </c>
      <c r="B1220" s="1039">
        <f t="shared" si="688"/>
        <v>26</v>
      </c>
      <c r="C1220" s="1039" t="str">
        <f t="shared" si="670"/>
        <v>Ahmad Muhammad Naseh</v>
      </c>
      <c r="D1220" s="1040" t="str">
        <f t="shared" si="671"/>
        <v>HK-3B</v>
      </c>
      <c r="E1220" s="1041">
        <f t="shared" si="672"/>
        <v>2018</v>
      </c>
      <c r="F1220" s="1040" t="str">
        <f t="shared" si="673"/>
        <v>AKTIF</v>
      </c>
      <c r="G1220" s="1041">
        <f t="shared" si="674"/>
        <v>839118027</v>
      </c>
      <c r="H1220" s="1042">
        <f t="shared" si="689"/>
        <v>6450000</v>
      </c>
      <c r="I1220" s="1042">
        <f t="shared" si="690"/>
        <v>3750000</v>
      </c>
      <c r="J1220" s="1042">
        <f t="shared" si="691"/>
        <v>10200000</v>
      </c>
      <c r="L1220" s="1060">
        <f t="shared" si="692"/>
        <v>1</v>
      </c>
      <c r="M1220" s="1060">
        <f t="shared" si="679"/>
        <v>0</v>
      </c>
      <c r="N1220" s="1060">
        <f t="shared" si="680"/>
        <v>0</v>
      </c>
      <c r="O1220" s="1060">
        <f t="shared" si="681"/>
        <v>0</v>
      </c>
      <c r="P1220" s="1060">
        <f t="shared" si="682"/>
        <v>0</v>
      </c>
    </row>
    <row r="1221" spans="1:16" x14ac:dyDescent="0.25">
      <c r="A1221" s="1039">
        <v>1614</v>
      </c>
      <c r="B1221" s="1039">
        <f t="shared" si="688"/>
        <v>27</v>
      </c>
      <c r="C1221" s="1039" t="str">
        <f t="shared" si="670"/>
        <v>ABDUL KHAMID</v>
      </c>
      <c r="D1221" s="1040" t="str">
        <f t="shared" si="671"/>
        <v>HK-Ren</v>
      </c>
      <c r="E1221" s="1041">
        <f t="shared" si="672"/>
        <v>2018</v>
      </c>
      <c r="F1221" s="1040" t="str">
        <f t="shared" si="673"/>
        <v>PASIF</v>
      </c>
      <c r="G1221" s="1041">
        <f t="shared" si="674"/>
        <v>839118028</v>
      </c>
      <c r="H1221" s="1042">
        <f t="shared" si="689"/>
        <v>0</v>
      </c>
      <c r="I1221" s="1042">
        <f t="shared" si="690"/>
        <v>0</v>
      </c>
      <c r="J1221" s="1042">
        <f t="shared" si="691"/>
        <v>0</v>
      </c>
      <c r="L1221" s="1060">
        <f t="shared" si="692"/>
        <v>0</v>
      </c>
      <c r="M1221" s="1060">
        <f t="shared" si="679"/>
        <v>0</v>
      </c>
      <c r="N1221" s="1060">
        <f t="shared" si="680"/>
        <v>0</v>
      </c>
      <c r="O1221" s="1060">
        <f t="shared" si="681"/>
        <v>0</v>
      </c>
      <c r="P1221" s="1060">
        <f t="shared" si="682"/>
        <v>1</v>
      </c>
    </row>
    <row r="1222" spans="1:16" x14ac:dyDescent="0.25">
      <c r="A1222" s="1039">
        <v>1615</v>
      </c>
      <c r="B1222" s="1039">
        <f t="shared" si="688"/>
        <v>28</v>
      </c>
      <c r="C1222" s="1039" t="str">
        <f t="shared" si="670"/>
        <v>ROBIATUL ADAWIYAH</v>
      </c>
      <c r="D1222" s="1040" t="str">
        <f t="shared" si="671"/>
        <v>HK-Ren</v>
      </c>
      <c r="E1222" s="1041">
        <f t="shared" si="672"/>
        <v>2018</v>
      </c>
      <c r="F1222" s="1040" t="str">
        <f t="shared" si="673"/>
        <v>LULUS</v>
      </c>
      <c r="G1222" s="1041">
        <f t="shared" si="674"/>
        <v>839118029</v>
      </c>
      <c r="H1222" s="1042">
        <f t="shared" si="689"/>
        <v>0</v>
      </c>
      <c r="I1222" s="1042">
        <f t="shared" si="690"/>
        <v>0</v>
      </c>
      <c r="J1222" s="1042">
        <f t="shared" si="691"/>
        <v>0</v>
      </c>
      <c r="L1222" s="1060">
        <f t="shared" si="692"/>
        <v>0</v>
      </c>
      <c r="M1222" s="1060">
        <f t="shared" si="679"/>
        <v>1</v>
      </c>
      <c r="N1222" s="1060">
        <f t="shared" si="680"/>
        <v>0</v>
      </c>
      <c r="O1222" s="1060">
        <f t="shared" si="681"/>
        <v>0</v>
      </c>
      <c r="P1222" s="1060">
        <f t="shared" si="682"/>
        <v>0</v>
      </c>
    </row>
    <row r="1223" spans="1:16" x14ac:dyDescent="0.25">
      <c r="A1223" s="1039"/>
      <c r="B1223" s="1039"/>
      <c r="C1223" s="1039"/>
      <c r="D1223" s="1040"/>
      <c r="E1223" s="1041"/>
      <c r="F1223" s="1040"/>
      <c r="G1223" s="1041"/>
      <c r="H1223" s="1042"/>
      <c r="I1223" s="1042"/>
      <c r="J1223" s="1042"/>
    </row>
    <row r="1224" spans="1:16" x14ac:dyDescent="0.25">
      <c r="A1224" s="1039"/>
      <c r="B1224" s="1039"/>
      <c r="C1224" s="1039"/>
      <c r="D1224" s="1040"/>
      <c r="E1224" s="1041"/>
      <c r="F1224" s="1040"/>
      <c r="G1224" s="1041"/>
      <c r="H1224" s="1042"/>
      <c r="I1224" s="1042"/>
      <c r="J1224" s="1042"/>
    </row>
    <row r="1225" spans="1:16" x14ac:dyDescent="0.25">
      <c r="A1225" s="1076" t="str">
        <f>'Rekap SPP'!A1752</f>
        <v>S2-KPI 2018/2019</v>
      </c>
      <c r="B1225" s="1077"/>
      <c r="C1225" s="1077"/>
      <c r="D1225" s="1033" t="s">
        <v>3</v>
      </c>
      <c r="E1225" s="1032" t="s">
        <v>4</v>
      </c>
      <c r="F1225" s="1033" t="s">
        <v>3195</v>
      </c>
      <c r="G1225" s="1032" t="s">
        <v>1</v>
      </c>
      <c r="H1225" s="1033" t="s">
        <v>3362</v>
      </c>
      <c r="I1225" s="1033" t="s">
        <v>3341</v>
      </c>
      <c r="J1225" s="1062">
        <f>SUM(J1226:J1232)</f>
        <v>10200000</v>
      </c>
      <c r="L1225" s="1063">
        <f>SUM(L1226:L1233)</f>
        <v>1</v>
      </c>
      <c r="M1225" s="1063">
        <f>SUM(M1226:M1233)</f>
        <v>4</v>
      </c>
      <c r="N1225" s="1063">
        <f>SUM(N1226:N1233)</f>
        <v>0</v>
      </c>
      <c r="O1225" s="1063">
        <f>SUM(O1226:O1233)</f>
        <v>1</v>
      </c>
      <c r="P1225" s="1063">
        <f>SUM(P1226:P1233)</f>
        <v>2</v>
      </c>
    </row>
    <row r="1226" spans="1:16" x14ac:dyDescent="0.25">
      <c r="A1226" s="1039">
        <v>1616</v>
      </c>
      <c r="B1226" s="1039">
        <f t="shared" ref="B1226:B1234" si="702">IFERROR(VLOOKUP(A1226,DB,2,FALSE),"")</f>
        <v>1</v>
      </c>
      <c r="C1226" s="1039" t="str">
        <f t="shared" ref="C1226:C1234" si="703">IFERROR(VLOOKUP(A1226,DB,4,FALSE),"")</f>
        <v>Robith Abdillah Al Hadi</v>
      </c>
      <c r="D1226" s="1040" t="str">
        <f t="shared" ref="D1226:D1234" si="704">IFERROR(VLOOKUP(A1226,DB,5,FALSE),"")</f>
        <v>KPI-3</v>
      </c>
      <c r="E1226" s="1041">
        <f t="shared" ref="E1226:E1234" si="705">IFERROR(VLOOKUP(A1226,DB,6,FALSE),"")</f>
        <v>2018</v>
      </c>
      <c r="F1226" s="1040" t="str">
        <f t="shared" ref="F1226:F1234" si="706">IFERROR(VLOOKUP(A1226,DB,7,FALSE),"")</f>
        <v>LULUS</v>
      </c>
      <c r="G1226" s="1041">
        <f t="shared" ref="G1226:G1234" si="707">IFERROR(VLOOKUP(A1226,DB,3,FALSE),"")</f>
        <v>829118001</v>
      </c>
      <c r="H1226" s="1042">
        <f t="shared" si="684"/>
        <v>0</v>
      </c>
      <c r="I1226" s="1042">
        <f t="shared" si="685"/>
        <v>0</v>
      </c>
      <c r="J1226" s="1042">
        <f t="shared" si="686"/>
        <v>0</v>
      </c>
      <c r="L1226" s="1060">
        <f t="shared" ref="L1226:L1233" si="708">IF(F1226="AKTIF",1,0)</f>
        <v>0</v>
      </c>
      <c r="M1226" s="1060">
        <f t="shared" ref="M1226:M1233" si="709">IF(F1226="LULUS",1,0)</f>
        <v>1</v>
      </c>
      <c r="N1226" s="1060">
        <f t="shared" ref="N1226:N1233" si="710">IF(F1226="CUTI",1,0)</f>
        <v>0</v>
      </c>
      <c r="O1226" s="1060">
        <f t="shared" ref="O1226:O1233" si="711">IF(F1226="DROP OUT",1,0)</f>
        <v>0</v>
      </c>
      <c r="P1226" s="1060">
        <f t="shared" ref="P1226:P1233" si="712">IF(F1226="PASIF",1,0)</f>
        <v>0</v>
      </c>
    </row>
    <row r="1227" spans="1:16" x14ac:dyDescent="0.25">
      <c r="A1227" s="1039">
        <v>1617</v>
      </c>
      <c r="B1227" s="1039">
        <f t="shared" si="702"/>
        <v>2</v>
      </c>
      <c r="C1227" s="1039" t="str">
        <f t="shared" si="703"/>
        <v>Ade Nurwahyudi</v>
      </c>
      <c r="D1227" s="1040" t="str">
        <f t="shared" si="704"/>
        <v>KPI-3</v>
      </c>
      <c r="E1227" s="1041">
        <f t="shared" si="705"/>
        <v>2018</v>
      </c>
      <c r="F1227" s="1040" t="str">
        <f t="shared" si="706"/>
        <v>LULUS</v>
      </c>
      <c r="G1227" s="1041">
        <f t="shared" si="707"/>
        <v>829118002</v>
      </c>
      <c r="H1227" s="1042">
        <f t="shared" si="684"/>
        <v>0</v>
      </c>
      <c r="I1227" s="1042">
        <f t="shared" si="685"/>
        <v>0</v>
      </c>
      <c r="J1227" s="1042">
        <f t="shared" si="686"/>
        <v>0</v>
      </c>
      <c r="L1227" s="1060">
        <f t="shared" si="708"/>
        <v>0</v>
      </c>
      <c r="M1227" s="1060">
        <f t="shared" si="709"/>
        <v>1</v>
      </c>
      <c r="N1227" s="1060">
        <f t="shared" si="710"/>
        <v>0</v>
      </c>
      <c r="O1227" s="1060">
        <f t="shared" si="711"/>
        <v>0</v>
      </c>
      <c r="P1227" s="1060">
        <f t="shared" si="712"/>
        <v>0</v>
      </c>
    </row>
    <row r="1228" spans="1:16" x14ac:dyDescent="0.25">
      <c r="A1228" s="1039">
        <v>1618</v>
      </c>
      <c r="B1228" s="1039">
        <f t="shared" si="702"/>
        <v>3</v>
      </c>
      <c r="C1228" s="1039" t="str">
        <f t="shared" si="703"/>
        <v>Ahmad Rojikin</v>
      </c>
      <c r="D1228" s="1040" t="str">
        <f t="shared" si="704"/>
        <v>KPI-3</v>
      </c>
      <c r="E1228" s="1041">
        <f t="shared" si="705"/>
        <v>2018</v>
      </c>
      <c r="F1228" s="1040" t="str">
        <f t="shared" si="706"/>
        <v>AKTIF</v>
      </c>
      <c r="G1228" s="1041">
        <f t="shared" si="707"/>
        <v>829118003</v>
      </c>
      <c r="H1228" s="1042">
        <f t="shared" si="684"/>
        <v>6450000</v>
      </c>
      <c r="I1228" s="1042">
        <f t="shared" si="685"/>
        <v>3750000</v>
      </c>
      <c r="J1228" s="1042">
        <f t="shared" si="686"/>
        <v>10200000</v>
      </c>
      <c r="L1228" s="1060">
        <f t="shared" si="708"/>
        <v>1</v>
      </c>
      <c r="M1228" s="1060">
        <f t="shared" si="709"/>
        <v>0</v>
      </c>
      <c r="N1228" s="1060">
        <f t="shared" si="710"/>
        <v>0</v>
      </c>
      <c r="O1228" s="1060">
        <f t="shared" si="711"/>
        <v>0</v>
      </c>
      <c r="P1228" s="1060">
        <f t="shared" si="712"/>
        <v>0</v>
      </c>
    </row>
    <row r="1229" spans="1:16" x14ac:dyDescent="0.25">
      <c r="A1229" s="1039">
        <v>1619</v>
      </c>
      <c r="B1229" s="1039">
        <f t="shared" si="702"/>
        <v>4</v>
      </c>
      <c r="C1229" s="1039" t="str">
        <f t="shared" si="703"/>
        <v>Nila Noer Karisna</v>
      </c>
      <c r="D1229" s="1040" t="str">
        <f t="shared" si="704"/>
        <v>KPI-3</v>
      </c>
      <c r="E1229" s="1041">
        <f t="shared" si="705"/>
        <v>2018</v>
      </c>
      <c r="F1229" s="1040" t="str">
        <f t="shared" si="706"/>
        <v>LULUS</v>
      </c>
      <c r="G1229" s="1041">
        <f t="shared" si="707"/>
        <v>829118004</v>
      </c>
      <c r="H1229" s="1042">
        <f t="shared" si="684"/>
        <v>0</v>
      </c>
      <c r="I1229" s="1042">
        <f t="shared" si="685"/>
        <v>0</v>
      </c>
      <c r="J1229" s="1042">
        <f t="shared" si="686"/>
        <v>0</v>
      </c>
      <c r="L1229" s="1060">
        <f t="shared" si="708"/>
        <v>0</v>
      </c>
      <c r="M1229" s="1060">
        <f t="shared" si="709"/>
        <v>1</v>
      </c>
      <c r="N1229" s="1060">
        <f t="shared" si="710"/>
        <v>0</v>
      </c>
      <c r="O1229" s="1060">
        <f t="shared" si="711"/>
        <v>0</v>
      </c>
      <c r="P1229" s="1060">
        <f t="shared" si="712"/>
        <v>0</v>
      </c>
    </row>
    <row r="1230" spans="1:16" x14ac:dyDescent="0.25">
      <c r="A1230" s="1039">
        <v>1620</v>
      </c>
      <c r="B1230" s="1039">
        <f t="shared" ref="B1230:B1231" si="713">IFERROR(VLOOKUP(A1230,DB,2,FALSE),"")</f>
        <v>5</v>
      </c>
      <c r="C1230" s="1039" t="str">
        <f t="shared" si="703"/>
        <v>Nova Saha Fasadena</v>
      </c>
      <c r="D1230" s="1040" t="str">
        <f t="shared" si="704"/>
        <v>KPI-3</v>
      </c>
      <c r="E1230" s="1041">
        <f t="shared" si="705"/>
        <v>2018</v>
      </c>
      <c r="F1230" s="1040" t="str">
        <f t="shared" si="706"/>
        <v>LULUS</v>
      </c>
      <c r="G1230" s="1041">
        <f t="shared" si="707"/>
        <v>829118005</v>
      </c>
      <c r="H1230" s="1042">
        <f t="shared" ref="H1230:H1231" si="714">IF(F1230="AKTIF",6450000,IF(F1230="CUTI",3000000,0))</f>
        <v>0</v>
      </c>
      <c r="I1230" s="1042">
        <f t="shared" ref="I1230:I1231" si="715">IF(F1230="AKTIF",3750000,IF(F1230="CUTI",3000000,0))</f>
        <v>0</v>
      </c>
      <c r="J1230" s="1042">
        <f t="shared" ref="J1230:J1231" si="716">I1230+H1230</f>
        <v>0</v>
      </c>
      <c r="L1230" s="1060">
        <f t="shared" ref="L1230:L1231" si="717">IF(F1230="AKTIF",1,0)</f>
        <v>0</v>
      </c>
      <c r="M1230" s="1060">
        <f t="shared" ref="M1230:M1231" si="718">IF(F1230="LULUS",1,0)</f>
        <v>1</v>
      </c>
      <c r="N1230" s="1060">
        <f t="shared" ref="N1230:N1231" si="719">IF(F1230="CUTI",1,0)</f>
        <v>0</v>
      </c>
      <c r="O1230" s="1060">
        <f t="shared" ref="O1230:O1231" si="720">IF(F1230="DROP OUT",1,0)</f>
        <v>0</v>
      </c>
      <c r="P1230" s="1060">
        <f t="shared" ref="P1230:P1231" si="721">IF(F1230="PASIF",1,0)</f>
        <v>0</v>
      </c>
    </row>
    <row r="1231" spans="1:16" x14ac:dyDescent="0.25">
      <c r="A1231" s="1039">
        <v>1621</v>
      </c>
      <c r="B1231" s="1039">
        <f t="shared" si="713"/>
        <v>6</v>
      </c>
      <c r="C1231" s="1039" t="str">
        <f t="shared" si="703"/>
        <v>Fahrur Rozi</v>
      </c>
      <c r="D1231" s="1040" t="str">
        <f t="shared" si="704"/>
        <v>KPI-3</v>
      </c>
      <c r="E1231" s="1041">
        <f t="shared" si="705"/>
        <v>2018</v>
      </c>
      <c r="F1231" s="1040" t="str">
        <f t="shared" si="706"/>
        <v>DROP OUT</v>
      </c>
      <c r="G1231" s="1041">
        <f t="shared" si="707"/>
        <v>829118006</v>
      </c>
      <c r="H1231" s="1042">
        <f t="shared" si="714"/>
        <v>0</v>
      </c>
      <c r="I1231" s="1042">
        <f t="shared" si="715"/>
        <v>0</v>
      </c>
      <c r="J1231" s="1042">
        <f t="shared" si="716"/>
        <v>0</v>
      </c>
      <c r="L1231" s="1060">
        <f t="shared" si="717"/>
        <v>0</v>
      </c>
      <c r="M1231" s="1060">
        <f t="shared" si="718"/>
        <v>0</v>
      </c>
      <c r="N1231" s="1060">
        <f t="shared" si="719"/>
        <v>0</v>
      </c>
      <c r="O1231" s="1060">
        <f t="shared" si="720"/>
        <v>1</v>
      </c>
      <c r="P1231" s="1060">
        <f t="shared" si="721"/>
        <v>0</v>
      </c>
    </row>
    <row r="1232" spans="1:16" x14ac:dyDescent="0.25">
      <c r="A1232" s="1039">
        <v>1622</v>
      </c>
      <c r="B1232" s="1039">
        <f t="shared" si="702"/>
        <v>7</v>
      </c>
      <c r="C1232" s="1039" t="str">
        <f t="shared" si="703"/>
        <v>ABDUL QODIR LUTFI</v>
      </c>
      <c r="D1232" s="1040" t="str">
        <f t="shared" si="704"/>
        <v>KPI-3</v>
      </c>
      <c r="E1232" s="1041">
        <f t="shared" si="705"/>
        <v>2018</v>
      </c>
      <c r="F1232" s="1040" t="str">
        <f t="shared" si="706"/>
        <v>PASIF</v>
      </c>
      <c r="G1232" s="1041">
        <f t="shared" si="707"/>
        <v>829118007</v>
      </c>
      <c r="H1232" s="1042">
        <f t="shared" si="684"/>
        <v>0</v>
      </c>
      <c r="I1232" s="1042">
        <f t="shared" si="685"/>
        <v>0</v>
      </c>
      <c r="J1232" s="1042">
        <f t="shared" si="686"/>
        <v>0</v>
      </c>
      <c r="L1232" s="1060">
        <f t="shared" si="708"/>
        <v>0</v>
      </c>
      <c r="M1232" s="1060">
        <f t="shared" si="709"/>
        <v>0</v>
      </c>
      <c r="N1232" s="1060">
        <f t="shared" si="710"/>
        <v>0</v>
      </c>
      <c r="O1232" s="1060">
        <f t="shared" si="711"/>
        <v>0</v>
      </c>
      <c r="P1232" s="1060">
        <f t="shared" si="712"/>
        <v>1</v>
      </c>
    </row>
    <row r="1233" spans="1:16" x14ac:dyDescent="0.25">
      <c r="A1233" s="1039">
        <v>1623</v>
      </c>
      <c r="B1233" s="1039">
        <f t="shared" si="702"/>
        <v>8</v>
      </c>
      <c r="C1233" s="1039" t="str">
        <f t="shared" si="703"/>
        <v>MOH. ABD. HALIK</v>
      </c>
      <c r="D1233" s="1040" t="str">
        <f t="shared" si="704"/>
        <v>KPI-3</v>
      </c>
      <c r="E1233" s="1041">
        <f t="shared" si="705"/>
        <v>2018</v>
      </c>
      <c r="F1233" s="1040" t="str">
        <f t="shared" si="706"/>
        <v>PASIF</v>
      </c>
      <c r="G1233" s="1041">
        <f t="shared" si="707"/>
        <v>829118008</v>
      </c>
      <c r="H1233" s="1042">
        <f t="shared" ref="H1233" si="722">IF(F1233="AKTIF",6450000,IF(F1233="CUTI",3000000,0))</f>
        <v>0</v>
      </c>
      <c r="I1233" s="1042">
        <f t="shared" ref="I1233" si="723">IF(F1233="AKTIF",3750000,IF(F1233="CUTI",3000000,0))</f>
        <v>0</v>
      </c>
      <c r="J1233" s="1042">
        <f t="shared" ref="J1233" si="724">I1233+H1233</f>
        <v>0</v>
      </c>
      <c r="L1233" s="1060">
        <f t="shared" si="708"/>
        <v>0</v>
      </c>
      <c r="M1233" s="1060">
        <f t="shared" si="709"/>
        <v>0</v>
      </c>
      <c r="N1233" s="1060">
        <f t="shared" si="710"/>
        <v>0</v>
      </c>
      <c r="O1233" s="1060">
        <f t="shared" si="711"/>
        <v>0</v>
      </c>
      <c r="P1233" s="1060">
        <f t="shared" si="712"/>
        <v>1</v>
      </c>
    </row>
    <row r="1234" spans="1:16" x14ac:dyDescent="0.25">
      <c r="A1234" s="1039"/>
      <c r="B1234" s="1039" t="str">
        <f t="shared" si="702"/>
        <v/>
      </c>
      <c r="C1234" s="1039" t="str">
        <f t="shared" si="703"/>
        <v/>
      </c>
      <c r="D1234" s="1040" t="str">
        <f t="shared" si="704"/>
        <v/>
      </c>
      <c r="E1234" s="1041" t="str">
        <f t="shared" si="705"/>
        <v/>
      </c>
      <c r="F1234" s="1040" t="str">
        <f t="shared" si="706"/>
        <v/>
      </c>
      <c r="G1234" s="1041" t="str">
        <f t="shared" si="707"/>
        <v/>
      </c>
      <c r="H1234" s="1042">
        <f t="shared" si="684"/>
        <v>0</v>
      </c>
      <c r="I1234" s="1042">
        <f t="shared" si="685"/>
        <v>0</v>
      </c>
      <c r="J1234" s="1042">
        <f t="shared" si="686"/>
        <v>0</v>
      </c>
    </row>
    <row r="1235" spans="1:16" x14ac:dyDescent="0.25">
      <c r="A1235" s="1078" t="str">
        <f>'Rekap SPP'!A1763</f>
        <v>S3-MPI 2018/2019</v>
      </c>
      <c r="B1235" s="1079"/>
      <c r="C1235" s="1079"/>
      <c r="D1235" s="1074" t="s">
        <v>3</v>
      </c>
      <c r="E1235" s="1075" t="s">
        <v>4</v>
      </c>
      <c r="F1235" s="1074" t="s">
        <v>3195</v>
      </c>
      <c r="G1235" s="1075" t="s">
        <v>1</v>
      </c>
      <c r="H1235" s="1074" t="s">
        <v>3362</v>
      </c>
      <c r="I1235" s="1074" t="s">
        <v>3341</v>
      </c>
      <c r="J1235" s="1080">
        <f>SUM(J1236:J1247)</f>
        <v>136750000</v>
      </c>
      <c r="L1235" s="1063">
        <f>SUM(L1236:L1247)</f>
        <v>7</v>
      </c>
      <c r="M1235" s="1063">
        <f>SUM(M1236:M1247)</f>
        <v>1</v>
      </c>
      <c r="N1235" s="1063">
        <f>SUM(N1236:N1247)</f>
        <v>2</v>
      </c>
      <c r="O1235" s="1063">
        <f>SUM(O1236:O1247)</f>
        <v>2</v>
      </c>
      <c r="P1235" s="1063">
        <f>SUM(P1236:P1247)</f>
        <v>0</v>
      </c>
    </row>
    <row r="1236" spans="1:16" x14ac:dyDescent="0.25">
      <c r="A1236" s="1039">
        <v>1624</v>
      </c>
      <c r="B1236" s="1039">
        <f t="shared" ref="B1236:B1246" si="725">IFERROR(VLOOKUP(A1236,DB,2,FALSE),"")</f>
        <v>1</v>
      </c>
      <c r="C1236" s="1039" t="str">
        <f t="shared" ref="C1236:C1249" si="726">IFERROR(VLOOKUP(A1236,DB,4,FALSE),"")</f>
        <v>Ahmad Rohmad</v>
      </c>
      <c r="D1236" s="1040" t="str">
        <f t="shared" ref="D1236:D1249" si="727">IFERROR(VLOOKUP(A1236,DB,5,FALSE),"")</f>
        <v>MPI3-1</v>
      </c>
      <c r="E1236" s="1041">
        <f t="shared" ref="E1236:E1249" si="728">IFERROR(VLOOKUP(A1236,DB,6,FALSE),"")</f>
        <v>2018</v>
      </c>
      <c r="F1236" s="1040" t="str">
        <f t="shared" ref="F1236:F1249" si="729">IFERROR(VLOOKUP(A1236,DB,7,FALSE),"")</f>
        <v>DROP OUT</v>
      </c>
      <c r="G1236" s="1041">
        <f t="shared" ref="G1236:G1249" si="730">IFERROR(VLOOKUP(A1236,DB,3,FALSE),"")</f>
        <v>841918002</v>
      </c>
      <c r="H1236" s="1042">
        <f>IF(F1236="AKTIF",12250000,IF(F1236="CUTI",3000000,0))</f>
        <v>0</v>
      </c>
      <c r="I1236" s="1042">
        <f>IF(F1236="AKTIF",8000000,IF(F1236="CUTI",3000000,0))</f>
        <v>0</v>
      </c>
      <c r="J1236" s="1042">
        <f>I1236+H1236</f>
        <v>0</v>
      </c>
      <c r="L1236" s="1060">
        <f>IF(F1236="AKTIF",1,0)</f>
        <v>0</v>
      </c>
      <c r="M1236" s="1060">
        <f t="shared" ref="M1236:M1247" si="731">IF(F1236="LULUS",1,0)</f>
        <v>0</v>
      </c>
      <c r="N1236" s="1060">
        <f t="shared" ref="N1236:N1247" si="732">IF(F1236="CUTI",1,0)</f>
        <v>0</v>
      </c>
      <c r="O1236" s="1060">
        <f t="shared" ref="O1236:O1247" si="733">IF(F1236="DROP OUT",1,0)</f>
        <v>1</v>
      </c>
      <c r="P1236" s="1060">
        <f t="shared" ref="P1236:P1247" si="734">IF(F1236="PASIF",1,0)</f>
        <v>0</v>
      </c>
    </row>
    <row r="1237" spans="1:16" x14ac:dyDescent="0.25">
      <c r="A1237" s="1039">
        <v>1625</v>
      </c>
      <c r="B1237" s="1039">
        <f t="shared" si="725"/>
        <v>2</v>
      </c>
      <c r="C1237" s="1039" t="str">
        <f t="shared" si="726"/>
        <v>Faiz Azizi</v>
      </c>
      <c r="D1237" s="1040" t="str">
        <f t="shared" si="727"/>
        <v>MPI3-1</v>
      </c>
      <c r="E1237" s="1041">
        <f t="shared" si="728"/>
        <v>2018</v>
      </c>
      <c r="F1237" s="1040" t="str">
        <f t="shared" si="729"/>
        <v>CUTI</v>
      </c>
      <c r="G1237" s="1041">
        <f t="shared" si="730"/>
        <v>841918003</v>
      </c>
      <c r="H1237" s="1042">
        <f t="shared" ref="H1237:H1247" si="735">IF(F1237="AKTIF",12250000,IF(F1237="CUTI",3000000,0))</f>
        <v>3000000</v>
      </c>
      <c r="I1237" s="1042">
        <f t="shared" ref="I1237:I1243" si="736">IF(F1237="AKTIF",8000000,IF(F1237="CUTI",3000000,0))</f>
        <v>3000000</v>
      </c>
      <c r="J1237" s="1042">
        <f>I1237+H1237</f>
        <v>6000000</v>
      </c>
      <c r="L1237" s="1060">
        <f>IF(F1237="AKTIF",1,0)</f>
        <v>0</v>
      </c>
      <c r="M1237" s="1060">
        <f t="shared" si="731"/>
        <v>0</v>
      </c>
      <c r="N1237" s="1060">
        <f t="shared" si="732"/>
        <v>1</v>
      </c>
      <c r="O1237" s="1060">
        <f t="shared" si="733"/>
        <v>0</v>
      </c>
      <c r="P1237" s="1060">
        <f t="shared" si="734"/>
        <v>0</v>
      </c>
    </row>
    <row r="1238" spans="1:16" x14ac:dyDescent="0.25">
      <c r="A1238" s="1039">
        <v>1626</v>
      </c>
      <c r="B1238" s="1039">
        <f t="shared" si="725"/>
        <v>3</v>
      </c>
      <c r="C1238" s="1039" t="str">
        <f t="shared" si="726"/>
        <v>Mohamad Solehan</v>
      </c>
      <c r="D1238" s="1040" t="str">
        <f t="shared" si="727"/>
        <v>MPI3-1</v>
      </c>
      <c r="E1238" s="1041">
        <f t="shared" si="728"/>
        <v>2018</v>
      </c>
      <c r="F1238" s="1040" t="str">
        <f t="shared" si="729"/>
        <v>DROP OUT</v>
      </c>
      <c r="G1238" s="1041">
        <f t="shared" si="730"/>
        <v>841918004</v>
      </c>
      <c r="H1238" s="1042">
        <f t="shared" si="735"/>
        <v>0</v>
      </c>
      <c r="I1238" s="1042">
        <f t="shared" si="736"/>
        <v>0</v>
      </c>
      <c r="J1238" s="1042">
        <f>I1238+H1238</f>
        <v>0</v>
      </c>
      <c r="L1238" s="1060">
        <f>IF(F1238="AKTIF",1,0)</f>
        <v>0</v>
      </c>
      <c r="M1238" s="1060">
        <f t="shared" si="731"/>
        <v>0</v>
      </c>
      <c r="N1238" s="1060">
        <f t="shared" si="732"/>
        <v>0</v>
      </c>
      <c r="O1238" s="1060">
        <f t="shared" si="733"/>
        <v>1</v>
      </c>
      <c r="P1238" s="1060">
        <f t="shared" si="734"/>
        <v>0</v>
      </c>
    </row>
    <row r="1239" spans="1:16" x14ac:dyDescent="0.25">
      <c r="A1239" s="1039">
        <v>1627</v>
      </c>
      <c r="B1239" s="1039">
        <f t="shared" si="725"/>
        <v>4</v>
      </c>
      <c r="C1239" s="1039" t="str">
        <f t="shared" si="726"/>
        <v>Abdul Hamid</v>
      </c>
      <c r="D1239" s="1040" t="str">
        <f t="shared" si="727"/>
        <v>MPI3-1</v>
      </c>
      <c r="E1239" s="1041">
        <f t="shared" si="728"/>
        <v>2018</v>
      </c>
      <c r="F1239" s="1040" t="str">
        <f t="shared" si="729"/>
        <v>AKTIF</v>
      </c>
      <c r="G1239" s="1041">
        <f t="shared" si="730"/>
        <v>841918005</v>
      </c>
      <c r="H1239" s="1042">
        <f t="shared" si="735"/>
        <v>12250000</v>
      </c>
      <c r="I1239" s="1042">
        <f t="shared" si="736"/>
        <v>8000000</v>
      </c>
      <c r="J1239" s="1042">
        <f>I1239+H1239</f>
        <v>20250000</v>
      </c>
      <c r="L1239" s="1060">
        <f>IF(F1239="AKTIF",1,0)</f>
        <v>1</v>
      </c>
      <c r="M1239" s="1060">
        <f t="shared" si="731"/>
        <v>0</v>
      </c>
      <c r="N1239" s="1060">
        <f t="shared" si="732"/>
        <v>0</v>
      </c>
      <c r="O1239" s="1060">
        <f t="shared" si="733"/>
        <v>0</v>
      </c>
      <c r="P1239" s="1060">
        <f t="shared" si="734"/>
        <v>0</v>
      </c>
    </row>
    <row r="1240" spans="1:16" x14ac:dyDescent="0.25">
      <c r="A1240" s="1039">
        <v>1628</v>
      </c>
      <c r="B1240" s="1039">
        <f t="shared" si="725"/>
        <v>5</v>
      </c>
      <c r="C1240" s="1039" t="str">
        <f t="shared" si="726"/>
        <v>Muhammad Holid</v>
      </c>
      <c r="D1240" s="1040" t="str">
        <f t="shared" si="727"/>
        <v>MPI3-1</v>
      </c>
      <c r="E1240" s="1041">
        <f t="shared" si="728"/>
        <v>2018</v>
      </c>
      <c r="F1240" s="1040" t="str">
        <f t="shared" si="729"/>
        <v>CUTI</v>
      </c>
      <c r="G1240" s="1041">
        <f t="shared" si="730"/>
        <v>841918006</v>
      </c>
      <c r="H1240" s="1042">
        <f t="shared" si="735"/>
        <v>3000000</v>
      </c>
      <c r="I1240" s="1042">
        <f t="shared" si="736"/>
        <v>3000000</v>
      </c>
      <c r="J1240" s="1042">
        <f>I1240+H1240</f>
        <v>6000000</v>
      </c>
      <c r="L1240" s="1060">
        <f>IF(F1240="AKTIF",1,0)</f>
        <v>0</v>
      </c>
      <c r="M1240" s="1060">
        <f t="shared" si="731"/>
        <v>0</v>
      </c>
      <c r="N1240" s="1060">
        <f t="shared" si="732"/>
        <v>1</v>
      </c>
      <c r="O1240" s="1060">
        <f t="shared" si="733"/>
        <v>0</v>
      </c>
      <c r="P1240" s="1060">
        <f t="shared" si="734"/>
        <v>0</v>
      </c>
    </row>
    <row r="1241" spans="1:16" x14ac:dyDescent="0.25">
      <c r="A1241" s="1039">
        <v>1629</v>
      </c>
      <c r="B1241" s="1039">
        <f t="shared" si="725"/>
        <v>6</v>
      </c>
      <c r="C1241" s="1039" t="str">
        <f t="shared" si="726"/>
        <v>Lailatul Usriyah</v>
      </c>
      <c r="D1241" s="1040" t="str">
        <f t="shared" si="727"/>
        <v>MPI3-1</v>
      </c>
      <c r="E1241" s="1041">
        <f t="shared" si="728"/>
        <v>2018</v>
      </c>
      <c r="F1241" s="1040" t="str">
        <f t="shared" si="729"/>
        <v>LULUS</v>
      </c>
      <c r="G1241" s="1041">
        <f t="shared" si="730"/>
        <v>841918007</v>
      </c>
      <c r="H1241" s="1042">
        <f t="shared" si="735"/>
        <v>0</v>
      </c>
      <c r="I1241" s="1042">
        <f t="shared" si="736"/>
        <v>0</v>
      </c>
      <c r="J1241" s="1042">
        <f t="shared" si="686"/>
        <v>0</v>
      </c>
      <c r="L1241" s="1060">
        <f t="shared" ref="L1241:L1247" si="737">IF(F1241="AKTIF",1,0)</f>
        <v>0</v>
      </c>
      <c r="M1241" s="1060">
        <f t="shared" si="731"/>
        <v>1</v>
      </c>
      <c r="N1241" s="1060">
        <f t="shared" si="732"/>
        <v>0</v>
      </c>
      <c r="O1241" s="1060">
        <f t="shared" si="733"/>
        <v>0</v>
      </c>
      <c r="P1241" s="1060">
        <f t="shared" si="734"/>
        <v>0</v>
      </c>
    </row>
    <row r="1242" spans="1:16" x14ac:dyDescent="0.25">
      <c r="A1242" s="1039">
        <v>1630</v>
      </c>
      <c r="B1242" s="1039">
        <f t="shared" si="725"/>
        <v>7</v>
      </c>
      <c r="C1242" s="1039" t="str">
        <f t="shared" si="726"/>
        <v>Zainul Arifin</v>
      </c>
      <c r="D1242" s="1040" t="str">
        <f t="shared" si="727"/>
        <v>MPI3-1</v>
      </c>
      <c r="E1242" s="1041">
        <f t="shared" si="728"/>
        <v>2018</v>
      </c>
      <c r="F1242" s="1040" t="str">
        <f t="shared" si="729"/>
        <v>AKTIF</v>
      </c>
      <c r="G1242" s="1041">
        <f t="shared" si="730"/>
        <v>841918008</v>
      </c>
      <c r="H1242" s="1042">
        <f t="shared" si="735"/>
        <v>12250000</v>
      </c>
      <c r="I1242" s="1042">
        <f t="shared" si="736"/>
        <v>8000000</v>
      </c>
      <c r="J1242" s="1042">
        <f t="shared" si="686"/>
        <v>20250000</v>
      </c>
      <c r="L1242" s="1060">
        <f t="shared" si="737"/>
        <v>1</v>
      </c>
      <c r="M1242" s="1060">
        <f t="shared" si="731"/>
        <v>0</v>
      </c>
      <c r="N1242" s="1060">
        <f t="shared" si="732"/>
        <v>0</v>
      </c>
      <c r="O1242" s="1060">
        <f t="shared" si="733"/>
        <v>0</v>
      </c>
      <c r="P1242" s="1060">
        <f t="shared" si="734"/>
        <v>0</v>
      </c>
    </row>
    <row r="1243" spans="1:16" x14ac:dyDescent="0.25">
      <c r="A1243" s="1039">
        <v>1631</v>
      </c>
      <c r="B1243" s="1039">
        <f t="shared" si="725"/>
        <v>8</v>
      </c>
      <c r="C1243" s="1039" t="str">
        <f t="shared" si="726"/>
        <v>Muhammad Muslim</v>
      </c>
      <c r="D1243" s="1040" t="str">
        <f t="shared" si="727"/>
        <v>MPI3-1</v>
      </c>
      <c r="E1243" s="1041">
        <f t="shared" si="728"/>
        <v>2018</v>
      </c>
      <c r="F1243" s="1040" t="str">
        <f t="shared" si="729"/>
        <v>AKTIF</v>
      </c>
      <c r="G1243" s="1041">
        <f t="shared" si="730"/>
        <v>841918009</v>
      </c>
      <c r="H1243" s="1042">
        <f t="shared" si="735"/>
        <v>12250000</v>
      </c>
      <c r="I1243" s="1042">
        <f t="shared" si="736"/>
        <v>8000000</v>
      </c>
      <c r="J1243" s="1042">
        <f t="shared" si="686"/>
        <v>20250000</v>
      </c>
      <c r="L1243" s="1060">
        <f t="shared" si="737"/>
        <v>1</v>
      </c>
      <c r="M1243" s="1060">
        <f t="shared" si="731"/>
        <v>0</v>
      </c>
      <c r="N1243" s="1060">
        <f t="shared" si="732"/>
        <v>0</v>
      </c>
      <c r="O1243" s="1060">
        <f t="shared" si="733"/>
        <v>0</v>
      </c>
      <c r="P1243" s="1060">
        <f t="shared" si="734"/>
        <v>0</v>
      </c>
    </row>
    <row r="1244" spans="1:16" x14ac:dyDescent="0.25">
      <c r="A1244" s="1039">
        <v>1632</v>
      </c>
      <c r="B1244" s="1039">
        <f t="shared" si="725"/>
        <v>9</v>
      </c>
      <c r="C1244" s="1039" t="str">
        <f t="shared" si="726"/>
        <v>Akhmad Munir</v>
      </c>
      <c r="D1244" s="1040" t="str">
        <f t="shared" si="727"/>
        <v>MPI3-1</v>
      </c>
      <c r="E1244" s="1041">
        <f t="shared" si="728"/>
        <v>2018</v>
      </c>
      <c r="F1244" s="1040" t="str">
        <f t="shared" si="729"/>
        <v>AKTIF</v>
      </c>
      <c r="G1244" s="1041">
        <f t="shared" si="730"/>
        <v>841918010</v>
      </c>
      <c r="H1244" s="1042">
        <f t="shared" si="735"/>
        <v>12250000</v>
      </c>
      <c r="I1244" s="1042">
        <f t="shared" si="685"/>
        <v>3750000</v>
      </c>
      <c r="J1244" s="1042">
        <f t="shared" si="686"/>
        <v>16000000</v>
      </c>
      <c r="L1244" s="1060">
        <f t="shared" si="737"/>
        <v>1</v>
      </c>
      <c r="M1244" s="1060">
        <f t="shared" si="731"/>
        <v>0</v>
      </c>
      <c r="N1244" s="1060">
        <f t="shared" si="732"/>
        <v>0</v>
      </c>
      <c r="O1244" s="1060">
        <f t="shared" si="733"/>
        <v>0</v>
      </c>
      <c r="P1244" s="1060">
        <f t="shared" si="734"/>
        <v>0</v>
      </c>
    </row>
    <row r="1245" spans="1:16" x14ac:dyDescent="0.25">
      <c r="A1245" s="1039">
        <v>1633</v>
      </c>
      <c r="B1245" s="1039">
        <f t="shared" si="725"/>
        <v>10</v>
      </c>
      <c r="C1245" s="1039" t="str">
        <f t="shared" si="726"/>
        <v>Fauzan Ahmad Siregar</v>
      </c>
      <c r="D1245" s="1040" t="str">
        <f t="shared" si="727"/>
        <v>MPI3-1</v>
      </c>
      <c r="E1245" s="1041">
        <f t="shared" si="728"/>
        <v>2018</v>
      </c>
      <c r="F1245" s="1040" t="str">
        <f t="shared" si="729"/>
        <v>AKTIF</v>
      </c>
      <c r="G1245" s="1041">
        <f t="shared" si="730"/>
        <v>841918011</v>
      </c>
      <c r="H1245" s="1042">
        <f t="shared" si="735"/>
        <v>12250000</v>
      </c>
      <c r="I1245" s="1042">
        <f t="shared" si="685"/>
        <v>3750000</v>
      </c>
      <c r="J1245" s="1042">
        <f t="shared" si="686"/>
        <v>16000000</v>
      </c>
      <c r="L1245" s="1060">
        <f t="shared" si="737"/>
        <v>1</v>
      </c>
      <c r="M1245" s="1060">
        <f t="shared" si="731"/>
        <v>0</v>
      </c>
      <c r="N1245" s="1060">
        <f t="shared" si="732"/>
        <v>0</v>
      </c>
      <c r="O1245" s="1060">
        <f t="shared" si="733"/>
        <v>0</v>
      </c>
      <c r="P1245" s="1060">
        <f t="shared" si="734"/>
        <v>0</v>
      </c>
    </row>
    <row r="1246" spans="1:16" x14ac:dyDescent="0.25">
      <c r="A1246" s="1039">
        <v>1634</v>
      </c>
      <c r="B1246" s="1039">
        <f t="shared" si="725"/>
        <v>11</v>
      </c>
      <c r="C1246" s="1039" t="str">
        <f t="shared" si="726"/>
        <v>Miftahol Arifin</v>
      </c>
      <c r="D1246" s="1040" t="str">
        <f t="shared" si="727"/>
        <v>MPI3-1</v>
      </c>
      <c r="E1246" s="1041">
        <f t="shared" si="728"/>
        <v>2018</v>
      </c>
      <c r="F1246" s="1040" t="str">
        <f t="shared" si="729"/>
        <v>AKTIF</v>
      </c>
      <c r="G1246" s="1041">
        <f t="shared" si="730"/>
        <v>841918012</v>
      </c>
      <c r="H1246" s="1042">
        <f t="shared" si="735"/>
        <v>12250000</v>
      </c>
      <c r="I1246" s="1042">
        <f t="shared" si="685"/>
        <v>3750000</v>
      </c>
      <c r="J1246" s="1042">
        <f t="shared" si="686"/>
        <v>16000000</v>
      </c>
      <c r="L1246" s="1060">
        <f t="shared" si="737"/>
        <v>1</v>
      </c>
      <c r="M1246" s="1060">
        <f t="shared" si="731"/>
        <v>0</v>
      </c>
      <c r="N1246" s="1060">
        <f t="shared" si="732"/>
        <v>0</v>
      </c>
      <c r="O1246" s="1060">
        <f t="shared" si="733"/>
        <v>0</v>
      </c>
      <c r="P1246" s="1060">
        <f t="shared" si="734"/>
        <v>0</v>
      </c>
    </row>
    <row r="1247" spans="1:16" x14ac:dyDescent="0.25">
      <c r="A1247" s="1039">
        <v>1635</v>
      </c>
      <c r="B1247" s="1039">
        <f t="shared" ref="B1247:B1249" si="738">IFERROR(VLOOKUP(A1247,DB,2,FALSE),"")</f>
        <v>12</v>
      </c>
      <c r="C1247" s="1039" t="str">
        <f t="shared" si="726"/>
        <v>Sarkowi</v>
      </c>
      <c r="D1247" s="1040" t="str">
        <f t="shared" si="727"/>
        <v>MPI3-1</v>
      </c>
      <c r="E1247" s="1041">
        <f t="shared" si="728"/>
        <v>2018</v>
      </c>
      <c r="F1247" s="1040" t="str">
        <f t="shared" si="729"/>
        <v>AKTIF</v>
      </c>
      <c r="G1247" s="1041">
        <f t="shared" si="730"/>
        <v>841918013</v>
      </c>
      <c r="H1247" s="1042">
        <f t="shared" si="735"/>
        <v>12250000</v>
      </c>
      <c r="I1247" s="1042">
        <f t="shared" si="685"/>
        <v>3750000</v>
      </c>
      <c r="J1247" s="1042">
        <f t="shared" si="686"/>
        <v>16000000</v>
      </c>
      <c r="L1247" s="1060">
        <f t="shared" si="737"/>
        <v>1</v>
      </c>
      <c r="M1247" s="1060">
        <f t="shared" si="731"/>
        <v>0</v>
      </c>
      <c r="N1247" s="1060">
        <f t="shared" si="732"/>
        <v>0</v>
      </c>
      <c r="O1247" s="1060">
        <f t="shared" si="733"/>
        <v>0</v>
      </c>
      <c r="P1247" s="1060">
        <f t="shared" si="734"/>
        <v>0</v>
      </c>
    </row>
    <row r="1248" spans="1:16" x14ac:dyDescent="0.25">
      <c r="A1248" s="1039"/>
      <c r="B1248" s="1039" t="str">
        <f t="shared" si="738"/>
        <v/>
      </c>
      <c r="C1248" s="1039" t="str">
        <f t="shared" si="726"/>
        <v/>
      </c>
      <c r="D1248" s="1040" t="str">
        <f t="shared" si="727"/>
        <v/>
      </c>
      <c r="E1248" s="1041" t="str">
        <f t="shared" si="728"/>
        <v/>
      </c>
      <c r="F1248" s="1040" t="str">
        <f t="shared" si="729"/>
        <v/>
      </c>
      <c r="G1248" s="1041" t="str">
        <f t="shared" si="730"/>
        <v/>
      </c>
      <c r="H1248" s="1042">
        <f t="shared" si="684"/>
        <v>0</v>
      </c>
      <c r="I1248" s="1042">
        <f t="shared" si="685"/>
        <v>0</v>
      </c>
      <c r="J1248" s="1042">
        <f t="shared" si="686"/>
        <v>0</v>
      </c>
    </row>
    <row r="1249" spans="1:16" x14ac:dyDescent="0.25">
      <c r="A1249" s="1039"/>
      <c r="B1249" s="1039" t="str">
        <f t="shared" si="738"/>
        <v/>
      </c>
      <c r="C1249" s="1039" t="str">
        <f t="shared" si="726"/>
        <v/>
      </c>
      <c r="D1249" s="1040" t="str">
        <f t="shared" si="727"/>
        <v/>
      </c>
      <c r="E1249" s="1041" t="str">
        <f t="shared" si="728"/>
        <v/>
      </c>
      <c r="F1249" s="1040" t="str">
        <f t="shared" si="729"/>
        <v/>
      </c>
      <c r="G1249" s="1041" t="str">
        <f t="shared" si="730"/>
        <v/>
      </c>
      <c r="H1249" s="1042">
        <f t="shared" si="684"/>
        <v>0</v>
      </c>
      <c r="I1249" s="1042">
        <f t="shared" si="685"/>
        <v>0</v>
      </c>
      <c r="J1249" s="1042">
        <f t="shared" si="686"/>
        <v>0</v>
      </c>
    </row>
    <row r="1250" spans="1:16" x14ac:dyDescent="0.25">
      <c r="A1250" s="1076" t="str">
        <f>'Rekap SPP'!A1778</f>
        <v>S2-PAI 2019/2020</v>
      </c>
      <c r="B1250" s="1077"/>
      <c r="C1250" s="1077"/>
      <c r="D1250" s="1033" t="s">
        <v>3</v>
      </c>
      <c r="E1250" s="1032" t="s">
        <v>4</v>
      </c>
      <c r="F1250" s="1033" t="s">
        <v>3195</v>
      </c>
      <c r="G1250" s="1032" t="s">
        <v>1</v>
      </c>
      <c r="H1250" s="1033" t="s">
        <v>3362</v>
      </c>
      <c r="I1250" s="1033" t="s">
        <v>3363</v>
      </c>
      <c r="J1250" s="1062">
        <f>SUM(J1251:J1323)</f>
        <v>691200000</v>
      </c>
      <c r="L1250" s="1063">
        <f>SUM(L1251:L1323)</f>
        <v>66</v>
      </c>
      <c r="M1250" s="1063">
        <f>SUM(M1251:M1323)</f>
        <v>0</v>
      </c>
      <c r="N1250" s="1063">
        <f>SUM(N1251:N1323)</f>
        <v>3</v>
      </c>
      <c r="O1250" s="1063">
        <f>SUM(O1251:O1323)</f>
        <v>0</v>
      </c>
      <c r="P1250" s="1063">
        <f>SUM(P1251:P1323)</f>
        <v>4</v>
      </c>
    </row>
    <row r="1251" spans="1:16" x14ac:dyDescent="0.25">
      <c r="A1251" s="1039">
        <v>1636</v>
      </c>
      <c r="B1251" s="1039">
        <f t="shared" ref="B1251:B1282" si="739">IFERROR(VLOOKUP(A1251,DB,2,FALSE),"  ")</f>
        <v>1</v>
      </c>
      <c r="C1251" s="1039" t="str">
        <f t="shared" ref="C1251:C1282" si="740">IFERROR(VLOOKUP(A1251,DB,4,FALSE),"  ")</f>
        <v>ENDRI</v>
      </c>
      <c r="D1251" s="1041" t="str">
        <f t="shared" ref="D1251:D1282" si="741">IFERROR(VLOOKUP(A1251,DB,5,FALSE),"  ")</f>
        <v>PAI-3A</v>
      </c>
      <c r="E1251" s="1041">
        <f t="shared" ref="E1251:E1282" si="742">IFERROR(VLOOKUP(A1251,DB,6,FALSE),"  ")</f>
        <v>2019</v>
      </c>
      <c r="F1251" s="1041" t="str">
        <f t="shared" ref="F1251:F1282" si="743">IFERROR(VLOOKUP(A1251,DB,7,FALSE),"  ")</f>
        <v>PASIF</v>
      </c>
      <c r="G1251" s="1041">
        <f t="shared" ref="G1251:G1282" si="744">IFERROR(VLOOKUP(A1251,DB,3,FALSE),"  ")</f>
        <v>849319039</v>
      </c>
      <c r="H1251" s="1042">
        <f t="shared" si="684"/>
        <v>0</v>
      </c>
      <c r="I1251" s="1042">
        <f t="shared" si="685"/>
        <v>0</v>
      </c>
      <c r="J1251" s="1042">
        <f t="shared" si="686"/>
        <v>0</v>
      </c>
      <c r="L1251" s="1060">
        <f>IF(F1251="AKTIF",1,0)</f>
        <v>0</v>
      </c>
      <c r="M1251" s="1060">
        <f t="shared" ref="M1251:M1282" si="745">IF(F1251="LULUS",1,0)</f>
        <v>0</v>
      </c>
      <c r="N1251" s="1060">
        <f t="shared" ref="N1251:N1282" si="746">IF(F1251="CUTI",1,0)</f>
        <v>0</v>
      </c>
      <c r="O1251" s="1060">
        <f t="shared" ref="O1251:O1282" si="747">IF(F1251="DROP OUT",1,0)</f>
        <v>0</v>
      </c>
      <c r="P1251" s="1060">
        <f t="shared" ref="P1251" si="748">IF(F1251="PASIF",1,0)</f>
        <v>1</v>
      </c>
    </row>
    <row r="1252" spans="1:16" x14ac:dyDescent="0.25">
      <c r="A1252" s="1039">
        <v>1637</v>
      </c>
      <c r="B1252" s="1039">
        <f t="shared" si="739"/>
        <v>2</v>
      </c>
      <c r="C1252" s="1039" t="str">
        <f t="shared" si="740"/>
        <v>FENY DYAH APRILLIA</v>
      </c>
      <c r="D1252" s="1041" t="str">
        <f t="shared" si="741"/>
        <v>PAI-3A</v>
      </c>
      <c r="E1252" s="1041">
        <f t="shared" si="742"/>
        <v>2019</v>
      </c>
      <c r="F1252" s="1041" t="str">
        <f t="shared" si="743"/>
        <v>AKTIF</v>
      </c>
      <c r="G1252" s="1041">
        <f t="shared" si="744"/>
        <v>849319004</v>
      </c>
      <c r="H1252" s="1042">
        <f t="shared" si="684"/>
        <v>6450000</v>
      </c>
      <c r="I1252" s="1042">
        <f t="shared" si="685"/>
        <v>3750000</v>
      </c>
      <c r="J1252" s="1042">
        <f t="shared" si="686"/>
        <v>10200000</v>
      </c>
      <c r="L1252" s="1060">
        <f t="shared" ref="L1252:L1315" si="749">IF(F1252="AKTIF",1,0)</f>
        <v>1</v>
      </c>
      <c r="M1252" s="1060">
        <f t="shared" si="745"/>
        <v>0</v>
      </c>
      <c r="N1252" s="1060">
        <f t="shared" si="746"/>
        <v>0</v>
      </c>
      <c r="O1252" s="1060">
        <f t="shared" si="747"/>
        <v>0</v>
      </c>
      <c r="P1252" s="1060">
        <f t="shared" ref="P1252:P1315" si="750">IF(F1252="PASIF",1,0)</f>
        <v>0</v>
      </c>
    </row>
    <row r="1253" spans="1:16" x14ac:dyDescent="0.25">
      <c r="A1253" s="1039">
        <v>1638</v>
      </c>
      <c r="B1253" s="1039">
        <f t="shared" si="739"/>
        <v>3</v>
      </c>
      <c r="C1253" s="1039" t="str">
        <f t="shared" si="740"/>
        <v>FITRIYANI</v>
      </c>
      <c r="D1253" s="1041" t="str">
        <f t="shared" si="741"/>
        <v>PAI-3A</v>
      </c>
      <c r="E1253" s="1041">
        <f t="shared" si="742"/>
        <v>2019</v>
      </c>
      <c r="F1253" s="1041" t="str">
        <f t="shared" si="743"/>
        <v>AKTIF</v>
      </c>
      <c r="G1253" s="1041">
        <f t="shared" si="744"/>
        <v>849319048</v>
      </c>
      <c r="H1253" s="1042">
        <f t="shared" si="684"/>
        <v>6450000</v>
      </c>
      <c r="I1253" s="1042">
        <f t="shared" si="685"/>
        <v>3750000</v>
      </c>
      <c r="J1253" s="1042">
        <f t="shared" si="686"/>
        <v>10200000</v>
      </c>
      <c r="L1253" s="1060">
        <f t="shared" si="749"/>
        <v>1</v>
      </c>
      <c r="M1253" s="1060">
        <f t="shared" si="745"/>
        <v>0</v>
      </c>
      <c r="N1253" s="1060">
        <f t="shared" si="746"/>
        <v>0</v>
      </c>
      <c r="O1253" s="1060">
        <f t="shared" si="747"/>
        <v>0</v>
      </c>
      <c r="P1253" s="1060">
        <f t="shared" si="750"/>
        <v>0</v>
      </c>
    </row>
    <row r="1254" spans="1:16" x14ac:dyDescent="0.25">
      <c r="A1254" s="1039">
        <v>1639</v>
      </c>
      <c r="B1254" s="1039">
        <f t="shared" si="739"/>
        <v>4</v>
      </c>
      <c r="C1254" s="1039" t="str">
        <f t="shared" si="740"/>
        <v>FITRIA NUR JAYANTI</v>
      </c>
      <c r="D1254" s="1041" t="str">
        <f t="shared" si="741"/>
        <v>PAI-3A</v>
      </c>
      <c r="E1254" s="1041">
        <f t="shared" si="742"/>
        <v>2019</v>
      </c>
      <c r="F1254" s="1041" t="str">
        <f t="shared" si="743"/>
        <v>AKTIF</v>
      </c>
      <c r="G1254" s="1041">
        <f t="shared" si="744"/>
        <v>849319051</v>
      </c>
      <c r="H1254" s="1042">
        <f t="shared" si="684"/>
        <v>6450000</v>
      </c>
      <c r="I1254" s="1042">
        <f t="shared" si="685"/>
        <v>3750000</v>
      </c>
      <c r="J1254" s="1042">
        <f t="shared" si="686"/>
        <v>10200000</v>
      </c>
      <c r="L1254" s="1060">
        <f t="shared" si="749"/>
        <v>1</v>
      </c>
      <c r="M1254" s="1060">
        <f t="shared" si="745"/>
        <v>0</v>
      </c>
      <c r="N1254" s="1060">
        <f t="shared" si="746"/>
        <v>0</v>
      </c>
      <c r="O1254" s="1060">
        <f t="shared" si="747"/>
        <v>0</v>
      </c>
      <c r="P1254" s="1060">
        <f t="shared" si="750"/>
        <v>0</v>
      </c>
    </row>
    <row r="1255" spans="1:16" x14ac:dyDescent="0.25">
      <c r="A1255" s="1039">
        <v>1640</v>
      </c>
      <c r="B1255" s="1039">
        <f t="shared" si="739"/>
        <v>5</v>
      </c>
      <c r="C1255" s="1039" t="str">
        <f t="shared" si="740"/>
        <v>HAMIDATUR RIZQI</v>
      </c>
      <c r="D1255" s="1041" t="str">
        <f t="shared" si="741"/>
        <v>PAI-3A</v>
      </c>
      <c r="E1255" s="1041">
        <f t="shared" si="742"/>
        <v>2019</v>
      </c>
      <c r="F1255" s="1041" t="str">
        <f t="shared" si="743"/>
        <v>AKTIF</v>
      </c>
      <c r="G1255" s="1041">
        <f t="shared" si="744"/>
        <v>849319037</v>
      </c>
      <c r="H1255" s="1042">
        <f t="shared" si="684"/>
        <v>6450000</v>
      </c>
      <c r="I1255" s="1042">
        <f t="shared" si="685"/>
        <v>3750000</v>
      </c>
      <c r="J1255" s="1042">
        <f t="shared" si="686"/>
        <v>10200000</v>
      </c>
      <c r="L1255" s="1060">
        <f t="shared" si="749"/>
        <v>1</v>
      </c>
      <c r="M1255" s="1060">
        <f t="shared" si="745"/>
        <v>0</v>
      </c>
      <c r="N1255" s="1060">
        <f t="shared" si="746"/>
        <v>0</v>
      </c>
      <c r="O1255" s="1060">
        <f t="shared" si="747"/>
        <v>0</v>
      </c>
      <c r="P1255" s="1060">
        <f t="shared" si="750"/>
        <v>0</v>
      </c>
    </row>
    <row r="1256" spans="1:16" x14ac:dyDescent="0.25">
      <c r="A1256" s="1039">
        <v>1641</v>
      </c>
      <c r="B1256" s="1039">
        <f t="shared" si="739"/>
        <v>6</v>
      </c>
      <c r="C1256" s="1039" t="str">
        <f t="shared" si="740"/>
        <v>HARIS ABDUL QODIR</v>
      </c>
      <c r="D1256" s="1041" t="str">
        <f t="shared" si="741"/>
        <v>PAI-3A</v>
      </c>
      <c r="E1256" s="1041">
        <f t="shared" si="742"/>
        <v>2019</v>
      </c>
      <c r="F1256" s="1041" t="str">
        <f t="shared" si="743"/>
        <v>CUTI</v>
      </c>
      <c r="G1256" s="1041">
        <f t="shared" si="744"/>
        <v>849319022</v>
      </c>
      <c r="H1256" s="1042">
        <f t="shared" si="684"/>
        <v>3000000</v>
      </c>
      <c r="I1256" s="1042">
        <f t="shared" si="685"/>
        <v>3000000</v>
      </c>
      <c r="J1256" s="1042">
        <f t="shared" si="686"/>
        <v>6000000</v>
      </c>
      <c r="L1256" s="1060">
        <f t="shared" si="749"/>
        <v>0</v>
      </c>
      <c r="M1256" s="1060">
        <f t="shared" si="745"/>
        <v>0</v>
      </c>
      <c r="N1256" s="1060">
        <f t="shared" si="746"/>
        <v>1</v>
      </c>
      <c r="O1256" s="1060">
        <f t="shared" si="747"/>
        <v>0</v>
      </c>
      <c r="P1256" s="1060">
        <f t="shared" si="750"/>
        <v>0</v>
      </c>
    </row>
    <row r="1257" spans="1:16" x14ac:dyDescent="0.25">
      <c r="A1257" s="1039">
        <v>1642</v>
      </c>
      <c r="B1257" s="1039">
        <f t="shared" si="739"/>
        <v>7</v>
      </c>
      <c r="C1257" s="1039" t="str">
        <f t="shared" si="740"/>
        <v>KHAIRIYATUL JANNAH</v>
      </c>
      <c r="D1257" s="1041" t="str">
        <f t="shared" si="741"/>
        <v>PAI-3A</v>
      </c>
      <c r="E1257" s="1041">
        <f t="shared" si="742"/>
        <v>2019</v>
      </c>
      <c r="F1257" s="1041" t="str">
        <f t="shared" si="743"/>
        <v>AKTIF</v>
      </c>
      <c r="G1257" s="1041">
        <f t="shared" si="744"/>
        <v>849319006</v>
      </c>
      <c r="H1257" s="1042">
        <f t="shared" si="684"/>
        <v>6450000</v>
      </c>
      <c r="I1257" s="1042">
        <f t="shared" si="685"/>
        <v>3750000</v>
      </c>
      <c r="J1257" s="1042">
        <f t="shared" si="686"/>
        <v>10200000</v>
      </c>
      <c r="L1257" s="1060">
        <f t="shared" si="749"/>
        <v>1</v>
      </c>
      <c r="M1257" s="1060">
        <f t="shared" si="745"/>
        <v>0</v>
      </c>
      <c r="N1257" s="1060">
        <f t="shared" si="746"/>
        <v>0</v>
      </c>
      <c r="O1257" s="1060">
        <f t="shared" si="747"/>
        <v>0</v>
      </c>
      <c r="P1257" s="1060">
        <f t="shared" si="750"/>
        <v>0</v>
      </c>
    </row>
    <row r="1258" spans="1:16" x14ac:dyDescent="0.25">
      <c r="A1258" s="1039">
        <v>1643</v>
      </c>
      <c r="B1258" s="1039">
        <f t="shared" si="739"/>
        <v>8</v>
      </c>
      <c r="C1258" s="1039" t="str">
        <f t="shared" si="740"/>
        <v>LIA ZULFATUL MUHASANAH</v>
      </c>
      <c r="D1258" s="1041" t="str">
        <f t="shared" si="741"/>
        <v>PAI-3A</v>
      </c>
      <c r="E1258" s="1041">
        <f t="shared" si="742"/>
        <v>2019</v>
      </c>
      <c r="F1258" s="1041" t="str">
        <f t="shared" si="743"/>
        <v>AKTIF</v>
      </c>
      <c r="G1258" s="1041">
        <f t="shared" si="744"/>
        <v>849319031</v>
      </c>
      <c r="H1258" s="1042">
        <f t="shared" si="684"/>
        <v>6450000</v>
      </c>
      <c r="I1258" s="1042">
        <f t="shared" si="685"/>
        <v>3750000</v>
      </c>
      <c r="J1258" s="1042">
        <f t="shared" si="686"/>
        <v>10200000</v>
      </c>
      <c r="L1258" s="1060">
        <f t="shared" si="749"/>
        <v>1</v>
      </c>
      <c r="M1258" s="1060">
        <f t="shared" si="745"/>
        <v>0</v>
      </c>
      <c r="N1258" s="1060">
        <f t="shared" si="746"/>
        <v>0</v>
      </c>
      <c r="O1258" s="1060">
        <f t="shared" si="747"/>
        <v>0</v>
      </c>
      <c r="P1258" s="1060">
        <f t="shared" si="750"/>
        <v>0</v>
      </c>
    </row>
    <row r="1259" spans="1:16" x14ac:dyDescent="0.25">
      <c r="A1259" s="1039">
        <v>1644</v>
      </c>
      <c r="B1259" s="1039">
        <f t="shared" si="739"/>
        <v>9</v>
      </c>
      <c r="C1259" s="1039" t="str">
        <f t="shared" si="740"/>
        <v>MISBAKHUDDIN KHASAN</v>
      </c>
      <c r="D1259" s="1041" t="str">
        <f t="shared" si="741"/>
        <v>PAI-3A</v>
      </c>
      <c r="E1259" s="1041">
        <f t="shared" si="742"/>
        <v>2019</v>
      </c>
      <c r="F1259" s="1041" t="str">
        <f t="shared" si="743"/>
        <v>AKTIF</v>
      </c>
      <c r="G1259" s="1041">
        <f t="shared" si="744"/>
        <v>849319046</v>
      </c>
      <c r="H1259" s="1042">
        <f t="shared" si="684"/>
        <v>6450000</v>
      </c>
      <c r="I1259" s="1042">
        <f t="shared" si="685"/>
        <v>3750000</v>
      </c>
      <c r="J1259" s="1042">
        <f t="shared" si="686"/>
        <v>10200000</v>
      </c>
      <c r="L1259" s="1060">
        <f t="shared" si="749"/>
        <v>1</v>
      </c>
      <c r="M1259" s="1060">
        <f t="shared" si="745"/>
        <v>0</v>
      </c>
      <c r="N1259" s="1060">
        <f t="shared" si="746"/>
        <v>0</v>
      </c>
      <c r="O1259" s="1060">
        <f t="shared" si="747"/>
        <v>0</v>
      </c>
      <c r="P1259" s="1060">
        <f t="shared" si="750"/>
        <v>0</v>
      </c>
    </row>
    <row r="1260" spans="1:16" x14ac:dyDescent="0.25">
      <c r="A1260" s="1039">
        <v>1645</v>
      </c>
      <c r="B1260" s="1039">
        <f t="shared" si="739"/>
        <v>10</v>
      </c>
      <c r="C1260" s="1039" t="str">
        <f t="shared" si="740"/>
        <v>MOH BARIRUL UMAM</v>
      </c>
      <c r="D1260" s="1041" t="str">
        <f t="shared" si="741"/>
        <v>PAI-3A</v>
      </c>
      <c r="E1260" s="1041">
        <f t="shared" si="742"/>
        <v>2019</v>
      </c>
      <c r="F1260" s="1041" t="str">
        <f t="shared" si="743"/>
        <v>AKTIF</v>
      </c>
      <c r="G1260" s="1041">
        <f t="shared" si="744"/>
        <v>849319052</v>
      </c>
      <c r="H1260" s="1042">
        <f t="shared" si="684"/>
        <v>6450000</v>
      </c>
      <c r="I1260" s="1042">
        <f t="shared" si="685"/>
        <v>3750000</v>
      </c>
      <c r="J1260" s="1042">
        <f t="shared" si="686"/>
        <v>10200000</v>
      </c>
      <c r="L1260" s="1060">
        <f t="shared" si="749"/>
        <v>1</v>
      </c>
      <c r="M1260" s="1060">
        <f t="shared" si="745"/>
        <v>0</v>
      </c>
      <c r="N1260" s="1060">
        <f t="shared" si="746"/>
        <v>0</v>
      </c>
      <c r="O1260" s="1060">
        <f t="shared" si="747"/>
        <v>0</v>
      </c>
      <c r="P1260" s="1060">
        <f t="shared" si="750"/>
        <v>0</v>
      </c>
    </row>
    <row r="1261" spans="1:16" x14ac:dyDescent="0.25">
      <c r="A1261" s="1039">
        <v>1646</v>
      </c>
      <c r="B1261" s="1039">
        <f t="shared" si="739"/>
        <v>11</v>
      </c>
      <c r="C1261" s="1039" t="str">
        <f t="shared" si="740"/>
        <v>MOHAMAD RULI KURNIAWAN</v>
      </c>
      <c r="D1261" s="1041" t="str">
        <f t="shared" si="741"/>
        <v>PAI-3A</v>
      </c>
      <c r="E1261" s="1041">
        <f t="shared" si="742"/>
        <v>2019</v>
      </c>
      <c r="F1261" s="1041" t="str">
        <f t="shared" si="743"/>
        <v>AKTIF</v>
      </c>
      <c r="G1261" s="1041">
        <f t="shared" si="744"/>
        <v>849319074</v>
      </c>
      <c r="H1261" s="1042">
        <f t="shared" si="684"/>
        <v>6450000</v>
      </c>
      <c r="I1261" s="1042">
        <f t="shared" si="685"/>
        <v>3750000</v>
      </c>
      <c r="J1261" s="1042">
        <f t="shared" si="686"/>
        <v>10200000</v>
      </c>
      <c r="L1261" s="1060">
        <f t="shared" si="749"/>
        <v>1</v>
      </c>
      <c r="M1261" s="1060">
        <f t="shared" si="745"/>
        <v>0</v>
      </c>
      <c r="N1261" s="1060">
        <f t="shared" si="746"/>
        <v>0</v>
      </c>
      <c r="O1261" s="1060">
        <f t="shared" si="747"/>
        <v>0</v>
      </c>
      <c r="P1261" s="1060">
        <f t="shared" si="750"/>
        <v>0</v>
      </c>
    </row>
    <row r="1262" spans="1:16" x14ac:dyDescent="0.25">
      <c r="A1262" s="1039">
        <v>1647</v>
      </c>
      <c r="B1262" s="1039">
        <f t="shared" si="739"/>
        <v>12</v>
      </c>
      <c r="C1262" s="1039" t="str">
        <f t="shared" si="740"/>
        <v>MOHAMMAD ROBITH ALHASANY</v>
      </c>
      <c r="D1262" s="1041" t="str">
        <f t="shared" si="741"/>
        <v>PAI-3A</v>
      </c>
      <c r="E1262" s="1041">
        <f t="shared" si="742"/>
        <v>2019</v>
      </c>
      <c r="F1262" s="1041" t="str">
        <f t="shared" si="743"/>
        <v>AKTIF</v>
      </c>
      <c r="G1262" s="1041">
        <f t="shared" si="744"/>
        <v>849319041</v>
      </c>
      <c r="H1262" s="1042">
        <f t="shared" si="684"/>
        <v>6450000</v>
      </c>
      <c r="I1262" s="1042">
        <f t="shared" si="685"/>
        <v>3750000</v>
      </c>
      <c r="J1262" s="1042">
        <f t="shared" si="686"/>
        <v>10200000</v>
      </c>
      <c r="L1262" s="1060">
        <f t="shared" si="749"/>
        <v>1</v>
      </c>
      <c r="M1262" s="1060">
        <f t="shared" si="745"/>
        <v>0</v>
      </c>
      <c r="N1262" s="1060">
        <f t="shared" si="746"/>
        <v>0</v>
      </c>
      <c r="O1262" s="1060">
        <f t="shared" si="747"/>
        <v>0</v>
      </c>
      <c r="P1262" s="1060">
        <f t="shared" si="750"/>
        <v>0</v>
      </c>
    </row>
    <row r="1263" spans="1:16" x14ac:dyDescent="0.25">
      <c r="A1263" s="1039">
        <v>1648</v>
      </c>
      <c r="B1263" s="1039">
        <f t="shared" si="739"/>
        <v>13</v>
      </c>
      <c r="C1263" s="1039" t="str">
        <f t="shared" si="740"/>
        <v>SULTON HAJI BAHRUDDIN</v>
      </c>
      <c r="D1263" s="1041" t="str">
        <f t="shared" si="741"/>
        <v>PAI-3A</v>
      </c>
      <c r="E1263" s="1041">
        <f t="shared" si="742"/>
        <v>2019</v>
      </c>
      <c r="F1263" s="1041" t="str">
        <f t="shared" si="743"/>
        <v>AKTIF</v>
      </c>
      <c r="G1263" s="1041">
        <f t="shared" si="744"/>
        <v>849319029</v>
      </c>
      <c r="H1263" s="1042">
        <f t="shared" si="684"/>
        <v>6450000</v>
      </c>
      <c r="I1263" s="1042">
        <f t="shared" si="685"/>
        <v>3750000</v>
      </c>
      <c r="J1263" s="1042">
        <f t="shared" si="686"/>
        <v>10200000</v>
      </c>
      <c r="L1263" s="1060">
        <f t="shared" si="749"/>
        <v>1</v>
      </c>
      <c r="M1263" s="1060">
        <f t="shared" si="745"/>
        <v>0</v>
      </c>
      <c r="N1263" s="1060">
        <f t="shared" si="746"/>
        <v>0</v>
      </c>
      <c r="O1263" s="1060">
        <f t="shared" si="747"/>
        <v>0</v>
      </c>
      <c r="P1263" s="1060">
        <f t="shared" si="750"/>
        <v>0</v>
      </c>
    </row>
    <row r="1264" spans="1:16" x14ac:dyDescent="0.25">
      <c r="A1264" s="1039">
        <v>1649</v>
      </c>
      <c r="B1264" s="1039">
        <f t="shared" si="739"/>
        <v>14</v>
      </c>
      <c r="C1264" s="1039" t="str">
        <f t="shared" si="740"/>
        <v>ULIN NUHA NATIKA</v>
      </c>
      <c r="D1264" s="1041" t="str">
        <f t="shared" si="741"/>
        <v>PAI-3A</v>
      </c>
      <c r="E1264" s="1041">
        <f t="shared" si="742"/>
        <v>2019</v>
      </c>
      <c r="F1264" s="1041" t="str">
        <f t="shared" si="743"/>
        <v>PASIF</v>
      </c>
      <c r="G1264" s="1041">
        <f t="shared" si="744"/>
        <v>849319040</v>
      </c>
      <c r="H1264" s="1042">
        <f t="shared" si="684"/>
        <v>0</v>
      </c>
      <c r="I1264" s="1042">
        <f t="shared" si="685"/>
        <v>0</v>
      </c>
      <c r="J1264" s="1042">
        <f t="shared" si="686"/>
        <v>0</v>
      </c>
      <c r="L1264" s="1060">
        <f t="shared" si="749"/>
        <v>0</v>
      </c>
      <c r="M1264" s="1060">
        <f t="shared" si="745"/>
        <v>0</v>
      </c>
      <c r="N1264" s="1060">
        <f t="shared" si="746"/>
        <v>0</v>
      </c>
      <c r="O1264" s="1060">
        <f t="shared" si="747"/>
        <v>0</v>
      </c>
      <c r="P1264" s="1060">
        <f t="shared" si="750"/>
        <v>1</v>
      </c>
    </row>
    <row r="1265" spans="1:16" x14ac:dyDescent="0.25">
      <c r="A1265" s="1039">
        <v>1650</v>
      </c>
      <c r="B1265" s="1039">
        <f t="shared" si="739"/>
        <v>15</v>
      </c>
      <c r="C1265" s="1039" t="str">
        <f t="shared" si="740"/>
        <v>UMI ALFIATI</v>
      </c>
      <c r="D1265" s="1041" t="str">
        <f t="shared" si="741"/>
        <v>PAI-3A</v>
      </c>
      <c r="E1265" s="1041">
        <f t="shared" si="742"/>
        <v>2019</v>
      </c>
      <c r="F1265" s="1041" t="str">
        <f t="shared" si="743"/>
        <v>PASIF</v>
      </c>
      <c r="G1265" s="1041">
        <f t="shared" si="744"/>
        <v>849319019</v>
      </c>
      <c r="H1265" s="1042">
        <f t="shared" si="684"/>
        <v>0</v>
      </c>
      <c r="I1265" s="1042">
        <f t="shared" si="685"/>
        <v>0</v>
      </c>
      <c r="J1265" s="1042">
        <f t="shared" si="686"/>
        <v>0</v>
      </c>
      <c r="L1265" s="1060">
        <f t="shared" si="749"/>
        <v>0</v>
      </c>
      <c r="M1265" s="1060">
        <f t="shared" si="745"/>
        <v>0</v>
      </c>
      <c r="N1265" s="1060">
        <f t="shared" si="746"/>
        <v>0</v>
      </c>
      <c r="O1265" s="1060">
        <f t="shared" si="747"/>
        <v>0</v>
      </c>
      <c r="P1265" s="1060">
        <f t="shared" si="750"/>
        <v>1</v>
      </c>
    </row>
    <row r="1266" spans="1:16" x14ac:dyDescent="0.25">
      <c r="A1266" s="1039">
        <v>1651</v>
      </c>
      <c r="B1266" s="1039">
        <f t="shared" si="739"/>
        <v>16</v>
      </c>
      <c r="C1266" s="1039" t="str">
        <f t="shared" si="740"/>
        <v>ZAINUN NASIH</v>
      </c>
      <c r="D1266" s="1041" t="str">
        <f t="shared" si="741"/>
        <v>PAI-3A</v>
      </c>
      <c r="E1266" s="1041">
        <f t="shared" si="742"/>
        <v>2019</v>
      </c>
      <c r="F1266" s="1041" t="str">
        <f t="shared" si="743"/>
        <v>CUTI</v>
      </c>
      <c r="G1266" s="1041">
        <f t="shared" si="744"/>
        <v>849319017</v>
      </c>
      <c r="H1266" s="1042">
        <f t="shared" si="684"/>
        <v>3000000</v>
      </c>
      <c r="I1266" s="1042">
        <f t="shared" si="685"/>
        <v>3000000</v>
      </c>
      <c r="J1266" s="1042">
        <f t="shared" si="686"/>
        <v>6000000</v>
      </c>
      <c r="L1266" s="1060">
        <f t="shared" si="749"/>
        <v>0</v>
      </c>
      <c r="M1266" s="1060">
        <f t="shared" si="745"/>
        <v>0</v>
      </c>
      <c r="N1266" s="1060">
        <f t="shared" si="746"/>
        <v>1</v>
      </c>
      <c r="O1266" s="1060">
        <f t="shared" si="747"/>
        <v>0</v>
      </c>
      <c r="P1266" s="1060">
        <f t="shared" si="750"/>
        <v>0</v>
      </c>
    </row>
    <row r="1267" spans="1:16" x14ac:dyDescent="0.25">
      <c r="A1267" s="1039">
        <v>1652</v>
      </c>
      <c r="B1267" s="1039">
        <f t="shared" si="739"/>
        <v>17</v>
      </c>
      <c r="C1267" s="1039" t="str">
        <f t="shared" si="740"/>
        <v>ZULFA KAMILATUN NAFILAH</v>
      </c>
      <c r="D1267" s="1041" t="str">
        <f t="shared" si="741"/>
        <v>PAI-3A</v>
      </c>
      <c r="E1267" s="1041">
        <f t="shared" si="742"/>
        <v>2019</v>
      </c>
      <c r="F1267" s="1041" t="str">
        <f t="shared" si="743"/>
        <v>AKTIF</v>
      </c>
      <c r="G1267" s="1041">
        <f t="shared" si="744"/>
        <v>849319001</v>
      </c>
      <c r="H1267" s="1042">
        <f t="shared" si="684"/>
        <v>6450000</v>
      </c>
      <c r="I1267" s="1042">
        <f t="shared" si="685"/>
        <v>3750000</v>
      </c>
      <c r="J1267" s="1042">
        <f t="shared" si="686"/>
        <v>10200000</v>
      </c>
      <c r="L1267" s="1060">
        <f t="shared" si="749"/>
        <v>1</v>
      </c>
      <c r="M1267" s="1060">
        <f t="shared" si="745"/>
        <v>0</v>
      </c>
      <c r="N1267" s="1060">
        <f t="shared" si="746"/>
        <v>0</v>
      </c>
      <c r="O1267" s="1060">
        <f t="shared" si="747"/>
        <v>0</v>
      </c>
      <c r="P1267" s="1060">
        <f t="shared" si="750"/>
        <v>0</v>
      </c>
    </row>
    <row r="1268" spans="1:16" x14ac:dyDescent="0.25">
      <c r="A1268" s="1039">
        <v>1653</v>
      </c>
      <c r="B1268" s="1039">
        <f t="shared" si="739"/>
        <v>18</v>
      </c>
      <c r="C1268" s="1039" t="str">
        <f t="shared" si="740"/>
        <v>AHMAD SANUSI</v>
      </c>
      <c r="D1268" s="1041" t="str">
        <f t="shared" si="741"/>
        <v>PAI-3B</v>
      </c>
      <c r="E1268" s="1041">
        <f t="shared" si="742"/>
        <v>2019</v>
      </c>
      <c r="F1268" s="1041" t="str">
        <f t="shared" si="743"/>
        <v>AKTIF</v>
      </c>
      <c r="G1268" s="1041">
        <f t="shared" si="744"/>
        <v>849319053</v>
      </c>
      <c r="H1268" s="1042">
        <f t="shared" si="684"/>
        <v>6450000</v>
      </c>
      <c r="I1268" s="1042">
        <f t="shared" si="685"/>
        <v>3750000</v>
      </c>
      <c r="J1268" s="1042">
        <f t="shared" si="686"/>
        <v>10200000</v>
      </c>
      <c r="L1268" s="1060">
        <f t="shared" si="749"/>
        <v>1</v>
      </c>
      <c r="M1268" s="1060">
        <f t="shared" si="745"/>
        <v>0</v>
      </c>
      <c r="N1268" s="1060">
        <f t="shared" si="746"/>
        <v>0</v>
      </c>
      <c r="O1268" s="1060">
        <f t="shared" si="747"/>
        <v>0</v>
      </c>
      <c r="P1268" s="1060">
        <f t="shared" si="750"/>
        <v>0</v>
      </c>
    </row>
    <row r="1269" spans="1:16" x14ac:dyDescent="0.25">
      <c r="A1269" s="1039">
        <v>1654</v>
      </c>
      <c r="B1269" s="1039">
        <f t="shared" si="739"/>
        <v>19</v>
      </c>
      <c r="C1269" s="1039" t="str">
        <f t="shared" si="740"/>
        <v>HOTIP</v>
      </c>
      <c r="D1269" s="1041" t="str">
        <f t="shared" si="741"/>
        <v>PAI-3B</v>
      </c>
      <c r="E1269" s="1041">
        <f t="shared" si="742"/>
        <v>2019</v>
      </c>
      <c r="F1269" s="1041" t="str">
        <f t="shared" si="743"/>
        <v>AKTIF</v>
      </c>
      <c r="G1269" s="1041">
        <f t="shared" si="744"/>
        <v>849319054</v>
      </c>
      <c r="H1269" s="1042">
        <f t="shared" si="684"/>
        <v>6450000</v>
      </c>
      <c r="I1269" s="1042">
        <f t="shared" si="685"/>
        <v>3750000</v>
      </c>
      <c r="J1269" s="1042">
        <f t="shared" si="686"/>
        <v>10200000</v>
      </c>
      <c r="L1269" s="1060">
        <f t="shared" si="749"/>
        <v>1</v>
      </c>
      <c r="M1269" s="1060">
        <f t="shared" si="745"/>
        <v>0</v>
      </c>
      <c r="N1269" s="1060">
        <f t="shared" si="746"/>
        <v>0</v>
      </c>
      <c r="O1269" s="1060">
        <f t="shared" si="747"/>
        <v>0</v>
      </c>
      <c r="P1269" s="1060">
        <f t="shared" si="750"/>
        <v>0</v>
      </c>
    </row>
    <row r="1270" spans="1:16" x14ac:dyDescent="0.25">
      <c r="A1270" s="1039">
        <v>1655</v>
      </c>
      <c r="B1270" s="1039">
        <f t="shared" si="739"/>
        <v>20</v>
      </c>
      <c r="C1270" s="1039" t="str">
        <f t="shared" si="740"/>
        <v>IMADUDDIN</v>
      </c>
      <c r="D1270" s="1041" t="str">
        <f t="shared" si="741"/>
        <v>PAI-3B</v>
      </c>
      <c r="E1270" s="1041">
        <f t="shared" si="742"/>
        <v>2019</v>
      </c>
      <c r="F1270" s="1041" t="str">
        <f t="shared" si="743"/>
        <v>AKTIF</v>
      </c>
      <c r="G1270" s="1041">
        <f t="shared" si="744"/>
        <v>849319055</v>
      </c>
      <c r="H1270" s="1042">
        <f t="shared" si="684"/>
        <v>6450000</v>
      </c>
      <c r="I1270" s="1042">
        <f t="shared" si="685"/>
        <v>3750000</v>
      </c>
      <c r="J1270" s="1042">
        <f t="shared" si="686"/>
        <v>10200000</v>
      </c>
      <c r="L1270" s="1060">
        <f t="shared" si="749"/>
        <v>1</v>
      </c>
      <c r="M1270" s="1060">
        <f t="shared" si="745"/>
        <v>0</v>
      </c>
      <c r="N1270" s="1060">
        <f t="shared" si="746"/>
        <v>0</v>
      </c>
      <c r="O1270" s="1060">
        <f t="shared" si="747"/>
        <v>0</v>
      </c>
      <c r="P1270" s="1060">
        <f t="shared" si="750"/>
        <v>0</v>
      </c>
    </row>
    <row r="1271" spans="1:16" x14ac:dyDescent="0.25">
      <c r="A1271" s="1039">
        <v>1656</v>
      </c>
      <c r="B1271" s="1039">
        <f t="shared" si="739"/>
        <v>21</v>
      </c>
      <c r="C1271" s="1039" t="str">
        <f t="shared" si="740"/>
        <v>IMAM MAS'UD</v>
      </c>
      <c r="D1271" s="1041" t="str">
        <f t="shared" si="741"/>
        <v>PAI-3B</v>
      </c>
      <c r="E1271" s="1041">
        <f t="shared" si="742"/>
        <v>2019</v>
      </c>
      <c r="F1271" s="1041" t="str">
        <f t="shared" si="743"/>
        <v>AKTIF</v>
      </c>
      <c r="G1271" s="1041">
        <f t="shared" si="744"/>
        <v>849319056</v>
      </c>
      <c r="H1271" s="1042">
        <f t="shared" si="684"/>
        <v>6450000</v>
      </c>
      <c r="I1271" s="1042">
        <f t="shared" si="685"/>
        <v>3750000</v>
      </c>
      <c r="J1271" s="1042">
        <f t="shared" si="686"/>
        <v>10200000</v>
      </c>
      <c r="L1271" s="1060">
        <f t="shared" si="749"/>
        <v>1</v>
      </c>
      <c r="M1271" s="1060">
        <f t="shared" si="745"/>
        <v>0</v>
      </c>
      <c r="N1271" s="1060">
        <f t="shared" si="746"/>
        <v>0</v>
      </c>
      <c r="O1271" s="1060">
        <f t="shared" si="747"/>
        <v>0</v>
      </c>
      <c r="P1271" s="1060">
        <f t="shared" si="750"/>
        <v>0</v>
      </c>
    </row>
    <row r="1272" spans="1:16" x14ac:dyDescent="0.25">
      <c r="A1272" s="1039">
        <v>1657</v>
      </c>
      <c r="B1272" s="1039">
        <f t="shared" si="739"/>
        <v>22</v>
      </c>
      <c r="C1272" s="1039" t="str">
        <f t="shared" si="740"/>
        <v>KHOLILATUL IZZAH</v>
      </c>
      <c r="D1272" s="1041" t="str">
        <f t="shared" si="741"/>
        <v>PAI-3B</v>
      </c>
      <c r="E1272" s="1041">
        <f t="shared" si="742"/>
        <v>2019</v>
      </c>
      <c r="F1272" s="1041" t="str">
        <f t="shared" si="743"/>
        <v>AKTIF</v>
      </c>
      <c r="G1272" s="1041">
        <f t="shared" si="744"/>
        <v>849319057</v>
      </c>
      <c r="H1272" s="1042">
        <f t="shared" si="684"/>
        <v>6450000</v>
      </c>
      <c r="I1272" s="1042">
        <f t="shared" si="685"/>
        <v>3750000</v>
      </c>
      <c r="J1272" s="1042">
        <f t="shared" si="686"/>
        <v>10200000</v>
      </c>
      <c r="L1272" s="1060">
        <f t="shared" si="749"/>
        <v>1</v>
      </c>
      <c r="M1272" s="1060">
        <f t="shared" si="745"/>
        <v>0</v>
      </c>
      <c r="N1272" s="1060">
        <f t="shared" si="746"/>
        <v>0</v>
      </c>
      <c r="O1272" s="1060">
        <f t="shared" si="747"/>
        <v>0</v>
      </c>
      <c r="P1272" s="1060">
        <f t="shared" si="750"/>
        <v>0</v>
      </c>
    </row>
    <row r="1273" spans="1:16" x14ac:dyDescent="0.25">
      <c r="A1273" s="1039">
        <v>1658</v>
      </c>
      <c r="B1273" s="1039">
        <f t="shared" si="739"/>
        <v>23</v>
      </c>
      <c r="C1273" s="1039" t="str">
        <f t="shared" si="740"/>
        <v>KHOLIS HUDIN</v>
      </c>
      <c r="D1273" s="1041" t="str">
        <f t="shared" si="741"/>
        <v>PAI-3B</v>
      </c>
      <c r="E1273" s="1041">
        <f t="shared" si="742"/>
        <v>2019</v>
      </c>
      <c r="F1273" s="1041" t="str">
        <f t="shared" si="743"/>
        <v>AKTIF</v>
      </c>
      <c r="G1273" s="1041">
        <f t="shared" si="744"/>
        <v>849319058</v>
      </c>
      <c r="H1273" s="1042">
        <f t="shared" si="684"/>
        <v>6450000</v>
      </c>
      <c r="I1273" s="1042">
        <f t="shared" si="685"/>
        <v>3750000</v>
      </c>
      <c r="J1273" s="1042">
        <f t="shared" si="686"/>
        <v>10200000</v>
      </c>
      <c r="L1273" s="1060">
        <f t="shared" si="749"/>
        <v>1</v>
      </c>
      <c r="M1273" s="1060">
        <f t="shared" si="745"/>
        <v>0</v>
      </c>
      <c r="N1273" s="1060">
        <f t="shared" si="746"/>
        <v>0</v>
      </c>
      <c r="O1273" s="1060">
        <f t="shared" si="747"/>
        <v>0</v>
      </c>
      <c r="P1273" s="1060">
        <f t="shared" si="750"/>
        <v>0</v>
      </c>
    </row>
    <row r="1274" spans="1:16" x14ac:dyDescent="0.25">
      <c r="A1274" s="1039">
        <v>1659</v>
      </c>
      <c r="B1274" s="1039">
        <f t="shared" si="739"/>
        <v>24</v>
      </c>
      <c r="C1274" s="1039" t="str">
        <f t="shared" si="740"/>
        <v>M. ARIS FAHRUDDIN</v>
      </c>
      <c r="D1274" s="1041" t="str">
        <f t="shared" si="741"/>
        <v>PAI-3B</v>
      </c>
      <c r="E1274" s="1041">
        <f t="shared" si="742"/>
        <v>2019</v>
      </c>
      <c r="F1274" s="1041" t="str">
        <f t="shared" si="743"/>
        <v>AKTIF</v>
      </c>
      <c r="G1274" s="1041">
        <f t="shared" si="744"/>
        <v>849319059</v>
      </c>
      <c r="H1274" s="1042">
        <f t="shared" si="684"/>
        <v>6450000</v>
      </c>
      <c r="I1274" s="1042">
        <f t="shared" si="685"/>
        <v>3750000</v>
      </c>
      <c r="J1274" s="1042">
        <f t="shared" si="686"/>
        <v>10200000</v>
      </c>
      <c r="L1274" s="1060">
        <f t="shared" si="749"/>
        <v>1</v>
      </c>
      <c r="M1274" s="1060">
        <f t="shared" si="745"/>
        <v>0</v>
      </c>
      <c r="N1274" s="1060">
        <f t="shared" si="746"/>
        <v>0</v>
      </c>
      <c r="O1274" s="1060">
        <f t="shared" si="747"/>
        <v>0</v>
      </c>
      <c r="P1274" s="1060">
        <f t="shared" si="750"/>
        <v>0</v>
      </c>
    </row>
    <row r="1275" spans="1:16" x14ac:dyDescent="0.25">
      <c r="A1275" s="1039">
        <v>1660</v>
      </c>
      <c r="B1275" s="1039">
        <f t="shared" si="739"/>
        <v>25</v>
      </c>
      <c r="C1275" s="1039" t="str">
        <f t="shared" si="740"/>
        <v>MAHMUD IHSAN</v>
      </c>
      <c r="D1275" s="1041" t="str">
        <f t="shared" si="741"/>
        <v>PAI-3B</v>
      </c>
      <c r="E1275" s="1041">
        <f t="shared" si="742"/>
        <v>2019</v>
      </c>
      <c r="F1275" s="1041" t="str">
        <f t="shared" si="743"/>
        <v>AKTIF</v>
      </c>
      <c r="G1275" s="1041">
        <f t="shared" si="744"/>
        <v>849319060</v>
      </c>
      <c r="H1275" s="1042">
        <f t="shared" si="684"/>
        <v>6450000</v>
      </c>
      <c r="I1275" s="1042">
        <f t="shared" si="685"/>
        <v>3750000</v>
      </c>
      <c r="J1275" s="1042">
        <f t="shared" si="686"/>
        <v>10200000</v>
      </c>
      <c r="L1275" s="1060">
        <f t="shared" si="749"/>
        <v>1</v>
      </c>
      <c r="M1275" s="1060">
        <f t="shared" si="745"/>
        <v>0</v>
      </c>
      <c r="N1275" s="1060">
        <f t="shared" si="746"/>
        <v>0</v>
      </c>
      <c r="O1275" s="1060">
        <f t="shared" si="747"/>
        <v>0</v>
      </c>
      <c r="P1275" s="1060">
        <f t="shared" si="750"/>
        <v>0</v>
      </c>
    </row>
    <row r="1276" spans="1:16" x14ac:dyDescent="0.25">
      <c r="A1276" s="1039">
        <v>1661</v>
      </c>
      <c r="B1276" s="1039">
        <f t="shared" si="739"/>
        <v>26</v>
      </c>
      <c r="C1276" s="1039" t="str">
        <f t="shared" si="740"/>
        <v>MOHAMMAD ANIS</v>
      </c>
      <c r="D1276" s="1041" t="str">
        <f t="shared" si="741"/>
        <v>PAI-3B</v>
      </c>
      <c r="E1276" s="1041">
        <f t="shared" si="742"/>
        <v>2019</v>
      </c>
      <c r="F1276" s="1041" t="str">
        <f t="shared" si="743"/>
        <v>AKTIF</v>
      </c>
      <c r="G1276" s="1041">
        <f t="shared" si="744"/>
        <v>849319061</v>
      </c>
      <c r="H1276" s="1042">
        <f t="shared" si="684"/>
        <v>6450000</v>
      </c>
      <c r="I1276" s="1042">
        <f t="shared" si="685"/>
        <v>3750000</v>
      </c>
      <c r="J1276" s="1042">
        <f t="shared" ref="J1276:J1564" si="751">I1276+H1276</f>
        <v>10200000</v>
      </c>
      <c r="L1276" s="1060">
        <f t="shared" si="749"/>
        <v>1</v>
      </c>
      <c r="M1276" s="1060">
        <f t="shared" si="745"/>
        <v>0</v>
      </c>
      <c r="N1276" s="1060">
        <f t="shared" si="746"/>
        <v>0</v>
      </c>
      <c r="O1276" s="1060">
        <f t="shared" si="747"/>
        <v>0</v>
      </c>
      <c r="P1276" s="1060">
        <f t="shared" si="750"/>
        <v>0</v>
      </c>
    </row>
    <row r="1277" spans="1:16" x14ac:dyDescent="0.25">
      <c r="A1277" s="1039">
        <v>1662</v>
      </c>
      <c r="B1277" s="1039">
        <f t="shared" si="739"/>
        <v>27</v>
      </c>
      <c r="C1277" s="1039" t="str">
        <f t="shared" si="740"/>
        <v>MOHAMMAD FIRMANSYAH</v>
      </c>
      <c r="D1277" s="1041" t="str">
        <f t="shared" si="741"/>
        <v>PAI-3B</v>
      </c>
      <c r="E1277" s="1041">
        <f t="shared" si="742"/>
        <v>2019</v>
      </c>
      <c r="F1277" s="1041" t="str">
        <f t="shared" si="743"/>
        <v>AKTIF</v>
      </c>
      <c r="G1277" s="1041">
        <f t="shared" si="744"/>
        <v>849319062</v>
      </c>
      <c r="H1277" s="1042">
        <f t="shared" ref="H1277:H1565" si="752">IF(F1277="AKTIF",6450000,IF(F1277="CUTI",3000000,0))</f>
        <v>6450000</v>
      </c>
      <c r="I1277" s="1042">
        <f t="shared" ref="I1277:I1565" si="753">IF(F1277="AKTIF",3750000,IF(F1277="CUTI",3000000,0))</f>
        <v>3750000</v>
      </c>
      <c r="J1277" s="1042">
        <f t="shared" si="751"/>
        <v>10200000</v>
      </c>
      <c r="L1277" s="1060">
        <f t="shared" si="749"/>
        <v>1</v>
      </c>
      <c r="M1277" s="1060">
        <f t="shared" si="745"/>
        <v>0</v>
      </c>
      <c r="N1277" s="1060">
        <f t="shared" si="746"/>
        <v>0</v>
      </c>
      <c r="O1277" s="1060">
        <f t="shared" si="747"/>
        <v>0</v>
      </c>
      <c r="P1277" s="1060">
        <f t="shared" si="750"/>
        <v>0</v>
      </c>
    </row>
    <row r="1278" spans="1:16" x14ac:dyDescent="0.25">
      <c r="A1278" s="1039">
        <v>1663</v>
      </c>
      <c r="B1278" s="1039">
        <f t="shared" si="739"/>
        <v>28</v>
      </c>
      <c r="C1278" s="1039" t="str">
        <f t="shared" si="740"/>
        <v>MUCHAMMAD FADLLIN ALI RIDLO</v>
      </c>
      <c r="D1278" s="1041" t="str">
        <f t="shared" si="741"/>
        <v>PAI-3B</v>
      </c>
      <c r="E1278" s="1041">
        <f t="shared" si="742"/>
        <v>2019</v>
      </c>
      <c r="F1278" s="1041" t="str">
        <f t="shared" si="743"/>
        <v>AKTIF</v>
      </c>
      <c r="G1278" s="1041">
        <f t="shared" si="744"/>
        <v>849319063</v>
      </c>
      <c r="H1278" s="1042">
        <f t="shared" si="752"/>
        <v>6450000</v>
      </c>
      <c r="I1278" s="1042">
        <f t="shared" si="753"/>
        <v>3750000</v>
      </c>
      <c r="J1278" s="1042">
        <f t="shared" si="751"/>
        <v>10200000</v>
      </c>
      <c r="L1278" s="1060">
        <f t="shared" si="749"/>
        <v>1</v>
      </c>
      <c r="M1278" s="1060">
        <f t="shared" si="745"/>
        <v>0</v>
      </c>
      <c r="N1278" s="1060">
        <f t="shared" si="746"/>
        <v>0</v>
      </c>
      <c r="O1278" s="1060">
        <f t="shared" si="747"/>
        <v>0</v>
      </c>
      <c r="P1278" s="1060">
        <f t="shared" si="750"/>
        <v>0</v>
      </c>
    </row>
    <row r="1279" spans="1:16" x14ac:dyDescent="0.25">
      <c r="A1279" s="1039">
        <v>1664</v>
      </c>
      <c r="B1279" s="1039">
        <f t="shared" si="739"/>
        <v>29</v>
      </c>
      <c r="C1279" s="1039" t="str">
        <f t="shared" si="740"/>
        <v>MUHAMMAD AINUL FATA AL KIROMI</v>
      </c>
      <c r="D1279" s="1041" t="str">
        <f t="shared" si="741"/>
        <v>PAI-3B</v>
      </c>
      <c r="E1279" s="1041">
        <f t="shared" si="742"/>
        <v>2019</v>
      </c>
      <c r="F1279" s="1041" t="str">
        <f t="shared" si="743"/>
        <v>AKTIF</v>
      </c>
      <c r="G1279" s="1041">
        <f t="shared" si="744"/>
        <v>849319064</v>
      </c>
      <c r="H1279" s="1042">
        <f t="shared" si="752"/>
        <v>6450000</v>
      </c>
      <c r="I1279" s="1042">
        <f t="shared" si="753"/>
        <v>3750000</v>
      </c>
      <c r="J1279" s="1042">
        <f t="shared" si="751"/>
        <v>10200000</v>
      </c>
      <c r="L1279" s="1060">
        <f t="shared" si="749"/>
        <v>1</v>
      </c>
      <c r="M1279" s="1060">
        <f t="shared" si="745"/>
        <v>0</v>
      </c>
      <c r="N1279" s="1060">
        <f t="shared" si="746"/>
        <v>0</v>
      </c>
      <c r="O1279" s="1060">
        <f t="shared" si="747"/>
        <v>0</v>
      </c>
      <c r="P1279" s="1060">
        <f t="shared" si="750"/>
        <v>0</v>
      </c>
    </row>
    <row r="1280" spans="1:16" x14ac:dyDescent="0.25">
      <c r="A1280" s="1039">
        <v>1665</v>
      </c>
      <c r="B1280" s="1039">
        <f t="shared" si="739"/>
        <v>30</v>
      </c>
      <c r="C1280" s="1039" t="str">
        <f t="shared" si="740"/>
        <v>MUNAWWAROH</v>
      </c>
      <c r="D1280" s="1041" t="str">
        <f t="shared" si="741"/>
        <v>PAI-3B</v>
      </c>
      <c r="E1280" s="1041">
        <f t="shared" si="742"/>
        <v>2019</v>
      </c>
      <c r="F1280" s="1041" t="str">
        <f t="shared" si="743"/>
        <v>AKTIF</v>
      </c>
      <c r="G1280" s="1041">
        <f t="shared" si="744"/>
        <v>849319065</v>
      </c>
      <c r="H1280" s="1042">
        <f t="shared" si="752"/>
        <v>6450000</v>
      </c>
      <c r="I1280" s="1042">
        <f t="shared" si="753"/>
        <v>3750000</v>
      </c>
      <c r="J1280" s="1042">
        <f t="shared" si="751"/>
        <v>10200000</v>
      </c>
      <c r="L1280" s="1060">
        <f t="shared" si="749"/>
        <v>1</v>
      </c>
      <c r="M1280" s="1060">
        <f t="shared" si="745"/>
        <v>0</v>
      </c>
      <c r="N1280" s="1060">
        <f t="shared" si="746"/>
        <v>0</v>
      </c>
      <c r="O1280" s="1060">
        <f t="shared" si="747"/>
        <v>0</v>
      </c>
      <c r="P1280" s="1060">
        <f t="shared" si="750"/>
        <v>0</v>
      </c>
    </row>
    <row r="1281" spans="1:16" x14ac:dyDescent="0.25">
      <c r="A1281" s="1039">
        <v>1666</v>
      </c>
      <c r="B1281" s="1039">
        <f t="shared" si="739"/>
        <v>31</v>
      </c>
      <c r="C1281" s="1039" t="str">
        <f t="shared" si="740"/>
        <v>NANIK PURNANINGSIH</v>
      </c>
      <c r="D1281" s="1041" t="str">
        <f t="shared" si="741"/>
        <v>PAI-3B</v>
      </c>
      <c r="E1281" s="1041">
        <f t="shared" si="742"/>
        <v>2019</v>
      </c>
      <c r="F1281" s="1041" t="str">
        <f t="shared" si="743"/>
        <v>AKTIF</v>
      </c>
      <c r="G1281" s="1041">
        <f t="shared" si="744"/>
        <v>849319066</v>
      </c>
      <c r="H1281" s="1042">
        <f t="shared" si="752"/>
        <v>6450000</v>
      </c>
      <c r="I1281" s="1042">
        <f t="shared" si="753"/>
        <v>3750000</v>
      </c>
      <c r="J1281" s="1042">
        <f t="shared" si="751"/>
        <v>10200000</v>
      </c>
      <c r="L1281" s="1060">
        <f t="shared" si="749"/>
        <v>1</v>
      </c>
      <c r="M1281" s="1060">
        <f t="shared" si="745"/>
        <v>0</v>
      </c>
      <c r="N1281" s="1060">
        <f t="shared" si="746"/>
        <v>0</v>
      </c>
      <c r="O1281" s="1060">
        <f t="shared" si="747"/>
        <v>0</v>
      </c>
      <c r="P1281" s="1060">
        <f t="shared" si="750"/>
        <v>0</v>
      </c>
    </row>
    <row r="1282" spans="1:16" x14ac:dyDescent="0.25">
      <c r="A1282" s="1039">
        <v>1667</v>
      </c>
      <c r="B1282" s="1039">
        <f t="shared" si="739"/>
        <v>32</v>
      </c>
      <c r="C1282" s="1039" t="str">
        <f t="shared" si="740"/>
        <v>SUDUS AFNANI</v>
      </c>
      <c r="D1282" s="1041" t="str">
        <f t="shared" si="741"/>
        <v>PAI-3B</v>
      </c>
      <c r="E1282" s="1041">
        <f t="shared" si="742"/>
        <v>2019</v>
      </c>
      <c r="F1282" s="1041" t="str">
        <f t="shared" si="743"/>
        <v>AKTIF</v>
      </c>
      <c r="G1282" s="1041">
        <f t="shared" si="744"/>
        <v>849319067</v>
      </c>
      <c r="H1282" s="1042">
        <f t="shared" si="752"/>
        <v>6450000</v>
      </c>
      <c r="I1282" s="1042">
        <f t="shared" si="753"/>
        <v>3750000</v>
      </c>
      <c r="J1282" s="1042">
        <f t="shared" si="751"/>
        <v>10200000</v>
      </c>
      <c r="L1282" s="1060">
        <f t="shared" si="749"/>
        <v>1</v>
      </c>
      <c r="M1282" s="1060">
        <f t="shared" si="745"/>
        <v>0</v>
      </c>
      <c r="N1282" s="1060">
        <f t="shared" si="746"/>
        <v>0</v>
      </c>
      <c r="O1282" s="1060">
        <f t="shared" si="747"/>
        <v>0</v>
      </c>
      <c r="P1282" s="1060">
        <f t="shared" si="750"/>
        <v>0</v>
      </c>
    </row>
    <row r="1283" spans="1:16" x14ac:dyDescent="0.25">
      <c r="A1283" s="1039">
        <v>1668</v>
      </c>
      <c r="B1283" s="1039">
        <f t="shared" ref="B1283:B1314" si="754">IFERROR(VLOOKUP(A1283,DB,2,FALSE),"  ")</f>
        <v>33</v>
      </c>
      <c r="C1283" s="1039" t="str">
        <f t="shared" ref="C1283:C1314" si="755">IFERROR(VLOOKUP(A1283,DB,4,FALSE),"  ")</f>
        <v>SUNANDI</v>
      </c>
      <c r="D1283" s="1041" t="str">
        <f t="shared" ref="D1283:D1314" si="756">IFERROR(VLOOKUP(A1283,DB,5,FALSE),"  ")</f>
        <v>PAI-3B</v>
      </c>
      <c r="E1283" s="1041">
        <f t="shared" ref="E1283:E1314" si="757">IFERROR(VLOOKUP(A1283,DB,6,FALSE),"  ")</f>
        <v>2019</v>
      </c>
      <c r="F1283" s="1041" t="str">
        <f t="shared" ref="F1283:F1314" si="758">IFERROR(VLOOKUP(A1283,DB,7,FALSE),"  ")</f>
        <v>AKTIF</v>
      </c>
      <c r="G1283" s="1041">
        <f t="shared" ref="G1283:G1314" si="759">IFERROR(VLOOKUP(A1283,DB,3,FALSE),"  ")</f>
        <v>849319068</v>
      </c>
      <c r="H1283" s="1042">
        <f t="shared" si="752"/>
        <v>6450000</v>
      </c>
      <c r="I1283" s="1042">
        <f t="shared" si="753"/>
        <v>3750000</v>
      </c>
      <c r="J1283" s="1042">
        <f t="shared" si="751"/>
        <v>10200000</v>
      </c>
      <c r="L1283" s="1060">
        <f t="shared" si="749"/>
        <v>1</v>
      </c>
      <c r="M1283" s="1060">
        <f t="shared" ref="M1283:M1314" si="760">IF(F1283="LULUS",1,0)</f>
        <v>0</v>
      </c>
      <c r="N1283" s="1060">
        <f t="shared" ref="N1283:N1314" si="761">IF(F1283="CUTI",1,0)</f>
        <v>0</v>
      </c>
      <c r="O1283" s="1060">
        <f t="shared" ref="O1283:O1314" si="762">IF(F1283="DROP OUT",1,0)</f>
        <v>0</v>
      </c>
      <c r="P1283" s="1060">
        <f t="shared" si="750"/>
        <v>0</v>
      </c>
    </row>
    <row r="1284" spans="1:16" x14ac:dyDescent="0.25">
      <c r="A1284" s="1039">
        <v>1669</v>
      </c>
      <c r="B1284" s="1039">
        <f t="shared" si="754"/>
        <v>34</v>
      </c>
      <c r="C1284" s="1039" t="str">
        <f t="shared" si="755"/>
        <v>SUUDI</v>
      </c>
      <c r="D1284" s="1041" t="str">
        <f t="shared" si="756"/>
        <v>PAI-3B</v>
      </c>
      <c r="E1284" s="1041">
        <f t="shared" si="757"/>
        <v>2019</v>
      </c>
      <c r="F1284" s="1041" t="str">
        <f t="shared" si="758"/>
        <v>AKTIF</v>
      </c>
      <c r="G1284" s="1041">
        <f t="shared" si="759"/>
        <v>849319069</v>
      </c>
      <c r="H1284" s="1042">
        <f t="shared" si="752"/>
        <v>6450000</v>
      </c>
      <c r="I1284" s="1042">
        <f t="shared" si="753"/>
        <v>3750000</v>
      </c>
      <c r="J1284" s="1042">
        <f t="shared" si="751"/>
        <v>10200000</v>
      </c>
      <c r="L1284" s="1060">
        <f t="shared" si="749"/>
        <v>1</v>
      </c>
      <c r="M1284" s="1060">
        <f t="shared" si="760"/>
        <v>0</v>
      </c>
      <c r="N1284" s="1060">
        <f t="shared" si="761"/>
        <v>0</v>
      </c>
      <c r="O1284" s="1060">
        <f t="shared" si="762"/>
        <v>0</v>
      </c>
      <c r="P1284" s="1060">
        <f t="shared" si="750"/>
        <v>0</v>
      </c>
    </row>
    <row r="1285" spans="1:16" x14ac:dyDescent="0.25">
      <c r="A1285" s="1039">
        <v>1670</v>
      </c>
      <c r="B1285" s="1039">
        <f t="shared" si="754"/>
        <v>35</v>
      </c>
      <c r="C1285" s="1039" t="str">
        <f t="shared" si="755"/>
        <v>TATIK MUTI'AH</v>
      </c>
      <c r="D1285" s="1041" t="str">
        <f t="shared" si="756"/>
        <v>PAI-3B</v>
      </c>
      <c r="E1285" s="1041">
        <f t="shared" si="757"/>
        <v>2019</v>
      </c>
      <c r="F1285" s="1041" t="str">
        <f t="shared" si="758"/>
        <v>AKTIF</v>
      </c>
      <c r="G1285" s="1041">
        <f t="shared" si="759"/>
        <v>849319070</v>
      </c>
      <c r="H1285" s="1042">
        <f t="shared" si="752"/>
        <v>6450000</v>
      </c>
      <c r="I1285" s="1042">
        <f t="shared" si="753"/>
        <v>3750000</v>
      </c>
      <c r="J1285" s="1042">
        <f t="shared" si="751"/>
        <v>10200000</v>
      </c>
      <c r="L1285" s="1060">
        <f t="shared" si="749"/>
        <v>1</v>
      </c>
      <c r="M1285" s="1060">
        <f t="shared" si="760"/>
        <v>0</v>
      </c>
      <c r="N1285" s="1060">
        <f t="shared" si="761"/>
        <v>0</v>
      </c>
      <c r="O1285" s="1060">
        <f t="shared" si="762"/>
        <v>0</v>
      </c>
      <c r="P1285" s="1060">
        <f t="shared" si="750"/>
        <v>0</v>
      </c>
    </row>
    <row r="1286" spans="1:16" x14ac:dyDescent="0.25">
      <c r="A1286" s="1039">
        <v>1671</v>
      </c>
      <c r="B1286" s="1039">
        <f t="shared" si="754"/>
        <v>36</v>
      </c>
      <c r="C1286" s="1039" t="str">
        <f t="shared" si="755"/>
        <v>USWATUN HASANAH</v>
      </c>
      <c r="D1286" s="1041" t="str">
        <f t="shared" si="756"/>
        <v>PAI-3B</v>
      </c>
      <c r="E1286" s="1041">
        <f t="shared" si="757"/>
        <v>2019</v>
      </c>
      <c r="F1286" s="1041" t="str">
        <f t="shared" si="758"/>
        <v>AKTIF</v>
      </c>
      <c r="G1286" s="1041">
        <f t="shared" si="759"/>
        <v>849319071</v>
      </c>
      <c r="H1286" s="1042">
        <f t="shared" si="752"/>
        <v>6450000</v>
      </c>
      <c r="I1286" s="1042">
        <f t="shared" si="753"/>
        <v>3750000</v>
      </c>
      <c r="J1286" s="1042">
        <f t="shared" si="751"/>
        <v>10200000</v>
      </c>
      <c r="L1286" s="1060">
        <f t="shared" si="749"/>
        <v>1</v>
      </c>
      <c r="M1286" s="1060">
        <f t="shared" si="760"/>
        <v>0</v>
      </c>
      <c r="N1286" s="1060">
        <f t="shared" si="761"/>
        <v>0</v>
      </c>
      <c r="O1286" s="1060">
        <f t="shared" si="762"/>
        <v>0</v>
      </c>
      <c r="P1286" s="1060">
        <f t="shared" si="750"/>
        <v>0</v>
      </c>
    </row>
    <row r="1287" spans="1:16" x14ac:dyDescent="0.25">
      <c r="A1287" s="1039">
        <v>1672</v>
      </c>
      <c r="B1287" s="1039">
        <f t="shared" si="754"/>
        <v>37</v>
      </c>
      <c r="C1287" s="1039" t="str">
        <f t="shared" si="755"/>
        <v>ZAINUL ARIFIN</v>
      </c>
      <c r="D1287" s="1041" t="str">
        <f t="shared" si="756"/>
        <v>PAI-3B</v>
      </c>
      <c r="E1287" s="1041">
        <f t="shared" si="757"/>
        <v>2019</v>
      </c>
      <c r="F1287" s="1041" t="str">
        <f t="shared" si="758"/>
        <v>AKTIF</v>
      </c>
      <c r="G1287" s="1041">
        <f t="shared" si="759"/>
        <v>849319072</v>
      </c>
      <c r="H1287" s="1042">
        <f t="shared" si="752"/>
        <v>6450000</v>
      </c>
      <c r="I1287" s="1042">
        <f t="shared" si="753"/>
        <v>3750000</v>
      </c>
      <c r="J1287" s="1042">
        <f t="shared" si="751"/>
        <v>10200000</v>
      </c>
      <c r="L1287" s="1060">
        <f t="shared" si="749"/>
        <v>1</v>
      </c>
      <c r="M1287" s="1060">
        <f t="shared" si="760"/>
        <v>0</v>
      </c>
      <c r="N1287" s="1060">
        <f t="shared" si="761"/>
        <v>0</v>
      </c>
      <c r="O1287" s="1060">
        <f t="shared" si="762"/>
        <v>0</v>
      </c>
      <c r="P1287" s="1060">
        <f t="shared" si="750"/>
        <v>0</v>
      </c>
    </row>
    <row r="1288" spans="1:16" x14ac:dyDescent="0.25">
      <c r="A1288" s="1039">
        <v>1673</v>
      </c>
      <c r="B1288" s="1039">
        <f t="shared" si="754"/>
        <v>38</v>
      </c>
      <c r="C1288" s="1039" t="str">
        <f t="shared" si="755"/>
        <v>ANGGA MAHARDIKA</v>
      </c>
      <c r="D1288" s="1041" t="str">
        <f t="shared" si="756"/>
        <v>PAI-3C</v>
      </c>
      <c r="E1288" s="1041">
        <f t="shared" si="757"/>
        <v>2019</v>
      </c>
      <c r="F1288" s="1041" t="str">
        <f t="shared" si="758"/>
        <v>AKTIF</v>
      </c>
      <c r="G1288" s="1041">
        <f t="shared" si="759"/>
        <v>849319023</v>
      </c>
      <c r="H1288" s="1042">
        <f t="shared" si="752"/>
        <v>6450000</v>
      </c>
      <c r="I1288" s="1042">
        <f t="shared" si="753"/>
        <v>3750000</v>
      </c>
      <c r="J1288" s="1042">
        <f t="shared" si="751"/>
        <v>10200000</v>
      </c>
      <c r="L1288" s="1060">
        <f t="shared" si="749"/>
        <v>1</v>
      </c>
      <c r="M1288" s="1060">
        <f t="shared" si="760"/>
        <v>0</v>
      </c>
      <c r="N1288" s="1060">
        <f t="shared" si="761"/>
        <v>0</v>
      </c>
      <c r="O1288" s="1060">
        <f t="shared" si="762"/>
        <v>0</v>
      </c>
      <c r="P1288" s="1060">
        <f t="shared" si="750"/>
        <v>0</v>
      </c>
    </row>
    <row r="1289" spans="1:16" x14ac:dyDescent="0.25">
      <c r="A1289" s="1039">
        <v>1674</v>
      </c>
      <c r="B1289" s="1039">
        <f t="shared" si="754"/>
        <v>39</v>
      </c>
      <c r="C1289" s="1039" t="str">
        <f t="shared" si="755"/>
        <v>ARIF PRASTYO HUZAERI</v>
      </c>
      <c r="D1289" s="1041" t="str">
        <f t="shared" si="756"/>
        <v>PAI-3C</v>
      </c>
      <c r="E1289" s="1041">
        <f t="shared" si="757"/>
        <v>2019</v>
      </c>
      <c r="F1289" s="1041" t="str">
        <f t="shared" si="758"/>
        <v>AKTIF</v>
      </c>
      <c r="G1289" s="1041">
        <f t="shared" si="759"/>
        <v>849319043</v>
      </c>
      <c r="H1289" s="1042">
        <f t="shared" si="752"/>
        <v>6450000</v>
      </c>
      <c r="I1289" s="1042">
        <f t="shared" si="753"/>
        <v>3750000</v>
      </c>
      <c r="J1289" s="1042">
        <f t="shared" si="751"/>
        <v>10200000</v>
      </c>
      <c r="L1289" s="1060">
        <f t="shared" si="749"/>
        <v>1</v>
      </c>
      <c r="M1289" s="1060">
        <f t="shared" si="760"/>
        <v>0</v>
      </c>
      <c r="N1289" s="1060">
        <f t="shared" si="761"/>
        <v>0</v>
      </c>
      <c r="O1289" s="1060">
        <f t="shared" si="762"/>
        <v>0</v>
      </c>
      <c r="P1289" s="1060">
        <f t="shared" si="750"/>
        <v>0</v>
      </c>
    </row>
    <row r="1290" spans="1:16" x14ac:dyDescent="0.25">
      <c r="A1290" s="1039">
        <v>1675</v>
      </c>
      <c r="B1290" s="1039">
        <f t="shared" si="754"/>
        <v>40</v>
      </c>
      <c r="C1290" s="1039" t="str">
        <f t="shared" si="755"/>
        <v>DIANITA MUNA ZAHIRAH</v>
      </c>
      <c r="D1290" s="1041" t="str">
        <f t="shared" si="756"/>
        <v>PAI-3C</v>
      </c>
      <c r="E1290" s="1041">
        <f t="shared" si="757"/>
        <v>2019</v>
      </c>
      <c r="F1290" s="1041" t="str">
        <f t="shared" si="758"/>
        <v>AKTIF</v>
      </c>
      <c r="G1290" s="1041">
        <f t="shared" si="759"/>
        <v>849319044</v>
      </c>
      <c r="H1290" s="1042">
        <f t="shared" si="752"/>
        <v>6450000</v>
      </c>
      <c r="I1290" s="1042">
        <f t="shared" si="753"/>
        <v>3750000</v>
      </c>
      <c r="J1290" s="1042">
        <f t="shared" si="751"/>
        <v>10200000</v>
      </c>
      <c r="L1290" s="1060">
        <f t="shared" si="749"/>
        <v>1</v>
      </c>
      <c r="M1290" s="1060">
        <f t="shared" si="760"/>
        <v>0</v>
      </c>
      <c r="N1290" s="1060">
        <f t="shared" si="761"/>
        <v>0</v>
      </c>
      <c r="O1290" s="1060">
        <f t="shared" si="762"/>
        <v>0</v>
      </c>
      <c r="P1290" s="1060">
        <f t="shared" si="750"/>
        <v>0</v>
      </c>
    </row>
    <row r="1291" spans="1:16" x14ac:dyDescent="0.25">
      <c r="A1291" s="1039">
        <v>1676</v>
      </c>
      <c r="B1291" s="1039">
        <f t="shared" si="754"/>
        <v>41</v>
      </c>
      <c r="C1291" s="1039" t="str">
        <f t="shared" si="755"/>
        <v>DIMAS AHMAD ZAKI</v>
      </c>
      <c r="D1291" s="1041" t="str">
        <f t="shared" si="756"/>
        <v>PAI-3C</v>
      </c>
      <c r="E1291" s="1041">
        <f t="shared" si="757"/>
        <v>2019</v>
      </c>
      <c r="F1291" s="1041" t="str">
        <f t="shared" si="758"/>
        <v>CUTI</v>
      </c>
      <c r="G1291" s="1041">
        <f t="shared" si="759"/>
        <v>849319002</v>
      </c>
      <c r="H1291" s="1042">
        <f t="shared" si="752"/>
        <v>3000000</v>
      </c>
      <c r="I1291" s="1042">
        <f t="shared" si="753"/>
        <v>3000000</v>
      </c>
      <c r="J1291" s="1042">
        <f t="shared" si="751"/>
        <v>6000000</v>
      </c>
      <c r="L1291" s="1060">
        <f t="shared" si="749"/>
        <v>0</v>
      </c>
      <c r="M1291" s="1060">
        <f t="shared" si="760"/>
        <v>0</v>
      </c>
      <c r="N1291" s="1060">
        <f t="shared" si="761"/>
        <v>1</v>
      </c>
      <c r="O1291" s="1060">
        <f t="shared" si="762"/>
        <v>0</v>
      </c>
      <c r="P1291" s="1060">
        <f t="shared" si="750"/>
        <v>0</v>
      </c>
    </row>
    <row r="1292" spans="1:16" x14ac:dyDescent="0.25">
      <c r="A1292" s="1039">
        <v>1677</v>
      </c>
      <c r="B1292" s="1039">
        <f t="shared" si="754"/>
        <v>42</v>
      </c>
      <c r="C1292" s="1039" t="str">
        <f t="shared" si="755"/>
        <v>DIYAH AYU NUR AGUSTIN</v>
      </c>
      <c r="D1292" s="1041" t="str">
        <f t="shared" si="756"/>
        <v>PAI-3C</v>
      </c>
      <c r="E1292" s="1041">
        <f t="shared" si="757"/>
        <v>2019</v>
      </c>
      <c r="F1292" s="1041" t="str">
        <f t="shared" si="758"/>
        <v>AKTIF</v>
      </c>
      <c r="G1292" s="1041">
        <f t="shared" si="759"/>
        <v>849319014</v>
      </c>
      <c r="H1292" s="1042">
        <f t="shared" si="752"/>
        <v>6450000</v>
      </c>
      <c r="I1292" s="1042">
        <f t="shared" si="753"/>
        <v>3750000</v>
      </c>
      <c r="J1292" s="1042">
        <f t="shared" si="751"/>
        <v>10200000</v>
      </c>
      <c r="L1292" s="1060">
        <f t="shared" si="749"/>
        <v>1</v>
      </c>
      <c r="M1292" s="1060">
        <f t="shared" si="760"/>
        <v>0</v>
      </c>
      <c r="N1292" s="1060">
        <f t="shared" si="761"/>
        <v>0</v>
      </c>
      <c r="O1292" s="1060">
        <f t="shared" si="762"/>
        <v>0</v>
      </c>
      <c r="P1292" s="1060">
        <f t="shared" si="750"/>
        <v>0</v>
      </c>
    </row>
    <row r="1293" spans="1:16" x14ac:dyDescent="0.25">
      <c r="A1293" s="1039">
        <v>1678</v>
      </c>
      <c r="B1293" s="1039">
        <f t="shared" si="754"/>
        <v>43</v>
      </c>
      <c r="C1293" s="1039" t="str">
        <f t="shared" si="755"/>
        <v>HANIPA</v>
      </c>
      <c r="D1293" s="1041" t="str">
        <f t="shared" si="756"/>
        <v>PAI-3C</v>
      </c>
      <c r="E1293" s="1041">
        <f t="shared" si="757"/>
        <v>2019</v>
      </c>
      <c r="F1293" s="1041" t="str">
        <f t="shared" si="758"/>
        <v>AKTIF</v>
      </c>
      <c r="G1293" s="1041">
        <f t="shared" si="759"/>
        <v>849319021</v>
      </c>
      <c r="H1293" s="1042">
        <f t="shared" si="752"/>
        <v>6450000</v>
      </c>
      <c r="I1293" s="1042">
        <f t="shared" si="753"/>
        <v>3750000</v>
      </c>
      <c r="J1293" s="1042">
        <f t="shared" si="751"/>
        <v>10200000</v>
      </c>
      <c r="L1293" s="1060">
        <f t="shared" si="749"/>
        <v>1</v>
      </c>
      <c r="M1293" s="1060">
        <f t="shared" si="760"/>
        <v>0</v>
      </c>
      <c r="N1293" s="1060">
        <f t="shared" si="761"/>
        <v>0</v>
      </c>
      <c r="O1293" s="1060">
        <f t="shared" si="762"/>
        <v>0</v>
      </c>
      <c r="P1293" s="1060">
        <f t="shared" si="750"/>
        <v>0</v>
      </c>
    </row>
    <row r="1294" spans="1:16" x14ac:dyDescent="0.25">
      <c r="A1294" s="1039">
        <v>1679</v>
      </c>
      <c r="B1294" s="1039">
        <f t="shared" si="754"/>
        <v>44</v>
      </c>
      <c r="C1294" s="1039" t="str">
        <f t="shared" si="755"/>
        <v>LUQMANUL HAKIM</v>
      </c>
      <c r="D1294" s="1041" t="str">
        <f t="shared" si="756"/>
        <v>PAI-3C</v>
      </c>
      <c r="E1294" s="1041">
        <f t="shared" si="757"/>
        <v>2019</v>
      </c>
      <c r="F1294" s="1041" t="str">
        <f t="shared" si="758"/>
        <v>AKTIF</v>
      </c>
      <c r="G1294" s="1041">
        <f t="shared" si="759"/>
        <v>849319030</v>
      </c>
      <c r="H1294" s="1042">
        <f t="shared" si="752"/>
        <v>6450000</v>
      </c>
      <c r="I1294" s="1042">
        <f t="shared" si="753"/>
        <v>3750000</v>
      </c>
      <c r="J1294" s="1042">
        <f t="shared" si="751"/>
        <v>10200000</v>
      </c>
      <c r="L1294" s="1060">
        <f t="shared" si="749"/>
        <v>1</v>
      </c>
      <c r="M1294" s="1060">
        <f t="shared" si="760"/>
        <v>0</v>
      </c>
      <c r="N1294" s="1060">
        <f t="shared" si="761"/>
        <v>0</v>
      </c>
      <c r="O1294" s="1060">
        <f t="shared" si="762"/>
        <v>0</v>
      </c>
      <c r="P1294" s="1060">
        <f t="shared" si="750"/>
        <v>0</v>
      </c>
    </row>
    <row r="1295" spans="1:16" x14ac:dyDescent="0.25">
      <c r="A1295" s="1039">
        <v>1680</v>
      </c>
      <c r="B1295" s="1039">
        <f t="shared" si="754"/>
        <v>45</v>
      </c>
      <c r="C1295" s="1039" t="str">
        <f t="shared" si="755"/>
        <v>M ZAINURI MUNIM</v>
      </c>
      <c r="D1295" s="1041" t="str">
        <f t="shared" si="756"/>
        <v>PAI-3C</v>
      </c>
      <c r="E1295" s="1041">
        <f t="shared" si="757"/>
        <v>2019</v>
      </c>
      <c r="F1295" s="1041" t="str">
        <f t="shared" si="758"/>
        <v>AKTIF</v>
      </c>
      <c r="G1295" s="1041">
        <f t="shared" si="759"/>
        <v>849319038</v>
      </c>
      <c r="H1295" s="1042">
        <f t="shared" si="752"/>
        <v>6450000</v>
      </c>
      <c r="I1295" s="1042">
        <f t="shared" si="753"/>
        <v>3750000</v>
      </c>
      <c r="J1295" s="1042">
        <f t="shared" si="751"/>
        <v>10200000</v>
      </c>
      <c r="L1295" s="1060">
        <f t="shared" si="749"/>
        <v>1</v>
      </c>
      <c r="M1295" s="1060">
        <f t="shared" si="760"/>
        <v>0</v>
      </c>
      <c r="N1295" s="1060">
        <f t="shared" si="761"/>
        <v>0</v>
      </c>
      <c r="O1295" s="1060">
        <f t="shared" si="762"/>
        <v>0</v>
      </c>
      <c r="P1295" s="1060">
        <f t="shared" si="750"/>
        <v>0</v>
      </c>
    </row>
    <row r="1296" spans="1:16" x14ac:dyDescent="0.25">
      <c r="A1296" s="1039">
        <v>1681</v>
      </c>
      <c r="B1296" s="1039">
        <f t="shared" si="754"/>
        <v>46</v>
      </c>
      <c r="C1296" s="1039" t="str">
        <f t="shared" si="755"/>
        <v>MOH. FAHIM AMRULLAH</v>
      </c>
      <c r="D1296" s="1041" t="str">
        <f t="shared" si="756"/>
        <v>PAI-3C</v>
      </c>
      <c r="E1296" s="1041">
        <f t="shared" si="757"/>
        <v>2019</v>
      </c>
      <c r="F1296" s="1041" t="str">
        <f t="shared" si="758"/>
        <v>AKTIF</v>
      </c>
      <c r="G1296" s="1041">
        <f t="shared" si="759"/>
        <v>849319011</v>
      </c>
      <c r="H1296" s="1042">
        <f t="shared" si="752"/>
        <v>6450000</v>
      </c>
      <c r="I1296" s="1042">
        <f t="shared" si="753"/>
        <v>3750000</v>
      </c>
      <c r="J1296" s="1042">
        <f t="shared" si="751"/>
        <v>10200000</v>
      </c>
      <c r="L1296" s="1060">
        <f t="shared" si="749"/>
        <v>1</v>
      </c>
      <c r="M1296" s="1060">
        <f t="shared" si="760"/>
        <v>0</v>
      </c>
      <c r="N1296" s="1060">
        <f t="shared" si="761"/>
        <v>0</v>
      </c>
      <c r="O1296" s="1060">
        <f t="shared" si="762"/>
        <v>0</v>
      </c>
      <c r="P1296" s="1060">
        <f t="shared" si="750"/>
        <v>0</v>
      </c>
    </row>
    <row r="1297" spans="1:16" x14ac:dyDescent="0.25">
      <c r="A1297" s="1039">
        <v>1682</v>
      </c>
      <c r="B1297" s="1039">
        <f t="shared" si="754"/>
        <v>47</v>
      </c>
      <c r="C1297" s="1039" t="str">
        <f t="shared" si="755"/>
        <v>MOHAMAD BAIHAQI</v>
      </c>
      <c r="D1297" s="1041" t="str">
        <f t="shared" si="756"/>
        <v>PAI-3C</v>
      </c>
      <c r="E1297" s="1041">
        <f t="shared" si="757"/>
        <v>2019</v>
      </c>
      <c r="F1297" s="1041" t="str">
        <f t="shared" si="758"/>
        <v>AKTIF</v>
      </c>
      <c r="G1297" s="1041">
        <f t="shared" si="759"/>
        <v>849319047</v>
      </c>
      <c r="H1297" s="1042">
        <f t="shared" si="752"/>
        <v>6450000</v>
      </c>
      <c r="I1297" s="1042">
        <f t="shared" si="753"/>
        <v>3750000</v>
      </c>
      <c r="J1297" s="1042">
        <f t="shared" si="751"/>
        <v>10200000</v>
      </c>
      <c r="L1297" s="1060">
        <f t="shared" si="749"/>
        <v>1</v>
      </c>
      <c r="M1297" s="1060">
        <f t="shared" si="760"/>
        <v>0</v>
      </c>
      <c r="N1297" s="1060">
        <f t="shared" si="761"/>
        <v>0</v>
      </c>
      <c r="O1297" s="1060">
        <f t="shared" si="762"/>
        <v>0</v>
      </c>
      <c r="P1297" s="1060">
        <f t="shared" si="750"/>
        <v>0</v>
      </c>
    </row>
    <row r="1298" spans="1:16" x14ac:dyDescent="0.25">
      <c r="A1298" s="1039">
        <v>1683</v>
      </c>
      <c r="B1298" s="1039">
        <f t="shared" si="754"/>
        <v>48</v>
      </c>
      <c r="C1298" s="1039" t="str">
        <f t="shared" si="755"/>
        <v>MOHAMMAD SOFIYAN SAHURI</v>
      </c>
      <c r="D1298" s="1041" t="str">
        <f t="shared" si="756"/>
        <v>PAI-3C</v>
      </c>
      <c r="E1298" s="1041">
        <f t="shared" si="757"/>
        <v>2019</v>
      </c>
      <c r="F1298" s="1041" t="str">
        <f t="shared" si="758"/>
        <v>AKTIF</v>
      </c>
      <c r="G1298" s="1041">
        <f t="shared" si="759"/>
        <v>849319018</v>
      </c>
      <c r="H1298" s="1042">
        <f t="shared" si="752"/>
        <v>6450000</v>
      </c>
      <c r="I1298" s="1042">
        <f t="shared" si="753"/>
        <v>3750000</v>
      </c>
      <c r="J1298" s="1042">
        <f t="shared" si="751"/>
        <v>10200000</v>
      </c>
      <c r="L1298" s="1060">
        <f t="shared" si="749"/>
        <v>1</v>
      </c>
      <c r="M1298" s="1060">
        <f t="shared" si="760"/>
        <v>0</v>
      </c>
      <c r="N1298" s="1060">
        <f t="shared" si="761"/>
        <v>0</v>
      </c>
      <c r="O1298" s="1060">
        <f t="shared" si="762"/>
        <v>0</v>
      </c>
      <c r="P1298" s="1060">
        <f t="shared" si="750"/>
        <v>0</v>
      </c>
    </row>
    <row r="1299" spans="1:16" x14ac:dyDescent="0.25">
      <c r="A1299" s="1039">
        <v>1684</v>
      </c>
      <c r="B1299" s="1039">
        <f t="shared" si="754"/>
        <v>49</v>
      </c>
      <c r="C1299" s="1039" t="str">
        <f t="shared" si="755"/>
        <v>MUH ABDUL HAMID</v>
      </c>
      <c r="D1299" s="1041" t="str">
        <f t="shared" si="756"/>
        <v>PAI-3C</v>
      </c>
      <c r="E1299" s="1041">
        <f t="shared" si="757"/>
        <v>2019</v>
      </c>
      <c r="F1299" s="1041" t="str">
        <f t="shared" si="758"/>
        <v>AKTIF</v>
      </c>
      <c r="G1299" s="1041">
        <f t="shared" si="759"/>
        <v>849319035</v>
      </c>
      <c r="H1299" s="1042">
        <f t="shared" si="752"/>
        <v>6450000</v>
      </c>
      <c r="I1299" s="1042">
        <f t="shared" si="753"/>
        <v>3750000</v>
      </c>
      <c r="J1299" s="1042">
        <f t="shared" si="751"/>
        <v>10200000</v>
      </c>
      <c r="L1299" s="1060">
        <f t="shared" si="749"/>
        <v>1</v>
      </c>
      <c r="M1299" s="1060">
        <f t="shared" si="760"/>
        <v>0</v>
      </c>
      <c r="N1299" s="1060">
        <f t="shared" si="761"/>
        <v>0</v>
      </c>
      <c r="O1299" s="1060">
        <f t="shared" si="762"/>
        <v>0</v>
      </c>
      <c r="P1299" s="1060">
        <f t="shared" si="750"/>
        <v>0</v>
      </c>
    </row>
    <row r="1300" spans="1:16" x14ac:dyDescent="0.25">
      <c r="A1300" s="1039">
        <v>1685</v>
      </c>
      <c r="B1300" s="1039">
        <f t="shared" si="754"/>
        <v>50</v>
      </c>
      <c r="C1300" s="1039" t="str">
        <f t="shared" si="755"/>
        <v>MUSFIQURROHMAN</v>
      </c>
      <c r="D1300" s="1041" t="str">
        <f t="shared" si="756"/>
        <v>PAI-3C</v>
      </c>
      <c r="E1300" s="1041">
        <f t="shared" si="757"/>
        <v>2019</v>
      </c>
      <c r="F1300" s="1041" t="str">
        <f t="shared" si="758"/>
        <v>AKTIF</v>
      </c>
      <c r="G1300" s="1041">
        <f t="shared" si="759"/>
        <v>849319016</v>
      </c>
      <c r="H1300" s="1042">
        <f t="shared" si="752"/>
        <v>6450000</v>
      </c>
      <c r="I1300" s="1042">
        <f t="shared" si="753"/>
        <v>3750000</v>
      </c>
      <c r="J1300" s="1042">
        <f t="shared" si="751"/>
        <v>10200000</v>
      </c>
      <c r="L1300" s="1060">
        <f t="shared" si="749"/>
        <v>1</v>
      </c>
      <c r="M1300" s="1060">
        <f t="shared" si="760"/>
        <v>0</v>
      </c>
      <c r="N1300" s="1060">
        <f t="shared" si="761"/>
        <v>0</v>
      </c>
      <c r="O1300" s="1060">
        <f t="shared" si="762"/>
        <v>0</v>
      </c>
      <c r="P1300" s="1060">
        <f t="shared" si="750"/>
        <v>0</v>
      </c>
    </row>
    <row r="1301" spans="1:16" x14ac:dyDescent="0.25">
      <c r="A1301" s="1039">
        <v>1686</v>
      </c>
      <c r="B1301" s="1039">
        <f t="shared" si="754"/>
        <v>51</v>
      </c>
      <c r="C1301" s="1039" t="str">
        <f t="shared" si="755"/>
        <v>NURIN AL FAIDAH</v>
      </c>
      <c r="D1301" s="1041" t="str">
        <f t="shared" si="756"/>
        <v>PAI-3C</v>
      </c>
      <c r="E1301" s="1041">
        <f t="shared" si="757"/>
        <v>2019</v>
      </c>
      <c r="F1301" s="1041" t="str">
        <f t="shared" si="758"/>
        <v>AKTIF</v>
      </c>
      <c r="G1301" s="1041">
        <f t="shared" si="759"/>
        <v>849319012</v>
      </c>
      <c r="H1301" s="1042">
        <f t="shared" si="752"/>
        <v>6450000</v>
      </c>
      <c r="I1301" s="1042">
        <f t="shared" si="753"/>
        <v>3750000</v>
      </c>
      <c r="J1301" s="1042">
        <f t="shared" si="751"/>
        <v>10200000</v>
      </c>
      <c r="L1301" s="1060">
        <f t="shared" si="749"/>
        <v>1</v>
      </c>
      <c r="M1301" s="1060">
        <f t="shared" si="760"/>
        <v>0</v>
      </c>
      <c r="N1301" s="1060">
        <f t="shared" si="761"/>
        <v>0</v>
      </c>
      <c r="O1301" s="1060">
        <f t="shared" si="762"/>
        <v>0</v>
      </c>
      <c r="P1301" s="1060">
        <f t="shared" si="750"/>
        <v>0</v>
      </c>
    </row>
    <row r="1302" spans="1:16" x14ac:dyDescent="0.25">
      <c r="A1302" s="1039">
        <v>1687</v>
      </c>
      <c r="B1302" s="1039">
        <f t="shared" si="754"/>
        <v>52</v>
      </c>
      <c r="C1302" s="1039" t="str">
        <f t="shared" si="755"/>
        <v>OLIVIA AGNESTI PUTRI BAKRIYAN</v>
      </c>
      <c r="D1302" s="1041" t="str">
        <f t="shared" si="756"/>
        <v>PAI-3C</v>
      </c>
      <c r="E1302" s="1041">
        <f t="shared" si="757"/>
        <v>2019</v>
      </c>
      <c r="F1302" s="1041" t="str">
        <f t="shared" si="758"/>
        <v>AKTIF</v>
      </c>
      <c r="G1302" s="1041">
        <f t="shared" si="759"/>
        <v>849319020</v>
      </c>
      <c r="H1302" s="1042">
        <f t="shared" si="752"/>
        <v>6450000</v>
      </c>
      <c r="I1302" s="1042">
        <f t="shared" si="753"/>
        <v>3750000</v>
      </c>
      <c r="J1302" s="1042">
        <f t="shared" si="751"/>
        <v>10200000</v>
      </c>
      <c r="L1302" s="1060">
        <f t="shared" si="749"/>
        <v>1</v>
      </c>
      <c r="M1302" s="1060">
        <f t="shared" si="760"/>
        <v>0</v>
      </c>
      <c r="N1302" s="1060">
        <f t="shared" si="761"/>
        <v>0</v>
      </c>
      <c r="O1302" s="1060">
        <f t="shared" si="762"/>
        <v>0</v>
      </c>
      <c r="P1302" s="1060">
        <f t="shared" si="750"/>
        <v>0</v>
      </c>
    </row>
    <row r="1303" spans="1:16" x14ac:dyDescent="0.25">
      <c r="A1303" s="1039">
        <v>1688</v>
      </c>
      <c r="B1303" s="1039">
        <f t="shared" si="754"/>
        <v>53</v>
      </c>
      <c r="C1303" s="1039" t="str">
        <f t="shared" si="755"/>
        <v>QONITATUN NISA'</v>
      </c>
      <c r="D1303" s="1041" t="str">
        <f t="shared" si="756"/>
        <v>PAI-3C</v>
      </c>
      <c r="E1303" s="1041">
        <f t="shared" si="757"/>
        <v>2019</v>
      </c>
      <c r="F1303" s="1041" t="str">
        <f t="shared" si="758"/>
        <v>AKTIF</v>
      </c>
      <c r="G1303" s="1041">
        <f t="shared" si="759"/>
        <v>849319013</v>
      </c>
      <c r="H1303" s="1042">
        <f t="shared" si="752"/>
        <v>6450000</v>
      </c>
      <c r="I1303" s="1042">
        <f t="shared" si="753"/>
        <v>3750000</v>
      </c>
      <c r="J1303" s="1042">
        <f t="shared" si="751"/>
        <v>10200000</v>
      </c>
      <c r="L1303" s="1060">
        <f t="shared" si="749"/>
        <v>1</v>
      </c>
      <c r="M1303" s="1060">
        <f t="shared" si="760"/>
        <v>0</v>
      </c>
      <c r="N1303" s="1060">
        <f t="shared" si="761"/>
        <v>0</v>
      </c>
      <c r="O1303" s="1060">
        <f t="shared" si="762"/>
        <v>0</v>
      </c>
      <c r="P1303" s="1060">
        <f t="shared" si="750"/>
        <v>0</v>
      </c>
    </row>
    <row r="1304" spans="1:16" x14ac:dyDescent="0.25">
      <c r="A1304" s="1039">
        <v>1689</v>
      </c>
      <c r="B1304" s="1039">
        <f t="shared" si="754"/>
        <v>54</v>
      </c>
      <c r="C1304" s="1039" t="str">
        <f t="shared" si="755"/>
        <v>ROSI AFIANINGSIH</v>
      </c>
      <c r="D1304" s="1041" t="str">
        <f t="shared" si="756"/>
        <v>PAI-3C</v>
      </c>
      <c r="E1304" s="1041">
        <f t="shared" si="757"/>
        <v>2019</v>
      </c>
      <c r="F1304" s="1041" t="str">
        <f t="shared" si="758"/>
        <v>AKTIF</v>
      </c>
      <c r="G1304" s="1041">
        <f t="shared" si="759"/>
        <v>849319008</v>
      </c>
      <c r="H1304" s="1042">
        <f t="shared" si="752"/>
        <v>6450000</v>
      </c>
      <c r="I1304" s="1042">
        <f t="shared" si="753"/>
        <v>3750000</v>
      </c>
      <c r="J1304" s="1042">
        <f t="shared" si="751"/>
        <v>10200000</v>
      </c>
      <c r="L1304" s="1060">
        <f t="shared" si="749"/>
        <v>1</v>
      </c>
      <c r="M1304" s="1060">
        <f t="shared" si="760"/>
        <v>0</v>
      </c>
      <c r="N1304" s="1060">
        <f t="shared" si="761"/>
        <v>0</v>
      </c>
      <c r="O1304" s="1060">
        <f t="shared" si="762"/>
        <v>0</v>
      </c>
      <c r="P1304" s="1060">
        <f t="shared" si="750"/>
        <v>0</v>
      </c>
    </row>
    <row r="1305" spans="1:16" x14ac:dyDescent="0.25">
      <c r="A1305" s="1039">
        <v>1690</v>
      </c>
      <c r="B1305" s="1039">
        <f t="shared" si="754"/>
        <v>55</v>
      </c>
      <c r="C1305" s="1039" t="str">
        <f t="shared" si="755"/>
        <v>ROSIDUL ABROR</v>
      </c>
      <c r="D1305" s="1041" t="str">
        <f t="shared" si="756"/>
        <v>PAI-3C</v>
      </c>
      <c r="E1305" s="1041">
        <f t="shared" si="757"/>
        <v>2019</v>
      </c>
      <c r="F1305" s="1041" t="str">
        <f t="shared" si="758"/>
        <v>AKTIF</v>
      </c>
      <c r="G1305" s="1041">
        <f t="shared" si="759"/>
        <v>849319033</v>
      </c>
      <c r="H1305" s="1042">
        <f t="shared" si="752"/>
        <v>6450000</v>
      </c>
      <c r="I1305" s="1042">
        <f t="shared" si="753"/>
        <v>3750000</v>
      </c>
      <c r="J1305" s="1042">
        <f t="shared" si="751"/>
        <v>10200000</v>
      </c>
      <c r="L1305" s="1060">
        <f t="shared" si="749"/>
        <v>1</v>
      </c>
      <c r="M1305" s="1060">
        <f t="shared" si="760"/>
        <v>0</v>
      </c>
      <c r="N1305" s="1060">
        <f t="shared" si="761"/>
        <v>0</v>
      </c>
      <c r="O1305" s="1060">
        <f t="shared" si="762"/>
        <v>0</v>
      </c>
      <c r="P1305" s="1060">
        <f t="shared" si="750"/>
        <v>0</v>
      </c>
    </row>
    <row r="1306" spans="1:16" x14ac:dyDescent="0.25">
      <c r="A1306" s="1039">
        <v>1691</v>
      </c>
      <c r="B1306" s="1039">
        <f t="shared" si="754"/>
        <v>56</v>
      </c>
      <c r="C1306" s="1039" t="str">
        <f t="shared" si="755"/>
        <v>SUJI ASHARI</v>
      </c>
      <c r="D1306" s="1041" t="str">
        <f t="shared" si="756"/>
        <v>PAI-3C</v>
      </c>
      <c r="E1306" s="1041">
        <f t="shared" si="757"/>
        <v>2019</v>
      </c>
      <c r="F1306" s="1041" t="str">
        <f t="shared" si="758"/>
        <v>AKTIF</v>
      </c>
      <c r="G1306" s="1041">
        <f t="shared" si="759"/>
        <v>849319032</v>
      </c>
      <c r="H1306" s="1042">
        <f t="shared" si="752"/>
        <v>6450000</v>
      </c>
      <c r="I1306" s="1042">
        <f t="shared" si="753"/>
        <v>3750000</v>
      </c>
      <c r="J1306" s="1042">
        <f t="shared" si="751"/>
        <v>10200000</v>
      </c>
      <c r="L1306" s="1060">
        <f t="shared" si="749"/>
        <v>1</v>
      </c>
      <c r="M1306" s="1060">
        <f t="shared" si="760"/>
        <v>0</v>
      </c>
      <c r="N1306" s="1060">
        <f t="shared" si="761"/>
        <v>0</v>
      </c>
      <c r="O1306" s="1060">
        <f t="shared" si="762"/>
        <v>0</v>
      </c>
      <c r="P1306" s="1060">
        <f t="shared" si="750"/>
        <v>0</v>
      </c>
    </row>
    <row r="1307" spans="1:16" x14ac:dyDescent="0.25">
      <c r="A1307" s="1039">
        <v>1692</v>
      </c>
      <c r="B1307" s="1039">
        <f t="shared" si="754"/>
        <v>57</v>
      </c>
      <c r="C1307" s="1039" t="str">
        <f t="shared" si="755"/>
        <v>AGUS WAHYUDI AZIZ</v>
      </c>
      <c r="D1307" s="1041" t="str">
        <f t="shared" si="756"/>
        <v>PAI-3D</v>
      </c>
      <c r="E1307" s="1041">
        <f t="shared" si="757"/>
        <v>2019</v>
      </c>
      <c r="F1307" s="1041" t="str">
        <f t="shared" si="758"/>
        <v>AKTIF</v>
      </c>
      <c r="G1307" s="1041">
        <f t="shared" si="759"/>
        <v>849319025</v>
      </c>
      <c r="H1307" s="1042">
        <f t="shared" si="752"/>
        <v>6450000</v>
      </c>
      <c r="I1307" s="1042">
        <f t="shared" si="753"/>
        <v>3750000</v>
      </c>
      <c r="J1307" s="1042">
        <f t="shared" si="751"/>
        <v>10200000</v>
      </c>
      <c r="L1307" s="1060">
        <f t="shared" si="749"/>
        <v>1</v>
      </c>
      <c r="M1307" s="1060">
        <f t="shared" si="760"/>
        <v>0</v>
      </c>
      <c r="N1307" s="1060">
        <f t="shared" si="761"/>
        <v>0</v>
      </c>
      <c r="O1307" s="1060">
        <f t="shared" si="762"/>
        <v>0</v>
      </c>
      <c r="P1307" s="1060">
        <f t="shared" si="750"/>
        <v>0</v>
      </c>
    </row>
    <row r="1308" spans="1:16" x14ac:dyDescent="0.25">
      <c r="A1308" s="1039">
        <v>1693</v>
      </c>
      <c r="B1308" s="1039">
        <f t="shared" si="754"/>
        <v>58</v>
      </c>
      <c r="C1308" s="1039" t="str">
        <f t="shared" si="755"/>
        <v>AHMAD SHAFWUR RAMADHANY</v>
      </c>
      <c r="D1308" s="1041" t="str">
        <f t="shared" si="756"/>
        <v>PAI-3D</v>
      </c>
      <c r="E1308" s="1041">
        <f t="shared" si="757"/>
        <v>2019</v>
      </c>
      <c r="F1308" s="1041" t="str">
        <f t="shared" si="758"/>
        <v>AKTIF</v>
      </c>
      <c r="G1308" s="1041">
        <f t="shared" si="759"/>
        <v>849319007</v>
      </c>
      <c r="H1308" s="1042">
        <f t="shared" si="752"/>
        <v>6450000</v>
      </c>
      <c r="I1308" s="1042">
        <f t="shared" si="753"/>
        <v>3750000</v>
      </c>
      <c r="J1308" s="1042">
        <f t="shared" si="751"/>
        <v>10200000</v>
      </c>
      <c r="L1308" s="1060">
        <f t="shared" si="749"/>
        <v>1</v>
      </c>
      <c r="M1308" s="1060">
        <f t="shared" si="760"/>
        <v>0</v>
      </c>
      <c r="N1308" s="1060">
        <f t="shared" si="761"/>
        <v>0</v>
      </c>
      <c r="O1308" s="1060">
        <f t="shared" si="762"/>
        <v>0</v>
      </c>
      <c r="P1308" s="1060">
        <f t="shared" si="750"/>
        <v>0</v>
      </c>
    </row>
    <row r="1309" spans="1:16" x14ac:dyDescent="0.25">
      <c r="A1309" s="1039">
        <v>1694</v>
      </c>
      <c r="B1309" s="1039">
        <f t="shared" si="754"/>
        <v>59</v>
      </c>
      <c r="C1309" s="1039" t="str">
        <f t="shared" si="755"/>
        <v>DIFAKHRIZANI LAILY PERTIWI</v>
      </c>
      <c r="D1309" s="1041" t="str">
        <f t="shared" si="756"/>
        <v>PAI-3D</v>
      </c>
      <c r="E1309" s="1041">
        <f t="shared" si="757"/>
        <v>2019</v>
      </c>
      <c r="F1309" s="1041" t="str">
        <f t="shared" si="758"/>
        <v>AKTIF</v>
      </c>
      <c r="G1309" s="1041">
        <f t="shared" si="759"/>
        <v>849319010</v>
      </c>
      <c r="H1309" s="1042">
        <f t="shared" si="752"/>
        <v>6450000</v>
      </c>
      <c r="I1309" s="1042">
        <f t="shared" si="753"/>
        <v>3750000</v>
      </c>
      <c r="J1309" s="1042">
        <f t="shared" si="751"/>
        <v>10200000</v>
      </c>
      <c r="L1309" s="1060">
        <f t="shared" si="749"/>
        <v>1</v>
      </c>
      <c r="M1309" s="1060">
        <f t="shared" si="760"/>
        <v>0</v>
      </c>
      <c r="N1309" s="1060">
        <f t="shared" si="761"/>
        <v>0</v>
      </c>
      <c r="O1309" s="1060">
        <f t="shared" si="762"/>
        <v>0</v>
      </c>
      <c r="P1309" s="1060">
        <f t="shared" si="750"/>
        <v>0</v>
      </c>
    </row>
    <row r="1310" spans="1:16" x14ac:dyDescent="0.25">
      <c r="A1310" s="1039">
        <v>1695</v>
      </c>
      <c r="B1310" s="1039">
        <f t="shared" si="754"/>
        <v>60</v>
      </c>
      <c r="C1310" s="1039" t="str">
        <f t="shared" si="755"/>
        <v>DIONG LIONG AKBAR</v>
      </c>
      <c r="D1310" s="1041" t="str">
        <f t="shared" si="756"/>
        <v>PAI-3D</v>
      </c>
      <c r="E1310" s="1041">
        <f t="shared" si="757"/>
        <v>2019</v>
      </c>
      <c r="F1310" s="1041" t="str">
        <f t="shared" si="758"/>
        <v>AKTIF</v>
      </c>
      <c r="G1310" s="1041">
        <f t="shared" si="759"/>
        <v>849319005</v>
      </c>
      <c r="H1310" s="1042">
        <f t="shared" si="752"/>
        <v>6450000</v>
      </c>
      <c r="I1310" s="1042">
        <f t="shared" si="753"/>
        <v>3750000</v>
      </c>
      <c r="J1310" s="1042">
        <f t="shared" si="751"/>
        <v>10200000</v>
      </c>
      <c r="L1310" s="1060">
        <f t="shared" si="749"/>
        <v>1</v>
      </c>
      <c r="M1310" s="1060">
        <f t="shared" si="760"/>
        <v>0</v>
      </c>
      <c r="N1310" s="1060">
        <f t="shared" si="761"/>
        <v>0</v>
      </c>
      <c r="O1310" s="1060">
        <f t="shared" si="762"/>
        <v>0</v>
      </c>
      <c r="P1310" s="1060">
        <f t="shared" si="750"/>
        <v>0</v>
      </c>
    </row>
    <row r="1311" spans="1:16" x14ac:dyDescent="0.25">
      <c r="A1311" s="1039">
        <v>1696</v>
      </c>
      <c r="B1311" s="1039">
        <f t="shared" si="754"/>
        <v>61</v>
      </c>
      <c r="C1311" s="1039" t="str">
        <f t="shared" si="755"/>
        <v>FATHIMAH MAHSYARIYAH</v>
      </c>
      <c r="D1311" s="1041" t="str">
        <f t="shared" si="756"/>
        <v>PAI-3D</v>
      </c>
      <c r="E1311" s="1041">
        <f t="shared" si="757"/>
        <v>2019</v>
      </c>
      <c r="F1311" s="1041" t="str">
        <f t="shared" si="758"/>
        <v>AKTIF</v>
      </c>
      <c r="G1311" s="1041">
        <f t="shared" si="759"/>
        <v>849319036</v>
      </c>
      <c r="H1311" s="1042">
        <f t="shared" si="752"/>
        <v>6450000</v>
      </c>
      <c r="I1311" s="1042">
        <f t="shared" si="753"/>
        <v>3750000</v>
      </c>
      <c r="J1311" s="1042">
        <f t="shared" si="751"/>
        <v>10200000</v>
      </c>
      <c r="L1311" s="1060">
        <f t="shared" si="749"/>
        <v>1</v>
      </c>
      <c r="M1311" s="1060">
        <f t="shared" si="760"/>
        <v>0</v>
      </c>
      <c r="N1311" s="1060">
        <f t="shared" si="761"/>
        <v>0</v>
      </c>
      <c r="O1311" s="1060">
        <f t="shared" si="762"/>
        <v>0</v>
      </c>
      <c r="P1311" s="1060">
        <f t="shared" si="750"/>
        <v>0</v>
      </c>
    </row>
    <row r="1312" spans="1:16" x14ac:dyDescent="0.25">
      <c r="A1312" s="1039">
        <v>1697</v>
      </c>
      <c r="B1312" s="1039">
        <f t="shared" si="754"/>
        <v>62</v>
      </c>
      <c r="C1312" s="1039" t="str">
        <f t="shared" si="755"/>
        <v>GHONIUL HUSNA</v>
      </c>
      <c r="D1312" s="1041" t="str">
        <f t="shared" si="756"/>
        <v>PAI-3D</v>
      </c>
      <c r="E1312" s="1041">
        <f t="shared" si="757"/>
        <v>2019</v>
      </c>
      <c r="F1312" s="1041" t="str">
        <f t="shared" si="758"/>
        <v>AKTIF</v>
      </c>
      <c r="G1312" s="1041">
        <f t="shared" si="759"/>
        <v>849319026</v>
      </c>
      <c r="H1312" s="1042">
        <f t="shared" si="752"/>
        <v>6450000</v>
      </c>
      <c r="I1312" s="1042">
        <f t="shared" si="753"/>
        <v>3750000</v>
      </c>
      <c r="J1312" s="1042">
        <f t="shared" si="751"/>
        <v>10200000</v>
      </c>
      <c r="L1312" s="1060">
        <f t="shared" si="749"/>
        <v>1</v>
      </c>
      <c r="M1312" s="1060">
        <f t="shared" si="760"/>
        <v>0</v>
      </c>
      <c r="N1312" s="1060">
        <f t="shared" si="761"/>
        <v>0</v>
      </c>
      <c r="O1312" s="1060">
        <f t="shared" si="762"/>
        <v>0</v>
      </c>
      <c r="P1312" s="1060">
        <f t="shared" si="750"/>
        <v>0</v>
      </c>
    </row>
    <row r="1313" spans="1:16" x14ac:dyDescent="0.25">
      <c r="A1313" s="1039">
        <v>1698</v>
      </c>
      <c r="B1313" s="1039">
        <f t="shared" si="754"/>
        <v>63</v>
      </c>
      <c r="C1313" s="1039" t="str">
        <f t="shared" si="755"/>
        <v>HAYU MAFATILLAH</v>
      </c>
      <c r="D1313" s="1041" t="str">
        <f t="shared" si="756"/>
        <v>PAI-3D</v>
      </c>
      <c r="E1313" s="1041">
        <f t="shared" si="757"/>
        <v>2019</v>
      </c>
      <c r="F1313" s="1041" t="str">
        <f t="shared" si="758"/>
        <v>AKTIF</v>
      </c>
      <c r="G1313" s="1041">
        <f t="shared" si="759"/>
        <v>849319003</v>
      </c>
      <c r="H1313" s="1042">
        <f t="shared" si="752"/>
        <v>6450000</v>
      </c>
      <c r="I1313" s="1042">
        <f t="shared" si="753"/>
        <v>3750000</v>
      </c>
      <c r="J1313" s="1042">
        <f t="shared" si="751"/>
        <v>10200000</v>
      </c>
      <c r="L1313" s="1060">
        <f t="shared" si="749"/>
        <v>1</v>
      </c>
      <c r="M1313" s="1060">
        <f t="shared" si="760"/>
        <v>0</v>
      </c>
      <c r="N1313" s="1060">
        <f t="shared" si="761"/>
        <v>0</v>
      </c>
      <c r="O1313" s="1060">
        <f t="shared" si="762"/>
        <v>0</v>
      </c>
      <c r="P1313" s="1060">
        <f t="shared" si="750"/>
        <v>0</v>
      </c>
    </row>
    <row r="1314" spans="1:16" x14ac:dyDescent="0.25">
      <c r="A1314" s="1039">
        <v>1699</v>
      </c>
      <c r="B1314" s="1039">
        <f t="shared" si="754"/>
        <v>64</v>
      </c>
      <c r="C1314" s="1039" t="str">
        <f t="shared" si="755"/>
        <v>LAILATUN NIMAH</v>
      </c>
      <c r="D1314" s="1041" t="str">
        <f t="shared" si="756"/>
        <v>PAI-3D</v>
      </c>
      <c r="E1314" s="1041">
        <f t="shared" si="757"/>
        <v>2019</v>
      </c>
      <c r="F1314" s="1041" t="str">
        <f t="shared" si="758"/>
        <v>AKTIF</v>
      </c>
      <c r="G1314" s="1041">
        <f t="shared" si="759"/>
        <v>849319042</v>
      </c>
      <c r="H1314" s="1042">
        <f t="shared" si="752"/>
        <v>6450000</v>
      </c>
      <c r="I1314" s="1042">
        <f t="shared" si="753"/>
        <v>3750000</v>
      </c>
      <c r="J1314" s="1042">
        <f t="shared" si="751"/>
        <v>10200000</v>
      </c>
      <c r="L1314" s="1060">
        <f t="shared" si="749"/>
        <v>1</v>
      </c>
      <c r="M1314" s="1060">
        <f t="shared" si="760"/>
        <v>0</v>
      </c>
      <c r="N1314" s="1060">
        <f t="shared" si="761"/>
        <v>0</v>
      </c>
      <c r="O1314" s="1060">
        <f t="shared" si="762"/>
        <v>0</v>
      </c>
      <c r="P1314" s="1060">
        <f t="shared" si="750"/>
        <v>0</v>
      </c>
    </row>
    <row r="1315" spans="1:16" x14ac:dyDescent="0.25">
      <c r="A1315" s="1039">
        <v>1700</v>
      </c>
      <c r="B1315" s="1039">
        <f t="shared" ref="B1315:B1323" si="763">IFERROR(VLOOKUP(A1315,DB,2,FALSE),"  ")</f>
        <v>65</v>
      </c>
      <c r="C1315" s="1039" t="str">
        <f t="shared" ref="C1315:C1323" si="764">IFERROR(VLOOKUP(A1315,DB,4,FALSE),"  ")</f>
        <v>MOHAMAD HAMZAH</v>
      </c>
      <c r="D1315" s="1041" t="str">
        <f t="shared" ref="D1315:D1323" si="765">IFERROR(VLOOKUP(A1315,DB,5,FALSE),"  ")</f>
        <v>PAI-3D</v>
      </c>
      <c r="E1315" s="1041">
        <f t="shared" ref="E1315:E1323" si="766">IFERROR(VLOOKUP(A1315,DB,6,FALSE),"  ")</f>
        <v>2019</v>
      </c>
      <c r="F1315" s="1041" t="str">
        <f t="shared" ref="F1315:F1323" si="767">IFERROR(VLOOKUP(A1315,DB,7,FALSE),"  ")</f>
        <v>AKTIF</v>
      </c>
      <c r="G1315" s="1041">
        <f t="shared" ref="G1315:G1323" si="768">IFERROR(VLOOKUP(A1315,DB,3,FALSE),"  ")</f>
        <v>849319045</v>
      </c>
      <c r="H1315" s="1042">
        <f t="shared" si="752"/>
        <v>6450000</v>
      </c>
      <c r="I1315" s="1042">
        <f t="shared" si="753"/>
        <v>3750000</v>
      </c>
      <c r="J1315" s="1042">
        <f t="shared" si="751"/>
        <v>10200000</v>
      </c>
      <c r="L1315" s="1060">
        <f t="shared" si="749"/>
        <v>1</v>
      </c>
      <c r="M1315" s="1060">
        <f t="shared" ref="M1315:M1323" si="769">IF(F1315="LULUS",1,0)</f>
        <v>0</v>
      </c>
      <c r="N1315" s="1060">
        <f t="shared" ref="N1315:N1323" si="770">IF(F1315="CUTI",1,0)</f>
        <v>0</v>
      </c>
      <c r="O1315" s="1060">
        <f t="shared" ref="O1315:O1323" si="771">IF(F1315="DROP OUT",1,0)</f>
        <v>0</v>
      </c>
      <c r="P1315" s="1060">
        <f t="shared" si="750"/>
        <v>0</v>
      </c>
    </row>
    <row r="1316" spans="1:16" x14ac:dyDescent="0.25">
      <c r="A1316" s="1039">
        <v>1701</v>
      </c>
      <c r="B1316" s="1039">
        <f t="shared" si="763"/>
        <v>66</v>
      </c>
      <c r="C1316" s="1039" t="str">
        <f t="shared" si="764"/>
        <v>MUHAMMAD NURUL HIDAYAT</v>
      </c>
      <c r="D1316" s="1041" t="str">
        <f t="shared" si="765"/>
        <v>PAI-3D</v>
      </c>
      <c r="E1316" s="1041">
        <f t="shared" si="766"/>
        <v>2019</v>
      </c>
      <c r="F1316" s="1041" t="str">
        <f t="shared" si="767"/>
        <v>AKTIF</v>
      </c>
      <c r="G1316" s="1041">
        <f t="shared" si="768"/>
        <v>849319028</v>
      </c>
      <c r="H1316" s="1042">
        <f t="shared" si="752"/>
        <v>6450000</v>
      </c>
      <c r="I1316" s="1042">
        <f t="shared" si="753"/>
        <v>3750000</v>
      </c>
      <c r="J1316" s="1042">
        <f t="shared" si="751"/>
        <v>10200000</v>
      </c>
      <c r="L1316" s="1060">
        <f t="shared" ref="L1316:L1323" si="772">IF(F1316="AKTIF",1,0)</f>
        <v>1</v>
      </c>
      <c r="M1316" s="1060">
        <f t="shared" si="769"/>
        <v>0</v>
      </c>
      <c r="N1316" s="1060">
        <f t="shared" si="770"/>
        <v>0</v>
      </c>
      <c r="O1316" s="1060">
        <f t="shared" si="771"/>
        <v>0</v>
      </c>
      <c r="P1316" s="1060">
        <f t="shared" ref="P1316:P1323" si="773">IF(F1316="PASIF",1,0)</f>
        <v>0</v>
      </c>
    </row>
    <row r="1317" spans="1:16" x14ac:dyDescent="0.25">
      <c r="A1317" s="1039">
        <v>1702</v>
      </c>
      <c r="B1317" s="1039">
        <f t="shared" si="763"/>
        <v>67</v>
      </c>
      <c r="C1317" s="1039" t="str">
        <f t="shared" si="764"/>
        <v>NILATUN NAFISAH</v>
      </c>
      <c r="D1317" s="1041" t="str">
        <f t="shared" si="765"/>
        <v>PAI-3D</v>
      </c>
      <c r="E1317" s="1041">
        <f t="shared" si="766"/>
        <v>2019</v>
      </c>
      <c r="F1317" s="1041" t="str">
        <f t="shared" si="767"/>
        <v>AKTIF</v>
      </c>
      <c r="G1317" s="1041">
        <f t="shared" si="768"/>
        <v>849319015</v>
      </c>
      <c r="H1317" s="1042">
        <f t="shared" si="752"/>
        <v>6450000</v>
      </c>
      <c r="I1317" s="1042">
        <f t="shared" si="753"/>
        <v>3750000</v>
      </c>
      <c r="J1317" s="1042">
        <f t="shared" si="751"/>
        <v>10200000</v>
      </c>
      <c r="L1317" s="1060">
        <f t="shared" si="772"/>
        <v>1</v>
      </c>
      <c r="M1317" s="1060">
        <f t="shared" si="769"/>
        <v>0</v>
      </c>
      <c r="N1317" s="1060">
        <f t="shared" si="770"/>
        <v>0</v>
      </c>
      <c r="O1317" s="1060">
        <f t="shared" si="771"/>
        <v>0</v>
      </c>
      <c r="P1317" s="1060">
        <f t="shared" si="773"/>
        <v>0</v>
      </c>
    </row>
    <row r="1318" spans="1:16" x14ac:dyDescent="0.25">
      <c r="A1318" s="1039">
        <v>1703</v>
      </c>
      <c r="B1318" s="1039">
        <f t="shared" si="763"/>
        <v>68</v>
      </c>
      <c r="C1318" s="1039" t="str">
        <f t="shared" si="764"/>
        <v>NOVINDA ROUDHOTUL JANNAH</v>
      </c>
      <c r="D1318" s="1041" t="str">
        <f t="shared" si="765"/>
        <v>PAI-3D</v>
      </c>
      <c r="E1318" s="1041">
        <f t="shared" si="766"/>
        <v>2019</v>
      </c>
      <c r="F1318" s="1041" t="str">
        <f t="shared" si="767"/>
        <v>AKTIF</v>
      </c>
      <c r="G1318" s="1041">
        <f t="shared" si="768"/>
        <v>849319076</v>
      </c>
      <c r="H1318" s="1042">
        <f t="shared" si="752"/>
        <v>6450000</v>
      </c>
      <c r="I1318" s="1042">
        <f t="shared" si="753"/>
        <v>3750000</v>
      </c>
      <c r="J1318" s="1042">
        <f t="shared" si="751"/>
        <v>10200000</v>
      </c>
      <c r="L1318" s="1060">
        <f t="shared" si="772"/>
        <v>1</v>
      </c>
      <c r="M1318" s="1060">
        <f t="shared" si="769"/>
        <v>0</v>
      </c>
      <c r="N1318" s="1060">
        <f t="shared" si="770"/>
        <v>0</v>
      </c>
      <c r="O1318" s="1060">
        <f t="shared" si="771"/>
        <v>0</v>
      </c>
      <c r="P1318" s="1060">
        <f t="shared" si="773"/>
        <v>0</v>
      </c>
    </row>
    <row r="1319" spans="1:16" x14ac:dyDescent="0.25">
      <c r="A1319" s="1039">
        <v>1704</v>
      </c>
      <c r="B1319" s="1039">
        <f t="shared" si="763"/>
        <v>69</v>
      </c>
      <c r="C1319" s="1039" t="str">
        <f t="shared" si="764"/>
        <v>NUR MUHAMMAD</v>
      </c>
      <c r="D1319" s="1041" t="str">
        <f t="shared" si="765"/>
        <v>PAI-3D</v>
      </c>
      <c r="E1319" s="1041">
        <f t="shared" si="766"/>
        <v>2019</v>
      </c>
      <c r="F1319" s="1041" t="str">
        <f t="shared" si="767"/>
        <v>PASIF</v>
      </c>
      <c r="G1319" s="1041">
        <f t="shared" si="768"/>
        <v>849319073</v>
      </c>
      <c r="H1319" s="1042">
        <f t="shared" si="752"/>
        <v>0</v>
      </c>
      <c r="I1319" s="1042">
        <f t="shared" si="753"/>
        <v>0</v>
      </c>
      <c r="J1319" s="1042">
        <f t="shared" si="751"/>
        <v>0</v>
      </c>
      <c r="L1319" s="1060">
        <f t="shared" si="772"/>
        <v>0</v>
      </c>
      <c r="M1319" s="1060">
        <f t="shared" si="769"/>
        <v>0</v>
      </c>
      <c r="N1319" s="1060">
        <f t="shared" si="770"/>
        <v>0</v>
      </c>
      <c r="O1319" s="1060">
        <f t="shared" si="771"/>
        <v>0</v>
      </c>
      <c r="P1319" s="1060">
        <f t="shared" si="773"/>
        <v>1</v>
      </c>
    </row>
    <row r="1320" spans="1:16" x14ac:dyDescent="0.25">
      <c r="A1320" s="1039">
        <v>1705</v>
      </c>
      <c r="B1320" s="1039">
        <f t="shared" si="763"/>
        <v>70</v>
      </c>
      <c r="C1320" s="1039" t="str">
        <f t="shared" si="764"/>
        <v>SUCIATI RAHMATILLAH</v>
      </c>
      <c r="D1320" s="1041" t="str">
        <f t="shared" si="765"/>
        <v>PAI-3D</v>
      </c>
      <c r="E1320" s="1041">
        <f t="shared" si="766"/>
        <v>2019</v>
      </c>
      <c r="F1320" s="1041" t="str">
        <f t="shared" si="767"/>
        <v>AKTIF</v>
      </c>
      <c r="G1320" s="1041">
        <f t="shared" si="768"/>
        <v>849319009</v>
      </c>
      <c r="H1320" s="1042">
        <f t="shared" si="752"/>
        <v>6450000</v>
      </c>
      <c r="I1320" s="1042">
        <f t="shared" si="753"/>
        <v>3750000</v>
      </c>
      <c r="J1320" s="1042">
        <f t="shared" si="751"/>
        <v>10200000</v>
      </c>
      <c r="L1320" s="1060">
        <f t="shared" si="772"/>
        <v>1</v>
      </c>
      <c r="M1320" s="1060">
        <f t="shared" si="769"/>
        <v>0</v>
      </c>
      <c r="N1320" s="1060">
        <f t="shared" si="770"/>
        <v>0</v>
      </c>
      <c r="O1320" s="1060">
        <f t="shared" si="771"/>
        <v>0</v>
      </c>
      <c r="P1320" s="1060">
        <f t="shared" si="773"/>
        <v>0</v>
      </c>
    </row>
    <row r="1321" spans="1:16" x14ac:dyDescent="0.25">
      <c r="A1321" s="1039">
        <v>1706</v>
      </c>
      <c r="B1321" s="1039">
        <f t="shared" si="763"/>
        <v>71</v>
      </c>
      <c r="C1321" s="1039" t="str">
        <f t="shared" si="764"/>
        <v>WAHYU ANGGRAENI</v>
      </c>
      <c r="D1321" s="1041" t="str">
        <f t="shared" si="765"/>
        <v>PAI-3D</v>
      </c>
      <c r="E1321" s="1041">
        <f t="shared" si="766"/>
        <v>2019</v>
      </c>
      <c r="F1321" s="1041" t="str">
        <f t="shared" si="767"/>
        <v>AKTIF</v>
      </c>
      <c r="G1321" s="1041">
        <f t="shared" si="768"/>
        <v>849319049</v>
      </c>
      <c r="H1321" s="1042">
        <f t="shared" si="752"/>
        <v>6450000</v>
      </c>
      <c r="I1321" s="1042">
        <f t="shared" si="753"/>
        <v>3750000</v>
      </c>
      <c r="J1321" s="1042">
        <f t="shared" si="751"/>
        <v>10200000</v>
      </c>
      <c r="L1321" s="1060">
        <f t="shared" si="772"/>
        <v>1</v>
      </c>
      <c r="M1321" s="1060">
        <f t="shared" si="769"/>
        <v>0</v>
      </c>
      <c r="N1321" s="1060">
        <f t="shared" si="770"/>
        <v>0</v>
      </c>
      <c r="O1321" s="1060">
        <f t="shared" si="771"/>
        <v>0</v>
      </c>
      <c r="P1321" s="1060">
        <f t="shared" si="773"/>
        <v>0</v>
      </c>
    </row>
    <row r="1322" spans="1:16" x14ac:dyDescent="0.25">
      <c r="A1322" s="1039">
        <v>1707</v>
      </c>
      <c r="B1322" s="1039">
        <f t="shared" si="763"/>
        <v>72</v>
      </c>
      <c r="C1322" s="1039" t="str">
        <f t="shared" si="764"/>
        <v>WAWAN PRISTIAWAN</v>
      </c>
      <c r="D1322" s="1041" t="str">
        <f t="shared" si="765"/>
        <v>PAI-3D</v>
      </c>
      <c r="E1322" s="1041">
        <f t="shared" si="766"/>
        <v>2019</v>
      </c>
      <c r="F1322" s="1041" t="str">
        <f t="shared" si="767"/>
        <v>AKTIF</v>
      </c>
      <c r="G1322" s="1041">
        <f t="shared" si="768"/>
        <v>849319027</v>
      </c>
      <c r="H1322" s="1042">
        <f t="shared" si="752"/>
        <v>6450000</v>
      </c>
      <c r="I1322" s="1042">
        <f t="shared" si="753"/>
        <v>3750000</v>
      </c>
      <c r="J1322" s="1042">
        <f t="shared" si="751"/>
        <v>10200000</v>
      </c>
      <c r="L1322" s="1060">
        <f t="shared" si="772"/>
        <v>1</v>
      </c>
      <c r="M1322" s="1060">
        <f t="shared" si="769"/>
        <v>0</v>
      </c>
      <c r="N1322" s="1060">
        <f t="shared" si="770"/>
        <v>0</v>
      </c>
      <c r="O1322" s="1060">
        <f t="shared" si="771"/>
        <v>0</v>
      </c>
      <c r="P1322" s="1060">
        <f t="shared" si="773"/>
        <v>0</v>
      </c>
    </row>
    <row r="1323" spans="1:16" x14ac:dyDescent="0.25">
      <c r="A1323" s="1039">
        <v>1708</v>
      </c>
      <c r="B1323" s="1039">
        <f t="shared" si="763"/>
        <v>73</v>
      </c>
      <c r="C1323" s="1039" t="str">
        <f t="shared" si="764"/>
        <v>VIVIN HERMAWATI</v>
      </c>
      <c r="D1323" s="1041" t="str">
        <f t="shared" si="765"/>
        <v>PAI-3D</v>
      </c>
      <c r="E1323" s="1041">
        <f t="shared" si="766"/>
        <v>2019</v>
      </c>
      <c r="F1323" s="1041" t="str">
        <f t="shared" si="767"/>
        <v>AKTIF</v>
      </c>
      <c r="G1323" s="1041">
        <f t="shared" si="768"/>
        <v>849319075</v>
      </c>
      <c r="H1323" s="1042">
        <f t="shared" si="752"/>
        <v>6450000</v>
      </c>
      <c r="I1323" s="1042">
        <f t="shared" si="753"/>
        <v>3750000</v>
      </c>
      <c r="J1323" s="1042">
        <f t="shared" si="751"/>
        <v>10200000</v>
      </c>
      <c r="L1323" s="1060">
        <f t="shared" si="772"/>
        <v>1</v>
      </c>
      <c r="M1323" s="1060">
        <f t="shared" si="769"/>
        <v>0</v>
      </c>
      <c r="N1323" s="1060">
        <f t="shared" si="770"/>
        <v>0</v>
      </c>
      <c r="O1323" s="1060">
        <f t="shared" si="771"/>
        <v>0</v>
      </c>
      <c r="P1323" s="1060">
        <f t="shared" si="773"/>
        <v>0</v>
      </c>
    </row>
    <row r="1324" spans="1:16" x14ac:dyDescent="0.25">
      <c r="A1324" s="1039"/>
      <c r="B1324" s="1039" t="str">
        <f t="shared" ref="B1324:B1719" si="774">IFERROR(VLOOKUP(A1324,DB,2,FALSE),"")</f>
        <v/>
      </c>
      <c r="C1324" s="1039" t="str">
        <f>IFERROR(VLOOKUP(A1324,DB,4,FALSE),"")</f>
        <v/>
      </c>
      <c r="D1324" s="1040" t="str">
        <f>IFERROR(VLOOKUP(A1324,DB,5,FALSE),"")</f>
        <v/>
      </c>
      <c r="E1324" s="1041" t="str">
        <f>IFERROR(VLOOKUP(A1324,DB,6,FALSE),"")</f>
        <v/>
      </c>
      <c r="F1324" s="1040" t="str">
        <f>IFERROR(VLOOKUP(A1324,DB,7,FALSE),"")</f>
        <v/>
      </c>
      <c r="G1324" s="1041" t="str">
        <f>IFERROR(VLOOKUP(A1324,DB,3,FALSE),"")</f>
        <v/>
      </c>
      <c r="H1324" s="1042">
        <f t="shared" si="752"/>
        <v>0</v>
      </c>
      <c r="I1324" s="1042">
        <f t="shared" si="753"/>
        <v>0</v>
      </c>
      <c r="J1324" s="1042">
        <f t="shared" si="751"/>
        <v>0</v>
      </c>
    </row>
    <row r="1325" spans="1:16" x14ac:dyDescent="0.25">
      <c r="A1325" s="1039"/>
      <c r="B1325" s="1039" t="str">
        <f t="shared" si="774"/>
        <v/>
      </c>
      <c r="C1325" s="1039" t="str">
        <f>IFERROR(VLOOKUP(A1325,DB,4,FALSE),"")</f>
        <v/>
      </c>
      <c r="D1325" s="1040" t="str">
        <f>IFERROR(VLOOKUP(A1325,DB,5,FALSE),"")</f>
        <v/>
      </c>
      <c r="E1325" s="1041" t="str">
        <f>IFERROR(VLOOKUP(A1325,DB,6,FALSE),"")</f>
        <v/>
      </c>
      <c r="F1325" s="1040" t="str">
        <f>IFERROR(VLOOKUP(A1325,DB,7,FALSE),"")</f>
        <v/>
      </c>
      <c r="G1325" s="1041" t="str">
        <f>IFERROR(VLOOKUP(A1325,DB,3,FALSE),"")</f>
        <v/>
      </c>
      <c r="H1325" s="1042">
        <f t="shared" si="752"/>
        <v>0</v>
      </c>
      <c r="I1325" s="1042">
        <f t="shared" si="753"/>
        <v>0</v>
      </c>
      <c r="J1325" s="1042">
        <f t="shared" si="751"/>
        <v>0</v>
      </c>
    </row>
    <row r="1326" spans="1:16" x14ac:dyDescent="0.25">
      <c r="A1326" s="1076" t="str">
        <f>'Rekap SPP'!A1854</f>
        <v>S2-MPI 2019/2020</v>
      </c>
      <c r="B1326" s="1077"/>
      <c r="C1326" s="1077"/>
      <c r="D1326" s="1033" t="s">
        <v>3</v>
      </c>
      <c r="E1326" s="1032" t="s">
        <v>4</v>
      </c>
      <c r="F1326" s="1033" t="s">
        <v>3195</v>
      </c>
      <c r="G1326" s="1032" t="s">
        <v>1</v>
      </c>
      <c r="H1326" s="1033" t="s">
        <v>3362</v>
      </c>
      <c r="I1326" s="1033" t="s">
        <v>3363</v>
      </c>
      <c r="J1326" s="1062">
        <f>SUM(J1327:J1366)</f>
        <v>363000000</v>
      </c>
      <c r="L1326" s="1063">
        <f>SUM(L1327:L1366)</f>
        <v>35</v>
      </c>
      <c r="M1326" s="1063">
        <f>SUM(M1327:M1366)</f>
        <v>0</v>
      </c>
      <c r="N1326" s="1063">
        <f>SUM(N1327:N1366)</f>
        <v>1</v>
      </c>
      <c r="O1326" s="1063">
        <f>SUM(O1327:O1366)</f>
        <v>0</v>
      </c>
      <c r="P1326" s="1063">
        <f>SUM(P1327:P1366)</f>
        <v>4</v>
      </c>
    </row>
    <row r="1327" spans="1:16" x14ac:dyDescent="0.25">
      <c r="A1327" s="1039">
        <v>1709</v>
      </c>
      <c r="B1327" s="1039">
        <f t="shared" ref="B1327:B1366" si="775">IFERROR(VLOOKUP(A1327,DB,2,FALSE),"  ")</f>
        <v>1</v>
      </c>
      <c r="C1327" s="1039" t="str">
        <f t="shared" ref="C1327:C1366" si="776">IFERROR(VLOOKUP(A1327,DB,4,FALSE),"  ")</f>
        <v>ABDUL GANI</v>
      </c>
      <c r="D1327" s="1041" t="str">
        <f t="shared" ref="D1327:D1366" si="777">IFERROR(VLOOKUP(A1327,DB,5,FALSE),"  ")</f>
        <v>MPI-3A</v>
      </c>
      <c r="E1327" s="1041">
        <f t="shared" ref="E1327:E1366" si="778">IFERROR(VLOOKUP(A1327,DB,6,FALSE),"  ")</f>
        <v>2019</v>
      </c>
      <c r="F1327" s="1041" t="str">
        <f t="shared" ref="F1327:F1366" si="779">IFERROR(VLOOKUP(A1327,DB,7,FALSE),"  ")</f>
        <v>AKTIF</v>
      </c>
      <c r="G1327" s="1041">
        <f t="shared" ref="G1327:G1366" si="780">IFERROR(VLOOKUP(A1327,DB,3,FALSE),"  ")</f>
        <v>849119014</v>
      </c>
      <c r="H1327" s="1042">
        <f t="shared" ref="H1327:H1366" si="781">IF(F1327="AKTIF",6450000,IF(F1327="CUTI",3000000,0))</f>
        <v>6450000</v>
      </c>
      <c r="I1327" s="1042">
        <f t="shared" ref="I1327:I1366" si="782">IF(F1327="AKTIF",3750000,IF(F1327="CUTI",3000000,0))</f>
        <v>3750000</v>
      </c>
      <c r="J1327" s="1042">
        <f t="shared" ref="J1327:J1366" si="783">I1327+H1327</f>
        <v>10200000</v>
      </c>
      <c r="L1327" s="1060">
        <f>IF(F1327="AKTIF",1,0)</f>
        <v>1</v>
      </c>
      <c r="M1327" s="1060">
        <f t="shared" ref="M1327:M1366" si="784">IF(F1327="LULUS",1,0)</f>
        <v>0</v>
      </c>
      <c r="N1327" s="1060">
        <f t="shared" ref="N1327:N1366" si="785">IF(F1327="CUTI",1,0)</f>
        <v>0</v>
      </c>
      <c r="O1327" s="1060">
        <f t="shared" ref="O1327:O1366" si="786">IF(F1327="DROP OUT",1,0)</f>
        <v>0</v>
      </c>
      <c r="P1327" s="1060">
        <f t="shared" ref="P1327:P1366" si="787">IF(F1327="PASIF",1,0)</f>
        <v>0</v>
      </c>
    </row>
    <row r="1328" spans="1:16" x14ac:dyDescent="0.25">
      <c r="A1328" s="1039">
        <v>1710</v>
      </c>
      <c r="B1328" s="1039">
        <f t="shared" si="775"/>
        <v>2</v>
      </c>
      <c r="C1328" s="1039" t="str">
        <f t="shared" si="776"/>
        <v>ACHMAD ARIF MUBAROK</v>
      </c>
      <c r="D1328" s="1041" t="str">
        <f t="shared" si="777"/>
        <v>MPI-3A</v>
      </c>
      <c r="E1328" s="1041">
        <f t="shared" si="778"/>
        <v>2019</v>
      </c>
      <c r="F1328" s="1041" t="str">
        <f t="shared" si="779"/>
        <v>AKTIF</v>
      </c>
      <c r="G1328" s="1041">
        <f t="shared" si="780"/>
        <v>849119006</v>
      </c>
      <c r="H1328" s="1042">
        <f t="shared" si="781"/>
        <v>6450000</v>
      </c>
      <c r="I1328" s="1042">
        <f t="shared" si="782"/>
        <v>3750000</v>
      </c>
      <c r="J1328" s="1042">
        <f t="shared" si="783"/>
        <v>10200000</v>
      </c>
      <c r="L1328" s="1060">
        <f t="shared" ref="L1328:L1366" si="788">IF(F1328="AKTIF",1,0)</f>
        <v>1</v>
      </c>
      <c r="M1328" s="1060">
        <f t="shared" si="784"/>
        <v>0</v>
      </c>
      <c r="N1328" s="1060">
        <f t="shared" si="785"/>
        <v>0</v>
      </c>
      <c r="O1328" s="1060">
        <f t="shared" si="786"/>
        <v>0</v>
      </c>
      <c r="P1328" s="1060">
        <f t="shared" si="787"/>
        <v>0</v>
      </c>
    </row>
    <row r="1329" spans="1:16" x14ac:dyDescent="0.25">
      <c r="A1329" s="1039">
        <v>1711</v>
      </c>
      <c r="B1329" s="1039">
        <f t="shared" si="775"/>
        <v>3</v>
      </c>
      <c r="C1329" s="1039" t="str">
        <f t="shared" si="776"/>
        <v>ADI PURWANTO</v>
      </c>
      <c r="D1329" s="1041" t="str">
        <f t="shared" si="777"/>
        <v>MPI-3A</v>
      </c>
      <c r="E1329" s="1041">
        <f t="shared" si="778"/>
        <v>2019</v>
      </c>
      <c r="F1329" s="1041" t="str">
        <f t="shared" si="779"/>
        <v>AKTIF</v>
      </c>
      <c r="G1329" s="1041">
        <f t="shared" si="780"/>
        <v>849119032</v>
      </c>
      <c r="H1329" s="1042">
        <f t="shared" si="781"/>
        <v>6450000</v>
      </c>
      <c r="I1329" s="1042">
        <f t="shared" si="782"/>
        <v>3750000</v>
      </c>
      <c r="J1329" s="1042">
        <f t="shared" si="783"/>
        <v>10200000</v>
      </c>
      <c r="L1329" s="1060">
        <f t="shared" si="788"/>
        <v>1</v>
      </c>
      <c r="M1329" s="1060">
        <f t="shared" si="784"/>
        <v>0</v>
      </c>
      <c r="N1329" s="1060">
        <f t="shared" si="785"/>
        <v>0</v>
      </c>
      <c r="O1329" s="1060">
        <f t="shared" si="786"/>
        <v>0</v>
      </c>
      <c r="P1329" s="1060">
        <f t="shared" si="787"/>
        <v>0</v>
      </c>
    </row>
    <row r="1330" spans="1:16" x14ac:dyDescent="0.25">
      <c r="A1330" s="1039">
        <v>1712</v>
      </c>
      <c r="B1330" s="1039">
        <f t="shared" si="775"/>
        <v>4</v>
      </c>
      <c r="C1330" s="1039" t="str">
        <f t="shared" si="776"/>
        <v>AHMAD MUHTAWI HIKAM</v>
      </c>
      <c r="D1330" s="1041" t="str">
        <f t="shared" si="777"/>
        <v>MPI-3A</v>
      </c>
      <c r="E1330" s="1041">
        <f t="shared" si="778"/>
        <v>2019</v>
      </c>
      <c r="F1330" s="1041" t="str">
        <f t="shared" si="779"/>
        <v>AKTIF</v>
      </c>
      <c r="G1330" s="1041">
        <f t="shared" si="780"/>
        <v>849119009</v>
      </c>
      <c r="H1330" s="1042">
        <f t="shared" si="781"/>
        <v>6450000</v>
      </c>
      <c r="I1330" s="1042">
        <f t="shared" si="782"/>
        <v>3750000</v>
      </c>
      <c r="J1330" s="1042">
        <f t="shared" si="783"/>
        <v>10200000</v>
      </c>
      <c r="L1330" s="1060">
        <f t="shared" si="788"/>
        <v>1</v>
      </c>
      <c r="M1330" s="1060">
        <f t="shared" si="784"/>
        <v>0</v>
      </c>
      <c r="N1330" s="1060">
        <f t="shared" si="785"/>
        <v>0</v>
      </c>
      <c r="O1330" s="1060">
        <f t="shared" si="786"/>
        <v>0</v>
      </c>
      <c r="P1330" s="1060">
        <f t="shared" si="787"/>
        <v>0</v>
      </c>
    </row>
    <row r="1331" spans="1:16" x14ac:dyDescent="0.25">
      <c r="A1331" s="1039">
        <v>1713</v>
      </c>
      <c r="B1331" s="1039">
        <f t="shared" si="775"/>
        <v>5</v>
      </c>
      <c r="C1331" s="1039" t="str">
        <f t="shared" si="776"/>
        <v>AHMAD YAZID AL BUSTHAMY</v>
      </c>
      <c r="D1331" s="1041" t="str">
        <f t="shared" si="777"/>
        <v>MPI-3A</v>
      </c>
      <c r="E1331" s="1041">
        <f t="shared" si="778"/>
        <v>2019</v>
      </c>
      <c r="F1331" s="1041" t="str">
        <f t="shared" si="779"/>
        <v>AKTIF</v>
      </c>
      <c r="G1331" s="1041">
        <f t="shared" si="780"/>
        <v>849119027</v>
      </c>
      <c r="H1331" s="1042">
        <f t="shared" si="781"/>
        <v>6450000</v>
      </c>
      <c r="I1331" s="1042">
        <f t="shared" si="782"/>
        <v>3750000</v>
      </c>
      <c r="J1331" s="1042">
        <f t="shared" si="783"/>
        <v>10200000</v>
      </c>
      <c r="L1331" s="1060">
        <f t="shared" si="788"/>
        <v>1</v>
      </c>
      <c r="M1331" s="1060">
        <f t="shared" si="784"/>
        <v>0</v>
      </c>
      <c r="N1331" s="1060">
        <f t="shared" si="785"/>
        <v>0</v>
      </c>
      <c r="O1331" s="1060">
        <f t="shared" si="786"/>
        <v>0</v>
      </c>
      <c r="P1331" s="1060">
        <f t="shared" si="787"/>
        <v>0</v>
      </c>
    </row>
    <row r="1332" spans="1:16" x14ac:dyDescent="0.25">
      <c r="A1332" s="1039">
        <v>1714</v>
      </c>
      <c r="B1332" s="1039">
        <f t="shared" si="775"/>
        <v>6</v>
      </c>
      <c r="C1332" s="1039" t="str">
        <f t="shared" si="776"/>
        <v>AHMAD ZUHRI</v>
      </c>
      <c r="D1332" s="1041" t="str">
        <f t="shared" si="777"/>
        <v>MPI-3A</v>
      </c>
      <c r="E1332" s="1041">
        <f t="shared" si="778"/>
        <v>2019</v>
      </c>
      <c r="F1332" s="1041" t="str">
        <f t="shared" si="779"/>
        <v>AKTIF</v>
      </c>
      <c r="G1332" s="1041">
        <f t="shared" si="780"/>
        <v>849119028</v>
      </c>
      <c r="H1332" s="1042">
        <f t="shared" si="781"/>
        <v>6450000</v>
      </c>
      <c r="I1332" s="1042">
        <f t="shared" si="782"/>
        <v>3750000</v>
      </c>
      <c r="J1332" s="1042">
        <f t="shared" si="783"/>
        <v>10200000</v>
      </c>
      <c r="L1332" s="1060">
        <f t="shared" si="788"/>
        <v>1</v>
      </c>
      <c r="M1332" s="1060">
        <f t="shared" si="784"/>
        <v>0</v>
      </c>
      <c r="N1332" s="1060">
        <f t="shared" si="785"/>
        <v>0</v>
      </c>
      <c r="O1332" s="1060">
        <f t="shared" si="786"/>
        <v>0</v>
      </c>
      <c r="P1332" s="1060">
        <f t="shared" si="787"/>
        <v>0</v>
      </c>
    </row>
    <row r="1333" spans="1:16" x14ac:dyDescent="0.25">
      <c r="A1333" s="1039">
        <v>1715</v>
      </c>
      <c r="B1333" s="1039">
        <f t="shared" si="775"/>
        <v>7</v>
      </c>
      <c r="C1333" s="1039" t="str">
        <f t="shared" si="776"/>
        <v>ARIFATUS SHOLIHAH</v>
      </c>
      <c r="D1333" s="1041" t="str">
        <f t="shared" si="777"/>
        <v>MPI-3A</v>
      </c>
      <c r="E1333" s="1041">
        <f t="shared" si="778"/>
        <v>2019</v>
      </c>
      <c r="F1333" s="1041" t="str">
        <f t="shared" si="779"/>
        <v>AKTIF</v>
      </c>
      <c r="G1333" s="1041">
        <f t="shared" si="780"/>
        <v>849119025</v>
      </c>
      <c r="H1333" s="1042">
        <f t="shared" si="781"/>
        <v>6450000</v>
      </c>
      <c r="I1333" s="1042">
        <f t="shared" si="782"/>
        <v>3750000</v>
      </c>
      <c r="J1333" s="1042">
        <f t="shared" si="783"/>
        <v>10200000</v>
      </c>
      <c r="L1333" s="1060">
        <f t="shared" si="788"/>
        <v>1</v>
      </c>
      <c r="M1333" s="1060">
        <f t="shared" si="784"/>
        <v>0</v>
      </c>
      <c r="N1333" s="1060">
        <f t="shared" si="785"/>
        <v>0</v>
      </c>
      <c r="O1333" s="1060">
        <f t="shared" si="786"/>
        <v>0</v>
      </c>
      <c r="P1333" s="1060">
        <f t="shared" si="787"/>
        <v>0</v>
      </c>
    </row>
    <row r="1334" spans="1:16" x14ac:dyDescent="0.25">
      <c r="A1334" s="1039">
        <v>1716</v>
      </c>
      <c r="B1334" s="1039">
        <f t="shared" si="775"/>
        <v>8</v>
      </c>
      <c r="C1334" s="1039" t="str">
        <f t="shared" si="776"/>
        <v>ARVETA UFLIHATUL AFIFAH</v>
      </c>
      <c r="D1334" s="1041" t="str">
        <f t="shared" si="777"/>
        <v>MPI-3A</v>
      </c>
      <c r="E1334" s="1041">
        <f t="shared" si="778"/>
        <v>2019</v>
      </c>
      <c r="F1334" s="1041" t="str">
        <f t="shared" si="779"/>
        <v>AKTIF</v>
      </c>
      <c r="G1334" s="1041">
        <f t="shared" si="780"/>
        <v>849119005</v>
      </c>
      <c r="H1334" s="1042">
        <f t="shared" si="781"/>
        <v>6450000</v>
      </c>
      <c r="I1334" s="1042">
        <f t="shared" si="782"/>
        <v>3750000</v>
      </c>
      <c r="J1334" s="1042">
        <f t="shared" si="783"/>
        <v>10200000</v>
      </c>
      <c r="L1334" s="1060">
        <f t="shared" si="788"/>
        <v>1</v>
      </c>
      <c r="M1334" s="1060">
        <f t="shared" si="784"/>
        <v>0</v>
      </c>
      <c r="N1334" s="1060">
        <f t="shared" si="785"/>
        <v>0</v>
      </c>
      <c r="O1334" s="1060">
        <f t="shared" si="786"/>
        <v>0</v>
      </c>
      <c r="P1334" s="1060">
        <f t="shared" si="787"/>
        <v>0</v>
      </c>
    </row>
    <row r="1335" spans="1:16" x14ac:dyDescent="0.25">
      <c r="A1335" s="1039">
        <v>1717</v>
      </c>
      <c r="B1335" s="1039">
        <f t="shared" si="775"/>
        <v>9</v>
      </c>
      <c r="C1335" s="1039" t="str">
        <f t="shared" si="776"/>
        <v>FATHOR ROSI</v>
      </c>
      <c r="D1335" s="1041" t="str">
        <f t="shared" si="777"/>
        <v>MPI-3A</v>
      </c>
      <c r="E1335" s="1041">
        <f t="shared" si="778"/>
        <v>2019</v>
      </c>
      <c r="F1335" s="1041" t="str">
        <f t="shared" si="779"/>
        <v>AKTIF</v>
      </c>
      <c r="G1335" s="1041">
        <f t="shared" si="780"/>
        <v>849119004</v>
      </c>
      <c r="H1335" s="1042">
        <f t="shared" si="781"/>
        <v>6450000</v>
      </c>
      <c r="I1335" s="1042">
        <f t="shared" si="782"/>
        <v>3750000</v>
      </c>
      <c r="J1335" s="1042">
        <f t="shared" si="783"/>
        <v>10200000</v>
      </c>
      <c r="L1335" s="1060">
        <f t="shared" si="788"/>
        <v>1</v>
      </c>
      <c r="M1335" s="1060">
        <f t="shared" si="784"/>
        <v>0</v>
      </c>
      <c r="N1335" s="1060">
        <f t="shared" si="785"/>
        <v>0</v>
      </c>
      <c r="O1335" s="1060">
        <f t="shared" si="786"/>
        <v>0</v>
      </c>
      <c r="P1335" s="1060">
        <f t="shared" si="787"/>
        <v>0</v>
      </c>
    </row>
    <row r="1336" spans="1:16" x14ac:dyDescent="0.25">
      <c r="A1336" s="1039">
        <v>1718</v>
      </c>
      <c r="B1336" s="1039">
        <f t="shared" si="775"/>
        <v>10</v>
      </c>
      <c r="C1336" s="1039" t="str">
        <f t="shared" si="776"/>
        <v>FAUZAN AL FAURI</v>
      </c>
      <c r="D1336" s="1041" t="str">
        <f t="shared" si="777"/>
        <v>MPI-3A</v>
      </c>
      <c r="E1336" s="1041">
        <f t="shared" si="778"/>
        <v>2019</v>
      </c>
      <c r="F1336" s="1041" t="str">
        <f t="shared" si="779"/>
        <v>AKTIF</v>
      </c>
      <c r="G1336" s="1041">
        <f t="shared" si="780"/>
        <v>849119012</v>
      </c>
      <c r="H1336" s="1042">
        <f t="shared" si="781"/>
        <v>6450000</v>
      </c>
      <c r="I1336" s="1042">
        <f t="shared" si="782"/>
        <v>3750000</v>
      </c>
      <c r="J1336" s="1042">
        <f t="shared" si="783"/>
        <v>10200000</v>
      </c>
      <c r="L1336" s="1060">
        <f t="shared" si="788"/>
        <v>1</v>
      </c>
      <c r="M1336" s="1060">
        <f t="shared" si="784"/>
        <v>0</v>
      </c>
      <c r="N1336" s="1060">
        <f t="shared" si="785"/>
        <v>0</v>
      </c>
      <c r="O1336" s="1060">
        <f t="shared" si="786"/>
        <v>0</v>
      </c>
      <c r="P1336" s="1060">
        <f t="shared" si="787"/>
        <v>0</v>
      </c>
    </row>
    <row r="1337" spans="1:16" x14ac:dyDescent="0.25">
      <c r="A1337" s="1039">
        <v>1719</v>
      </c>
      <c r="B1337" s="1039">
        <f t="shared" si="775"/>
        <v>11</v>
      </c>
      <c r="C1337" s="1039" t="str">
        <f t="shared" si="776"/>
        <v>KHOIRUN NISAK</v>
      </c>
      <c r="D1337" s="1041" t="str">
        <f t="shared" si="777"/>
        <v>MPI-3A</v>
      </c>
      <c r="E1337" s="1041">
        <f t="shared" si="778"/>
        <v>2019</v>
      </c>
      <c r="F1337" s="1041" t="str">
        <f t="shared" si="779"/>
        <v>AKTIF</v>
      </c>
      <c r="G1337" s="1041">
        <f t="shared" si="780"/>
        <v>849119008</v>
      </c>
      <c r="H1337" s="1042">
        <f t="shared" si="781"/>
        <v>6450000</v>
      </c>
      <c r="I1337" s="1042">
        <f t="shared" si="782"/>
        <v>3750000</v>
      </c>
      <c r="J1337" s="1042">
        <f t="shared" si="783"/>
        <v>10200000</v>
      </c>
      <c r="L1337" s="1060">
        <f t="shared" si="788"/>
        <v>1</v>
      </c>
      <c r="M1337" s="1060">
        <f t="shared" si="784"/>
        <v>0</v>
      </c>
      <c r="N1337" s="1060">
        <f t="shared" si="785"/>
        <v>0</v>
      </c>
      <c r="O1337" s="1060">
        <f t="shared" si="786"/>
        <v>0</v>
      </c>
      <c r="P1337" s="1060">
        <f t="shared" si="787"/>
        <v>0</v>
      </c>
    </row>
    <row r="1338" spans="1:16" x14ac:dyDescent="0.25">
      <c r="A1338" s="1039">
        <v>1720</v>
      </c>
      <c r="B1338" s="1039">
        <f t="shared" si="775"/>
        <v>12</v>
      </c>
      <c r="C1338" s="1039" t="str">
        <f t="shared" si="776"/>
        <v>KURROTA A'YUN</v>
      </c>
      <c r="D1338" s="1041" t="str">
        <f t="shared" si="777"/>
        <v>MPI-3A</v>
      </c>
      <c r="E1338" s="1041">
        <f t="shared" si="778"/>
        <v>2019</v>
      </c>
      <c r="F1338" s="1041" t="str">
        <f t="shared" si="779"/>
        <v>PASIF</v>
      </c>
      <c r="G1338" s="1041">
        <f t="shared" si="780"/>
        <v>849119035</v>
      </c>
      <c r="H1338" s="1042">
        <f t="shared" si="781"/>
        <v>0</v>
      </c>
      <c r="I1338" s="1042">
        <f t="shared" si="782"/>
        <v>0</v>
      </c>
      <c r="J1338" s="1042">
        <f t="shared" si="783"/>
        <v>0</v>
      </c>
      <c r="L1338" s="1060">
        <f t="shared" si="788"/>
        <v>0</v>
      </c>
      <c r="M1338" s="1060">
        <f t="shared" si="784"/>
        <v>0</v>
      </c>
      <c r="N1338" s="1060">
        <f t="shared" si="785"/>
        <v>0</v>
      </c>
      <c r="O1338" s="1060">
        <f t="shared" si="786"/>
        <v>0</v>
      </c>
      <c r="P1338" s="1060">
        <f t="shared" si="787"/>
        <v>1</v>
      </c>
    </row>
    <row r="1339" spans="1:16" x14ac:dyDescent="0.25">
      <c r="A1339" s="1039">
        <v>1721</v>
      </c>
      <c r="B1339" s="1039">
        <f t="shared" si="775"/>
        <v>13</v>
      </c>
      <c r="C1339" s="1039" t="str">
        <f t="shared" si="776"/>
        <v>LAILATUR ROHMAH</v>
      </c>
      <c r="D1339" s="1041" t="str">
        <f t="shared" si="777"/>
        <v>MPI-3A</v>
      </c>
      <c r="E1339" s="1041">
        <f t="shared" si="778"/>
        <v>2019</v>
      </c>
      <c r="F1339" s="1041" t="str">
        <f t="shared" si="779"/>
        <v>AKTIF</v>
      </c>
      <c r="G1339" s="1041">
        <f t="shared" si="780"/>
        <v>849119034</v>
      </c>
      <c r="H1339" s="1042">
        <f t="shared" si="781"/>
        <v>6450000</v>
      </c>
      <c r="I1339" s="1042">
        <f t="shared" si="782"/>
        <v>3750000</v>
      </c>
      <c r="J1339" s="1042">
        <f t="shared" si="783"/>
        <v>10200000</v>
      </c>
      <c r="L1339" s="1060">
        <f t="shared" si="788"/>
        <v>1</v>
      </c>
      <c r="M1339" s="1060">
        <f t="shared" si="784"/>
        <v>0</v>
      </c>
      <c r="N1339" s="1060">
        <f t="shared" si="785"/>
        <v>0</v>
      </c>
      <c r="O1339" s="1060">
        <f t="shared" si="786"/>
        <v>0</v>
      </c>
      <c r="P1339" s="1060">
        <f t="shared" si="787"/>
        <v>0</v>
      </c>
    </row>
    <row r="1340" spans="1:16" x14ac:dyDescent="0.25">
      <c r="A1340" s="1039">
        <v>1722</v>
      </c>
      <c r="B1340" s="1039">
        <f t="shared" si="775"/>
        <v>14</v>
      </c>
      <c r="C1340" s="1039" t="str">
        <f t="shared" si="776"/>
        <v>M ZAINUL FUAD</v>
      </c>
      <c r="D1340" s="1041" t="str">
        <f t="shared" si="777"/>
        <v>MPI-3A</v>
      </c>
      <c r="E1340" s="1041">
        <f t="shared" si="778"/>
        <v>2019</v>
      </c>
      <c r="F1340" s="1041" t="str">
        <f t="shared" si="779"/>
        <v>CUTI</v>
      </c>
      <c r="G1340" s="1041">
        <f t="shared" si="780"/>
        <v>849119020</v>
      </c>
      <c r="H1340" s="1042">
        <f t="shared" si="781"/>
        <v>3000000</v>
      </c>
      <c r="I1340" s="1042">
        <f t="shared" si="782"/>
        <v>3000000</v>
      </c>
      <c r="J1340" s="1042">
        <f t="shared" si="783"/>
        <v>6000000</v>
      </c>
      <c r="L1340" s="1060">
        <f t="shared" si="788"/>
        <v>0</v>
      </c>
      <c r="M1340" s="1060">
        <f t="shared" si="784"/>
        <v>0</v>
      </c>
      <c r="N1340" s="1060">
        <f t="shared" si="785"/>
        <v>1</v>
      </c>
      <c r="O1340" s="1060">
        <f t="shared" si="786"/>
        <v>0</v>
      </c>
      <c r="P1340" s="1060">
        <f t="shared" si="787"/>
        <v>0</v>
      </c>
    </row>
    <row r="1341" spans="1:16" x14ac:dyDescent="0.25">
      <c r="A1341" s="1039">
        <v>1723</v>
      </c>
      <c r="B1341" s="1039">
        <f t="shared" si="775"/>
        <v>15</v>
      </c>
      <c r="C1341" s="1039" t="str">
        <f t="shared" si="776"/>
        <v>MUHYIDIN</v>
      </c>
      <c r="D1341" s="1041" t="str">
        <f t="shared" si="777"/>
        <v>MPI-3A</v>
      </c>
      <c r="E1341" s="1041">
        <f t="shared" si="778"/>
        <v>2019</v>
      </c>
      <c r="F1341" s="1041" t="str">
        <f t="shared" si="779"/>
        <v>AKTIF</v>
      </c>
      <c r="G1341" s="1041">
        <f t="shared" si="780"/>
        <v>849119017</v>
      </c>
      <c r="H1341" s="1042">
        <f t="shared" si="781"/>
        <v>6450000</v>
      </c>
      <c r="I1341" s="1042">
        <f t="shared" si="782"/>
        <v>3750000</v>
      </c>
      <c r="J1341" s="1042">
        <f t="shared" si="783"/>
        <v>10200000</v>
      </c>
      <c r="L1341" s="1060">
        <f t="shared" si="788"/>
        <v>1</v>
      </c>
      <c r="M1341" s="1060">
        <f t="shared" si="784"/>
        <v>0</v>
      </c>
      <c r="N1341" s="1060">
        <f t="shared" si="785"/>
        <v>0</v>
      </c>
      <c r="O1341" s="1060">
        <f t="shared" si="786"/>
        <v>0</v>
      </c>
      <c r="P1341" s="1060">
        <f t="shared" si="787"/>
        <v>0</v>
      </c>
    </row>
    <row r="1342" spans="1:16" x14ac:dyDescent="0.25">
      <c r="A1342" s="1039">
        <v>1724</v>
      </c>
      <c r="B1342" s="1039">
        <f t="shared" si="775"/>
        <v>16</v>
      </c>
      <c r="C1342" s="1039" t="str">
        <f t="shared" si="776"/>
        <v>MUSTABSYIROH</v>
      </c>
      <c r="D1342" s="1041" t="str">
        <f t="shared" si="777"/>
        <v>MPI-3A</v>
      </c>
      <c r="E1342" s="1041">
        <f t="shared" si="778"/>
        <v>2019</v>
      </c>
      <c r="F1342" s="1041" t="str">
        <f t="shared" si="779"/>
        <v>AKTIF</v>
      </c>
      <c r="G1342" s="1041">
        <f t="shared" si="780"/>
        <v>849119033</v>
      </c>
      <c r="H1342" s="1042">
        <f t="shared" si="781"/>
        <v>6450000</v>
      </c>
      <c r="I1342" s="1042">
        <f t="shared" si="782"/>
        <v>3750000</v>
      </c>
      <c r="J1342" s="1042">
        <f t="shared" si="783"/>
        <v>10200000</v>
      </c>
      <c r="L1342" s="1060">
        <f t="shared" si="788"/>
        <v>1</v>
      </c>
      <c r="M1342" s="1060">
        <f t="shared" si="784"/>
        <v>0</v>
      </c>
      <c r="N1342" s="1060">
        <f t="shared" si="785"/>
        <v>0</v>
      </c>
      <c r="O1342" s="1060">
        <f t="shared" si="786"/>
        <v>0</v>
      </c>
      <c r="P1342" s="1060">
        <f t="shared" si="787"/>
        <v>0</v>
      </c>
    </row>
    <row r="1343" spans="1:16" x14ac:dyDescent="0.25">
      <c r="A1343" s="1039">
        <v>1725</v>
      </c>
      <c r="B1343" s="1039">
        <f t="shared" si="775"/>
        <v>17</v>
      </c>
      <c r="C1343" s="1039" t="str">
        <f t="shared" si="776"/>
        <v>NAHDLIYATUS SHOLIHAH</v>
      </c>
      <c r="D1343" s="1041" t="str">
        <f t="shared" si="777"/>
        <v>MPI-3A</v>
      </c>
      <c r="E1343" s="1041">
        <f t="shared" si="778"/>
        <v>2019</v>
      </c>
      <c r="F1343" s="1041" t="str">
        <f t="shared" si="779"/>
        <v>AKTIF</v>
      </c>
      <c r="G1343" s="1041">
        <f t="shared" si="780"/>
        <v>849119011</v>
      </c>
      <c r="H1343" s="1042">
        <f t="shared" si="781"/>
        <v>6450000</v>
      </c>
      <c r="I1343" s="1042">
        <f t="shared" si="782"/>
        <v>3750000</v>
      </c>
      <c r="J1343" s="1042">
        <f t="shared" si="783"/>
        <v>10200000</v>
      </c>
      <c r="L1343" s="1060">
        <f t="shared" si="788"/>
        <v>1</v>
      </c>
      <c r="M1343" s="1060">
        <f t="shared" si="784"/>
        <v>0</v>
      </c>
      <c r="N1343" s="1060">
        <f t="shared" si="785"/>
        <v>0</v>
      </c>
      <c r="O1343" s="1060">
        <f t="shared" si="786"/>
        <v>0</v>
      </c>
      <c r="P1343" s="1060">
        <f t="shared" si="787"/>
        <v>0</v>
      </c>
    </row>
    <row r="1344" spans="1:16" x14ac:dyDescent="0.25">
      <c r="A1344" s="1039">
        <v>1726</v>
      </c>
      <c r="B1344" s="1039">
        <f t="shared" si="775"/>
        <v>18</v>
      </c>
      <c r="C1344" s="1039" t="str">
        <f t="shared" si="776"/>
        <v>SAIFUL AYAT</v>
      </c>
      <c r="D1344" s="1041" t="str">
        <f t="shared" si="777"/>
        <v>MPI-3A</v>
      </c>
      <c r="E1344" s="1041">
        <f t="shared" si="778"/>
        <v>2019</v>
      </c>
      <c r="F1344" s="1041" t="str">
        <f t="shared" si="779"/>
        <v>AKTIF</v>
      </c>
      <c r="G1344" s="1041">
        <f t="shared" si="780"/>
        <v>849119015</v>
      </c>
      <c r="H1344" s="1042">
        <f t="shared" si="781"/>
        <v>6450000</v>
      </c>
      <c r="I1344" s="1042">
        <f t="shared" si="782"/>
        <v>3750000</v>
      </c>
      <c r="J1344" s="1042">
        <f t="shared" si="783"/>
        <v>10200000</v>
      </c>
      <c r="L1344" s="1060">
        <f t="shared" si="788"/>
        <v>1</v>
      </c>
      <c r="M1344" s="1060">
        <f t="shared" si="784"/>
        <v>0</v>
      </c>
      <c r="N1344" s="1060">
        <f t="shared" si="785"/>
        <v>0</v>
      </c>
      <c r="O1344" s="1060">
        <f t="shared" si="786"/>
        <v>0</v>
      </c>
      <c r="P1344" s="1060">
        <f t="shared" si="787"/>
        <v>0</v>
      </c>
    </row>
    <row r="1345" spans="1:16" x14ac:dyDescent="0.25">
      <c r="A1345" s="1039">
        <v>1727</v>
      </c>
      <c r="B1345" s="1039">
        <f t="shared" si="775"/>
        <v>19</v>
      </c>
      <c r="C1345" s="1039" t="str">
        <f t="shared" si="776"/>
        <v>SITI ROHMAH</v>
      </c>
      <c r="D1345" s="1041" t="str">
        <f t="shared" si="777"/>
        <v>MPI-3A</v>
      </c>
      <c r="E1345" s="1041">
        <f t="shared" si="778"/>
        <v>2019</v>
      </c>
      <c r="F1345" s="1041" t="str">
        <f t="shared" si="779"/>
        <v>AKTIF</v>
      </c>
      <c r="G1345" s="1041">
        <f t="shared" si="780"/>
        <v>849119029</v>
      </c>
      <c r="H1345" s="1042">
        <f t="shared" si="781"/>
        <v>6450000</v>
      </c>
      <c r="I1345" s="1042">
        <f t="shared" si="782"/>
        <v>3750000</v>
      </c>
      <c r="J1345" s="1042">
        <f t="shared" si="783"/>
        <v>10200000</v>
      </c>
      <c r="L1345" s="1060">
        <f t="shared" si="788"/>
        <v>1</v>
      </c>
      <c r="M1345" s="1060">
        <f t="shared" si="784"/>
        <v>0</v>
      </c>
      <c r="N1345" s="1060">
        <f t="shared" si="785"/>
        <v>0</v>
      </c>
      <c r="O1345" s="1060">
        <f t="shared" si="786"/>
        <v>0</v>
      </c>
      <c r="P1345" s="1060">
        <f t="shared" si="787"/>
        <v>0</v>
      </c>
    </row>
    <row r="1346" spans="1:16" x14ac:dyDescent="0.25">
      <c r="A1346" s="1039">
        <v>1728</v>
      </c>
      <c r="B1346" s="1039">
        <f t="shared" si="775"/>
        <v>20</v>
      </c>
      <c r="C1346" s="1039" t="str">
        <f t="shared" si="776"/>
        <v>SYAHRONI ROMADHON</v>
      </c>
      <c r="D1346" s="1041" t="str">
        <f t="shared" si="777"/>
        <v>MPI-3A</v>
      </c>
      <c r="E1346" s="1041">
        <f t="shared" si="778"/>
        <v>2019</v>
      </c>
      <c r="F1346" s="1041" t="str">
        <f t="shared" si="779"/>
        <v>AKTIF</v>
      </c>
      <c r="G1346" s="1041">
        <f t="shared" si="780"/>
        <v>849119039</v>
      </c>
      <c r="H1346" s="1042">
        <f t="shared" si="781"/>
        <v>6450000</v>
      </c>
      <c r="I1346" s="1042">
        <f t="shared" si="782"/>
        <v>3750000</v>
      </c>
      <c r="J1346" s="1042">
        <f t="shared" si="783"/>
        <v>10200000</v>
      </c>
      <c r="L1346" s="1060">
        <f t="shared" si="788"/>
        <v>1</v>
      </c>
      <c r="M1346" s="1060">
        <f t="shared" si="784"/>
        <v>0</v>
      </c>
      <c r="N1346" s="1060">
        <f t="shared" si="785"/>
        <v>0</v>
      </c>
      <c r="O1346" s="1060">
        <f t="shared" si="786"/>
        <v>0</v>
      </c>
      <c r="P1346" s="1060">
        <f t="shared" si="787"/>
        <v>0</v>
      </c>
    </row>
    <row r="1347" spans="1:16" x14ac:dyDescent="0.25">
      <c r="A1347" s="1039">
        <v>1729</v>
      </c>
      <c r="B1347" s="1039">
        <f t="shared" si="775"/>
        <v>21</v>
      </c>
      <c r="C1347" s="1039" t="str">
        <f t="shared" si="776"/>
        <v>YULI ARAHMAT</v>
      </c>
      <c r="D1347" s="1041" t="str">
        <f t="shared" si="777"/>
        <v>MPI-3A</v>
      </c>
      <c r="E1347" s="1041">
        <f t="shared" si="778"/>
        <v>2019</v>
      </c>
      <c r="F1347" s="1041" t="str">
        <f t="shared" si="779"/>
        <v>AKTIF</v>
      </c>
      <c r="G1347" s="1041">
        <f t="shared" si="780"/>
        <v>849119040</v>
      </c>
      <c r="H1347" s="1042">
        <f t="shared" si="781"/>
        <v>6450000</v>
      </c>
      <c r="I1347" s="1042">
        <f t="shared" si="782"/>
        <v>3750000</v>
      </c>
      <c r="J1347" s="1042">
        <f t="shared" si="783"/>
        <v>10200000</v>
      </c>
      <c r="L1347" s="1060">
        <f t="shared" si="788"/>
        <v>1</v>
      </c>
      <c r="M1347" s="1060">
        <f t="shared" si="784"/>
        <v>0</v>
      </c>
      <c r="N1347" s="1060">
        <f t="shared" si="785"/>
        <v>0</v>
      </c>
      <c r="O1347" s="1060">
        <f t="shared" si="786"/>
        <v>0</v>
      </c>
      <c r="P1347" s="1060">
        <f t="shared" si="787"/>
        <v>0</v>
      </c>
    </row>
    <row r="1348" spans="1:16" x14ac:dyDescent="0.25">
      <c r="A1348" s="1039">
        <v>1730</v>
      </c>
      <c r="B1348" s="1039">
        <f t="shared" si="775"/>
        <v>22</v>
      </c>
      <c r="C1348" s="1039" t="str">
        <f t="shared" si="776"/>
        <v>ANDI AHMAD BADRUSSALAM</v>
      </c>
      <c r="D1348" s="1041" t="str">
        <f t="shared" si="777"/>
        <v>MPI-3B</v>
      </c>
      <c r="E1348" s="1041">
        <f t="shared" si="778"/>
        <v>2019</v>
      </c>
      <c r="F1348" s="1041" t="str">
        <f t="shared" si="779"/>
        <v>AKTIF</v>
      </c>
      <c r="G1348" s="1041">
        <f t="shared" si="780"/>
        <v>849119030</v>
      </c>
      <c r="H1348" s="1042">
        <f t="shared" si="781"/>
        <v>6450000</v>
      </c>
      <c r="I1348" s="1042">
        <f t="shared" si="782"/>
        <v>3750000</v>
      </c>
      <c r="J1348" s="1042">
        <f t="shared" si="783"/>
        <v>10200000</v>
      </c>
      <c r="L1348" s="1060">
        <f t="shared" si="788"/>
        <v>1</v>
      </c>
      <c r="M1348" s="1060">
        <f t="shared" si="784"/>
        <v>0</v>
      </c>
      <c r="N1348" s="1060">
        <f t="shared" si="785"/>
        <v>0</v>
      </c>
      <c r="O1348" s="1060">
        <f t="shared" si="786"/>
        <v>0</v>
      </c>
      <c r="P1348" s="1060">
        <f t="shared" si="787"/>
        <v>0</v>
      </c>
    </row>
    <row r="1349" spans="1:16" x14ac:dyDescent="0.25">
      <c r="A1349" s="1039">
        <v>1731</v>
      </c>
      <c r="B1349" s="1039">
        <f t="shared" si="775"/>
        <v>23</v>
      </c>
      <c r="C1349" s="1039" t="str">
        <f t="shared" si="776"/>
        <v>ARISKA AGUSTINI</v>
      </c>
      <c r="D1349" s="1041" t="str">
        <f t="shared" si="777"/>
        <v>MPI-3B</v>
      </c>
      <c r="E1349" s="1041">
        <f t="shared" si="778"/>
        <v>2019</v>
      </c>
      <c r="F1349" s="1041" t="str">
        <f t="shared" si="779"/>
        <v>AKTIF</v>
      </c>
      <c r="G1349" s="1041">
        <f t="shared" si="780"/>
        <v>849119026</v>
      </c>
      <c r="H1349" s="1042">
        <f t="shared" si="781"/>
        <v>6450000</v>
      </c>
      <c r="I1349" s="1042">
        <f t="shared" si="782"/>
        <v>3750000</v>
      </c>
      <c r="J1349" s="1042">
        <f t="shared" si="783"/>
        <v>10200000</v>
      </c>
      <c r="L1349" s="1060">
        <f t="shared" si="788"/>
        <v>1</v>
      </c>
      <c r="M1349" s="1060">
        <f t="shared" si="784"/>
        <v>0</v>
      </c>
      <c r="N1349" s="1060">
        <f t="shared" si="785"/>
        <v>0</v>
      </c>
      <c r="O1349" s="1060">
        <f t="shared" si="786"/>
        <v>0</v>
      </c>
      <c r="P1349" s="1060">
        <f t="shared" si="787"/>
        <v>0</v>
      </c>
    </row>
    <row r="1350" spans="1:16" x14ac:dyDescent="0.25">
      <c r="A1350" s="1039">
        <v>1732</v>
      </c>
      <c r="B1350" s="1039">
        <f t="shared" si="775"/>
        <v>24</v>
      </c>
      <c r="C1350" s="1039" t="str">
        <f t="shared" si="776"/>
        <v>AYOEB TAUFANI ZAMAN</v>
      </c>
      <c r="D1350" s="1041" t="str">
        <f t="shared" si="777"/>
        <v>MPI-3B</v>
      </c>
      <c r="E1350" s="1041">
        <f t="shared" si="778"/>
        <v>2019</v>
      </c>
      <c r="F1350" s="1041" t="str">
        <f t="shared" si="779"/>
        <v>AKTIF</v>
      </c>
      <c r="G1350" s="1041">
        <f t="shared" si="780"/>
        <v>849119021</v>
      </c>
      <c r="H1350" s="1042">
        <f t="shared" si="781"/>
        <v>6450000</v>
      </c>
      <c r="I1350" s="1042">
        <f t="shared" si="782"/>
        <v>3750000</v>
      </c>
      <c r="J1350" s="1042">
        <f t="shared" si="783"/>
        <v>10200000</v>
      </c>
      <c r="L1350" s="1060">
        <f t="shared" si="788"/>
        <v>1</v>
      </c>
      <c r="M1350" s="1060">
        <f t="shared" si="784"/>
        <v>0</v>
      </c>
      <c r="N1350" s="1060">
        <f t="shared" si="785"/>
        <v>0</v>
      </c>
      <c r="O1350" s="1060">
        <f t="shared" si="786"/>
        <v>0</v>
      </c>
      <c r="P1350" s="1060">
        <f t="shared" si="787"/>
        <v>0</v>
      </c>
    </row>
    <row r="1351" spans="1:16" x14ac:dyDescent="0.25">
      <c r="A1351" s="1039">
        <v>1733</v>
      </c>
      <c r="B1351" s="1039">
        <f t="shared" si="775"/>
        <v>25</v>
      </c>
      <c r="C1351" s="1039" t="str">
        <f t="shared" si="776"/>
        <v>DANI AINURROFIQ NS.</v>
      </c>
      <c r="D1351" s="1041" t="str">
        <f t="shared" si="777"/>
        <v>MPI-3B</v>
      </c>
      <c r="E1351" s="1041">
        <f t="shared" si="778"/>
        <v>2019</v>
      </c>
      <c r="F1351" s="1041" t="str">
        <f t="shared" si="779"/>
        <v>PASIF</v>
      </c>
      <c r="G1351" s="1041">
        <f t="shared" si="780"/>
        <v>849119037</v>
      </c>
      <c r="H1351" s="1042">
        <f t="shared" si="781"/>
        <v>0</v>
      </c>
      <c r="I1351" s="1042">
        <f t="shared" si="782"/>
        <v>0</v>
      </c>
      <c r="J1351" s="1042">
        <f t="shared" si="783"/>
        <v>0</v>
      </c>
      <c r="L1351" s="1060">
        <f t="shared" si="788"/>
        <v>0</v>
      </c>
      <c r="M1351" s="1060">
        <f t="shared" si="784"/>
        <v>0</v>
      </c>
      <c r="N1351" s="1060">
        <f t="shared" si="785"/>
        <v>0</v>
      </c>
      <c r="O1351" s="1060">
        <f t="shared" si="786"/>
        <v>0</v>
      </c>
      <c r="P1351" s="1060">
        <f t="shared" si="787"/>
        <v>1</v>
      </c>
    </row>
    <row r="1352" spans="1:16" x14ac:dyDescent="0.25">
      <c r="A1352" s="1039">
        <v>1734</v>
      </c>
      <c r="B1352" s="1039">
        <f t="shared" si="775"/>
        <v>26</v>
      </c>
      <c r="C1352" s="1039" t="str">
        <f t="shared" si="776"/>
        <v>HUMAIROUL MUHLISHOH</v>
      </c>
      <c r="D1352" s="1041" t="str">
        <f t="shared" si="777"/>
        <v>MPI-3B</v>
      </c>
      <c r="E1352" s="1041">
        <f t="shared" si="778"/>
        <v>2019</v>
      </c>
      <c r="F1352" s="1041" t="str">
        <f t="shared" si="779"/>
        <v>AKTIF</v>
      </c>
      <c r="G1352" s="1041">
        <f t="shared" si="780"/>
        <v>849119013</v>
      </c>
      <c r="H1352" s="1042">
        <f t="shared" si="781"/>
        <v>6450000</v>
      </c>
      <c r="I1352" s="1042">
        <f t="shared" si="782"/>
        <v>3750000</v>
      </c>
      <c r="J1352" s="1042">
        <f t="shared" si="783"/>
        <v>10200000</v>
      </c>
      <c r="L1352" s="1060">
        <f t="shared" si="788"/>
        <v>1</v>
      </c>
      <c r="M1352" s="1060">
        <f t="shared" si="784"/>
        <v>0</v>
      </c>
      <c r="N1352" s="1060">
        <f t="shared" si="785"/>
        <v>0</v>
      </c>
      <c r="O1352" s="1060">
        <f t="shared" si="786"/>
        <v>0</v>
      </c>
      <c r="P1352" s="1060">
        <f t="shared" si="787"/>
        <v>0</v>
      </c>
    </row>
    <row r="1353" spans="1:16" x14ac:dyDescent="0.25">
      <c r="A1353" s="1039">
        <v>1735</v>
      </c>
      <c r="B1353" s="1039">
        <f t="shared" si="775"/>
        <v>27</v>
      </c>
      <c r="C1353" s="1039" t="str">
        <f t="shared" si="776"/>
        <v>M. IRFAN MALIK</v>
      </c>
      <c r="D1353" s="1041" t="str">
        <f t="shared" si="777"/>
        <v>MPI-3B</v>
      </c>
      <c r="E1353" s="1041">
        <f t="shared" si="778"/>
        <v>2019</v>
      </c>
      <c r="F1353" s="1041" t="str">
        <f t="shared" si="779"/>
        <v>AKTIF</v>
      </c>
      <c r="G1353" s="1041">
        <f t="shared" si="780"/>
        <v>849119024</v>
      </c>
      <c r="H1353" s="1042">
        <f t="shared" si="781"/>
        <v>6450000</v>
      </c>
      <c r="I1353" s="1042">
        <f t="shared" si="782"/>
        <v>3750000</v>
      </c>
      <c r="J1353" s="1042">
        <f t="shared" si="783"/>
        <v>10200000</v>
      </c>
      <c r="L1353" s="1060">
        <f t="shared" si="788"/>
        <v>1</v>
      </c>
      <c r="M1353" s="1060">
        <f t="shared" si="784"/>
        <v>0</v>
      </c>
      <c r="N1353" s="1060">
        <f t="shared" si="785"/>
        <v>0</v>
      </c>
      <c r="O1353" s="1060">
        <f t="shared" si="786"/>
        <v>0</v>
      </c>
      <c r="P1353" s="1060">
        <f t="shared" si="787"/>
        <v>0</v>
      </c>
    </row>
    <row r="1354" spans="1:16" x14ac:dyDescent="0.25">
      <c r="A1354" s="1039">
        <v>1736</v>
      </c>
      <c r="B1354" s="1039">
        <f t="shared" si="775"/>
        <v>28</v>
      </c>
      <c r="C1354" s="1039" t="str">
        <f t="shared" si="776"/>
        <v>M. MAWARID FIRDAUS</v>
      </c>
      <c r="D1354" s="1041" t="str">
        <f t="shared" si="777"/>
        <v>MPI-3B</v>
      </c>
      <c r="E1354" s="1041">
        <f t="shared" si="778"/>
        <v>2019</v>
      </c>
      <c r="F1354" s="1041" t="str">
        <f t="shared" si="779"/>
        <v>AKTIF</v>
      </c>
      <c r="G1354" s="1041">
        <f t="shared" si="780"/>
        <v>849119038</v>
      </c>
      <c r="H1354" s="1042">
        <f t="shared" si="781"/>
        <v>6450000</v>
      </c>
      <c r="I1354" s="1042">
        <f t="shared" si="782"/>
        <v>3750000</v>
      </c>
      <c r="J1354" s="1042">
        <f t="shared" si="783"/>
        <v>10200000</v>
      </c>
      <c r="L1354" s="1060">
        <f t="shared" si="788"/>
        <v>1</v>
      </c>
      <c r="M1354" s="1060">
        <f t="shared" si="784"/>
        <v>0</v>
      </c>
      <c r="N1354" s="1060">
        <f t="shared" si="785"/>
        <v>0</v>
      </c>
      <c r="O1354" s="1060">
        <f t="shared" si="786"/>
        <v>0</v>
      </c>
      <c r="P1354" s="1060">
        <f t="shared" si="787"/>
        <v>0</v>
      </c>
    </row>
    <row r="1355" spans="1:16" x14ac:dyDescent="0.25">
      <c r="A1355" s="1039">
        <v>1737</v>
      </c>
      <c r="B1355" s="1039">
        <f t="shared" si="775"/>
        <v>29</v>
      </c>
      <c r="C1355" s="1039" t="str">
        <f t="shared" si="776"/>
        <v>M. RIZAL FANANI</v>
      </c>
      <c r="D1355" s="1041" t="str">
        <f t="shared" si="777"/>
        <v>MPI-3B</v>
      </c>
      <c r="E1355" s="1041">
        <f t="shared" si="778"/>
        <v>2019</v>
      </c>
      <c r="F1355" s="1041" t="str">
        <f t="shared" si="779"/>
        <v>PASIF</v>
      </c>
      <c r="G1355" s="1041">
        <f t="shared" si="780"/>
        <v>849119036</v>
      </c>
      <c r="H1355" s="1042">
        <f t="shared" si="781"/>
        <v>0</v>
      </c>
      <c r="I1355" s="1042">
        <f t="shared" si="782"/>
        <v>0</v>
      </c>
      <c r="J1355" s="1042">
        <f t="shared" si="783"/>
        <v>0</v>
      </c>
      <c r="L1355" s="1060">
        <f t="shared" si="788"/>
        <v>0</v>
      </c>
      <c r="M1355" s="1060">
        <f t="shared" si="784"/>
        <v>0</v>
      </c>
      <c r="N1355" s="1060">
        <f t="shared" si="785"/>
        <v>0</v>
      </c>
      <c r="O1355" s="1060">
        <f t="shared" si="786"/>
        <v>0</v>
      </c>
      <c r="P1355" s="1060">
        <f t="shared" si="787"/>
        <v>1</v>
      </c>
    </row>
    <row r="1356" spans="1:16" x14ac:dyDescent="0.25">
      <c r="A1356" s="1039">
        <v>1738</v>
      </c>
      <c r="B1356" s="1039">
        <f t="shared" si="775"/>
        <v>30</v>
      </c>
      <c r="C1356" s="1039" t="str">
        <f t="shared" si="776"/>
        <v>MAID ALY AINUL GHURRI</v>
      </c>
      <c r="D1356" s="1041" t="str">
        <f t="shared" si="777"/>
        <v>MPI-3B</v>
      </c>
      <c r="E1356" s="1041">
        <f t="shared" si="778"/>
        <v>2019</v>
      </c>
      <c r="F1356" s="1041" t="str">
        <f t="shared" si="779"/>
        <v>AKTIF</v>
      </c>
      <c r="G1356" s="1041">
        <f t="shared" si="780"/>
        <v>849119001</v>
      </c>
      <c r="H1356" s="1042">
        <f t="shared" si="781"/>
        <v>6450000</v>
      </c>
      <c r="I1356" s="1042">
        <f t="shared" si="782"/>
        <v>3750000</v>
      </c>
      <c r="J1356" s="1042">
        <f t="shared" si="783"/>
        <v>10200000</v>
      </c>
      <c r="L1356" s="1060">
        <f t="shared" si="788"/>
        <v>1</v>
      </c>
      <c r="M1356" s="1060">
        <f t="shared" si="784"/>
        <v>0</v>
      </c>
      <c r="N1356" s="1060">
        <f t="shared" si="785"/>
        <v>0</v>
      </c>
      <c r="O1356" s="1060">
        <f t="shared" si="786"/>
        <v>0</v>
      </c>
      <c r="P1356" s="1060">
        <f t="shared" si="787"/>
        <v>0</v>
      </c>
    </row>
    <row r="1357" spans="1:16" x14ac:dyDescent="0.25">
      <c r="A1357" s="1039">
        <v>1739</v>
      </c>
      <c r="B1357" s="1039">
        <f t="shared" si="775"/>
        <v>31</v>
      </c>
      <c r="C1357" s="1039" t="str">
        <f t="shared" si="776"/>
        <v>MOH. AWANG NURYADDIN</v>
      </c>
      <c r="D1357" s="1041" t="str">
        <f t="shared" si="777"/>
        <v>MPI-3B</v>
      </c>
      <c r="E1357" s="1041">
        <f t="shared" si="778"/>
        <v>2019</v>
      </c>
      <c r="F1357" s="1041" t="str">
        <f t="shared" si="779"/>
        <v>AKTIF</v>
      </c>
      <c r="G1357" s="1041">
        <f t="shared" si="780"/>
        <v>849119018</v>
      </c>
      <c r="H1357" s="1042">
        <f t="shared" si="781"/>
        <v>6450000</v>
      </c>
      <c r="I1357" s="1042">
        <f t="shared" si="782"/>
        <v>3750000</v>
      </c>
      <c r="J1357" s="1042">
        <f t="shared" si="783"/>
        <v>10200000</v>
      </c>
      <c r="L1357" s="1060">
        <f t="shared" si="788"/>
        <v>1</v>
      </c>
      <c r="M1357" s="1060">
        <f t="shared" si="784"/>
        <v>0</v>
      </c>
      <c r="N1357" s="1060">
        <f t="shared" si="785"/>
        <v>0</v>
      </c>
      <c r="O1357" s="1060">
        <f t="shared" si="786"/>
        <v>0</v>
      </c>
      <c r="P1357" s="1060">
        <f t="shared" si="787"/>
        <v>0</v>
      </c>
    </row>
    <row r="1358" spans="1:16" x14ac:dyDescent="0.25">
      <c r="A1358" s="1039">
        <v>1740</v>
      </c>
      <c r="B1358" s="1039">
        <f t="shared" si="775"/>
        <v>32</v>
      </c>
      <c r="C1358" s="1039" t="str">
        <f t="shared" si="776"/>
        <v>MOH. SYAIFUDDIN</v>
      </c>
      <c r="D1358" s="1041" t="str">
        <f t="shared" si="777"/>
        <v>MPI-3B</v>
      </c>
      <c r="E1358" s="1041">
        <f t="shared" si="778"/>
        <v>2019</v>
      </c>
      <c r="F1358" s="1041" t="str">
        <f t="shared" si="779"/>
        <v>AKTIF</v>
      </c>
      <c r="G1358" s="1041">
        <f t="shared" si="780"/>
        <v>849119007</v>
      </c>
      <c r="H1358" s="1042">
        <f t="shared" si="781"/>
        <v>6450000</v>
      </c>
      <c r="I1358" s="1042">
        <f t="shared" si="782"/>
        <v>3750000</v>
      </c>
      <c r="J1358" s="1042">
        <f t="shared" si="783"/>
        <v>10200000</v>
      </c>
      <c r="L1358" s="1060">
        <f t="shared" si="788"/>
        <v>1</v>
      </c>
      <c r="M1358" s="1060">
        <f t="shared" si="784"/>
        <v>0</v>
      </c>
      <c r="N1358" s="1060">
        <f t="shared" si="785"/>
        <v>0</v>
      </c>
      <c r="O1358" s="1060">
        <f t="shared" si="786"/>
        <v>0</v>
      </c>
      <c r="P1358" s="1060">
        <f t="shared" si="787"/>
        <v>0</v>
      </c>
    </row>
    <row r="1359" spans="1:16" x14ac:dyDescent="0.25">
      <c r="A1359" s="1039">
        <v>1741</v>
      </c>
      <c r="B1359" s="1039">
        <f t="shared" si="775"/>
        <v>33</v>
      </c>
      <c r="C1359" s="1039" t="str">
        <f t="shared" si="776"/>
        <v>MOHAMAD SYAMSURI</v>
      </c>
      <c r="D1359" s="1041" t="str">
        <f t="shared" si="777"/>
        <v>MPI-3B</v>
      </c>
      <c r="E1359" s="1041">
        <f t="shared" si="778"/>
        <v>2019</v>
      </c>
      <c r="F1359" s="1041" t="str">
        <f t="shared" si="779"/>
        <v>PASIF</v>
      </c>
      <c r="G1359" s="1041">
        <f t="shared" si="780"/>
        <v>849119003</v>
      </c>
      <c r="H1359" s="1042">
        <f t="shared" si="781"/>
        <v>0</v>
      </c>
      <c r="I1359" s="1042">
        <f t="shared" si="782"/>
        <v>0</v>
      </c>
      <c r="J1359" s="1042">
        <f t="shared" si="783"/>
        <v>0</v>
      </c>
      <c r="L1359" s="1060">
        <f t="shared" si="788"/>
        <v>0</v>
      </c>
      <c r="M1359" s="1060">
        <f t="shared" si="784"/>
        <v>0</v>
      </c>
      <c r="N1359" s="1060">
        <f t="shared" si="785"/>
        <v>0</v>
      </c>
      <c r="O1359" s="1060">
        <f t="shared" si="786"/>
        <v>0</v>
      </c>
      <c r="P1359" s="1060">
        <f t="shared" si="787"/>
        <v>1</v>
      </c>
    </row>
    <row r="1360" spans="1:16" x14ac:dyDescent="0.25">
      <c r="A1360" s="1039">
        <v>1742</v>
      </c>
      <c r="B1360" s="1039">
        <f t="shared" si="775"/>
        <v>34</v>
      </c>
      <c r="C1360" s="1039" t="str">
        <f t="shared" si="776"/>
        <v>MUHLISIN</v>
      </c>
      <c r="D1360" s="1041" t="str">
        <f t="shared" si="777"/>
        <v>MPI-3B</v>
      </c>
      <c r="E1360" s="1041">
        <f t="shared" si="778"/>
        <v>2019</v>
      </c>
      <c r="F1360" s="1041" t="str">
        <f t="shared" si="779"/>
        <v>AKTIF</v>
      </c>
      <c r="G1360" s="1041">
        <f t="shared" si="780"/>
        <v>849119041</v>
      </c>
      <c r="H1360" s="1042">
        <f t="shared" si="781"/>
        <v>6450000</v>
      </c>
      <c r="I1360" s="1042">
        <f t="shared" si="782"/>
        <v>3750000</v>
      </c>
      <c r="J1360" s="1042">
        <f t="shared" si="783"/>
        <v>10200000</v>
      </c>
      <c r="L1360" s="1060">
        <f t="shared" si="788"/>
        <v>1</v>
      </c>
      <c r="M1360" s="1060">
        <f t="shared" si="784"/>
        <v>0</v>
      </c>
      <c r="N1360" s="1060">
        <f t="shared" si="785"/>
        <v>0</v>
      </c>
      <c r="O1360" s="1060">
        <f t="shared" si="786"/>
        <v>0</v>
      </c>
      <c r="P1360" s="1060">
        <f t="shared" si="787"/>
        <v>0</v>
      </c>
    </row>
    <row r="1361" spans="1:16" x14ac:dyDescent="0.25">
      <c r="A1361" s="1039">
        <v>1743</v>
      </c>
      <c r="B1361" s="1039">
        <f t="shared" si="775"/>
        <v>35</v>
      </c>
      <c r="C1361" s="1039" t="str">
        <f t="shared" si="776"/>
        <v>NEILY SHOFIA ARDY</v>
      </c>
      <c r="D1361" s="1041" t="str">
        <f t="shared" si="777"/>
        <v>MPI-3B</v>
      </c>
      <c r="E1361" s="1041">
        <f t="shared" si="778"/>
        <v>2019</v>
      </c>
      <c r="F1361" s="1041" t="str">
        <f t="shared" si="779"/>
        <v>AKTIF</v>
      </c>
      <c r="G1361" s="1041">
        <f t="shared" si="780"/>
        <v>849119031</v>
      </c>
      <c r="H1361" s="1042">
        <f t="shared" si="781"/>
        <v>6450000</v>
      </c>
      <c r="I1361" s="1042">
        <f t="shared" si="782"/>
        <v>3750000</v>
      </c>
      <c r="J1361" s="1042">
        <f t="shared" si="783"/>
        <v>10200000</v>
      </c>
      <c r="L1361" s="1060">
        <f t="shared" si="788"/>
        <v>1</v>
      </c>
      <c r="M1361" s="1060">
        <f t="shared" si="784"/>
        <v>0</v>
      </c>
      <c r="N1361" s="1060">
        <f t="shared" si="785"/>
        <v>0</v>
      </c>
      <c r="O1361" s="1060">
        <f t="shared" si="786"/>
        <v>0</v>
      </c>
      <c r="P1361" s="1060">
        <f t="shared" si="787"/>
        <v>0</v>
      </c>
    </row>
    <row r="1362" spans="1:16" x14ac:dyDescent="0.25">
      <c r="A1362" s="1039">
        <v>1744</v>
      </c>
      <c r="B1362" s="1039">
        <f t="shared" si="775"/>
        <v>36</v>
      </c>
      <c r="C1362" s="1039" t="str">
        <f t="shared" si="776"/>
        <v>NOVIA BADIATUN NAFIAH</v>
      </c>
      <c r="D1362" s="1041" t="str">
        <f t="shared" si="777"/>
        <v>MPI-3B</v>
      </c>
      <c r="E1362" s="1041">
        <f t="shared" si="778"/>
        <v>2019</v>
      </c>
      <c r="F1362" s="1041" t="str">
        <f t="shared" si="779"/>
        <v>AKTIF</v>
      </c>
      <c r="G1362" s="1041">
        <f t="shared" si="780"/>
        <v>849119019</v>
      </c>
      <c r="H1362" s="1042">
        <f t="shared" si="781"/>
        <v>6450000</v>
      </c>
      <c r="I1362" s="1042">
        <f t="shared" si="782"/>
        <v>3750000</v>
      </c>
      <c r="J1362" s="1042">
        <f t="shared" si="783"/>
        <v>10200000</v>
      </c>
      <c r="L1362" s="1060">
        <f t="shared" si="788"/>
        <v>1</v>
      </c>
      <c r="M1362" s="1060">
        <f t="shared" si="784"/>
        <v>0</v>
      </c>
      <c r="N1362" s="1060">
        <f t="shared" si="785"/>
        <v>0</v>
      </c>
      <c r="O1362" s="1060">
        <f t="shared" si="786"/>
        <v>0</v>
      </c>
      <c r="P1362" s="1060">
        <f t="shared" si="787"/>
        <v>0</v>
      </c>
    </row>
    <row r="1363" spans="1:16" x14ac:dyDescent="0.25">
      <c r="A1363" s="1039">
        <v>1745</v>
      </c>
      <c r="B1363" s="1039">
        <f t="shared" si="775"/>
        <v>37</v>
      </c>
      <c r="C1363" s="1039" t="str">
        <f t="shared" si="776"/>
        <v>NURUL ASYIFA'</v>
      </c>
      <c r="D1363" s="1041" t="str">
        <f t="shared" si="777"/>
        <v>MPI-3B</v>
      </c>
      <c r="E1363" s="1041">
        <f t="shared" si="778"/>
        <v>2019</v>
      </c>
      <c r="F1363" s="1041" t="str">
        <f t="shared" si="779"/>
        <v>AKTIF</v>
      </c>
      <c r="G1363" s="1041">
        <f t="shared" si="780"/>
        <v>849119023</v>
      </c>
      <c r="H1363" s="1042">
        <f t="shared" si="781"/>
        <v>6450000</v>
      </c>
      <c r="I1363" s="1042">
        <f t="shared" si="782"/>
        <v>3750000</v>
      </c>
      <c r="J1363" s="1042">
        <f t="shared" si="783"/>
        <v>10200000</v>
      </c>
      <c r="L1363" s="1060">
        <f t="shared" si="788"/>
        <v>1</v>
      </c>
      <c r="M1363" s="1060">
        <f t="shared" si="784"/>
        <v>0</v>
      </c>
      <c r="N1363" s="1060">
        <f t="shared" si="785"/>
        <v>0</v>
      </c>
      <c r="O1363" s="1060">
        <f t="shared" si="786"/>
        <v>0</v>
      </c>
      <c r="P1363" s="1060">
        <f t="shared" si="787"/>
        <v>0</v>
      </c>
    </row>
    <row r="1364" spans="1:16" x14ac:dyDescent="0.25">
      <c r="A1364" s="1039">
        <v>1746</v>
      </c>
      <c r="B1364" s="1039">
        <f t="shared" si="775"/>
        <v>38</v>
      </c>
      <c r="C1364" s="1039" t="str">
        <f t="shared" si="776"/>
        <v>SAYYID BERRYL MUSTHOFA</v>
      </c>
      <c r="D1364" s="1041" t="str">
        <f t="shared" si="777"/>
        <v>MPI-3B</v>
      </c>
      <c r="E1364" s="1041">
        <f t="shared" si="778"/>
        <v>2019</v>
      </c>
      <c r="F1364" s="1041" t="str">
        <f t="shared" si="779"/>
        <v>AKTIF</v>
      </c>
      <c r="G1364" s="1041">
        <f t="shared" si="780"/>
        <v>849119022</v>
      </c>
      <c r="H1364" s="1042">
        <f t="shared" si="781"/>
        <v>6450000</v>
      </c>
      <c r="I1364" s="1042">
        <f t="shared" si="782"/>
        <v>3750000</v>
      </c>
      <c r="J1364" s="1042">
        <f t="shared" si="783"/>
        <v>10200000</v>
      </c>
      <c r="L1364" s="1060">
        <f t="shared" si="788"/>
        <v>1</v>
      </c>
      <c r="M1364" s="1060">
        <f t="shared" si="784"/>
        <v>0</v>
      </c>
      <c r="N1364" s="1060">
        <f t="shared" si="785"/>
        <v>0</v>
      </c>
      <c r="O1364" s="1060">
        <f t="shared" si="786"/>
        <v>0</v>
      </c>
      <c r="P1364" s="1060">
        <f t="shared" si="787"/>
        <v>0</v>
      </c>
    </row>
    <row r="1365" spans="1:16" x14ac:dyDescent="0.25">
      <c r="A1365" s="1039">
        <v>1747</v>
      </c>
      <c r="B1365" s="1039">
        <f t="shared" si="775"/>
        <v>39</v>
      </c>
      <c r="C1365" s="1039" t="str">
        <f t="shared" si="776"/>
        <v>SITI HANIFAH</v>
      </c>
      <c r="D1365" s="1041" t="str">
        <f t="shared" si="777"/>
        <v>MPI-3B</v>
      </c>
      <c r="E1365" s="1041">
        <f t="shared" si="778"/>
        <v>2019</v>
      </c>
      <c r="F1365" s="1041" t="str">
        <f t="shared" si="779"/>
        <v>AKTIF</v>
      </c>
      <c r="G1365" s="1041">
        <f t="shared" si="780"/>
        <v>849119002</v>
      </c>
      <c r="H1365" s="1042">
        <f t="shared" si="781"/>
        <v>6450000</v>
      </c>
      <c r="I1365" s="1042">
        <f t="shared" si="782"/>
        <v>3750000</v>
      </c>
      <c r="J1365" s="1042">
        <f t="shared" si="783"/>
        <v>10200000</v>
      </c>
      <c r="L1365" s="1060">
        <f t="shared" si="788"/>
        <v>1</v>
      </c>
      <c r="M1365" s="1060">
        <f t="shared" si="784"/>
        <v>0</v>
      </c>
      <c r="N1365" s="1060">
        <f t="shared" si="785"/>
        <v>0</v>
      </c>
      <c r="O1365" s="1060">
        <f t="shared" si="786"/>
        <v>0</v>
      </c>
      <c r="P1365" s="1060">
        <f t="shared" si="787"/>
        <v>0</v>
      </c>
    </row>
    <row r="1366" spans="1:16" x14ac:dyDescent="0.25">
      <c r="A1366" s="1039">
        <v>1748</v>
      </c>
      <c r="B1366" s="1039">
        <f t="shared" si="775"/>
        <v>40</v>
      </c>
      <c r="C1366" s="1039" t="str">
        <f t="shared" si="776"/>
        <v>ZAENAL ABIDIN</v>
      </c>
      <c r="D1366" s="1041" t="str">
        <f t="shared" si="777"/>
        <v>MPI-3B</v>
      </c>
      <c r="E1366" s="1041">
        <f t="shared" si="778"/>
        <v>2019</v>
      </c>
      <c r="F1366" s="1041" t="str">
        <f t="shared" si="779"/>
        <v>AKTIF</v>
      </c>
      <c r="G1366" s="1041">
        <f t="shared" si="780"/>
        <v>849119016</v>
      </c>
      <c r="H1366" s="1042">
        <f t="shared" si="781"/>
        <v>6450000</v>
      </c>
      <c r="I1366" s="1042">
        <f t="shared" si="782"/>
        <v>3750000</v>
      </c>
      <c r="J1366" s="1042">
        <f t="shared" si="783"/>
        <v>10200000</v>
      </c>
      <c r="L1366" s="1060">
        <f t="shared" si="788"/>
        <v>1</v>
      </c>
      <c r="M1366" s="1060">
        <f t="shared" si="784"/>
        <v>0</v>
      </c>
      <c r="N1366" s="1060">
        <f t="shared" si="785"/>
        <v>0</v>
      </c>
      <c r="O1366" s="1060">
        <f t="shared" si="786"/>
        <v>0</v>
      </c>
      <c r="P1366" s="1060">
        <f t="shared" si="787"/>
        <v>0</v>
      </c>
    </row>
    <row r="1367" spans="1:16" x14ac:dyDescent="0.25">
      <c r="A1367" s="1039"/>
      <c r="B1367" s="1039" t="str">
        <f t="shared" si="774"/>
        <v/>
      </c>
      <c r="C1367" s="1039" t="str">
        <f>IFERROR(VLOOKUP(A1367,DB,4,FALSE),"")</f>
        <v/>
      </c>
      <c r="D1367" s="1040" t="str">
        <f>IFERROR(VLOOKUP(A1367,DB,5,FALSE),"")</f>
        <v/>
      </c>
      <c r="E1367" s="1041" t="str">
        <f>IFERROR(VLOOKUP(A1367,DB,6,FALSE),"")</f>
        <v/>
      </c>
      <c r="F1367" s="1040" t="str">
        <f>IFERROR(VLOOKUP(A1367,DB,7,FALSE),"")</f>
        <v/>
      </c>
      <c r="G1367" s="1041" t="str">
        <f>IFERROR(VLOOKUP(A1367,DB,3,FALSE),"")</f>
        <v/>
      </c>
      <c r="H1367" s="1042">
        <f t="shared" si="752"/>
        <v>0</v>
      </c>
      <c r="I1367" s="1042">
        <f t="shared" si="753"/>
        <v>0</v>
      </c>
      <c r="J1367" s="1042">
        <f t="shared" si="751"/>
        <v>0</v>
      </c>
    </row>
    <row r="1368" spans="1:16" x14ac:dyDescent="0.25">
      <c r="A1368" s="1039"/>
      <c r="B1368" s="1039" t="str">
        <f t="shared" si="774"/>
        <v/>
      </c>
      <c r="C1368" s="1039" t="str">
        <f>IFERROR(VLOOKUP(A1368,DB,4,FALSE),"")</f>
        <v/>
      </c>
      <c r="D1368" s="1040" t="str">
        <f>IFERROR(VLOOKUP(A1368,DB,5,FALSE),"")</f>
        <v/>
      </c>
      <c r="E1368" s="1041" t="str">
        <f>IFERROR(VLOOKUP(A1368,DB,6,FALSE),"")</f>
        <v/>
      </c>
      <c r="F1368" s="1040" t="str">
        <f>IFERROR(VLOOKUP(A1368,DB,7,FALSE),"")</f>
        <v/>
      </c>
      <c r="G1368" s="1041" t="str">
        <f>IFERROR(VLOOKUP(A1368,DB,3,FALSE),"")</f>
        <v/>
      </c>
      <c r="H1368" s="1042">
        <f t="shared" si="752"/>
        <v>0</v>
      </c>
      <c r="I1368" s="1042">
        <f t="shared" si="753"/>
        <v>0</v>
      </c>
      <c r="J1368" s="1042">
        <f t="shared" si="751"/>
        <v>0</v>
      </c>
    </row>
    <row r="1369" spans="1:16" x14ac:dyDescent="0.25">
      <c r="A1369" s="1076" t="str">
        <f>'Rekap SPP'!A1896</f>
        <v>S2-ES 2019/2020</v>
      </c>
      <c r="B1369" s="1077"/>
      <c r="C1369" s="1077"/>
      <c r="D1369" s="1033" t="s">
        <v>3</v>
      </c>
      <c r="E1369" s="1032" t="s">
        <v>4</v>
      </c>
      <c r="F1369" s="1033" t="s">
        <v>3195</v>
      </c>
      <c r="G1369" s="1032" t="s">
        <v>1</v>
      </c>
      <c r="H1369" s="1033" t="s">
        <v>3362</v>
      </c>
      <c r="I1369" s="1033" t="s">
        <v>3363</v>
      </c>
      <c r="J1369" s="1062">
        <f>SUM(J1370:J1403)</f>
        <v>342600000</v>
      </c>
      <c r="L1369" s="1063">
        <f>SUM(L1370:L1403)</f>
        <v>33</v>
      </c>
      <c r="M1369" s="1063">
        <f>SUM(M1370:M1403)</f>
        <v>0</v>
      </c>
      <c r="N1369" s="1063">
        <f>SUM(N1370:N1403)</f>
        <v>1</v>
      </c>
      <c r="O1369" s="1063">
        <f>SUM(O1370:O1403)</f>
        <v>0</v>
      </c>
      <c r="P1369" s="1063">
        <f t="shared" ref="P1369" si="789">SUM(P1370:P1403)</f>
        <v>0</v>
      </c>
    </row>
    <row r="1370" spans="1:16" x14ac:dyDescent="0.25">
      <c r="A1370" s="1039">
        <v>1749</v>
      </c>
      <c r="B1370" s="1039">
        <f t="shared" ref="B1370:B1403" si="790">IFERROR(VLOOKUP(A1370,DB,2,FALSE),"  ")</f>
        <v>1</v>
      </c>
      <c r="C1370" s="1039" t="str">
        <f t="shared" ref="C1370:C1403" si="791">IFERROR(VLOOKUP(A1370,DB,4,FALSE),"  ")</f>
        <v>AHMAD FAIZAL</v>
      </c>
      <c r="D1370" s="1041" t="str">
        <f t="shared" ref="D1370:D1403" si="792">IFERROR(VLOOKUP(A1370,DB,5,FALSE),"  ")</f>
        <v>ES-3A</v>
      </c>
      <c r="E1370" s="1041">
        <f t="shared" ref="E1370:E1403" si="793">IFERROR(VLOOKUP(A1370,DB,6,FALSE),"  ")</f>
        <v>2019</v>
      </c>
      <c r="F1370" s="1041" t="str">
        <f t="shared" ref="F1370:F1403" si="794">IFERROR(VLOOKUP(A1370,DB,7,FALSE),"  ")</f>
        <v>AKTIF</v>
      </c>
      <c r="G1370" s="1041">
        <f t="shared" ref="G1370:G1403" si="795">IFERROR(VLOOKUP(A1370,DB,3,FALSE),"  ")</f>
        <v>839219010</v>
      </c>
      <c r="H1370" s="1042">
        <f t="shared" ref="H1370:H1405" si="796">IF(F1370="AKTIF",6450000,IF(F1370="CUTI",3000000,0))</f>
        <v>6450000</v>
      </c>
      <c r="I1370" s="1042">
        <f t="shared" ref="I1370:I1405" si="797">IF(F1370="AKTIF",3750000,IF(F1370="CUTI",3000000,0))</f>
        <v>3750000</v>
      </c>
      <c r="J1370" s="1042">
        <f t="shared" ref="J1370:J1405" si="798">I1370+H1370</f>
        <v>10200000</v>
      </c>
      <c r="L1370" s="1060">
        <f>IF(F1370="AKTIF",1,0)</f>
        <v>1</v>
      </c>
      <c r="M1370" s="1060">
        <f t="shared" ref="M1370:M1403" si="799">IF(F1370="LULUS",1,0)</f>
        <v>0</v>
      </c>
      <c r="N1370" s="1060">
        <f t="shared" ref="N1370:N1403" si="800">IF(F1370="CUTI",1,0)</f>
        <v>0</v>
      </c>
      <c r="O1370" s="1060">
        <f t="shared" ref="O1370:O1403" si="801">IF(F1370="DROP OUT",1,0)</f>
        <v>0</v>
      </c>
      <c r="P1370" s="1060">
        <f t="shared" ref="P1370:P1403" si="802">IF(F1370="PASIF",1,0)</f>
        <v>0</v>
      </c>
    </row>
    <row r="1371" spans="1:16" x14ac:dyDescent="0.25">
      <c r="A1371" s="1039">
        <v>1750</v>
      </c>
      <c r="B1371" s="1039">
        <f t="shared" si="790"/>
        <v>2</v>
      </c>
      <c r="C1371" s="1039" t="str">
        <f t="shared" si="791"/>
        <v>AINIYATUL FITRIYAH</v>
      </c>
      <c r="D1371" s="1041" t="str">
        <f t="shared" si="792"/>
        <v>ES-3A</v>
      </c>
      <c r="E1371" s="1041">
        <f t="shared" si="793"/>
        <v>2019</v>
      </c>
      <c r="F1371" s="1041" t="str">
        <f t="shared" si="794"/>
        <v>AKTIF</v>
      </c>
      <c r="G1371" s="1041">
        <f t="shared" si="795"/>
        <v>839219003</v>
      </c>
      <c r="H1371" s="1042">
        <f t="shared" si="796"/>
        <v>6450000</v>
      </c>
      <c r="I1371" s="1042">
        <f t="shared" si="797"/>
        <v>3750000</v>
      </c>
      <c r="J1371" s="1042">
        <f t="shared" si="798"/>
        <v>10200000</v>
      </c>
      <c r="L1371" s="1060">
        <f t="shared" ref="L1371:L1403" si="803">IF(F1371="AKTIF",1,0)</f>
        <v>1</v>
      </c>
      <c r="M1371" s="1060">
        <f t="shared" si="799"/>
        <v>0</v>
      </c>
      <c r="N1371" s="1060">
        <f t="shared" si="800"/>
        <v>0</v>
      </c>
      <c r="O1371" s="1060">
        <f t="shared" si="801"/>
        <v>0</v>
      </c>
      <c r="P1371" s="1060">
        <f t="shared" si="802"/>
        <v>0</v>
      </c>
    </row>
    <row r="1372" spans="1:16" x14ac:dyDescent="0.25">
      <c r="A1372" s="1039">
        <v>1751</v>
      </c>
      <c r="B1372" s="1039">
        <f t="shared" si="790"/>
        <v>3</v>
      </c>
      <c r="C1372" s="1039" t="str">
        <f t="shared" si="791"/>
        <v>BAIJURI</v>
      </c>
      <c r="D1372" s="1041" t="str">
        <f t="shared" si="792"/>
        <v>ES-3A</v>
      </c>
      <c r="E1372" s="1041">
        <f t="shared" si="793"/>
        <v>2019</v>
      </c>
      <c r="F1372" s="1041" t="str">
        <f t="shared" si="794"/>
        <v>AKTIF</v>
      </c>
      <c r="G1372" s="1041">
        <f t="shared" si="795"/>
        <v>839219028</v>
      </c>
      <c r="H1372" s="1042">
        <f t="shared" si="796"/>
        <v>6450000</v>
      </c>
      <c r="I1372" s="1042">
        <f t="shared" si="797"/>
        <v>3750000</v>
      </c>
      <c r="J1372" s="1042">
        <f t="shared" si="798"/>
        <v>10200000</v>
      </c>
      <c r="L1372" s="1060">
        <f t="shared" si="803"/>
        <v>1</v>
      </c>
      <c r="M1372" s="1060">
        <f t="shared" si="799"/>
        <v>0</v>
      </c>
      <c r="N1372" s="1060">
        <f t="shared" si="800"/>
        <v>0</v>
      </c>
      <c r="O1372" s="1060">
        <f t="shared" si="801"/>
        <v>0</v>
      </c>
      <c r="P1372" s="1060">
        <f t="shared" si="802"/>
        <v>0</v>
      </c>
    </row>
    <row r="1373" spans="1:16" x14ac:dyDescent="0.25">
      <c r="A1373" s="1039">
        <v>1752</v>
      </c>
      <c r="B1373" s="1039">
        <f t="shared" si="790"/>
        <v>4</v>
      </c>
      <c r="C1373" s="1039" t="str">
        <f t="shared" si="791"/>
        <v>DAWIMATUS SHOLIHAH</v>
      </c>
      <c r="D1373" s="1041" t="str">
        <f t="shared" si="792"/>
        <v>ES-3A</v>
      </c>
      <c r="E1373" s="1041">
        <f t="shared" si="793"/>
        <v>2019</v>
      </c>
      <c r="F1373" s="1041" t="str">
        <f t="shared" si="794"/>
        <v>AKTIF</v>
      </c>
      <c r="G1373" s="1041">
        <f t="shared" si="795"/>
        <v>839219029</v>
      </c>
      <c r="H1373" s="1042">
        <f t="shared" si="796"/>
        <v>6450000</v>
      </c>
      <c r="I1373" s="1042">
        <f t="shared" si="797"/>
        <v>3750000</v>
      </c>
      <c r="J1373" s="1042">
        <f t="shared" si="798"/>
        <v>10200000</v>
      </c>
      <c r="L1373" s="1060">
        <f t="shared" si="803"/>
        <v>1</v>
      </c>
      <c r="M1373" s="1060">
        <f t="shared" si="799"/>
        <v>0</v>
      </c>
      <c r="N1373" s="1060">
        <f t="shared" si="800"/>
        <v>0</v>
      </c>
      <c r="O1373" s="1060">
        <f t="shared" si="801"/>
        <v>0</v>
      </c>
      <c r="P1373" s="1060">
        <f t="shared" si="802"/>
        <v>0</v>
      </c>
    </row>
    <row r="1374" spans="1:16" x14ac:dyDescent="0.25">
      <c r="A1374" s="1039">
        <v>1753</v>
      </c>
      <c r="B1374" s="1039">
        <f t="shared" si="790"/>
        <v>5</v>
      </c>
      <c r="C1374" s="1039" t="str">
        <f t="shared" si="791"/>
        <v>DIANIDZA ARODHA</v>
      </c>
      <c r="D1374" s="1041" t="str">
        <f t="shared" si="792"/>
        <v>ES-3A</v>
      </c>
      <c r="E1374" s="1041">
        <f t="shared" si="793"/>
        <v>2019</v>
      </c>
      <c r="F1374" s="1041" t="str">
        <f t="shared" si="794"/>
        <v>AKTIF</v>
      </c>
      <c r="G1374" s="1041">
        <f t="shared" si="795"/>
        <v>839219005</v>
      </c>
      <c r="H1374" s="1042">
        <f t="shared" si="796"/>
        <v>6450000</v>
      </c>
      <c r="I1374" s="1042">
        <f t="shared" si="797"/>
        <v>3750000</v>
      </c>
      <c r="J1374" s="1042">
        <f t="shared" si="798"/>
        <v>10200000</v>
      </c>
      <c r="L1374" s="1060">
        <f t="shared" si="803"/>
        <v>1</v>
      </c>
      <c r="M1374" s="1060">
        <f t="shared" si="799"/>
        <v>0</v>
      </c>
      <c r="N1374" s="1060">
        <f t="shared" si="800"/>
        <v>0</v>
      </c>
      <c r="O1374" s="1060">
        <f t="shared" si="801"/>
        <v>0</v>
      </c>
      <c r="P1374" s="1060">
        <f t="shared" si="802"/>
        <v>0</v>
      </c>
    </row>
    <row r="1375" spans="1:16" x14ac:dyDescent="0.25">
      <c r="A1375" s="1039">
        <v>1754</v>
      </c>
      <c r="B1375" s="1039">
        <f t="shared" si="790"/>
        <v>6</v>
      </c>
      <c r="C1375" s="1039" t="str">
        <f t="shared" si="791"/>
        <v>ELA NUR RAHMAWATI</v>
      </c>
      <c r="D1375" s="1041" t="str">
        <f t="shared" si="792"/>
        <v>ES-3A</v>
      </c>
      <c r="E1375" s="1041">
        <f t="shared" si="793"/>
        <v>2019</v>
      </c>
      <c r="F1375" s="1041" t="str">
        <f t="shared" si="794"/>
        <v>AKTIF</v>
      </c>
      <c r="G1375" s="1041">
        <f t="shared" si="795"/>
        <v>839219013</v>
      </c>
      <c r="H1375" s="1042">
        <f t="shared" si="796"/>
        <v>6450000</v>
      </c>
      <c r="I1375" s="1042">
        <f t="shared" si="797"/>
        <v>3750000</v>
      </c>
      <c r="J1375" s="1042">
        <f t="shared" si="798"/>
        <v>10200000</v>
      </c>
      <c r="L1375" s="1060">
        <f t="shared" si="803"/>
        <v>1</v>
      </c>
      <c r="M1375" s="1060">
        <f t="shared" si="799"/>
        <v>0</v>
      </c>
      <c r="N1375" s="1060">
        <f t="shared" si="800"/>
        <v>0</v>
      </c>
      <c r="O1375" s="1060">
        <f t="shared" si="801"/>
        <v>0</v>
      </c>
      <c r="P1375" s="1060">
        <f t="shared" si="802"/>
        <v>0</v>
      </c>
    </row>
    <row r="1376" spans="1:16" x14ac:dyDescent="0.25">
      <c r="A1376" s="1039">
        <v>1755</v>
      </c>
      <c r="B1376" s="1039">
        <f t="shared" si="790"/>
        <v>7</v>
      </c>
      <c r="C1376" s="1039" t="str">
        <f t="shared" si="791"/>
        <v>FAIS FAIZUL HANNAN</v>
      </c>
      <c r="D1376" s="1041" t="str">
        <f t="shared" si="792"/>
        <v>ES-3A</v>
      </c>
      <c r="E1376" s="1041">
        <f t="shared" si="793"/>
        <v>2019</v>
      </c>
      <c r="F1376" s="1041" t="str">
        <f t="shared" si="794"/>
        <v>AKTIF</v>
      </c>
      <c r="G1376" s="1041">
        <f t="shared" si="795"/>
        <v>839219012</v>
      </c>
      <c r="H1376" s="1042">
        <f t="shared" si="796"/>
        <v>6450000</v>
      </c>
      <c r="I1376" s="1042">
        <f t="shared" si="797"/>
        <v>3750000</v>
      </c>
      <c r="J1376" s="1042">
        <f t="shared" si="798"/>
        <v>10200000</v>
      </c>
      <c r="L1376" s="1060">
        <f t="shared" si="803"/>
        <v>1</v>
      </c>
      <c r="M1376" s="1060">
        <f t="shared" si="799"/>
        <v>0</v>
      </c>
      <c r="N1376" s="1060">
        <f t="shared" si="800"/>
        <v>0</v>
      </c>
      <c r="O1376" s="1060">
        <f t="shared" si="801"/>
        <v>0</v>
      </c>
      <c r="P1376" s="1060">
        <f t="shared" si="802"/>
        <v>0</v>
      </c>
    </row>
    <row r="1377" spans="1:16" x14ac:dyDescent="0.25">
      <c r="A1377" s="1039">
        <v>1756</v>
      </c>
      <c r="B1377" s="1039">
        <f t="shared" si="790"/>
        <v>8</v>
      </c>
      <c r="C1377" s="1039" t="str">
        <f t="shared" si="791"/>
        <v>IKA SUSANTI</v>
      </c>
      <c r="D1377" s="1041" t="str">
        <f t="shared" si="792"/>
        <v>ES-3A</v>
      </c>
      <c r="E1377" s="1041">
        <f t="shared" si="793"/>
        <v>2019</v>
      </c>
      <c r="F1377" s="1041" t="str">
        <f t="shared" si="794"/>
        <v>AKTIF</v>
      </c>
      <c r="G1377" s="1041">
        <f t="shared" si="795"/>
        <v>839219017</v>
      </c>
      <c r="H1377" s="1042">
        <f t="shared" si="796"/>
        <v>6450000</v>
      </c>
      <c r="I1377" s="1042">
        <f t="shared" si="797"/>
        <v>3750000</v>
      </c>
      <c r="J1377" s="1042">
        <f t="shared" si="798"/>
        <v>10200000</v>
      </c>
      <c r="L1377" s="1060">
        <f t="shared" si="803"/>
        <v>1</v>
      </c>
      <c r="M1377" s="1060">
        <f t="shared" si="799"/>
        <v>0</v>
      </c>
      <c r="N1377" s="1060">
        <f t="shared" si="800"/>
        <v>0</v>
      </c>
      <c r="O1377" s="1060">
        <f t="shared" si="801"/>
        <v>0</v>
      </c>
      <c r="P1377" s="1060">
        <f t="shared" si="802"/>
        <v>0</v>
      </c>
    </row>
    <row r="1378" spans="1:16" x14ac:dyDescent="0.25">
      <c r="A1378" s="1039">
        <v>1757</v>
      </c>
      <c r="B1378" s="1039">
        <f t="shared" si="790"/>
        <v>9</v>
      </c>
      <c r="C1378" s="1039" t="str">
        <f t="shared" si="791"/>
        <v>KURNIAWAN RAMADHANI</v>
      </c>
      <c r="D1378" s="1041" t="str">
        <f t="shared" si="792"/>
        <v>ES-3A</v>
      </c>
      <c r="E1378" s="1041">
        <f t="shared" si="793"/>
        <v>2019</v>
      </c>
      <c r="F1378" s="1041" t="str">
        <f t="shared" si="794"/>
        <v>AKTIF</v>
      </c>
      <c r="G1378" s="1041">
        <f t="shared" si="795"/>
        <v>839219006</v>
      </c>
      <c r="H1378" s="1042">
        <f t="shared" si="796"/>
        <v>6450000</v>
      </c>
      <c r="I1378" s="1042">
        <f t="shared" si="797"/>
        <v>3750000</v>
      </c>
      <c r="J1378" s="1042">
        <f t="shared" si="798"/>
        <v>10200000</v>
      </c>
      <c r="L1378" s="1060">
        <f t="shared" si="803"/>
        <v>1</v>
      </c>
      <c r="M1378" s="1060">
        <f t="shared" si="799"/>
        <v>0</v>
      </c>
      <c r="N1378" s="1060">
        <f t="shared" si="800"/>
        <v>0</v>
      </c>
      <c r="O1378" s="1060">
        <f t="shared" si="801"/>
        <v>0</v>
      </c>
      <c r="P1378" s="1060">
        <f t="shared" si="802"/>
        <v>0</v>
      </c>
    </row>
    <row r="1379" spans="1:16" x14ac:dyDescent="0.25">
      <c r="A1379" s="1039">
        <v>1758</v>
      </c>
      <c r="B1379" s="1039">
        <f t="shared" si="790"/>
        <v>10</v>
      </c>
      <c r="C1379" s="1039" t="str">
        <f t="shared" si="791"/>
        <v>M. RIZA AZIZI</v>
      </c>
      <c r="D1379" s="1041" t="str">
        <f t="shared" si="792"/>
        <v>ES-3A</v>
      </c>
      <c r="E1379" s="1041">
        <f t="shared" si="793"/>
        <v>2019</v>
      </c>
      <c r="F1379" s="1041" t="str">
        <f t="shared" si="794"/>
        <v>AKTIF</v>
      </c>
      <c r="G1379" s="1041">
        <f t="shared" si="795"/>
        <v>839219027</v>
      </c>
      <c r="H1379" s="1042">
        <f t="shared" si="796"/>
        <v>6450000</v>
      </c>
      <c r="I1379" s="1042">
        <f t="shared" si="797"/>
        <v>3750000</v>
      </c>
      <c r="J1379" s="1042">
        <f t="shared" si="798"/>
        <v>10200000</v>
      </c>
      <c r="L1379" s="1060">
        <f t="shared" si="803"/>
        <v>1</v>
      </c>
      <c r="M1379" s="1060">
        <f t="shared" si="799"/>
        <v>0</v>
      </c>
      <c r="N1379" s="1060">
        <f t="shared" si="800"/>
        <v>0</v>
      </c>
      <c r="O1379" s="1060">
        <f t="shared" si="801"/>
        <v>0</v>
      </c>
      <c r="P1379" s="1060">
        <f t="shared" si="802"/>
        <v>0</v>
      </c>
    </row>
    <row r="1380" spans="1:16" x14ac:dyDescent="0.25">
      <c r="A1380" s="1039">
        <v>1759</v>
      </c>
      <c r="B1380" s="1039">
        <f t="shared" si="790"/>
        <v>11</v>
      </c>
      <c r="C1380" s="1039" t="str">
        <f t="shared" si="791"/>
        <v>MOHAMMAD ZAINUL AZIZI</v>
      </c>
      <c r="D1380" s="1041" t="str">
        <f t="shared" si="792"/>
        <v>ES-3A</v>
      </c>
      <c r="E1380" s="1041">
        <f t="shared" si="793"/>
        <v>2019</v>
      </c>
      <c r="F1380" s="1041" t="str">
        <f t="shared" si="794"/>
        <v>AKTIF</v>
      </c>
      <c r="G1380" s="1041">
        <f t="shared" si="795"/>
        <v>839219022</v>
      </c>
      <c r="H1380" s="1042">
        <f t="shared" si="796"/>
        <v>6450000</v>
      </c>
      <c r="I1380" s="1042">
        <f t="shared" si="797"/>
        <v>3750000</v>
      </c>
      <c r="J1380" s="1042">
        <f t="shared" si="798"/>
        <v>10200000</v>
      </c>
      <c r="L1380" s="1060">
        <f t="shared" si="803"/>
        <v>1</v>
      </c>
      <c r="M1380" s="1060">
        <f t="shared" si="799"/>
        <v>0</v>
      </c>
      <c r="N1380" s="1060">
        <f t="shared" si="800"/>
        <v>0</v>
      </c>
      <c r="O1380" s="1060">
        <f t="shared" si="801"/>
        <v>0</v>
      </c>
      <c r="P1380" s="1060">
        <f t="shared" si="802"/>
        <v>0</v>
      </c>
    </row>
    <row r="1381" spans="1:16" x14ac:dyDescent="0.25">
      <c r="A1381" s="1039">
        <v>1760</v>
      </c>
      <c r="B1381" s="1039">
        <f t="shared" si="790"/>
        <v>12</v>
      </c>
      <c r="C1381" s="1039" t="str">
        <f t="shared" si="791"/>
        <v>MUTHI'ATUR ROFI'AH</v>
      </c>
      <c r="D1381" s="1041" t="str">
        <f t="shared" si="792"/>
        <v>ES-3A</v>
      </c>
      <c r="E1381" s="1041">
        <f t="shared" si="793"/>
        <v>2019</v>
      </c>
      <c r="F1381" s="1041" t="str">
        <f t="shared" si="794"/>
        <v>AKTIF</v>
      </c>
      <c r="G1381" s="1041">
        <f t="shared" si="795"/>
        <v>839219007</v>
      </c>
      <c r="H1381" s="1042">
        <f t="shared" si="796"/>
        <v>6450000</v>
      </c>
      <c r="I1381" s="1042">
        <f t="shared" si="797"/>
        <v>3750000</v>
      </c>
      <c r="J1381" s="1042">
        <f t="shared" si="798"/>
        <v>10200000</v>
      </c>
      <c r="L1381" s="1060">
        <f t="shared" si="803"/>
        <v>1</v>
      </c>
      <c r="M1381" s="1060">
        <f t="shared" si="799"/>
        <v>0</v>
      </c>
      <c r="N1381" s="1060">
        <f t="shared" si="800"/>
        <v>0</v>
      </c>
      <c r="O1381" s="1060">
        <f t="shared" si="801"/>
        <v>0</v>
      </c>
      <c r="P1381" s="1060">
        <f t="shared" si="802"/>
        <v>0</v>
      </c>
    </row>
    <row r="1382" spans="1:16" x14ac:dyDescent="0.25">
      <c r="A1382" s="1039">
        <v>1761</v>
      </c>
      <c r="B1382" s="1039">
        <f t="shared" si="790"/>
        <v>13</v>
      </c>
      <c r="C1382" s="1039" t="str">
        <f t="shared" si="791"/>
        <v>NOVILIA AISAH</v>
      </c>
      <c r="D1382" s="1041" t="str">
        <f t="shared" si="792"/>
        <v>ES-3A</v>
      </c>
      <c r="E1382" s="1041">
        <f t="shared" si="793"/>
        <v>2019</v>
      </c>
      <c r="F1382" s="1041" t="str">
        <f t="shared" si="794"/>
        <v>AKTIF</v>
      </c>
      <c r="G1382" s="1041">
        <f t="shared" si="795"/>
        <v>839219001</v>
      </c>
      <c r="H1382" s="1042">
        <f t="shared" si="796"/>
        <v>6450000</v>
      </c>
      <c r="I1382" s="1042">
        <f t="shared" si="797"/>
        <v>3750000</v>
      </c>
      <c r="J1382" s="1042">
        <f t="shared" si="798"/>
        <v>10200000</v>
      </c>
      <c r="L1382" s="1060">
        <f t="shared" si="803"/>
        <v>1</v>
      </c>
      <c r="M1382" s="1060">
        <f t="shared" si="799"/>
        <v>0</v>
      </c>
      <c r="N1382" s="1060">
        <f t="shared" si="800"/>
        <v>0</v>
      </c>
      <c r="O1382" s="1060">
        <f t="shared" si="801"/>
        <v>0</v>
      </c>
      <c r="P1382" s="1060">
        <f t="shared" si="802"/>
        <v>0</v>
      </c>
    </row>
    <row r="1383" spans="1:16" x14ac:dyDescent="0.25">
      <c r="A1383" s="1039">
        <v>1762</v>
      </c>
      <c r="B1383" s="1039">
        <f t="shared" si="790"/>
        <v>14</v>
      </c>
      <c r="C1383" s="1039" t="str">
        <f t="shared" si="791"/>
        <v>SITI MASUDAH</v>
      </c>
      <c r="D1383" s="1041" t="str">
        <f t="shared" si="792"/>
        <v>ES-3A</v>
      </c>
      <c r="E1383" s="1041">
        <f t="shared" si="793"/>
        <v>2019</v>
      </c>
      <c r="F1383" s="1041" t="str">
        <f t="shared" si="794"/>
        <v>AKTIF</v>
      </c>
      <c r="G1383" s="1041">
        <f t="shared" si="795"/>
        <v>839219011</v>
      </c>
      <c r="H1383" s="1042">
        <f t="shared" si="796"/>
        <v>6450000</v>
      </c>
      <c r="I1383" s="1042">
        <f t="shared" si="797"/>
        <v>3750000</v>
      </c>
      <c r="J1383" s="1042">
        <f t="shared" si="798"/>
        <v>10200000</v>
      </c>
      <c r="L1383" s="1060">
        <f t="shared" si="803"/>
        <v>1</v>
      </c>
      <c r="M1383" s="1060">
        <f t="shared" si="799"/>
        <v>0</v>
      </c>
      <c r="N1383" s="1060">
        <f t="shared" si="800"/>
        <v>0</v>
      </c>
      <c r="O1383" s="1060">
        <f t="shared" si="801"/>
        <v>0</v>
      </c>
      <c r="P1383" s="1060">
        <f t="shared" si="802"/>
        <v>0</v>
      </c>
    </row>
    <row r="1384" spans="1:16" x14ac:dyDescent="0.25">
      <c r="A1384" s="1039">
        <v>1763</v>
      </c>
      <c r="B1384" s="1039">
        <f t="shared" si="790"/>
        <v>15</v>
      </c>
      <c r="C1384" s="1039" t="str">
        <f t="shared" si="791"/>
        <v>ACHMAD HADI MUBAROK</v>
      </c>
      <c r="D1384" s="1041" t="str">
        <f t="shared" si="792"/>
        <v>ES-3B</v>
      </c>
      <c r="E1384" s="1041">
        <f t="shared" si="793"/>
        <v>2019</v>
      </c>
      <c r="F1384" s="1041" t="str">
        <f t="shared" si="794"/>
        <v>AKTIF</v>
      </c>
      <c r="G1384" s="1041">
        <f t="shared" si="795"/>
        <v>839219009</v>
      </c>
      <c r="H1384" s="1042">
        <f t="shared" si="796"/>
        <v>6450000</v>
      </c>
      <c r="I1384" s="1042">
        <f t="shared" si="797"/>
        <v>3750000</v>
      </c>
      <c r="J1384" s="1042">
        <f t="shared" si="798"/>
        <v>10200000</v>
      </c>
      <c r="L1384" s="1060">
        <f t="shared" si="803"/>
        <v>1</v>
      </c>
      <c r="M1384" s="1060">
        <f t="shared" si="799"/>
        <v>0</v>
      </c>
      <c r="N1384" s="1060">
        <f t="shared" si="800"/>
        <v>0</v>
      </c>
      <c r="O1384" s="1060">
        <f t="shared" si="801"/>
        <v>0</v>
      </c>
      <c r="P1384" s="1060">
        <f t="shared" si="802"/>
        <v>0</v>
      </c>
    </row>
    <row r="1385" spans="1:16" x14ac:dyDescent="0.25">
      <c r="A1385" s="1039">
        <v>1764</v>
      </c>
      <c r="B1385" s="1039">
        <f t="shared" si="790"/>
        <v>16</v>
      </c>
      <c r="C1385" s="1039" t="str">
        <f t="shared" si="791"/>
        <v>AFNAS FAHRURRASI</v>
      </c>
      <c r="D1385" s="1041" t="str">
        <f t="shared" si="792"/>
        <v>ES-3B</v>
      </c>
      <c r="E1385" s="1041">
        <f t="shared" si="793"/>
        <v>2019</v>
      </c>
      <c r="F1385" s="1041" t="str">
        <f t="shared" si="794"/>
        <v>AKTIF</v>
      </c>
      <c r="G1385" s="1041">
        <f t="shared" si="795"/>
        <v>839219018</v>
      </c>
      <c r="H1385" s="1042">
        <f t="shared" si="796"/>
        <v>6450000</v>
      </c>
      <c r="I1385" s="1042">
        <f t="shared" si="797"/>
        <v>3750000</v>
      </c>
      <c r="J1385" s="1042">
        <f t="shared" si="798"/>
        <v>10200000</v>
      </c>
      <c r="L1385" s="1060">
        <f t="shared" si="803"/>
        <v>1</v>
      </c>
      <c r="M1385" s="1060">
        <f t="shared" si="799"/>
        <v>0</v>
      </c>
      <c r="N1385" s="1060">
        <f t="shared" si="800"/>
        <v>0</v>
      </c>
      <c r="O1385" s="1060">
        <f t="shared" si="801"/>
        <v>0</v>
      </c>
      <c r="P1385" s="1060">
        <f t="shared" si="802"/>
        <v>0</v>
      </c>
    </row>
    <row r="1386" spans="1:16" x14ac:dyDescent="0.25">
      <c r="A1386" s="1039">
        <v>1765</v>
      </c>
      <c r="B1386" s="1039">
        <f t="shared" si="790"/>
        <v>17</v>
      </c>
      <c r="C1386" s="1039" t="str">
        <f t="shared" si="791"/>
        <v>AGUS ZAINAL ABIDIN</v>
      </c>
      <c r="D1386" s="1041" t="str">
        <f t="shared" si="792"/>
        <v>ES-3B</v>
      </c>
      <c r="E1386" s="1041">
        <f t="shared" si="793"/>
        <v>2019</v>
      </c>
      <c r="F1386" s="1041" t="str">
        <f t="shared" si="794"/>
        <v>AKTIF</v>
      </c>
      <c r="G1386" s="1041">
        <f t="shared" si="795"/>
        <v>839219020</v>
      </c>
      <c r="H1386" s="1042">
        <f t="shared" si="796"/>
        <v>6450000</v>
      </c>
      <c r="I1386" s="1042">
        <f t="shared" si="797"/>
        <v>3750000</v>
      </c>
      <c r="J1386" s="1042">
        <f t="shared" si="798"/>
        <v>10200000</v>
      </c>
      <c r="L1386" s="1060">
        <f t="shared" si="803"/>
        <v>1</v>
      </c>
      <c r="M1386" s="1060">
        <f t="shared" si="799"/>
        <v>0</v>
      </c>
      <c r="N1386" s="1060">
        <f t="shared" si="800"/>
        <v>0</v>
      </c>
      <c r="O1386" s="1060">
        <f t="shared" si="801"/>
        <v>0</v>
      </c>
      <c r="P1386" s="1060">
        <f t="shared" si="802"/>
        <v>0</v>
      </c>
    </row>
    <row r="1387" spans="1:16" x14ac:dyDescent="0.25">
      <c r="A1387" s="1039">
        <v>1766</v>
      </c>
      <c r="B1387" s="1039">
        <f t="shared" si="790"/>
        <v>18</v>
      </c>
      <c r="C1387" s="1039" t="str">
        <f t="shared" si="791"/>
        <v>AH. AINUR ROFIQ</v>
      </c>
      <c r="D1387" s="1041" t="str">
        <f t="shared" si="792"/>
        <v>ES-3B</v>
      </c>
      <c r="E1387" s="1041">
        <f t="shared" si="793"/>
        <v>2019</v>
      </c>
      <c r="F1387" s="1041" t="str">
        <f t="shared" si="794"/>
        <v>AKTIF</v>
      </c>
      <c r="G1387" s="1041">
        <f t="shared" si="795"/>
        <v>839219025</v>
      </c>
      <c r="H1387" s="1042">
        <f t="shared" si="796"/>
        <v>6450000</v>
      </c>
      <c r="I1387" s="1042">
        <f t="shared" si="797"/>
        <v>3750000</v>
      </c>
      <c r="J1387" s="1042">
        <f t="shared" si="798"/>
        <v>10200000</v>
      </c>
      <c r="L1387" s="1060">
        <f t="shared" si="803"/>
        <v>1</v>
      </c>
      <c r="M1387" s="1060">
        <f t="shared" si="799"/>
        <v>0</v>
      </c>
      <c r="N1387" s="1060">
        <f t="shared" si="800"/>
        <v>0</v>
      </c>
      <c r="O1387" s="1060">
        <f t="shared" si="801"/>
        <v>0</v>
      </c>
      <c r="P1387" s="1060">
        <f t="shared" si="802"/>
        <v>0</v>
      </c>
    </row>
    <row r="1388" spans="1:16" x14ac:dyDescent="0.25">
      <c r="A1388" s="1039">
        <v>1767</v>
      </c>
      <c r="B1388" s="1039">
        <f t="shared" si="790"/>
        <v>19</v>
      </c>
      <c r="C1388" s="1039" t="str">
        <f t="shared" si="791"/>
        <v>AHMAD BAISUNI</v>
      </c>
      <c r="D1388" s="1041" t="str">
        <f t="shared" si="792"/>
        <v>ES-3B</v>
      </c>
      <c r="E1388" s="1041">
        <f t="shared" si="793"/>
        <v>2019</v>
      </c>
      <c r="F1388" s="1041" t="str">
        <f t="shared" si="794"/>
        <v>AKTIF</v>
      </c>
      <c r="G1388" s="1041">
        <f t="shared" si="795"/>
        <v>839219024</v>
      </c>
      <c r="H1388" s="1042">
        <f t="shared" si="796"/>
        <v>6450000</v>
      </c>
      <c r="I1388" s="1042">
        <f t="shared" si="797"/>
        <v>3750000</v>
      </c>
      <c r="J1388" s="1042">
        <f t="shared" si="798"/>
        <v>10200000</v>
      </c>
      <c r="L1388" s="1060">
        <f t="shared" si="803"/>
        <v>1</v>
      </c>
      <c r="M1388" s="1060">
        <f t="shared" si="799"/>
        <v>0</v>
      </c>
      <c r="N1388" s="1060">
        <f t="shared" si="800"/>
        <v>0</v>
      </c>
      <c r="O1388" s="1060">
        <f t="shared" si="801"/>
        <v>0</v>
      </c>
      <c r="P1388" s="1060">
        <f t="shared" si="802"/>
        <v>0</v>
      </c>
    </row>
    <row r="1389" spans="1:16" x14ac:dyDescent="0.25">
      <c r="A1389" s="1039">
        <v>1768</v>
      </c>
      <c r="B1389" s="1039">
        <f t="shared" si="790"/>
        <v>20</v>
      </c>
      <c r="C1389" s="1039" t="str">
        <f t="shared" si="791"/>
        <v>AKHYAR SYAFAAT</v>
      </c>
      <c r="D1389" s="1041" t="str">
        <f t="shared" si="792"/>
        <v>ES-3B</v>
      </c>
      <c r="E1389" s="1041">
        <f t="shared" si="793"/>
        <v>2019</v>
      </c>
      <c r="F1389" s="1041" t="str">
        <f t="shared" si="794"/>
        <v>AKTIF</v>
      </c>
      <c r="G1389" s="1041">
        <f t="shared" si="795"/>
        <v>839219021</v>
      </c>
      <c r="H1389" s="1042">
        <f t="shared" si="796"/>
        <v>6450000</v>
      </c>
      <c r="I1389" s="1042">
        <f t="shared" si="797"/>
        <v>3750000</v>
      </c>
      <c r="J1389" s="1042">
        <f t="shared" si="798"/>
        <v>10200000</v>
      </c>
      <c r="L1389" s="1060">
        <f t="shared" si="803"/>
        <v>1</v>
      </c>
      <c r="M1389" s="1060">
        <f t="shared" si="799"/>
        <v>0</v>
      </c>
      <c r="N1389" s="1060">
        <f t="shared" si="800"/>
        <v>0</v>
      </c>
      <c r="O1389" s="1060">
        <f t="shared" si="801"/>
        <v>0</v>
      </c>
      <c r="P1389" s="1060">
        <f t="shared" si="802"/>
        <v>0</v>
      </c>
    </row>
    <row r="1390" spans="1:16" x14ac:dyDescent="0.25">
      <c r="A1390" s="1039">
        <v>1769</v>
      </c>
      <c r="B1390" s="1039">
        <f t="shared" si="790"/>
        <v>21</v>
      </c>
      <c r="C1390" s="1039" t="str">
        <f t="shared" si="791"/>
        <v>BADRUT TAMAM</v>
      </c>
      <c r="D1390" s="1041" t="str">
        <f t="shared" si="792"/>
        <v>ES-3B</v>
      </c>
      <c r="E1390" s="1041">
        <f t="shared" si="793"/>
        <v>2019</v>
      </c>
      <c r="F1390" s="1041" t="str">
        <f t="shared" si="794"/>
        <v>AKTIF</v>
      </c>
      <c r="G1390" s="1041">
        <f t="shared" si="795"/>
        <v>839219034</v>
      </c>
      <c r="H1390" s="1042">
        <f t="shared" si="796"/>
        <v>6450000</v>
      </c>
      <c r="I1390" s="1042">
        <f t="shared" si="797"/>
        <v>3750000</v>
      </c>
      <c r="J1390" s="1042">
        <f t="shared" si="798"/>
        <v>10200000</v>
      </c>
      <c r="L1390" s="1060">
        <f t="shared" si="803"/>
        <v>1</v>
      </c>
      <c r="M1390" s="1060">
        <f t="shared" si="799"/>
        <v>0</v>
      </c>
      <c r="N1390" s="1060">
        <f t="shared" si="800"/>
        <v>0</v>
      </c>
      <c r="O1390" s="1060">
        <f t="shared" si="801"/>
        <v>0</v>
      </c>
      <c r="P1390" s="1060">
        <f t="shared" si="802"/>
        <v>0</v>
      </c>
    </row>
    <row r="1391" spans="1:16" x14ac:dyDescent="0.25">
      <c r="A1391" s="1039">
        <v>1770</v>
      </c>
      <c r="B1391" s="1039">
        <f t="shared" si="790"/>
        <v>22</v>
      </c>
      <c r="C1391" s="1039" t="str">
        <f t="shared" si="791"/>
        <v>FAIQOTUL HIMA</v>
      </c>
      <c r="D1391" s="1041" t="str">
        <f t="shared" si="792"/>
        <v>ES-3B</v>
      </c>
      <c r="E1391" s="1041">
        <f t="shared" si="793"/>
        <v>2019</v>
      </c>
      <c r="F1391" s="1041" t="str">
        <f t="shared" si="794"/>
        <v>AKTIF</v>
      </c>
      <c r="G1391" s="1041">
        <f t="shared" si="795"/>
        <v>839219002</v>
      </c>
      <c r="H1391" s="1042">
        <f t="shared" si="796"/>
        <v>6450000</v>
      </c>
      <c r="I1391" s="1042">
        <f t="shared" si="797"/>
        <v>3750000</v>
      </c>
      <c r="J1391" s="1042">
        <f t="shared" si="798"/>
        <v>10200000</v>
      </c>
      <c r="L1391" s="1060">
        <f t="shared" si="803"/>
        <v>1</v>
      </c>
      <c r="M1391" s="1060">
        <f t="shared" si="799"/>
        <v>0</v>
      </c>
      <c r="N1391" s="1060">
        <f t="shared" si="800"/>
        <v>0</v>
      </c>
      <c r="O1391" s="1060">
        <f t="shared" si="801"/>
        <v>0</v>
      </c>
      <c r="P1391" s="1060">
        <f t="shared" si="802"/>
        <v>0</v>
      </c>
    </row>
    <row r="1392" spans="1:16" x14ac:dyDescent="0.25">
      <c r="A1392" s="1039">
        <v>1771</v>
      </c>
      <c r="B1392" s="1039">
        <f t="shared" si="790"/>
        <v>23</v>
      </c>
      <c r="C1392" s="1039" t="str">
        <f t="shared" si="791"/>
        <v>FATHURRAHMAN AZIZ</v>
      </c>
      <c r="D1392" s="1041" t="str">
        <f t="shared" si="792"/>
        <v>ES-3B</v>
      </c>
      <c r="E1392" s="1041">
        <f t="shared" si="793"/>
        <v>2019</v>
      </c>
      <c r="F1392" s="1041" t="str">
        <f t="shared" si="794"/>
        <v>AKTIF</v>
      </c>
      <c r="G1392" s="1041">
        <f t="shared" si="795"/>
        <v>839219015</v>
      </c>
      <c r="H1392" s="1042">
        <f t="shared" si="796"/>
        <v>6450000</v>
      </c>
      <c r="I1392" s="1042">
        <f t="shared" si="797"/>
        <v>3750000</v>
      </c>
      <c r="J1392" s="1042">
        <f t="shared" si="798"/>
        <v>10200000</v>
      </c>
      <c r="L1392" s="1060">
        <f t="shared" si="803"/>
        <v>1</v>
      </c>
      <c r="M1392" s="1060">
        <f t="shared" si="799"/>
        <v>0</v>
      </c>
      <c r="N1392" s="1060">
        <f t="shared" si="800"/>
        <v>0</v>
      </c>
      <c r="O1392" s="1060">
        <f t="shared" si="801"/>
        <v>0</v>
      </c>
      <c r="P1392" s="1060">
        <f t="shared" si="802"/>
        <v>0</v>
      </c>
    </row>
    <row r="1393" spans="1:16" x14ac:dyDescent="0.25">
      <c r="A1393" s="1039">
        <v>1772</v>
      </c>
      <c r="B1393" s="1039">
        <f t="shared" si="790"/>
        <v>24</v>
      </c>
      <c r="C1393" s="1039" t="str">
        <f t="shared" si="791"/>
        <v>FEBY NURJANNAH</v>
      </c>
      <c r="D1393" s="1041" t="str">
        <f t="shared" si="792"/>
        <v>ES-3B</v>
      </c>
      <c r="E1393" s="1041">
        <f t="shared" si="793"/>
        <v>2019</v>
      </c>
      <c r="F1393" s="1041" t="str">
        <f t="shared" si="794"/>
        <v>AKTIF</v>
      </c>
      <c r="G1393" s="1041">
        <f t="shared" si="795"/>
        <v>839219016</v>
      </c>
      <c r="H1393" s="1042">
        <f t="shared" si="796"/>
        <v>6450000</v>
      </c>
      <c r="I1393" s="1042">
        <f t="shared" si="797"/>
        <v>3750000</v>
      </c>
      <c r="J1393" s="1042">
        <f t="shared" si="798"/>
        <v>10200000</v>
      </c>
      <c r="L1393" s="1060">
        <f t="shared" si="803"/>
        <v>1</v>
      </c>
      <c r="M1393" s="1060">
        <f t="shared" si="799"/>
        <v>0</v>
      </c>
      <c r="N1393" s="1060">
        <f t="shared" si="800"/>
        <v>0</v>
      </c>
      <c r="O1393" s="1060">
        <f t="shared" si="801"/>
        <v>0</v>
      </c>
      <c r="P1393" s="1060">
        <f t="shared" si="802"/>
        <v>0</v>
      </c>
    </row>
    <row r="1394" spans="1:16" x14ac:dyDescent="0.25">
      <c r="A1394" s="1039">
        <v>1773</v>
      </c>
      <c r="B1394" s="1039">
        <f t="shared" si="790"/>
        <v>25</v>
      </c>
      <c r="C1394" s="1039" t="str">
        <f t="shared" si="791"/>
        <v>IDA JUNAIDA</v>
      </c>
      <c r="D1394" s="1041" t="str">
        <f t="shared" si="792"/>
        <v>ES-3B</v>
      </c>
      <c r="E1394" s="1041">
        <f t="shared" si="793"/>
        <v>2019</v>
      </c>
      <c r="F1394" s="1041" t="str">
        <f t="shared" si="794"/>
        <v>AKTIF</v>
      </c>
      <c r="G1394" s="1041">
        <f t="shared" si="795"/>
        <v>839219014</v>
      </c>
      <c r="H1394" s="1042">
        <f t="shared" si="796"/>
        <v>6450000</v>
      </c>
      <c r="I1394" s="1042">
        <f t="shared" si="797"/>
        <v>3750000</v>
      </c>
      <c r="J1394" s="1042">
        <f t="shared" si="798"/>
        <v>10200000</v>
      </c>
      <c r="L1394" s="1060">
        <f t="shared" si="803"/>
        <v>1</v>
      </c>
      <c r="M1394" s="1060">
        <f t="shared" si="799"/>
        <v>0</v>
      </c>
      <c r="N1394" s="1060">
        <f t="shared" si="800"/>
        <v>0</v>
      </c>
      <c r="O1394" s="1060">
        <f t="shared" si="801"/>
        <v>0</v>
      </c>
      <c r="P1394" s="1060">
        <f t="shared" si="802"/>
        <v>0</v>
      </c>
    </row>
    <row r="1395" spans="1:16" x14ac:dyDescent="0.25">
      <c r="A1395" s="1039">
        <v>1774</v>
      </c>
      <c r="B1395" s="1039">
        <f t="shared" si="790"/>
        <v>26</v>
      </c>
      <c r="C1395" s="1039" t="str">
        <f t="shared" si="791"/>
        <v>IIS SRI RATNAWATI</v>
      </c>
      <c r="D1395" s="1041" t="str">
        <f t="shared" si="792"/>
        <v>ES-3B</v>
      </c>
      <c r="E1395" s="1041">
        <f t="shared" si="793"/>
        <v>2019</v>
      </c>
      <c r="F1395" s="1041" t="str">
        <f t="shared" si="794"/>
        <v>CUTI</v>
      </c>
      <c r="G1395" s="1041">
        <f t="shared" si="795"/>
        <v>839219031</v>
      </c>
      <c r="H1395" s="1042">
        <f t="shared" si="796"/>
        <v>3000000</v>
      </c>
      <c r="I1395" s="1042">
        <f t="shared" si="797"/>
        <v>3000000</v>
      </c>
      <c r="J1395" s="1042">
        <f t="shared" si="798"/>
        <v>6000000</v>
      </c>
      <c r="L1395" s="1060">
        <f t="shared" si="803"/>
        <v>0</v>
      </c>
      <c r="M1395" s="1060">
        <f t="shared" si="799"/>
        <v>0</v>
      </c>
      <c r="N1395" s="1060">
        <f t="shared" si="800"/>
        <v>1</v>
      </c>
      <c r="O1395" s="1060">
        <f t="shared" si="801"/>
        <v>0</v>
      </c>
      <c r="P1395" s="1060">
        <f t="shared" si="802"/>
        <v>0</v>
      </c>
    </row>
    <row r="1396" spans="1:16" x14ac:dyDescent="0.25">
      <c r="A1396" s="1039">
        <v>1775</v>
      </c>
      <c r="B1396" s="1039">
        <f t="shared" si="790"/>
        <v>27</v>
      </c>
      <c r="C1396" s="1039" t="str">
        <f t="shared" si="791"/>
        <v>MIFTAHUL MUNIR</v>
      </c>
      <c r="D1396" s="1041" t="str">
        <f t="shared" si="792"/>
        <v>ES-3B</v>
      </c>
      <c r="E1396" s="1041">
        <f t="shared" si="793"/>
        <v>2019</v>
      </c>
      <c r="F1396" s="1041" t="str">
        <f t="shared" si="794"/>
        <v>AKTIF</v>
      </c>
      <c r="G1396" s="1041">
        <f t="shared" si="795"/>
        <v>839219008</v>
      </c>
      <c r="H1396" s="1042">
        <f t="shared" si="796"/>
        <v>6450000</v>
      </c>
      <c r="I1396" s="1042">
        <f t="shared" si="797"/>
        <v>3750000</v>
      </c>
      <c r="J1396" s="1042">
        <f t="shared" si="798"/>
        <v>10200000</v>
      </c>
      <c r="L1396" s="1060">
        <f t="shared" si="803"/>
        <v>1</v>
      </c>
      <c r="M1396" s="1060">
        <f t="shared" si="799"/>
        <v>0</v>
      </c>
      <c r="N1396" s="1060">
        <f t="shared" si="800"/>
        <v>0</v>
      </c>
      <c r="O1396" s="1060">
        <f t="shared" si="801"/>
        <v>0</v>
      </c>
      <c r="P1396" s="1060">
        <f t="shared" si="802"/>
        <v>0</v>
      </c>
    </row>
    <row r="1397" spans="1:16" x14ac:dyDescent="0.25">
      <c r="A1397" s="1039">
        <v>1776</v>
      </c>
      <c r="B1397" s="1039">
        <f t="shared" si="790"/>
        <v>28</v>
      </c>
      <c r="C1397" s="1039" t="str">
        <f t="shared" si="791"/>
        <v>MUHAMMAD DANIL</v>
      </c>
      <c r="D1397" s="1041" t="str">
        <f t="shared" si="792"/>
        <v>ES-3B</v>
      </c>
      <c r="E1397" s="1041">
        <f t="shared" si="793"/>
        <v>2019</v>
      </c>
      <c r="F1397" s="1041" t="str">
        <f t="shared" si="794"/>
        <v>AKTIF</v>
      </c>
      <c r="G1397" s="1041">
        <f t="shared" si="795"/>
        <v>839219026</v>
      </c>
      <c r="H1397" s="1042">
        <f t="shared" si="796"/>
        <v>6450000</v>
      </c>
      <c r="I1397" s="1042">
        <f t="shared" si="797"/>
        <v>3750000</v>
      </c>
      <c r="J1397" s="1042">
        <f t="shared" si="798"/>
        <v>10200000</v>
      </c>
      <c r="L1397" s="1060">
        <f t="shared" si="803"/>
        <v>1</v>
      </c>
      <c r="M1397" s="1060">
        <f t="shared" si="799"/>
        <v>0</v>
      </c>
      <c r="N1397" s="1060">
        <f t="shared" si="800"/>
        <v>0</v>
      </c>
      <c r="O1397" s="1060">
        <f t="shared" si="801"/>
        <v>0</v>
      </c>
      <c r="P1397" s="1060">
        <f t="shared" si="802"/>
        <v>0</v>
      </c>
    </row>
    <row r="1398" spans="1:16" x14ac:dyDescent="0.25">
      <c r="A1398" s="1039">
        <v>1777</v>
      </c>
      <c r="B1398" s="1039">
        <f t="shared" si="790"/>
        <v>29</v>
      </c>
      <c r="C1398" s="1039" t="str">
        <f t="shared" si="791"/>
        <v>MUHAMMAD RAHEL</v>
      </c>
      <c r="D1398" s="1041" t="str">
        <f t="shared" si="792"/>
        <v>ES-3B</v>
      </c>
      <c r="E1398" s="1041">
        <f t="shared" si="793"/>
        <v>2019</v>
      </c>
      <c r="F1398" s="1041" t="str">
        <f t="shared" si="794"/>
        <v>AKTIF</v>
      </c>
      <c r="G1398" s="1041">
        <f t="shared" si="795"/>
        <v>839219023</v>
      </c>
      <c r="H1398" s="1042">
        <f t="shared" si="796"/>
        <v>6450000</v>
      </c>
      <c r="I1398" s="1042">
        <f t="shared" si="797"/>
        <v>3750000</v>
      </c>
      <c r="J1398" s="1042">
        <f t="shared" si="798"/>
        <v>10200000</v>
      </c>
      <c r="L1398" s="1060">
        <f t="shared" si="803"/>
        <v>1</v>
      </c>
      <c r="M1398" s="1060">
        <f t="shared" si="799"/>
        <v>0</v>
      </c>
      <c r="N1398" s="1060">
        <f t="shared" si="800"/>
        <v>0</v>
      </c>
      <c r="O1398" s="1060">
        <f t="shared" si="801"/>
        <v>0</v>
      </c>
      <c r="P1398" s="1060">
        <f t="shared" si="802"/>
        <v>0</v>
      </c>
    </row>
    <row r="1399" spans="1:16" x14ac:dyDescent="0.25">
      <c r="A1399" s="1039">
        <v>1778</v>
      </c>
      <c r="B1399" s="1039">
        <f t="shared" si="790"/>
        <v>30</v>
      </c>
      <c r="C1399" s="1039" t="str">
        <f t="shared" si="791"/>
        <v>NAILIL HUFRON</v>
      </c>
      <c r="D1399" s="1041" t="str">
        <f t="shared" si="792"/>
        <v>ES-3B</v>
      </c>
      <c r="E1399" s="1041">
        <f t="shared" si="793"/>
        <v>2019</v>
      </c>
      <c r="F1399" s="1041" t="str">
        <f t="shared" si="794"/>
        <v>AKTIF</v>
      </c>
      <c r="G1399" s="1041">
        <f t="shared" si="795"/>
        <v>839219019</v>
      </c>
      <c r="H1399" s="1042">
        <f t="shared" si="796"/>
        <v>6450000</v>
      </c>
      <c r="I1399" s="1042">
        <f t="shared" si="797"/>
        <v>3750000</v>
      </c>
      <c r="J1399" s="1042">
        <f t="shared" si="798"/>
        <v>10200000</v>
      </c>
      <c r="L1399" s="1060">
        <f t="shared" si="803"/>
        <v>1</v>
      </c>
      <c r="M1399" s="1060">
        <f t="shared" si="799"/>
        <v>0</v>
      </c>
      <c r="N1399" s="1060">
        <f t="shared" si="800"/>
        <v>0</v>
      </c>
      <c r="O1399" s="1060">
        <f t="shared" si="801"/>
        <v>0</v>
      </c>
      <c r="P1399" s="1060">
        <f t="shared" si="802"/>
        <v>0</v>
      </c>
    </row>
    <row r="1400" spans="1:16" x14ac:dyDescent="0.25">
      <c r="A1400" s="1039">
        <v>1779</v>
      </c>
      <c r="B1400" s="1039">
        <f t="shared" si="790"/>
        <v>31</v>
      </c>
      <c r="C1400" s="1039" t="str">
        <f t="shared" si="791"/>
        <v>NURUL FADILA</v>
      </c>
      <c r="D1400" s="1041" t="str">
        <f t="shared" si="792"/>
        <v>ES-3B</v>
      </c>
      <c r="E1400" s="1041">
        <f t="shared" si="793"/>
        <v>2019</v>
      </c>
      <c r="F1400" s="1041" t="str">
        <f t="shared" si="794"/>
        <v>AKTIF</v>
      </c>
      <c r="G1400" s="1041">
        <f t="shared" si="795"/>
        <v>839219033</v>
      </c>
      <c r="H1400" s="1042">
        <f t="shared" si="796"/>
        <v>6450000</v>
      </c>
      <c r="I1400" s="1042">
        <f t="shared" si="797"/>
        <v>3750000</v>
      </c>
      <c r="J1400" s="1042">
        <f t="shared" si="798"/>
        <v>10200000</v>
      </c>
      <c r="L1400" s="1060">
        <f t="shared" si="803"/>
        <v>1</v>
      </c>
      <c r="M1400" s="1060">
        <f t="shared" si="799"/>
        <v>0</v>
      </c>
      <c r="N1400" s="1060">
        <f t="shared" si="800"/>
        <v>0</v>
      </c>
      <c r="O1400" s="1060">
        <f t="shared" si="801"/>
        <v>0</v>
      </c>
      <c r="P1400" s="1060">
        <f t="shared" si="802"/>
        <v>0</v>
      </c>
    </row>
    <row r="1401" spans="1:16" x14ac:dyDescent="0.25">
      <c r="A1401" s="1039">
        <v>1780</v>
      </c>
      <c r="B1401" s="1039">
        <f t="shared" si="790"/>
        <v>32</v>
      </c>
      <c r="C1401" s="1039" t="str">
        <f t="shared" si="791"/>
        <v>RIFA KOMSATUN</v>
      </c>
      <c r="D1401" s="1041" t="str">
        <f t="shared" si="792"/>
        <v>ES-3B</v>
      </c>
      <c r="E1401" s="1041">
        <f t="shared" si="793"/>
        <v>2019</v>
      </c>
      <c r="F1401" s="1041" t="str">
        <f t="shared" si="794"/>
        <v>AKTIF</v>
      </c>
      <c r="G1401" s="1041">
        <f t="shared" si="795"/>
        <v>839219030</v>
      </c>
      <c r="H1401" s="1042">
        <f t="shared" si="796"/>
        <v>6450000</v>
      </c>
      <c r="I1401" s="1042">
        <f t="shared" si="797"/>
        <v>3750000</v>
      </c>
      <c r="J1401" s="1042">
        <f t="shared" si="798"/>
        <v>10200000</v>
      </c>
      <c r="L1401" s="1060">
        <f t="shared" si="803"/>
        <v>1</v>
      </c>
      <c r="M1401" s="1060">
        <f t="shared" si="799"/>
        <v>0</v>
      </c>
      <c r="N1401" s="1060">
        <f t="shared" si="800"/>
        <v>0</v>
      </c>
      <c r="O1401" s="1060">
        <f t="shared" si="801"/>
        <v>0</v>
      </c>
      <c r="P1401" s="1060">
        <f t="shared" si="802"/>
        <v>0</v>
      </c>
    </row>
    <row r="1402" spans="1:16" x14ac:dyDescent="0.25">
      <c r="A1402" s="1039">
        <v>1781</v>
      </c>
      <c r="B1402" s="1039">
        <f t="shared" si="790"/>
        <v>33</v>
      </c>
      <c r="C1402" s="1039" t="str">
        <f t="shared" si="791"/>
        <v>SOPIYATUN</v>
      </c>
      <c r="D1402" s="1041" t="str">
        <f t="shared" si="792"/>
        <v>ES-3B</v>
      </c>
      <c r="E1402" s="1041">
        <f t="shared" si="793"/>
        <v>2019</v>
      </c>
      <c r="F1402" s="1041" t="str">
        <f t="shared" si="794"/>
        <v>AKTIF</v>
      </c>
      <c r="G1402" s="1041">
        <f t="shared" si="795"/>
        <v>839219004</v>
      </c>
      <c r="H1402" s="1042">
        <f t="shared" si="796"/>
        <v>6450000</v>
      </c>
      <c r="I1402" s="1042">
        <f t="shared" si="797"/>
        <v>3750000</v>
      </c>
      <c r="J1402" s="1042">
        <f t="shared" si="798"/>
        <v>10200000</v>
      </c>
      <c r="L1402" s="1060">
        <f t="shared" si="803"/>
        <v>1</v>
      </c>
      <c r="M1402" s="1060">
        <f t="shared" si="799"/>
        <v>0</v>
      </c>
      <c r="N1402" s="1060">
        <f t="shared" si="800"/>
        <v>0</v>
      </c>
      <c r="O1402" s="1060">
        <f t="shared" si="801"/>
        <v>0</v>
      </c>
      <c r="P1402" s="1060">
        <f t="shared" si="802"/>
        <v>0</v>
      </c>
    </row>
    <row r="1403" spans="1:16" x14ac:dyDescent="0.25">
      <c r="A1403" s="1039">
        <v>1782</v>
      </c>
      <c r="B1403" s="1039">
        <f t="shared" si="790"/>
        <v>34</v>
      </c>
      <c r="C1403" s="1039" t="str">
        <f t="shared" si="791"/>
        <v>YENI DWI WULANDARI</v>
      </c>
      <c r="D1403" s="1041" t="str">
        <f t="shared" si="792"/>
        <v>ES-3B</v>
      </c>
      <c r="E1403" s="1041">
        <f t="shared" si="793"/>
        <v>2019</v>
      </c>
      <c r="F1403" s="1041" t="str">
        <f t="shared" si="794"/>
        <v>AKTIF</v>
      </c>
      <c r="G1403" s="1041">
        <f t="shared" si="795"/>
        <v>839219032</v>
      </c>
      <c r="H1403" s="1042">
        <f t="shared" si="796"/>
        <v>6450000</v>
      </c>
      <c r="I1403" s="1042">
        <f t="shared" si="797"/>
        <v>3750000</v>
      </c>
      <c r="J1403" s="1042">
        <f t="shared" si="798"/>
        <v>10200000</v>
      </c>
      <c r="L1403" s="1060">
        <f t="shared" si="803"/>
        <v>1</v>
      </c>
      <c r="M1403" s="1060">
        <f t="shared" si="799"/>
        <v>0</v>
      </c>
      <c r="N1403" s="1060">
        <f t="shared" si="800"/>
        <v>0</v>
      </c>
      <c r="O1403" s="1060">
        <f t="shared" si="801"/>
        <v>0</v>
      </c>
      <c r="P1403" s="1060">
        <f t="shared" si="802"/>
        <v>0</v>
      </c>
    </row>
    <row r="1404" spans="1:16" x14ac:dyDescent="0.25">
      <c r="A1404" s="1039"/>
      <c r="B1404" s="1039" t="str">
        <f t="shared" ref="B1404:B1405" si="804">IFERROR(VLOOKUP(A1404,DB,2,FALSE),"")</f>
        <v/>
      </c>
      <c r="C1404" s="1039" t="str">
        <f>IFERROR(VLOOKUP(A1404,DB,4,FALSE),"")</f>
        <v/>
      </c>
      <c r="D1404" s="1040" t="str">
        <f>IFERROR(VLOOKUP(A1404,DB,5,FALSE),"")</f>
        <v/>
      </c>
      <c r="E1404" s="1041" t="str">
        <f>IFERROR(VLOOKUP(A1404,DB,6,FALSE),"")</f>
        <v/>
      </c>
      <c r="F1404" s="1040" t="str">
        <f>IFERROR(VLOOKUP(A1404,DB,7,FALSE),"")</f>
        <v/>
      </c>
      <c r="G1404" s="1041" t="str">
        <f>IFERROR(VLOOKUP(A1404,DB,3,FALSE),"")</f>
        <v/>
      </c>
      <c r="H1404" s="1042">
        <f t="shared" si="796"/>
        <v>0</v>
      </c>
      <c r="I1404" s="1042">
        <f t="shared" si="797"/>
        <v>0</v>
      </c>
      <c r="J1404" s="1042">
        <f t="shared" si="798"/>
        <v>0</v>
      </c>
    </row>
    <row r="1405" spans="1:16" x14ac:dyDescent="0.25">
      <c r="A1405" s="1039"/>
      <c r="B1405" s="1039" t="str">
        <f t="shared" si="804"/>
        <v/>
      </c>
      <c r="C1405" s="1039" t="str">
        <f>IFERROR(VLOOKUP(A1405,DB,4,FALSE),"")</f>
        <v/>
      </c>
      <c r="D1405" s="1040" t="str">
        <f>IFERROR(VLOOKUP(A1405,DB,5,FALSE),"")</f>
        <v/>
      </c>
      <c r="E1405" s="1041" t="str">
        <f>IFERROR(VLOOKUP(A1405,DB,6,FALSE),"")</f>
        <v/>
      </c>
      <c r="F1405" s="1040" t="str">
        <f>IFERROR(VLOOKUP(A1405,DB,7,FALSE),"")</f>
        <v/>
      </c>
      <c r="G1405" s="1041" t="str">
        <f>IFERROR(VLOOKUP(A1405,DB,3,FALSE),"")</f>
        <v/>
      </c>
      <c r="H1405" s="1042">
        <f t="shared" si="796"/>
        <v>0</v>
      </c>
      <c r="I1405" s="1042">
        <f t="shared" si="797"/>
        <v>0</v>
      </c>
      <c r="J1405" s="1042">
        <f t="shared" si="798"/>
        <v>0</v>
      </c>
    </row>
    <row r="1406" spans="1:16" x14ac:dyDescent="0.25">
      <c r="A1406" s="1076" t="str">
        <f>'Rekap SPP'!A1932</f>
        <v>S2-PBA 2019/2020</v>
      </c>
      <c r="B1406" s="1077"/>
      <c r="C1406" s="1077"/>
      <c r="D1406" s="1033" t="s">
        <v>3</v>
      </c>
      <c r="E1406" s="1032" t="s">
        <v>4</v>
      </c>
      <c r="F1406" s="1033" t="s">
        <v>3195</v>
      </c>
      <c r="G1406" s="1032" t="s">
        <v>1</v>
      </c>
      <c r="H1406" s="1033" t="s">
        <v>3362</v>
      </c>
      <c r="I1406" s="1033" t="s">
        <v>3363</v>
      </c>
      <c r="J1406" s="1062">
        <f t="shared" ref="J1406" si="805">SUM(J1407:J1418)</f>
        <v>81600000</v>
      </c>
      <c r="L1406" s="1063">
        <f>SUM(L1407:L1418)</f>
        <v>8</v>
      </c>
      <c r="M1406" s="1063">
        <f>SUM(M1407:M1418)</f>
        <v>0</v>
      </c>
      <c r="N1406" s="1063">
        <f>SUM(N1407:N1418)</f>
        <v>0</v>
      </c>
      <c r="O1406" s="1063">
        <f>SUM(O1407:O1418)</f>
        <v>0</v>
      </c>
      <c r="P1406" s="1063">
        <f t="shared" ref="P1406" si="806">SUM(P1407:P1418)</f>
        <v>4</v>
      </c>
    </row>
    <row r="1407" spans="1:16" x14ac:dyDescent="0.25">
      <c r="A1407" s="1039">
        <v>1783</v>
      </c>
      <c r="B1407" s="1039">
        <f t="shared" ref="B1407:B1418" si="807">IFERROR(VLOOKUP(A1407,DB,2,FALSE),"  ")</f>
        <v>1</v>
      </c>
      <c r="C1407" s="1039" t="str">
        <f t="shared" ref="C1407:C1418" si="808">IFERROR(VLOOKUP(A1407,DB,4,FALSE),"  ")</f>
        <v>ACHMAD MUHDOR</v>
      </c>
      <c r="D1407" s="1041" t="str">
        <f t="shared" ref="D1407:D1418" si="809">IFERROR(VLOOKUP(A1407,DB,5,FALSE),"  ")</f>
        <v>PBA-3</v>
      </c>
      <c r="E1407" s="1041">
        <f t="shared" ref="E1407:E1418" si="810">IFERROR(VLOOKUP(A1407,DB,6,FALSE),"  ")</f>
        <v>2019</v>
      </c>
      <c r="F1407" s="1041" t="str">
        <f t="shared" ref="F1407:F1418" si="811">IFERROR(VLOOKUP(A1407,DB,7,FALSE),"  ")</f>
        <v>PASIF</v>
      </c>
      <c r="G1407" s="1041">
        <f t="shared" ref="G1407:G1418" si="812">IFERROR(VLOOKUP(A1407,DB,3,FALSE),"  ")</f>
        <v>849219004</v>
      </c>
      <c r="H1407" s="1042">
        <f t="shared" ref="H1407:H1418" si="813">IF(F1407="AKTIF",6450000,IF(F1407="CUTI",3000000,0))</f>
        <v>0</v>
      </c>
      <c r="I1407" s="1042">
        <f t="shared" ref="I1407:I1418" si="814">IF(F1407="AKTIF",3750000,IF(F1407="CUTI",3000000,0))</f>
        <v>0</v>
      </c>
      <c r="J1407" s="1042">
        <f t="shared" ref="J1407:J1418" si="815">I1407+H1407</f>
        <v>0</v>
      </c>
      <c r="L1407" s="1060">
        <f>IF(F1407="AKTIF",1,0)</f>
        <v>0</v>
      </c>
      <c r="M1407" s="1060">
        <f t="shared" ref="M1407:M1418" si="816">IF(F1407="LULUS",1,0)</f>
        <v>0</v>
      </c>
      <c r="N1407" s="1060">
        <f t="shared" ref="N1407:N1418" si="817">IF(F1407="CUTI",1,0)</f>
        <v>0</v>
      </c>
      <c r="O1407" s="1060">
        <f t="shared" ref="O1407:O1418" si="818">IF(F1407="DROP OUT",1,0)</f>
        <v>0</v>
      </c>
      <c r="P1407" s="1060">
        <f t="shared" ref="P1407:P1418" si="819">IF(F1407="PASIF",1,0)</f>
        <v>1</v>
      </c>
    </row>
    <row r="1408" spans="1:16" x14ac:dyDescent="0.25">
      <c r="A1408" s="1039">
        <v>1784</v>
      </c>
      <c r="B1408" s="1039">
        <f t="shared" si="807"/>
        <v>2</v>
      </c>
      <c r="C1408" s="1039" t="str">
        <f t="shared" si="808"/>
        <v>AHMAD YASIR AMRULLOH</v>
      </c>
      <c r="D1408" s="1041" t="str">
        <f t="shared" si="809"/>
        <v>PBA-3</v>
      </c>
      <c r="E1408" s="1041">
        <f t="shared" si="810"/>
        <v>2019</v>
      </c>
      <c r="F1408" s="1041" t="str">
        <f t="shared" si="811"/>
        <v>AKTIF</v>
      </c>
      <c r="G1408" s="1041">
        <f t="shared" si="812"/>
        <v>849219008</v>
      </c>
      <c r="H1408" s="1042">
        <f t="shared" si="813"/>
        <v>6450000</v>
      </c>
      <c r="I1408" s="1042">
        <f t="shared" si="814"/>
        <v>3750000</v>
      </c>
      <c r="J1408" s="1042">
        <f t="shared" si="815"/>
        <v>10200000</v>
      </c>
      <c r="L1408" s="1060">
        <f t="shared" ref="L1408:L1418" si="820">IF(F1408="AKTIF",1,0)</f>
        <v>1</v>
      </c>
      <c r="M1408" s="1060">
        <f t="shared" si="816"/>
        <v>0</v>
      </c>
      <c r="N1408" s="1060">
        <f t="shared" si="817"/>
        <v>0</v>
      </c>
      <c r="O1408" s="1060">
        <f t="shared" si="818"/>
        <v>0</v>
      </c>
      <c r="P1408" s="1060">
        <f t="shared" si="819"/>
        <v>0</v>
      </c>
    </row>
    <row r="1409" spans="1:16" x14ac:dyDescent="0.25">
      <c r="A1409" s="1039">
        <v>1785</v>
      </c>
      <c r="B1409" s="1039">
        <f t="shared" si="807"/>
        <v>3</v>
      </c>
      <c r="C1409" s="1039" t="str">
        <f t="shared" si="808"/>
        <v>AHMAD ZAINI</v>
      </c>
      <c r="D1409" s="1041" t="str">
        <f t="shared" si="809"/>
        <v>PBA-3</v>
      </c>
      <c r="E1409" s="1041">
        <f t="shared" si="810"/>
        <v>2019</v>
      </c>
      <c r="F1409" s="1041" t="str">
        <f t="shared" si="811"/>
        <v>AKTIF</v>
      </c>
      <c r="G1409" s="1041">
        <f t="shared" si="812"/>
        <v>849219002</v>
      </c>
      <c r="H1409" s="1042">
        <f t="shared" si="813"/>
        <v>6450000</v>
      </c>
      <c r="I1409" s="1042">
        <f t="shared" si="814"/>
        <v>3750000</v>
      </c>
      <c r="J1409" s="1042">
        <f t="shared" si="815"/>
        <v>10200000</v>
      </c>
      <c r="L1409" s="1060">
        <f t="shared" si="820"/>
        <v>1</v>
      </c>
      <c r="M1409" s="1060">
        <f t="shared" si="816"/>
        <v>0</v>
      </c>
      <c r="N1409" s="1060">
        <f t="shared" si="817"/>
        <v>0</v>
      </c>
      <c r="O1409" s="1060">
        <f t="shared" si="818"/>
        <v>0</v>
      </c>
      <c r="P1409" s="1060">
        <f t="shared" si="819"/>
        <v>0</v>
      </c>
    </row>
    <row r="1410" spans="1:16" x14ac:dyDescent="0.25">
      <c r="A1410" s="1039">
        <v>1786</v>
      </c>
      <c r="B1410" s="1039">
        <f t="shared" si="807"/>
        <v>4</v>
      </c>
      <c r="C1410" s="1039" t="str">
        <f t="shared" si="808"/>
        <v>ANA NURJANNAH</v>
      </c>
      <c r="D1410" s="1041" t="str">
        <f t="shared" si="809"/>
        <v>PBA-3</v>
      </c>
      <c r="E1410" s="1041">
        <f t="shared" si="810"/>
        <v>2019</v>
      </c>
      <c r="F1410" s="1041" t="str">
        <f t="shared" si="811"/>
        <v>AKTIF</v>
      </c>
      <c r="G1410" s="1041">
        <f t="shared" si="812"/>
        <v>849219012</v>
      </c>
      <c r="H1410" s="1042">
        <f t="shared" si="813"/>
        <v>6450000</v>
      </c>
      <c r="I1410" s="1042">
        <f t="shared" si="814"/>
        <v>3750000</v>
      </c>
      <c r="J1410" s="1042">
        <f t="shared" si="815"/>
        <v>10200000</v>
      </c>
      <c r="L1410" s="1060">
        <f t="shared" si="820"/>
        <v>1</v>
      </c>
      <c r="M1410" s="1060">
        <f t="shared" si="816"/>
        <v>0</v>
      </c>
      <c r="N1410" s="1060">
        <f t="shared" si="817"/>
        <v>0</v>
      </c>
      <c r="O1410" s="1060">
        <f t="shared" si="818"/>
        <v>0</v>
      </c>
      <c r="P1410" s="1060">
        <f t="shared" si="819"/>
        <v>0</v>
      </c>
    </row>
    <row r="1411" spans="1:16" x14ac:dyDescent="0.25">
      <c r="A1411" s="1039">
        <v>1787</v>
      </c>
      <c r="B1411" s="1039">
        <f t="shared" si="807"/>
        <v>5</v>
      </c>
      <c r="C1411" s="1039" t="str">
        <f t="shared" si="808"/>
        <v>FARIS MATUREDY</v>
      </c>
      <c r="D1411" s="1041" t="str">
        <f t="shared" si="809"/>
        <v>PBA-3</v>
      </c>
      <c r="E1411" s="1041">
        <f t="shared" si="810"/>
        <v>2019</v>
      </c>
      <c r="F1411" s="1041" t="str">
        <f t="shared" si="811"/>
        <v>AKTIF</v>
      </c>
      <c r="G1411" s="1041">
        <f t="shared" si="812"/>
        <v>849219010</v>
      </c>
      <c r="H1411" s="1042">
        <f t="shared" si="813"/>
        <v>6450000</v>
      </c>
      <c r="I1411" s="1042">
        <f t="shared" si="814"/>
        <v>3750000</v>
      </c>
      <c r="J1411" s="1042">
        <f t="shared" si="815"/>
        <v>10200000</v>
      </c>
      <c r="L1411" s="1060">
        <f t="shared" si="820"/>
        <v>1</v>
      </c>
      <c r="M1411" s="1060">
        <f t="shared" si="816"/>
        <v>0</v>
      </c>
      <c r="N1411" s="1060">
        <f t="shared" si="817"/>
        <v>0</v>
      </c>
      <c r="O1411" s="1060">
        <f t="shared" si="818"/>
        <v>0</v>
      </c>
      <c r="P1411" s="1060">
        <f t="shared" si="819"/>
        <v>0</v>
      </c>
    </row>
    <row r="1412" spans="1:16" x14ac:dyDescent="0.25">
      <c r="A1412" s="1039">
        <v>1788</v>
      </c>
      <c r="B1412" s="1039">
        <f t="shared" si="807"/>
        <v>6</v>
      </c>
      <c r="C1412" s="1039" t="str">
        <f t="shared" si="808"/>
        <v>FATHONI ARIFANDI</v>
      </c>
      <c r="D1412" s="1041" t="str">
        <f t="shared" si="809"/>
        <v>PBA-3</v>
      </c>
      <c r="E1412" s="1041">
        <f t="shared" si="810"/>
        <v>2019</v>
      </c>
      <c r="F1412" s="1041" t="str">
        <f t="shared" si="811"/>
        <v>AKTIF</v>
      </c>
      <c r="G1412" s="1041">
        <f t="shared" si="812"/>
        <v>849219009</v>
      </c>
      <c r="H1412" s="1042">
        <f t="shared" si="813"/>
        <v>6450000</v>
      </c>
      <c r="I1412" s="1042">
        <f t="shared" si="814"/>
        <v>3750000</v>
      </c>
      <c r="J1412" s="1042">
        <f t="shared" si="815"/>
        <v>10200000</v>
      </c>
      <c r="L1412" s="1060">
        <f t="shared" si="820"/>
        <v>1</v>
      </c>
      <c r="M1412" s="1060">
        <f t="shared" si="816"/>
        <v>0</v>
      </c>
      <c r="N1412" s="1060">
        <f t="shared" si="817"/>
        <v>0</v>
      </c>
      <c r="O1412" s="1060">
        <f t="shared" si="818"/>
        <v>0</v>
      </c>
      <c r="P1412" s="1060">
        <f t="shared" si="819"/>
        <v>0</v>
      </c>
    </row>
    <row r="1413" spans="1:16" x14ac:dyDescent="0.25">
      <c r="A1413" s="1039">
        <v>1789</v>
      </c>
      <c r="B1413" s="1039">
        <f t="shared" si="807"/>
        <v>7</v>
      </c>
      <c r="C1413" s="1039" t="str">
        <f t="shared" si="808"/>
        <v>IFTITAHATUS SA'ADAH</v>
      </c>
      <c r="D1413" s="1041" t="str">
        <f t="shared" si="809"/>
        <v>PBA-3</v>
      </c>
      <c r="E1413" s="1041">
        <f t="shared" si="810"/>
        <v>2019</v>
      </c>
      <c r="F1413" s="1041" t="str">
        <f t="shared" si="811"/>
        <v>AKTIF</v>
      </c>
      <c r="G1413" s="1041">
        <f t="shared" si="812"/>
        <v>849219007</v>
      </c>
      <c r="H1413" s="1042">
        <f t="shared" si="813"/>
        <v>6450000</v>
      </c>
      <c r="I1413" s="1042">
        <f t="shared" si="814"/>
        <v>3750000</v>
      </c>
      <c r="J1413" s="1042">
        <f t="shared" si="815"/>
        <v>10200000</v>
      </c>
      <c r="L1413" s="1060">
        <f t="shared" si="820"/>
        <v>1</v>
      </c>
      <c r="M1413" s="1060">
        <f t="shared" si="816"/>
        <v>0</v>
      </c>
      <c r="N1413" s="1060">
        <f t="shared" si="817"/>
        <v>0</v>
      </c>
      <c r="O1413" s="1060">
        <f t="shared" si="818"/>
        <v>0</v>
      </c>
      <c r="P1413" s="1060">
        <f t="shared" si="819"/>
        <v>0</v>
      </c>
    </row>
    <row r="1414" spans="1:16" x14ac:dyDescent="0.25">
      <c r="A1414" s="1039">
        <v>1790</v>
      </c>
      <c r="B1414" s="1039">
        <f t="shared" si="807"/>
        <v>8</v>
      </c>
      <c r="C1414" s="1039" t="str">
        <f t="shared" si="808"/>
        <v>ISMA NURHASANAH</v>
      </c>
      <c r="D1414" s="1041" t="str">
        <f t="shared" si="809"/>
        <v>PBA-3</v>
      </c>
      <c r="E1414" s="1041">
        <f t="shared" si="810"/>
        <v>2019</v>
      </c>
      <c r="F1414" s="1041" t="str">
        <f t="shared" si="811"/>
        <v>PASIF</v>
      </c>
      <c r="G1414" s="1041">
        <f t="shared" si="812"/>
        <v>849219001</v>
      </c>
      <c r="H1414" s="1042">
        <f t="shared" si="813"/>
        <v>0</v>
      </c>
      <c r="I1414" s="1042">
        <f t="shared" si="814"/>
        <v>0</v>
      </c>
      <c r="J1414" s="1042">
        <f t="shared" si="815"/>
        <v>0</v>
      </c>
      <c r="L1414" s="1060">
        <f t="shared" si="820"/>
        <v>0</v>
      </c>
      <c r="M1414" s="1060">
        <f t="shared" si="816"/>
        <v>0</v>
      </c>
      <c r="N1414" s="1060">
        <f t="shared" si="817"/>
        <v>0</v>
      </c>
      <c r="O1414" s="1060">
        <f t="shared" si="818"/>
        <v>0</v>
      </c>
      <c r="P1414" s="1060">
        <f t="shared" si="819"/>
        <v>1</v>
      </c>
    </row>
    <row r="1415" spans="1:16" x14ac:dyDescent="0.25">
      <c r="A1415" s="1039">
        <v>1791</v>
      </c>
      <c r="B1415" s="1039">
        <f t="shared" si="807"/>
        <v>9</v>
      </c>
      <c r="C1415" s="1039" t="str">
        <f t="shared" si="808"/>
        <v>NAHDLIATUN NAFISA</v>
      </c>
      <c r="D1415" s="1041" t="str">
        <f t="shared" si="809"/>
        <v>PBA-3</v>
      </c>
      <c r="E1415" s="1041">
        <f t="shared" si="810"/>
        <v>2019</v>
      </c>
      <c r="F1415" s="1041" t="str">
        <f t="shared" si="811"/>
        <v>PASIF</v>
      </c>
      <c r="G1415" s="1041">
        <f t="shared" si="812"/>
        <v>849219011</v>
      </c>
      <c r="H1415" s="1042">
        <f t="shared" si="813"/>
        <v>0</v>
      </c>
      <c r="I1415" s="1042">
        <f t="shared" si="814"/>
        <v>0</v>
      </c>
      <c r="J1415" s="1042">
        <f t="shared" si="815"/>
        <v>0</v>
      </c>
      <c r="L1415" s="1060">
        <f t="shared" si="820"/>
        <v>0</v>
      </c>
      <c r="M1415" s="1060">
        <f t="shared" si="816"/>
        <v>0</v>
      </c>
      <c r="N1415" s="1060">
        <f t="shared" si="817"/>
        <v>0</v>
      </c>
      <c r="O1415" s="1060">
        <f t="shared" si="818"/>
        <v>0</v>
      </c>
      <c r="P1415" s="1060">
        <f t="shared" si="819"/>
        <v>1</v>
      </c>
    </row>
    <row r="1416" spans="1:16" x14ac:dyDescent="0.25">
      <c r="A1416" s="1039">
        <v>1792</v>
      </c>
      <c r="B1416" s="1039">
        <f t="shared" si="807"/>
        <v>10</v>
      </c>
      <c r="C1416" s="1039" t="str">
        <f t="shared" si="808"/>
        <v>NILA HANIFIYAH HAFID</v>
      </c>
      <c r="D1416" s="1041" t="str">
        <f t="shared" si="809"/>
        <v>PBA-3</v>
      </c>
      <c r="E1416" s="1041">
        <f t="shared" si="810"/>
        <v>2019</v>
      </c>
      <c r="F1416" s="1041" t="str">
        <f t="shared" si="811"/>
        <v>AKTIF</v>
      </c>
      <c r="G1416" s="1041">
        <f t="shared" si="812"/>
        <v>849219003</v>
      </c>
      <c r="H1416" s="1042">
        <f t="shared" si="813"/>
        <v>6450000</v>
      </c>
      <c r="I1416" s="1042">
        <f t="shared" si="814"/>
        <v>3750000</v>
      </c>
      <c r="J1416" s="1042">
        <f t="shared" si="815"/>
        <v>10200000</v>
      </c>
      <c r="L1416" s="1060">
        <f t="shared" si="820"/>
        <v>1</v>
      </c>
      <c r="M1416" s="1060">
        <f t="shared" si="816"/>
        <v>0</v>
      </c>
      <c r="N1416" s="1060">
        <f t="shared" si="817"/>
        <v>0</v>
      </c>
      <c r="O1416" s="1060">
        <f t="shared" si="818"/>
        <v>0</v>
      </c>
      <c r="P1416" s="1060">
        <f t="shared" si="819"/>
        <v>0</v>
      </c>
    </row>
    <row r="1417" spans="1:16" x14ac:dyDescent="0.25">
      <c r="A1417" s="1039">
        <v>1793</v>
      </c>
      <c r="B1417" s="1039">
        <f t="shared" si="807"/>
        <v>11</v>
      </c>
      <c r="C1417" s="1039" t="str">
        <f t="shared" si="808"/>
        <v>NURDIANA QUDSIYAH</v>
      </c>
      <c r="D1417" s="1041" t="str">
        <f t="shared" si="809"/>
        <v>PBA-3</v>
      </c>
      <c r="E1417" s="1041">
        <f t="shared" si="810"/>
        <v>2019</v>
      </c>
      <c r="F1417" s="1041" t="str">
        <f t="shared" si="811"/>
        <v>PASIF</v>
      </c>
      <c r="G1417" s="1041">
        <f t="shared" si="812"/>
        <v>849219006</v>
      </c>
      <c r="H1417" s="1042">
        <f t="shared" si="813"/>
        <v>0</v>
      </c>
      <c r="I1417" s="1042">
        <f t="shared" si="814"/>
        <v>0</v>
      </c>
      <c r="J1417" s="1042">
        <f t="shared" si="815"/>
        <v>0</v>
      </c>
      <c r="L1417" s="1060">
        <f t="shared" si="820"/>
        <v>0</v>
      </c>
      <c r="M1417" s="1060">
        <f t="shared" si="816"/>
        <v>0</v>
      </c>
      <c r="N1417" s="1060">
        <f t="shared" si="817"/>
        <v>0</v>
      </c>
      <c r="O1417" s="1060">
        <f t="shared" si="818"/>
        <v>0</v>
      </c>
      <c r="P1417" s="1060">
        <f t="shared" si="819"/>
        <v>1</v>
      </c>
    </row>
    <row r="1418" spans="1:16" x14ac:dyDescent="0.25">
      <c r="A1418" s="1039">
        <v>1794</v>
      </c>
      <c r="B1418" s="1039">
        <f t="shared" si="807"/>
        <v>12</v>
      </c>
      <c r="C1418" s="1039" t="str">
        <f t="shared" si="808"/>
        <v>UMI ROBIK HIMMATUL F</v>
      </c>
      <c r="D1418" s="1041" t="str">
        <f t="shared" si="809"/>
        <v>PBA-3</v>
      </c>
      <c r="E1418" s="1041">
        <f t="shared" si="810"/>
        <v>2019</v>
      </c>
      <c r="F1418" s="1041" t="str">
        <f t="shared" si="811"/>
        <v>AKTIF</v>
      </c>
      <c r="G1418" s="1041">
        <f t="shared" si="812"/>
        <v>849219005</v>
      </c>
      <c r="H1418" s="1042">
        <f t="shared" si="813"/>
        <v>6450000</v>
      </c>
      <c r="I1418" s="1042">
        <f t="shared" si="814"/>
        <v>3750000</v>
      </c>
      <c r="J1418" s="1042">
        <f t="shared" si="815"/>
        <v>10200000</v>
      </c>
      <c r="L1418" s="1060">
        <f t="shared" si="820"/>
        <v>1</v>
      </c>
      <c r="M1418" s="1060">
        <f t="shared" si="816"/>
        <v>0</v>
      </c>
      <c r="N1418" s="1060">
        <f t="shared" si="817"/>
        <v>0</v>
      </c>
      <c r="O1418" s="1060">
        <f t="shared" si="818"/>
        <v>0</v>
      </c>
      <c r="P1418" s="1060">
        <f t="shared" si="819"/>
        <v>0</v>
      </c>
    </row>
    <row r="1419" spans="1:16" x14ac:dyDescent="0.25">
      <c r="A1419" s="1039"/>
      <c r="B1419" s="1039"/>
      <c r="C1419" s="1039"/>
      <c r="D1419" s="1040"/>
      <c r="E1419" s="1041"/>
      <c r="F1419" s="1040"/>
      <c r="G1419" s="1041"/>
      <c r="H1419" s="1042"/>
      <c r="I1419" s="1042"/>
      <c r="J1419" s="1042"/>
    </row>
    <row r="1420" spans="1:16" x14ac:dyDescent="0.25">
      <c r="A1420" s="1039"/>
      <c r="B1420" s="1039"/>
      <c r="C1420" s="1039"/>
      <c r="D1420" s="1040"/>
      <c r="E1420" s="1041"/>
      <c r="F1420" s="1040"/>
      <c r="G1420" s="1041"/>
      <c r="H1420" s="1042"/>
      <c r="I1420" s="1042"/>
      <c r="J1420" s="1042"/>
    </row>
    <row r="1421" spans="1:16" x14ac:dyDescent="0.25">
      <c r="A1421" s="1076" t="str">
        <f>'Rekap SPP'!A1946</f>
        <v>S2-HK 2019/2020</v>
      </c>
      <c r="B1421" s="1077"/>
      <c r="C1421" s="1077"/>
      <c r="D1421" s="1033" t="s">
        <v>3</v>
      </c>
      <c r="E1421" s="1032" t="s">
        <v>4</v>
      </c>
      <c r="F1421" s="1033" t="s">
        <v>3195</v>
      </c>
      <c r="G1421" s="1032" t="s">
        <v>1</v>
      </c>
      <c r="H1421" s="1033" t="s">
        <v>3362</v>
      </c>
      <c r="I1421" s="1033" t="s">
        <v>3363</v>
      </c>
      <c r="J1421" s="1062">
        <f>SUM(J1422:J1438)</f>
        <v>153000000</v>
      </c>
      <c r="L1421" s="1063">
        <f>SUM(L1422:L1438)</f>
        <v>15</v>
      </c>
      <c r="M1421" s="1063">
        <f>SUM(M1422:M1438)</f>
        <v>0</v>
      </c>
      <c r="N1421" s="1063">
        <f>SUM(N1422:N1438)</f>
        <v>0</v>
      </c>
      <c r="O1421" s="1063">
        <f>SUM(O1422:O1438)</f>
        <v>0</v>
      </c>
      <c r="P1421" s="1063">
        <f>SUM(P1422:P1438)</f>
        <v>2</v>
      </c>
    </row>
    <row r="1422" spans="1:16" x14ac:dyDescent="0.25">
      <c r="A1422" s="1039">
        <v>1795</v>
      </c>
      <c r="B1422" s="1039">
        <f t="shared" ref="B1422:B1438" si="821">IFERROR(VLOOKUP(A1422,DB,2,FALSE),"  ")</f>
        <v>1</v>
      </c>
      <c r="C1422" s="1039" t="str">
        <f t="shared" ref="C1422:C1438" si="822">IFERROR(VLOOKUP(A1422,DB,4,FALSE),"  ")</f>
        <v>ALFIAH</v>
      </c>
      <c r="D1422" s="1041" t="str">
        <f t="shared" ref="D1422:D1438" si="823">IFERROR(VLOOKUP(A1422,DB,5,FALSE),"  ")</f>
        <v>HK-3</v>
      </c>
      <c r="E1422" s="1041">
        <f t="shared" ref="E1422:E1438" si="824">IFERROR(VLOOKUP(A1422,DB,6,FALSE),"  ")</f>
        <v>2019</v>
      </c>
      <c r="F1422" s="1041" t="str">
        <f t="shared" ref="F1422:F1438" si="825">IFERROR(VLOOKUP(A1422,DB,7,FALSE),"  ")</f>
        <v>AKTIF</v>
      </c>
      <c r="G1422" s="1041">
        <f t="shared" ref="G1422:G1438" si="826">IFERROR(VLOOKUP(A1422,DB,3,FALSE),"  ")</f>
        <v>839119015</v>
      </c>
      <c r="H1422" s="1042">
        <f t="shared" ref="H1422:H1434" si="827">IF(F1422="AKTIF",6450000,IF(F1422="CUTI",3000000,0))</f>
        <v>6450000</v>
      </c>
      <c r="I1422" s="1042">
        <f t="shared" ref="I1422:I1434" si="828">IF(F1422="AKTIF",3750000,IF(F1422="CUTI",3000000,0))</f>
        <v>3750000</v>
      </c>
      <c r="J1422" s="1042">
        <f t="shared" ref="J1422:J1434" si="829">I1422+H1422</f>
        <v>10200000</v>
      </c>
      <c r="L1422" s="1060">
        <f>IF(F1422="AKTIF",1,0)</f>
        <v>1</v>
      </c>
      <c r="M1422" s="1060">
        <f t="shared" ref="M1422:M1438" si="830">IF(F1422="LULUS",1,0)</f>
        <v>0</v>
      </c>
      <c r="N1422" s="1060">
        <f t="shared" ref="N1422:N1438" si="831">IF(F1422="CUTI",1,0)</f>
        <v>0</v>
      </c>
      <c r="O1422" s="1060">
        <f t="shared" ref="O1422:O1438" si="832">IF(F1422="DROP OUT",1,0)</f>
        <v>0</v>
      </c>
      <c r="P1422" s="1060">
        <f t="shared" ref="P1422:P1434" si="833">IF(F1422="PASIF",1,0)</f>
        <v>0</v>
      </c>
    </row>
    <row r="1423" spans="1:16" x14ac:dyDescent="0.25">
      <c r="A1423" s="1039">
        <v>1796</v>
      </c>
      <c r="B1423" s="1039">
        <f t="shared" si="821"/>
        <v>2</v>
      </c>
      <c r="C1423" s="1039" t="str">
        <f t="shared" si="822"/>
        <v>HERMANTO</v>
      </c>
      <c r="D1423" s="1041" t="str">
        <f t="shared" si="823"/>
        <v>HK-3</v>
      </c>
      <c r="E1423" s="1041">
        <f t="shared" si="824"/>
        <v>2019</v>
      </c>
      <c r="F1423" s="1041" t="str">
        <f t="shared" si="825"/>
        <v>AKTIF</v>
      </c>
      <c r="G1423" s="1041">
        <f t="shared" si="826"/>
        <v>839119016</v>
      </c>
      <c r="H1423" s="1042">
        <f t="shared" si="827"/>
        <v>6450000</v>
      </c>
      <c r="I1423" s="1042">
        <f t="shared" si="828"/>
        <v>3750000</v>
      </c>
      <c r="J1423" s="1042">
        <f t="shared" si="829"/>
        <v>10200000</v>
      </c>
      <c r="L1423" s="1060">
        <f t="shared" ref="L1423:L1434" si="834">IF(F1423="AKTIF",1,0)</f>
        <v>1</v>
      </c>
      <c r="M1423" s="1060">
        <f t="shared" si="830"/>
        <v>0</v>
      </c>
      <c r="N1423" s="1060">
        <f t="shared" si="831"/>
        <v>0</v>
      </c>
      <c r="O1423" s="1060">
        <f t="shared" si="832"/>
        <v>0</v>
      </c>
      <c r="P1423" s="1060">
        <f t="shared" si="833"/>
        <v>0</v>
      </c>
    </row>
    <row r="1424" spans="1:16" x14ac:dyDescent="0.25">
      <c r="A1424" s="1039">
        <v>1797</v>
      </c>
      <c r="B1424" s="1039">
        <f t="shared" si="821"/>
        <v>3</v>
      </c>
      <c r="C1424" s="1039" t="str">
        <f t="shared" si="822"/>
        <v>KURNIAWAN NOVANDY</v>
      </c>
      <c r="D1424" s="1041" t="str">
        <f t="shared" si="823"/>
        <v>HK-3</v>
      </c>
      <c r="E1424" s="1041">
        <f t="shared" si="824"/>
        <v>2019</v>
      </c>
      <c r="F1424" s="1041" t="str">
        <f t="shared" si="825"/>
        <v>AKTIF</v>
      </c>
      <c r="G1424" s="1041">
        <f t="shared" si="826"/>
        <v>839119006</v>
      </c>
      <c r="H1424" s="1042">
        <f t="shared" si="827"/>
        <v>6450000</v>
      </c>
      <c r="I1424" s="1042">
        <f t="shared" si="828"/>
        <v>3750000</v>
      </c>
      <c r="J1424" s="1042">
        <f t="shared" si="829"/>
        <v>10200000</v>
      </c>
      <c r="L1424" s="1060">
        <f t="shared" si="834"/>
        <v>1</v>
      </c>
      <c r="M1424" s="1060">
        <f t="shared" si="830"/>
        <v>0</v>
      </c>
      <c r="N1424" s="1060">
        <f t="shared" si="831"/>
        <v>0</v>
      </c>
      <c r="O1424" s="1060">
        <f t="shared" si="832"/>
        <v>0</v>
      </c>
      <c r="P1424" s="1060">
        <f t="shared" si="833"/>
        <v>0</v>
      </c>
    </row>
    <row r="1425" spans="1:16" x14ac:dyDescent="0.25">
      <c r="A1425" s="1039">
        <v>1798</v>
      </c>
      <c r="B1425" s="1039">
        <f t="shared" si="821"/>
        <v>4</v>
      </c>
      <c r="C1425" s="1039" t="str">
        <f t="shared" si="822"/>
        <v>LAILIYATUR ROHMAH</v>
      </c>
      <c r="D1425" s="1041" t="str">
        <f t="shared" si="823"/>
        <v>HK-3</v>
      </c>
      <c r="E1425" s="1041">
        <f t="shared" si="824"/>
        <v>2019</v>
      </c>
      <c r="F1425" s="1041" t="str">
        <f t="shared" si="825"/>
        <v>AKTIF</v>
      </c>
      <c r="G1425" s="1041">
        <f t="shared" si="826"/>
        <v>839119005</v>
      </c>
      <c r="H1425" s="1042">
        <f t="shared" si="827"/>
        <v>6450000</v>
      </c>
      <c r="I1425" s="1042">
        <f t="shared" si="828"/>
        <v>3750000</v>
      </c>
      <c r="J1425" s="1042">
        <f t="shared" si="829"/>
        <v>10200000</v>
      </c>
      <c r="L1425" s="1060">
        <f t="shared" si="834"/>
        <v>1</v>
      </c>
      <c r="M1425" s="1060">
        <f t="shared" si="830"/>
        <v>0</v>
      </c>
      <c r="N1425" s="1060">
        <f t="shared" si="831"/>
        <v>0</v>
      </c>
      <c r="O1425" s="1060">
        <f t="shared" si="832"/>
        <v>0</v>
      </c>
      <c r="P1425" s="1060">
        <f t="shared" si="833"/>
        <v>0</v>
      </c>
    </row>
    <row r="1426" spans="1:16" x14ac:dyDescent="0.25">
      <c r="A1426" s="1039">
        <v>1799</v>
      </c>
      <c r="B1426" s="1039">
        <f t="shared" si="821"/>
        <v>5</v>
      </c>
      <c r="C1426" s="1039" t="str">
        <f t="shared" si="822"/>
        <v>M. SHOLEH EVENDI</v>
      </c>
      <c r="D1426" s="1041" t="str">
        <f t="shared" si="823"/>
        <v>HK-3</v>
      </c>
      <c r="E1426" s="1041">
        <f t="shared" si="824"/>
        <v>2019</v>
      </c>
      <c r="F1426" s="1041" t="str">
        <f t="shared" si="825"/>
        <v>AKTIF</v>
      </c>
      <c r="G1426" s="1041">
        <f t="shared" si="826"/>
        <v>839119011</v>
      </c>
      <c r="H1426" s="1042">
        <f t="shared" si="827"/>
        <v>6450000</v>
      </c>
      <c r="I1426" s="1042">
        <f t="shared" si="828"/>
        <v>3750000</v>
      </c>
      <c r="J1426" s="1042">
        <f t="shared" si="829"/>
        <v>10200000</v>
      </c>
      <c r="L1426" s="1060">
        <f t="shared" si="834"/>
        <v>1</v>
      </c>
      <c r="M1426" s="1060">
        <f t="shared" si="830"/>
        <v>0</v>
      </c>
      <c r="N1426" s="1060">
        <f t="shared" si="831"/>
        <v>0</v>
      </c>
      <c r="O1426" s="1060">
        <f t="shared" si="832"/>
        <v>0</v>
      </c>
      <c r="P1426" s="1060">
        <f t="shared" si="833"/>
        <v>0</v>
      </c>
    </row>
    <row r="1427" spans="1:16" x14ac:dyDescent="0.25">
      <c r="A1427" s="1039">
        <v>1800</v>
      </c>
      <c r="B1427" s="1039">
        <f t="shared" si="821"/>
        <v>6</v>
      </c>
      <c r="C1427" s="1039" t="str">
        <f t="shared" si="822"/>
        <v>M.HELI ABRORI LUTFI</v>
      </c>
      <c r="D1427" s="1041" t="str">
        <f t="shared" si="823"/>
        <v>HK-3</v>
      </c>
      <c r="E1427" s="1041">
        <f t="shared" si="824"/>
        <v>2019</v>
      </c>
      <c r="F1427" s="1041" t="str">
        <f t="shared" si="825"/>
        <v>AKTIF</v>
      </c>
      <c r="G1427" s="1041">
        <f t="shared" si="826"/>
        <v>839119008</v>
      </c>
      <c r="H1427" s="1042">
        <f t="shared" si="827"/>
        <v>6450000</v>
      </c>
      <c r="I1427" s="1042">
        <f t="shared" si="828"/>
        <v>3750000</v>
      </c>
      <c r="J1427" s="1042">
        <f t="shared" si="829"/>
        <v>10200000</v>
      </c>
      <c r="L1427" s="1060">
        <f t="shared" si="834"/>
        <v>1</v>
      </c>
      <c r="M1427" s="1060">
        <f t="shared" si="830"/>
        <v>0</v>
      </c>
      <c r="N1427" s="1060">
        <f t="shared" si="831"/>
        <v>0</v>
      </c>
      <c r="O1427" s="1060">
        <f t="shared" si="832"/>
        <v>0</v>
      </c>
      <c r="P1427" s="1060">
        <f t="shared" si="833"/>
        <v>0</v>
      </c>
    </row>
    <row r="1428" spans="1:16" x14ac:dyDescent="0.25">
      <c r="A1428" s="1039">
        <v>1801</v>
      </c>
      <c r="B1428" s="1039">
        <f t="shared" si="821"/>
        <v>7</v>
      </c>
      <c r="C1428" s="1039" t="str">
        <f t="shared" si="822"/>
        <v>MAULANA ZUKHRUFIN</v>
      </c>
      <c r="D1428" s="1041" t="str">
        <f t="shared" si="823"/>
        <v>HK-3</v>
      </c>
      <c r="E1428" s="1041">
        <f t="shared" si="824"/>
        <v>2019</v>
      </c>
      <c r="F1428" s="1041" t="str">
        <f t="shared" si="825"/>
        <v>PASIF</v>
      </c>
      <c r="G1428" s="1041">
        <f t="shared" si="826"/>
        <v>839119014</v>
      </c>
      <c r="H1428" s="1042">
        <f t="shared" si="827"/>
        <v>0</v>
      </c>
      <c r="I1428" s="1042">
        <f t="shared" si="828"/>
        <v>0</v>
      </c>
      <c r="J1428" s="1042">
        <f t="shared" si="829"/>
        <v>0</v>
      </c>
      <c r="L1428" s="1060">
        <f t="shared" si="834"/>
        <v>0</v>
      </c>
      <c r="M1428" s="1060">
        <f t="shared" si="830"/>
        <v>0</v>
      </c>
      <c r="N1428" s="1060">
        <f t="shared" si="831"/>
        <v>0</v>
      </c>
      <c r="O1428" s="1060">
        <f t="shared" si="832"/>
        <v>0</v>
      </c>
      <c r="P1428" s="1060">
        <f t="shared" si="833"/>
        <v>1</v>
      </c>
    </row>
    <row r="1429" spans="1:16" x14ac:dyDescent="0.25">
      <c r="A1429" s="1039">
        <v>1802</v>
      </c>
      <c r="B1429" s="1039">
        <f t="shared" si="821"/>
        <v>8</v>
      </c>
      <c r="C1429" s="1039" t="str">
        <f t="shared" si="822"/>
        <v>MUHAMMAD FAHMI ILLAVY</v>
      </c>
      <c r="D1429" s="1041" t="str">
        <f t="shared" si="823"/>
        <v>HK-3</v>
      </c>
      <c r="E1429" s="1041">
        <f t="shared" si="824"/>
        <v>2019</v>
      </c>
      <c r="F1429" s="1041" t="str">
        <f t="shared" si="825"/>
        <v>AKTIF</v>
      </c>
      <c r="G1429" s="1041">
        <f t="shared" si="826"/>
        <v>839119003</v>
      </c>
      <c r="H1429" s="1042">
        <f t="shared" si="827"/>
        <v>6450000</v>
      </c>
      <c r="I1429" s="1042">
        <f t="shared" si="828"/>
        <v>3750000</v>
      </c>
      <c r="J1429" s="1042">
        <f t="shared" si="829"/>
        <v>10200000</v>
      </c>
      <c r="L1429" s="1060">
        <f t="shared" si="834"/>
        <v>1</v>
      </c>
      <c r="M1429" s="1060">
        <f t="shared" si="830"/>
        <v>0</v>
      </c>
      <c r="N1429" s="1060">
        <f t="shared" si="831"/>
        <v>0</v>
      </c>
      <c r="O1429" s="1060">
        <f t="shared" si="832"/>
        <v>0</v>
      </c>
      <c r="P1429" s="1060">
        <f t="shared" si="833"/>
        <v>0</v>
      </c>
    </row>
    <row r="1430" spans="1:16" x14ac:dyDescent="0.25">
      <c r="A1430" s="1039">
        <v>1803</v>
      </c>
      <c r="B1430" s="1039">
        <f t="shared" si="821"/>
        <v>9</v>
      </c>
      <c r="C1430" s="1039" t="str">
        <f t="shared" si="822"/>
        <v>MUHAMMAD NURUL BAHREFI</v>
      </c>
      <c r="D1430" s="1041" t="str">
        <f t="shared" si="823"/>
        <v>HK-3</v>
      </c>
      <c r="E1430" s="1041">
        <f t="shared" si="824"/>
        <v>2019</v>
      </c>
      <c r="F1430" s="1041" t="str">
        <f t="shared" si="825"/>
        <v>AKTIF</v>
      </c>
      <c r="G1430" s="1041">
        <f t="shared" si="826"/>
        <v>839119002</v>
      </c>
      <c r="H1430" s="1042">
        <f t="shared" si="827"/>
        <v>6450000</v>
      </c>
      <c r="I1430" s="1042">
        <f t="shared" si="828"/>
        <v>3750000</v>
      </c>
      <c r="J1430" s="1042">
        <f t="shared" si="829"/>
        <v>10200000</v>
      </c>
      <c r="L1430" s="1060">
        <f t="shared" si="834"/>
        <v>1</v>
      </c>
      <c r="M1430" s="1060">
        <f t="shared" si="830"/>
        <v>0</v>
      </c>
      <c r="N1430" s="1060">
        <f t="shared" si="831"/>
        <v>0</v>
      </c>
      <c r="O1430" s="1060">
        <f t="shared" si="832"/>
        <v>0</v>
      </c>
      <c r="P1430" s="1060">
        <f t="shared" si="833"/>
        <v>0</v>
      </c>
    </row>
    <row r="1431" spans="1:16" x14ac:dyDescent="0.25">
      <c r="A1431" s="1039">
        <v>1804</v>
      </c>
      <c r="B1431" s="1039">
        <f t="shared" si="821"/>
        <v>10</v>
      </c>
      <c r="C1431" s="1039" t="str">
        <f t="shared" si="822"/>
        <v>NUR BUZAIRI</v>
      </c>
      <c r="D1431" s="1041" t="str">
        <f t="shared" si="823"/>
        <v>HK-3</v>
      </c>
      <c r="E1431" s="1041">
        <f t="shared" si="824"/>
        <v>2019</v>
      </c>
      <c r="F1431" s="1041" t="str">
        <f t="shared" si="825"/>
        <v>AKTIF</v>
      </c>
      <c r="G1431" s="1041">
        <f t="shared" si="826"/>
        <v>839119012</v>
      </c>
      <c r="H1431" s="1042">
        <f t="shared" si="827"/>
        <v>6450000</v>
      </c>
      <c r="I1431" s="1042">
        <f t="shared" si="828"/>
        <v>3750000</v>
      </c>
      <c r="J1431" s="1042">
        <f t="shared" si="829"/>
        <v>10200000</v>
      </c>
      <c r="L1431" s="1060">
        <f t="shared" si="834"/>
        <v>1</v>
      </c>
      <c r="M1431" s="1060">
        <f t="shared" si="830"/>
        <v>0</v>
      </c>
      <c r="N1431" s="1060">
        <f t="shared" si="831"/>
        <v>0</v>
      </c>
      <c r="O1431" s="1060">
        <f t="shared" si="832"/>
        <v>0</v>
      </c>
      <c r="P1431" s="1060">
        <f t="shared" si="833"/>
        <v>0</v>
      </c>
    </row>
    <row r="1432" spans="1:16" x14ac:dyDescent="0.25">
      <c r="A1432" s="1039">
        <v>1805</v>
      </c>
      <c r="B1432" s="1039">
        <f t="shared" si="821"/>
        <v>11</v>
      </c>
      <c r="C1432" s="1039" t="str">
        <f t="shared" si="822"/>
        <v>RENIYADUS SHOLEHAH</v>
      </c>
      <c r="D1432" s="1041" t="str">
        <f t="shared" si="823"/>
        <v>HK-3</v>
      </c>
      <c r="E1432" s="1041">
        <f t="shared" si="824"/>
        <v>2019</v>
      </c>
      <c r="F1432" s="1041" t="str">
        <f t="shared" si="825"/>
        <v>AKTIF</v>
      </c>
      <c r="G1432" s="1041">
        <f t="shared" si="826"/>
        <v>839119007</v>
      </c>
      <c r="H1432" s="1042">
        <f t="shared" si="827"/>
        <v>6450000</v>
      </c>
      <c r="I1432" s="1042">
        <f t="shared" si="828"/>
        <v>3750000</v>
      </c>
      <c r="J1432" s="1042">
        <f t="shared" si="829"/>
        <v>10200000</v>
      </c>
      <c r="L1432" s="1060">
        <f t="shared" si="834"/>
        <v>1</v>
      </c>
      <c r="M1432" s="1060">
        <f t="shared" si="830"/>
        <v>0</v>
      </c>
      <c r="N1432" s="1060">
        <f t="shared" si="831"/>
        <v>0</v>
      </c>
      <c r="O1432" s="1060">
        <f t="shared" si="832"/>
        <v>0</v>
      </c>
      <c r="P1432" s="1060">
        <f t="shared" si="833"/>
        <v>0</v>
      </c>
    </row>
    <row r="1433" spans="1:16" x14ac:dyDescent="0.25">
      <c r="A1433" s="1039">
        <v>1806</v>
      </c>
      <c r="B1433" s="1039">
        <f t="shared" si="821"/>
        <v>12</v>
      </c>
      <c r="C1433" s="1039" t="str">
        <f t="shared" si="822"/>
        <v>ISWANTO MALIK</v>
      </c>
      <c r="D1433" s="1041" t="str">
        <f t="shared" si="823"/>
        <v>HK-3</v>
      </c>
      <c r="E1433" s="1041">
        <f t="shared" si="824"/>
        <v>2019</v>
      </c>
      <c r="F1433" s="1041" t="str">
        <f t="shared" si="825"/>
        <v>AKTIF</v>
      </c>
      <c r="G1433" s="1041">
        <f t="shared" si="826"/>
        <v>839119013</v>
      </c>
      <c r="H1433" s="1042">
        <f t="shared" si="827"/>
        <v>6450000</v>
      </c>
      <c r="I1433" s="1042">
        <f t="shared" si="828"/>
        <v>3750000</v>
      </c>
      <c r="J1433" s="1042">
        <f t="shared" si="829"/>
        <v>10200000</v>
      </c>
      <c r="L1433" s="1060">
        <f t="shared" si="834"/>
        <v>1</v>
      </c>
      <c r="M1433" s="1060">
        <f t="shared" si="830"/>
        <v>0</v>
      </c>
      <c r="N1433" s="1060">
        <f t="shared" si="831"/>
        <v>0</v>
      </c>
      <c r="O1433" s="1060">
        <f t="shared" si="832"/>
        <v>0</v>
      </c>
      <c r="P1433" s="1060">
        <f t="shared" si="833"/>
        <v>0</v>
      </c>
    </row>
    <row r="1434" spans="1:16" x14ac:dyDescent="0.25">
      <c r="A1434" s="1039">
        <v>1807</v>
      </c>
      <c r="B1434" s="1039">
        <f t="shared" si="821"/>
        <v>13</v>
      </c>
      <c r="C1434" s="1039" t="str">
        <f t="shared" si="822"/>
        <v>RIZKI ASHARUL FAHRISI</v>
      </c>
      <c r="D1434" s="1041" t="str">
        <f t="shared" si="823"/>
        <v>HK-3</v>
      </c>
      <c r="E1434" s="1041">
        <f t="shared" si="824"/>
        <v>2019</v>
      </c>
      <c r="F1434" s="1041" t="str">
        <f t="shared" si="825"/>
        <v>AKTIF</v>
      </c>
      <c r="G1434" s="1041">
        <f t="shared" si="826"/>
        <v>839119004</v>
      </c>
      <c r="H1434" s="1042">
        <f t="shared" si="827"/>
        <v>6450000</v>
      </c>
      <c r="I1434" s="1042">
        <f t="shared" si="828"/>
        <v>3750000</v>
      </c>
      <c r="J1434" s="1042">
        <f t="shared" si="829"/>
        <v>10200000</v>
      </c>
      <c r="L1434" s="1060">
        <f t="shared" si="834"/>
        <v>1</v>
      </c>
      <c r="M1434" s="1060">
        <f t="shared" si="830"/>
        <v>0</v>
      </c>
      <c r="N1434" s="1060">
        <f t="shared" si="831"/>
        <v>0</v>
      </c>
      <c r="O1434" s="1060">
        <f t="shared" si="832"/>
        <v>0</v>
      </c>
      <c r="P1434" s="1060">
        <f t="shared" si="833"/>
        <v>0</v>
      </c>
    </row>
    <row r="1435" spans="1:16" x14ac:dyDescent="0.25">
      <c r="A1435" s="1039">
        <v>1808</v>
      </c>
      <c r="B1435" s="1039">
        <f t="shared" si="821"/>
        <v>14</v>
      </c>
      <c r="C1435" s="1039" t="str">
        <f t="shared" si="822"/>
        <v>ROSIDASARI</v>
      </c>
      <c r="D1435" s="1041" t="str">
        <f t="shared" si="823"/>
        <v>HK-3</v>
      </c>
      <c r="E1435" s="1041">
        <f t="shared" si="824"/>
        <v>2019</v>
      </c>
      <c r="F1435" s="1041" t="str">
        <f t="shared" si="825"/>
        <v>AKTIF</v>
      </c>
      <c r="G1435" s="1041">
        <f t="shared" si="826"/>
        <v>839119001</v>
      </c>
      <c r="H1435" s="1042">
        <f t="shared" ref="H1435:H1437" si="835">IF(F1435="AKTIF",6450000,IF(F1435="CUTI",3000000,0))</f>
        <v>6450000</v>
      </c>
      <c r="I1435" s="1042">
        <f t="shared" ref="I1435:I1437" si="836">IF(F1435="AKTIF",3750000,IF(F1435="CUTI",3000000,0))</f>
        <v>3750000</v>
      </c>
      <c r="J1435" s="1042">
        <f t="shared" ref="J1435:J1437" si="837">I1435+H1435</f>
        <v>10200000</v>
      </c>
      <c r="L1435" s="1060">
        <f t="shared" ref="L1435:L1437" si="838">IF(F1435="AKTIF",1,0)</f>
        <v>1</v>
      </c>
      <c r="M1435" s="1060">
        <f t="shared" si="830"/>
        <v>0</v>
      </c>
      <c r="N1435" s="1060">
        <f t="shared" si="831"/>
        <v>0</v>
      </c>
      <c r="O1435" s="1060">
        <f t="shared" si="832"/>
        <v>0</v>
      </c>
      <c r="P1435" s="1060">
        <f t="shared" ref="P1435:P1437" si="839">IF(F1435="PASIF",1,0)</f>
        <v>0</v>
      </c>
    </row>
    <row r="1436" spans="1:16" x14ac:dyDescent="0.25">
      <c r="A1436" s="1039">
        <v>1809</v>
      </c>
      <c r="B1436" s="1039">
        <f t="shared" si="821"/>
        <v>15</v>
      </c>
      <c r="C1436" s="1039" t="str">
        <f t="shared" si="822"/>
        <v>SITI ROIFFATUL JANNAH</v>
      </c>
      <c r="D1436" s="1041" t="str">
        <f t="shared" si="823"/>
        <v>HK-3</v>
      </c>
      <c r="E1436" s="1041">
        <f t="shared" si="824"/>
        <v>2019</v>
      </c>
      <c r="F1436" s="1041" t="str">
        <f t="shared" si="825"/>
        <v>AKTIF</v>
      </c>
      <c r="G1436" s="1041">
        <f t="shared" si="826"/>
        <v>839119009</v>
      </c>
      <c r="H1436" s="1042">
        <f t="shared" si="835"/>
        <v>6450000</v>
      </c>
      <c r="I1436" s="1042">
        <f t="shared" si="836"/>
        <v>3750000</v>
      </c>
      <c r="J1436" s="1042">
        <f t="shared" si="837"/>
        <v>10200000</v>
      </c>
      <c r="L1436" s="1060">
        <f t="shared" si="838"/>
        <v>1</v>
      </c>
      <c r="M1436" s="1060">
        <f t="shared" si="830"/>
        <v>0</v>
      </c>
      <c r="N1436" s="1060">
        <f t="shared" si="831"/>
        <v>0</v>
      </c>
      <c r="O1436" s="1060">
        <f t="shared" si="832"/>
        <v>0</v>
      </c>
      <c r="P1436" s="1060">
        <f t="shared" si="839"/>
        <v>0</v>
      </c>
    </row>
    <row r="1437" spans="1:16" x14ac:dyDescent="0.25">
      <c r="A1437" s="1039">
        <v>1810</v>
      </c>
      <c r="B1437" s="1039">
        <f t="shared" si="821"/>
        <v>16</v>
      </c>
      <c r="C1437" s="1039" t="str">
        <f t="shared" si="822"/>
        <v>TAUFIK ALFIAN</v>
      </c>
      <c r="D1437" s="1041" t="str">
        <f t="shared" si="823"/>
        <v>HK-3</v>
      </c>
      <c r="E1437" s="1041">
        <f t="shared" si="824"/>
        <v>2019</v>
      </c>
      <c r="F1437" s="1041" t="str">
        <f t="shared" si="825"/>
        <v>AKTIF</v>
      </c>
      <c r="G1437" s="1041">
        <f t="shared" si="826"/>
        <v>839119010</v>
      </c>
      <c r="H1437" s="1042">
        <f t="shared" si="835"/>
        <v>6450000</v>
      </c>
      <c r="I1437" s="1042">
        <f t="shared" si="836"/>
        <v>3750000</v>
      </c>
      <c r="J1437" s="1042">
        <f t="shared" si="837"/>
        <v>10200000</v>
      </c>
      <c r="L1437" s="1060">
        <f t="shared" si="838"/>
        <v>1</v>
      </c>
      <c r="M1437" s="1060">
        <f t="shared" si="830"/>
        <v>0</v>
      </c>
      <c r="N1437" s="1060">
        <f t="shared" si="831"/>
        <v>0</v>
      </c>
      <c r="O1437" s="1060">
        <f t="shared" si="832"/>
        <v>0</v>
      </c>
      <c r="P1437" s="1060">
        <f t="shared" si="839"/>
        <v>0</v>
      </c>
    </row>
    <row r="1438" spans="1:16" x14ac:dyDescent="0.25">
      <c r="A1438" s="1039">
        <v>1811</v>
      </c>
      <c r="B1438" s="1039">
        <f t="shared" si="821"/>
        <v>17</v>
      </c>
      <c r="C1438" s="1039" t="str">
        <f t="shared" si="822"/>
        <v>RESMA TIARA</v>
      </c>
      <c r="D1438" s="1041" t="str">
        <f t="shared" si="823"/>
        <v>HK-3</v>
      </c>
      <c r="E1438" s="1041">
        <f t="shared" si="824"/>
        <v>2019</v>
      </c>
      <c r="F1438" s="1041" t="str">
        <f t="shared" si="825"/>
        <v>PASIF</v>
      </c>
      <c r="G1438" s="1041">
        <f t="shared" si="826"/>
        <v>839119017</v>
      </c>
      <c r="H1438" s="1042">
        <f t="shared" ref="H1438" si="840">IF(F1438="AKTIF",6450000,IF(F1438="CUTI",3000000,0))</f>
        <v>0</v>
      </c>
      <c r="I1438" s="1042">
        <f t="shared" ref="I1438" si="841">IF(F1438="AKTIF",3750000,IF(F1438="CUTI",3000000,0))</f>
        <v>0</v>
      </c>
      <c r="J1438" s="1042">
        <f t="shared" ref="J1438" si="842">I1438+H1438</f>
        <v>0</v>
      </c>
      <c r="L1438" s="1060">
        <f t="shared" ref="L1438" si="843">IF(F1438="AKTIF",1,0)</f>
        <v>0</v>
      </c>
      <c r="M1438" s="1060">
        <f t="shared" si="830"/>
        <v>0</v>
      </c>
      <c r="N1438" s="1060">
        <f t="shared" si="831"/>
        <v>0</v>
      </c>
      <c r="O1438" s="1060">
        <f t="shared" si="832"/>
        <v>0</v>
      </c>
      <c r="P1438" s="1060">
        <f t="shared" ref="P1438" si="844">IF(F1438="PASIF",1,0)</f>
        <v>1</v>
      </c>
    </row>
    <row r="1439" spans="1:16" x14ac:dyDescent="0.25">
      <c r="A1439" s="1039"/>
      <c r="B1439" s="1039"/>
      <c r="C1439" s="1039"/>
      <c r="D1439" s="1040"/>
      <c r="E1439" s="1041"/>
      <c r="F1439" s="1040"/>
      <c r="G1439" s="1041"/>
      <c r="H1439" s="1042"/>
      <c r="I1439" s="1042"/>
      <c r="J1439" s="1042"/>
    </row>
    <row r="1440" spans="1:16" x14ac:dyDescent="0.25">
      <c r="A1440" s="1076" t="str">
        <f>'Rekap SPP'!A1965</f>
        <v>S2-KPI 2019/2020</v>
      </c>
      <c r="B1440" s="1077"/>
      <c r="C1440" s="1077"/>
      <c r="D1440" s="1033" t="s">
        <v>3</v>
      </c>
      <c r="E1440" s="1032" t="s">
        <v>4</v>
      </c>
      <c r="F1440" s="1033" t="s">
        <v>3195</v>
      </c>
      <c r="G1440" s="1032" t="s">
        <v>1</v>
      </c>
      <c r="H1440" s="1033" t="s">
        <v>3362</v>
      </c>
      <c r="I1440" s="1033" t="s">
        <v>3363</v>
      </c>
      <c r="J1440" s="1062">
        <f>SUM(J1441:J1451)</f>
        <v>91800000</v>
      </c>
      <c r="L1440" s="1063">
        <f>SUM(L1441:L1451)</f>
        <v>9</v>
      </c>
      <c r="M1440" s="1063">
        <f>SUM(M1441:M1451)</f>
        <v>0</v>
      </c>
      <c r="N1440" s="1063">
        <f>SUM(N1441:N1451)</f>
        <v>0</v>
      </c>
      <c r="O1440" s="1063">
        <f>SUM(O1441:O1451)</f>
        <v>0</v>
      </c>
      <c r="P1440" s="1063">
        <f>SUM(P1441:P1451)</f>
        <v>2</v>
      </c>
    </row>
    <row r="1441" spans="1:16" x14ac:dyDescent="0.25">
      <c r="A1441" s="1039">
        <v>1812</v>
      </c>
      <c r="B1441" s="1039">
        <f t="shared" ref="B1441:B1450" si="845">IFERROR(VLOOKUP(A1441,DB,2,FALSE),"  ")</f>
        <v>1</v>
      </c>
      <c r="C1441" s="1039" t="str">
        <f t="shared" ref="C1441:C1450" si="846">IFERROR(VLOOKUP(A1441,DB,4,FALSE),"  ")</f>
        <v>ABDUR ROIS</v>
      </c>
      <c r="D1441" s="1041" t="str">
        <f t="shared" ref="D1441:D1450" si="847">IFERROR(VLOOKUP(A1441,DB,5,FALSE),"  ")</f>
        <v>KPI-3</v>
      </c>
      <c r="E1441" s="1041">
        <f t="shared" ref="E1441:E1450" si="848">IFERROR(VLOOKUP(A1441,DB,6,FALSE),"  ")</f>
        <v>2019</v>
      </c>
      <c r="F1441" s="1041" t="str">
        <f t="shared" ref="F1441:F1450" si="849">IFERROR(VLOOKUP(A1441,DB,7,FALSE),"  ")</f>
        <v>AKTIF</v>
      </c>
      <c r="G1441" s="1041">
        <f t="shared" ref="G1441:G1450" si="850">IFERROR(VLOOKUP(A1441,DB,3,FALSE),"  ")</f>
        <v>829119011</v>
      </c>
      <c r="H1441" s="1042">
        <f t="shared" ref="H1441:H1451" si="851">IF(F1441="AKTIF",6450000,IF(F1441="CUTI",3000000,0))</f>
        <v>6450000</v>
      </c>
      <c r="I1441" s="1042">
        <f t="shared" ref="I1441:I1451" si="852">IF(F1441="AKTIF",3750000,IF(F1441="CUTI",3000000,0))</f>
        <v>3750000</v>
      </c>
      <c r="J1441" s="1042">
        <f t="shared" ref="J1441:J1451" si="853">I1441+H1441</f>
        <v>10200000</v>
      </c>
      <c r="L1441" s="1060">
        <f>IF(F1441="AKTIF",1,0)</f>
        <v>1</v>
      </c>
      <c r="M1441" s="1060">
        <f t="shared" ref="M1441:M1451" si="854">IF(F1441="LULUS",1,0)</f>
        <v>0</v>
      </c>
      <c r="N1441" s="1060">
        <f t="shared" ref="N1441:N1451" si="855">IF(F1441="CUTI",1,0)</f>
        <v>0</v>
      </c>
      <c r="O1441" s="1060">
        <f t="shared" ref="O1441:O1451" si="856">IF(F1441="DROP OUT",1,0)</f>
        <v>0</v>
      </c>
      <c r="P1441" s="1060">
        <f t="shared" ref="P1441:P1450" si="857">IF(F1441="PASIF",1,0)</f>
        <v>0</v>
      </c>
    </row>
    <row r="1442" spans="1:16" x14ac:dyDescent="0.25">
      <c r="A1442" s="1039">
        <v>1813</v>
      </c>
      <c r="B1442" s="1039">
        <f t="shared" si="845"/>
        <v>2</v>
      </c>
      <c r="C1442" s="1039" t="str">
        <f t="shared" si="846"/>
        <v>ACH. WAHIDI</v>
      </c>
      <c r="D1442" s="1041" t="str">
        <f t="shared" si="847"/>
        <v>KPI-3</v>
      </c>
      <c r="E1442" s="1041">
        <f t="shared" si="848"/>
        <v>2019</v>
      </c>
      <c r="F1442" s="1041" t="str">
        <f t="shared" si="849"/>
        <v>AKTIF</v>
      </c>
      <c r="G1442" s="1041">
        <f t="shared" si="850"/>
        <v>829119005</v>
      </c>
      <c r="H1442" s="1042">
        <f t="shared" si="851"/>
        <v>6450000</v>
      </c>
      <c r="I1442" s="1042">
        <f t="shared" si="852"/>
        <v>3750000</v>
      </c>
      <c r="J1442" s="1042">
        <f t="shared" si="853"/>
        <v>10200000</v>
      </c>
      <c r="L1442" s="1060">
        <f t="shared" ref="L1442:L1450" si="858">IF(F1442="AKTIF",1,0)</f>
        <v>1</v>
      </c>
      <c r="M1442" s="1060">
        <f t="shared" si="854"/>
        <v>0</v>
      </c>
      <c r="N1442" s="1060">
        <f t="shared" si="855"/>
        <v>0</v>
      </c>
      <c r="O1442" s="1060">
        <f t="shared" si="856"/>
        <v>0</v>
      </c>
      <c r="P1442" s="1060">
        <f t="shared" si="857"/>
        <v>0</v>
      </c>
    </row>
    <row r="1443" spans="1:16" x14ac:dyDescent="0.25">
      <c r="A1443" s="1039">
        <v>1814</v>
      </c>
      <c r="B1443" s="1039">
        <f t="shared" si="845"/>
        <v>3</v>
      </c>
      <c r="C1443" s="1039" t="str">
        <f t="shared" si="846"/>
        <v>ACHMAD ZADUL MAAD</v>
      </c>
      <c r="D1443" s="1041" t="str">
        <f t="shared" si="847"/>
        <v>KPI-3</v>
      </c>
      <c r="E1443" s="1041">
        <f t="shared" si="848"/>
        <v>2019</v>
      </c>
      <c r="F1443" s="1041" t="str">
        <f t="shared" si="849"/>
        <v>AKTIF</v>
      </c>
      <c r="G1443" s="1041">
        <f t="shared" si="850"/>
        <v>829119001</v>
      </c>
      <c r="H1443" s="1042">
        <f t="shared" si="851"/>
        <v>6450000</v>
      </c>
      <c r="I1443" s="1042">
        <f t="shared" si="852"/>
        <v>3750000</v>
      </c>
      <c r="J1443" s="1042">
        <f t="shared" si="853"/>
        <v>10200000</v>
      </c>
      <c r="L1443" s="1060">
        <f t="shared" si="858"/>
        <v>1</v>
      </c>
      <c r="M1443" s="1060">
        <f t="shared" si="854"/>
        <v>0</v>
      </c>
      <c r="N1443" s="1060">
        <f t="shared" si="855"/>
        <v>0</v>
      </c>
      <c r="O1443" s="1060">
        <f t="shared" si="856"/>
        <v>0</v>
      </c>
      <c r="P1443" s="1060">
        <f t="shared" si="857"/>
        <v>0</v>
      </c>
    </row>
    <row r="1444" spans="1:16" x14ac:dyDescent="0.25">
      <c r="A1444" s="1039">
        <v>1815</v>
      </c>
      <c r="B1444" s="1039">
        <f t="shared" si="845"/>
        <v>4</v>
      </c>
      <c r="C1444" s="1039" t="str">
        <f t="shared" si="846"/>
        <v>ADWIN HAKIM WALI'ULHAQ</v>
      </c>
      <c r="D1444" s="1041" t="str">
        <f t="shared" si="847"/>
        <v>KPI-3</v>
      </c>
      <c r="E1444" s="1041">
        <f t="shared" si="848"/>
        <v>2019</v>
      </c>
      <c r="F1444" s="1041" t="str">
        <f t="shared" si="849"/>
        <v>AKTIF</v>
      </c>
      <c r="G1444" s="1041">
        <f t="shared" si="850"/>
        <v>829119006</v>
      </c>
      <c r="H1444" s="1042">
        <f t="shared" si="851"/>
        <v>6450000</v>
      </c>
      <c r="I1444" s="1042">
        <f t="shared" si="852"/>
        <v>3750000</v>
      </c>
      <c r="J1444" s="1042">
        <f t="shared" si="853"/>
        <v>10200000</v>
      </c>
      <c r="L1444" s="1060">
        <f t="shared" si="858"/>
        <v>1</v>
      </c>
      <c r="M1444" s="1060">
        <f t="shared" si="854"/>
        <v>0</v>
      </c>
      <c r="N1444" s="1060">
        <f t="shared" si="855"/>
        <v>0</v>
      </c>
      <c r="O1444" s="1060">
        <f t="shared" si="856"/>
        <v>0</v>
      </c>
      <c r="P1444" s="1060">
        <f t="shared" si="857"/>
        <v>0</v>
      </c>
    </row>
    <row r="1445" spans="1:16" x14ac:dyDescent="0.25">
      <c r="A1445" s="1039">
        <v>1816</v>
      </c>
      <c r="B1445" s="1039">
        <f t="shared" si="845"/>
        <v>5</v>
      </c>
      <c r="C1445" s="1039" t="str">
        <f t="shared" si="846"/>
        <v>AGUS ANGGA RIZKY</v>
      </c>
      <c r="D1445" s="1041" t="str">
        <f t="shared" si="847"/>
        <v>KPI-3</v>
      </c>
      <c r="E1445" s="1041">
        <f t="shared" si="848"/>
        <v>2019</v>
      </c>
      <c r="F1445" s="1041" t="str">
        <f t="shared" si="849"/>
        <v>AKTIF</v>
      </c>
      <c r="G1445" s="1041">
        <f t="shared" si="850"/>
        <v>829119004</v>
      </c>
      <c r="H1445" s="1042">
        <f t="shared" si="851"/>
        <v>6450000</v>
      </c>
      <c r="I1445" s="1042">
        <f t="shared" si="852"/>
        <v>3750000</v>
      </c>
      <c r="J1445" s="1042">
        <f t="shared" si="853"/>
        <v>10200000</v>
      </c>
      <c r="L1445" s="1060">
        <f t="shared" si="858"/>
        <v>1</v>
      </c>
      <c r="M1445" s="1060">
        <f t="shared" si="854"/>
        <v>0</v>
      </c>
      <c r="N1445" s="1060">
        <f t="shared" si="855"/>
        <v>0</v>
      </c>
      <c r="O1445" s="1060">
        <f t="shared" si="856"/>
        <v>0</v>
      </c>
      <c r="P1445" s="1060">
        <f t="shared" si="857"/>
        <v>0</v>
      </c>
    </row>
    <row r="1446" spans="1:16" x14ac:dyDescent="0.25">
      <c r="A1446" s="1039">
        <v>1817</v>
      </c>
      <c r="B1446" s="1039">
        <f t="shared" si="845"/>
        <v>6</v>
      </c>
      <c r="C1446" s="1039" t="str">
        <f t="shared" si="846"/>
        <v>INDRA WAHYU RADHITO</v>
      </c>
      <c r="D1446" s="1041" t="str">
        <f t="shared" si="847"/>
        <v>KPI-3</v>
      </c>
      <c r="E1446" s="1041">
        <f t="shared" si="848"/>
        <v>2019</v>
      </c>
      <c r="F1446" s="1041" t="str">
        <f t="shared" si="849"/>
        <v>PASIF</v>
      </c>
      <c r="G1446" s="1041">
        <f t="shared" si="850"/>
        <v>829119002</v>
      </c>
      <c r="H1446" s="1042">
        <f t="shared" si="851"/>
        <v>0</v>
      </c>
      <c r="I1446" s="1042">
        <f t="shared" si="852"/>
        <v>0</v>
      </c>
      <c r="J1446" s="1042">
        <f t="shared" si="853"/>
        <v>0</v>
      </c>
      <c r="L1446" s="1060">
        <f t="shared" si="858"/>
        <v>0</v>
      </c>
      <c r="M1446" s="1060">
        <f t="shared" si="854"/>
        <v>0</v>
      </c>
      <c r="N1446" s="1060">
        <f t="shared" si="855"/>
        <v>0</v>
      </c>
      <c r="O1446" s="1060">
        <f t="shared" si="856"/>
        <v>0</v>
      </c>
      <c r="P1446" s="1060">
        <f t="shared" si="857"/>
        <v>1</v>
      </c>
    </row>
    <row r="1447" spans="1:16" x14ac:dyDescent="0.25">
      <c r="A1447" s="1039">
        <v>1818</v>
      </c>
      <c r="B1447" s="1039">
        <f t="shared" si="845"/>
        <v>7</v>
      </c>
      <c r="C1447" s="1039" t="str">
        <f t="shared" si="846"/>
        <v>MAULYDIA ALVIAH</v>
      </c>
      <c r="D1447" s="1041" t="str">
        <f t="shared" si="847"/>
        <v>KPI-3</v>
      </c>
      <c r="E1447" s="1041">
        <f t="shared" si="848"/>
        <v>2019</v>
      </c>
      <c r="F1447" s="1041" t="str">
        <f t="shared" si="849"/>
        <v>AKTIF</v>
      </c>
      <c r="G1447" s="1041">
        <f t="shared" si="850"/>
        <v>829119003</v>
      </c>
      <c r="H1447" s="1042">
        <f t="shared" si="851"/>
        <v>6450000</v>
      </c>
      <c r="I1447" s="1042">
        <f t="shared" si="852"/>
        <v>3750000</v>
      </c>
      <c r="J1447" s="1042">
        <f t="shared" si="853"/>
        <v>10200000</v>
      </c>
      <c r="L1447" s="1060">
        <f t="shared" si="858"/>
        <v>1</v>
      </c>
      <c r="M1447" s="1060">
        <f t="shared" si="854"/>
        <v>0</v>
      </c>
      <c r="N1447" s="1060">
        <f t="shared" si="855"/>
        <v>0</v>
      </c>
      <c r="O1447" s="1060">
        <f t="shared" si="856"/>
        <v>0</v>
      </c>
      <c r="P1447" s="1060">
        <f t="shared" si="857"/>
        <v>0</v>
      </c>
    </row>
    <row r="1448" spans="1:16" x14ac:dyDescent="0.25">
      <c r="A1448" s="1039">
        <v>1819</v>
      </c>
      <c r="B1448" s="1039">
        <f t="shared" si="845"/>
        <v>8</v>
      </c>
      <c r="C1448" s="1039" t="str">
        <f t="shared" si="846"/>
        <v>MOHAMMAD IRCHAMUL HUDA</v>
      </c>
      <c r="D1448" s="1041" t="str">
        <f t="shared" si="847"/>
        <v>KPI-3</v>
      </c>
      <c r="E1448" s="1041">
        <f t="shared" si="848"/>
        <v>2019</v>
      </c>
      <c r="F1448" s="1041" t="str">
        <f t="shared" si="849"/>
        <v>AKTIF</v>
      </c>
      <c r="G1448" s="1041">
        <f t="shared" si="850"/>
        <v>829119008</v>
      </c>
      <c r="H1448" s="1042">
        <f t="shared" si="851"/>
        <v>6450000</v>
      </c>
      <c r="I1448" s="1042">
        <f t="shared" si="852"/>
        <v>3750000</v>
      </c>
      <c r="J1448" s="1042">
        <f t="shared" si="853"/>
        <v>10200000</v>
      </c>
      <c r="L1448" s="1060">
        <f t="shared" si="858"/>
        <v>1</v>
      </c>
      <c r="M1448" s="1060">
        <f t="shared" si="854"/>
        <v>0</v>
      </c>
      <c r="N1448" s="1060">
        <f t="shared" si="855"/>
        <v>0</v>
      </c>
      <c r="O1448" s="1060">
        <f t="shared" si="856"/>
        <v>0</v>
      </c>
      <c r="P1448" s="1060">
        <f t="shared" si="857"/>
        <v>0</v>
      </c>
    </row>
    <row r="1449" spans="1:16" x14ac:dyDescent="0.25">
      <c r="A1449" s="1039">
        <v>1820</v>
      </c>
      <c r="B1449" s="1039">
        <f t="shared" si="845"/>
        <v>9</v>
      </c>
      <c r="C1449" s="1039" t="str">
        <f t="shared" si="846"/>
        <v>NURUL KHASANAH</v>
      </c>
      <c r="D1449" s="1041" t="str">
        <f t="shared" si="847"/>
        <v>KPI-3</v>
      </c>
      <c r="E1449" s="1041">
        <f t="shared" si="848"/>
        <v>2019</v>
      </c>
      <c r="F1449" s="1041" t="str">
        <f t="shared" si="849"/>
        <v>PASIF</v>
      </c>
      <c r="G1449" s="1041">
        <f t="shared" si="850"/>
        <v>829119010</v>
      </c>
      <c r="H1449" s="1042">
        <f t="shared" si="851"/>
        <v>0</v>
      </c>
      <c r="I1449" s="1042">
        <f t="shared" si="852"/>
        <v>0</v>
      </c>
      <c r="J1449" s="1042">
        <f t="shared" si="853"/>
        <v>0</v>
      </c>
      <c r="L1449" s="1060">
        <f t="shared" si="858"/>
        <v>0</v>
      </c>
      <c r="M1449" s="1060">
        <f t="shared" si="854"/>
        <v>0</v>
      </c>
      <c r="N1449" s="1060">
        <f t="shared" si="855"/>
        <v>0</v>
      </c>
      <c r="O1449" s="1060">
        <f t="shared" si="856"/>
        <v>0</v>
      </c>
      <c r="P1449" s="1060">
        <f t="shared" si="857"/>
        <v>1</v>
      </c>
    </row>
    <row r="1450" spans="1:16" x14ac:dyDescent="0.25">
      <c r="A1450" s="1039">
        <v>1821</v>
      </c>
      <c r="B1450" s="1039">
        <f t="shared" si="845"/>
        <v>10</v>
      </c>
      <c r="C1450" s="1039" t="str">
        <f t="shared" si="846"/>
        <v>RISZALATUL KHASANAH</v>
      </c>
      <c r="D1450" s="1041" t="str">
        <f t="shared" si="847"/>
        <v>KPI-3</v>
      </c>
      <c r="E1450" s="1041">
        <f t="shared" si="848"/>
        <v>2019</v>
      </c>
      <c r="F1450" s="1041" t="str">
        <f t="shared" si="849"/>
        <v>AKTIF</v>
      </c>
      <c r="G1450" s="1041">
        <f t="shared" si="850"/>
        <v>829119009</v>
      </c>
      <c r="H1450" s="1042">
        <f t="shared" si="851"/>
        <v>6450000</v>
      </c>
      <c r="I1450" s="1042">
        <f t="shared" si="852"/>
        <v>3750000</v>
      </c>
      <c r="J1450" s="1042">
        <f t="shared" si="853"/>
        <v>10200000</v>
      </c>
      <c r="L1450" s="1060">
        <f t="shared" si="858"/>
        <v>1</v>
      </c>
      <c r="M1450" s="1060">
        <f t="shared" si="854"/>
        <v>0</v>
      </c>
      <c r="N1450" s="1060">
        <f t="shared" si="855"/>
        <v>0</v>
      </c>
      <c r="O1450" s="1060">
        <f t="shared" si="856"/>
        <v>0</v>
      </c>
      <c r="P1450" s="1060">
        <f t="shared" si="857"/>
        <v>0</v>
      </c>
    </row>
    <row r="1451" spans="1:16" x14ac:dyDescent="0.25">
      <c r="A1451" s="1039">
        <v>1822</v>
      </c>
      <c r="B1451" s="1039">
        <f t="shared" ref="B1451" si="859">IFERROR(VLOOKUP(A1451,DB,2,FALSE),"")</f>
        <v>11</v>
      </c>
      <c r="C1451" s="1039" t="str">
        <f>IFERROR(VLOOKUP(A1451,DB,4,FALSE),"")</f>
        <v>WAHYUDI</v>
      </c>
      <c r="D1451" s="1040" t="str">
        <f>IFERROR(VLOOKUP(A1451,DB,5,FALSE),"")</f>
        <v>KPI-3</v>
      </c>
      <c r="E1451" s="1041">
        <f>IFERROR(VLOOKUP(A1451,DB,6,FALSE),"")</f>
        <v>2019</v>
      </c>
      <c r="F1451" s="1040" t="str">
        <f>IFERROR(VLOOKUP(A1451,DB,7,FALSE),"")</f>
        <v>AKTIF</v>
      </c>
      <c r="G1451" s="1041">
        <f>IFERROR(VLOOKUP(A1451,DB,3,FALSE),"")</f>
        <v>829119007</v>
      </c>
      <c r="H1451" s="1042">
        <f t="shared" si="851"/>
        <v>6450000</v>
      </c>
      <c r="I1451" s="1042">
        <f t="shared" si="852"/>
        <v>3750000</v>
      </c>
      <c r="J1451" s="1042">
        <f t="shared" si="853"/>
        <v>10200000</v>
      </c>
      <c r="L1451" s="1060">
        <f t="shared" ref="L1451" si="860">IF(F1451="AKTIF",1,0)</f>
        <v>1</v>
      </c>
      <c r="M1451" s="1060">
        <f t="shared" si="854"/>
        <v>0</v>
      </c>
      <c r="N1451" s="1060">
        <f t="shared" si="855"/>
        <v>0</v>
      </c>
      <c r="O1451" s="1060">
        <f t="shared" si="856"/>
        <v>0</v>
      </c>
      <c r="P1451" s="1060">
        <f t="shared" ref="P1451" si="861">IF(F1451="PASIF",1,0)</f>
        <v>0</v>
      </c>
    </row>
    <row r="1452" spans="1:16" x14ac:dyDescent="0.25">
      <c r="A1452" s="1039"/>
      <c r="B1452" s="1039"/>
      <c r="C1452" s="1039"/>
      <c r="D1452" s="1040"/>
      <c r="E1452" s="1041"/>
      <c r="F1452" s="1040"/>
      <c r="G1452" s="1041"/>
      <c r="H1452" s="1042"/>
      <c r="I1452" s="1042"/>
      <c r="J1452" s="1042"/>
    </row>
    <row r="1453" spans="1:16" x14ac:dyDescent="0.25">
      <c r="A1453" s="1076" t="str">
        <f>'Rekap SPP'!A1978</f>
        <v>S2-PGMI 2019/2020</v>
      </c>
      <c r="B1453" s="1077"/>
      <c r="C1453" s="1077"/>
      <c r="D1453" s="1033" t="s">
        <v>3</v>
      </c>
      <c r="E1453" s="1032" t="s">
        <v>4</v>
      </c>
      <c r="F1453" s="1033" t="s">
        <v>3195</v>
      </c>
      <c r="G1453" s="1032" t="s">
        <v>1</v>
      </c>
      <c r="H1453" s="1033" t="s">
        <v>3362</v>
      </c>
      <c r="I1453" s="1033" t="s">
        <v>3363</v>
      </c>
      <c r="J1453" s="1062">
        <f>SUM(J1454:J1473)</f>
        <v>189600000</v>
      </c>
      <c r="L1453" s="1063">
        <f>SUM(L1454:L1473)</f>
        <v>18</v>
      </c>
      <c r="M1453" s="1063">
        <f>SUM(M1454:M1473)</f>
        <v>0</v>
      </c>
      <c r="N1453" s="1063">
        <f>SUM(N1454:N1473)</f>
        <v>1</v>
      </c>
      <c r="O1453" s="1063">
        <f>SUM(O1454:O1473)</f>
        <v>0</v>
      </c>
      <c r="P1453" s="1063">
        <f>SUM(P1454:P1473)</f>
        <v>1</v>
      </c>
    </row>
    <row r="1454" spans="1:16" x14ac:dyDescent="0.25">
      <c r="A1454" s="1039">
        <v>1823</v>
      </c>
      <c r="B1454" s="1039">
        <f t="shared" ref="B1454:B1480" si="862">IFERROR(VLOOKUP(A1454,DB,2,FALSE),"  ")</f>
        <v>1</v>
      </c>
      <c r="C1454" s="1039" t="str">
        <f t="shared" ref="C1454:C1473" si="863">IFERROR(VLOOKUP(A1454,DB,4,FALSE),"  ")</f>
        <v>ARIN LEVI WIJAYA</v>
      </c>
      <c r="D1454" s="1041" t="str">
        <f t="shared" ref="D1454:D1473" si="864">IFERROR(VLOOKUP(A1454,DB,5,FALSE),"  ")</f>
        <v>PGMI-3</v>
      </c>
      <c r="E1454" s="1041">
        <f t="shared" ref="E1454:E1473" si="865">IFERROR(VLOOKUP(A1454,DB,6,FALSE),"  ")</f>
        <v>2019</v>
      </c>
      <c r="F1454" s="1041" t="str">
        <f t="shared" ref="F1454:F1473" si="866">IFERROR(VLOOKUP(A1454,DB,7,FALSE),"  ")</f>
        <v>AKTIF</v>
      </c>
      <c r="G1454" s="1041">
        <f t="shared" ref="G1454:G1473" si="867">IFERROR(VLOOKUP(A1454,DB,3,FALSE),"  ")</f>
        <v>849419001</v>
      </c>
      <c r="H1454" s="1042">
        <f t="shared" ref="H1454:H1464" si="868">IF(F1454="AKTIF",6450000,IF(F1454="CUTI",3000000,0))</f>
        <v>6450000</v>
      </c>
      <c r="I1454" s="1042">
        <f t="shared" ref="I1454:I1464" si="869">IF(F1454="AKTIF",3750000,IF(F1454="CUTI",3000000,0))</f>
        <v>3750000</v>
      </c>
      <c r="J1454" s="1042">
        <f t="shared" ref="J1454:J1464" si="870">I1454+H1454</f>
        <v>10200000</v>
      </c>
      <c r="L1454" s="1060">
        <f>IF(F1454="AKTIF",1,0)</f>
        <v>1</v>
      </c>
      <c r="M1454" s="1060">
        <f t="shared" ref="M1454:M1480" si="871">IF(F1454="LULUS",1,0)</f>
        <v>0</v>
      </c>
      <c r="N1454" s="1060">
        <f t="shared" ref="N1454:N1480" si="872">IF(F1454="CUTI",1,0)</f>
        <v>0</v>
      </c>
      <c r="O1454" s="1060">
        <f t="shared" ref="O1454:O1480" si="873">IF(F1454="DROP OUT",1,0)</f>
        <v>0</v>
      </c>
      <c r="P1454" s="1060">
        <f t="shared" ref="P1454:P1464" si="874">IF(F1454="PASIF",1,0)</f>
        <v>0</v>
      </c>
    </row>
    <row r="1455" spans="1:16" x14ac:dyDescent="0.25">
      <c r="A1455" s="1039">
        <v>1824</v>
      </c>
      <c r="B1455" s="1039">
        <f t="shared" si="862"/>
        <v>2</v>
      </c>
      <c r="C1455" s="1039" t="str">
        <f t="shared" si="863"/>
        <v>BAGUS ALIMUDIN</v>
      </c>
      <c r="D1455" s="1041" t="str">
        <f t="shared" si="864"/>
        <v>PGMI-3</v>
      </c>
      <c r="E1455" s="1041">
        <f t="shared" si="865"/>
        <v>2019</v>
      </c>
      <c r="F1455" s="1041" t="str">
        <f t="shared" si="866"/>
        <v>AKTIF</v>
      </c>
      <c r="G1455" s="1041">
        <f t="shared" si="867"/>
        <v>849419005</v>
      </c>
      <c r="H1455" s="1042">
        <f t="shared" si="868"/>
        <v>6450000</v>
      </c>
      <c r="I1455" s="1042">
        <f t="shared" si="869"/>
        <v>3750000</v>
      </c>
      <c r="J1455" s="1042">
        <f t="shared" si="870"/>
        <v>10200000</v>
      </c>
      <c r="L1455" s="1060">
        <f t="shared" ref="L1455:L1464" si="875">IF(F1455="AKTIF",1,0)</f>
        <v>1</v>
      </c>
      <c r="M1455" s="1060">
        <f t="shared" si="871"/>
        <v>0</v>
      </c>
      <c r="N1455" s="1060">
        <f t="shared" si="872"/>
        <v>0</v>
      </c>
      <c r="O1455" s="1060">
        <f t="shared" si="873"/>
        <v>0</v>
      </c>
      <c r="P1455" s="1060">
        <f t="shared" si="874"/>
        <v>0</v>
      </c>
    </row>
    <row r="1456" spans="1:16" x14ac:dyDescent="0.25">
      <c r="A1456" s="1039">
        <v>1825</v>
      </c>
      <c r="B1456" s="1039">
        <f t="shared" si="862"/>
        <v>3</v>
      </c>
      <c r="C1456" s="1039" t="str">
        <f t="shared" si="863"/>
        <v>DIANA HALAWATAL ZANNAH</v>
      </c>
      <c r="D1456" s="1041" t="str">
        <f t="shared" si="864"/>
        <v>PGMI-3</v>
      </c>
      <c r="E1456" s="1041">
        <f t="shared" si="865"/>
        <v>2019</v>
      </c>
      <c r="F1456" s="1041" t="str">
        <f t="shared" si="866"/>
        <v>AKTIF</v>
      </c>
      <c r="G1456" s="1041">
        <f t="shared" si="867"/>
        <v>849419009</v>
      </c>
      <c r="H1456" s="1042">
        <f t="shared" si="868"/>
        <v>6450000</v>
      </c>
      <c r="I1456" s="1042">
        <f t="shared" si="869"/>
        <v>3750000</v>
      </c>
      <c r="J1456" s="1042">
        <f t="shared" si="870"/>
        <v>10200000</v>
      </c>
      <c r="L1456" s="1060">
        <f t="shared" si="875"/>
        <v>1</v>
      </c>
      <c r="M1456" s="1060">
        <f t="shared" si="871"/>
        <v>0</v>
      </c>
      <c r="N1456" s="1060">
        <f t="shared" si="872"/>
        <v>0</v>
      </c>
      <c r="O1456" s="1060">
        <f t="shared" si="873"/>
        <v>0</v>
      </c>
      <c r="P1456" s="1060">
        <f t="shared" si="874"/>
        <v>0</v>
      </c>
    </row>
    <row r="1457" spans="1:16" x14ac:dyDescent="0.25">
      <c r="A1457" s="1039">
        <v>1826</v>
      </c>
      <c r="B1457" s="1039">
        <f t="shared" si="862"/>
        <v>4</v>
      </c>
      <c r="C1457" s="1039" t="str">
        <f t="shared" si="863"/>
        <v>DWI FITRIA RISKA</v>
      </c>
      <c r="D1457" s="1041" t="str">
        <f t="shared" si="864"/>
        <v>PGMI-3</v>
      </c>
      <c r="E1457" s="1041">
        <f t="shared" si="865"/>
        <v>2019</v>
      </c>
      <c r="F1457" s="1041" t="str">
        <f t="shared" si="866"/>
        <v>AKTIF</v>
      </c>
      <c r="G1457" s="1041">
        <f t="shared" si="867"/>
        <v>849419011</v>
      </c>
      <c r="H1457" s="1042">
        <f t="shared" si="868"/>
        <v>6450000</v>
      </c>
      <c r="I1457" s="1042">
        <f t="shared" si="869"/>
        <v>3750000</v>
      </c>
      <c r="J1457" s="1042">
        <f t="shared" si="870"/>
        <v>10200000</v>
      </c>
      <c r="L1457" s="1060">
        <f t="shared" si="875"/>
        <v>1</v>
      </c>
      <c r="M1457" s="1060">
        <f t="shared" si="871"/>
        <v>0</v>
      </c>
      <c r="N1457" s="1060">
        <f t="shared" si="872"/>
        <v>0</v>
      </c>
      <c r="O1457" s="1060">
        <f t="shared" si="873"/>
        <v>0</v>
      </c>
      <c r="P1457" s="1060">
        <f t="shared" si="874"/>
        <v>0</v>
      </c>
    </row>
    <row r="1458" spans="1:16" x14ac:dyDescent="0.25">
      <c r="A1458" s="1039">
        <v>1827</v>
      </c>
      <c r="B1458" s="1039">
        <f t="shared" si="862"/>
        <v>5</v>
      </c>
      <c r="C1458" s="1039" t="str">
        <f t="shared" si="863"/>
        <v>HAMDAN KHOIRON</v>
      </c>
      <c r="D1458" s="1041" t="str">
        <f t="shared" si="864"/>
        <v>PGMI-3</v>
      </c>
      <c r="E1458" s="1041">
        <f t="shared" si="865"/>
        <v>2019</v>
      </c>
      <c r="F1458" s="1041" t="str">
        <f t="shared" si="866"/>
        <v>AKTIF</v>
      </c>
      <c r="G1458" s="1041">
        <f t="shared" si="867"/>
        <v>849419017</v>
      </c>
      <c r="H1458" s="1042">
        <f t="shared" si="868"/>
        <v>6450000</v>
      </c>
      <c r="I1458" s="1042">
        <f t="shared" si="869"/>
        <v>3750000</v>
      </c>
      <c r="J1458" s="1042">
        <f t="shared" si="870"/>
        <v>10200000</v>
      </c>
      <c r="L1458" s="1060">
        <f t="shared" si="875"/>
        <v>1</v>
      </c>
      <c r="M1458" s="1060">
        <f t="shared" si="871"/>
        <v>0</v>
      </c>
      <c r="N1458" s="1060">
        <f t="shared" si="872"/>
        <v>0</v>
      </c>
      <c r="O1458" s="1060">
        <f t="shared" si="873"/>
        <v>0</v>
      </c>
      <c r="P1458" s="1060">
        <f t="shared" si="874"/>
        <v>0</v>
      </c>
    </row>
    <row r="1459" spans="1:16" x14ac:dyDescent="0.25">
      <c r="A1459" s="1039">
        <v>1828</v>
      </c>
      <c r="B1459" s="1039">
        <f t="shared" si="862"/>
        <v>6</v>
      </c>
      <c r="C1459" s="1039" t="str">
        <f t="shared" si="863"/>
        <v>IIN NUROHMAH</v>
      </c>
      <c r="D1459" s="1041" t="str">
        <f t="shared" si="864"/>
        <v>PGMI-3</v>
      </c>
      <c r="E1459" s="1041">
        <f t="shared" si="865"/>
        <v>2019</v>
      </c>
      <c r="F1459" s="1041" t="str">
        <f t="shared" si="866"/>
        <v>AKTIF</v>
      </c>
      <c r="G1459" s="1041">
        <f t="shared" si="867"/>
        <v>849419008</v>
      </c>
      <c r="H1459" s="1042">
        <f t="shared" si="868"/>
        <v>6450000</v>
      </c>
      <c r="I1459" s="1042">
        <f t="shared" si="869"/>
        <v>3750000</v>
      </c>
      <c r="J1459" s="1042">
        <f t="shared" si="870"/>
        <v>10200000</v>
      </c>
      <c r="L1459" s="1060">
        <f t="shared" si="875"/>
        <v>1</v>
      </c>
      <c r="M1459" s="1060">
        <f t="shared" si="871"/>
        <v>0</v>
      </c>
      <c r="N1459" s="1060">
        <f t="shared" si="872"/>
        <v>0</v>
      </c>
      <c r="O1459" s="1060">
        <f t="shared" si="873"/>
        <v>0</v>
      </c>
      <c r="P1459" s="1060">
        <f t="shared" si="874"/>
        <v>0</v>
      </c>
    </row>
    <row r="1460" spans="1:16" x14ac:dyDescent="0.25">
      <c r="A1460" s="1039">
        <v>1829</v>
      </c>
      <c r="B1460" s="1039">
        <f t="shared" si="862"/>
        <v>7</v>
      </c>
      <c r="C1460" s="1039" t="str">
        <f t="shared" si="863"/>
        <v>KHUSNUL KHOVIA</v>
      </c>
      <c r="D1460" s="1041" t="str">
        <f t="shared" si="864"/>
        <v>PGMI-3</v>
      </c>
      <c r="E1460" s="1041">
        <f t="shared" si="865"/>
        <v>2019</v>
      </c>
      <c r="F1460" s="1041" t="str">
        <f t="shared" si="866"/>
        <v>AKTIF</v>
      </c>
      <c r="G1460" s="1041">
        <f t="shared" si="867"/>
        <v>849419012</v>
      </c>
      <c r="H1460" s="1042">
        <f t="shared" si="868"/>
        <v>6450000</v>
      </c>
      <c r="I1460" s="1042">
        <f t="shared" si="869"/>
        <v>3750000</v>
      </c>
      <c r="J1460" s="1042">
        <f t="shared" si="870"/>
        <v>10200000</v>
      </c>
      <c r="L1460" s="1060">
        <f t="shared" si="875"/>
        <v>1</v>
      </c>
      <c r="M1460" s="1060">
        <f t="shared" si="871"/>
        <v>0</v>
      </c>
      <c r="N1460" s="1060">
        <f t="shared" si="872"/>
        <v>0</v>
      </c>
      <c r="O1460" s="1060">
        <f t="shared" si="873"/>
        <v>0</v>
      </c>
      <c r="P1460" s="1060">
        <f t="shared" si="874"/>
        <v>0</v>
      </c>
    </row>
    <row r="1461" spans="1:16" x14ac:dyDescent="0.25">
      <c r="A1461" s="1039">
        <v>1830</v>
      </c>
      <c r="B1461" s="1039">
        <f t="shared" si="862"/>
        <v>8</v>
      </c>
      <c r="C1461" s="1039" t="str">
        <f t="shared" si="863"/>
        <v>LILIS SEPTI UMAMI</v>
      </c>
      <c r="D1461" s="1041" t="str">
        <f t="shared" si="864"/>
        <v>PGMI-3</v>
      </c>
      <c r="E1461" s="1041">
        <f t="shared" si="865"/>
        <v>2019</v>
      </c>
      <c r="F1461" s="1041" t="str">
        <f t="shared" si="866"/>
        <v>AKTIF</v>
      </c>
      <c r="G1461" s="1041">
        <f t="shared" si="867"/>
        <v>849419015</v>
      </c>
      <c r="H1461" s="1042">
        <f t="shared" si="868"/>
        <v>6450000</v>
      </c>
      <c r="I1461" s="1042">
        <f t="shared" si="869"/>
        <v>3750000</v>
      </c>
      <c r="J1461" s="1042">
        <f t="shared" si="870"/>
        <v>10200000</v>
      </c>
      <c r="L1461" s="1060">
        <f t="shared" si="875"/>
        <v>1</v>
      </c>
      <c r="M1461" s="1060">
        <f t="shared" si="871"/>
        <v>0</v>
      </c>
      <c r="N1461" s="1060">
        <f t="shared" si="872"/>
        <v>0</v>
      </c>
      <c r="O1461" s="1060">
        <f t="shared" si="873"/>
        <v>0</v>
      </c>
      <c r="P1461" s="1060">
        <f t="shared" si="874"/>
        <v>0</v>
      </c>
    </row>
    <row r="1462" spans="1:16" x14ac:dyDescent="0.25">
      <c r="A1462" s="1039">
        <v>1831</v>
      </c>
      <c r="B1462" s="1039">
        <f t="shared" si="862"/>
        <v>9</v>
      </c>
      <c r="C1462" s="1039" t="str">
        <f t="shared" si="863"/>
        <v>MEGA SHOLIHATUL FITHRI</v>
      </c>
      <c r="D1462" s="1041" t="str">
        <f t="shared" si="864"/>
        <v>PGMI-3</v>
      </c>
      <c r="E1462" s="1041">
        <f t="shared" si="865"/>
        <v>2019</v>
      </c>
      <c r="F1462" s="1041" t="str">
        <f t="shared" si="866"/>
        <v>AKTIF</v>
      </c>
      <c r="G1462" s="1041">
        <f t="shared" si="867"/>
        <v>849419019</v>
      </c>
      <c r="H1462" s="1042">
        <f t="shared" si="868"/>
        <v>6450000</v>
      </c>
      <c r="I1462" s="1042">
        <f t="shared" si="869"/>
        <v>3750000</v>
      </c>
      <c r="J1462" s="1042">
        <f t="shared" si="870"/>
        <v>10200000</v>
      </c>
      <c r="L1462" s="1060">
        <f t="shared" si="875"/>
        <v>1</v>
      </c>
      <c r="M1462" s="1060">
        <f t="shared" si="871"/>
        <v>0</v>
      </c>
      <c r="N1462" s="1060">
        <f t="shared" si="872"/>
        <v>0</v>
      </c>
      <c r="O1462" s="1060">
        <f t="shared" si="873"/>
        <v>0</v>
      </c>
      <c r="P1462" s="1060">
        <f t="shared" si="874"/>
        <v>0</v>
      </c>
    </row>
    <row r="1463" spans="1:16" x14ac:dyDescent="0.25">
      <c r="A1463" s="1039">
        <v>1832</v>
      </c>
      <c r="B1463" s="1039">
        <f t="shared" si="862"/>
        <v>11</v>
      </c>
      <c r="C1463" s="1039" t="str">
        <f t="shared" si="863"/>
        <v>MUHAMMAD DLABITH</v>
      </c>
      <c r="D1463" s="1041" t="str">
        <f t="shared" si="864"/>
        <v>PGMI-3</v>
      </c>
      <c r="E1463" s="1041">
        <f t="shared" si="865"/>
        <v>2019</v>
      </c>
      <c r="F1463" s="1041" t="str">
        <f t="shared" si="866"/>
        <v>AKTIF</v>
      </c>
      <c r="G1463" s="1041">
        <f t="shared" si="867"/>
        <v>849419006</v>
      </c>
      <c r="H1463" s="1042">
        <f t="shared" si="868"/>
        <v>6450000</v>
      </c>
      <c r="I1463" s="1042">
        <f t="shared" si="869"/>
        <v>3750000</v>
      </c>
      <c r="J1463" s="1042">
        <f t="shared" si="870"/>
        <v>10200000</v>
      </c>
      <c r="L1463" s="1060">
        <f t="shared" si="875"/>
        <v>1</v>
      </c>
      <c r="M1463" s="1060">
        <f t="shared" si="871"/>
        <v>0</v>
      </c>
      <c r="N1463" s="1060">
        <f t="shared" si="872"/>
        <v>0</v>
      </c>
      <c r="O1463" s="1060">
        <f t="shared" si="873"/>
        <v>0</v>
      </c>
      <c r="P1463" s="1060">
        <f t="shared" si="874"/>
        <v>0</v>
      </c>
    </row>
    <row r="1464" spans="1:16" x14ac:dyDescent="0.25">
      <c r="A1464" s="1039">
        <v>1833</v>
      </c>
      <c r="B1464" s="1039">
        <f t="shared" si="862"/>
        <v>12</v>
      </c>
      <c r="C1464" s="1039" t="str">
        <f t="shared" si="863"/>
        <v>MUSYAROFAH</v>
      </c>
      <c r="D1464" s="1041" t="str">
        <f t="shared" si="864"/>
        <v>PGMI-3</v>
      </c>
      <c r="E1464" s="1041">
        <f t="shared" si="865"/>
        <v>2019</v>
      </c>
      <c r="F1464" s="1041" t="str">
        <f t="shared" si="866"/>
        <v>AKTIF</v>
      </c>
      <c r="G1464" s="1041">
        <f t="shared" si="867"/>
        <v>849419010</v>
      </c>
      <c r="H1464" s="1042">
        <f t="shared" si="868"/>
        <v>6450000</v>
      </c>
      <c r="I1464" s="1042">
        <f t="shared" si="869"/>
        <v>3750000</v>
      </c>
      <c r="J1464" s="1042">
        <f t="shared" si="870"/>
        <v>10200000</v>
      </c>
      <c r="L1464" s="1060">
        <f t="shared" si="875"/>
        <v>1</v>
      </c>
      <c r="M1464" s="1060">
        <f t="shared" si="871"/>
        <v>0</v>
      </c>
      <c r="N1464" s="1060">
        <f t="shared" si="872"/>
        <v>0</v>
      </c>
      <c r="O1464" s="1060">
        <f t="shared" si="873"/>
        <v>0</v>
      </c>
      <c r="P1464" s="1060">
        <f t="shared" si="874"/>
        <v>0</v>
      </c>
    </row>
    <row r="1465" spans="1:16" x14ac:dyDescent="0.25">
      <c r="A1465" s="1039">
        <v>1834</v>
      </c>
      <c r="B1465" s="1039">
        <f t="shared" si="862"/>
        <v>13</v>
      </c>
      <c r="C1465" s="1039" t="str">
        <f t="shared" si="863"/>
        <v>NAILY WAHIDATUL MUNIROH</v>
      </c>
      <c r="D1465" s="1041" t="str">
        <f t="shared" si="864"/>
        <v>PGMI-3</v>
      </c>
      <c r="E1465" s="1041">
        <f t="shared" si="865"/>
        <v>2019</v>
      </c>
      <c r="F1465" s="1041" t="str">
        <f t="shared" si="866"/>
        <v>AKTIF</v>
      </c>
      <c r="G1465" s="1041">
        <f t="shared" si="867"/>
        <v>849419002</v>
      </c>
      <c r="H1465" s="1042">
        <f t="shared" ref="H1465:H1480" si="876">IF(F1465="AKTIF",6450000,IF(F1465="CUTI",3000000,0))</f>
        <v>6450000</v>
      </c>
      <c r="I1465" s="1042">
        <f t="shared" ref="I1465:I1480" si="877">IF(F1465="AKTIF",3750000,IF(F1465="CUTI",3000000,0))</f>
        <v>3750000</v>
      </c>
      <c r="J1465" s="1042">
        <f t="shared" ref="J1465:J1480" si="878">I1465+H1465</f>
        <v>10200000</v>
      </c>
      <c r="L1465" s="1060">
        <f t="shared" ref="L1465:L1480" si="879">IF(F1465="AKTIF",1,0)</f>
        <v>1</v>
      </c>
      <c r="M1465" s="1060">
        <f t="shared" si="871"/>
        <v>0</v>
      </c>
      <c r="N1465" s="1060">
        <f t="shared" si="872"/>
        <v>0</v>
      </c>
      <c r="O1465" s="1060">
        <f t="shared" si="873"/>
        <v>0</v>
      </c>
      <c r="P1465" s="1060">
        <f t="shared" ref="P1465:P1480" si="880">IF(F1465="PASIF",1,0)</f>
        <v>0</v>
      </c>
    </row>
    <row r="1466" spans="1:16" x14ac:dyDescent="0.25">
      <c r="A1466" s="1039">
        <v>1835</v>
      </c>
      <c r="B1466" s="1039">
        <f t="shared" si="862"/>
        <v>14</v>
      </c>
      <c r="C1466" s="1039" t="str">
        <f t="shared" si="863"/>
        <v>NUR YASIN</v>
      </c>
      <c r="D1466" s="1041" t="str">
        <f t="shared" si="864"/>
        <v>PGMI-3</v>
      </c>
      <c r="E1466" s="1041">
        <f t="shared" si="865"/>
        <v>2019</v>
      </c>
      <c r="F1466" s="1041" t="str">
        <f t="shared" si="866"/>
        <v>CUTI</v>
      </c>
      <c r="G1466" s="1041">
        <f t="shared" si="867"/>
        <v>849419021</v>
      </c>
      <c r="H1466" s="1042">
        <f t="shared" si="876"/>
        <v>3000000</v>
      </c>
      <c r="I1466" s="1042">
        <f t="shared" si="877"/>
        <v>3000000</v>
      </c>
      <c r="J1466" s="1042">
        <f t="shared" si="878"/>
        <v>6000000</v>
      </c>
      <c r="L1466" s="1060">
        <f t="shared" si="879"/>
        <v>0</v>
      </c>
      <c r="M1466" s="1060">
        <f t="shared" si="871"/>
        <v>0</v>
      </c>
      <c r="N1466" s="1060">
        <f t="shared" si="872"/>
        <v>1</v>
      </c>
      <c r="O1466" s="1060">
        <f t="shared" si="873"/>
        <v>0</v>
      </c>
      <c r="P1466" s="1060">
        <f t="shared" si="880"/>
        <v>0</v>
      </c>
    </row>
    <row r="1467" spans="1:16" x14ac:dyDescent="0.25">
      <c r="A1467" s="1039">
        <v>1836</v>
      </c>
      <c r="B1467" s="1039">
        <f t="shared" si="862"/>
        <v>15</v>
      </c>
      <c r="C1467" s="1039" t="str">
        <f t="shared" si="863"/>
        <v>NURUL LAILATUL HIDAYAH</v>
      </c>
      <c r="D1467" s="1041" t="str">
        <f t="shared" si="864"/>
        <v>PGMI-3</v>
      </c>
      <c r="E1467" s="1041">
        <f t="shared" si="865"/>
        <v>2019</v>
      </c>
      <c r="F1467" s="1041" t="str">
        <f t="shared" si="866"/>
        <v>PASIF</v>
      </c>
      <c r="G1467" s="1041">
        <f t="shared" si="867"/>
        <v>849419018</v>
      </c>
      <c r="H1467" s="1042">
        <f t="shared" si="876"/>
        <v>0</v>
      </c>
      <c r="I1467" s="1042">
        <f t="shared" si="877"/>
        <v>0</v>
      </c>
      <c r="J1467" s="1042">
        <f t="shared" si="878"/>
        <v>0</v>
      </c>
      <c r="L1467" s="1060">
        <f t="shared" si="879"/>
        <v>0</v>
      </c>
      <c r="M1467" s="1060">
        <f t="shared" si="871"/>
        <v>0</v>
      </c>
      <c r="N1467" s="1060">
        <f t="shared" si="872"/>
        <v>0</v>
      </c>
      <c r="O1467" s="1060">
        <f t="shared" si="873"/>
        <v>0</v>
      </c>
      <c r="P1467" s="1060">
        <f t="shared" si="880"/>
        <v>1</v>
      </c>
    </row>
    <row r="1468" spans="1:16" x14ac:dyDescent="0.25">
      <c r="A1468" s="1039">
        <v>1837</v>
      </c>
      <c r="B1468" s="1039">
        <f t="shared" si="862"/>
        <v>16</v>
      </c>
      <c r="C1468" s="1039" t="str">
        <f t="shared" si="863"/>
        <v>ROKHMAWATI</v>
      </c>
      <c r="D1468" s="1041" t="str">
        <f t="shared" si="864"/>
        <v>PGMI-3</v>
      </c>
      <c r="E1468" s="1041">
        <f t="shared" si="865"/>
        <v>2019</v>
      </c>
      <c r="F1468" s="1041" t="str">
        <f t="shared" si="866"/>
        <v>AKTIF</v>
      </c>
      <c r="G1468" s="1041">
        <f t="shared" si="867"/>
        <v>849419016</v>
      </c>
      <c r="H1468" s="1042">
        <f t="shared" si="876"/>
        <v>6450000</v>
      </c>
      <c r="I1468" s="1042">
        <f t="shared" si="877"/>
        <v>3750000</v>
      </c>
      <c r="J1468" s="1042">
        <f t="shared" si="878"/>
        <v>10200000</v>
      </c>
      <c r="L1468" s="1060">
        <f t="shared" si="879"/>
        <v>1</v>
      </c>
      <c r="M1468" s="1060">
        <f t="shared" si="871"/>
        <v>0</v>
      </c>
      <c r="N1468" s="1060">
        <f t="shared" si="872"/>
        <v>0</v>
      </c>
      <c r="O1468" s="1060">
        <f t="shared" si="873"/>
        <v>0</v>
      </c>
      <c r="P1468" s="1060">
        <f t="shared" si="880"/>
        <v>0</v>
      </c>
    </row>
    <row r="1469" spans="1:16" x14ac:dyDescent="0.25">
      <c r="A1469" s="1039">
        <v>1838</v>
      </c>
      <c r="B1469" s="1039">
        <f t="shared" si="862"/>
        <v>17</v>
      </c>
      <c r="C1469" s="1039" t="str">
        <f t="shared" si="863"/>
        <v>SITI SHOFIYAH</v>
      </c>
      <c r="D1469" s="1041" t="str">
        <f t="shared" si="864"/>
        <v>PGMI-3</v>
      </c>
      <c r="E1469" s="1041">
        <f t="shared" si="865"/>
        <v>2019</v>
      </c>
      <c r="F1469" s="1041" t="str">
        <f t="shared" si="866"/>
        <v>AKTIF</v>
      </c>
      <c r="G1469" s="1041">
        <f t="shared" si="867"/>
        <v>849419003</v>
      </c>
      <c r="H1469" s="1042">
        <f t="shared" si="876"/>
        <v>6450000</v>
      </c>
      <c r="I1469" s="1042">
        <f t="shared" si="877"/>
        <v>3750000</v>
      </c>
      <c r="J1469" s="1042">
        <f t="shared" si="878"/>
        <v>10200000</v>
      </c>
      <c r="L1469" s="1060">
        <f t="shared" si="879"/>
        <v>1</v>
      </c>
      <c r="M1469" s="1060">
        <f t="shared" si="871"/>
        <v>0</v>
      </c>
      <c r="N1469" s="1060">
        <f t="shared" si="872"/>
        <v>0</v>
      </c>
      <c r="O1469" s="1060">
        <f t="shared" si="873"/>
        <v>0</v>
      </c>
      <c r="P1469" s="1060">
        <f t="shared" si="880"/>
        <v>0</v>
      </c>
    </row>
    <row r="1470" spans="1:16" x14ac:dyDescent="0.25">
      <c r="A1470" s="1039">
        <v>1839</v>
      </c>
      <c r="B1470" s="1039">
        <f t="shared" si="862"/>
        <v>18</v>
      </c>
      <c r="C1470" s="1039" t="str">
        <f t="shared" si="863"/>
        <v>SYAMSUL ARIFIN</v>
      </c>
      <c r="D1470" s="1041" t="str">
        <f t="shared" si="864"/>
        <v>PGMI-3</v>
      </c>
      <c r="E1470" s="1041">
        <f t="shared" si="865"/>
        <v>2019</v>
      </c>
      <c r="F1470" s="1041" t="str">
        <f t="shared" si="866"/>
        <v>AKTIF</v>
      </c>
      <c r="G1470" s="1041">
        <f t="shared" si="867"/>
        <v>849419020</v>
      </c>
      <c r="H1470" s="1042">
        <f t="shared" ref="H1470" si="881">IF(F1470="AKTIF",6450000,IF(F1470="CUTI",3000000,0))</f>
        <v>6450000</v>
      </c>
      <c r="I1470" s="1042">
        <f t="shared" ref="I1470" si="882">IF(F1470="AKTIF",3750000,IF(F1470="CUTI",3000000,0))</f>
        <v>3750000</v>
      </c>
      <c r="J1470" s="1042">
        <f t="shared" ref="J1470" si="883">I1470+H1470</f>
        <v>10200000</v>
      </c>
      <c r="L1470" s="1060">
        <f t="shared" ref="L1470" si="884">IF(F1470="AKTIF",1,0)</f>
        <v>1</v>
      </c>
      <c r="M1470" s="1060">
        <f t="shared" si="871"/>
        <v>0</v>
      </c>
      <c r="N1470" s="1060">
        <f t="shared" si="872"/>
        <v>0</v>
      </c>
      <c r="O1470" s="1060">
        <f t="shared" si="873"/>
        <v>0</v>
      </c>
      <c r="P1470" s="1060">
        <f t="shared" ref="P1470" si="885">IF(F1470="PASIF",1,0)</f>
        <v>0</v>
      </c>
    </row>
    <row r="1471" spans="1:16" x14ac:dyDescent="0.25">
      <c r="A1471" s="1039">
        <v>1840</v>
      </c>
      <c r="B1471" s="1039">
        <f t="shared" si="862"/>
        <v>19</v>
      </c>
      <c r="C1471" s="1039" t="str">
        <f t="shared" si="863"/>
        <v>TITIN MARIATUL QIPTIYAH</v>
      </c>
      <c r="D1471" s="1041" t="str">
        <f t="shared" si="864"/>
        <v>PGMI-3</v>
      </c>
      <c r="E1471" s="1041">
        <f t="shared" si="865"/>
        <v>2019</v>
      </c>
      <c r="F1471" s="1041" t="str">
        <f t="shared" si="866"/>
        <v>AKTIF</v>
      </c>
      <c r="G1471" s="1041">
        <f t="shared" si="867"/>
        <v>849419007</v>
      </c>
      <c r="H1471" s="1042">
        <f t="shared" si="876"/>
        <v>6450000</v>
      </c>
      <c r="I1471" s="1042">
        <f t="shared" si="877"/>
        <v>3750000</v>
      </c>
      <c r="J1471" s="1042">
        <f t="shared" si="878"/>
        <v>10200000</v>
      </c>
      <c r="L1471" s="1060">
        <f t="shared" si="879"/>
        <v>1</v>
      </c>
      <c r="M1471" s="1060">
        <f t="shared" si="871"/>
        <v>0</v>
      </c>
      <c r="N1471" s="1060">
        <f t="shared" si="872"/>
        <v>0</v>
      </c>
      <c r="O1471" s="1060">
        <f t="shared" si="873"/>
        <v>0</v>
      </c>
      <c r="P1471" s="1060">
        <f t="shared" si="880"/>
        <v>0</v>
      </c>
    </row>
    <row r="1472" spans="1:16" x14ac:dyDescent="0.25">
      <c r="A1472" s="1039">
        <v>1841</v>
      </c>
      <c r="B1472" s="1039">
        <f t="shared" si="862"/>
        <v>20</v>
      </c>
      <c r="C1472" s="1039" t="str">
        <f t="shared" si="863"/>
        <v>WIKE SILFIA</v>
      </c>
      <c r="D1472" s="1041" t="str">
        <f t="shared" si="864"/>
        <v>PGMI-3</v>
      </c>
      <c r="E1472" s="1041">
        <f t="shared" si="865"/>
        <v>2019</v>
      </c>
      <c r="F1472" s="1041" t="str">
        <f t="shared" si="866"/>
        <v>AKTIF</v>
      </c>
      <c r="G1472" s="1041">
        <f t="shared" si="867"/>
        <v>849419013</v>
      </c>
      <c r="H1472" s="1042">
        <f t="shared" si="876"/>
        <v>6450000</v>
      </c>
      <c r="I1472" s="1042">
        <f t="shared" si="877"/>
        <v>3750000</v>
      </c>
      <c r="J1472" s="1042">
        <f t="shared" si="878"/>
        <v>10200000</v>
      </c>
      <c r="L1472" s="1060">
        <f t="shared" si="879"/>
        <v>1</v>
      </c>
      <c r="M1472" s="1060">
        <f t="shared" si="871"/>
        <v>0</v>
      </c>
      <c r="N1472" s="1060">
        <f t="shared" si="872"/>
        <v>0</v>
      </c>
      <c r="O1472" s="1060">
        <f t="shared" si="873"/>
        <v>0</v>
      </c>
      <c r="P1472" s="1060">
        <f t="shared" si="880"/>
        <v>0</v>
      </c>
    </row>
    <row r="1473" spans="1:16" x14ac:dyDescent="0.25">
      <c r="A1473" s="1039">
        <v>1842</v>
      </c>
      <c r="B1473" s="1039">
        <f t="shared" si="862"/>
        <v>21</v>
      </c>
      <c r="C1473" s="1039" t="str">
        <f t="shared" si="863"/>
        <v>WIWIT EKA WINARSIH</v>
      </c>
      <c r="D1473" s="1041" t="str">
        <f t="shared" si="864"/>
        <v>PGMI-3</v>
      </c>
      <c r="E1473" s="1041">
        <f t="shared" si="865"/>
        <v>2019</v>
      </c>
      <c r="F1473" s="1041" t="str">
        <f t="shared" si="866"/>
        <v>AKTIF</v>
      </c>
      <c r="G1473" s="1041">
        <f t="shared" si="867"/>
        <v>849419004</v>
      </c>
      <c r="H1473" s="1042">
        <f t="shared" si="876"/>
        <v>6450000</v>
      </c>
      <c r="I1473" s="1042">
        <f t="shared" si="877"/>
        <v>3750000</v>
      </c>
      <c r="J1473" s="1042">
        <f t="shared" si="878"/>
        <v>10200000</v>
      </c>
      <c r="L1473" s="1060">
        <f t="shared" si="879"/>
        <v>1</v>
      </c>
      <c r="M1473" s="1060">
        <f t="shared" si="871"/>
        <v>0</v>
      </c>
      <c r="N1473" s="1060">
        <f t="shared" si="872"/>
        <v>0</v>
      </c>
      <c r="O1473" s="1060">
        <f t="shared" si="873"/>
        <v>0</v>
      </c>
      <c r="P1473" s="1060">
        <f t="shared" si="880"/>
        <v>0</v>
      </c>
    </row>
    <row r="1474" spans="1:16" x14ac:dyDescent="0.25">
      <c r="A1474" s="1039"/>
      <c r="B1474" s="1039"/>
      <c r="C1474" s="1039"/>
      <c r="D1474" s="1040"/>
      <c r="E1474" s="1041"/>
      <c r="F1474" s="1040"/>
      <c r="G1474" s="1041"/>
      <c r="H1474" s="1042"/>
      <c r="I1474" s="1042"/>
      <c r="J1474" s="1042"/>
    </row>
    <row r="1475" spans="1:16" x14ac:dyDescent="0.25">
      <c r="A1475" s="1076" t="str">
        <f>'Rekap SPP'!A2000</f>
        <v>S2-SI 2019/2020</v>
      </c>
      <c r="B1475" s="1077"/>
      <c r="C1475" s="1077"/>
      <c r="D1475" s="1033" t="s">
        <v>3</v>
      </c>
      <c r="E1475" s="1032" t="s">
        <v>4</v>
      </c>
      <c r="F1475" s="1033" t="s">
        <v>3195</v>
      </c>
      <c r="G1475" s="1032" t="s">
        <v>1</v>
      </c>
      <c r="H1475" s="1033" t="s">
        <v>3362</v>
      </c>
      <c r="I1475" s="1033" t="s">
        <v>3363</v>
      </c>
      <c r="J1475" s="1062">
        <f>SUM(J1476:J1480)</f>
        <v>51000000</v>
      </c>
      <c r="L1475" s="1063">
        <f>SUM(L1476:L1480)</f>
        <v>5</v>
      </c>
      <c r="M1475" s="1063">
        <f>SUM(M1476:M1480)</f>
        <v>0</v>
      </c>
      <c r="N1475" s="1063">
        <f>SUM(N1476:N1480)</f>
        <v>0</v>
      </c>
      <c r="O1475" s="1063">
        <f>SUM(O1476:O1480)</f>
        <v>0</v>
      </c>
      <c r="P1475" s="1063">
        <f>SUM(P1476:P1480)</f>
        <v>0</v>
      </c>
    </row>
    <row r="1476" spans="1:16" x14ac:dyDescent="0.25">
      <c r="A1476" s="1039">
        <v>1843</v>
      </c>
      <c r="B1476" s="1039">
        <f>IFERROR(VLOOKUP(A1476,DB,2,FALSE),"  ")</f>
        <v>1</v>
      </c>
      <c r="C1476" s="1039" t="str">
        <f>IFERROR(VLOOKUP(A1476,DB,4,FALSE),"  ")</f>
        <v>MUHAMAD ALI MUHTAR</v>
      </c>
      <c r="D1476" s="1041" t="str">
        <f>IFERROR(VLOOKUP(A1476,DB,5,FALSE),"  ")</f>
        <v>PGMI-3</v>
      </c>
      <c r="E1476" s="1041">
        <f>IFERROR(VLOOKUP(A1476,DB,6,FALSE),"  ")</f>
        <v>2019</v>
      </c>
      <c r="F1476" s="1041" t="str">
        <f>IFERROR(VLOOKUP(A1476,DB,7,FALSE),"  ")</f>
        <v>AKTIF</v>
      </c>
      <c r="G1476" s="1041">
        <f>IFERROR(VLOOKUP(A1476,DB,3,FALSE),"  ")</f>
        <v>829220001</v>
      </c>
      <c r="H1476" s="1042">
        <f>IF(F1476="AKTIF",6450000,IF(F1476="CUTI",3000000,0))</f>
        <v>6450000</v>
      </c>
      <c r="I1476" s="1042">
        <f>IF(F1476="AKTIF",3750000,IF(F1476="CUTI",3000000,0))</f>
        <v>3750000</v>
      </c>
      <c r="J1476" s="1042">
        <f>I1476+H1476</f>
        <v>10200000</v>
      </c>
      <c r="L1476" s="1060">
        <f>IF(F1476="AKTIF",1,0)</f>
        <v>1</v>
      </c>
      <c r="M1476" s="1060">
        <f>IF(F1476="LULUS",1,0)</f>
        <v>0</v>
      </c>
      <c r="N1476" s="1060">
        <f>IF(F1476="CUTI",1,0)</f>
        <v>0</v>
      </c>
      <c r="O1476" s="1060">
        <f>IF(F1476="DROP OUT",1,0)</f>
        <v>0</v>
      </c>
      <c r="P1476" s="1060">
        <f>IF(F1476="PASIF",1,0)</f>
        <v>0</v>
      </c>
    </row>
    <row r="1477" spans="1:16" x14ac:dyDescent="0.25">
      <c r="A1477" s="1039">
        <v>1844</v>
      </c>
      <c r="B1477" s="1039">
        <f>IFERROR(VLOOKUP(A1477,DB,2,FALSE),"  ")</f>
        <v>2</v>
      </c>
      <c r="C1477" s="1039" t="str">
        <f>IFERROR(VLOOKUP(A1477,DB,4,FALSE),"  ")</f>
        <v>MUHAMMAD ALI HAROZIM</v>
      </c>
      <c r="D1477" s="1041" t="str">
        <f>IFERROR(VLOOKUP(A1477,DB,5,FALSE),"  ")</f>
        <v>PAI-3A</v>
      </c>
      <c r="E1477" s="1041">
        <f>IFERROR(VLOOKUP(A1477,DB,6,FALSE),"  ")</f>
        <v>2019</v>
      </c>
      <c r="F1477" s="1041" t="str">
        <f>IFERROR(VLOOKUP(A1477,DB,7,FALSE),"  ")</f>
        <v>AKTIF</v>
      </c>
      <c r="G1477" s="1041">
        <f>IFERROR(VLOOKUP(A1477,DB,3,FALSE),"  ")</f>
        <v>829220002</v>
      </c>
      <c r="H1477" s="1042">
        <f>IF(F1477="AKTIF",6450000,IF(F1477="CUTI",3000000,0))</f>
        <v>6450000</v>
      </c>
      <c r="I1477" s="1042">
        <f>IF(F1477="AKTIF",3750000,IF(F1477="CUTI",3000000,0))</f>
        <v>3750000</v>
      </c>
      <c r="J1477" s="1042">
        <f>I1477+H1477</f>
        <v>10200000</v>
      </c>
      <c r="L1477" s="1060">
        <f>IF(F1477="AKTIF",1,0)</f>
        <v>1</v>
      </c>
      <c r="M1477" s="1060">
        <f>IF(F1477="LULUS",1,0)</f>
        <v>0</v>
      </c>
      <c r="N1477" s="1060">
        <f>IF(F1477="CUTI",1,0)</f>
        <v>0</v>
      </c>
      <c r="O1477" s="1060">
        <f>IF(F1477="DROP OUT",1,0)</f>
        <v>0</v>
      </c>
      <c r="P1477" s="1060">
        <f>IF(F1477="PASIF",1,0)</f>
        <v>0</v>
      </c>
    </row>
    <row r="1478" spans="1:16" x14ac:dyDescent="0.25">
      <c r="A1478" s="1039">
        <v>1845</v>
      </c>
      <c r="B1478" s="1039">
        <f>IFERROR(VLOOKUP(A1478,DB,2,FALSE),"  ")</f>
        <v>3</v>
      </c>
      <c r="C1478" s="1039" t="str">
        <f>IFERROR(VLOOKUP(A1478,DB,4,FALSE),"  ")</f>
        <v>WARDATUL ASFIYAH</v>
      </c>
      <c r="D1478" s="1041" t="str">
        <f>IFERROR(VLOOKUP(A1478,DB,5,FALSE),"  ")</f>
        <v>MPI-3B</v>
      </c>
      <c r="E1478" s="1041">
        <f>IFERROR(VLOOKUP(A1478,DB,6,FALSE),"  ")</f>
        <v>2019</v>
      </c>
      <c r="F1478" s="1041" t="str">
        <f>IFERROR(VLOOKUP(A1478,DB,7,FALSE),"  ")</f>
        <v>AKTIF</v>
      </c>
      <c r="G1478" s="1041">
        <f>IFERROR(VLOOKUP(A1478,DB,3,FALSE),"  ")</f>
        <v>829220003</v>
      </c>
      <c r="H1478" s="1042">
        <f>IF(F1478="AKTIF",6450000,IF(F1478="CUTI",3000000,0))</f>
        <v>6450000</v>
      </c>
      <c r="I1478" s="1042">
        <f>IF(F1478="AKTIF",3750000,IF(F1478="CUTI",3000000,0))</f>
        <v>3750000</v>
      </c>
      <c r="J1478" s="1042">
        <f>I1478+H1478</f>
        <v>10200000</v>
      </c>
      <c r="L1478" s="1060">
        <f>IF(F1478="AKTIF",1,0)</f>
        <v>1</v>
      </c>
      <c r="M1478" s="1060">
        <f>IF(F1478="LULUS",1,0)</f>
        <v>0</v>
      </c>
      <c r="N1478" s="1060">
        <f>IF(F1478="CUTI",1,0)</f>
        <v>0</v>
      </c>
      <c r="O1478" s="1060">
        <f>IF(F1478="DROP OUT",1,0)</f>
        <v>0</v>
      </c>
      <c r="P1478" s="1060">
        <f>IF(F1478="PASIF",1,0)</f>
        <v>0</v>
      </c>
    </row>
    <row r="1479" spans="1:16" x14ac:dyDescent="0.25">
      <c r="A1479" s="1039">
        <v>1846</v>
      </c>
      <c r="B1479" s="1039">
        <f>IFERROR(VLOOKUP(A1479,DB,2,FALSE),"  ")</f>
        <v>4</v>
      </c>
      <c r="C1479" s="1039" t="str">
        <f>IFERROR(VLOOKUP(A1479,DB,4,FALSE),"  ")</f>
        <v>ADI PURWANTO.</v>
      </c>
      <c r="D1479" s="1041" t="str">
        <f>IFERROR(VLOOKUP(A1479,DB,5,FALSE),"  ")</f>
        <v>PAI-3D</v>
      </c>
      <c r="E1479" s="1041">
        <f>IFERROR(VLOOKUP(A1479,DB,6,FALSE),"  ")</f>
        <v>2019</v>
      </c>
      <c r="F1479" s="1041" t="str">
        <f>IFERROR(VLOOKUP(A1479,DB,7,FALSE),"  ")</f>
        <v>AKTIF</v>
      </c>
      <c r="G1479" s="1041">
        <f>IFERROR(VLOOKUP(A1479,DB,3,FALSE),"  ")</f>
        <v>829220004</v>
      </c>
      <c r="H1479" s="1042">
        <f>IF(F1479="AKTIF",6450000,IF(F1479="CUTI",3000000,0))</f>
        <v>6450000</v>
      </c>
      <c r="I1479" s="1042">
        <f>IF(F1479="AKTIF",3750000,IF(F1479="CUTI",3000000,0))</f>
        <v>3750000</v>
      </c>
      <c r="J1479" s="1042">
        <f>I1479+H1479</f>
        <v>10200000</v>
      </c>
      <c r="L1479" s="1060">
        <f>IF(F1479="AKTIF",1,0)</f>
        <v>1</v>
      </c>
      <c r="M1479" s="1060">
        <f>IF(F1479="LULUS",1,0)</f>
        <v>0</v>
      </c>
      <c r="N1479" s="1060">
        <f>IF(F1479="CUTI",1,0)</f>
        <v>0</v>
      </c>
      <c r="O1479" s="1060">
        <f>IF(F1479="DROP OUT",1,0)</f>
        <v>0</v>
      </c>
      <c r="P1479" s="1060">
        <f>IF(F1479="PASIF",1,0)</f>
        <v>0</v>
      </c>
    </row>
    <row r="1480" spans="1:16" x14ac:dyDescent="0.25">
      <c r="A1480" s="1039">
        <v>1847</v>
      </c>
      <c r="B1480" s="1039">
        <f t="shared" si="862"/>
        <v>5</v>
      </c>
      <c r="C1480" s="1039" t="str">
        <f>IFERROR(VLOOKUP(A1480,DB,4,FALSE),"  ")</f>
        <v>ANNISA</v>
      </c>
      <c r="D1480" s="1041" t="str">
        <f>IFERROR(VLOOKUP(A1480,DB,5,FALSE),"  ")</f>
        <v>PAI-3D</v>
      </c>
      <c r="E1480" s="1041">
        <f>IFERROR(VLOOKUP(A1480,DB,6,FALSE),"  ")</f>
        <v>2019</v>
      </c>
      <c r="F1480" s="1041" t="str">
        <f>IFERROR(VLOOKUP(A1480,DB,7,FALSE),"  ")</f>
        <v>AKTIF</v>
      </c>
      <c r="G1480" s="1041">
        <f>IFERROR(VLOOKUP(A1480,DB,3,FALSE),"  ")</f>
        <v>829220005</v>
      </c>
      <c r="H1480" s="1042">
        <f t="shared" si="876"/>
        <v>6450000</v>
      </c>
      <c r="I1480" s="1042">
        <f t="shared" si="877"/>
        <v>3750000</v>
      </c>
      <c r="J1480" s="1042">
        <f t="shared" si="878"/>
        <v>10200000</v>
      </c>
      <c r="L1480" s="1060">
        <f t="shared" si="879"/>
        <v>1</v>
      </c>
      <c r="M1480" s="1060">
        <f t="shared" si="871"/>
        <v>0</v>
      </c>
      <c r="N1480" s="1060">
        <f t="shared" si="872"/>
        <v>0</v>
      </c>
      <c r="O1480" s="1060">
        <f t="shared" si="873"/>
        <v>0</v>
      </c>
      <c r="P1480" s="1060">
        <f t="shared" si="880"/>
        <v>0</v>
      </c>
    </row>
    <row r="1481" spans="1:16" x14ac:dyDescent="0.25">
      <c r="A1481" s="1039"/>
      <c r="B1481" s="1039"/>
      <c r="C1481" s="1039"/>
      <c r="D1481" s="1040"/>
      <c r="E1481" s="1041"/>
      <c r="F1481" s="1040"/>
      <c r="G1481" s="1041"/>
      <c r="H1481" s="1042"/>
      <c r="I1481" s="1042"/>
      <c r="J1481" s="1042"/>
    </row>
    <row r="1482" spans="1:16" x14ac:dyDescent="0.25">
      <c r="A1482" s="1039"/>
      <c r="B1482" s="1039"/>
      <c r="C1482" s="1039"/>
      <c r="D1482" s="1040"/>
      <c r="E1482" s="1041"/>
      <c r="F1482" s="1040"/>
      <c r="G1482" s="1041"/>
      <c r="H1482" s="1042"/>
      <c r="I1482" s="1042"/>
      <c r="J1482" s="1042"/>
    </row>
    <row r="1483" spans="1:16" x14ac:dyDescent="0.25">
      <c r="A1483" s="1078" t="str">
        <f>'Rekap SPP'!A2008</f>
        <v>S3-MPI 2019/2020</v>
      </c>
      <c r="B1483" s="1079"/>
      <c r="C1483" s="1079"/>
      <c r="D1483" s="1074" t="s">
        <v>3</v>
      </c>
      <c r="E1483" s="1075" t="s">
        <v>4</v>
      </c>
      <c r="F1483" s="1074" t="s">
        <v>3195</v>
      </c>
      <c r="G1483" s="1075" t="s">
        <v>1</v>
      </c>
      <c r="H1483" s="1074" t="s">
        <v>3362</v>
      </c>
      <c r="I1483" s="1074" t="s">
        <v>3363</v>
      </c>
      <c r="J1483" s="1080">
        <f>SUM(J1484:J1509)</f>
        <v>486000000</v>
      </c>
      <c r="L1483" s="1063">
        <f>SUM(L1484:L1509)</f>
        <v>24</v>
      </c>
      <c r="M1483" s="1063">
        <f>SUM(M1484:M1509)</f>
        <v>0</v>
      </c>
      <c r="N1483" s="1063">
        <f>SUM(N1484:N1509)</f>
        <v>0</v>
      </c>
      <c r="O1483" s="1063">
        <f>SUM(O1484:O1509)</f>
        <v>1</v>
      </c>
      <c r="P1483" s="1063">
        <f>SUM(P1484:P1509)</f>
        <v>1</v>
      </c>
    </row>
    <row r="1484" spans="1:16" x14ac:dyDescent="0.25">
      <c r="A1484" s="1039">
        <v>1848</v>
      </c>
      <c r="B1484" s="1039">
        <f t="shared" ref="B1484:B1509" si="886">IFERROR(VLOOKUP(A1484,DB,2,FALSE),"  ")</f>
        <v>1</v>
      </c>
      <c r="C1484" s="1039" t="str">
        <f t="shared" ref="C1484:C1509" si="887">IFERROR(VLOOKUP(A1484,DB,4,FALSE),"  ")</f>
        <v>ABDULLAH</v>
      </c>
      <c r="D1484" s="1041" t="str">
        <f t="shared" ref="D1484:D1509" si="888">IFERROR(VLOOKUP(A1484,DB,5,FALSE),"  ")</f>
        <v>MPI3-3B</v>
      </c>
      <c r="E1484" s="1041">
        <f t="shared" ref="E1484:E1509" si="889">IFERROR(VLOOKUP(A1484,DB,6,FALSE),"  ")</f>
        <v>2019</v>
      </c>
      <c r="F1484" s="1041" t="str">
        <f t="shared" ref="F1484:F1509" si="890">IFERROR(VLOOKUP(A1484,DB,7,FALSE),"  ")</f>
        <v>AKTIF</v>
      </c>
      <c r="G1484" s="1041">
        <f t="shared" ref="G1484:G1509" si="891">IFERROR(VLOOKUP(A1484,DB,3,FALSE),"  ")</f>
        <v>841919009</v>
      </c>
      <c r="H1484" s="1042">
        <f>IF(F1484="AKTIF",12250000,0)</f>
        <v>12250000</v>
      </c>
      <c r="I1484" s="1042">
        <f>IF(F1484="AKTIF",8000000,0)</f>
        <v>8000000</v>
      </c>
      <c r="J1484" s="1042">
        <f t="shared" ref="J1484:J1553" si="892">I1484+H1484</f>
        <v>20250000</v>
      </c>
      <c r="L1484" s="1060">
        <f>IF(F1484="AKTIF",1,0)</f>
        <v>1</v>
      </c>
      <c r="M1484" s="1060">
        <f t="shared" ref="M1484:M1509" si="893">IF(F1484="LULUS",1,0)</f>
        <v>0</v>
      </c>
      <c r="N1484" s="1060">
        <f t="shared" ref="N1484:N1509" si="894">IF(F1484="CUTI",1,0)</f>
        <v>0</v>
      </c>
      <c r="O1484" s="1060">
        <f t="shared" ref="O1484:O1509" si="895">IF(F1484="DROP OUT",1,0)</f>
        <v>0</v>
      </c>
      <c r="P1484" s="1060">
        <f t="shared" ref="P1484:P1501" si="896">IF(F1484="PASIF",1,0)</f>
        <v>0</v>
      </c>
    </row>
    <row r="1485" spans="1:16" x14ac:dyDescent="0.25">
      <c r="A1485" s="1039">
        <v>1849</v>
      </c>
      <c r="B1485" s="1039">
        <f t="shared" si="886"/>
        <v>2</v>
      </c>
      <c r="C1485" s="1039" t="str">
        <f t="shared" si="887"/>
        <v>ACH. SYAIHO</v>
      </c>
      <c r="D1485" s="1041" t="str">
        <f t="shared" si="888"/>
        <v>MPI3-3B</v>
      </c>
      <c r="E1485" s="1041">
        <f t="shared" si="889"/>
        <v>2019</v>
      </c>
      <c r="F1485" s="1041" t="str">
        <f t="shared" si="890"/>
        <v>AKTIF</v>
      </c>
      <c r="G1485" s="1041">
        <f t="shared" si="891"/>
        <v>841919025</v>
      </c>
      <c r="H1485" s="1042">
        <f t="shared" ref="H1485:H1509" si="897">IF(F1485="AKTIF",12250000,0)</f>
        <v>12250000</v>
      </c>
      <c r="I1485" s="1042">
        <f t="shared" ref="I1485:I1509" si="898">IF(F1485="AKTIF",8000000,0)</f>
        <v>8000000</v>
      </c>
      <c r="J1485" s="1042">
        <f t="shared" si="892"/>
        <v>20250000</v>
      </c>
      <c r="L1485" s="1060">
        <f t="shared" ref="L1485:L1501" si="899">IF(F1485="AKTIF",1,0)</f>
        <v>1</v>
      </c>
      <c r="M1485" s="1060">
        <f t="shared" si="893"/>
        <v>0</v>
      </c>
      <c r="N1485" s="1060">
        <f t="shared" si="894"/>
        <v>0</v>
      </c>
      <c r="O1485" s="1060">
        <f t="shared" si="895"/>
        <v>0</v>
      </c>
      <c r="P1485" s="1060">
        <f t="shared" si="896"/>
        <v>0</v>
      </c>
    </row>
    <row r="1486" spans="1:16" x14ac:dyDescent="0.25">
      <c r="A1486" s="1039">
        <v>1850</v>
      </c>
      <c r="B1486" s="1039">
        <f t="shared" si="886"/>
        <v>3</v>
      </c>
      <c r="C1486" s="1039" t="str">
        <f t="shared" si="887"/>
        <v>CHAIRONI HIDAYAT</v>
      </c>
      <c r="D1486" s="1041" t="str">
        <f t="shared" si="888"/>
        <v>MPI3-3B</v>
      </c>
      <c r="E1486" s="1041">
        <f t="shared" si="889"/>
        <v>2019</v>
      </c>
      <c r="F1486" s="1041" t="str">
        <f t="shared" si="890"/>
        <v>AKTIF</v>
      </c>
      <c r="G1486" s="1041">
        <f t="shared" si="891"/>
        <v>841919014</v>
      </c>
      <c r="H1486" s="1042">
        <f t="shared" si="897"/>
        <v>12250000</v>
      </c>
      <c r="I1486" s="1042">
        <f t="shared" si="898"/>
        <v>8000000</v>
      </c>
      <c r="J1486" s="1042">
        <f t="shared" si="892"/>
        <v>20250000</v>
      </c>
      <c r="L1486" s="1060">
        <f t="shared" si="899"/>
        <v>1</v>
      </c>
      <c r="M1486" s="1060">
        <f t="shared" si="893"/>
        <v>0</v>
      </c>
      <c r="N1486" s="1060">
        <f t="shared" si="894"/>
        <v>0</v>
      </c>
      <c r="O1486" s="1060">
        <f t="shared" si="895"/>
        <v>0</v>
      </c>
      <c r="P1486" s="1060">
        <f t="shared" si="896"/>
        <v>0</v>
      </c>
    </row>
    <row r="1487" spans="1:16" x14ac:dyDescent="0.25">
      <c r="A1487" s="1039">
        <v>1851</v>
      </c>
      <c r="B1487" s="1039">
        <f t="shared" si="886"/>
        <v>4</v>
      </c>
      <c r="C1487" s="1039" t="str">
        <f t="shared" si="887"/>
        <v>DHIAN WAHANA PUTRA</v>
      </c>
      <c r="D1487" s="1041" t="str">
        <f t="shared" si="888"/>
        <v>MPI3-3B</v>
      </c>
      <c r="E1487" s="1041">
        <f t="shared" si="889"/>
        <v>2019</v>
      </c>
      <c r="F1487" s="1041" t="str">
        <f t="shared" si="890"/>
        <v>AKTIF</v>
      </c>
      <c r="G1487" s="1041">
        <f t="shared" si="891"/>
        <v>841919004</v>
      </c>
      <c r="H1487" s="1042">
        <f t="shared" si="897"/>
        <v>12250000</v>
      </c>
      <c r="I1487" s="1042">
        <f t="shared" si="898"/>
        <v>8000000</v>
      </c>
      <c r="J1487" s="1042">
        <f t="shared" si="892"/>
        <v>20250000</v>
      </c>
      <c r="L1487" s="1060">
        <f t="shared" si="899"/>
        <v>1</v>
      </c>
      <c r="M1487" s="1060">
        <f t="shared" si="893"/>
        <v>0</v>
      </c>
      <c r="N1487" s="1060">
        <f t="shared" si="894"/>
        <v>0</v>
      </c>
      <c r="O1487" s="1060">
        <f t="shared" si="895"/>
        <v>0</v>
      </c>
      <c r="P1487" s="1060">
        <f t="shared" si="896"/>
        <v>0</v>
      </c>
    </row>
    <row r="1488" spans="1:16" x14ac:dyDescent="0.25">
      <c r="A1488" s="1039">
        <v>1852</v>
      </c>
      <c r="B1488" s="1039">
        <f t="shared" si="886"/>
        <v>5</v>
      </c>
      <c r="C1488" s="1039" t="str">
        <f t="shared" si="887"/>
        <v>FEBRY SUPRAPTO</v>
      </c>
      <c r="D1488" s="1041" t="str">
        <f t="shared" si="888"/>
        <v>MPI3-3B</v>
      </c>
      <c r="E1488" s="1041">
        <f t="shared" si="889"/>
        <v>2019</v>
      </c>
      <c r="F1488" s="1041" t="str">
        <f t="shared" si="890"/>
        <v>AKTIF</v>
      </c>
      <c r="G1488" s="1041">
        <f t="shared" si="891"/>
        <v>841919010</v>
      </c>
      <c r="H1488" s="1042">
        <f t="shared" si="897"/>
        <v>12250000</v>
      </c>
      <c r="I1488" s="1042">
        <f t="shared" si="898"/>
        <v>8000000</v>
      </c>
      <c r="J1488" s="1042">
        <f t="shared" si="892"/>
        <v>20250000</v>
      </c>
      <c r="L1488" s="1060">
        <f t="shared" si="899"/>
        <v>1</v>
      </c>
      <c r="M1488" s="1060">
        <f t="shared" si="893"/>
        <v>0</v>
      </c>
      <c r="N1488" s="1060">
        <f t="shared" si="894"/>
        <v>0</v>
      </c>
      <c r="O1488" s="1060">
        <f t="shared" si="895"/>
        <v>0</v>
      </c>
      <c r="P1488" s="1060">
        <f t="shared" si="896"/>
        <v>0</v>
      </c>
    </row>
    <row r="1489" spans="1:16" x14ac:dyDescent="0.25">
      <c r="A1489" s="1039">
        <v>1853</v>
      </c>
      <c r="B1489" s="1039">
        <f t="shared" si="886"/>
        <v>6</v>
      </c>
      <c r="C1489" s="1039" t="str">
        <f t="shared" si="887"/>
        <v>H. SUDIRMAN</v>
      </c>
      <c r="D1489" s="1041" t="str">
        <f t="shared" si="888"/>
        <v>MPI3-3B</v>
      </c>
      <c r="E1489" s="1041">
        <f t="shared" si="889"/>
        <v>2019</v>
      </c>
      <c r="F1489" s="1041" t="str">
        <f t="shared" si="890"/>
        <v>AKTIF</v>
      </c>
      <c r="G1489" s="1041">
        <f t="shared" si="891"/>
        <v>841919011</v>
      </c>
      <c r="H1489" s="1042">
        <f t="shared" si="897"/>
        <v>12250000</v>
      </c>
      <c r="I1489" s="1042">
        <f t="shared" si="898"/>
        <v>8000000</v>
      </c>
      <c r="J1489" s="1042">
        <f t="shared" si="892"/>
        <v>20250000</v>
      </c>
      <c r="L1489" s="1060">
        <f t="shared" si="899"/>
        <v>1</v>
      </c>
      <c r="M1489" s="1060">
        <f t="shared" si="893"/>
        <v>0</v>
      </c>
      <c r="N1489" s="1060">
        <f t="shared" si="894"/>
        <v>0</v>
      </c>
      <c r="O1489" s="1060">
        <f t="shared" si="895"/>
        <v>0</v>
      </c>
      <c r="P1489" s="1060">
        <f t="shared" si="896"/>
        <v>0</v>
      </c>
    </row>
    <row r="1490" spans="1:16" x14ac:dyDescent="0.25">
      <c r="A1490" s="1039">
        <v>1854</v>
      </c>
      <c r="B1490" s="1039">
        <f t="shared" si="886"/>
        <v>7</v>
      </c>
      <c r="C1490" s="1039" t="str">
        <f t="shared" si="887"/>
        <v>IMAM SYAFI'I</v>
      </c>
      <c r="D1490" s="1041" t="str">
        <f t="shared" si="888"/>
        <v>MPI3-3B</v>
      </c>
      <c r="E1490" s="1041">
        <f t="shared" si="889"/>
        <v>2019</v>
      </c>
      <c r="F1490" s="1041" t="str">
        <f t="shared" si="890"/>
        <v>AKTIF</v>
      </c>
      <c r="G1490" s="1041">
        <f t="shared" si="891"/>
        <v>841919007</v>
      </c>
      <c r="H1490" s="1042">
        <f t="shared" si="897"/>
        <v>12250000</v>
      </c>
      <c r="I1490" s="1042">
        <f t="shared" si="898"/>
        <v>8000000</v>
      </c>
      <c r="J1490" s="1042">
        <f t="shared" si="892"/>
        <v>20250000</v>
      </c>
      <c r="L1490" s="1060">
        <f t="shared" si="899"/>
        <v>1</v>
      </c>
      <c r="M1490" s="1060">
        <f t="shared" si="893"/>
        <v>0</v>
      </c>
      <c r="N1490" s="1060">
        <f t="shared" si="894"/>
        <v>0</v>
      </c>
      <c r="O1490" s="1060">
        <f t="shared" si="895"/>
        <v>0</v>
      </c>
      <c r="P1490" s="1060">
        <f t="shared" si="896"/>
        <v>0</v>
      </c>
    </row>
    <row r="1491" spans="1:16" x14ac:dyDescent="0.25">
      <c r="A1491" s="1039">
        <v>1855</v>
      </c>
      <c r="B1491" s="1039">
        <f t="shared" si="886"/>
        <v>8</v>
      </c>
      <c r="C1491" s="1039" t="str">
        <f t="shared" si="887"/>
        <v>ISTIFADAH</v>
      </c>
      <c r="D1491" s="1041" t="str">
        <f t="shared" si="888"/>
        <v>MPI3-3B</v>
      </c>
      <c r="E1491" s="1041">
        <f t="shared" si="889"/>
        <v>2019</v>
      </c>
      <c r="F1491" s="1041" t="str">
        <f t="shared" si="890"/>
        <v>AKTIF</v>
      </c>
      <c r="G1491" s="1041">
        <f t="shared" si="891"/>
        <v>841919017</v>
      </c>
      <c r="H1491" s="1042">
        <f t="shared" si="897"/>
        <v>12250000</v>
      </c>
      <c r="I1491" s="1042">
        <f t="shared" si="898"/>
        <v>8000000</v>
      </c>
      <c r="J1491" s="1042">
        <f t="shared" si="892"/>
        <v>20250000</v>
      </c>
      <c r="L1491" s="1060">
        <f t="shared" si="899"/>
        <v>1</v>
      </c>
      <c r="M1491" s="1060">
        <f t="shared" si="893"/>
        <v>0</v>
      </c>
      <c r="N1491" s="1060">
        <f t="shared" si="894"/>
        <v>0</v>
      </c>
      <c r="O1491" s="1060">
        <f t="shared" si="895"/>
        <v>0</v>
      </c>
      <c r="P1491" s="1060">
        <f t="shared" si="896"/>
        <v>0</v>
      </c>
    </row>
    <row r="1492" spans="1:16" x14ac:dyDescent="0.25">
      <c r="A1492" s="1039">
        <v>1856</v>
      </c>
      <c r="B1492" s="1039">
        <f t="shared" ref="B1492" si="900">IFERROR(VLOOKUP(A1492,DB,2,FALSE),"  ")</f>
        <v>9</v>
      </c>
      <c r="C1492" s="1039" t="str">
        <f t="shared" si="887"/>
        <v>IVANA SEPTIA MAHARANI</v>
      </c>
      <c r="D1492" s="1041" t="str">
        <f t="shared" si="888"/>
        <v>MPI3-3B</v>
      </c>
      <c r="E1492" s="1041">
        <f t="shared" si="889"/>
        <v>2019</v>
      </c>
      <c r="F1492" s="1041" t="str">
        <f t="shared" si="890"/>
        <v>AKTIF</v>
      </c>
      <c r="G1492" s="1041">
        <f t="shared" si="891"/>
        <v>841919018</v>
      </c>
      <c r="H1492" s="1042">
        <f t="shared" ref="H1492" si="901">IF(F1492="AKTIF",12250000,0)</f>
        <v>12250000</v>
      </c>
      <c r="I1492" s="1042">
        <f t="shared" ref="I1492" si="902">IF(F1492="AKTIF",8000000,0)</f>
        <v>8000000</v>
      </c>
      <c r="J1492" s="1042">
        <f t="shared" ref="J1492" si="903">I1492+H1492</f>
        <v>20250000</v>
      </c>
      <c r="L1492" s="1060">
        <f t="shared" ref="L1492" si="904">IF(F1492="AKTIF",1,0)</f>
        <v>1</v>
      </c>
      <c r="M1492" s="1060">
        <f t="shared" ref="M1492" si="905">IF(F1492="LULUS",1,0)</f>
        <v>0</v>
      </c>
      <c r="N1492" s="1060">
        <f t="shared" ref="N1492" si="906">IF(F1492="CUTI",1,0)</f>
        <v>0</v>
      </c>
      <c r="O1492" s="1060">
        <f t="shared" ref="O1492" si="907">IF(F1492="DROP OUT",1,0)</f>
        <v>0</v>
      </c>
      <c r="P1492" s="1060">
        <f t="shared" ref="P1492" si="908">IF(F1492="PASIF",1,0)</f>
        <v>0</v>
      </c>
    </row>
    <row r="1493" spans="1:16" x14ac:dyDescent="0.25">
      <c r="A1493" s="1039">
        <v>1857</v>
      </c>
      <c r="B1493" s="1039">
        <f t="shared" si="886"/>
        <v>10</v>
      </c>
      <c r="C1493" s="1039" t="str">
        <f t="shared" si="887"/>
        <v>JAMILUDIN USMAN</v>
      </c>
      <c r="D1493" s="1041" t="str">
        <f t="shared" si="888"/>
        <v>MPI3-3B</v>
      </c>
      <c r="E1493" s="1041">
        <f t="shared" si="889"/>
        <v>2019</v>
      </c>
      <c r="F1493" s="1041" t="str">
        <f t="shared" si="890"/>
        <v>AKTIF</v>
      </c>
      <c r="G1493" s="1041">
        <f t="shared" si="891"/>
        <v>841919016</v>
      </c>
      <c r="H1493" s="1042">
        <f t="shared" si="897"/>
        <v>12250000</v>
      </c>
      <c r="I1493" s="1042">
        <f t="shared" si="898"/>
        <v>8000000</v>
      </c>
      <c r="J1493" s="1042">
        <f t="shared" si="892"/>
        <v>20250000</v>
      </c>
      <c r="L1493" s="1060">
        <f t="shared" si="899"/>
        <v>1</v>
      </c>
      <c r="M1493" s="1060">
        <f t="shared" si="893"/>
        <v>0</v>
      </c>
      <c r="N1493" s="1060">
        <f t="shared" si="894"/>
        <v>0</v>
      </c>
      <c r="O1493" s="1060">
        <f t="shared" si="895"/>
        <v>0</v>
      </c>
      <c r="P1493" s="1060">
        <f t="shared" si="896"/>
        <v>0</v>
      </c>
    </row>
    <row r="1494" spans="1:16" x14ac:dyDescent="0.25">
      <c r="A1494" s="1039">
        <v>1858</v>
      </c>
      <c r="B1494" s="1039">
        <f t="shared" si="886"/>
        <v>11</v>
      </c>
      <c r="C1494" s="1039" t="str">
        <f t="shared" si="887"/>
        <v>M. ATOK ILLAH NAS</v>
      </c>
      <c r="D1494" s="1041" t="str">
        <f t="shared" si="888"/>
        <v>MPI3-3B</v>
      </c>
      <c r="E1494" s="1041">
        <f t="shared" si="889"/>
        <v>2019</v>
      </c>
      <c r="F1494" s="1041" t="str">
        <f t="shared" si="890"/>
        <v>AKTIF</v>
      </c>
      <c r="G1494" s="1041">
        <f t="shared" si="891"/>
        <v>841919013</v>
      </c>
      <c r="H1494" s="1042">
        <f t="shared" si="897"/>
        <v>12250000</v>
      </c>
      <c r="I1494" s="1042">
        <f t="shared" si="898"/>
        <v>8000000</v>
      </c>
      <c r="J1494" s="1042">
        <f t="shared" si="892"/>
        <v>20250000</v>
      </c>
      <c r="L1494" s="1060">
        <f t="shared" si="899"/>
        <v>1</v>
      </c>
      <c r="M1494" s="1060">
        <f t="shared" si="893"/>
        <v>0</v>
      </c>
      <c r="N1494" s="1060">
        <f t="shared" si="894"/>
        <v>0</v>
      </c>
      <c r="O1494" s="1060">
        <f t="shared" si="895"/>
        <v>0</v>
      </c>
      <c r="P1494" s="1060">
        <f t="shared" si="896"/>
        <v>0</v>
      </c>
    </row>
    <row r="1495" spans="1:16" x14ac:dyDescent="0.25">
      <c r="A1495" s="1039">
        <v>1859</v>
      </c>
      <c r="B1495" s="1039">
        <f t="shared" si="886"/>
        <v>12</v>
      </c>
      <c r="C1495" s="1039" t="str">
        <f t="shared" si="887"/>
        <v>M. KHOIRI</v>
      </c>
      <c r="D1495" s="1041" t="str">
        <f t="shared" si="888"/>
        <v>MPI3-3B</v>
      </c>
      <c r="E1495" s="1041">
        <f t="shared" si="889"/>
        <v>2019</v>
      </c>
      <c r="F1495" s="1041" t="str">
        <f t="shared" si="890"/>
        <v>DROP OUT</v>
      </c>
      <c r="G1495" s="1041">
        <f t="shared" si="891"/>
        <v>841919001</v>
      </c>
      <c r="H1495" s="1042">
        <f t="shared" si="897"/>
        <v>0</v>
      </c>
      <c r="I1495" s="1042">
        <f t="shared" si="898"/>
        <v>0</v>
      </c>
      <c r="J1495" s="1042">
        <f t="shared" si="892"/>
        <v>0</v>
      </c>
      <c r="L1495" s="1060">
        <f t="shared" si="899"/>
        <v>0</v>
      </c>
      <c r="M1495" s="1060">
        <f t="shared" si="893"/>
        <v>0</v>
      </c>
      <c r="N1495" s="1060">
        <f t="shared" si="894"/>
        <v>0</v>
      </c>
      <c r="O1495" s="1060">
        <f t="shared" si="895"/>
        <v>1</v>
      </c>
      <c r="P1495" s="1060">
        <f t="shared" si="896"/>
        <v>0</v>
      </c>
    </row>
    <row r="1496" spans="1:16" x14ac:dyDescent="0.25">
      <c r="A1496" s="1039">
        <v>1860</v>
      </c>
      <c r="B1496" s="1039">
        <f t="shared" si="886"/>
        <v>13</v>
      </c>
      <c r="C1496" s="1039" t="str">
        <f t="shared" si="887"/>
        <v>MOH. ISOMUDDIN</v>
      </c>
      <c r="D1496" s="1041" t="str">
        <f t="shared" si="888"/>
        <v>MPI3-3B</v>
      </c>
      <c r="E1496" s="1041">
        <f t="shared" si="889"/>
        <v>2019</v>
      </c>
      <c r="F1496" s="1041" t="str">
        <f t="shared" si="890"/>
        <v>AKTIF</v>
      </c>
      <c r="G1496" s="1041">
        <f t="shared" si="891"/>
        <v>841919006</v>
      </c>
      <c r="H1496" s="1042">
        <f t="shared" si="897"/>
        <v>12250000</v>
      </c>
      <c r="I1496" s="1042">
        <f t="shared" si="898"/>
        <v>8000000</v>
      </c>
      <c r="J1496" s="1042">
        <f t="shared" si="892"/>
        <v>20250000</v>
      </c>
      <c r="L1496" s="1060">
        <f t="shared" si="899"/>
        <v>1</v>
      </c>
      <c r="M1496" s="1060">
        <f t="shared" si="893"/>
        <v>0</v>
      </c>
      <c r="N1496" s="1060">
        <f t="shared" si="894"/>
        <v>0</v>
      </c>
      <c r="O1496" s="1060">
        <f t="shared" si="895"/>
        <v>0</v>
      </c>
      <c r="P1496" s="1060">
        <f t="shared" si="896"/>
        <v>0</v>
      </c>
    </row>
    <row r="1497" spans="1:16" x14ac:dyDescent="0.25">
      <c r="A1497" s="1039">
        <v>1861</v>
      </c>
      <c r="B1497" s="1039">
        <f t="shared" si="886"/>
        <v>14</v>
      </c>
      <c r="C1497" s="1039" t="str">
        <f t="shared" si="887"/>
        <v>MUHAMMAD TOYYIB</v>
      </c>
      <c r="D1497" s="1041" t="str">
        <f t="shared" si="888"/>
        <v>MPI3-3B</v>
      </c>
      <c r="E1497" s="1041">
        <f t="shared" si="889"/>
        <v>2019</v>
      </c>
      <c r="F1497" s="1041" t="str">
        <f t="shared" si="890"/>
        <v>AKTIF</v>
      </c>
      <c r="G1497" s="1041">
        <f t="shared" si="891"/>
        <v>841919002</v>
      </c>
      <c r="H1497" s="1042">
        <f t="shared" si="897"/>
        <v>12250000</v>
      </c>
      <c r="I1497" s="1042">
        <f t="shared" si="898"/>
        <v>8000000</v>
      </c>
      <c r="J1497" s="1042">
        <f t="shared" si="892"/>
        <v>20250000</v>
      </c>
      <c r="L1497" s="1060">
        <f t="shared" si="899"/>
        <v>1</v>
      </c>
      <c r="M1497" s="1060">
        <f t="shared" si="893"/>
        <v>0</v>
      </c>
      <c r="N1497" s="1060">
        <f t="shared" si="894"/>
        <v>0</v>
      </c>
      <c r="O1497" s="1060">
        <f t="shared" si="895"/>
        <v>0</v>
      </c>
      <c r="P1497" s="1060">
        <f t="shared" si="896"/>
        <v>0</v>
      </c>
    </row>
    <row r="1498" spans="1:16" x14ac:dyDescent="0.25">
      <c r="A1498" s="1039">
        <v>1862</v>
      </c>
      <c r="B1498" s="1039">
        <f t="shared" si="886"/>
        <v>15</v>
      </c>
      <c r="C1498" s="1039" t="str">
        <f t="shared" si="887"/>
        <v>RIF'AN JUNAIDI</v>
      </c>
      <c r="D1498" s="1041" t="str">
        <f t="shared" si="888"/>
        <v>MPI3-3B</v>
      </c>
      <c r="E1498" s="1041">
        <f t="shared" si="889"/>
        <v>2019</v>
      </c>
      <c r="F1498" s="1041" t="str">
        <f t="shared" si="890"/>
        <v>AKTIF</v>
      </c>
      <c r="G1498" s="1041">
        <f t="shared" si="891"/>
        <v>841919012</v>
      </c>
      <c r="H1498" s="1042">
        <f t="shared" si="897"/>
        <v>12250000</v>
      </c>
      <c r="I1498" s="1042">
        <f t="shared" si="898"/>
        <v>8000000</v>
      </c>
      <c r="J1498" s="1042">
        <f t="shared" si="892"/>
        <v>20250000</v>
      </c>
      <c r="L1498" s="1060">
        <f t="shared" si="899"/>
        <v>1</v>
      </c>
      <c r="M1498" s="1060">
        <f t="shared" si="893"/>
        <v>0</v>
      </c>
      <c r="N1498" s="1060">
        <f t="shared" si="894"/>
        <v>0</v>
      </c>
      <c r="O1498" s="1060">
        <f t="shared" si="895"/>
        <v>0</v>
      </c>
      <c r="P1498" s="1060">
        <f t="shared" si="896"/>
        <v>0</v>
      </c>
    </row>
    <row r="1499" spans="1:16" x14ac:dyDescent="0.25">
      <c r="A1499" s="1039">
        <v>1863</v>
      </c>
      <c r="B1499" s="1039">
        <f t="shared" si="886"/>
        <v>16</v>
      </c>
      <c r="C1499" s="1039" t="str">
        <f t="shared" si="887"/>
        <v>SAIFUL BADRI</v>
      </c>
      <c r="D1499" s="1041" t="str">
        <f t="shared" si="888"/>
        <v>MPI3-3B</v>
      </c>
      <c r="E1499" s="1041">
        <f t="shared" si="889"/>
        <v>2019</v>
      </c>
      <c r="F1499" s="1041" t="str">
        <f t="shared" si="890"/>
        <v>AKTIF</v>
      </c>
      <c r="G1499" s="1041">
        <f t="shared" si="891"/>
        <v>841919026</v>
      </c>
      <c r="H1499" s="1042">
        <f t="shared" si="897"/>
        <v>12250000</v>
      </c>
      <c r="I1499" s="1042">
        <f t="shared" si="898"/>
        <v>8000000</v>
      </c>
      <c r="J1499" s="1042">
        <f t="shared" si="892"/>
        <v>20250000</v>
      </c>
      <c r="L1499" s="1060">
        <f t="shared" si="899"/>
        <v>1</v>
      </c>
      <c r="M1499" s="1060">
        <f t="shared" si="893"/>
        <v>0</v>
      </c>
      <c r="N1499" s="1060">
        <f t="shared" si="894"/>
        <v>0</v>
      </c>
      <c r="O1499" s="1060">
        <f t="shared" si="895"/>
        <v>0</v>
      </c>
      <c r="P1499" s="1060">
        <f t="shared" si="896"/>
        <v>0</v>
      </c>
    </row>
    <row r="1500" spans="1:16" x14ac:dyDescent="0.25">
      <c r="A1500" s="1039">
        <v>1864</v>
      </c>
      <c r="B1500" s="1039">
        <f t="shared" si="886"/>
        <v>16</v>
      </c>
      <c r="C1500" s="1039" t="str">
        <f t="shared" si="887"/>
        <v>SANDIKO</v>
      </c>
      <c r="D1500" s="1041" t="str">
        <f t="shared" si="888"/>
        <v>MPI3-3B</v>
      </c>
      <c r="E1500" s="1041">
        <f t="shared" si="889"/>
        <v>2019</v>
      </c>
      <c r="F1500" s="1041" t="str">
        <f t="shared" si="890"/>
        <v>AKTIF</v>
      </c>
      <c r="G1500" s="1041">
        <f t="shared" si="891"/>
        <v>841919008</v>
      </c>
      <c r="H1500" s="1042">
        <f t="shared" si="897"/>
        <v>12250000</v>
      </c>
      <c r="I1500" s="1042">
        <f t="shared" si="898"/>
        <v>8000000</v>
      </c>
      <c r="J1500" s="1042">
        <f t="shared" si="892"/>
        <v>20250000</v>
      </c>
      <c r="L1500" s="1060">
        <f t="shared" si="899"/>
        <v>1</v>
      </c>
      <c r="M1500" s="1060">
        <f t="shared" si="893"/>
        <v>0</v>
      </c>
      <c r="N1500" s="1060">
        <f t="shared" si="894"/>
        <v>0</v>
      </c>
      <c r="O1500" s="1060">
        <f t="shared" si="895"/>
        <v>0</v>
      </c>
      <c r="P1500" s="1060">
        <f t="shared" si="896"/>
        <v>0</v>
      </c>
    </row>
    <row r="1501" spans="1:16" x14ac:dyDescent="0.25">
      <c r="A1501" s="1039">
        <v>1865</v>
      </c>
      <c r="B1501" s="1039">
        <f t="shared" si="886"/>
        <v>17</v>
      </c>
      <c r="C1501" s="1039" t="str">
        <f t="shared" si="887"/>
        <v>SUGIANTO</v>
      </c>
      <c r="D1501" s="1041" t="str">
        <f t="shared" si="888"/>
        <v>MPI3-3B</v>
      </c>
      <c r="E1501" s="1041">
        <f t="shared" si="889"/>
        <v>2019</v>
      </c>
      <c r="F1501" s="1041" t="str">
        <f t="shared" si="890"/>
        <v>AKTIF</v>
      </c>
      <c r="G1501" s="1041">
        <f t="shared" si="891"/>
        <v>841919005</v>
      </c>
      <c r="H1501" s="1042">
        <f t="shared" si="897"/>
        <v>12250000</v>
      </c>
      <c r="I1501" s="1042">
        <f t="shared" si="898"/>
        <v>8000000</v>
      </c>
      <c r="J1501" s="1042">
        <f t="shared" si="892"/>
        <v>20250000</v>
      </c>
      <c r="L1501" s="1060">
        <f t="shared" si="899"/>
        <v>1</v>
      </c>
      <c r="M1501" s="1060">
        <f t="shared" si="893"/>
        <v>0</v>
      </c>
      <c r="N1501" s="1060">
        <f t="shared" si="894"/>
        <v>0</v>
      </c>
      <c r="O1501" s="1060">
        <f t="shared" si="895"/>
        <v>0</v>
      </c>
      <c r="P1501" s="1060">
        <f t="shared" si="896"/>
        <v>0</v>
      </c>
    </row>
    <row r="1502" spans="1:16" x14ac:dyDescent="0.25">
      <c r="A1502" s="1039">
        <v>1866</v>
      </c>
      <c r="B1502" s="1039">
        <f t="shared" si="886"/>
        <v>18</v>
      </c>
      <c r="C1502" s="1039" t="str">
        <f t="shared" si="887"/>
        <v>SUNARJI</v>
      </c>
      <c r="D1502" s="1041" t="str">
        <f t="shared" si="888"/>
        <v>MPI3-3B</v>
      </c>
      <c r="E1502" s="1041">
        <f t="shared" si="889"/>
        <v>2019</v>
      </c>
      <c r="F1502" s="1041" t="str">
        <f t="shared" si="890"/>
        <v>PASIF</v>
      </c>
      <c r="G1502" s="1041">
        <f t="shared" si="891"/>
        <v>841919015</v>
      </c>
      <c r="H1502" s="1042">
        <f t="shared" si="897"/>
        <v>0</v>
      </c>
      <c r="I1502" s="1042">
        <f t="shared" si="898"/>
        <v>0</v>
      </c>
      <c r="J1502" s="1042">
        <f t="shared" ref="J1502:J1509" si="909">I1502+H1502</f>
        <v>0</v>
      </c>
      <c r="L1502" s="1060">
        <f t="shared" ref="L1502:L1509" si="910">IF(F1502="AKTIF",1,0)</f>
        <v>0</v>
      </c>
      <c r="M1502" s="1060">
        <f t="shared" si="893"/>
        <v>0</v>
      </c>
      <c r="N1502" s="1060">
        <f t="shared" si="894"/>
        <v>0</v>
      </c>
      <c r="O1502" s="1060">
        <f t="shared" si="895"/>
        <v>0</v>
      </c>
      <c r="P1502" s="1060">
        <f t="shared" ref="P1502:P1509" si="911">IF(F1502="PASIF",1,0)</f>
        <v>1</v>
      </c>
    </row>
    <row r="1503" spans="1:16" x14ac:dyDescent="0.25">
      <c r="A1503" s="1039">
        <v>1867</v>
      </c>
      <c r="B1503" s="1039">
        <f t="shared" si="886"/>
        <v>19</v>
      </c>
      <c r="C1503" s="1039" t="str">
        <f t="shared" si="887"/>
        <v>UMAR HASAN</v>
      </c>
      <c r="D1503" s="1041" t="str">
        <f t="shared" si="888"/>
        <v>MPI3-3B</v>
      </c>
      <c r="E1503" s="1041">
        <f t="shared" si="889"/>
        <v>2019</v>
      </c>
      <c r="F1503" s="1041" t="str">
        <f t="shared" si="890"/>
        <v>AKTIF</v>
      </c>
      <c r="G1503" s="1041">
        <f t="shared" si="891"/>
        <v>841919003</v>
      </c>
      <c r="H1503" s="1042">
        <f t="shared" si="897"/>
        <v>12250000</v>
      </c>
      <c r="I1503" s="1042">
        <f t="shared" si="898"/>
        <v>8000000</v>
      </c>
      <c r="J1503" s="1042">
        <f t="shared" si="909"/>
        <v>20250000</v>
      </c>
      <c r="L1503" s="1060">
        <f t="shared" si="910"/>
        <v>1</v>
      </c>
      <c r="M1503" s="1060">
        <f t="shared" si="893"/>
        <v>0</v>
      </c>
      <c r="N1503" s="1060">
        <f t="shared" si="894"/>
        <v>0</v>
      </c>
      <c r="O1503" s="1060">
        <f t="shared" si="895"/>
        <v>0</v>
      </c>
      <c r="P1503" s="1060">
        <f t="shared" si="911"/>
        <v>0</v>
      </c>
    </row>
    <row r="1504" spans="1:16" x14ac:dyDescent="0.25">
      <c r="A1504" s="1039">
        <v>1868</v>
      </c>
      <c r="B1504" s="1039">
        <f t="shared" si="886"/>
        <v>20</v>
      </c>
      <c r="C1504" s="1081" t="str">
        <f t="shared" si="887"/>
        <v>ABDUL GOFFAR</v>
      </c>
      <c r="D1504" s="1041" t="str">
        <f t="shared" si="888"/>
        <v>MPI3-3A</v>
      </c>
      <c r="E1504" s="1041">
        <f t="shared" si="889"/>
        <v>2019</v>
      </c>
      <c r="F1504" s="1041" t="str">
        <f t="shared" si="890"/>
        <v>AKTIF</v>
      </c>
      <c r="G1504" s="1041">
        <f t="shared" si="891"/>
        <v>841919019</v>
      </c>
      <c r="H1504" s="1042">
        <f t="shared" si="897"/>
        <v>12250000</v>
      </c>
      <c r="I1504" s="1042">
        <f t="shared" si="898"/>
        <v>8000000</v>
      </c>
      <c r="J1504" s="1042">
        <f t="shared" si="909"/>
        <v>20250000</v>
      </c>
      <c r="L1504" s="1060">
        <f t="shared" si="910"/>
        <v>1</v>
      </c>
      <c r="M1504" s="1060">
        <f t="shared" si="893"/>
        <v>0</v>
      </c>
      <c r="N1504" s="1060">
        <f t="shared" si="894"/>
        <v>0</v>
      </c>
      <c r="O1504" s="1060">
        <f t="shared" si="895"/>
        <v>0</v>
      </c>
      <c r="P1504" s="1060">
        <f t="shared" si="911"/>
        <v>0</v>
      </c>
    </row>
    <row r="1505" spans="1:16" x14ac:dyDescent="0.25">
      <c r="A1505" s="1039">
        <v>1869</v>
      </c>
      <c r="B1505" s="1039">
        <f t="shared" si="886"/>
        <v>21</v>
      </c>
      <c r="C1505" s="1081" t="str">
        <f t="shared" si="887"/>
        <v>BADRUT TAMAM</v>
      </c>
      <c r="D1505" s="1041" t="str">
        <f t="shared" si="888"/>
        <v>MPI3-3A</v>
      </c>
      <c r="E1505" s="1041">
        <f t="shared" si="889"/>
        <v>2019</v>
      </c>
      <c r="F1505" s="1041" t="str">
        <f t="shared" si="890"/>
        <v>AKTIF</v>
      </c>
      <c r="G1505" s="1041">
        <f t="shared" si="891"/>
        <v>841919020</v>
      </c>
      <c r="H1505" s="1042">
        <f t="shared" si="897"/>
        <v>12250000</v>
      </c>
      <c r="I1505" s="1042">
        <f t="shared" si="898"/>
        <v>8000000</v>
      </c>
      <c r="J1505" s="1042">
        <f t="shared" si="909"/>
        <v>20250000</v>
      </c>
      <c r="L1505" s="1060">
        <f t="shared" si="910"/>
        <v>1</v>
      </c>
      <c r="M1505" s="1060">
        <f t="shared" si="893"/>
        <v>0</v>
      </c>
      <c r="N1505" s="1060">
        <f t="shared" si="894"/>
        <v>0</v>
      </c>
      <c r="O1505" s="1060">
        <f t="shared" si="895"/>
        <v>0</v>
      </c>
      <c r="P1505" s="1060">
        <f t="shared" si="911"/>
        <v>0</v>
      </c>
    </row>
    <row r="1506" spans="1:16" x14ac:dyDescent="0.25">
      <c r="A1506" s="1039">
        <v>1870</v>
      </c>
      <c r="B1506" s="1039">
        <f t="shared" si="886"/>
        <v>22</v>
      </c>
      <c r="C1506" s="1081" t="str">
        <f t="shared" si="887"/>
        <v>HARIYANTO</v>
      </c>
      <c r="D1506" s="1041" t="str">
        <f t="shared" si="888"/>
        <v>MPI3-3A</v>
      </c>
      <c r="E1506" s="1041">
        <f t="shared" si="889"/>
        <v>2019</v>
      </c>
      <c r="F1506" s="1041" t="str">
        <f t="shared" si="890"/>
        <v>AKTIF</v>
      </c>
      <c r="G1506" s="1041">
        <f t="shared" si="891"/>
        <v>841919021</v>
      </c>
      <c r="H1506" s="1042">
        <f t="shared" si="897"/>
        <v>12250000</v>
      </c>
      <c r="I1506" s="1042">
        <f t="shared" si="898"/>
        <v>8000000</v>
      </c>
      <c r="J1506" s="1042">
        <f t="shared" si="909"/>
        <v>20250000</v>
      </c>
      <c r="L1506" s="1060">
        <f t="shared" si="910"/>
        <v>1</v>
      </c>
      <c r="M1506" s="1060">
        <f t="shared" si="893"/>
        <v>0</v>
      </c>
      <c r="N1506" s="1060">
        <f t="shared" si="894"/>
        <v>0</v>
      </c>
      <c r="O1506" s="1060">
        <f t="shared" si="895"/>
        <v>0</v>
      </c>
      <c r="P1506" s="1060">
        <f t="shared" si="911"/>
        <v>0</v>
      </c>
    </row>
    <row r="1507" spans="1:16" x14ac:dyDescent="0.25">
      <c r="A1507" s="1039">
        <v>1871</v>
      </c>
      <c r="B1507" s="1039">
        <f t="shared" si="886"/>
        <v>23</v>
      </c>
      <c r="C1507" s="1081" t="str">
        <f t="shared" si="887"/>
        <v>KURNIYATUL FAIZAH</v>
      </c>
      <c r="D1507" s="1041" t="str">
        <f t="shared" si="888"/>
        <v>MPI3-3A</v>
      </c>
      <c r="E1507" s="1041">
        <f t="shared" si="889"/>
        <v>2019</v>
      </c>
      <c r="F1507" s="1041" t="str">
        <f t="shared" si="890"/>
        <v>AKTIF</v>
      </c>
      <c r="G1507" s="1041">
        <f t="shared" si="891"/>
        <v>841919022</v>
      </c>
      <c r="H1507" s="1042">
        <f t="shared" si="897"/>
        <v>12250000</v>
      </c>
      <c r="I1507" s="1042">
        <f t="shared" si="898"/>
        <v>8000000</v>
      </c>
      <c r="J1507" s="1042">
        <f t="shared" si="909"/>
        <v>20250000</v>
      </c>
      <c r="L1507" s="1060">
        <f t="shared" si="910"/>
        <v>1</v>
      </c>
      <c r="M1507" s="1060">
        <f t="shared" si="893"/>
        <v>0</v>
      </c>
      <c r="N1507" s="1060">
        <f t="shared" si="894"/>
        <v>0</v>
      </c>
      <c r="O1507" s="1060">
        <f t="shared" si="895"/>
        <v>0</v>
      </c>
      <c r="P1507" s="1060">
        <f t="shared" si="911"/>
        <v>0</v>
      </c>
    </row>
    <row r="1508" spans="1:16" x14ac:dyDescent="0.25">
      <c r="A1508" s="1039">
        <v>1872</v>
      </c>
      <c r="B1508" s="1039">
        <f t="shared" ref="B1508" si="912">IFERROR(VLOOKUP(A1508,DB,2,FALSE),"  ")</f>
        <v>24</v>
      </c>
      <c r="C1508" s="1081" t="str">
        <f t="shared" si="887"/>
        <v>LULUK MAKTUMAH</v>
      </c>
      <c r="D1508" s="1041" t="str">
        <f t="shared" si="888"/>
        <v>MPI3-3A</v>
      </c>
      <c r="E1508" s="1041">
        <f t="shared" si="889"/>
        <v>2019</v>
      </c>
      <c r="F1508" s="1041" t="str">
        <f t="shared" si="890"/>
        <v>AKTIF</v>
      </c>
      <c r="G1508" s="1041">
        <f t="shared" si="891"/>
        <v>841919023</v>
      </c>
      <c r="H1508" s="1042">
        <f t="shared" ref="H1508" si="913">IF(F1508="AKTIF",12250000,0)</f>
        <v>12250000</v>
      </c>
      <c r="I1508" s="1042">
        <f t="shared" ref="I1508" si="914">IF(F1508="AKTIF",8000000,0)</f>
        <v>8000000</v>
      </c>
      <c r="J1508" s="1042">
        <f t="shared" ref="J1508" si="915">I1508+H1508</f>
        <v>20250000</v>
      </c>
      <c r="L1508" s="1060">
        <f t="shared" ref="L1508" si="916">IF(F1508="AKTIF",1,0)</f>
        <v>1</v>
      </c>
      <c r="M1508" s="1060">
        <f t="shared" si="893"/>
        <v>0</v>
      </c>
      <c r="N1508" s="1060">
        <f t="shared" si="894"/>
        <v>0</v>
      </c>
      <c r="O1508" s="1060">
        <f t="shared" si="895"/>
        <v>0</v>
      </c>
      <c r="P1508" s="1060">
        <f t="shared" ref="P1508" si="917">IF(F1508="PASIF",1,0)</f>
        <v>0</v>
      </c>
    </row>
    <row r="1509" spans="1:16" x14ac:dyDescent="0.25">
      <c r="A1509" s="1039">
        <v>1873</v>
      </c>
      <c r="B1509" s="1039">
        <f t="shared" si="886"/>
        <v>25</v>
      </c>
      <c r="C1509" s="1081" t="str">
        <f t="shared" si="887"/>
        <v>SITI HALIMAH</v>
      </c>
      <c r="D1509" s="1041" t="str">
        <f t="shared" si="888"/>
        <v>MPI3-3A</v>
      </c>
      <c r="E1509" s="1041">
        <f t="shared" si="889"/>
        <v>2019</v>
      </c>
      <c r="F1509" s="1041" t="str">
        <f t="shared" si="890"/>
        <v>AKTIF</v>
      </c>
      <c r="G1509" s="1041">
        <f t="shared" si="891"/>
        <v>841919024</v>
      </c>
      <c r="H1509" s="1042">
        <f t="shared" si="897"/>
        <v>12250000</v>
      </c>
      <c r="I1509" s="1042">
        <f t="shared" si="898"/>
        <v>8000000</v>
      </c>
      <c r="J1509" s="1042">
        <f t="shared" si="909"/>
        <v>20250000</v>
      </c>
      <c r="L1509" s="1060">
        <f t="shared" si="910"/>
        <v>1</v>
      </c>
      <c r="M1509" s="1060">
        <f t="shared" si="893"/>
        <v>0</v>
      </c>
      <c r="N1509" s="1060">
        <f t="shared" si="894"/>
        <v>0</v>
      </c>
      <c r="O1509" s="1060">
        <f t="shared" si="895"/>
        <v>0</v>
      </c>
      <c r="P1509" s="1060">
        <f t="shared" si="911"/>
        <v>0</v>
      </c>
    </row>
    <row r="1510" spans="1:16" x14ac:dyDescent="0.25">
      <c r="A1510" s="1039"/>
      <c r="B1510" s="1039"/>
      <c r="C1510" s="1039"/>
      <c r="D1510" s="1040"/>
      <c r="E1510" s="1041"/>
      <c r="F1510" s="1040"/>
      <c r="G1510" s="1041"/>
      <c r="H1510" s="1042"/>
      <c r="I1510" s="1042"/>
      <c r="J1510" s="1042"/>
    </row>
    <row r="1511" spans="1:16" x14ac:dyDescent="0.25">
      <c r="A1511" s="1078" t="str">
        <f>'Rekap SPP'!A2036</f>
        <v>S3-PAI 2019/2020</v>
      </c>
      <c r="B1511" s="1079"/>
      <c r="C1511" s="1079"/>
      <c r="D1511" s="1074" t="s">
        <v>3</v>
      </c>
      <c r="E1511" s="1075" t="s">
        <v>4</v>
      </c>
      <c r="F1511" s="1074" t="s">
        <v>3195</v>
      </c>
      <c r="G1511" s="1075" t="s">
        <v>1</v>
      </c>
      <c r="H1511" s="1074" t="s">
        <v>3362</v>
      </c>
      <c r="I1511" s="1074" t="s">
        <v>3363</v>
      </c>
      <c r="J1511" s="1080">
        <f>SUM(J1512:J1523)</f>
        <v>195000000</v>
      </c>
      <c r="L1511" s="1063">
        <f>SUM(L1512:L1529)</f>
        <v>16</v>
      </c>
      <c r="M1511" s="1063">
        <f>SUM(M1512:M1529)</f>
        <v>0</v>
      </c>
      <c r="N1511" s="1063">
        <f>SUM(N1512:N1529)</f>
        <v>0</v>
      </c>
      <c r="O1511" s="1063">
        <f>SUM(O1512:O1529)</f>
        <v>1</v>
      </c>
      <c r="P1511" s="1063">
        <f>SUM(P1512:P1529)</f>
        <v>1</v>
      </c>
    </row>
    <row r="1512" spans="1:16" x14ac:dyDescent="0.25">
      <c r="A1512" s="1039">
        <v>1874</v>
      </c>
      <c r="B1512" s="1039">
        <f t="shared" ref="B1512:B1523" si="918">IFERROR(VLOOKUP(A1512,DB,2,FALSE),"  ")</f>
        <v>1</v>
      </c>
      <c r="C1512" s="1039" t="str">
        <f t="shared" ref="C1512:C1529" si="919">IFERROR(VLOOKUP(A1512,DB,4,FALSE),"  ")</f>
        <v>IMRON ROSADY</v>
      </c>
      <c r="D1512" s="1041" t="str">
        <f t="shared" ref="D1512:D1529" si="920">IFERROR(VLOOKUP(A1512,DB,5,FALSE),"  ")</f>
        <v>PAI3-3</v>
      </c>
      <c r="E1512" s="1041">
        <f t="shared" ref="E1512:E1529" si="921">IFERROR(VLOOKUP(A1512,DB,6,FALSE),"  ")</f>
        <v>2019</v>
      </c>
      <c r="F1512" s="1041" t="str">
        <f t="shared" ref="F1512:F1529" si="922">IFERROR(VLOOKUP(A1512,DB,7,FALSE),"  ")</f>
        <v>AKTIF</v>
      </c>
      <c r="G1512" s="1041">
        <f t="shared" ref="G1512:G1529" si="923">IFERROR(VLOOKUP(A1512,DB,3,FALSE),"  ")</f>
        <v>842919001</v>
      </c>
      <c r="H1512" s="1042">
        <f>IF(F1512="AKTIF",10250000,)</f>
        <v>10250000</v>
      </c>
      <c r="I1512" s="1042">
        <f>IF(F1512="AKTIF",6000000,0)</f>
        <v>6000000</v>
      </c>
      <c r="J1512" s="1042">
        <f t="shared" ref="J1512:J1523" si="924">I1512+H1512</f>
        <v>16250000</v>
      </c>
      <c r="L1512" s="1060">
        <f>IF(F1512="AKTIF",1,0)</f>
        <v>1</v>
      </c>
      <c r="M1512" s="1060">
        <f t="shared" ref="M1512:M1526" si="925">IF(F1512="LULUS",1,0)</f>
        <v>0</v>
      </c>
      <c r="N1512" s="1060">
        <f t="shared" ref="N1512:N1526" si="926">IF(F1512="CUTI",1,0)</f>
        <v>0</v>
      </c>
      <c r="O1512" s="1060">
        <f t="shared" ref="O1512:O1526" si="927">IF(F1512="DROP OUT",1,0)</f>
        <v>0</v>
      </c>
      <c r="P1512" s="1060">
        <f t="shared" ref="P1512:P1523" si="928">IF(F1512="PASIF",1,0)</f>
        <v>0</v>
      </c>
    </row>
    <row r="1513" spans="1:16" x14ac:dyDescent="0.25">
      <c r="A1513" s="1039">
        <v>1875</v>
      </c>
      <c r="B1513" s="1039">
        <f t="shared" si="918"/>
        <v>2</v>
      </c>
      <c r="C1513" s="1039" t="str">
        <f t="shared" si="919"/>
        <v>NURUDDIN</v>
      </c>
      <c r="D1513" s="1041" t="str">
        <f t="shared" si="920"/>
        <v>PAI3-3</v>
      </c>
      <c r="E1513" s="1041">
        <f t="shared" si="921"/>
        <v>2019</v>
      </c>
      <c r="F1513" s="1041" t="str">
        <f t="shared" si="922"/>
        <v>AKTIF</v>
      </c>
      <c r="G1513" s="1041">
        <f t="shared" si="923"/>
        <v>842919002</v>
      </c>
      <c r="H1513" s="1042">
        <f t="shared" ref="H1513:H1523" si="929">IF(F1513="AKTIF",10250000,)</f>
        <v>10250000</v>
      </c>
      <c r="I1513" s="1042">
        <f t="shared" ref="I1513:I1523" si="930">IF(F1513="AKTIF",6000000,0)</f>
        <v>6000000</v>
      </c>
      <c r="J1513" s="1042">
        <f t="shared" si="924"/>
        <v>16250000</v>
      </c>
      <c r="L1513" s="1060">
        <f t="shared" ref="L1513:L1523" si="931">IF(F1513="AKTIF",1,0)</f>
        <v>1</v>
      </c>
      <c r="M1513" s="1060">
        <f t="shared" si="925"/>
        <v>0</v>
      </c>
      <c r="N1513" s="1060">
        <f t="shared" si="926"/>
        <v>0</v>
      </c>
      <c r="O1513" s="1060">
        <f t="shared" si="927"/>
        <v>0</v>
      </c>
      <c r="P1513" s="1060">
        <f t="shared" si="928"/>
        <v>0</v>
      </c>
    </row>
    <row r="1514" spans="1:16" x14ac:dyDescent="0.25">
      <c r="A1514" s="1039">
        <v>1876</v>
      </c>
      <c r="B1514" s="1039">
        <f t="shared" si="918"/>
        <v>3</v>
      </c>
      <c r="C1514" s="1039" t="str">
        <f t="shared" si="919"/>
        <v>MOHAMMAD TAUFIK</v>
      </c>
      <c r="D1514" s="1041" t="str">
        <f t="shared" si="920"/>
        <v>PAI3-3</v>
      </c>
      <c r="E1514" s="1041">
        <f t="shared" si="921"/>
        <v>2019</v>
      </c>
      <c r="F1514" s="1041" t="str">
        <f t="shared" si="922"/>
        <v>AKTIF</v>
      </c>
      <c r="G1514" s="1041">
        <f t="shared" si="923"/>
        <v>842919003</v>
      </c>
      <c r="H1514" s="1042">
        <f t="shared" si="929"/>
        <v>10250000</v>
      </c>
      <c r="I1514" s="1042">
        <f t="shared" si="930"/>
        <v>6000000</v>
      </c>
      <c r="J1514" s="1042">
        <f t="shared" si="924"/>
        <v>16250000</v>
      </c>
      <c r="L1514" s="1060">
        <f t="shared" si="931"/>
        <v>1</v>
      </c>
      <c r="M1514" s="1060">
        <f t="shared" si="925"/>
        <v>0</v>
      </c>
      <c r="N1514" s="1060">
        <f t="shared" si="926"/>
        <v>0</v>
      </c>
      <c r="O1514" s="1060">
        <f t="shared" si="927"/>
        <v>0</v>
      </c>
      <c r="P1514" s="1060">
        <f t="shared" si="928"/>
        <v>0</v>
      </c>
    </row>
    <row r="1515" spans="1:16" x14ac:dyDescent="0.25">
      <c r="A1515" s="1039">
        <v>1877</v>
      </c>
      <c r="B1515" s="1039">
        <f t="shared" si="918"/>
        <v>4</v>
      </c>
      <c r="C1515" s="1039" t="str">
        <f t="shared" si="919"/>
        <v>YUYUN ISNAWATI</v>
      </c>
      <c r="D1515" s="1041" t="str">
        <f t="shared" si="920"/>
        <v>PAI3-3</v>
      </c>
      <c r="E1515" s="1041">
        <f t="shared" si="921"/>
        <v>2019</v>
      </c>
      <c r="F1515" s="1041" t="str">
        <f t="shared" si="922"/>
        <v>AKTIF</v>
      </c>
      <c r="G1515" s="1041">
        <f t="shared" si="923"/>
        <v>842919004</v>
      </c>
      <c r="H1515" s="1042">
        <f t="shared" si="929"/>
        <v>10250000</v>
      </c>
      <c r="I1515" s="1042">
        <f t="shared" si="930"/>
        <v>6000000</v>
      </c>
      <c r="J1515" s="1042">
        <f t="shared" si="924"/>
        <v>16250000</v>
      </c>
      <c r="L1515" s="1060">
        <f t="shared" si="931"/>
        <v>1</v>
      </c>
      <c r="M1515" s="1060">
        <f t="shared" si="925"/>
        <v>0</v>
      </c>
      <c r="N1515" s="1060">
        <f t="shared" si="926"/>
        <v>0</v>
      </c>
      <c r="O1515" s="1060">
        <f t="shared" si="927"/>
        <v>0</v>
      </c>
      <c r="P1515" s="1060">
        <f t="shared" si="928"/>
        <v>0</v>
      </c>
    </row>
    <row r="1516" spans="1:16" x14ac:dyDescent="0.25">
      <c r="A1516" s="1039">
        <v>1878</v>
      </c>
      <c r="B1516" s="1039">
        <f t="shared" si="918"/>
        <v>5</v>
      </c>
      <c r="C1516" s="1039" t="str">
        <f t="shared" si="919"/>
        <v>MUHAMMAD SAIFUL ANAM</v>
      </c>
      <c r="D1516" s="1041" t="str">
        <f t="shared" si="920"/>
        <v>PAI3-3</v>
      </c>
      <c r="E1516" s="1041">
        <f t="shared" si="921"/>
        <v>2019</v>
      </c>
      <c r="F1516" s="1041" t="str">
        <f t="shared" si="922"/>
        <v>AKTIF</v>
      </c>
      <c r="G1516" s="1041">
        <f t="shared" si="923"/>
        <v>842919005</v>
      </c>
      <c r="H1516" s="1042">
        <f t="shared" si="929"/>
        <v>10250000</v>
      </c>
      <c r="I1516" s="1042">
        <f t="shared" si="930"/>
        <v>6000000</v>
      </c>
      <c r="J1516" s="1042">
        <f t="shared" si="924"/>
        <v>16250000</v>
      </c>
      <c r="L1516" s="1060">
        <f t="shared" si="931"/>
        <v>1</v>
      </c>
      <c r="M1516" s="1060">
        <f t="shared" si="925"/>
        <v>0</v>
      </c>
      <c r="N1516" s="1060">
        <f t="shared" si="926"/>
        <v>0</v>
      </c>
      <c r="O1516" s="1060">
        <f t="shared" si="927"/>
        <v>0</v>
      </c>
      <c r="P1516" s="1060">
        <f t="shared" si="928"/>
        <v>0</v>
      </c>
    </row>
    <row r="1517" spans="1:16" x14ac:dyDescent="0.25">
      <c r="A1517" s="1039">
        <v>1879</v>
      </c>
      <c r="B1517" s="1039">
        <f t="shared" si="918"/>
        <v>6</v>
      </c>
      <c r="C1517" s="1039" t="str">
        <f t="shared" si="919"/>
        <v>MUHAMMAD SYAFII</v>
      </c>
      <c r="D1517" s="1041" t="str">
        <f t="shared" si="920"/>
        <v>PAI3-3</v>
      </c>
      <c r="E1517" s="1041">
        <f t="shared" si="921"/>
        <v>2019</v>
      </c>
      <c r="F1517" s="1041" t="str">
        <f t="shared" si="922"/>
        <v>AKTIF</v>
      </c>
      <c r="G1517" s="1041">
        <f t="shared" si="923"/>
        <v>842919006</v>
      </c>
      <c r="H1517" s="1042">
        <f t="shared" si="929"/>
        <v>10250000</v>
      </c>
      <c r="I1517" s="1042">
        <f t="shared" si="930"/>
        <v>6000000</v>
      </c>
      <c r="J1517" s="1042">
        <f t="shared" si="924"/>
        <v>16250000</v>
      </c>
      <c r="L1517" s="1060">
        <f t="shared" si="931"/>
        <v>1</v>
      </c>
      <c r="M1517" s="1060">
        <f t="shared" si="925"/>
        <v>0</v>
      </c>
      <c r="N1517" s="1060">
        <f t="shared" si="926"/>
        <v>0</v>
      </c>
      <c r="O1517" s="1060">
        <f t="shared" si="927"/>
        <v>0</v>
      </c>
      <c r="P1517" s="1060">
        <f t="shared" si="928"/>
        <v>0</v>
      </c>
    </row>
    <row r="1518" spans="1:16" x14ac:dyDescent="0.25">
      <c r="A1518" s="1039">
        <v>1880</v>
      </c>
      <c r="B1518" s="1039">
        <f t="shared" si="918"/>
        <v>7</v>
      </c>
      <c r="C1518" s="1039" t="str">
        <f t="shared" si="919"/>
        <v>ASTONO</v>
      </c>
      <c r="D1518" s="1041" t="str">
        <f t="shared" si="920"/>
        <v>PAI3-3</v>
      </c>
      <c r="E1518" s="1041">
        <f t="shared" si="921"/>
        <v>2019</v>
      </c>
      <c r="F1518" s="1041" t="str">
        <f t="shared" si="922"/>
        <v>AKTIF</v>
      </c>
      <c r="G1518" s="1041">
        <f t="shared" si="923"/>
        <v>842919007</v>
      </c>
      <c r="H1518" s="1042">
        <f t="shared" si="929"/>
        <v>10250000</v>
      </c>
      <c r="I1518" s="1042">
        <f t="shared" si="930"/>
        <v>6000000</v>
      </c>
      <c r="J1518" s="1042">
        <f t="shared" si="924"/>
        <v>16250000</v>
      </c>
      <c r="L1518" s="1060">
        <f t="shared" si="931"/>
        <v>1</v>
      </c>
      <c r="M1518" s="1060">
        <f t="shared" si="925"/>
        <v>0</v>
      </c>
      <c r="N1518" s="1060">
        <f t="shared" si="926"/>
        <v>0</v>
      </c>
      <c r="O1518" s="1060">
        <f t="shared" si="927"/>
        <v>0</v>
      </c>
      <c r="P1518" s="1060">
        <f t="shared" si="928"/>
        <v>0</v>
      </c>
    </row>
    <row r="1519" spans="1:16" x14ac:dyDescent="0.25">
      <c r="A1519" s="1039">
        <v>1881</v>
      </c>
      <c r="B1519" s="1039">
        <f t="shared" si="918"/>
        <v>8</v>
      </c>
      <c r="C1519" s="1039" t="str">
        <f t="shared" si="919"/>
        <v>MUHAMMAD ABDUL ARIF WIJAYA</v>
      </c>
      <c r="D1519" s="1041" t="str">
        <f t="shared" si="920"/>
        <v>PAI3-3</v>
      </c>
      <c r="E1519" s="1041">
        <f t="shared" si="921"/>
        <v>2019</v>
      </c>
      <c r="F1519" s="1041" t="str">
        <f t="shared" si="922"/>
        <v>AKTIF</v>
      </c>
      <c r="G1519" s="1041">
        <f t="shared" si="923"/>
        <v>842919008</v>
      </c>
      <c r="H1519" s="1042">
        <f t="shared" si="929"/>
        <v>10250000</v>
      </c>
      <c r="I1519" s="1042">
        <f t="shared" si="930"/>
        <v>6000000</v>
      </c>
      <c r="J1519" s="1042">
        <f t="shared" si="924"/>
        <v>16250000</v>
      </c>
      <c r="L1519" s="1060">
        <f t="shared" si="931"/>
        <v>1</v>
      </c>
      <c r="M1519" s="1060">
        <f t="shared" si="925"/>
        <v>0</v>
      </c>
      <c r="N1519" s="1060">
        <f t="shared" si="926"/>
        <v>0</v>
      </c>
      <c r="O1519" s="1060">
        <f t="shared" si="927"/>
        <v>0</v>
      </c>
      <c r="P1519" s="1060">
        <f t="shared" si="928"/>
        <v>0</v>
      </c>
    </row>
    <row r="1520" spans="1:16" x14ac:dyDescent="0.25">
      <c r="A1520" s="1039">
        <v>1882</v>
      </c>
      <c r="B1520" s="1039">
        <f t="shared" si="918"/>
        <v>9</v>
      </c>
      <c r="C1520" s="1039" t="str">
        <f t="shared" si="919"/>
        <v>AHMAD SAYADI</v>
      </c>
      <c r="D1520" s="1041" t="str">
        <f t="shared" si="920"/>
        <v>PAI3-3</v>
      </c>
      <c r="E1520" s="1041">
        <f t="shared" si="921"/>
        <v>2019</v>
      </c>
      <c r="F1520" s="1041" t="str">
        <f t="shared" si="922"/>
        <v>AKTIF</v>
      </c>
      <c r="G1520" s="1041">
        <f t="shared" si="923"/>
        <v>842919009</v>
      </c>
      <c r="H1520" s="1042">
        <f t="shared" si="929"/>
        <v>10250000</v>
      </c>
      <c r="I1520" s="1042">
        <f t="shared" si="930"/>
        <v>6000000</v>
      </c>
      <c r="J1520" s="1042">
        <f t="shared" si="924"/>
        <v>16250000</v>
      </c>
      <c r="L1520" s="1060">
        <f t="shared" si="931"/>
        <v>1</v>
      </c>
      <c r="M1520" s="1060">
        <f t="shared" si="925"/>
        <v>0</v>
      </c>
      <c r="N1520" s="1060">
        <f t="shared" si="926"/>
        <v>0</v>
      </c>
      <c r="O1520" s="1060">
        <f t="shared" si="927"/>
        <v>0</v>
      </c>
      <c r="P1520" s="1060">
        <f t="shared" si="928"/>
        <v>0</v>
      </c>
    </row>
    <row r="1521" spans="1:16" x14ac:dyDescent="0.25">
      <c r="A1521" s="1039">
        <v>1883</v>
      </c>
      <c r="B1521" s="1039">
        <f t="shared" si="918"/>
        <v>10</v>
      </c>
      <c r="C1521" s="1039" t="str">
        <f t="shared" si="919"/>
        <v>RIZQIYAH RATU BALQIS</v>
      </c>
      <c r="D1521" s="1041" t="str">
        <f t="shared" si="920"/>
        <v>PAI3-3</v>
      </c>
      <c r="E1521" s="1041">
        <f t="shared" si="921"/>
        <v>2019</v>
      </c>
      <c r="F1521" s="1041" t="str">
        <f t="shared" si="922"/>
        <v>AKTIF</v>
      </c>
      <c r="G1521" s="1041">
        <f t="shared" si="923"/>
        <v>842919010</v>
      </c>
      <c r="H1521" s="1042">
        <f t="shared" si="929"/>
        <v>10250000</v>
      </c>
      <c r="I1521" s="1042">
        <f t="shared" si="930"/>
        <v>6000000</v>
      </c>
      <c r="J1521" s="1042">
        <f t="shared" si="924"/>
        <v>16250000</v>
      </c>
      <c r="L1521" s="1060">
        <f t="shared" si="931"/>
        <v>1</v>
      </c>
      <c r="M1521" s="1060">
        <f t="shared" si="925"/>
        <v>0</v>
      </c>
      <c r="N1521" s="1060">
        <f t="shared" si="926"/>
        <v>0</v>
      </c>
      <c r="O1521" s="1060">
        <f t="shared" si="927"/>
        <v>0</v>
      </c>
      <c r="P1521" s="1060">
        <f t="shared" si="928"/>
        <v>0</v>
      </c>
    </row>
    <row r="1522" spans="1:16" x14ac:dyDescent="0.25">
      <c r="A1522" s="1039">
        <v>1884</v>
      </c>
      <c r="B1522" s="1039">
        <f t="shared" si="918"/>
        <v>11</v>
      </c>
      <c r="C1522" s="1039" t="str">
        <f t="shared" si="919"/>
        <v>ABDUL BASID</v>
      </c>
      <c r="D1522" s="1041" t="str">
        <f t="shared" si="920"/>
        <v>PAI3-3</v>
      </c>
      <c r="E1522" s="1041">
        <f t="shared" si="921"/>
        <v>2019</v>
      </c>
      <c r="F1522" s="1041" t="str">
        <f t="shared" si="922"/>
        <v>AKTIF</v>
      </c>
      <c r="G1522" s="1041">
        <f t="shared" si="923"/>
        <v>842919011</v>
      </c>
      <c r="H1522" s="1042">
        <f t="shared" si="929"/>
        <v>10250000</v>
      </c>
      <c r="I1522" s="1042">
        <f t="shared" si="930"/>
        <v>6000000</v>
      </c>
      <c r="J1522" s="1042">
        <f t="shared" si="924"/>
        <v>16250000</v>
      </c>
      <c r="L1522" s="1060">
        <f t="shared" si="931"/>
        <v>1</v>
      </c>
      <c r="M1522" s="1060">
        <f t="shared" si="925"/>
        <v>0</v>
      </c>
      <c r="N1522" s="1060">
        <f t="shared" si="926"/>
        <v>0</v>
      </c>
      <c r="O1522" s="1060">
        <f t="shared" si="927"/>
        <v>0</v>
      </c>
      <c r="P1522" s="1060">
        <f t="shared" si="928"/>
        <v>0</v>
      </c>
    </row>
    <row r="1523" spans="1:16" x14ac:dyDescent="0.25">
      <c r="A1523" s="1039">
        <v>1885</v>
      </c>
      <c r="B1523" s="1039">
        <f t="shared" si="918"/>
        <v>12</v>
      </c>
      <c r="C1523" s="1039" t="str">
        <f t="shared" si="919"/>
        <v>AHMAD THOLABI</v>
      </c>
      <c r="D1523" s="1041" t="str">
        <f t="shared" si="920"/>
        <v>PAI3-3</v>
      </c>
      <c r="E1523" s="1041">
        <f t="shared" si="921"/>
        <v>2019</v>
      </c>
      <c r="F1523" s="1041" t="str">
        <f t="shared" si="922"/>
        <v>AKTIF</v>
      </c>
      <c r="G1523" s="1041">
        <f t="shared" si="923"/>
        <v>842919012</v>
      </c>
      <c r="H1523" s="1042">
        <f t="shared" si="929"/>
        <v>10250000</v>
      </c>
      <c r="I1523" s="1042">
        <f t="shared" si="930"/>
        <v>6000000</v>
      </c>
      <c r="J1523" s="1042">
        <f t="shared" si="924"/>
        <v>16250000</v>
      </c>
      <c r="L1523" s="1060">
        <f t="shared" si="931"/>
        <v>1</v>
      </c>
      <c r="M1523" s="1060">
        <f t="shared" si="925"/>
        <v>0</v>
      </c>
      <c r="N1523" s="1060">
        <f t="shared" si="926"/>
        <v>0</v>
      </c>
      <c r="O1523" s="1060">
        <f t="shared" si="927"/>
        <v>0</v>
      </c>
      <c r="P1523" s="1060">
        <f t="shared" si="928"/>
        <v>0</v>
      </c>
    </row>
    <row r="1524" spans="1:16" x14ac:dyDescent="0.25">
      <c r="A1524" s="1039">
        <v>1886</v>
      </c>
      <c r="B1524" s="1039">
        <f t="shared" ref="B1524:B1525" si="932">IFERROR(VLOOKUP(A1524,DB,2,FALSE),"  ")</f>
        <v>13</v>
      </c>
      <c r="C1524" s="1039" t="str">
        <f t="shared" si="919"/>
        <v>RIZA NINGRUM</v>
      </c>
      <c r="D1524" s="1041" t="str">
        <f t="shared" si="920"/>
        <v>PAI3-3</v>
      </c>
      <c r="E1524" s="1041">
        <f t="shared" si="921"/>
        <v>2019</v>
      </c>
      <c r="F1524" s="1041" t="str">
        <f t="shared" si="922"/>
        <v>AKTIF</v>
      </c>
      <c r="G1524" s="1041">
        <f t="shared" si="923"/>
        <v>842919013</v>
      </c>
      <c r="H1524" s="1042">
        <f t="shared" ref="H1524:H1525" si="933">IF(F1524="AKTIF",10250000,)</f>
        <v>10250000</v>
      </c>
      <c r="I1524" s="1042">
        <f t="shared" ref="I1524:I1525" si="934">IF(F1524="AKTIF",6000000,0)</f>
        <v>6000000</v>
      </c>
      <c r="J1524" s="1042">
        <f t="shared" ref="J1524:J1525" si="935">I1524+H1524</f>
        <v>16250000</v>
      </c>
      <c r="L1524" s="1060">
        <f t="shared" ref="L1524:L1525" si="936">IF(F1524="AKTIF",1,0)</f>
        <v>1</v>
      </c>
      <c r="M1524" s="1060">
        <f t="shared" si="925"/>
        <v>0</v>
      </c>
      <c r="N1524" s="1060">
        <f t="shared" si="926"/>
        <v>0</v>
      </c>
      <c r="O1524" s="1060">
        <f t="shared" si="927"/>
        <v>0</v>
      </c>
      <c r="P1524" s="1060">
        <f t="shared" ref="P1524:P1525" si="937">IF(F1524="PASIF",1,0)</f>
        <v>0</v>
      </c>
    </row>
    <row r="1525" spans="1:16" x14ac:dyDescent="0.25">
      <c r="A1525" s="1039">
        <v>1887</v>
      </c>
      <c r="B1525" s="1039">
        <f t="shared" si="932"/>
        <v>14</v>
      </c>
      <c r="C1525" s="1039" t="str">
        <f t="shared" si="919"/>
        <v>SANTOSO</v>
      </c>
      <c r="D1525" s="1041" t="str">
        <f t="shared" si="920"/>
        <v>PAI3-3</v>
      </c>
      <c r="E1525" s="1041">
        <f t="shared" si="921"/>
        <v>2019</v>
      </c>
      <c r="F1525" s="1041" t="str">
        <f t="shared" si="922"/>
        <v>AKTIF</v>
      </c>
      <c r="G1525" s="1041">
        <f t="shared" si="923"/>
        <v>842919014</v>
      </c>
      <c r="H1525" s="1042">
        <f t="shared" si="933"/>
        <v>10250000</v>
      </c>
      <c r="I1525" s="1042">
        <f t="shared" si="934"/>
        <v>6000000</v>
      </c>
      <c r="J1525" s="1042">
        <f t="shared" si="935"/>
        <v>16250000</v>
      </c>
      <c r="L1525" s="1060">
        <f t="shared" si="936"/>
        <v>1</v>
      </c>
      <c r="M1525" s="1060">
        <f t="shared" si="925"/>
        <v>0</v>
      </c>
      <c r="N1525" s="1060">
        <f t="shared" si="926"/>
        <v>0</v>
      </c>
      <c r="O1525" s="1060">
        <f t="shared" si="927"/>
        <v>0</v>
      </c>
      <c r="P1525" s="1060">
        <f t="shared" si="937"/>
        <v>0</v>
      </c>
    </row>
    <row r="1526" spans="1:16" x14ac:dyDescent="0.25">
      <c r="A1526" s="1039">
        <v>1888</v>
      </c>
      <c r="B1526" s="1039">
        <f t="shared" ref="B1526:B1528" si="938">IFERROR(VLOOKUP(A1526,DB,2,FALSE),"  ")</f>
        <v>15</v>
      </c>
      <c r="C1526" s="1039" t="str">
        <f t="shared" si="919"/>
        <v>SITI MASYARAFATUL MANNA WASSALWA</v>
      </c>
      <c r="D1526" s="1041" t="str">
        <f t="shared" si="920"/>
        <v>PAI3-3</v>
      </c>
      <c r="E1526" s="1041">
        <f t="shared" si="921"/>
        <v>2019</v>
      </c>
      <c r="F1526" s="1041" t="str">
        <f t="shared" si="922"/>
        <v>DROP OUT</v>
      </c>
      <c r="G1526" s="1041">
        <f t="shared" si="923"/>
        <v>842919015</v>
      </c>
      <c r="H1526" s="1042">
        <f t="shared" ref="H1526:H1528" si="939">IF(F1526="AKTIF",10250000,)</f>
        <v>0</v>
      </c>
      <c r="I1526" s="1042">
        <f t="shared" ref="I1526:I1528" si="940">IF(F1526="AKTIF",6000000,0)</f>
        <v>0</v>
      </c>
      <c r="J1526" s="1042">
        <f t="shared" ref="J1526:J1528" si="941">I1526+H1526</f>
        <v>0</v>
      </c>
      <c r="L1526" s="1060">
        <f t="shared" ref="L1526:L1528" si="942">IF(F1526="AKTIF",1,0)</f>
        <v>0</v>
      </c>
      <c r="M1526" s="1060">
        <f t="shared" si="925"/>
        <v>0</v>
      </c>
      <c r="N1526" s="1060">
        <f t="shared" si="926"/>
        <v>0</v>
      </c>
      <c r="O1526" s="1060">
        <f t="shared" si="927"/>
        <v>1</v>
      </c>
      <c r="P1526" s="1060">
        <f t="shared" ref="P1526:P1528" si="943">IF(F1526="PASIF",1,0)</f>
        <v>0</v>
      </c>
    </row>
    <row r="1527" spans="1:16" x14ac:dyDescent="0.25">
      <c r="A1527" s="1039">
        <v>1889</v>
      </c>
      <c r="B1527" s="1039">
        <f t="shared" si="938"/>
        <v>16</v>
      </c>
      <c r="C1527" s="1039" t="str">
        <f t="shared" si="919"/>
        <v>SARWAN</v>
      </c>
      <c r="D1527" s="1041" t="str">
        <f t="shared" si="920"/>
        <v>PAI3-3</v>
      </c>
      <c r="E1527" s="1041">
        <f t="shared" si="921"/>
        <v>2019</v>
      </c>
      <c r="F1527" s="1041" t="str">
        <f t="shared" si="922"/>
        <v>AKTIF</v>
      </c>
      <c r="G1527" s="1041">
        <f t="shared" si="923"/>
        <v>842919016</v>
      </c>
      <c r="H1527" s="1042">
        <f t="shared" si="939"/>
        <v>10250000</v>
      </c>
      <c r="I1527" s="1042">
        <f t="shared" si="940"/>
        <v>6000000</v>
      </c>
      <c r="J1527" s="1042">
        <f t="shared" si="941"/>
        <v>16250000</v>
      </c>
      <c r="L1527" s="1060">
        <f t="shared" si="942"/>
        <v>1</v>
      </c>
      <c r="M1527" s="1060">
        <f t="shared" ref="M1527:M1529" si="944">IF(F1527="LULUS",1,0)</f>
        <v>0</v>
      </c>
      <c r="N1527" s="1060">
        <f t="shared" ref="N1527:N1529" si="945">IF(F1527="CUTI",1,0)</f>
        <v>0</v>
      </c>
      <c r="O1527" s="1060">
        <f t="shared" ref="O1527:O1529" si="946">IF(F1527="DROP OUT",1,0)</f>
        <v>0</v>
      </c>
      <c r="P1527" s="1060">
        <f t="shared" si="943"/>
        <v>0</v>
      </c>
    </row>
    <row r="1528" spans="1:16" x14ac:dyDescent="0.25">
      <c r="A1528" s="1039">
        <v>1890</v>
      </c>
      <c r="B1528" s="1039">
        <f t="shared" si="938"/>
        <v>17</v>
      </c>
      <c r="C1528" s="1039" t="str">
        <f t="shared" si="919"/>
        <v>D. FAJAR AHWA</v>
      </c>
      <c r="D1528" s="1041" t="str">
        <f t="shared" si="920"/>
        <v>PAI3-3</v>
      </c>
      <c r="E1528" s="1041">
        <f t="shared" si="921"/>
        <v>2019</v>
      </c>
      <c r="F1528" s="1041" t="str">
        <f t="shared" si="922"/>
        <v>AKTIF</v>
      </c>
      <c r="G1528" s="1041">
        <f t="shared" si="923"/>
        <v>842919017</v>
      </c>
      <c r="H1528" s="1042">
        <f t="shared" si="939"/>
        <v>10250000</v>
      </c>
      <c r="I1528" s="1042">
        <f t="shared" si="940"/>
        <v>6000000</v>
      </c>
      <c r="J1528" s="1042">
        <f t="shared" si="941"/>
        <v>16250000</v>
      </c>
      <c r="L1528" s="1060">
        <f t="shared" si="942"/>
        <v>1</v>
      </c>
      <c r="M1528" s="1060">
        <f t="shared" si="944"/>
        <v>0</v>
      </c>
      <c r="N1528" s="1060">
        <f t="shared" si="945"/>
        <v>0</v>
      </c>
      <c r="O1528" s="1060">
        <f t="shared" si="946"/>
        <v>0</v>
      </c>
      <c r="P1528" s="1060">
        <f t="shared" si="943"/>
        <v>0</v>
      </c>
    </row>
    <row r="1529" spans="1:16" x14ac:dyDescent="0.25">
      <c r="A1529" s="1039">
        <v>1891</v>
      </c>
      <c r="B1529" s="1039">
        <f t="shared" ref="B1529" si="947">IFERROR(VLOOKUP(A1529,DB,2,FALSE),"  ")</f>
        <v>18</v>
      </c>
      <c r="C1529" s="1039" t="str">
        <f t="shared" si="919"/>
        <v>AINUR RAFIK</v>
      </c>
      <c r="D1529" s="1041" t="str">
        <f t="shared" si="920"/>
        <v>PAI3-3</v>
      </c>
      <c r="E1529" s="1041">
        <f t="shared" si="921"/>
        <v>2019</v>
      </c>
      <c r="F1529" s="1041" t="str">
        <f t="shared" si="922"/>
        <v>PASIF</v>
      </c>
      <c r="G1529" s="1041">
        <f t="shared" si="923"/>
        <v>842919018</v>
      </c>
      <c r="H1529" s="1042">
        <f t="shared" ref="H1529" si="948">IF(F1529="AKTIF",10250000,)</f>
        <v>0</v>
      </c>
      <c r="I1529" s="1042">
        <f t="shared" ref="I1529" si="949">IF(F1529="AKTIF",6000000,0)</f>
        <v>0</v>
      </c>
      <c r="J1529" s="1042">
        <f t="shared" ref="J1529" si="950">I1529+H1529</f>
        <v>0</v>
      </c>
      <c r="L1529" s="1060">
        <f t="shared" ref="L1529" si="951">IF(F1529="AKTIF",1,0)</f>
        <v>0</v>
      </c>
      <c r="M1529" s="1060">
        <f t="shared" si="944"/>
        <v>0</v>
      </c>
      <c r="N1529" s="1060">
        <f t="shared" si="945"/>
        <v>0</v>
      </c>
      <c r="O1529" s="1060">
        <f t="shared" si="946"/>
        <v>0</v>
      </c>
      <c r="P1529" s="1060">
        <f t="shared" ref="P1529" si="952">IF(F1529="PASIF",1,0)</f>
        <v>1</v>
      </c>
    </row>
    <row r="1530" spans="1:16" x14ac:dyDescent="0.25">
      <c r="A1530" s="1039" t="s">
        <v>3364</v>
      </c>
      <c r="B1530" s="1039"/>
      <c r="C1530" s="1039"/>
      <c r="D1530" s="1040"/>
      <c r="E1530" s="1041"/>
      <c r="F1530" s="1040"/>
      <c r="G1530" s="1041"/>
      <c r="H1530" s="1042"/>
      <c r="I1530" s="1042"/>
      <c r="J1530" s="1042"/>
    </row>
    <row r="1531" spans="1:16" x14ac:dyDescent="0.25">
      <c r="A1531" s="1076" t="str">
        <f>'Rekap SPP'!A2058</f>
        <v>S2-MPI 2020/2021</v>
      </c>
      <c r="B1531" s="1077"/>
      <c r="C1531" s="1077"/>
      <c r="D1531" s="1033" t="s">
        <v>3</v>
      </c>
      <c r="E1531" s="1032" t="s">
        <v>4</v>
      </c>
      <c r="F1531" s="1033" t="s">
        <v>3195</v>
      </c>
      <c r="G1531" s="1032" t="s">
        <v>1</v>
      </c>
      <c r="H1531" s="1033" t="s">
        <v>3362</v>
      </c>
      <c r="I1531" s="1033" t="s">
        <v>3363</v>
      </c>
      <c r="J1531" s="1062">
        <f>SUM(J1532:J1568)</f>
        <v>377400000</v>
      </c>
      <c r="L1531" s="1063">
        <f>SUM(L1532:L1568)</f>
        <v>37</v>
      </c>
      <c r="M1531" s="1063">
        <f>SUM(M1532:M1568)</f>
        <v>0</v>
      </c>
      <c r="N1531" s="1063">
        <f>SUM(N1532:N1568)</f>
        <v>0</v>
      </c>
      <c r="O1531" s="1063">
        <f>SUM(O1532:O1568)</f>
        <v>0</v>
      </c>
      <c r="P1531" s="1063">
        <f>SUM(P1532:P1568)</f>
        <v>0</v>
      </c>
    </row>
    <row r="1532" spans="1:16" x14ac:dyDescent="0.25">
      <c r="A1532" s="1039">
        <v>1892</v>
      </c>
      <c r="B1532" s="1039">
        <f>IFERROR(VLOOKUP(A1532,DB,2,FALSE),"  ")</f>
        <v>1</v>
      </c>
      <c r="C1532" s="1039" t="str">
        <f>IFERROR(VLOOKUP(A1532,DB,4,FALSE),"  ")</f>
        <v>ABDUL MU'IS</v>
      </c>
      <c r="D1532" s="1041" t="str">
        <f>IFERROR(VLOOKUP(A1532,DB,5,FALSE),"  ")</f>
        <v>MPI-1A</v>
      </c>
      <c r="E1532" s="1041">
        <f>IFERROR(VLOOKUP(A1532,DB,6,FALSE),"  ")</f>
        <v>2020</v>
      </c>
      <c r="F1532" s="1041" t="str">
        <f>IFERROR(VLOOKUP(A1532,DB,7,FALSE),"  ")</f>
        <v>AKTIF</v>
      </c>
      <c r="G1532" s="1082">
        <f>IFERROR(VLOOKUP(A1532,DB,3,FALSE),"  ")</f>
        <v>203206010001</v>
      </c>
      <c r="H1532" s="1042">
        <f>IF(F1532="AKTIF",6450000,IF(F1532="CUTI",3000000,0))</f>
        <v>6450000</v>
      </c>
      <c r="I1532" s="1042">
        <f>IF(F1532="AKTIF",3750000,IF(F1532="CUTI",3000000,0))</f>
        <v>3750000</v>
      </c>
      <c r="J1532" s="1042">
        <f>I1532+H1532</f>
        <v>10200000</v>
      </c>
      <c r="L1532" s="1060">
        <f>IF(F1532="AKTIF",1,0)</f>
        <v>1</v>
      </c>
      <c r="M1532" s="1060">
        <f>IF(F1532="LULUS",1,0)</f>
        <v>0</v>
      </c>
      <c r="N1532" s="1060">
        <f>IF(F1532="CUTI",1,0)</f>
        <v>0</v>
      </c>
      <c r="O1532" s="1060">
        <f>IF(F1532="DROP OUT",1,0)</f>
        <v>0</v>
      </c>
      <c r="P1532" s="1060">
        <f>IF(F1532="PASIF",1,0)</f>
        <v>0</v>
      </c>
    </row>
    <row r="1533" spans="1:16" x14ac:dyDescent="0.25">
      <c r="A1533" s="1039">
        <v>1893</v>
      </c>
      <c r="B1533" s="1039">
        <f t="shared" ref="B1533:B1551" si="953">IFERROR(VLOOKUP(A1533,DB,2,FALSE),"")</f>
        <v>2</v>
      </c>
      <c r="C1533" s="1039" t="str">
        <f t="shared" ref="C1533:C1568" si="954">IFERROR(VLOOKUP(A1533,DB,4,FALSE),"")</f>
        <v>FEBY RIMANINGTYAS</v>
      </c>
      <c r="D1533" s="1040" t="str">
        <f t="shared" ref="D1533:D1568" si="955">IFERROR(VLOOKUP(A1533,DB,5,FALSE),"")</f>
        <v>MPI-1A</v>
      </c>
      <c r="E1533" s="1041">
        <f t="shared" ref="E1533:E1568" si="956">IFERROR(VLOOKUP(A1533,DB,6,FALSE),"")</f>
        <v>2020</v>
      </c>
      <c r="F1533" s="1040" t="str">
        <f t="shared" ref="F1533:F1568" si="957">IFERROR(VLOOKUP(A1533,DB,7,FALSE),"")</f>
        <v>AKTIF</v>
      </c>
      <c r="G1533" s="1082">
        <f t="shared" ref="G1533:G1568" si="958">IFERROR(VLOOKUP(A1533,DB,3,FALSE),"")</f>
        <v>203206010002</v>
      </c>
      <c r="H1533" s="1042">
        <f t="shared" ref="H1533:H1541" si="959">IF(F1533="AKTIF",6450000,IF(F1533="CUTI",3000000,0))</f>
        <v>6450000</v>
      </c>
      <c r="I1533" s="1042">
        <f t="shared" ref="I1533:I1541" si="960">IF(F1533="AKTIF",3750000,IF(F1533="CUTI",3000000,0))</f>
        <v>3750000</v>
      </c>
      <c r="J1533" s="1042">
        <f t="shared" ref="J1533:J1541" si="961">I1533+H1533</f>
        <v>10200000</v>
      </c>
      <c r="L1533" s="1060">
        <f t="shared" ref="L1533:L1568" si="962">IF(F1533="AKTIF",1,0)</f>
        <v>1</v>
      </c>
      <c r="M1533" s="1060">
        <f t="shared" ref="M1533:M1568" si="963">IF(F1533="LULUS",1,0)</f>
        <v>0</v>
      </c>
      <c r="N1533" s="1060">
        <f t="shared" ref="N1533:N1568" si="964">IF(F1533="CUTI",1,0)</f>
        <v>0</v>
      </c>
      <c r="O1533" s="1060">
        <f t="shared" ref="O1533:O1568" si="965">IF(F1533="DROP OUT",1,0)</f>
        <v>0</v>
      </c>
      <c r="P1533" s="1060">
        <f t="shared" ref="P1533:P1568" si="966">IF(F1533="PASIF",1,0)</f>
        <v>0</v>
      </c>
    </row>
    <row r="1534" spans="1:16" x14ac:dyDescent="0.25">
      <c r="A1534" s="1039">
        <v>1894</v>
      </c>
      <c r="B1534" s="1039">
        <f t="shared" si="953"/>
        <v>3</v>
      </c>
      <c r="C1534" s="1039" t="str">
        <f t="shared" si="954"/>
        <v>FITRIYATUN HASANAH</v>
      </c>
      <c r="D1534" s="1040" t="str">
        <f t="shared" si="955"/>
        <v>MPI-1A</v>
      </c>
      <c r="E1534" s="1041">
        <f t="shared" si="956"/>
        <v>2020</v>
      </c>
      <c r="F1534" s="1040" t="str">
        <f t="shared" si="957"/>
        <v>AKTIF</v>
      </c>
      <c r="G1534" s="1082">
        <f t="shared" si="958"/>
        <v>203206010003</v>
      </c>
      <c r="H1534" s="1042">
        <f t="shared" si="959"/>
        <v>6450000</v>
      </c>
      <c r="I1534" s="1042">
        <f t="shared" si="960"/>
        <v>3750000</v>
      </c>
      <c r="J1534" s="1042">
        <f t="shared" si="961"/>
        <v>10200000</v>
      </c>
      <c r="L1534" s="1060">
        <f t="shared" si="962"/>
        <v>1</v>
      </c>
      <c r="M1534" s="1060">
        <f t="shared" si="963"/>
        <v>0</v>
      </c>
      <c r="N1534" s="1060">
        <f t="shared" si="964"/>
        <v>0</v>
      </c>
      <c r="O1534" s="1060">
        <f t="shared" si="965"/>
        <v>0</v>
      </c>
      <c r="P1534" s="1060">
        <f t="shared" si="966"/>
        <v>0</v>
      </c>
    </row>
    <row r="1535" spans="1:16" x14ac:dyDescent="0.25">
      <c r="A1535" s="1039">
        <v>1895</v>
      </c>
      <c r="B1535" s="1039">
        <f t="shared" si="953"/>
        <v>4</v>
      </c>
      <c r="C1535" s="1039" t="str">
        <f t="shared" si="954"/>
        <v>M. HAMDANI SAHULIKA</v>
      </c>
      <c r="D1535" s="1040" t="str">
        <f t="shared" si="955"/>
        <v>MPI-1A</v>
      </c>
      <c r="E1535" s="1041">
        <f t="shared" si="956"/>
        <v>2020</v>
      </c>
      <c r="F1535" s="1040" t="str">
        <f t="shared" si="957"/>
        <v>AKTIF</v>
      </c>
      <c r="G1535" s="1082">
        <f t="shared" si="958"/>
        <v>203206010004</v>
      </c>
      <c r="H1535" s="1042">
        <f t="shared" si="959"/>
        <v>6450000</v>
      </c>
      <c r="I1535" s="1042">
        <f t="shared" si="960"/>
        <v>3750000</v>
      </c>
      <c r="J1535" s="1042">
        <f t="shared" si="961"/>
        <v>10200000</v>
      </c>
      <c r="L1535" s="1060">
        <f t="shared" si="962"/>
        <v>1</v>
      </c>
      <c r="M1535" s="1060">
        <f t="shared" si="963"/>
        <v>0</v>
      </c>
      <c r="N1535" s="1060">
        <f t="shared" si="964"/>
        <v>0</v>
      </c>
      <c r="O1535" s="1060">
        <f t="shared" si="965"/>
        <v>0</v>
      </c>
      <c r="P1535" s="1060">
        <f t="shared" si="966"/>
        <v>0</v>
      </c>
    </row>
    <row r="1536" spans="1:16" x14ac:dyDescent="0.25">
      <c r="A1536" s="1039">
        <v>1896</v>
      </c>
      <c r="B1536" s="1039">
        <f t="shared" si="953"/>
        <v>5</v>
      </c>
      <c r="C1536" s="1039" t="str">
        <f t="shared" si="954"/>
        <v>MIFTAHUL HUDA</v>
      </c>
      <c r="D1536" s="1040" t="str">
        <f t="shared" si="955"/>
        <v>MPI-1A</v>
      </c>
      <c r="E1536" s="1041">
        <f t="shared" si="956"/>
        <v>2020</v>
      </c>
      <c r="F1536" s="1040" t="str">
        <f t="shared" si="957"/>
        <v>AKTIF</v>
      </c>
      <c r="G1536" s="1082">
        <f t="shared" si="958"/>
        <v>203206010005</v>
      </c>
      <c r="H1536" s="1042">
        <f t="shared" si="959"/>
        <v>6450000</v>
      </c>
      <c r="I1536" s="1042">
        <f t="shared" si="960"/>
        <v>3750000</v>
      </c>
      <c r="J1536" s="1042">
        <f t="shared" si="961"/>
        <v>10200000</v>
      </c>
      <c r="L1536" s="1060">
        <f t="shared" si="962"/>
        <v>1</v>
      </c>
      <c r="M1536" s="1060">
        <f t="shared" si="963"/>
        <v>0</v>
      </c>
      <c r="N1536" s="1060">
        <f t="shared" si="964"/>
        <v>0</v>
      </c>
      <c r="O1536" s="1060">
        <f t="shared" si="965"/>
        <v>0</v>
      </c>
      <c r="P1536" s="1060">
        <f t="shared" si="966"/>
        <v>0</v>
      </c>
    </row>
    <row r="1537" spans="1:16" x14ac:dyDescent="0.25">
      <c r="A1537" s="1039">
        <v>1897</v>
      </c>
      <c r="B1537" s="1039">
        <f t="shared" si="953"/>
        <v>6</v>
      </c>
      <c r="C1537" s="1039" t="str">
        <f t="shared" si="954"/>
        <v>QURROTU AYUN</v>
      </c>
      <c r="D1537" s="1040" t="str">
        <f t="shared" si="955"/>
        <v>MPI-1A</v>
      </c>
      <c r="E1537" s="1041">
        <f t="shared" si="956"/>
        <v>2020</v>
      </c>
      <c r="F1537" s="1040" t="str">
        <f t="shared" si="957"/>
        <v>AKTIF</v>
      </c>
      <c r="G1537" s="1082">
        <f t="shared" si="958"/>
        <v>203206010006</v>
      </c>
      <c r="H1537" s="1042">
        <f t="shared" si="959"/>
        <v>6450000</v>
      </c>
      <c r="I1537" s="1042">
        <f t="shared" si="960"/>
        <v>3750000</v>
      </c>
      <c r="J1537" s="1042">
        <f t="shared" si="961"/>
        <v>10200000</v>
      </c>
      <c r="L1537" s="1060">
        <f t="shared" si="962"/>
        <v>1</v>
      </c>
      <c r="M1537" s="1060">
        <f t="shared" si="963"/>
        <v>0</v>
      </c>
      <c r="N1537" s="1060">
        <f t="shared" si="964"/>
        <v>0</v>
      </c>
      <c r="O1537" s="1060">
        <f t="shared" si="965"/>
        <v>0</v>
      </c>
      <c r="P1537" s="1060">
        <f t="shared" si="966"/>
        <v>0</v>
      </c>
    </row>
    <row r="1538" spans="1:16" x14ac:dyDescent="0.25">
      <c r="A1538" s="1039">
        <v>1898</v>
      </c>
      <c r="B1538" s="1039">
        <f t="shared" si="953"/>
        <v>7</v>
      </c>
      <c r="C1538" s="1039" t="str">
        <f t="shared" si="954"/>
        <v>AHMAD KHOIRI</v>
      </c>
      <c r="D1538" s="1040" t="str">
        <f t="shared" si="955"/>
        <v>MPI-1A</v>
      </c>
      <c r="E1538" s="1041">
        <f t="shared" si="956"/>
        <v>2020</v>
      </c>
      <c r="F1538" s="1040" t="str">
        <f t="shared" si="957"/>
        <v>AKTIF</v>
      </c>
      <c r="G1538" s="1082">
        <f t="shared" si="958"/>
        <v>203206010007</v>
      </c>
      <c r="H1538" s="1042">
        <f t="shared" si="959"/>
        <v>6450000</v>
      </c>
      <c r="I1538" s="1042">
        <f t="shared" si="960"/>
        <v>3750000</v>
      </c>
      <c r="J1538" s="1042">
        <f t="shared" si="961"/>
        <v>10200000</v>
      </c>
      <c r="L1538" s="1060">
        <f t="shared" si="962"/>
        <v>1</v>
      </c>
      <c r="M1538" s="1060">
        <f t="shared" si="963"/>
        <v>0</v>
      </c>
      <c r="N1538" s="1060">
        <f t="shared" si="964"/>
        <v>0</v>
      </c>
      <c r="O1538" s="1060">
        <f t="shared" si="965"/>
        <v>0</v>
      </c>
      <c r="P1538" s="1060">
        <f t="shared" si="966"/>
        <v>0</v>
      </c>
    </row>
    <row r="1539" spans="1:16" x14ac:dyDescent="0.25">
      <c r="A1539" s="1039">
        <v>1899</v>
      </c>
      <c r="B1539" s="1039">
        <f t="shared" si="953"/>
        <v>8</v>
      </c>
      <c r="C1539" s="1039" t="str">
        <f t="shared" si="954"/>
        <v>AHMAD MASHDUQI</v>
      </c>
      <c r="D1539" s="1040" t="str">
        <f t="shared" si="955"/>
        <v>MPI-1A</v>
      </c>
      <c r="E1539" s="1041">
        <f t="shared" si="956"/>
        <v>2020</v>
      </c>
      <c r="F1539" s="1040" t="str">
        <f t="shared" si="957"/>
        <v>AKTIF</v>
      </c>
      <c r="G1539" s="1082">
        <f t="shared" si="958"/>
        <v>203206010008</v>
      </c>
      <c r="H1539" s="1042">
        <f t="shared" si="959"/>
        <v>6450000</v>
      </c>
      <c r="I1539" s="1042">
        <f t="shared" si="960"/>
        <v>3750000</v>
      </c>
      <c r="J1539" s="1042">
        <f t="shared" si="961"/>
        <v>10200000</v>
      </c>
      <c r="L1539" s="1060">
        <f t="shared" si="962"/>
        <v>1</v>
      </c>
      <c r="M1539" s="1060">
        <f t="shared" si="963"/>
        <v>0</v>
      </c>
      <c r="N1539" s="1060">
        <f t="shared" si="964"/>
        <v>0</v>
      </c>
      <c r="O1539" s="1060">
        <f t="shared" si="965"/>
        <v>0</v>
      </c>
      <c r="P1539" s="1060">
        <f t="shared" si="966"/>
        <v>0</v>
      </c>
    </row>
    <row r="1540" spans="1:16" x14ac:dyDescent="0.25">
      <c r="A1540" s="1039">
        <v>1900</v>
      </c>
      <c r="B1540" s="1039">
        <f t="shared" si="953"/>
        <v>9</v>
      </c>
      <c r="C1540" s="1039" t="str">
        <f t="shared" si="954"/>
        <v>AINUL MAGHFIROH</v>
      </c>
      <c r="D1540" s="1040" t="str">
        <f t="shared" si="955"/>
        <v>MPI-1A</v>
      </c>
      <c r="E1540" s="1041">
        <f t="shared" si="956"/>
        <v>2020</v>
      </c>
      <c r="F1540" s="1040" t="str">
        <f t="shared" si="957"/>
        <v>AKTIF</v>
      </c>
      <c r="G1540" s="1082">
        <f t="shared" si="958"/>
        <v>203206010036</v>
      </c>
      <c r="H1540" s="1042">
        <f t="shared" si="959"/>
        <v>6450000</v>
      </c>
      <c r="I1540" s="1042">
        <f t="shared" si="960"/>
        <v>3750000</v>
      </c>
      <c r="J1540" s="1042">
        <f t="shared" si="961"/>
        <v>10200000</v>
      </c>
      <c r="L1540" s="1060">
        <f t="shared" si="962"/>
        <v>1</v>
      </c>
      <c r="M1540" s="1060">
        <f t="shared" si="963"/>
        <v>0</v>
      </c>
      <c r="N1540" s="1060">
        <f t="shared" si="964"/>
        <v>0</v>
      </c>
      <c r="O1540" s="1060">
        <f t="shared" si="965"/>
        <v>0</v>
      </c>
      <c r="P1540" s="1060">
        <f t="shared" si="966"/>
        <v>0</v>
      </c>
    </row>
    <row r="1541" spans="1:16" x14ac:dyDescent="0.25">
      <c r="A1541" s="1039">
        <v>1901</v>
      </c>
      <c r="B1541" s="1039">
        <f t="shared" si="953"/>
        <v>10</v>
      </c>
      <c r="C1541" s="1039" t="str">
        <f t="shared" si="954"/>
        <v>AISYATUL ILMI ALIFAH FIRDAUS</v>
      </c>
      <c r="D1541" s="1040" t="str">
        <f t="shared" si="955"/>
        <v>MPI-1A</v>
      </c>
      <c r="E1541" s="1041">
        <f t="shared" si="956"/>
        <v>2020</v>
      </c>
      <c r="F1541" s="1040" t="str">
        <f t="shared" si="957"/>
        <v>AKTIF</v>
      </c>
      <c r="G1541" s="1082">
        <f t="shared" si="958"/>
        <v>203206010009</v>
      </c>
      <c r="H1541" s="1042">
        <f t="shared" si="959"/>
        <v>6450000</v>
      </c>
      <c r="I1541" s="1042">
        <f t="shared" si="960"/>
        <v>3750000</v>
      </c>
      <c r="J1541" s="1042">
        <f t="shared" si="961"/>
        <v>10200000</v>
      </c>
      <c r="L1541" s="1060">
        <f t="shared" si="962"/>
        <v>1</v>
      </c>
      <c r="M1541" s="1060">
        <f t="shared" si="963"/>
        <v>0</v>
      </c>
      <c r="N1541" s="1060">
        <f t="shared" si="964"/>
        <v>0</v>
      </c>
      <c r="O1541" s="1060">
        <f t="shared" si="965"/>
        <v>0</v>
      </c>
      <c r="P1541" s="1060">
        <f t="shared" si="966"/>
        <v>0</v>
      </c>
    </row>
    <row r="1542" spans="1:16" x14ac:dyDescent="0.25">
      <c r="A1542" s="1039">
        <v>1902</v>
      </c>
      <c r="B1542" s="1039">
        <f t="shared" si="953"/>
        <v>11</v>
      </c>
      <c r="C1542" s="1039" t="str">
        <f t="shared" si="954"/>
        <v>ANGGA YOGA PRATAMA</v>
      </c>
      <c r="D1542" s="1040" t="str">
        <f t="shared" si="955"/>
        <v>MPI-1A</v>
      </c>
      <c r="E1542" s="1041">
        <f t="shared" si="956"/>
        <v>2020</v>
      </c>
      <c r="F1542" s="1040" t="str">
        <f t="shared" si="957"/>
        <v>AKTIF</v>
      </c>
      <c r="G1542" s="1082">
        <f t="shared" si="958"/>
        <v>203206010010</v>
      </c>
      <c r="H1542" s="1042">
        <f t="shared" ref="H1542:H1552" si="967">IF(F1542="AKTIF",6450000,IF(F1542="CUTI",3000000,0))</f>
        <v>6450000</v>
      </c>
      <c r="I1542" s="1042">
        <f t="shared" ref="I1542:I1552" si="968">IF(F1542="AKTIF",3750000,IF(F1542="CUTI",3000000,0))</f>
        <v>3750000</v>
      </c>
      <c r="J1542" s="1042">
        <f t="shared" ref="J1542:J1552" si="969">I1542+H1542</f>
        <v>10200000</v>
      </c>
      <c r="L1542" s="1060">
        <f t="shared" si="962"/>
        <v>1</v>
      </c>
      <c r="M1542" s="1060">
        <f t="shared" si="963"/>
        <v>0</v>
      </c>
      <c r="N1542" s="1060">
        <f t="shared" si="964"/>
        <v>0</v>
      </c>
      <c r="O1542" s="1060">
        <f t="shared" si="965"/>
        <v>0</v>
      </c>
      <c r="P1542" s="1060">
        <f t="shared" si="966"/>
        <v>0</v>
      </c>
    </row>
    <row r="1543" spans="1:16" x14ac:dyDescent="0.25">
      <c r="A1543" s="1039">
        <v>1903</v>
      </c>
      <c r="B1543" s="1039">
        <f t="shared" si="953"/>
        <v>12</v>
      </c>
      <c r="C1543" s="1039" t="str">
        <f t="shared" si="954"/>
        <v>BINTANA ALIN HILWAH</v>
      </c>
      <c r="D1543" s="1040" t="str">
        <f t="shared" si="955"/>
        <v>MPI-1A</v>
      </c>
      <c r="E1543" s="1041">
        <f t="shared" si="956"/>
        <v>2020</v>
      </c>
      <c r="F1543" s="1040" t="str">
        <f t="shared" si="957"/>
        <v>AKTIF</v>
      </c>
      <c r="G1543" s="1082">
        <f t="shared" si="958"/>
        <v>203206010011</v>
      </c>
      <c r="H1543" s="1042">
        <f t="shared" si="967"/>
        <v>6450000</v>
      </c>
      <c r="I1543" s="1042">
        <f t="shared" si="968"/>
        <v>3750000</v>
      </c>
      <c r="J1543" s="1042">
        <f t="shared" si="969"/>
        <v>10200000</v>
      </c>
      <c r="L1543" s="1060">
        <f t="shared" si="962"/>
        <v>1</v>
      </c>
      <c r="M1543" s="1060">
        <f t="shared" si="963"/>
        <v>0</v>
      </c>
      <c r="N1543" s="1060">
        <f t="shared" si="964"/>
        <v>0</v>
      </c>
      <c r="O1543" s="1060">
        <f t="shared" si="965"/>
        <v>0</v>
      </c>
      <c r="P1543" s="1060">
        <f t="shared" si="966"/>
        <v>0</v>
      </c>
    </row>
    <row r="1544" spans="1:16" x14ac:dyDescent="0.25">
      <c r="A1544" s="1039">
        <v>1904</v>
      </c>
      <c r="B1544" s="1039">
        <f t="shared" si="953"/>
        <v>13</v>
      </c>
      <c r="C1544" s="1039" t="str">
        <f t="shared" si="954"/>
        <v>DWI ARIESATY HANDAYANI</v>
      </c>
      <c r="D1544" s="1040" t="str">
        <f t="shared" si="955"/>
        <v>MPI-1A</v>
      </c>
      <c r="E1544" s="1041">
        <f t="shared" si="956"/>
        <v>2020</v>
      </c>
      <c r="F1544" s="1040" t="str">
        <f t="shared" si="957"/>
        <v>AKTIF</v>
      </c>
      <c r="G1544" s="1082">
        <f t="shared" si="958"/>
        <v>203206010012</v>
      </c>
      <c r="H1544" s="1042">
        <f t="shared" si="967"/>
        <v>6450000</v>
      </c>
      <c r="I1544" s="1042">
        <f t="shared" si="968"/>
        <v>3750000</v>
      </c>
      <c r="J1544" s="1042">
        <f t="shared" si="969"/>
        <v>10200000</v>
      </c>
      <c r="L1544" s="1060">
        <f t="shared" si="962"/>
        <v>1</v>
      </c>
      <c r="M1544" s="1060">
        <f t="shared" si="963"/>
        <v>0</v>
      </c>
      <c r="N1544" s="1060">
        <f t="shared" si="964"/>
        <v>0</v>
      </c>
      <c r="O1544" s="1060">
        <f t="shared" si="965"/>
        <v>0</v>
      </c>
      <c r="P1544" s="1060">
        <f t="shared" si="966"/>
        <v>0</v>
      </c>
    </row>
    <row r="1545" spans="1:16" x14ac:dyDescent="0.25">
      <c r="A1545" s="1039">
        <v>1905</v>
      </c>
      <c r="B1545" s="1039">
        <f t="shared" si="953"/>
        <v>14</v>
      </c>
      <c r="C1545" s="1039" t="str">
        <f t="shared" si="954"/>
        <v>DZAKI MAHDI ALFA'IZI</v>
      </c>
      <c r="D1545" s="1040" t="str">
        <f t="shared" si="955"/>
        <v>MPI-1A</v>
      </c>
      <c r="E1545" s="1041">
        <f t="shared" si="956"/>
        <v>2020</v>
      </c>
      <c r="F1545" s="1040" t="str">
        <f t="shared" si="957"/>
        <v>AKTIF</v>
      </c>
      <c r="G1545" s="1082">
        <f t="shared" si="958"/>
        <v>203206010013</v>
      </c>
      <c r="H1545" s="1042">
        <f t="shared" si="967"/>
        <v>6450000</v>
      </c>
      <c r="I1545" s="1042">
        <f t="shared" si="968"/>
        <v>3750000</v>
      </c>
      <c r="J1545" s="1042">
        <f t="shared" si="969"/>
        <v>10200000</v>
      </c>
      <c r="L1545" s="1060">
        <f t="shared" si="962"/>
        <v>1</v>
      </c>
      <c r="M1545" s="1060">
        <f t="shared" si="963"/>
        <v>0</v>
      </c>
      <c r="N1545" s="1060">
        <f t="shared" si="964"/>
        <v>0</v>
      </c>
      <c r="O1545" s="1060">
        <f t="shared" si="965"/>
        <v>0</v>
      </c>
      <c r="P1545" s="1060">
        <f t="shared" si="966"/>
        <v>0</v>
      </c>
    </row>
    <row r="1546" spans="1:16" x14ac:dyDescent="0.25">
      <c r="A1546" s="1039">
        <v>1906</v>
      </c>
      <c r="B1546" s="1039">
        <f t="shared" si="953"/>
        <v>15</v>
      </c>
      <c r="C1546" s="1039" t="str">
        <f t="shared" si="954"/>
        <v>EDI WIRA SAPUTRA</v>
      </c>
      <c r="D1546" s="1040" t="str">
        <f t="shared" si="955"/>
        <v>MPI-1A</v>
      </c>
      <c r="E1546" s="1041">
        <f t="shared" si="956"/>
        <v>2020</v>
      </c>
      <c r="F1546" s="1040" t="str">
        <f t="shared" si="957"/>
        <v>AKTIF</v>
      </c>
      <c r="G1546" s="1082">
        <f t="shared" si="958"/>
        <v>203206010014</v>
      </c>
      <c r="H1546" s="1042">
        <f t="shared" si="967"/>
        <v>6450000</v>
      </c>
      <c r="I1546" s="1042">
        <f t="shared" si="968"/>
        <v>3750000</v>
      </c>
      <c r="J1546" s="1042">
        <f t="shared" si="969"/>
        <v>10200000</v>
      </c>
      <c r="L1546" s="1060">
        <f t="shared" si="962"/>
        <v>1</v>
      </c>
      <c r="M1546" s="1060">
        <f t="shared" si="963"/>
        <v>0</v>
      </c>
      <c r="N1546" s="1060">
        <f t="shared" si="964"/>
        <v>0</v>
      </c>
      <c r="O1546" s="1060">
        <f t="shared" si="965"/>
        <v>0</v>
      </c>
      <c r="P1546" s="1060">
        <f t="shared" si="966"/>
        <v>0</v>
      </c>
    </row>
    <row r="1547" spans="1:16" x14ac:dyDescent="0.25">
      <c r="A1547" s="1039">
        <v>1907</v>
      </c>
      <c r="B1547" s="1039">
        <f t="shared" si="953"/>
        <v>16</v>
      </c>
      <c r="C1547" s="1039" t="str">
        <f t="shared" si="954"/>
        <v>FITRIA MANDASYAHRI</v>
      </c>
      <c r="D1547" s="1040" t="str">
        <f t="shared" si="955"/>
        <v>MPI-1A</v>
      </c>
      <c r="E1547" s="1041">
        <f t="shared" si="956"/>
        <v>2020</v>
      </c>
      <c r="F1547" s="1040" t="str">
        <f t="shared" si="957"/>
        <v>AKTIF</v>
      </c>
      <c r="G1547" s="1082">
        <f t="shared" si="958"/>
        <v>203206010015</v>
      </c>
      <c r="H1547" s="1042">
        <f t="shared" si="967"/>
        <v>6450000</v>
      </c>
      <c r="I1547" s="1042">
        <f t="shared" si="968"/>
        <v>3750000</v>
      </c>
      <c r="J1547" s="1042">
        <f t="shared" si="969"/>
        <v>10200000</v>
      </c>
      <c r="L1547" s="1060">
        <f t="shared" si="962"/>
        <v>1</v>
      </c>
      <c r="M1547" s="1060">
        <f t="shared" si="963"/>
        <v>0</v>
      </c>
      <c r="N1547" s="1060">
        <f t="shared" si="964"/>
        <v>0</v>
      </c>
      <c r="O1547" s="1060">
        <f t="shared" si="965"/>
        <v>0</v>
      </c>
      <c r="P1547" s="1060">
        <f t="shared" si="966"/>
        <v>0</v>
      </c>
    </row>
    <row r="1548" spans="1:16" x14ac:dyDescent="0.25">
      <c r="A1548" s="1039">
        <v>1908</v>
      </c>
      <c r="B1548" s="1039">
        <f t="shared" si="953"/>
        <v>17</v>
      </c>
      <c r="C1548" s="1039" t="str">
        <f t="shared" si="954"/>
        <v>HANIFUL UMAM</v>
      </c>
      <c r="D1548" s="1040" t="str">
        <f t="shared" si="955"/>
        <v>MPI-1A</v>
      </c>
      <c r="E1548" s="1041">
        <f t="shared" si="956"/>
        <v>2020</v>
      </c>
      <c r="F1548" s="1040" t="str">
        <f t="shared" si="957"/>
        <v>AKTIF</v>
      </c>
      <c r="G1548" s="1082">
        <f t="shared" si="958"/>
        <v>203206010016</v>
      </c>
      <c r="H1548" s="1042">
        <f t="shared" si="967"/>
        <v>6450000</v>
      </c>
      <c r="I1548" s="1042">
        <f t="shared" si="968"/>
        <v>3750000</v>
      </c>
      <c r="J1548" s="1042">
        <f t="shared" si="969"/>
        <v>10200000</v>
      </c>
      <c r="L1548" s="1060">
        <f t="shared" si="962"/>
        <v>1</v>
      </c>
      <c r="M1548" s="1060">
        <f t="shared" si="963"/>
        <v>0</v>
      </c>
      <c r="N1548" s="1060">
        <f t="shared" si="964"/>
        <v>0</v>
      </c>
      <c r="O1548" s="1060">
        <f t="shared" si="965"/>
        <v>0</v>
      </c>
      <c r="P1548" s="1060">
        <f t="shared" si="966"/>
        <v>0</v>
      </c>
    </row>
    <row r="1549" spans="1:16" x14ac:dyDescent="0.25">
      <c r="A1549" s="1039">
        <v>1909</v>
      </c>
      <c r="B1549" s="1039">
        <f t="shared" si="953"/>
        <v>18</v>
      </c>
      <c r="C1549" s="1039" t="str">
        <f t="shared" si="954"/>
        <v>KAMILA PUTRI FAWAIZ</v>
      </c>
      <c r="D1549" s="1040" t="str">
        <f t="shared" si="955"/>
        <v>MPI-1A</v>
      </c>
      <c r="E1549" s="1041">
        <f t="shared" si="956"/>
        <v>2020</v>
      </c>
      <c r="F1549" s="1040" t="str">
        <f t="shared" si="957"/>
        <v>AKTIF</v>
      </c>
      <c r="G1549" s="1082">
        <f t="shared" si="958"/>
        <v>203206010017</v>
      </c>
      <c r="H1549" s="1042">
        <f t="shared" si="967"/>
        <v>6450000</v>
      </c>
      <c r="I1549" s="1042">
        <f t="shared" si="968"/>
        <v>3750000</v>
      </c>
      <c r="J1549" s="1042">
        <f t="shared" si="969"/>
        <v>10200000</v>
      </c>
      <c r="L1549" s="1060">
        <f t="shared" si="962"/>
        <v>1</v>
      </c>
      <c r="M1549" s="1060">
        <f t="shared" si="963"/>
        <v>0</v>
      </c>
      <c r="N1549" s="1060">
        <f t="shared" si="964"/>
        <v>0</v>
      </c>
      <c r="O1549" s="1060">
        <f t="shared" si="965"/>
        <v>0</v>
      </c>
      <c r="P1549" s="1060">
        <f t="shared" si="966"/>
        <v>0</v>
      </c>
    </row>
    <row r="1550" spans="1:16" x14ac:dyDescent="0.25">
      <c r="A1550" s="1039">
        <v>1910</v>
      </c>
      <c r="B1550" s="1039">
        <f t="shared" si="953"/>
        <v>19</v>
      </c>
      <c r="C1550" s="1039" t="str">
        <f t="shared" si="954"/>
        <v>M ALI ROSYADI</v>
      </c>
      <c r="D1550" s="1040" t="str">
        <f t="shared" si="955"/>
        <v>MPI-1A</v>
      </c>
      <c r="E1550" s="1041">
        <f t="shared" si="956"/>
        <v>2020</v>
      </c>
      <c r="F1550" s="1040" t="str">
        <f t="shared" si="957"/>
        <v>AKTIF</v>
      </c>
      <c r="G1550" s="1082">
        <f t="shared" si="958"/>
        <v>203206010018</v>
      </c>
      <c r="H1550" s="1042">
        <f t="shared" si="967"/>
        <v>6450000</v>
      </c>
      <c r="I1550" s="1042">
        <f t="shared" si="968"/>
        <v>3750000</v>
      </c>
      <c r="J1550" s="1042">
        <f t="shared" si="969"/>
        <v>10200000</v>
      </c>
      <c r="L1550" s="1060">
        <f t="shared" si="962"/>
        <v>1</v>
      </c>
      <c r="M1550" s="1060">
        <f t="shared" si="963"/>
        <v>0</v>
      </c>
      <c r="N1550" s="1060">
        <f t="shared" si="964"/>
        <v>0</v>
      </c>
      <c r="O1550" s="1060">
        <f t="shared" si="965"/>
        <v>0</v>
      </c>
      <c r="P1550" s="1060">
        <f t="shared" si="966"/>
        <v>0</v>
      </c>
    </row>
    <row r="1551" spans="1:16" x14ac:dyDescent="0.25">
      <c r="A1551" s="1039">
        <v>1911</v>
      </c>
      <c r="B1551" s="1039">
        <f t="shared" si="953"/>
        <v>20</v>
      </c>
      <c r="C1551" s="1039" t="str">
        <f t="shared" si="954"/>
        <v>M. ALI MAKHRUS</v>
      </c>
      <c r="D1551" s="1040" t="str">
        <f t="shared" si="955"/>
        <v>MPI-1B</v>
      </c>
      <c r="E1551" s="1041">
        <f t="shared" si="956"/>
        <v>2020</v>
      </c>
      <c r="F1551" s="1040" t="str">
        <f t="shared" si="957"/>
        <v>AKTIF</v>
      </c>
      <c r="G1551" s="1082">
        <f t="shared" si="958"/>
        <v>203206010019</v>
      </c>
      <c r="H1551" s="1042">
        <f t="shared" si="967"/>
        <v>6450000</v>
      </c>
      <c r="I1551" s="1042">
        <f t="shared" si="968"/>
        <v>3750000</v>
      </c>
      <c r="J1551" s="1042">
        <f t="shared" si="969"/>
        <v>10200000</v>
      </c>
      <c r="L1551" s="1060">
        <f t="shared" si="962"/>
        <v>1</v>
      </c>
      <c r="M1551" s="1060">
        <f t="shared" si="963"/>
        <v>0</v>
      </c>
      <c r="N1551" s="1060">
        <f t="shared" si="964"/>
        <v>0</v>
      </c>
      <c r="O1551" s="1060">
        <f t="shared" si="965"/>
        <v>0</v>
      </c>
      <c r="P1551" s="1060">
        <f t="shared" si="966"/>
        <v>0</v>
      </c>
    </row>
    <row r="1552" spans="1:16" x14ac:dyDescent="0.25">
      <c r="A1552" s="1039">
        <v>1912</v>
      </c>
      <c r="B1552" s="1039">
        <f>IFERROR(VLOOKUP(A1552,DB,2,FALSE),"  ")</f>
        <v>21</v>
      </c>
      <c r="C1552" s="1039" t="str">
        <f t="shared" si="954"/>
        <v>MUHAMMAD RIFQI SOVI'TUNNIZAR</v>
      </c>
      <c r="D1552" s="1040" t="str">
        <f t="shared" si="955"/>
        <v>MPI-1B</v>
      </c>
      <c r="E1552" s="1041">
        <f t="shared" si="956"/>
        <v>2020</v>
      </c>
      <c r="F1552" s="1040" t="str">
        <f t="shared" si="957"/>
        <v>AKTIF</v>
      </c>
      <c r="G1552" s="1082">
        <f t="shared" si="958"/>
        <v>203206010020</v>
      </c>
      <c r="H1552" s="1042">
        <f t="shared" si="967"/>
        <v>6450000</v>
      </c>
      <c r="I1552" s="1042">
        <f t="shared" si="968"/>
        <v>3750000</v>
      </c>
      <c r="J1552" s="1042">
        <f t="shared" si="969"/>
        <v>10200000</v>
      </c>
      <c r="L1552" s="1060">
        <f t="shared" si="962"/>
        <v>1</v>
      </c>
      <c r="M1552" s="1060">
        <f t="shared" si="963"/>
        <v>0</v>
      </c>
      <c r="N1552" s="1060">
        <f t="shared" si="964"/>
        <v>0</v>
      </c>
      <c r="O1552" s="1060">
        <f t="shared" si="965"/>
        <v>0</v>
      </c>
      <c r="P1552" s="1060">
        <f t="shared" si="966"/>
        <v>0</v>
      </c>
    </row>
    <row r="1553" spans="1:16" x14ac:dyDescent="0.25">
      <c r="A1553" s="1039">
        <v>1913</v>
      </c>
      <c r="B1553" s="1039">
        <f t="shared" ref="B1553" si="970">IFERROR(VLOOKUP(A1553,DB,2,FALSE),"")</f>
        <v>22</v>
      </c>
      <c r="C1553" s="1039" t="str">
        <f t="shared" si="954"/>
        <v>MUHAMMAD SADID GUFRON</v>
      </c>
      <c r="D1553" s="1040" t="str">
        <f t="shared" si="955"/>
        <v>MPI-1B</v>
      </c>
      <c r="E1553" s="1041">
        <f t="shared" si="956"/>
        <v>2020</v>
      </c>
      <c r="F1553" s="1040" t="str">
        <f t="shared" si="957"/>
        <v>AKTIF</v>
      </c>
      <c r="G1553" s="1082">
        <f t="shared" si="958"/>
        <v>203206010021</v>
      </c>
      <c r="H1553" s="1042">
        <f t="shared" ref="H1553" si="971">IF(F1553="AKTIF",6450000,IF(F1553="CUTI",3000000,0))</f>
        <v>6450000</v>
      </c>
      <c r="I1553" s="1042">
        <f t="shared" ref="I1553" si="972">IF(F1553="AKTIF",3750000,IF(F1553="CUTI",3000000,0))</f>
        <v>3750000</v>
      </c>
      <c r="J1553" s="1042">
        <f t="shared" si="892"/>
        <v>10200000</v>
      </c>
      <c r="L1553" s="1060">
        <f t="shared" si="962"/>
        <v>1</v>
      </c>
      <c r="M1553" s="1060">
        <f t="shared" si="963"/>
        <v>0</v>
      </c>
      <c r="N1553" s="1060">
        <f t="shared" si="964"/>
        <v>0</v>
      </c>
      <c r="O1553" s="1060">
        <f t="shared" si="965"/>
        <v>0</v>
      </c>
      <c r="P1553" s="1060">
        <f t="shared" si="966"/>
        <v>0</v>
      </c>
    </row>
    <row r="1554" spans="1:16" x14ac:dyDescent="0.25">
      <c r="A1554" s="1039">
        <v>1914</v>
      </c>
      <c r="B1554" s="1039">
        <f t="shared" si="774"/>
        <v>23</v>
      </c>
      <c r="C1554" s="1039" t="str">
        <f t="shared" si="954"/>
        <v>MUSLEH HAMDANI</v>
      </c>
      <c r="D1554" s="1040" t="str">
        <f t="shared" si="955"/>
        <v>MPI-1B</v>
      </c>
      <c r="E1554" s="1041">
        <f t="shared" si="956"/>
        <v>2020</v>
      </c>
      <c r="F1554" s="1040" t="str">
        <f t="shared" si="957"/>
        <v>AKTIF</v>
      </c>
      <c r="G1554" s="1082">
        <f t="shared" si="958"/>
        <v>203206010022</v>
      </c>
      <c r="H1554" s="1042">
        <f t="shared" si="752"/>
        <v>6450000</v>
      </c>
      <c r="I1554" s="1042">
        <f t="shared" si="753"/>
        <v>3750000</v>
      </c>
      <c r="J1554" s="1042">
        <f t="shared" si="751"/>
        <v>10200000</v>
      </c>
      <c r="L1554" s="1060">
        <f t="shared" si="962"/>
        <v>1</v>
      </c>
      <c r="M1554" s="1060">
        <f t="shared" si="963"/>
        <v>0</v>
      </c>
      <c r="N1554" s="1060">
        <f t="shared" si="964"/>
        <v>0</v>
      </c>
      <c r="O1554" s="1060">
        <f t="shared" si="965"/>
        <v>0</v>
      </c>
      <c r="P1554" s="1060">
        <f t="shared" si="966"/>
        <v>0</v>
      </c>
    </row>
    <row r="1555" spans="1:16" x14ac:dyDescent="0.25">
      <c r="A1555" s="1039">
        <v>1915</v>
      </c>
      <c r="B1555" s="1039">
        <f t="shared" si="774"/>
        <v>24</v>
      </c>
      <c r="C1555" s="1039" t="str">
        <f t="shared" si="954"/>
        <v>MUSTOFA NUR HIDAYAH</v>
      </c>
      <c r="D1555" s="1040" t="str">
        <f t="shared" si="955"/>
        <v>MPI-1B</v>
      </c>
      <c r="E1555" s="1041">
        <f t="shared" si="956"/>
        <v>2020</v>
      </c>
      <c r="F1555" s="1040" t="str">
        <f t="shared" si="957"/>
        <v>AKTIF</v>
      </c>
      <c r="G1555" s="1082">
        <f t="shared" si="958"/>
        <v>203206010023</v>
      </c>
      <c r="H1555" s="1042">
        <f t="shared" si="752"/>
        <v>6450000</v>
      </c>
      <c r="I1555" s="1042">
        <f t="shared" si="753"/>
        <v>3750000</v>
      </c>
      <c r="J1555" s="1042">
        <f t="shared" si="751"/>
        <v>10200000</v>
      </c>
      <c r="L1555" s="1060">
        <f t="shared" si="962"/>
        <v>1</v>
      </c>
      <c r="M1555" s="1060">
        <f t="shared" si="963"/>
        <v>0</v>
      </c>
      <c r="N1555" s="1060">
        <f t="shared" si="964"/>
        <v>0</v>
      </c>
      <c r="O1555" s="1060">
        <f t="shared" si="965"/>
        <v>0</v>
      </c>
      <c r="P1555" s="1060">
        <f t="shared" si="966"/>
        <v>0</v>
      </c>
    </row>
    <row r="1556" spans="1:16" x14ac:dyDescent="0.25">
      <c r="A1556" s="1039">
        <v>1916</v>
      </c>
      <c r="B1556" s="1039">
        <f t="shared" si="774"/>
        <v>25</v>
      </c>
      <c r="C1556" s="1039" t="str">
        <f t="shared" si="954"/>
        <v>NAIMUR ROHMAN</v>
      </c>
      <c r="D1556" s="1040" t="str">
        <f t="shared" si="955"/>
        <v>MPI-1B</v>
      </c>
      <c r="E1556" s="1041">
        <f t="shared" si="956"/>
        <v>2020</v>
      </c>
      <c r="F1556" s="1040" t="str">
        <f t="shared" si="957"/>
        <v>AKTIF</v>
      </c>
      <c r="G1556" s="1082">
        <f t="shared" si="958"/>
        <v>203206010024</v>
      </c>
      <c r="H1556" s="1042">
        <f t="shared" si="752"/>
        <v>6450000</v>
      </c>
      <c r="I1556" s="1042">
        <f t="shared" si="753"/>
        <v>3750000</v>
      </c>
      <c r="J1556" s="1042">
        <f t="shared" si="751"/>
        <v>10200000</v>
      </c>
      <c r="L1556" s="1060">
        <f t="shared" si="962"/>
        <v>1</v>
      </c>
      <c r="M1556" s="1060">
        <f t="shared" si="963"/>
        <v>0</v>
      </c>
      <c r="N1556" s="1060">
        <f t="shared" si="964"/>
        <v>0</v>
      </c>
      <c r="O1556" s="1060">
        <f t="shared" si="965"/>
        <v>0</v>
      </c>
      <c r="P1556" s="1060">
        <f t="shared" si="966"/>
        <v>0</v>
      </c>
    </row>
    <row r="1557" spans="1:16" x14ac:dyDescent="0.25">
      <c r="A1557" s="1039">
        <v>1917</v>
      </c>
      <c r="B1557" s="1039">
        <f t="shared" si="774"/>
        <v>26</v>
      </c>
      <c r="C1557" s="1039" t="str">
        <f t="shared" si="954"/>
        <v>NANING MARYANA</v>
      </c>
      <c r="D1557" s="1040" t="str">
        <f t="shared" si="955"/>
        <v>MPI-1B</v>
      </c>
      <c r="E1557" s="1041">
        <f t="shared" si="956"/>
        <v>2020</v>
      </c>
      <c r="F1557" s="1040" t="str">
        <f t="shared" si="957"/>
        <v>AKTIF</v>
      </c>
      <c r="G1557" s="1082">
        <f t="shared" si="958"/>
        <v>203206010025</v>
      </c>
      <c r="H1557" s="1042">
        <f t="shared" si="752"/>
        <v>6450000</v>
      </c>
      <c r="I1557" s="1042">
        <f t="shared" si="753"/>
        <v>3750000</v>
      </c>
      <c r="J1557" s="1042">
        <f t="shared" si="751"/>
        <v>10200000</v>
      </c>
      <c r="L1557" s="1060">
        <f t="shared" si="962"/>
        <v>1</v>
      </c>
      <c r="M1557" s="1060">
        <f t="shared" si="963"/>
        <v>0</v>
      </c>
      <c r="N1557" s="1060">
        <f t="shared" si="964"/>
        <v>0</v>
      </c>
      <c r="O1557" s="1060">
        <f t="shared" si="965"/>
        <v>0</v>
      </c>
      <c r="P1557" s="1060">
        <f t="shared" si="966"/>
        <v>0</v>
      </c>
    </row>
    <row r="1558" spans="1:16" x14ac:dyDescent="0.25">
      <c r="A1558" s="1039">
        <v>1918</v>
      </c>
      <c r="B1558" s="1039">
        <f t="shared" si="774"/>
        <v>27</v>
      </c>
      <c r="C1558" s="1039" t="str">
        <f t="shared" si="954"/>
        <v>NURIYAH FIKRI WAHYUNI</v>
      </c>
      <c r="D1558" s="1040" t="str">
        <f t="shared" si="955"/>
        <v>MPI-1B</v>
      </c>
      <c r="E1558" s="1041">
        <f t="shared" si="956"/>
        <v>2020</v>
      </c>
      <c r="F1558" s="1040" t="str">
        <f t="shared" si="957"/>
        <v>AKTIF</v>
      </c>
      <c r="G1558" s="1082">
        <f t="shared" si="958"/>
        <v>203206010026</v>
      </c>
      <c r="H1558" s="1042">
        <f t="shared" si="752"/>
        <v>6450000</v>
      </c>
      <c r="I1558" s="1042">
        <f t="shared" si="753"/>
        <v>3750000</v>
      </c>
      <c r="J1558" s="1042">
        <f t="shared" si="751"/>
        <v>10200000</v>
      </c>
      <c r="L1558" s="1060">
        <f t="shared" si="962"/>
        <v>1</v>
      </c>
      <c r="M1558" s="1060">
        <f t="shared" si="963"/>
        <v>0</v>
      </c>
      <c r="N1558" s="1060">
        <f t="shared" si="964"/>
        <v>0</v>
      </c>
      <c r="O1558" s="1060">
        <f t="shared" si="965"/>
        <v>0</v>
      </c>
      <c r="P1558" s="1060">
        <f t="shared" si="966"/>
        <v>0</v>
      </c>
    </row>
    <row r="1559" spans="1:16" x14ac:dyDescent="0.25">
      <c r="A1559" s="1039">
        <v>1919</v>
      </c>
      <c r="B1559" s="1039">
        <f t="shared" si="774"/>
        <v>28</v>
      </c>
      <c r="C1559" s="1039" t="str">
        <f t="shared" si="954"/>
        <v>RIZKI SYIAM SAPUTRA</v>
      </c>
      <c r="D1559" s="1040" t="str">
        <f t="shared" si="955"/>
        <v>MPI-1B</v>
      </c>
      <c r="E1559" s="1041">
        <f t="shared" si="956"/>
        <v>2020</v>
      </c>
      <c r="F1559" s="1040" t="str">
        <f t="shared" si="957"/>
        <v>AKTIF</v>
      </c>
      <c r="G1559" s="1082">
        <f t="shared" si="958"/>
        <v>203206010027</v>
      </c>
      <c r="H1559" s="1042">
        <f t="shared" si="752"/>
        <v>6450000</v>
      </c>
      <c r="I1559" s="1042">
        <f t="shared" si="753"/>
        <v>3750000</v>
      </c>
      <c r="J1559" s="1042">
        <f t="shared" si="751"/>
        <v>10200000</v>
      </c>
      <c r="L1559" s="1060">
        <f t="shared" si="962"/>
        <v>1</v>
      </c>
      <c r="M1559" s="1060">
        <f t="shared" si="963"/>
        <v>0</v>
      </c>
      <c r="N1559" s="1060">
        <f t="shared" si="964"/>
        <v>0</v>
      </c>
      <c r="O1559" s="1060">
        <f t="shared" si="965"/>
        <v>0</v>
      </c>
      <c r="P1559" s="1060">
        <f t="shared" si="966"/>
        <v>0</v>
      </c>
    </row>
    <row r="1560" spans="1:16" x14ac:dyDescent="0.25">
      <c r="A1560" s="1039">
        <v>1920</v>
      </c>
      <c r="B1560" s="1039">
        <f t="shared" si="774"/>
        <v>29</v>
      </c>
      <c r="C1560" s="1039" t="str">
        <f t="shared" si="954"/>
        <v>ROHMATULLOH</v>
      </c>
      <c r="D1560" s="1040" t="str">
        <f t="shared" si="955"/>
        <v>MPI-1B</v>
      </c>
      <c r="E1560" s="1041">
        <f t="shared" si="956"/>
        <v>2020</v>
      </c>
      <c r="F1560" s="1040" t="str">
        <f t="shared" si="957"/>
        <v>AKTIF</v>
      </c>
      <c r="G1560" s="1082">
        <f t="shared" si="958"/>
        <v>203206010028</v>
      </c>
      <c r="H1560" s="1042">
        <f t="shared" si="752"/>
        <v>6450000</v>
      </c>
      <c r="I1560" s="1042">
        <f t="shared" si="753"/>
        <v>3750000</v>
      </c>
      <c r="J1560" s="1042">
        <f t="shared" si="751"/>
        <v>10200000</v>
      </c>
      <c r="L1560" s="1060">
        <f t="shared" si="962"/>
        <v>1</v>
      </c>
      <c r="M1560" s="1060">
        <f t="shared" si="963"/>
        <v>0</v>
      </c>
      <c r="N1560" s="1060">
        <f t="shared" si="964"/>
        <v>0</v>
      </c>
      <c r="O1560" s="1060">
        <f t="shared" si="965"/>
        <v>0</v>
      </c>
      <c r="P1560" s="1060">
        <f t="shared" si="966"/>
        <v>0</v>
      </c>
    </row>
    <row r="1561" spans="1:16" x14ac:dyDescent="0.25">
      <c r="A1561" s="1039">
        <v>1921</v>
      </c>
      <c r="B1561" s="1039">
        <f t="shared" ref="B1561:B1562" si="973">IFERROR(VLOOKUP(A1561,DB,2,FALSE),"")</f>
        <v>30</v>
      </c>
      <c r="C1561" s="1039" t="str">
        <f t="shared" si="954"/>
        <v>ROKHMAD</v>
      </c>
      <c r="D1561" s="1040" t="str">
        <f t="shared" si="955"/>
        <v>MPI-1B</v>
      </c>
      <c r="E1561" s="1041">
        <f t="shared" si="956"/>
        <v>2020</v>
      </c>
      <c r="F1561" s="1040" t="str">
        <f t="shared" si="957"/>
        <v>AKTIF</v>
      </c>
      <c r="G1561" s="1082">
        <f t="shared" si="958"/>
        <v>203206010029</v>
      </c>
      <c r="H1561" s="1042">
        <f t="shared" ref="H1561:H1562" si="974">IF(F1561="AKTIF",6450000,IF(F1561="CUTI",3000000,0))</f>
        <v>6450000</v>
      </c>
      <c r="I1561" s="1042">
        <f t="shared" ref="I1561:I1562" si="975">IF(F1561="AKTIF",3750000,IF(F1561="CUTI",3000000,0))</f>
        <v>3750000</v>
      </c>
      <c r="J1561" s="1042">
        <f t="shared" ref="J1561:J1562" si="976">I1561+H1561</f>
        <v>10200000</v>
      </c>
      <c r="L1561" s="1060">
        <f t="shared" si="962"/>
        <v>1</v>
      </c>
      <c r="M1561" s="1060">
        <f t="shared" si="963"/>
        <v>0</v>
      </c>
      <c r="N1561" s="1060">
        <f t="shared" si="964"/>
        <v>0</v>
      </c>
      <c r="O1561" s="1060">
        <f t="shared" si="965"/>
        <v>0</v>
      </c>
      <c r="P1561" s="1060">
        <f t="shared" si="966"/>
        <v>0</v>
      </c>
    </row>
    <row r="1562" spans="1:16" x14ac:dyDescent="0.25">
      <c r="A1562" s="1039">
        <v>1922</v>
      </c>
      <c r="B1562" s="1039">
        <f t="shared" si="973"/>
        <v>31</v>
      </c>
      <c r="C1562" s="1039" t="str">
        <f t="shared" si="954"/>
        <v>SAIFAN SHODIQ</v>
      </c>
      <c r="D1562" s="1040" t="str">
        <f t="shared" si="955"/>
        <v>MPI-1B</v>
      </c>
      <c r="E1562" s="1041">
        <f t="shared" si="956"/>
        <v>2020</v>
      </c>
      <c r="F1562" s="1040" t="str">
        <f t="shared" si="957"/>
        <v>AKTIF</v>
      </c>
      <c r="G1562" s="1082">
        <f t="shared" si="958"/>
        <v>203206010030</v>
      </c>
      <c r="H1562" s="1042">
        <f t="shared" si="974"/>
        <v>6450000</v>
      </c>
      <c r="I1562" s="1042">
        <f t="shared" si="975"/>
        <v>3750000</v>
      </c>
      <c r="J1562" s="1042">
        <f t="shared" si="976"/>
        <v>10200000</v>
      </c>
      <c r="L1562" s="1060">
        <f t="shared" si="962"/>
        <v>1</v>
      </c>
      <c r="M1562" s="1060">
        <f t="shared" si="963"/>
        <v>0</v>
      </c>
      <c r="N1562" s="1060">
        <f t="shared" si="964"/>
        <v>0</v>
      </c>
      <c r="O1562" s="1060">
        <f t="shared" si="965"/>
        <v>0</v>
      </c>
      <c r="P1562" s="1060">
        <f t="shared" si="966"/>
        <v>0</v>
      </c>
    </row>
    <row r="1563" spans="1:16" x14ac:dyDescent="0.25">
      <c r="A1563" s="1039">
        <v>1923</v>
      </c>
      <c r="B1563" s="1039">
        <f t="shared" si="774"/>
        <v>32</v>
      </c>
      <c r="C1563" s="1039" t="str">
        <f t="shared" si="954"/>
        <v>SITI FATIKHAH NUR AINI</v>
      </c>
      <c r="D1563" s="1040" t="str">
        <f t="shared" si="955"/>
        <v>MPI-1B</v>
      </c>
      <c r="E1563" s="1041">
        <f t="shared" si="956"/>
        <v>2020</v>
      </c>
      <c r="F1563" s="1040" t="str">
        <f t="shared" si="957"/>
        <v>AKTIF</v>
      </c>
      <c r="G1563" s="1082">
        <f t="shared" si="958"/>
        <v>203206010031</v>
      </c>
      <c r="H1563" s="1042">
        <f t="shared" si="752"/>
        <v>6450000</v>
      </c>
      <c r="I1563" s="1042">
        <f t="shared" si="753"/>
        <v>3750000</v>
      </c>
      <c r="J1563" s="1042">
        <f t="shared" si="751"/>
        <v>10200000</v>
      </c>
      <c r="L1563" s="1060">
        <f t="shared" si="962"/>
        <v>1</v>
      </c>
      <c r="M1563" s="1060">
        <f t="shared" si="963"/>
        <v>0</v>
      </c>
      <c r="N1563" s="1060">
        <f t="shared" si="964"/>
        <v>0</v>
      </c>
      <c r="O1563" s="1060">
        <f t="shared" si="965"/>
        <v>0</v>
      </c>
      <c r="P1563" s="1060">
        <f t="shared" si="966"/>
        <v>0</v>
      </c>
    </row>
    <row r="1564" spans="1:16" x14ac:dyDescent="0.25">
      <c r="A1564" s="1039">
        <v>1924</v>
      </c>
      <c r="B1564" s="1039">
        <f t="shared" si="774"/>
        <v>33</v>
      </c>
      <c r="C1564" s="1039" t="str">
        <f t="shared" si="954"/>
        <v>SUSNIATI</v>
      </c>
      <c r="D1564" s="1040" t="str">
        <f t="shared" si="955"/>
        <v>MPI-1B</v>
      </c>
      <c r="E1564" s="1041">
        <f t="shared" si="956"/>
        <v>2020</v>
      </c>
      <c r="F1564" s="1040" t="str">
        <f t="shared" si="957"/>
        <v>AKTIF</v>
      </c>
      <c r="G1564" s="1082">
        <f t="shared" si="958"/>
        <v>203206010032</v>
      </c>
      <c r="H1564" s="1042">
        <f t="shared" si="752"/>
        <v>6450000</v>
      </c>
      <c r="I1564" s="1042">
        <f t="shared" si="753"/>
        <v>3750000</v>
      </c>
      <c r="J1564" s="1042">
        <f t="shared" si="751"/>
        <v>10200000</v>
      </c>
      <c r="L1564" s="1060">
        <f t="shared" si="962"/>
        <v>1</v>
      </c>
      <c r="M1564" s="1060">
        <f t="shared" si="963"/>
        <v>0</v>
      </c>
      <c r="N1564" s="1060">
        <f t="shared" si="964"/>
        <v>0</v>
      </c>
      <c r="O1564" s="1060">
        <f t="shared" si="965"/>
        <v>0</v>
      </c>
      <c r="P1564" s="1060">
        <f t="shared" si="966"/>
        <v>0</v>
      </c>
    </row>
    <row r="1565" spans="1:16" x14ac:dyDescent="0.25">
      <c r="A1565" s="1039">
        <v>1925</v>
      </c>
      <c r="B1565" s="1039">
        <f t="shared" si="774"/>
        <v>34</v>
      </c>
      <c r="C1565" s="1039" t="str">
        <f t="shared" si="954"/>
        <v>UBAYDILLAH ARIFIN</v>
      </c>
      <c r="D1565" s="1040" t="str">
        <f t="shared" si="955"/>
        <v>MPI-1B</v>
      </c>
      <c r="E1565" s="1041">
        <f t="shared" si="956"/>
        <v>2020</v>
      </c>
      <c r="F1565" s="1040" t="str">
        <f t="shared" si="957"/>
        <v>AKTIF</v>
      </c>
      <c r="G1565" s="1082">
        <f t="shared" si="958"/>
        <v>203206010033</v>
      </c>
      <c r="H1565" s="1042">
        <f t="shared" si="752"/>
        <v>6450000</v>
      </c>
      <c r="I1565" s="1042">
        <f t="shared" si="753"/>
        <v>3750000</v>
      </c>
      <c r="J1565" s="1042">
        <f t="shared" ref="J1565:J1770" si="977">I1565+H1565</f>
        <v>10200000</v>
      </c>
      <c r="L1565" s="1060">
        <f t="shared" si="962"/>
        <v>1</v>
      </c>
      <c r="M1565" s="1060">
        <f t="shared" si="963"/>
        <v>0</v>
      </c>
      <c r="N1565" s="1060">
        <f t="shared" si="964"/>
        <v>0</v>
      </c>
      <c r="O1565" s="1060">
        <f t="shared" si="965"/>
        <v>0</v>
      </c>
      <c r="P1565" s="1060">
        <f t="shared" si="966"/>
        <v>0</v>
      </c>
    </row>
    <row r="1566" spans="1:16" x14ac:dyDescent="0.25">
      <c r="A1566" s="1039">
        <v>1926</v>
      </c>
      <c r="B1566" s="1039">
        <f t="shared" si="774"/>
        <v>35</v>
      </c>
      <c r="C1566" s="1039" t="str">
        <f t="shared" si="954"/>
        <v>UMUL ULFA MUFIDA</v>
      </c>
      <c r="D1566" s="1040" t="str">
        <f t="shared" si="955"/>
        <v>MPI-1B</v>
      </c>
      <c r="E1566" s="1041">
        <f t="shared" si="956"/>
        <v>2020</v>
      </c>
      <c r="F1566" s="1040" t="str">
        <f t="shared" si="957"/>
        <v>AKTIF</v>
      </c>
      <c r="G1566" s="1082">
        <f t="shared" si="958"/>
        <v>203206010034</v>
      </c>
      <c r="H1566" s="1042">
        <f t="shared" ref="H1566:H1773" si="978">IF(F1566="AKTIF",6450000,IF(F1566="CUTI",3000000,0))</f>
        <v>6450000</v>
      </c>
      <c r="I1566" s="1042">
        <f t="shared" ref="I1566:I1773" si="979">IF(F1566="AKTIF",3750000,IF(F1566="CUTI",3000000,0))</f>
        <v>3750000</v>
      </c>
      <c r="J1566" s="1042">
        <f t="shared" si="977"/>
        <v>10200000</v>
      </c>
      <c r="L1566" s="1060">
        <f t="shared" si="962"/>
        <v>1</v>
      </c>
      <c r="M1566" s="1060">
        <f t="shared" si="963"/>
        <v>0</v>
      </c>
      <c r="N1566" s="1060">
        <f t="shared" si="964"/>
        <v>0</v>
      </c>
      <c r="O1566" s="1060">
        <f t="shared" si="965"/>
        <v>0</v>
      </c>
      <c r="P1566" s="1060">
        <f t="shared" si="966"/>
        <v>0</v>
      </c>
    </row>
    <row r="1567" spans="1:16" x14ac:dyDescent="0.25">
      <c r="A1567" s="1039">
        <v>1927</v>
      </c>
      <c r="B1567" s="1039">
        <f t="shared" si="774"/>
        <v>36</v>
      </c>
      <c r="C1567" s="1039" t="str">
        <f t="shared" si="954"/>
        <v>YANTI RAUDATUL JANNAH</v>
      </c>
      <c r="D1567" s="1040" t="str">
        <f t="shared" si="955"/>
        <v>MPI-1B</v>
      </c>
      <c r="E1567" s="1041">
        <f t="shared" si="956"/>
        <v>2020</v>
      </c>
      <c r="F1567" s="1040" t="str">
        <f t="shared" si="957"/>
        <v>AKTIF</v>
      </c>
      <c r="G1567" s="1082">
        <f t="shared" si="958"/>
        <v>203206010035</v>
      </c>
      <c r="H1567" s="1042">
        <f t="shared" si="978"/>
        <v>6450000</v>
      </c>
      <c r="I1567" s="1042">
        <f t="shared" si="979"/>
        <v>3750000</v>
      </c>
      <c r="J1567" s="1042">
        <f t="shared" si="977"/>
        <v>10200000</v>
      </c>
      <c r="L1567" s="1060">
        <f t="shared" si="962"/>
        <v>1</v>
      </c>
      <c r="M1567" s="1060">
        <f t="shared" si="963"/>
        <v>0</v>
      </c>
      <c r="N1567" s="1060">
        <f t="shared" si="964"/>
        <v>0</v>
      </c>
      <c r="O1567" s="1060">
        <f t="shared" si="965"/>
        <v>0</v>
      </c>
      <c r="P1567" s="1060">
        <f t="shared" si="966"/>
        <v>0</v>
      </c>
    </row>
    <row r="1568" spans="1:16" x14ac:dyDescent="0.25">
      <c r="A1568" s="1039">
        <v>1928</v>
      </c>
      <c r="B1568" s="1039">
        <f t="shared" si="774"/>
        <v>37</v>
      </c>
      <c r="C1568" s="1039" t="str">
        <f t="shared" si="954"/>
        <v>Muh Rifa'al</v>
      </c>
      <c r="D1568" s="1040" t="str">
        <f t="shared" si="955"/>
        <v>MPI-1B</v>
      </c>
      <c r="E1568" s="1041">
        <f t="shared" si="956"/>
        <v>2020</v>
      </c>
      <c r="F1568" s="1040" t="str">
        <f t="shared" si="957"/>
        <v>AKTIF</v>
      </c>
      <c r="G1568" s="1082">
        <f t="shared" si="958"/>
        <v>203206010037</v>
      </c>
      <c r="H1568" s="1042">
        <f t="shared" si="978"/>
        <v>6450000</v>
      </c>
      <c r="I1568" s="1042">
        <f t="shared" si="979"/>
        <v>3750000</v>
      </c>
      <c r="J1568" s="1042">
        <f t="shared" si="977"/>
        <v>10200000</v>
      </c>
      <c r="L1568" s="1060">
        <f t="shared" si="962"/>
        <v>1</v>
      </c>
      <c r="M1568" s="1060">
        <f t="shared" si="963"/>
        <v>0</v>
      </c>
      <c r="N1568" s="1060">
        <f t="shared" si="964"/>
        <v>0</v>
      </c>
      <c r="O1568" s="1060">
        <f t="shared" si="965"/>
        <v>0</v>
      </c>
      <c r="P1568" s="1060">
        <f t="shared" si="966"/>
        <v>0</v>
      </c>
    </row>
    <row r="1569" spans="1:16" x14ac:dyDescent="0.25">
      <c r="A1569" s="1039"/>
      <c r="B1569" s="1039"/>
      <c r="C1569" s="1039"/>
      <c r="D1569" s="1040"/>
      <c r="E1569" s="1041"/>
      <c r="F1569" s="1040"/>
      <c r="G1569" s="1041"/>
      <c r="H1569" s="1042"/>
      <c r="I1569" s="1042"/>
      <c r="J1569" s="1042"/>
    </row>
    <row r="1570" spans="1:16" x14ac:dyDescent="0.25">
      <c r="A1570" s="1076" t="str">
        <f>'Rekap SPP'!A2097</f>
        <v>S2-HK 2020/2021</v>
      </c>
      <c r="B1570" s="1077"/>
      <c r="C1570" s="1077"/>
      <c r="D1570" s="1033" t="s">
        <v>3</v>
      </c>
      <c r="E1570" s="1032" t="s">
        <v>4</v>
      </c>
      <c r="F1570" s="1033" t="s">
        <v>3195</v>
      </c>
      <c r="G1570" s="1032" t="s">
        <v>1</v>
      </c>
      <c r="H1570" s="1033" t="s">
        <v>3362</v>
      </c>
      <c r="I1570" s="1033" t="s">
        <v>3363</v>
      </c>
      <c r="J1570" s="1062">
        <f>SUM(J1571:J1600)</f>
        <v>306000000</v>
      </c>
      <c r="L1570" s="1063">
        <f>SUM(L1571:L1600)</f>
        <v>30</v>
      </c>
      <c r="M1570" s="1063">
        <f>SUM(M1571:M1600)</f>
        <v>0</v>
      </c>
      <c r="N1570" s="1063">
        <f>SUM(N1571:N1600)</f>
        <v>0</v>
      </c>
      <c r="O1570" s="1063">
        <f>SUM(O1571:O1600)</f>
        <v>0</v>
      </c>
      <c r="P1570" s="1063">
        <f>SUM(P1571:P1600)</f>
        <v>0</v>
      </c>
    </row>
    <row r="1571" spans="1:16" x14ac:dyDescent="0.25">
      <c r="A1571" s="1039">
        <v>1929</v>
      </c>
      <c r="B1571" s="1039">
        <f t="shared" ref="B1571:B1580" si="980">IFERROR(VLOOKUP(A1571,DB,2,FALSE),"")</f>
        <v>1</v>
      </c>
      <c r="C1571" s="1039" t="str">
        <f t="shared" ref="C1571:C1600" si="981">IFERROR(VLOOKUP(A1571,DB,4,FALSE),"")</f>
        <v>ABD LATIF</v>
      </c>
      <c r="D1571" s="1040" t="str">
        <f t="shared" ref="D1571:D1600" si="982">IFERROR(VLOOKUP(A1571,DB,5,FALSE),"")</f>
        <v>HK-1A</v>
      </c>
      <c r="E1571" s="1041">
        <f t="shared" ref="E1571:E1600" si="983">IFERROR(VLOOKUP(A1571,DB,6,FALSE),"")</f>
        <v>2020</v>
      </c>
      <c r="F1571" s="1040" t="str">
        <f t="shared" ref="F1571:F1600" si="984">IFERROR(VLOOKUP(A1571,DB,7,FALSE),"")</f>
        <v>AKTIF</v>
      </c>
      <c r="G1571" s="1082">
        <f t="shared" ref="G1571:G1600" si="985">IFERROR(VLOOKUP(A1571,DB,3,FALSE),"")</f>
        <v>203206050001</v>
      </c>
      <c r="H1571" s="1042">
        <f t="shared" ref="H1571:H1580" si="986">IF(F1571="AKTIF",6450000,IF(F1571="CUTI",3000000,0))</f>
        <v>6450000</v>
      </c>
      <c r="I1571" s="1042">
        <f t="shared" ref="I1571:I1580" si="987">IF(F1571="AKTIF",3750000,IF(F1571="CUTI",3000000,0))</f>
        <v>3750000</v>
      </c>
      <c r="J1571" s="1042">
        <f t="shared" ref="J1571:J1580" si="988">I1571+H1571</f>
        <v>10200000</v>
      </c>
      <c r="L1571" s="1060">
        <f>IF(F1571="AKTIF",1,0)</f>
        <v>1</v>
      </c>
      <c r="M1571" s="1060">
        <f>IF(F1571="LULUS",1,0)</f>
        <v>0</v>
      </c>
      <c r="N1571" s="1060">
        <f>IF(F1571="CUTI",1,0)</f>
        <v>0</v>
      </c>
      <c r="O1571" s="1060">
        <f>IF(F1571="DROP OUT",1,0)</f>
        <v>0</v>
      </c>
      <c r="P1571" s="1060">
        <f>IF(F1571="PASIF",1,0)</f>
        <v>0</v>
      </c>
    </row>
    <row r="1572" spans="1:16" x14ac:dyDescent="0.25">
      <c r="A1572" s="1039">
        <v>1930</v>
      </c>
      <c r="B1572" s="1039">
        <f t="shared" si="980"/>
        <v>2</v>
      </c>
      <c r="C1572" s="1039" t="str">
        <f t="shared" si="981"/>
        <v>ABDUL HANIP</v>
      </c>
      <c r="D1572" s="1040" t="str">
        <f t="shared" si="982"/>
        <v>HK-1A</v>
      </c>
      <c r="E1572" s="1041">
        <f t="shared" si="983"/>
        <v>2020</v>
      </c>
      <c r="F1572" s="1040" t="str">
        <f t="shared" si="984"/>
        <v>AKTIF</v>
      </c>
      <c r="G1572" s="1082">
        <f t="shared" si="985"/>
        <v>203206050002</v>
      </c>
      <c r="H1572" s="1042">
        <f t="shared" si="986"/>
        <v>6450000</v>
      </c>
      <c r="I1572" s="1042">
        <f t="shared" si="987"/>
        <v>3750000</v>
      </c>
      <c r="J1572" s="1042">
        <f t="shared" si="988"/>
        <v>10200000</v>
      </c>
      <c r="L1572" s="1060">
        <f t="shared" ref="L1572:L1600" si="989">IF(F1572="AKTIF",1,0)</f>
        <v>1</v>
      </c>
      <c r="M1572" s="1060">
        <f t="shared" ref="M1572:M1600" si="990">IF(F1572="LULUS",1,0)</f>
        <v>0</v>
      </c>
      <c r="N1572" s="1060">
        <f t="shared" ref="N1572:N1600" si="991">IF(F1572="CUTI",1,0)</f>
        <v>0</v>
      </c>
      <c r="O1572" s="1060">
        <f t="shared" ref="O1572:O1600" si="992">IF(F1572="DROP OUT",1,0)</f>
        <v>0</v>
      </c>
      <c r="P1572" s="1060">
        <f t="shared" ref="P1572:P1600" si="993">IF(F1572="PASIF",1,0)</f>
        <v>0</v>
      </c>
    </row>
    <row r="1573" spans="1:16" x14ac:dyDescent="0.25">
      <c r="A1573" s="1039">
        <v>1931</v>
      </c>
      <c r="B1573" s="1039">
        <f t="shared" si="980"/>
        <v>3</v>
      </c>
      <c r="C1573" s="1039" t="str">
        <f t="shared" si="981"/>
        <v>ABD WAHAB HIDAYATULLOH</v>
      </c>
      <c r="D1573" s="1040" t="str">
        <f t="shared" si="982"/>
        <v>HK-1A</v>
      </c>
      <c r="E1573" s="1041">
        <f t="shared" si="983"/>
        <v>2020</v>
      </c>
      <c r="F1573" s="1040" t="str">
        <f t="shared" si="984"/>
        <v>AKTIF</v>
      </c>
      <c r="G1573" s="1082">
        <f t="shared" si="985"/>
        <v>203206050003</v>
      </c>
      <c r="H1573" s="1042">
        <f t="shared" si="986"/>
        <v>6450000</v>
      </c>
      <c r="I1573" s="1042">
        <f t="shared" si="987"/>
        <v>3750000</v>
      </c>
      <c r="J1573" s="1042">
        <f t="shared" si="988"/>
        <v>10200000</v>
      </c>
      <c r="L1573" s="1060">
        <f t="shared" si="989"/>
        <v>1</v>
      </c>
      <c r="M1573" s="1060">
        <f t="shared" si="990"/>
        <v>0</v>
      </c>
      <c r="N1573" s="1060">
        <f t="shared" si="991"/>
        <v>0</v>
      </c>
      <c r="O1573" s="1060">
        <f t="shared" si="992"/>
        <v>0</v>
      </c>
      <c r="P1573" s="1060">
        <f t="shared" si="993"/>
        <v>0</v>
      </c>
    </row>
    <row r="1574" spans="1:16" x14ac:dyDescent="0.25">
      <c r="A1574" s="1039">
        <v>1932</v>
      </c>
      <c r="B1574" s="1039">
        <f t="shared" si="980"/>
        <v>4</v>
      </c>
      <c r="C1574" s="1039" t="str">
        <f t="shared" si="981"/>
        <v>AFIVANI HILDA DINURIA</v>
      </c>
      <c r="D1574" s="1040" t="str">
        <f t="shared" si="982"/>
        <v>HK-1A</v>
      </c>
      <c r="E1574" s="1041">
        <f t="shared" si="983"/>
        <v>2020</v>
      </c>
      <c r="F1574" s="1040" t="str">
        <f t="shared" si="984"/>
        <v>AKTIF</v>
      </c>
      <c r="G1574" s="1082">
        <f t="shared" si="985"/>
        <v>203206050004</v>
      </c>
      <c r="H1574" s="1042">
        <f t="shared" si="986"/>
        <v>6450000</v>
      </c>
      <c r="I1574" s="1042">
        <f t="shared" si="987"/>
        <v>3750000</v>
      </c>
      <c r="J1574" s="1042">
        <f t="shared" si="988"/>
        <v>10200000</v>
      </c>
      <c r="L1574" s="1060">
        <f t="shared" si="989"/>
        <v>1</v>
      </c>
      <c r="M1574" s="1060">
        <f t="shared" si="990"/>
        <v>0</v>
      </c>
      <c r="N1574" s="1060">
        <f t="shared" si="991"/>
        <v>0</v>
      </c>
      <c r="O1574" s="1060">
        <f t="shared" si="992"/>
        <v>0</v>
      </c>
      <c r="P1574" s="1060">
        <f t="shared" si="993"/>
        <v>0</v>
      </c>
    </row>
    <row r="1575" spans="1:16" x14ac:dyDescent="0.25">
      <c r="A1575" s="1039">
        <v>1933</v>
      </c>
      <c r="B1575" s="1039">
        <f t="shared" si="980"/>
        <v>5</v>
      </c>
      <c r="C1575" s="1039" t="str">
        <f t="shared" si="981"/>
        <v>AGUSTIN IKA MAUFIROH</v>
      </c>
      <c r="D1575" s="1040" t="str">
        <f t="shared" si="982"/>
        <v>HK-1A</v>
      </c>
      <c r="E1575" s="1041">
        <f t="shared" si="983"/>
        <v>2020</v>
      </c>
      <c r="F1575" s="1040" t="str">
        <f t="shared" si="984"/>
        <v>AKTIF</v>
      </c>
      <c r="G1575" s="1082">
        <f t="shared" si="985"/>
        <v>203206050005</v>
      </c>
      <c r="H1575" s="1042">
        <f t="shared" si="986"/>
        <v>6450000</v>
      </c>
      <c r="I1575" s="1042">
        <f t="shared" si="987"/>
        <v>3750000</v>
      </c>
      <c r="J1575" s="1042">
        <f t="shared" si="988"/>
        <v>10200000</v>
      </c>
      <c r="L1575" s="1060">
        <f t="shared" si="989"/>
        <v>1</v>
      </c>
      <c r="M1575" s="1060">
        <f t="shared" si="990"/>
        <v>0</v>
      </c>
      <c r="N1575" s="1060">
        <f t="shared" si="991"/>
        <v>0</v>
      </c>
      <c r="O1575" s="1060">
        <f t="shared" si="992"/>
        <v>0</v>
      </c>
      <c r="P1575" s="1060">
        <f t="shared" si="993"/>
        <v>0</v>
      </c>
    </row>
    <row r="1576" spans="1:16" x14ac:dyDescent="0.25">
      <c r="A1576" s="1039">
        <v>1934</v>
      </c>
      <c r="B1576" s="1039">
        <f t="shared" si="980"/>
        <v>6</v>
      </c>
      <c r="C1576" s="1039" t="str">
        <f t="shared" si="981"/>
        <v>AMAM SAUKI, S.H</v>
      </c>
      <c r="D1576" s="1040" t="str">
        <f t="shared" si="982"/>
        <v>HK-1A</v>
      </c>
      <c r="E1576" s="1041">
        <f t="shared" si="983"/>
        <v>2020</v>
      </c>
      <c r="F1576" s="1040" t="str">
        <f t="shared" si="984"/>
        <v>AKTIF</v>
      </c>
      <c r="G1576" s="1082">
        <f t="shared" si="985"/>
        <v>203206050006</v>
      </c>
      <c r="H1576" s="1042">
        <f t="shared" si="986"/>
        <v>6450000</v>
      </c>
      <c r="I1576" s="1042">
        <f t="shared" si="987"/>
        <v>3750000</v>
      </c>
      <c r="J1576" s="1042">
        <f t="shared" si="988"/>
        <v>10200000</v>
      </c>
      <c r="L1576" s="1060">
        <f t="shared" si="989"/>
        <v>1</v>
      </c>
      <c r="M1576" s="1060">
        <f t="shared" si="990"/>
        <v>0</v>
      </c>
      <c r="N1576" s="1060">
        <f t="shared" si="991"/>
        <v>0</v>
      </c>
      <c r="O1576" s="1060">
        <f t="shared" si="992"/>
        <v>0</v>
      </c>
      <c r="P1576" s="1060">
        <f t="shared" si="993"/>
        <v>0</v>
      </c>
    </row>
    <row r="1577" spans="1:16" x14ac:dyDescent="0.25">
      <c r="A1577" s="1039">
        <v>1935</v>
      </c>
      <c r="B1577" s="1039">
        <f t="shared" si="980"/>
        <v>7</v>
      </c>
      <c r="C1577" s="1039" t="str">
        <f t="shared" si="981"/>
        <v>AMRAN KHALIQURRAHMAN</v>
      </c>
      <c r="D1577" s="1040" t="str">
        <f t="shared" si="982"/>
        <v>HK-1A</v>
      </c>
      <c r="E1577" s="1041">
        <f t="shared" si="983"/>
        <v>2020</v>
      </c>
      <c r="F1577" s="1040" t="str">
        <f t="shared" si="984"/>
        <v>AKTIF</v>
      </c>
      <c r="G1577" s="1082">
        <f t="shared" si="985"/>
        <v>203206050007</v>
      </c>
      <c r="H1577" s="1042">
        <f t="shared" si="986"/>
        <v>6450000</v>
      </c>
      <c r="I1577" s="1042">
        <f t="shared" si="987"/>
        <v>3750000</v>
      </c>
      <c r="J1577" s="1042">
        <f t="shared" si="988"/>
        <v>10200000</v>
      </c>
      <c r="L1577" s="1060">
        <f t="shared" si="989"/>
        <v>1</v>
      </c>
      <c r="M1577" s="1060">
        <f t="shared" si="990"/>
        <v>0</v>
      </c>
      <c r="N1577" s="1060">
        <f t="shared" si="991"/>
        <v>0</v>
      </c>
      <c r="O1577" s="1060">
        <f t="shared" si="992"/>
        <v>0</v>
      </c>
      <c r="P1577" s="1060">
        <f t="shared" si="993"/>
        <v>0</v>
      </c>
    </row>
    <row r="1578" spans="1:16" x14ac:dyDescent="0.25">
      <c r="A1578" s="1039">
        <v>1936</v>
      </c>
      <c r="B1578" s="1039">
        <f t="shared" si="980"/>
        <v>8</v>
      </c>
      <c r="C1578" s="1039" t="str">
        <f t="shared" si="981"/>
        <v>ANIS ROHMATULLAH</v>
      </c>
      <c r="D1578" s="1040" t="str">
        <f t="shared" si="982"/>
        <v>HK-1A</v>
      </c>
      <c r="E1578" s="1041">
        <f t="shared" si="983"/>
        <v>2020</v>
      </c>
      <c r="F1578" s="1040" t="str">
        <f t="shared" si="984"/>
        <v>AKTIF</v>
      </c>
      <c r="G1578" s="1082">
        <f t="shared" si="985"/>
        <v>203206050008</v>
      </c>
      <c r="H1578" s="1042">
        <f t="shared" si="986"/>
        <v>6450000</v>
      </c>
      <c r="I1578" s="1042">
        <f t="shared" si="987"/>
        <v>3750000</v>
      </c>
      <c r="J1578" s="1042">
        <f t="shared" si="988"/>
        <v>10200000</v>
      </c>
      <c r="L1578" s="1060">
        <f t="shared" si="989"/>
        <v>1</v>
      </c>
      <c r="M1578" s="1060">
        <f t="shared" si="990"/>
        <v>0</v>
      </c>
      <c r="N1578" s="1060">
        <f t="shared" si="991"/>
        <v>0</v>
      </c>
      <c r="O1578" s="1060">
        <f t="shared" si="992"/>
        <v>0</v>
      </c>
      <c r="P1578" s="1060">
        <f t="shared" si="993"/>
        <v>0</v>
      </c>
    </row>
    <row r="1579" spans="1:16" x14ac:dyDescent="0.25">
      <c r="A1579" s="1039">
        <v>1937</v>
      </c>
      <c r="B1579" s="1039">
        <f t="shared" si="980"/>
        <v>9</v>
      </c>
      <c r="C1579" s="1039" t="str">
        <f t="shared" si="981"/>
        <v>BADRUDIN ZAMRONI</v>
      </c>
      <c r="D1579" s="1040" t="str">
        <f t="shared" si="982"/>
        <v>HK-1A</v>
      </c>
      <c r="E1579" s="1041">
        <f t="shared" si="983"/>
        <v>2020</v>
      </c>
      <c r="F1579" s="1040" t="str">
        <f t="shared" si="984"/>
        <v>AKTIF</v>
      </c>
      <c r="G1579" s="1082">
        <f t="shared" si="985"/>
        <v>203206050009</v>
      </c>
      <c r="H1579" s="1042">
        <f t="shared" si="986"/>
        <v>6450000</v>
      </c>
      <c r="I1579" s="1042">
        <f t="shared" si="987"/>
        <v>3750000</v>
      </c>
      <c r="J1579" s="1042">
        <f t="shared" si="988"/>
        <v>10200000</v>
      </c>
      <c r="L1579" s="1060">
        <f t="shared" si="989"/>
        <v>1</v>
      </c>
      <c r="M1579" s="1060">
        <f t="shared" si="990"/>
        <v>0</v>
      </c>
      <c r="N1579" s="1060">
        <f t="shared" si="991"/>
        <v>0</v>
      </c>
      <c r="O1579" s="1060">
        <f t="shared" si="992"/>
        <v>0</v>
      </c>
      <c r="P1579" s="1060">
        <f t="shared" si="993"/>
        <v>0</v>
      </c>
    </row>
    <row r="1580" spans="1:16" x14ac:dyDescent="0.25">
      <c r="A1580" s="1039">
        <v>1938</v>
      </c>
      <c r="B1580" s="1039">
        <f t="shared" si="980"/>
        <v>10</v>
      </c>
      <c r="C1580" s="1039" t="str">
        <f t="shared" si="981"/>
        <v>CHOLIS ROSYIDATUL HUSNAH</v>
      </c>
      <c r="D1580" s="1040" t="str">
        <f t="shared" si="982"/>
        <v>HK-1A</v>
      </c>
      <c r="E1580" s="1041">
        <f t="shared" si="983"/>
        <v>2020</v>
      </c>
      <c r="F1580" s="1040" t="str">
        <f t="shared" si="984"/>
        <v>AKTIF</v>
      </c>
      <c r="G1580" s="1082">
        <f t="shared" si="985"/>
        <v>203206050010</v>
      </c>
      <c r="H1580" s="1042">
        <f t="shared" si="986"/>
        <v>6450000</v>
      </c>
      <c r="I1580" s="1042">
        <f t="shared" si="987"/>
        <v>3750000</v>
      </c>
      <c r="J1580" s="1042">
        <f t="shared" si="988"/>
        <v>10200000</v>
      </c>
      <c r="L1580" s="1060">
        <f t="shared" si="989"/>
        <v>1</v>
      </c>
      <c r="M1580" s="1060">
        <f t="shared" si="990"/>
        <v>0</v>
      </c>
      <c r="N1580" s="1060">
        <f t="shared" si="991"/>
        <v>0</v>
      </c>
      <c r="O1580" s="1060">
        <f t="shared" si="992"/>
        <v>0</v>
      </c>
      <c r="P1580" s="1060">
        <f t="shared" si="993"/>
        <v>0</v>
      </c>
    </row>
    <row r="1581" spans="1:16" x14ac:dyDescent="0.25">
      <c r="A1581" s="1039">
        <v>1939</v>
      </c>
      <c r="B1581" s="1039">
        <f t="shared" ref="B1581:B1590" si="994">IFERROR(VLOOKUP(A1581,DB,2,FALSE),"")</f>
        <v>11</v>
      </c>
      <c r="C1581" s="1039" t="str">
        <f t="shared" si="981"/>
        <v>ELFA FIIDINILLAH PUTRI</v>
      </c>
      <c r="D1581" s="1040" t="str">
        <f t="shared" si="982"/>
        <v>HK-1A</v>
      </c>
      <c r="E1581" s="1041">
        <f t="shared" si="983"/>
        <v>2020</v>
      </c>
      <c r="F1581" s="1040" t="str">
        <f t="shared" si="984"/>
        <v>AKTIF</v>
      </c>
      <c r="G1581" s="1082">
        <f t="shared" si="985"/>
        <v>203206050011</v>
      </c>
      <c r="H1581" s="1042">
        <f t="shared" ref="H1581:H1590" si="995">IF(F1581="AKTIF",6450000,IF(F1581="CUTI",3000000,0))</f>
        <v>6450000</v>
      </c>
      <c r="I1581" s="1042">
        <f t="shared" ref="I1581:I1590" si="996">IF(F1581="AKTIF",3750000,IF(F1581="CUTI",3000000,0))</f>
        <v>3750000</v>
      </c>
      <c r="J1581" s="1042">
        <f t="shared" ref="J1581:J1590" si="997">I1581+H1581</f>
        <v>10200000</v>
      </c>
      <c r="L1581" s="1060">
        <f t="shared" si="989"/>
        <v>1</v>
      </c>
      <c r="M1581" s="1060">
        <f t="shared" si="990"/>
        <v>0</v>
      </c>
      <c r="N1581" s="1060">
        <f t="shared" si="991"/>
        <v>0</v>
      </c>
      <c r="O1581" s="1060">
        <f t="shared" si="992"/>
        <v>0</v>
      </c>
      <c r="P1581" s="1060">
        <f t="shared" si="993"/>
        <v>0</v>
      </c>
    </row>
    <row r="1582" spans="1:16" x14ac:dyDescent="0.25">
      <c r="A1582" s="1039">
        <v>1940</v>
      </c>
      <c r="B1582" s="1039">
        <f t="shared" si="994"/>
        <v>12</v>
      </c>
      <c r="C1582" s="1039" t="str">
        <f t="shared" si="981"/>
        <v>ERNI NOVIANTI</v>
      </c>
      <c r="D1582" s="1040" t="str">
        <f t="shared" si="982"/>
        <v>HK-1A</v>
      </c>
      <c r="E1582" s="1041">
        <f t="shared" si="983"/>
        <v>2020</v>
      </c>
      <c r="F1582" s="1040" t="str">
        <f t="shared" si="984"/>
        <v>AKTIF</v>
      </c>
      <c r="G1582" s="1082">
        <f t="shared" si="985"/>
        <v>203206050012</v>
      </c>
      <c r="H1582" s="1042">
        <f t="shared" si="995"/>
        <v>6450000</v>
      </c>
      <c r="I1582" s="1042">
        <f t="shared" si="996"/>
        <v>3750000</v>
      </c>
      <c r="J1582" s="1042">
        <f t="shared" si="997"/>
        <v>10200000</v>
      </c>
      <c r="L1582" s="1060">
        <f t="shared" si="989"/>
        <v>1</v>
      </c>
      <c r="M1582" s="1060">
        <f t="shared" si="990"/>
        <v>0</v>
      </c>
      <c r="N1582" s="1060">
        <f t="shared" si="991"/>
        <v>0</v>
      </c>
      <c r="O1582" s="1060">
        <f t="shared" si="992"/>
        <v>0</v>
      </c>
      <c r="P1582" s="1060">
        <f t="shared" si="993"/>
        <v>0</v>
      </c>
    </row>
    <row r="1583" spans="1:16" x14ac:dyDescent="0.25">
      <c r="A1583" s="1039">
        <v>1941</v>
      </c>
      <c r="B1583" s="1039">
        <f t="shared" si="994"/>
        <v>13</v>
      </c>
      <c r="C1583" s="1039" t="str">
        <f t="shared" si="981"/>
        <v>IZZAH AFKARINA</v>
      </c>
      <c r="D1583" s="1040" t="str">
        <f t="shared" si="982"/>
        <v>HK-1A</v>
      </c>
      <c r="E1583" s="1041">
        <f t="shared" si="983"/>
        <v>2020</v>
      </c>
      <c r="F1583" s="1040" t="str">
        <f t="shared" si="984"/>
        <v>AKTIF</v>
      </c>
      <c r="G1583" s="1082">
        <f t="shared" si="985"/>
        <v>203206050013</v>
      </c>
      <c r="H1583" s="1042">
        <f t="shared" si="995"/>
        <v>6450000</v>
      </c>
      <c r="I1583" s="1042">
        <f t="shared" si="996"/>
        <v>3750000</v>
      </c>
      <c r="J1583" s="1042">
        <f t="shared" si="997"/>
        <v>10200000</v>
      </c>
      <c r="L1583" s="1060">
        <f t="shared" si="989"/>
        <v>1</v>
      </c>
      <c r="M1583" s="1060">
        <f t="shared" si="990"/>
        <v>0</v>
      </c>
      <c r="N1583" s="1060">
        <f t="shared" si="991"/>
        <v>0</v>
      </c>
      <c r="O1583" s="1060">
        <f t="shared" si="992"/>
        <v>0</v>
      </c>
      <c r="P1583" s="1060">
        <f t="shared" si="993"/>
        <v>0</v>
      </c>
    </row>
    <row r="1584" spans="1:16" x14ac:dyDescent="0.25">
      <c r="A1584" s="1039">
        <v>1942</v>
      </c>
      <c r="B1584" s="1039">
        <f t="shared" si="994"/>
        <v>14</v>
      </c>
      <c r="C1584" s="1039" t="str">
        <f t="shared" si="981"/>
        <v>KHOIRUL ANWARI</v>
      </c>
      <c r="D1584" s="1040" t="str">
        <f t="shared" si="982"/>
        <v>HK-1A</v>
      </c>
      <c r="E1584" s="1041">
        <f t="shared" si="983"/>
        <v>2020</v>
      </c>
      <c r="F1584" s="1040" t="str">
        <f t="shared" si="984"/>
        <v>AKTIF</v>
      </c>
      <c r="G1584" s="1082">
        <f t="shared" si="985"/>
        <v>203206050014</v>
      </c>
      <c r="H1584" s="1042">
        <f t="shared" si="995"/>
        <v>6450000</v>
      </c>
      <c r="I1584" s="1042">
        <f t="shared" si="996"/>
        <v>3750000</v>
      </c>
      <c r="J1584" s="1042">
        <f t="shared" si="997"/>
        <v>10200000</v>
      </c>
      <c r="L1584" s="1060">
        <f t="shared" si="989"/>
        <v>1</v>
      </c>
      <c r="M1584" s="1060">
        <f t="shared" si="990"/>
        <v>0</v>
      </c>
      <c r="N1584" s="1060">
        <f t="shared" si="991"/>
        <v>0</v>
      </c>
      <c r="O1584" s="1060">
        <f t="shared" si="992"/>
        <v>0</v>
      </c>
      <c r="P1584" s="1060">
        <f t="shared" si="993"/>
        <v>0</v>
      </c>
    </row>
    <row r="1585" spans="1:16" x14ac:dyDescent="0.25">
      <c r="A1585" s="1039">
        <v>1943</v>
      </c>
      <c r="B1585" s="1039">
        <f t="shared" si="994"/>
        <v>15</v>
      </c>
      <c r="C1585" s="1039" t="str">
        <f t="shared" si="981"/>
        <v>KHUSNUL KHOTIMAH</v>
      </c>
      <c r="D1585" s="1040" t="str">
        <f t="shared" si="982"/>
        <v>HK-1A</v>
      </c>
      <c r="E1585" s="1041">
        <f t="shared" si="983"/>
        <v>2020</v>
      </c>
      <c r="F1585" s="1040" t="str">
        <f t="shared" si="984"/>
        <v>AKTIF</v>
      </c>
      <c r="G1585" s="1082">
        <f t="shared" si="985"/>
        <v>203206050015</v>
      </c>
      <c r="H1585" s="1042">
        <f t="shared" si="995"/>
        <v>6450000</v>
      </c>
      <c r="I1585" s="1042">
        <f t="shared" si="996"/>
        <v>3750000</v>
      </c>
      <c r="J1585" s="1042">
        <f t="shared" si="997"/>
        <v>10200000</v>
      </c>
      <c r="L1585" s="1060">
        <f t="shared" si="989"/>
        <v>1</v>
      </c>
      <c r="M1585" s="1060">
        <f t="shared" si="990"/>
        <v>0</v>
      </c>
      <c r="N1585" s="1060">
        <f t="shared" si="991"/>
        <v>0</v>
      </c>
      <c r="O1585" s="1060">
        <f t="shared" si="992"/>
        <v>0</v>
      </c>
      <c r="P1585" s="1060">
        <f t="shared" si="993"/>
        <v>0</v>
      </c>
    </row>
    <row r="1586" spans="1:16" x14ac:dyDescent="0.25">
      <c r="A1586" s="1039">
        <v>1944</v>
      </c>
      <c r="B1586" s="1039">
        <f t="shared" si="994"/>
        <v>16</v>
      </c>
      <c r="C1586" s="1039" t="str">
        <f t="shared" si="981"/>
        <v>LAILATUS SAIDAH</v>
      </c>
      <c r="D1586" s="1040" t="str">
        <f t="shared" si="982"/>
        <v>HK-1B</v>
      </c>
      <c r="E1586" s="1041">
        <f t="shared" si="983"/>
        <v>2020</v>
      </c>
      <c r="F1586" s="1040" t="str">
        <f t="shared" si="984"/>
        <v>AKTIF</v>
      </c>
      <c r="G1586" s="1082">
        <f t="shared" si="985"/>
        <v>203206050016</v>
      </c>
      <c r="H1586" s="1042">
        <f t="shared" si="995"/>
        <v>6450000</v>
      </c>
      <c r="I1586" s="1042">
        <f t="shared" si="996"/>
        <v>3750000</v>
      </c>
      <c r="J1586" s="1042">
        <f t="shared" si="997"/>
        <v>10200000</v>
      </c>
      <c r="L1586" s="1060">
        <f t="shared" si="989"/>
        <v>1</v>
      </c>
      <c r="M1586" s="1060">
        <f t="shared" si="990"/>
        <v>0</v>
      </c>
      <c r="N1586" s="1060">
        <f t="shared" si="991"/>
        <v>0</v>
      </c>
      <c r="O1586" s="1060">
        <f t="shared" si="992"/>
        <v>0</v>
      </c>
      <c r="P1586" s="1060">
        <f t="shared" si="993"/>
        <v>0</v>
      </c>
    </row>
    <row r="1587" spans="1:16" x14ac:dyDescent="0.25">
      <c r="A1587" s="1039">
        <v>1945</v>
      </c>
      <c r="B1587" s="1039">
        <f t="shared" si="994"/>
        <v>17</v>
      </c>
      <c r="C1587" s="1039" t="str">
        <f t="shared" si="981"/>
        <v>LAILI SALIMAH</v>
      </c>
      <c r="D1587" s="1040" t="str">
        <f t="shared" si="982"/>
        <v>HK-1B</v>
      </c>
      <c r="E1587" s="1041">
        <f t="shared" si="983"/>
        <v>2020</v>
      </c>
      <c r="F1587" s="1040" t="str">
        <f t="shared" si="984"/>
        <v>AKTIF</v>
      </c>
      <c r="G1587" s="1082">
        <f t="shared" si="985"/>
        <v>203206050017</v>
      </c>
      <c r="H1587" s="1042">
        <f t="shared" si="995"/>
        <v>6450000</v>
      </c>
      <c r="I1587" s="1042">
        <f t="shared" si="996"/>
        <v>3750000</v>
      </c>
      <c r="J1587" s="1042">
        <f t="shared" si="997"/>
        <v>10200000</v>
      </c>
      <c r="L1587" s="1060">
        <f t="shared" si="989"/>
        <v>1</v>
      </c>
      <c r="M1587" s="1060">
        <f t="shared" si="990"/>
        <v>0</v>
      </c>
      <c r="N1587" s="1060">
        <f t="shared" si="991"/>
        <v>0</v>
      </c>
      <c r="O1587" s="1060">
        <f t="shared" si="992"/>
        <v>0</v>
      </c>
      <c r="P1587" s="1060">
        <f t="shared" si="993"/>
        <v>0</v>
      </c>
    </row>
    <row r="1588" spans="1:16" x14ac:dyDescent="0.25">
      <c r="A1588" s="1039">
        <v>1946</v>
      </c>
      <c r="B1588" s="1039">
        <f t="shared" si="994"/>
        <v>18</v>
      </c>
      <c r="C1588" s="1039" t="str">
        <f t="shared" si="981"/>
        <v>MAHMUD WILMAR SHIDDIQ</v>
      </c>
      <c r="D1588" s="1040" t="str">
        <f t="shared" si="982"/>
        <v>HK-1B</v>
      </c>
      <c r="E1588" s="1041">
        <f t="shared" si="983"/>
        <v>2020</v>
      </c>
      <c r="F1588" s="1040" t="str">
        <f t="shared" si="984"/>
        <v>AKTIF</v>
      </c>
      <c r="G1588" s="1082">
        <f t="shared" si="985"/>
        <v>203206050018</v>
      </c>
      <c r="H1588" s="1042">
        <f t="shared" si="995"/>
        <v>6450000</v>
      </c>
      <c r="I1588" s="1042">
        <f t="shared" si="996"/>
        <v>3750000</v>
      </c>
      <c r="J1588" s="1042">
        <f t="shared" si="997"/>
        <v>10200000</v>
      </c>
      <c r="L1588" s="1060">
        <f t="shared" si="989"/>
        <v>1</v>
      </c>
      <c r="M1588" s="1060">
        <f t="shared" si="990"/>
        <v>0</v>
      </c>
      <c r="N1588" s="1060">
        <f t="shared" si="991"/>
        <v>0</v>
      </c>
      <c r="O1588" s="1060">
        <f t="shared" si="992"/>
        <v>0</v>
      </c>
      <c r="P1588" s="1060">
        <f t="shared" si="993"/>
        <v>0</v>
      </c>
    </row>
    <row r="1589" spans="1:16" x14ac:dyDescent="0.25">
      <c r="A1589" s="1039">
        <v>1947</v>
      </c>
      <c r="B1589" s="1039">
        <f t="shared" si="994"/>
        <v>19</v>
      </c>
      <c r="C1589" s="1039" t="str">
        <f t="shared" si="981"/>
        <v>MIFTAHUL ICHSAN</v>
      </c>
      <c r="D1589" s="1040" t="str">
        <f t="shared" si="982"/>
        <v>HK-1B</v>
      </c>
      <c r="E1589" s="1041">
        <f t="shared" si="983"/>
        <v>2020</v>
      </c>
      <c r="F1589" s="1040" t="str">
        <f t="shared" si="984"/>
        <v>AKTIF</v>
      </c>
      <c r="G1589" s="1082">
        <f t="shared" si="985"/>
        <v>203206050019</v>
      </c>
      <c r="H1589" s="1042">
        <f t="shared" si="995"/>
        <v>6450000</v>
      </c>
      <c r="I1589" s="1042">
        <f t="shared" si="996"/>
        <v>3750000</v>
      </c>
      <c r="J1589" s="1042">
        <f t="shared" si="997"/>
        <v>10200000</v>
      </c>
      <c r="L1589" s="1060">
        <f t="shared" si="989"/>
        <v>1</v>
      </c>
      <c r="M1589" s="1060">
        <f t="shared" si="990"/>
        <v>0</v>
      </c>
      <c r="N1589" s="1060">
        <f t="shared" si="991"/>
        <v>0</v>
      </c>
      <c r="O1589" s="1060">
        <f t="shared" si="992"/>
        <v>0</v>
      </c>
      <c r="P1589" s="1060">
        <f t="shared" si="993"/>
        <v>0</v>
      </c>
    </row>
    <row r="1590" spans="1:16" x14ac:dyDescent="0.25">
      <c r="A1590" s="1039">
        <v>1948</v>
      </c>
      <c r="B1590" s="1039">
        <f t="shared" si="994"/>
        <v>20</v>
      </c>
      <c r="C1590" s="1039" t="str">
        <f t="shared" si="981"/>
        <v>MIFTAHUL QODRIL RAMADHAN</v>
      </c>
      <c r="D1590" s="1040" t="str">
        <f t="shared" si="982"/>
        <v>HK-1B</v>
      </c>
      <c r="E1590" s="1041">
        <f t="shared" si="983"/>
        <v>2020</v>
      </c>
      <c r="F1590" s="1040" t="str">
        <f t="shared" si="984"/>
        <v>AKTIF</v>
      </c>
      <c r="G1590" s="1082">
        <f t="shared" si="985"/>
        <v>203206050020</v>
      </c>
      <c r="H1590" s="1042">
        <f t="shared" si="995"/>
        <v>6450000</v>
      </c>
      <c r="I1590" s="1042">
        <f t="shared" si="996"/>
        <v>3750000</v>
      </c>
      <c r="J1590" s="1042">
        <f t="shared" si="997"/>
        <v>10200000</v>
      </c>
      <c r="L1590" s="1060">
        <f t="shared" si="989"/>
        <v>1</v>
      </c>
      <c r="M1590" s="1060">
        <f t="shared" si="990"/>
        <v>0</v>
      </c>
      <c r="N1590" s="1060">
        <f t="shared" si="991"/>
        <v>0</v>
      </c>
      <c r="O1590" s="1060">
        <f t="shared" si="992"/>
        <v>0</v>
      </c>
      <c r="P1590" s="1060">
        <f t="shared" si="993"/>
        <v>0</v>
      </c>
    </row>
    <row r="1591" spans="1:16" x14ac:dyDescent="0.25">
      <c r="A1591" s="1039">
        <v>1949</v>
      </c>
      <c r="B1591" s="1039">
        <f t="shared" ref="B1591:B1594" si="998">IFERROR(VLOOKUP(A1591,DB,2,FALSE),"")</f>
        <v>21</v>
      </c>
      <c r="C1591" s="1039" t="str">
        <f t="shared" si="981"/>
        <v>MISNANTO</v>
      </c>
      <c r="D1591" s="1040" t="str">
        <f t="shared" si="982"/>
        <v>HK-1B</v>
      </c>
      <c r="E1591" s="1041">
        <f t="shared" si="983"/>
        <v>2020</v>
      </c>
      <c r="F1591" s="1040" t="str">
        <f t="shared" si="984"/>
        <v>AKTIF</v>
      </c>
      <c r="G1591" s="1082">
        <f t="shared" si="985"/>
        <v>203206050021</v>
      </c>
      <c r="H1591" s="1042">
        <f t="shared" ref="H1591:H1594" si="999">IF(F1591="AKTIF",6450000,IF(F1591="CUTI",3000000,0))</f>
        <v>6450000</v>
      </c>
      <c r="I1591" s="1042">
        <f t="shared" ref="I1591:I1594" si="1000">IF(F1591="AKTIF",3750000,IF(F1591="CUTI",3000000,0))</f>
        <v>3750000</v>
      </c>
      <c r="J1591" s="1042">
        <f t="shared" ref="J1591:J1594" si="1001">I1591+H1591</f>
        <v>10200000</v>
      </c>
      <c r="L1591" s="1060">
        <f t="shared" si="989"/>
        <v>1</v>
      </c>
      <c r="M1591" s="1060">
        <f t="shared" si="990"/>
        <v>0</v>
      </c>
      <c r="N1591" s="1060">
        <f t="shared" si="991"/>
        <v>0</v>
      </c>
      <c r="O1591" s="1060">
        <f t="shared" si="992"/>
        <v>0</v>
      </c>
      <c r="P1591" s="1060">
        <f t="shared" si="993"/>
        <v>0</v>
      </c>
    </row>
    <row r="1592" spans="1:16" x14ac:dyDescent="0.25">
      <c r="A1592" s="1039">
        <v>1950</v>
      </c>
      <c r="B1592" s="1039">
        <f t="shared" si="998"/>
        <v>22</v>
      </c>
      <c r="C1592" s="1039" t="str">
        <f t="shared" si="981"/>
        <v>MOH. ALVIYAN</v>
      </c>
      <c r="D1592" s="1040" t="str">
        <f t="shared" si="982"/>
        <v>HK-1B</v>
      </c>
      <c r="E1592" s="1041">
        <f t="shared" si="983"/>
        <v>2020</v>
      </c>
      <c r="F1592" s="1040" t="str">
        <f t="shared" si="984"/>
        <v>AKTIF</v>
      </c>
      <c r="G1592" s="1082">
        <f t="shared" si="985"/>
        <v>203206050022</v>
      </c>
      <c r="H1592" s="1042">
        <f t="shared" si="999"/>
        <v>6450000</v>
      </c>
      <c r="I1592" s="1042">
        <f t="shared" si="1000"/>
        <v>3750000</v>
      </c>
      <c r="J1592" s="1042">
        <f t="shared" si="1001"/>
        <v>10200000</v>
      </c>
      <c r="L1592" s="1060">
        <f t="shared" si="989"/>
        <v>1</v>
      </c>
      <c r="M1592" s="1060">
        <f t="shared" si="990"/>
        <v>0</v>
      </c>
      <c r="N1592" s="1060">
        <f t="shared" si="991"/>
        <v>0</v>
      </c>
      <c r="O1592" s="1060">
        <f t="shared" si="992"/>
        <v>0</v>
      </c>
      <c r="P1592" s="1060">
        <f t="shared" si="993"/>
        <v>0</v>
      </c>
    </row>
    <row r="1593" spans="1:16" x14ac:dyDescent="0.25">
      <c r="A1593" s="1039">
        <v>1951</v>
      </c>
      <c r="B1593" s="1039">
        <f t="shared" si="998"/>
        <v>23</v>
      </c>
      <c r="C1593" s="1039" t="str">
        <f t="shared" si="981"/>
        <v>MOH. WASIK</v>
      </c>
      <c r="D1593" s="1040" t="str">
        <f t="shared" si="982"/>
        <v>HK-1B</v>
      </c>
      <c r="E1593" s="1041">
        <f t="shared" si="983"/>
        <v>2020</v>
      </c>
      <c r="F1593" s="1040" t="str">
        <f t="shared" si="984"/>
        <v>AKTIF</v>
      </c>
      <c r="G1593" s="1082">
        <f t="shared" si="985"/>
        <v>203206050023</v>
      </c>
      <c r="H1593" s="1042">
        <f t="shared" si="999"/>
        <v>6450000</v>
      </c>
      <c r="I1593" s="1042">
        <f t="shared" si="1000"/>
        <v>3750000</v>
      </c>
      <c r="J1593" s="1042">
        <f t="shared" si="1001"/>
        <v>10200000</v>
      </c>
      <c r="L1593" s="1060">
        <f t="shared" si="989"/>
        <v>1</v>
      </c>
      <c r="M1593" s="1060">
        <f t="shared" si="990"/>
        <v>0</v>
      </c>
      <c r="N1593" s="1060">
        <f t="shared" si="991"/>
        <v>0</v>
      </c>
      <c r="O1593" s="1060">
        <f t="shared" si="992"/>
        <v>0</v>
      </c>
      <c r="P1593" s="1060">
        <f t="shared" si="993"/>
        <v>0</v>
      </c>
    </row>
    <row r="1594" spans="1:16" x14ac:dyDescent="0.25">
      <c r="A1594" s="1039">
        <v>1952</v>
      </c>
      <c r="B1594" s="1039">
        <f t="shared" si="998"/>
        <v>24</v>
      </c>
      <c r="C1594" s="1039" t="str">
        <f t="shared" si="981"/>
        <v>MUHAMMAD JUHARIYANTO</v>
      </c>
      <c r="D1594" s="1040" t="str">
        <f t="shared" si="982"/>
        <v>HK-1B</v>
      </c>
      <c r="E1594" s="1041">
        <f t="shared" si="983"/>
        <v>2020</v>
      </c>
      <c r="F1594" s="1040" t="str">
        <f t="shared" si="984"/>
        <v>AKTIF</v>
      </c>
      <c r="G1594" s="1082">
        <f t="shared" si="985"/>
        <v>203206050024</v>
      </c>
      <c r="H1594" s="1042">
        <f t="shared" si="999"/>
        <v>6450000</v>
      </c>
      <c r="I1594" s="1042">
        <f t="shared" si="1000"/>
        <v>3750000</v>
      </c>
      <c r="J1594" s="1042">
        <f t="shared" si="1001"/>
        <v>10200000</v>
      </c>
      <c r="L1594" s="1060">
        <f t="shared" si="989"/>
        <v>1</v>
      </c>
      <c r="M1594" s="1060">
        <f t="shared" si="990"/>
        <v>0</v>
      </c>
      <c r="N1594" s="1060">
        <f t="shared" si="991"/>
        <v>0</v>
      </c>
      <c r="O1594" s="1060">
        <f t="shared" si="992"/>
        <v>0</v>
      </c>
      <c r="P1594" s="1060">
        <f t="shared" si="993"/>
        <v>0</v>
      </c>
    </row>
    <row r="1595" spans="1:16" x14ac:dyDescent="0.25">
      <c r="A1595" s="1039">
        <v>1953</v>
      </c>
      <c r="B1595" s="1039">
        <f t="shared" si="774"/>
        <v>25</v>
      </c>
      <c r="C1595" s="1039" t="str">
        <f t="shared" si="981"/>
        <v>M. ZAINURI ARHAM</v>
      </c>
      <c r="D1595" s="1040" t="str">
        <f t="shared" si="982"/>
        <v>HK-1B</v>
      </c>
      <c r="E1595" s="1041">
        <f t="shared" si="983"/>
        <v>2020</v>
      </c>
      <c r="F1595" s="1040" t="str">
        <f t="shared" si="984"/>
        <v>AKTIF</v>
      </c>
      <c r="G1595" s="1082">
        <f t="shared" si="985"/>
        <v>203206050025</v>
      </c>
      <c r="H1595" s="1042">
        <f t="shared" si="978"/>
        <v>6450000</v>
      </c>
      <c r="I1595" s="1042">
        <f t="shared" si="979"/>
        <v>3750000</v>
      </c>
      <c r="J1595" s="1042">
        <f t="shared" si="977"/>
        <v>10200000</v>
      </c>
      <c r="L1595" s="1060">
        <f t="shared" si="989"/>
        <v>1</v>
      </c>
      <c r="M1595" s="1060">
        <f t="shared" si="990"/>
        <v>0</v>
      </c>
      <c r="N1595" s="1060">
        <f t="shared" si="991"/>
        <v>0</v>
      </c>
      <c r="O1595" s="1060">
        <f t="shared" si="992"/>
        <v>0</v>
      </c>
      <c r="P1595" s="1060">
        <f t="shared" si="993"/>
        <v>0</v>
      </c>
    </row>
    <row r="1596" spans="1:16" x14ac:dyDescent="0.25">
      <c r="A1596" s="1039">
        <v>1954</v>
      </c>
      <c r="B1596" s="1039">
        <f t="shared" si="774"/>
        <v>26</v>
      </c>
      <c r="C1596" s="1039" t="str">
        <f t="shared" si="981"/>
        <v>NUR AINI AWALIYAH</v>
      </c>
      <c r="D1596" s="1040" t="str">
        <f t="shared" si="982"/>
        <v>HK-1B</v>
      </c>
      <c r="E1596" s="1041">
        <f t="shared" si="983"/>
        <v>2020</v>
      </c>
      <c r="F1596" s="1040" t="str">
        <f t="shared" si="984"/>
        <v>AKTIF</v>
      </c>
      <c r="G1596" s="1082">
        <f t="shared" si="985"/>
        <v>203206050026</v>
      </c>
      <c r="H1596" s="1042">
        <f t="shared" si="978"/>
        <v>6450000</v>
      </c>
      <c r="I1596" s="1042">
        <f t="shared" si="979"/>
        <v>3750000</v>
      </c>
      <c r="J1596" s="1042">
        <f t="shared" si="977"/>
        <v>10200000</v>
      </c>
      <c r="L1596" s="1060">
        <f t="shared" si="989"/>
        <v>1</v>
      </c>
      <c r="M1596" s="1060">
        <f t="shared" si="990"/>
        <v>0</v>
      </c>
      <c r="N1596" s="1060">
        <f t="shared" si="991"/>
        <v>0</v>
      </c>
      <c r="O1596" s="1060">
        <f t="shared" si="992"/>
        <v>0</v>
      </c>
      <c r="P1596" s="1060">
        <f t="shared" si="993"/>
        <v>0</v>
      </c>
    </row>
    <row r="1597" spans="1:16" x14ac:dyDescent="0.25">
      <c r="A1597" s="1039">
        <v>1955</v>
      </c>
      <c r="B1597" s="1039">
        <f t="shared" ref="B1597:B1598" si="1002">IFERROR(VLOOKUP(A1597,DB,2,FALSE),"")</f>
        <v>27</v>
      </c>
      <c r="C1597" s="1039" t="str">
        <f t="shared" si="981"/>
        <v>NUR MUHAMMAD FIRDAUS FIRMANSYAH</v>
      </c>
      <c r="D1597" s="1040" t="str">
        <f t="shared" si="982"/>
        <v>HK-1B</v>
      </c>
      <c r="E1597" s="1041">
        <f t="shared" si="983"/>
        <v>2020</v>
      </c>
      <c r="F1597" s="1040" t="str">
        <f t="shared" si="984"/>
        <v>AKTIF</v>
      </c>
      <c r="G1597" s="1082">
        <f t="shared" si="985"/>
        <v>203206050027</v>
      </c>
      <c r="H1597" s="1042">
        <f t="shared" ref="H1597:H1598" si="1003">IF(F1597="AKTIF",6450000,IF(F1597="CUTI",3000000,0))</f>
        <v>6450000</v>
      </c>
      <c r="I1597" s="1042">
        <f t="shared" ref="I1597:I1598" si="1004">IF(F1597="AKTIF",3750000,IF(F1597="CUTI",3000000,0))</f>
        <v>3750000</v>
      </c>
      <c r="J1597" s="1042">
        <f t="shared" ref="J1597:J1598" si="1005">I1597+H1597</f>
        <v>10200000</v>
      </c>
      <c r="L1597" s="1060">
        <f t="shared" si="989"/>
        <v>1</v>
      </c>
      <c r="M1597" s="1060">
        <f t="shared" si="990"/>
        <v>0</v>
      </c>
      <c r="N1597" s="1060">
        <f t="shared" si="991"/>
        <v>0</v>
      </c>
      <c r="O1597" s="1060">
        <f t="shared" si="992"/>
        <v>0</v>
      </c>
      <c r="P1597" s="1060">
        <f t="shared" si="993"/>
        <v>0</v>
      </c>
    </row>
    <row r="1598" spans="1:16" x14ac:dyDescent="0.25">
      <c r="A1598" s="1039">
        <v>1956</v>
      </c>
      <c r="B1598" s="1039">
        <f t="shared" si="1002"/>
        <v>28</v>
      </c>
      <c r="C1598" s="1039" t="str">
        <f t="shared" si="981"/>
        <v>NURUL AINIYAH</v>
      </c>
      <c r="D1598" s="1040" t="str">
        <f t="shared" si="982"/>
        <v>HK-1B</v>
      </c>
      <c r="E1598" s="1041">
        <f t="shared" si="983"/>
        <v>2020</v>
      </c>
      <c r="F1598" s="1040" t="str">
        <f t="shared" si="984"/>
        <v>AKTIF</v>
      </c>
      <c r="G1598" s="1082">
        <f t="shared" si="985"/>
        <v>203206050028</v>
      </c>
      <c r="H1598" s="1042">
        <f t="shared" si="1003"/>
        <v>6450000</v>
      </c>
      <c r="I1598" s="1042">
        <f t="shared" si="1004"/>
        <v>3750000</v>
      </c>
      <c r="J1598" s="1042">
        <f t="shared" si="1005"/>
        <v>10200000</v>
      </c>
      <c r="L1598" s="1060">
        <f t="shared" si="989"/>
        <v>1</v>
      </c>
      <c r="M1598" s="1060">
        <f t="shared" si="990"/>
        <v>0</v>
      </c>
      <c r="N1598" s="1060">
        <f t="shared" si="991"/>
        <v>0</v>
      </c>
      <c r="O1598" s="1060">
        <f t="shared" si="992"/>
        <v>0</v>
      </c>
      <c r="P1598" s="1060">
        <f t="shared" si="993"/>
        <v>0</v>
      </c>
    </row>
    <row r="1599" spans="1:16" x14ac:dyDescent="0.25">
      <c r="A1599" s="1039">
        <v>1957</v>
      </c>
      <c r="B1599" s="1039">
        <f t="shared" si="774"/>
        <v>29</v>
      </c>
      <c r="C1599" s="1039" t="str">
        <f t="shared" si="981"/>
        <v>RIDHO SYAHBIBI</v>
      </c>
      <c r="D1599" s="1040" t="str">
        <f t="shared" si="982"/>
        <v>HK-1B</v>
      </c>
      <c r="E1599" s="1041">
        <f t="shared" si="983"/>
        <v>2020</v>
      </c>
      <c r="F1599" s="1040" t="str">
        <f t="shared" si="984"/>
        <v>AKTIF</v>
      </c>
      <c r="G1599" s="1082">
        <f t="shared" si="985"/>
        <v>203206050029</v>
      </c>
      <c r="H1599" s="1042">
        <f t="shared" si="978"/>
        <v>6450000</v>
      </c>
      <c r="I1599" s="1042">
        <f t="shared" si="979"/>
        <v>3750000</v>
      </c>
      <c r="J1599" s="1042">
        <f t="shared" si="977"/>
        <v>10200000</v>
      </c>
      <c r="L1599" s="1060">
        <f t="shared" si="989"/>
        <v>1</v>
      </c>
      <c r="M1599" s="1060">
        <f t="shared" si="990"/>
        <v>0</v>
      </c>
      <c r="N1599" s="1060">
        <f t="shared" si="991"/>
        <v>0</v>
      </c>
      <c r="O1599" s="1060">
        <f t="shared" si="992"/>
        <v>0</v>
      </c>
      <c r="P1599" s="1060">
        <f t="shared" si="993"/>
        <v>0</v>
      </c>
    </row>
    <row r="1600" spans="1:16" x14ac:dyDescent="0.25">
      <c r="A1600" s="1039">
        <v>1958</v>
      </c>
      <c r="B1600" s="1039">
        <f t="shared" si="774"/>
        <v>30</v>
      </c>
      <c r="C1600" s="1039" t="str">
        <f t="shared" si="981"/>
        <v>SEJA BINTANG FAHLEVI</v>
      </c>
      <c r="D1600" s="1040" t="str">
        <f t="shared" si="982"/>
        <v>HK-1B</v>
      </c>
      <c r="E1600" s="1041">
        <f t="shared" si="983"/>
        <v>2020</v>
      </c>
      <c r="F1600" s="1040" t="str">
        <f t="shared" si="984"/>
        <v>AKTIF</v>
      </c>
      <c r="G1600" s="1082">
        <f t="shared" si="985"/>
        <v>203206050030</v>
      </c>
      <c r="H1600" s="1042">
        <f t="shared" si="978"/>
        <v>6450000</v>
      </c>
      <c r="I1600" s="1042">
        <f t="shared" si="979"/>
        <v>3750000</v>
      </c>
      <c r="J1600" s="1042">
        <f t="shared" si="977"/>
        <v>10200000</v>
      </c>
      <c r="L1600" s="1060">
        <f t="shared" si="989"/>
        <v>1</v>
      </c>
      <c r="M1600" s="1060">
        <f t="shared" si="990"/>
        <v>0</v>
      </c>
      <c r="N1600" s="1060">
        <f t="shared" si="991"/>
        <v>0</v>
      </c>
      <c r="O1600" s="1060">
        <f t="shared" si="992"/>
        <v>0</v>
      </c>
      <c r="P1600" s="1060">
        <f t="shared" si="993"/>
        <v>0</v>
      </c>
    </row>
    <row r="1601" spans="1:16" x14ac:dyDescent="0.25">
      <c r="A1601" s="1039"/>
      <c r="B1601" s="1039"/>
      <c r="C1601" s="1039"/>
      <c r="D1601" s="1040"/>
      <c r="E1601" s="1041"/>
      <c r="F1601" s="1040"/>
      <c r="G1601" s="1041"/>
      <c r="H1601" s="1042"/>
      <c r="I1601" s="1042"/>
      <c r="J1601" s="1042"/>
    </row>
    <row r="1602" spans="1:16" x14ac:dyDescent="0.25">
      <c r="A1602" s="1076" t="str">
        <f>'Rekap SPP'!A2129</f>
        <v>S2-PBA 2020/2021</v>
      </c>
      <c r="B1602" s="1077"/>
      <c r="C1602" s="1077"/>
      <c r="D1602" s="1033" t="s">
        <v>3</v>
      </c>
      <c r="E1602" s="1032" t="s">
        <v>4</v>
      </c>
      <c r="F1602" s="1033" t="s">
        <v>3195</v>
      </c>
      <c r="G1602" s="1032" t="s">
        <v>1</v>
      </c>
      <c r="H1602" s="1033" t="s">
        <v>3362</v>
      </c>
      <c r="I1602" s="1033" t="s">
        <v>3363</v>
      </c>
      <c r="J1602" s="1062">
        <f>SUM(J1603:J1655)</f>
        <v>5601000000</v>
      </c>
      <c r="L1602" s="1063">
        <f>SUM(L1603:L1622)</f>
        <v>20</v>
      </c>
      <c r="M1602" s="1063">
        <f>SUM(M1603:M1622)</f>
        <v>0</v>
      </c>
      <c r="N1602" s="1063">
        <f>SUM(N1603:N1622)</f>
        <v>0</v>
      </c>
      <c r="O1602" s="1063">
        <f t="shared" ref="O1602:P1602" si="1006">SUM(O1603:O1622)</f>
        <v>0</v>
      </c>
      <c r="P1602" s="1063">
        <f t="shared" si="1006"/>
        <v>0</v>
      </c>
    </row>
    <row r="1603" spans="1:16" x14ac:dyDescent="0.25">
      <c r="A1603" s="1039">
        <v>1959</v>
      </c>
      <c r="B1603" s="1039">
        <f t="shared" si="774"/>
        <v>1</v>
      </c>
      <c r="C1603" s="1039" t="str">
        <f t="shared" ref="C1603:C1622" si="1007">IFERROR(VLOOKUP(A1603,DB,4,FALSE),"")</f>
        <v>ABDILLAH AS'AD</v>
      </c>
      <c r="D1603" s="1040" t="str">
        <f t="shared" ref="D1603:D1622" si="1008">IFERROR(VLOOKUP(A1603,DB,5,FALSE),"")</f>
        <v>PBA-1</v>
      </c>
      <c r="E1603" s="1041">
        <f t="shared" ref="E1603:E1622" si="1009">IFERROR(VLOOKUP(A1603,DB,6,FALSE),"")</f>
        <v>2020</v>
      </c>
      <c r="F1603" s="1040" t="str">
        <f t="shared" ref="F1603:F1622" si="1010">IFERROR(VLOOKUP(A1603,DB,7,FALSE),"")</f>
        <v>AKTIF</v>
      </c>
      <c r="G1603" s="1082">
        <f t="shared" ref="G1603:G1622" si="1011">IFERROR(VLOOKUP(A1603,DB,3,FALSE),"")</f>
        <v>203206020001</v>
      </c>
      <c r="H1603" s="1042">
        <f t="shared" si="978"/>
        <v>6450000</v>
      </c>
      <c r="I1603" s="1042">
        <f t="shared" si="979"/>
        <v>3750000</v>
      </c>
      <c r="J1603" s="1042">
        <f t="shared" si="977"/>
        <v>10200000</v>
      </c>
      <c r="L1603" s="1060">
        <f>IF(F1603="AKTIF",1,0)</f>
        <v>1</v>
      </c>
      <c r="M1603" s="1060">
        <f>IF(F1603="LULUS",1,0)</f>
        <v>0</v>
      </c>
      <c r="N1603" s="1060">
        <f>IF(F1603="CUTI",1,0)</f>
        <v>0</v>
      </c>
      <c r="O1603" s="1060">
        <f>IF(F1603="DROP OUT",1,0)</f>
        <v>0</v>
      </c>
      <c r="P1603" s="1060">
        <f>IF(F1603="PASIF",1,0)</f>
        <v>0</v>
      </c>
    </row>
    <row r="1604" spans="1:16" x14ac:dyDescent="0.25">
      <c r="A1604" s="1039">
        <v>1960</v>
      </c>
      <c r="B1604" s="1039">
        <f t="shared" si="774"/>
        <v>2</v>
      </c>
      <c r="C1604" s="1039" t="str">
        <f t="shared" si="1007"/>
        <v>AHMAD HAFIDZ ABDULLAH</v>
      </c>
      <c r="D1604" s="1040" t="str">
        <f t="shared" si="1008"/>
        <v>PBA-1</v>
      </c>
      <c r="E1604" s="1041">
        <f t="shared" si="1009"/>
        <v>2020</v>
      </c>
      <c r="F1604" s="1040" t="str">
        <f t="shared" si="1010"/>
        <v>AKTIF</v>
      </c>
      <c r="G1604" s="1082">
        <f t="shared" si="1011"/>
        <v>203206020002</v>
      </c>
      <c r="H1604" s="1042">
        <f t="shared" si="978"/>
        <v>6450000</v>
      </c>
      <c r="I1604" s="1042">
        <f t="shared" si="979"/>
        <v>3750000</v>
      </c>
      <c r="J1604" s="1042">
        <f t="shared" si="977"/>
        <v>10200000</v>
      </c>
      <c r="L1604" s="1060">
        <f t="shared" ref="L1604:L1622" si="1012">IF(F1604="AKTIF",1,0)</f>
        <v>1</v>
      </c>
      <c r="M1604" s="1060">
        <f t="shared" ref="M1604:M1622" si="1013">IF(F1604="LULUS",1,0)</f>
        <v>0</v>
      </c>
      <c r="N1604" s="1060">
        <f t="shared" ref="N1604:N1622" si="1014">IF(F1604="CUTI",1,0)</f>
        <v>0</v>
      </c>
      <c r="O1604" s="1060">
        <f t="shared" ref="O1604:O1622" si="1015">IF(F1604="DROP OUT",1,0)</f>
        <v>0</v>
      </c>
      <c r="P1604" s="1060">
        <f t="shared" ref="P1604:P1622" si="1016">IF(F1604="PASIF",1,0)</f>
        <v>0</v>
      </c>
    </row>
    <row r="1605" spans="1:16" x14ac:dyDescent="0.25">
      <c r="A1605" s="1039">
        <v>1961</v>
      </c>
      <c r="B1605" s="1039">
        <f t="shared" si="774"/>
        <v>3</v>
      </c>
      <c r="C1605" s="1039" t="str">
        <f t="shared" si="1007"/>
        <v>AHMAD WILDAN FAHMI</v>
      </c>
      <c r="D1605" s="1040" t="str">
        <f t="shared" si="1008"/>
        <v>PBA-1</v>
      </c>
      <c r="E1605" s="1041">
        <f t="shared" si="1009"/>
        <v>2020</v>
      </c>
      <c r="F1605" s="1040" t="str">
        <f t="shared" si="1010"/>
        <v>AKTIF</v>
      </c>
      <c r="G1605" s="1082">
        <f t="shared" si="1011"/>
        <v>203206020003</v>
      </c>
      <c r="H1605" s="1042">
        <f t="shared" si="978"/>
        <v>6450000</v>
      </c>
      <c r="I1605" s="1042">
        <f t="shared" si="979"/>
        <v>3750000</v>
      </c>
      <c r="J1605" s="1042">
        <f t="shared" si="977"/>
        <v>10200000</v>
      </c>
      <c r="L1605" s="1060">
        <f t="shared" si="1012"/>
        <v>1</v>
      </c>
      <c r="M1605" s="1060">
        <f t="shared" si="1013"/>
        <v>0</v>
      </c>
      <c r="N1605" s="1060">
        <f t="shared" si="1014"/>
        <v>0</v>
      </c>
      <c r="O1605" s="1060">
        <f t="shared" si="1015"/>
        <v>0</v>
      </c>
      <c r="P1605" s="1060">
        <f t="shared" si="1016"/>
        <v>0</v>
      </c>
    </row>
    <row r="1606" spans="1:16" x14ac:dyDescent="0.25">
      <c r="A1606" s="1039">
        <v>1962</v>
      </c>
      <c r="B1606" s="1039">
        <f t="shared" si="774"/>
        <v>4</v>
      </c>
      <c r="C1606" s="1039" t="str">
        <f t="shared" si="1007"/>
        <v>AL FAHRUR ROZI</v>
      </c>
      <c r="D1606" s="1040" t="str">
        <f t="shared" si="1008"/>
        <v>PBA-1</v>
      </c>
      <c r="E1606" s="1041">
        <f t="shared" si="1009"/>
        <v>2020</v>
      </c>
      <c r="F1606" s="1040" t="str">
        <f t="shared" si="1010"/>
        <v>AKTIF</v>
      </c>
      <c r="G1606" s="1082">
        <f t="shared" si="1011"/>
        <v>203206020004</v>
      </c>
      <c r="H1606" s="1042">
        <f t="shared" si="978"/>
        <v>6450000</v>
      </c>
      <c r="I1606" s="1042">
        <f t="shared" si="979"/>
        <v>3750000</v>
      </c>
      <c r="J1606" s="1042">
        <f t="shared" si="977"/>
        <v>10200000</v>
      </c>
      <c r="L1606" s="1060">
        <f t="shared" si="1012"/>
        <v>1</v>
      </c>
      <c r="M1606" s="1060">
        <f t="shared" si="1013"/>
        <v>0</v>
      </c>
      <c r="N1606" s="1060">
        <f t="shared" si="1014"/>
        <v>0</v>
      </c>
      <c r="O1606" s="1060">
        <f t="shared" si="1015"/>
        <v>0</v>
      </c>
      <c r="P1606" s="1060">
        <f t="shared" si="1016"/>
        <v>0</v>
      </c>
    </row>
    <row r="1607" spans="1:16" x14ac:dyDescent="0.25">
      <c r="A1607" s="1039">
        <v>1963</v>
      </c>
      <c r="B1607" s="1039">
        <f t="shared" si="774"/>
        <v>5</v>
      </c>
      <c r="C1607" s="1039" t="str">
        <f t="shared" si="1007"/>
        <v>ALFIAN FUTUHUL HADI</v>
      </c>
      <c r="D1607" s="1040" t="str">
        <f t="shared" si="1008"/>
        <v>PBA-1</v>
      </c>
      <c r="E1607" s="1041">
        <f t="shared" si="1009"/>
        <v>2020</v>
      </c>
      <c r="F1607" s="1040" t="str">
        <f t="shared" si="1010"/>
        <v>AKTIF</v>
      </c>
      <c r="G1607" s="1082">
        <f t="shared" si="1011"/>
        <v>203206020005</v>
      </c>
      <c r="H1607" s="1042">
        <f t="shared" si="978"/>
        <v>6450000</v>
      </c>
      <c r="I1607" s="1042">
        <f t="shared" si="979"/>
        <v>3750000</v>
      </c>
      <c r="J1607" s="1042">
        <f t="shared" si="977"/>
        <v>10200000</v>
      </c>
      <c r="L1607" s="1060">
        <f t="shared" si="1012"/>
        <v>1</v>
      </c>
      <c r="M1607" s="1060">
        <f t="shared" si="1013"/>
        <v>0</v>
      </c>
      <c r="N1607" s="1060">
        <f t="shared" si="1014"/>
        <v>0</v>
      </c>
      <c r="O1607" s="1060">
        <f t="shared" si="1015"/>
        <v>0</v>
      </c>
      <c r="P1607" s="1060">
        <f t="shared" si="1016"/>
        <v>0</v>
      </c>
    </row>
    <row r="1608" spans="1:16" x14ac:dyDescent="0.25">
      <c r="A1608" s="1039">
        <v>1964</v>
      </c>
      <c r="B1608" s="1039">
        <f t="shared" si="774"/>
        <v>6</v>
      </c>
      <c r="C1608" s="1039" t="str">
        <f t="shared" si="1007"/>
        <v>ANA FITRIYANA</v>
      </c>
      <c r="D1608" s="1040" t="str">
        <f t="shared" si="1008"/>
        <v>PBA-1</v>
      </c>
      <c r="E1608" s="1041">
        <f t="shared" si="1009"/>
        <v>2020</v>
      </c>
      <c r="F1608" s="1040" t="str">
        <f t="shared" si="1010"/>
        <v>AKTIF</v>
      </c>
      <c r="G1608" s="1082">
        <f t="shared" si="1011"/>
        <v>203206020006</v>
      </c>
      <c r="H1608" s="1042">
        <f t="shared" si="978"/>
        <v>6450000</v>
      </c>
      <c r="I1608" s="1042">
        <f t="shared" si="979"/>
        <v>3750000</v>
      </c>
      <c r="J1608" s="1042">
        <f t="shared" si="977"/>
        <v>10200000</v>
      </c>
      <c r="L1608" s="1060">
        <f t="shared" si="1012"/>
        <v>1</v>
      </c>
      <c r="M1608" s="1060">
        <f t="shared" si="1013"/>
        <v>0</v>
      </c>
      <c r="N1608" s="1060">
        <f t="shared" si="1014"/>
        <v>0</v>
      </c>
      <c r="O1608" s="1060">
        <f t="shared" si="1015"/>
        <v>0</v>
      </c>
      <c r="P1608" s="1060">
        <f t="shared" si="1016"/>
        <v>0</v>
      </c>
    </row>
    <row r="1609" spans="1:16" x14ac:dyDescent="0.25">
      <c r="A1609" s="1039">
        <v>1965</v>
      </c>
      <c r="B1609" s="1039">
        <f t="shared" ref="B1609:B1613" si="1017">IFERROR(VLOOKUP(A1609,DB,2,FALSE),"")</f>
        <v>7</v>
      </c>
      <c r="C1609" s="1039" t="str">
        <f t="shared" si="1007"/>
        <v>ANIS FATUS SHOLEKHAH</v>
      </c>
      <c r="D1609" s="1040" t="str">
        <f t="shared" si="1008"/>
        <v>PBA-1</v>
      </c>
      <c r="E1609" s="1041">
        <f t="shared" si="1009"/>
        <v>2020</v>
      </c>
      <c r="F1609" s="1040" t="str">
        <f t="shared" si="1010"/>
        <v>AKTIF</v>
      </c>
      <c r="G1609" s="1082">
        <f t="shared" si="1011"/>
        <v>203206020007</v>
      </c>
      <c r="H1609" s="1042">
        <f t="shared" ref="H1609:H1613" si="1018">IF(F1609="AKTIF",6450000,IF(F1609="CUTI",3000000,0))</f>
        <v>6450000</v>
      </c>
      <c r="I1609" s="1042">
        <f t="shared" ref="I1609:I1613" si="1019">IF(F1609="AKTIF",3750000,IF(F1609="CUTI",3000000,0))</f>
        <v>3750000</v>
      </c>
      <c r="J1609" s="1042">
        <f t="shared" ref="J1609:J1613" si="1020">I1609+H1609</f>
        <v>10200000</v>
      </c>
      <c r="L1609" s="1060">
        <f t="shared" ref="L1609:L1613" si="1021">IF(F1609="AKTIF",1,0)</f>
        <v>1</v>
      </c>
      <c r="M1609" s="1060">
        <f t="shared" ref="M1609:M1613" si="1022">IF(F1609="LULUS",1,0)</f>
        <v>0</v>
      </c>
      <c r="N1609" s="1060">
        <f t="shared" ref="N1609:N1613" si="1023">IF(F1609="CUTI",1,0)</f>
        <v>0</v>
      </c>
      <c r="O1609" s="1060">
        <f t="shared" ref="O1609:O1613" si="1024">IF(F1609="DROP OUT",1,0)</f>
        <v>0</v>
      </c>
      <c r="P1609" s="1060">
        <f t="shared" ref="P1609:P1613" si="1025">IF(F1609="PASIF",1,0)</f>
        <v>0</v>
      </c>
    </row>
    <row r="1610" spans="1:16" x14ac:dyDescent="0.25">
      <c r="A1610" s="1039">
        <v>1966</v>
      </c>
      <c r="B1610" s="1039">
        <f t="shared" si="1017"/>
        <v>8</v>
      </c>
      <c r="C1610" s="1039" t="str">
        <f t="shared" si="1007"/>
        <v>DZAWIL ALBAB</v>
      </c>
      <c r="D1610" s="1040" t="str">
        <f t="shared" si="1008"/>
        <v>PBA-1</v>
      </c>
      <c r="E1610" s="1041">
        <f t="shared" si="1009"/>
        <v>2020</v>
      </c>
      <c r="F1610" s="1040" t="str">
        <f t="shared" si="1010"/>
        <v>AKTIF</v>
      </c>
      <c r="G1610" s="1082">
        <f t="shared" si="1011"/>
        <v>203206020008</v>
      </c>
      <c r="H1610" s="1042">
        <f t="shared" si="1018"/>
        <v>6450000</v>
      </c>
      <c r="I1610" s="1042">
        <f t="shared" si="1019"/>
        <v>3750000</v>
      </c>
      <c r="J1610" s="1042">
        <f t="shared" si="1020"/>
        <v>10200000</v>
      </c>
      <c r="L1610" s="1060">
        <f t="shared" si="1021"/>
        <v>1</v>
      </c>
      <c r="M1610" s="1060">
        <f t="shared" si="1022"/>
        <v>0</v>
      </c>
      <c r="N1610" s="1060">
        <f t="shared" si="1023"/>
        <v>0</v>
      </c>
      <c r="O1610" s="1060">
        <f t="shared" si="1024"/>
        <v>0</v>
      </c>
      <c r="P1610" s="1060">
        <f t="shared" si="1025"/>
        <v>0</v>
      </c>
    </row>
    <row r="1611" spans="1:16" x14ac:dyDescent="0.25">
      <c r="A1611" s="1039">
        <v>1967</v>
      </c>
      <c r="B1611" s="1039">
        <f t="shared" si="1017"/>
        <v>9</v>
      </c>
      <c r="C1611" s="1039" t="str">
        <f t="shared" si="1007"/>
        <v>ITA NUR ISTIQOMAH</v>
      </c>
      <c r="D1611" s="1040" t="str">
        <f t="shared" si="1008"/>
        <v>PBA-1</v>
      </c>
      <c r="E1611" s="1041">
        <f t="shared" si="1009"/>
        <v>2020</v>
      </c>
      <c r="F1611" s="1040" t="str">
        <f t="shared" si="1010"/>
        <v>AKTIF</v>
      </c>
      <c r="G1611" s="1082">
        <f t="shared" si="1011"/>
        <v>203206020009</v>
      </c>
      <c r="H1611" s="1042">
        <f t="shared" si="1018"/>
        <v>6450000</v>
      </c>
      <c r="I1611" s="1042">
        <f t="shared" si="1019"/>
        <v>3750000</v>
      </c>
      <c r="J1611" s="1042">
        <f t="shared" si="1020"/>
        <v>10200000</v>
      </c>
      <c r="L1611" s="1060">
        <f t="shared" si="1021"/>
        <v>1</v>
      </c>
      <c r="M1611" s="1060">
        <f t="shared" si="1022"/>
        <v>0</v>
      </c>
      <c r="N1611" s="1060">
        <f t="shared" si="1023"/>
        <v>0</v>
      </c>
      <c r="O1611" s="1060">
        <f t="shared" si="1024"/>
        <v>0</v>
      </c>
      <c r="P1611" s="1060">
        <f t="shared" si="1025"/>
        <v>0</v>
      </c>
    </row>
    <row r="1612" spans="1:16" x14ac:dyDescent="0.25">
      <c r="A1612" s="1039">
        <v>1968</v>
      </c>
      <c r="B1612" s="1039">
        <f t="shared" si="1017"/>
        <v>10</v>
      </c>
      <c r="C1612" s="1039" t="str">
        <f t="shared" si="1007"/>
        <v>MIFTAHUS SA'DIYAH</v>
      </c>
      <c r="D1612" s="1040" t="str">
        <f t="shared" si="1008"/>
        <v>PBA-1</v>
      </c>
      <c r="E1612" s="1041">
        <f t="shared" si="1009"/>
        <v>2020</v>
      </c>
      <c r="F1612" s="1040" t="str">
        <f t="shared" si="1010"/>
        <v>AKTIF</v>
      </c>
      <c r="G1612" s="1082">
        <f t="shared" si="1011"/>
        <v>203206020010</v>
      </c>
      <c r="H1612" s="1042">
        <f t="shared" si="1018"/>
        <v>6450000</v>
      </c>
      <c r="I1612" s="1042">
        <f t="shared" si="1019"/>
        <v>3750000</v>
      </c>
      <c r="J1612" s="1042">
        <f t="shared" si="1020"/>
        <v>10200000</v>
      </c>
      <c r="L1612" s="1060">
        <f t="shared" si="1021"/>
        <v>1</v>
      </c>
      <c r="M1612" s="1060">
        <f t="shared" si="1022"/>
        <v>0</v>
      </c>
      <c r="N1612" s="1060">
        <f t="shared" si="1023"/>
        <v>0</v>
      </c>
      <c r="O1612" s="1060">
        <f t="shared" si="1024"/>
        <v>0</v>
      </c>
      <c r="P1612" s="1060">
        <f t="shared" si="1025"/>
        <v>0</v>
      </c>
    </row>
    <row r="1613" spans="1:16" x14ac:dyDescent="0.25">
      <c r="A1613" s="1039">
        <v>1969</v>
      </c>
      <c r="B1613" s="1039">
        <f t="shared" si="1017"/>
        <v>11</v>
      </c>
      <c r="C1613" s="1039" t="str">
        <f t="shared" si="1007"/>
        <v>MOH. ALI MAHDI ILMI</v>
      </c>
      <c r="D1613" s="1040" t="str">
        <f t="shared" si="1008"/>
        <v>PBA-1</v>
      </c>
      <c r="E1613" s="1041">
        <f t="shared" si="1009"/>
        <v>2020</v>
      </c>
      <c r="F1613" s="1040" t="str">
        <f t="shared" si="1010"/>
        <v>AKTIF</v>
      </c>
      <c r="G1613" s="1082">
        <f t="shared" si="1011"/>
        <v>203206020011</v>
      </c>
      <c r="H1613" s="1042">
        <f t="shared" si="1018"/>
        <v>6450000</v>
      </c>
      <c r="I1613" s="1042">
        <f t="shared" si="1019"/>
        <v>3750000</v>
      </c>
      <c r="J1613" s="1042">
        <f t="shared" si="1020"/>
        <v>10200000</v>
      </c>
      <c r="L1613" s="1060">
        <f t="shared" si="1021"/>
        <v>1</v>
      </c>
      <c r="M1613" s="1060">
        <f t="shared" si="1022"/>
        <v>0</v>
      </c>
      <c r="N1613" s="1060">
        <f t="shared" si="1023"/>
        <v>0</v>
      </c>
      <c r="O1613" s="1060">
        <f t="shared" si="1024"/>
        <v>0</v>
      </c>
      <c r="P1613" s="1060">
        <f t="shared" si="1025"/>
        <v>0</v>
      </c>
    </row>
    <row r="1614" spans="1:16" x14ac:dyDescent="0.25">
      <c r="A1614" s="1039">
        <v>1970</v>
      </c>
      <c r="B1614" s="1039">
        <f t="shared" si="774"/>
        <v>12</v>
      </c>
      <c r="C1614" s="1039" t="str">
        <f t="shared" si="1007"/>
        <v>MUHAMMAD SOFANUDIN TOHIR</v>
      </c>
      <c r="D1614" s="1040" t="str">
        <f t="shared" si="1008"/>
        <v>PBA-1</v>
      </c>
      <c r="E1614" s="1041">
        <f t="shared" si="1009"/>
        <v>2020</v>
      </c>
      <c r="F1614" s="1040" t="str">
        <f t="shared" si="1010"/>
        <v>AKTIF</v>
      </c>
      <c r="G1614" s="1082">
        <f t="shared" si="1011"/>
        <v>203206020012</v>
      </c>
      <c r="H1614" s="1042">
        <f t="shared" si="978"/>
        <v>6450000</v>
      </c>
      <c r="I1614" s="1042">
        <f t="shared" si="979"/>
        <v>3750000</v>
      </c>
      <c r="J1614" s="1042">
        <f t="shared" si="977"/>
        <v>10200000</v>
      </c>
      <c r="L1614" s="1060">
        <f t="shared" si="1012"/>
        <v>1</v>
      </c>
      <c r="M1614" s="1060">
        <f t="shared" si="1013"/>
        <v>0</v>
      </c>
      <c r="N1614" s="1060">
        <f t="shared" si="1014"/>
        <v>0</v>
      </c>
      <c r="O1614" s="1060">
        <f t="shared" si="1015"/>
        <v>0</v>
      </c>
      <c r="P1614" s="1060">
        <f t="shared" si="1016"/>
        <v>0</v>
      </c>
    </row>
    <row r="1615" spans="1:16" x14ac:dyDescent="0.25">
      <c r="A1615" s="1039">
        <v>1971</v>
      </c>
      <c r="B1615" s="1039">
        <f t="shared" si="774"/>
        <v>13</v>
      </c>
      <c r="C1615" s="1039" t="str">
        <f t="shared" si="1007"/>
        <v>RIA SAFITRI</v>
      </c>
      <c r="D1615" s="1040" t="str">
        <f t="shared" si="1008"/>
        <v>PBA-1</v>
      </c>
      <c r="E1615" s="1041">
        <f t="shared" si="1009"/>
        <v>2020</v>
      </c>
      <c r="F1615" s="1040" t="str">
        <f t="shared" si="1010"/>
        <v>AKTIF</v>
      </c>
      <c r="G1615" s="1082">
        <f t="shared" si="1011"/>
        <v>203206020013</v>
      </c>
      <c r="H1615" s="1042">
        <f t="shared" si="978"/>
        <v>6450000</v>
      </c>
      <c r="I1615" s="1042">
        <f t="shared" si="979"/>
        <v>3750000</v>
      </c>
      <c r="J1615" s="1042">
        <f t="shared" si="977"/>
        <v>10200000</v>
      </c>
      <c r="L1615" s="1060">
        <f t="shared" si="1012"/>
        <v>1</v>
      </c>
      <c r="M1615" s="1060">
        <f t="shared" si="1013"/>
        <v>0</v>
      </c>
      <c r="N1615" s="1060">
        <f t="shared" si="1014"/>
        <v>0</v>
      </c>
      <c r="O1615" s="1060">
        <f t="shared" si="1015"/>
        <v>0</v>
      </c>
      <c r="P1615" s="1060">
        <f t="shared" si="1016"/>
        <v>0</v>
      </c>
    </row>
    <row r="1616" spans="1:16" x14ac:dyDescent="0.25">
      <c r="A1616" s="1039">
        <v>1972</v>
      </c>
      <c r="B1616" s="1039">
        <f t="shared" ref="B1616:B1621" si="1026">IFERROR(VLOOKUP(A1616,DB,2,FALSE),"")</f>
        <v>14</v>
      </c>
      <c r="C1616" s="1039" t="str">
        <f t="shared" si="1007"/>
        <v>ROSYID RIDHO</v>
      </c>
      <c r="D1616" s="1040" t="str">
        <f t="shared" si="1008"/>
        <v>PBA-1</v>
      </c>
      <c r="E1616" s="1041">
        <f t="shared" si="1009"/>
        <v>2020</v>
      </c>
      <c r="F1616" s="1040" t="str">
        <f t="shared" si="1010"/>
        <v>AKTIF</v>
      </c>
      <c r="G1616" s="1082">
        <f t="shared" si="1011"/>
        <v>203206020014</v>
      </c>
      <c r="H1616" s="1042">
        <f t="shared" ref="H1616:H1621" si="1027">IF(F1616="AKTIF",6450000,IF(F1616="CUTI",3000000,0))</f>
        <v>6450000</v>
      </c>
      <c r="I1616" s="1042">
        <f t="shared" ref="I1616:I1621" si="1028">IF(F1616="AKTIF",3750000,IF(F1616="CUTI",3000000,0))</f>
        <v>3750000</v>
      </c>
      <c r="J1616" s="1042">
        <f t="shared" ref="J1616:J1621" si="1029">I1616+H1616</f>
        <v>10200000</v>
      </c>
      <c r="L1616" s="1060">
        <f t="shared" si="1012"/>
        <v>1</v>
      </c>
      <c r="M1616" s="1060">
        <f t="shared" si="1013"/>
        <v>0</v>
      </c>
      <c r="N1616" s="1060">
        <f t="shared" si="1014"/>
        <v>0</v>
      </c>
      <c r="O1616" s="1060">
        <f t="shared" si="1015"/>
        <v>0</v>
      </c>
      <c r="P1616" s="1060">
        <f t="shared" si="1016"/>
        <v>0</v>
      </c>
    </row>
    <row r="1617" spans="1:16" x14ac:dyDescent="0.25">
      <c r="A1617" s="1039">
        <v>1973</v>
      </c>
      <c r="B1617" s="1039">
        <f t="shared" si="1026"/>
        <v>15</v>
      </c>
      <c r="C1617" s="1039" t="str">
        <f t="shared" si="1007"/>
        <v>SITI GHITSNA NAILY NASYITHOH</v>
      </c>
      <c r="D1617" s="1040" t="str">
        <f t="shared" si="1008"/>
        <v>PBA-1</v>
      </c>
      <c r="E1617" s="1041">
        <f t="shared" si="1009"/>
        <v>2020</v>
      </c>
      <c r="F1617" s="1040" t="str">
        <f t="shared" si="1010"/>
        <v>AKTIF</v>
      </c>
      <c r="G1617" s="1082">
        <f t="shared" si="1011"/>
        <v>203206020015</v>
      </c>
      <c r="H1617" s="1042">
        <f t="shared" si="1027"/>
        <v>6450000</v>
      </c>
      <c r="I1617" s="1042">
        <f t="shared" si="1028"/>
        <v>3750000</v>
      </c>
      <c r="J1617" s="1042">
        <f t="shared" si="1029"/>
        <v>10200000</v>
      </c>
      <c r="L1617" s="1060">
        <f t="shared" si="1012"/>
        <v>1</v>
      </c>
      <c r="M1617" s="1060">
        <f t="shared" si="1013"/>
        <v>0</v>
      </c>
      <c r="N1617" s="1060">
        <f t="shared" si="1014"/>
        <v>0</v>
      </c>
      <c r="O1617" s="1060">
        <f t="shared" si="1015"/>
        <v>0</v>
      </c>
      <c r="P1617" s="1060">
        <f t="shared" si="1016"/>
        <v>0</v>
      </c>
    </row>
    <row r="1618" spans="1:16" x14ac:dyDescent="0.25">
      <c r="A1618" s="1039">
        <v>1974</v>
      </c>
      <c r="B1618" s="1039">
        <f t="shared" si="1026"/>
        <v>16</v>
      </c>
      <c r="C1618" s="1039" t="str">
        <f t="shared" si="1007"/>
        <v>SITI MASRIFAH NUR AINI</v>
      </c>
      <c r="D1618" s="1040" t="str">
        <f t="shared" si="1008"/>
        <v>PBA-1</v>
      </c>
      <c r="E1618" s="1041">
        <f t="shared" si="1009"/>
        <v>2020</v>
      </c>
      <c r="F1618" s="1040" t="str">
        <f t="shared" si="1010"/>
        <v>AKTIF</v>
      </c>
      <c r="G1618" s="1082">
        <f t="shared" si="1011"/>
        <v>203206020016</v>
      </c>
      <c r="H1618" s="1042">
        <f t="shared" si="1027"/>
        <v>6450000</v>
      </c>
      <c r="I1618" s="1042">
        <f t="shared" si="1028"/>
        <v>3750000</v>
      </c>
      <c r="J1618" s="1042">
        <f t="shared" si="1029"/>
        <v>10200000</v>
      </c>
      <c r="L1618" s="1060">
        <f t="shared" si="1012"/>
        <v>1</v>
      </c>
      <c r="M1618" s="1060">
        <f t="shared" si="1013"/>
        <v>0</v>
      </c>
      <c r="N1618" s="1060">
        <f t="shared" si="1014"/>
        <v>0</v>
      </c>
      <c r="O1618" s="1060">
        <f t="shared" si="1015"/>
        <v>0</v>
      </c>
      <c r="P1618" s="1060">
        <f t="shared" si="1016"/>
        <v>0</v>
      </c>
    </row>
    <row r="1619" spans="1:16" x14ac:dyDescent="0.25">
      <c r="A1619" s="1039">
        <v>1975</v>
      </c>
      <c r="B1619" s="1039">
        <f t="shared" si="1026"/>
        <v>17</v>
      </c>
      <c r="C1619" s="1039" t="str">
        <f t="shared" si="1007"/>
        <v>THOYIB</v>
      </c>
      <c r="D1619" s="1040" t="str">
        <f t="shared" si="1008"/>
        <v>PBA-1</v>
      </c>
      <c r="E1619" s="1041">
        <f t="shared" si="1009"/>
        <v>2020</v>
      </c>
      <c r="F1619" s="1040" t="str">
        <f t="shared" si="1010"/>
        <v>AKTIF</v>
      </c>
      <c r="G1619" s="1082">
        <f t="shared" si="1011"/>
        <v>203206020017</v>
      </c>
      <c r="H1619" s="1042">
        <f t="shared" si="1027"/>
        <v>6450000</v>
      </c>
      <c r="I1619" s="1042">
        <f t="shared" si="1028"/>
        <v>3750000</v>
      </c>
      <c r="J1619" s="1042">
        <f t="shared" si="1029"/>
        <v>10200000</v>
      </c>
      <c r="L1619" s="1060">
        <f t="shared" si="1012"/>
        <v>1</v>
      </c>
      <c r="M1619" s="1060">
        <f t="shared" si="1013"/>
        <v>0</v>
      </c>
      <c r="N1619" s="1060">
        <f t="shared" si="1014"/>
        <v>0</v>
      </c>
      <c r="O1619" s="1060">
        <f t="shared" si="1015"/>
        <v>0</v>
      </c>
      <c r="P1619" s="1060">
        <f t="shared" si="1016"/>
        <v>0</v>
      </c>
    </row>
    <row r="1620" spans="1:16" x14ac:dyDescent="0.25">
      <c r="A1620" s="1039">
        <v>1976</v>
      </c>
      <c r="B1620" s="1039">
        <f t="shared" si="1026"/>
        <v>18</v>
      </c>
      <c r="C1620" s="1039" t="str">
        <f t="shared" si="1007"/>
        <v>ZULFA NUR IKHWAN</v>
      </c>
      <c r="D1620" s="1040" t="str">
        <f t="shared" si="1008"/>
        <v>PBA-1</v>
      </c>
      <c r="E1620" s="1041">
        <f t="shared" si="1009"/>
        <v>2020</v>
      </c>
      <c r="F1620" s="1040" t="str">
        <f t="shared" si="1010"/>
        <v>AKTIF</v>
      </c>
      <c r="G1620" s="1082">
        <f t="shared" si="1011"/>
        <v>203206020018</v>
      </c>
      <c r="H1620" s="1042">
        <f t="shared" si="1027"/>
        <v>6450000</v>
      </c>
      <c r="I1620" s="1042">
        <f t="shared" si="1028"/>
        <v>3750000</v>
      </c>
      <c r="J1620" s="1042">
        <f t="shared" si="1029"/>
        <v>10200000</v>
      </c>
      <c r="L1620" s="1060">
        <f t="shared" si="1012"/>
        <v>1</v>
      </c>
      <c r="M1620" s="1060">
        <f t="shared" si="1013"/>
        <v>0</v>
      </c>
      <c r="N1620" s="1060">
        <f t="shared" si="1014"/>
        <v>0</v>
      </c>
      <c r="O1620" s="1060">
        <f t="shared" si="1015"/>
        <v>0</v>
      </c>
      <c r="P1620" s="1060">
        <f t="shared" si="1016"/>
        <v>0</v>
      </c>
    </row>
    <row r="1621" spans="1:16" x14ac:dyDescent="0.25">
      <c r="A1621" s="1039">
        <v>1977</v>
      </c>
      <c r="B1621" s="1039">
        <f t="shared" si="1026"/>
        <v>19</v>
      </c>
      <c r="C1621" s="1039" t="str">
        <f t="shared" si="1007"/>
        <v>ACHMAD SYAIFUJI</v>
      </c>
      <c r="D1621" s="1040" t="str">
        <f t="shared" si="1008"/>
        <v>PBA-1</v>
      </c>
      <c r="E1621" s="1041">
        <f t="shared" si="1009"/>
        <v>2020</v>
      </c>
      <c r="F1621" s="1040" t="str">
        <f t="shared" si="1010"/>
        <v>AKTIF</v>
      </c>
      <c r="G1621" s="1082">
        <f t="shared" si="1011"/>
        <v>203206020019</v>
      </c>
      <c r="H1621" s="1042">
        <f t="shared" si="1027"/>
        <v>6450000</v>
      </c>
      <c r="I1621" s="1042">
        <f t="shared" si="1028"/>
        <v>3750000</v>
      </c>
      <c r="J1621" s="1042">
        <f t="shared" si="1029"/>
        <v>10200000</v>
      </c>
      <c r="L1621" s="1060">
        <f t="shared" si="1012"/>
        <v>1</v>
      </c>
      <c r="M1621" s="1060">
        <f t="shared" si="1013"/>
        <v>0</v>
      </c>
      <c r="N1621" s="1060">
        <f t="shared" si="1014"/>
        <v>0</v>
      </c>
      <c r="O1621" s="1060">
        <f t="shared" si="1015"/>
        <v>0</v>
      </c>
      <c r="P1621" s="1060">
        <f t="shared" si="1016"/>
        <v>0</v>
      </c>
    </row>
    <row r="1622" spans="1:16" x14ac:dyDescent="0.25">
      <c r="A1622" s="1039">
        <v>1978</v>
      </c>
      <c r="B1622" s="1039">
        <f t="shared" si="774"/>
        <v>20</v>
      </c>
      <c r="C1622" s="1039" t="str">
        <f t="shared" si="1007"/>
        <v>AHMAD SYAHID ARIFIN</v>
      </c>
      <c r="D1622" s="1040" t="str">
        <f t="shared" si="1008"/>
        <v>PBA-1</v>
      </c>
      <c r="E1622" s="1041">
        <f t="shared" si="1009"/>
        <v>2020</v>
      </c>
      <c r="F1622" s="1040" t="str">
        <f t="shared" si="1010"/>
        <v>AKTIF</v>
      </c>
      <c r="G1622" s="1082">
        <f t="shared" si="1011"/>
        <v>203206020020</v>
      </c>
      <c r="H1622" s="1042">
        <f t="shared" si="978"/>
        <v>6450000</v>
      </c>
      <c r="I1622" s="1042">
        <f t="shared" si="979"/>
        <v>3750000</v>
      </c>
      <c r="J1622" s="1042">
        <f t="shared" si="977"/>
        <v>10200000</v>
      </c>
      <c r="L1622" s="1060">
        <f t="shared" si="1012"/>
        <v>1</v>
      </c>
      <c r="M1622" s="1060">
        <f t="shared" si="1013"/>
        <v>0</v>
      </c>
      <c r="N1622" s="1060">
        <f t="shared" si="1014"/>
        <v>0</v>
      </c>
      <c r="O1622" s="1060">
        <f t="shared" si="1015"/>
        <v>0</v>
      </c>
      <c r="P1622" s="1060">
        <f t="shared" si="1016"/>
        <v>0</v>
      </c>
    </row>
    <row r="1623" spans="1:16" x14ac:dyDescent="0.25">
      <c r="A1623" s="1039"/>
      <c r="B1623" s="1039"/>
      <c r="C1623" s="1039"/>
      <c r="D1623" s="1040"/>
      <c r="E1623" s="1041"/>
      <c r="F1623" s="1040"/>
      <c r="G1623" s="1041"/>
      <c r="H1623" s="1042"/>
      <c r="I1623" s="1042"/>
      <c r="J1623" s="1042"/>
    </row>
    <row r="1624" spans="1:16" x14ac:dyDescent="0.25">
      <c r="A1624" s="1076" t="str">
        <f>'Rekap SPP'!A2152</f>
        <v>S2-ES 2020/2021</v>
      </c>
      <c r="B1624" s="1077"/>
      <c r="C1624" s="1077"/>
      <c r="D1624" s="1033" t="s">
        <v>3</v>
      </c>
      <c r="E1624" s="1032" t="s">
        <v>4</v>
      </c>
      <c r="F1624" s="1033" t="s">
        <v>3195</v>
      </c>
      <c r="G1624" s="1032" t="s">
        <v>1</v>
      </c>
      <c r="H1624" s="1033" t="s">
        <v>3362</v>
      </c>
      <c r="I1624" s="1033" t="s">
        <v>3363</v>
      </c>
      <c r="J1624" s="1062">
        <f>SUM(J1655:J1727)</f>
        <v>5080800000</v>
      </c>
      <c r="L1624" s="1063">
        <f>SUM(L1625:L1655)</f>
        <v>31</v>
      </c>
      <c r="M1624" s="1063">
        <f>SUM(M1625:M1655)</f>
        <v>0</v>
      </c>
      <c r="N1624" s="1063">
        <f>SUM(N1625:N1655)</f>
        <v>0</v>
      </c>
      <c r="O1624" s="1063">
        <f>SUM(O1625:O1655)</f>
        <v>0</v>
      </c>
      <c r="P1624" s="1063">
        <f>SUM(P1625:P1655)</f>
        <v>0</v>
      </c>
    </row>
    <row r="1625" spans="1:16" x14ac:dyDescent="0.25">
      <c r="A1625" s="1039">
        <v>1979</v>
      </c>
      <c r="B1625" s="1039">
        <f t="shared" ref="B1625:B1634" si="1030">IFERROR(VLOOKUP(A1625,DB,2,FALSE),"")</f>
        <v>1</v>
      </c>
      <c r="C1625" s="1039" t="str">
        <f t="shared" ref="C1625:C1655" si="1031">IFERROR(VLOOKUP(A1625,DB,4,FALSE),"")</f>
        <v>ABDUL KHOLIQ</v>
      </c>
      <c r="D1625" s="1040" t="str">
        <f t="shared" ref="D1625:D1655" si="1032">IFERROR(VLOOKUP(A1625,DB,5,FALSE),"")</f>
        <v>ES-1A</v>
      </c>
      <c r="E1625" s="1041">
        <f t="shared" ref="E1625:E1655" si="1033">IFERROR(VLOOKUP(A1625,DB,6,FALSE),"")</f>
        <v>2020</v>
      </c>
      <c r="F1625" s="1040" t="str">
        <f t="shared" ref="F1625:F1655" si="1034">IFERROR(VLOOKUP(A1625,DB,7,FALSE),"")</f>
        <v>AKTIF</v>
      </c>
      <c r="G1625" s="1082">
        <f t="shared" ref="G1625:G1655" si="1035">IFERROR(VLOOKUP(A1625,DB,3,FALSE),"")</f>
        <v>203206060001</v>
      </c>
      <c r="H1625" s="1042">
        <f t="shared" ref="H1625:H1634" si="1036">IF(F1625="AKTIF",6450000,IF(F1625="CUTI",3000000,0))</f>
        <v>6450000</v>
      </c>
      <c r="I1625" s="1042">
        <f t="shared" ref="I1625:I1634" si="1037">IF(F1625="AKTIF",3750000,IF(F1625="CUTI",3000000,0))</f>
        <v>3750000</v>
      </c>
      <c r="J1625" s="1042">
        <f t="shared" ref="J1625:J1634" si="1038">I1625+H1625</f>
        <v>10200000</v>
      </c>
      <c r="L1625" s="1060">
        <f t="shared" ref="L1625" si="1039">IF(F1625="AKTIF",1,0)</f>
        <v>1</v>
      </c>
      <c r="M1625" s="1060">
        <f t="shared" ref="M1625" si="1040">IF(F1625="LULUS",1,0)</f>
        <v>0</v>
      </c>
      <c r="N1625" s="1060">
        <f t="shared" ref="N1625" si="1041">IF(F1625="CUTI",1,0)</f>
        <v>0</v>
      </c>
      <c r="O1625" s="1060">
        <f t="shared" ref="O1625" si="1042">IF(F1625="DROP OUT",1,0)</f>
        <v>0</v>
      </c>
      <c r="P1625" s="1060">
        <f t="shared" ref="P1625" si="1043">IF(F1625="PASIF",1,0)</f>
        <v>0</v>
      </c>
    </row>
    <row r="1626" spans="1:16" x14ac:dyDescent="0.25">
      <c r="A1626" s="1039">
        <v>1980</v>
      </c>
      <c r="B1626" s="1039">
        <f t="shared" si="1030"/>
        <v>2</v>
      </c>
      <c r="C1626" s="1039" t="str">
        <f t="shared" si="1031"/>
        <v>ABU YAZID AL BASTOMI</v>
      </c>
      <c r="D1626" s="1040" t="str">
        <f t="shared" si="1032"/>
        <v>ES-1A</v>
      </c>
      <c r="E1626" s="1041">
        <f t="shared" si="1033"/>
        <v>2020</v>
      </c>
      <c r="F1626" s="1040" t="str">
        <f t="shared" si="1034"/>
        <v>AKTIF</v>
      </c>
      <c r="G1626" s="1082">
        <f t="shared" si="1035"/>
        <v>203206060002</v>
      </c>
      <c r="H1626" s="1042">
        <f t="shared" si="1036"/>
        <v>6450000</v>
      </c>
      <c r="I1626" s="1042">
        <f t="shared" si="1037"/>
        <v>3750000</v>
      </c>
      <c r="J1626" s="1042">
        <f t="shared" si="1038"/>
        <v>10200000</v>
      </c>
      <c r="L1626" s="1060">
        <f t="shared" ref="L1626:L1655" si="1044">IF(F1626="AKTIF",1,0)</f>
        <v>1</v>
      </c>
      <c r="M1626" s="1060">
        <f t="shared" ref="M1626:M1655" si="1045">IF(F1626="LULUS",1,0)</f>
        <v>0</v>
      </c>
      <c r="N1626" s="1060">
        <f t="shared" ref="N1626:N1655" si="1046">IF(F1626="CUTI",1,0)</f>
        <v>0</v>
      </c>
      <c r="O1626" s="1060">
        <f t="shared" ref="O1626:O1655" si="1047">IF(F1626="DROP OUT",1,0)</f>
        <v>0</v>
      </c>
      <c r="P1626" s="1060">
        <f t="shared" ref="P1626:P1655" si="1048">IF(F1626="PASIF",1,0)</f>
        <v>0</v>
      </c>
    </row>
    <row r="1627" spans="1:16" x14ac:dyDescent="0.25">
      <c r="A1627" s="1039">
        <v>1981</v>
      </c>
      <c r="B1627" s="1039">
        <f t="shared" si="1030"/>
        <v>3</v>
      </c>
      <c r="C1627" s="1039" t="str">
        <f t="shared" si="1031"/>
        <v>AFRILA SHOLIHAH</v>
      </c>
      <c r="D1627" s="1040" t="str">
        <f t="shared" si="1032"/>
        <v>ES-1A</v>
      </c>
      <c r="E1627" s="1041">
        <f t="shared" si="1033"/>
        <v>2020</v>
      </c>
      <c r="F1627" s="1040" t="str">
        <f t="shared" si="1034"/>
        <v>AKTIF</v>
      </c>
      <c r="G1627" s="1082">
        <f t="shared" si="1035"/>
        <v>203206060003</v>
      </c>
      <c r="H1627" s="1042">
        <f t="shared" si="1036"/>
        <v>6450000</v>
      </c>
      <c r="I1627" s="1042">
        <f t="shared" si="1037"/>
        <v>3750000</v>
      </c>
      <c r="J1627" s="1042">
        <f t="shared" si="1038"/>
        <v>10200000</v>
      </c>
      <c r="L1627" s="1060">
        <f t="shared" si="1044"/>
        <v>1</v>
      </c>
      <c r="M1627" s="1060">
        <f t="shared" si="1045"/>
        <v>0</v>
      </c>
      <c r="N1627" s="1060">
        <f t="shared" si="1046"/>
        <v>0</v>
      </c>
      <c r="O1627" s="1060">
        <f t="shared" si="1047"/>
        <v>0</v>
      </c>
      <c r="P1627" s="1060">
        <f t="shared" si="1048"/>
        <v>0</v>
      </c>
    </row>
    <row r="1628" spans="1:16" x14ac:dyDescent="0.25">
      <c r="A1628" s="1039">
        <v>1982</v>
      </c>
      <c r="B1628" s="1039">
        <f t="shared" si="1030"/>
        <v>4</v>
      </c>
      <c r="C1628" s="1039" t="str">
        <f t="shared" si="1031"/>
        <v>AHMAD MISBAKHUL MUNIR</v>
      </c>
      <c r="D1628" s="1040" t="str">
        <f t="shared" si="1032"/>
        <v>ES-1A</v>
      </c>
      <c r="E1628" s="1041">
        <f t="shared" si="1033"/>
        <v>2020</v>
      </c>
      <c r="F1628" s="1040" t="str">
        <f t="shared" si="1034"/>
        <v>AKTIF</v>
      </c>
      <c r="G1628" s="1082">
        <f t="shared" si="1035"/>
        <v>203206060004</v>
      </c>
      <c r="H1628" s="1042">
        <f t="shared" si="1036"/>
        <v>6450000</v>
      </c>
      <c r="I1628" s="1042">
        <f t="shared" si="1037"/>
        <v>3750000</v>
      </c>
      <c r="J1628" s="1042">
        <f t="shared" si="1038"/>
        <v>10200000</v>
      </c>
      <c r="L1628" s="1060">
        <f t="shared" si="1044"/>
        <v>1</v>
      </c>
      <c r="M1628" s="1060">
        <f t="shared" si="1045"/>
        <v>0</v>
      </c>
      <c r="N1628" s="1060">
        <f t="shared" si="1046"/>
        <v>0</v>
      </c>
      <c r="O1628" s="1060">
        <f t="shared" si="1047"/>
        <v>0</v>
      </c>
      <c r="P1628" s="1060">
        <f t="shared" si="1048"/>
        <v>0</v>
      </c>
    </row>
    <row r="1629" spans="1:16" x14ac:dyDescent="0.25">
      <c r="A1629" s="1039">
        <v>1983</v>
      </c>
      <c r="B1629" s="1039">
        <f t="shared" si="1030"/>
        <v>5</v>
      </c>
      <c r="C1629" s="1039" t="str">
        <f t="shared" si="1031"/>
        <v>AHMAD RAZIQI</v>
      </c>
      <c r="D1629" s="1040" t="str">
        <f t="shared" si="1032"/>
        <v>ES-1A</v>
      </c>
      <c r="E1629" s="1041">
        <f t="shared" si="1033"/>
        <v>2020</v>
      </c>
      <c r="F1629" s="1040" t="str">
        <f t="shared" si="1034"/>
        <v>AKTIF</v>
      </c>
      <c r="G1629" s="1082">
        <f t="shared" si="1035"/>
        <v>203206060005</v>
      </c>
      <c r="H1629" s="1042">
        <f t="shared" si="1036"/>
        <v>6450000</v>
      </c>
      <c r="I1629" s="1042">
        <f t="shared" si="1037"/>
        <v>3750000</v>
      </c>
      <c r="J1629" s="1042">
        <f t="shared" si="1038"/>
        <v>10200000</v>
      </c>
      <c r="L1629" s="1060">
        <f t="shared" si="1044"/>
        <v>1</v>
      </c>
      <c r="M1629" s="1060">
        <f t="shared" si="1045"/>
        <v>0</v>
      </c>
      <c r="N1629" s="1060">
        <f t="shared" si="1046"/>
        <v>0</v>
      </c>
      <c r="O1629" s="1060">
        <f t="shared" si="1047"/>
        <v>0</v>
      </c>
      <c r="P1629" s="1060">
        <f t="shared" si="1048"/>
        <v>0</v>
      </c>
    </row>
    <row r="1630" spans="1:16" x14ac:dyDescent="0.25">
      <c r="A1630" s="1039">
        <v>1984</v>
      </c>
      <c r="B1630" s="1039">
        <f t="shared" si="1030"/>
        <v>6</v>
      </c>
      <c r="C1630" s="1039" t="str">
        <f t="shared" si="1031"/>
        <v>AUSHOFUN NIHA</v>
      </c>
      <c r="D1630" s="1040" t="str">
        <f t="shared" si="1032"/>
        <v>ES-1A</v>
      </c>
      <c r="E1630" s="1041">
        <f t="shared" si="1033"/>
        <v>2020</v>
      </c>
      <c r="F1630" s="1040" t="str">
        <f t="shared" si="1034"/>
        <v>AKTIF</v>
      </c>
      <c r="G1630" s="1082">
        <f t="shared" si="1035"/>
        <v>203206060006</v>
      </c>
      <c r="H1630" s="1042">
        <f t="shared" si="1036"/>
        <v>6450000</v>
      </c>
      <c r="I1630" s="1042">
        <f t="shared" si="1037"/>
        <v>3750000</v>
      </c>
      <c r="J1630" s="1042">
        <f t="shared" si="1038"/>
        <v>10200000</v>
      </c>
      <c r="L1630" s="1060">
        <f t="shared" si="1044"/>
        <v>1</v>
      </c>
      <c r="M1630" s="1060">
        <f t="shared" si="1045"/>
        <v>0</v>
      </c>
      <c r="N1630" s="1060">
        <f t="shared" si="1046"/>
        <v>0</v>
      </c>
      <c r="O1630" s="1060">
        <f t="shared" si="1047"/>
        <v>0</v>
      </c>
      <c r="P1630" s="1060">
        <f t="shared" si="1048"/>
        <v>0</v>
      </c>
    </row>
    <row r="1631" spans="1:16" x14ac:dyDescent="0.25">
      <c r="A1631" s="1039">
        <v>1985</v>
      </c>
      <c r="B1631" s="1039">
        <f t="shared" si="1030"/>
        <v>7</v>
      </c>
      <c r="C1631" s="1039" t="str">
        <f t="shared" si="1031"/>
        <v>BIBIT WAHYUDI</v>
      </c>
      <c r="D1631" s="1040" t="str">
        <f t="shared" si="1032"/>
        <v>ES-1A</v>
      </c>
      <c r="E1631" s="1041">
        <f t="shared" si="1033"/>
        <v>2020</v>
      </c>
      <c r="F1631" s="1040" t="str">
        <f t="shared" si="1034"/>
        <v>AKTIF</v>
      </c>
      <c r="G1631" s="1082">
        <f t="shared" si="1035"/>
        <v>203206060007</v>
      </c>
      <c r="H1631" s="1042">
        <f t="shared" si="1036"/>
        <v>6450000</v>
      </c>
      <c r="I1631" s="1042">
        <f t="shared" si="1037"/>
        <v>3750000</v>
      </c>
      <c r="J1631" s="1042">
        <f t="shared" si="1038"/>
        <v>10200000</v>
      </c>
      <c r="L1631" s="1060">
        <f t="shared" si="1044"/>
        <v>1</v>
      </c>
      <c r="M1631" s="1060">
        <f t="shared" si="1045"/>
        <v>0</v>
      </c>
      <c r="N1631" s="1060">
        <f t="shared" si="1046"/>
        <v>0</v>
      </c>
      <c r="O1631" s="1060">
        <f t="shared" si="1047"/>
        <v>0</v>
      </c>
      <c r="P1631" s="1060">
        <f t="shared" si="1048"/>
        <v>0</v>
      </c>
    </row>
    <row r="1632" spans="1:16" x14ac:dyDescent="0.25">
      <c r="A1632" s="1039">
        <v>1986</v>
      </c>
      <c r="B1632" s="1039">
        <f t="shared" si="1030"/>
        <v>8</v>
      </c>
      <c r="C1632" s="1039" t="str">
        <f t="shared" si="1031"/>
        <v>DHIASTI EKA WULANDARI</v>
      </c>
      <c r="D1632" s="1040" t="str">
        <f t="shared" si="1032"/>
        <v>ES-1A</v>
      </c>
      <c r="E1632" s="1041">
        <f t="shared" si="1033"/>
        <v>2020</v>
      </c>
      <c r="F1632" s="1040" t="str">
        <f t="shared" si="1034"/>
        <v>AKTIF</v>
      </c>
      <c r="G1632" s="1082">
        <f t="shared" si="1035"/>
        <v>203206060008</v>
      </c>
      <c r="H1632" s="1042">
        <f t="shared" si="1036"/>
        <v>6450000</v>
      </c>
      <c r="I1632" s="1042">
        <f t="shared" si="1037"/>
        <v>3750000</v>
      </c>
      <c r="J1632" s="1042">
        <f t="shared" si="1038"/>
        <v>10200000</v>
      </c>
      <c r="L1632" s="1060">
        <f t="shared" si="1044"/>
        <v>1</v>
      </c>
      <c r="M1632" s="1060">
        <f t="shared" si="1045"/>
        <v>0</v>
      </c>
      <c r="N1632" s="1060">
        <f t="shared" si="1046"/>
        <v>0</v>
      </c>
      <c r="O1632" s="1060">
        <f t="shared" si="1047"/>
        <v>0</v>
      </c>
      <c r="P1632" s="1060">
        <f t="shared" si="1048"/>
        <v>0</v>
      </c>
    </row>
    <row r="1633" spans="1:16" x14ac:dyDescent="0.25">
      <c r="A1633" s="1039">
        <v>1987</v>
      </c>
      <c r="B1633" s="1039">
        <f t="shared" si="1030"/>
        <v>9</v>
      </c>
      <c r="C1633" s="1039" t="str">
        <f t="shared" si="1031"/>
        <v>DINY DURATUL UMMAH</v>
      </c>
      <c r="D1633" s="1040" t="str">
        <f t="shared" si="1032"/>
        <v>ES-1A</v>
      </c>
      <c r="E1633" s="1041">
        <f t="shared" si="1033"/>
        <v>2020</v>
      </c>
      <c r="F1633" s="1040" t="str">
        <f t="shared" si="1034"/>
        <v>AKTIF</v>
      </c>
      <c r="G1633" s="1082">
        <f t="shared" si="1035"/>
        <v>203206060009</v>
      </c>
      <c r="H1633" s="1042">
        <f t="shared" si="1036"/>
        <v>6450000</v>
      </c>
      <c r="I1633" s="1042">
        <f t="shared" si="1037"/>
        <v>3750000</v>
      </c>
      <c r="J1633" s="1042">
        <f t="shared" si="1038"/>
        <v>10200000</v>
      </c>
      <c r="L1633" s="1060">
        <f t="shared" si="1044"/>
        <v>1</v>
      </c>
      <c r="M1633" s="1060">
        <f t="shared" si="1045"/>
        <v>0</v>
      </c>
      <c r="N1633" s="1060">
        <f t="shared" si="1046"/>
        <v>0</v>
      </c>
      <c r="O1633" s="1060">
        <f t="shared" si="1047"/>
        <v>0</v>
      </c>
      <c r="P1633" s="1060">
        <f t="shared" si="1048"/>
        <v>0</v>
      </c>
    </row>
    <row r="1634" spans="1:16" x14ac:dyDescent="0.25">
      <c r="A1634" s="1039">
        <v>1988</v>
      </c>
      <c r="B1634" s="1039">
        <f t="shared" si="1030"/>
        <v>10</v>
      </c>
      <c r="C1634" s="1039" t="str">
        <f t="shared" si="1031"/>
        <v>FAIKOTUL KHOIRIYAH</v>
      </c>
      <c r="D1634" s="1040" t="str">
        <f t="shared" si="1032"/>
        <v>ES-1A</v>
      </c>
      <c r="E1634" s="1041">
        <f t="shared" si="1033"/>
        <v>2020</v>
      </c>
      <c r="F1634" s="1040" t="str">
        <f t="shared" si="1034"/>
        <v>AKTIF</v>
      </c>
      <c r="G1634" s="1082">
        <f t="shared" si="1035"/>
        <v>203206060010</v>
      </c>
      <c r="H1634" s="1042">
        <f t="shared" si="1036"/>
        <v>6450000</v>
      </c>
      <c r="I1634" s="1042">
        <f t="shared" si="1037"/>
        <v>3750000</v>
      </c>
      <c r="J1634" s="1042">
        <f t="shared" si="1038"/>
        <v>10200000</v>
      </c>
      <c r="L1634" s="1060">
        <f t="shared" si="1044"/>
        <v>1</v>
      </c>
      <c r="M1634" s="1060">
        <f t="shared" si="1045"/>
        <v>0</v>
      </c>
      <c r="N1634" s="1060">
        <f t="shared" si="1046"/>
        <v>0</v>
      </c>
      <c r="O1634" s="1060">
        <f t="shared" si="1047"/>
        <v>0</v>
      </c>
      <c r="P1634" s="1060">
        <f t="shared" si="1048"/>
        <v>0</v>
      </c>
    </row>
    <row r="1635" spans="1:16" x14ac:dyDescent="0.25">
      <c r="A1635" s="1039">
        <v>1989</v>
      </c>
      <c r="B1635" s="1039">
        <f t="shared" ref="B1635:B1644" si="1049">IFERROR(VLOOKUP(A1635,DB,2,FALSE),"")</f>
        <v>11</v>
      </c>
      <c r="C1635" s="1039" t="str">
        <f t="shared" si="1031"/>
        <v>FIKA HIDAYATUL MAULA</v>
      </c>
      <c r="D1635" s="1040" t="str">
        <f t="shared" si="1032"/>
        <v>ES-1A</v>
      </c>
      <c r="E1635" s="1041">
        <f t="shared" si="1033"/>
        <v>2020</v>
      </c>
      <c r="F1635" s="1040" t="str">
        <f t="shared" si="1034"/>
        <v>AKTIF</v>
      </c>
      <c r="G1635" s="1082">
        <f t="shared" si="1035"/>
        <v>203206060011</v>
      </c>
      <c r="H1635" s="1042">
        <f t="shared" ref="H1635:H1644" si="1050">IF(F1635="AKTIF",6450000,IF(F1635="CUTI",3000000,0))</f>
        <v>6450000</v>
      </c>
      <c r="I1635" s="1042">
        <f t="shared" ref="I1635:I1644" si="1051">IF(F1635="AKTIF",3750000,IF(F1635="CUTI",3000000,0))</f>
        <v>3750000</v>
      </c>
      <c r="J1635" s="1042">
        <f t="shared" ref="J1635:J1644" si="1052">I1635+H1635</f>
        <v>10200000</v>
      </c>
      <c r="L1635" s="1060">
        <f t="shared" si="1044"/>
        <v>1</v>
      </c>
      <c r="M1635" s="1060">
        <f t="shared" si="1045"/>
        <v>0</v>
      </c>
      <c r="N1635" s="1060">
        <f t="shared" si="1046"/>
        <v>0</v>
      </c>
      <c r="O1635" s="1060">
        <f t="shared" si="1047"/>
        <v>0</v>
      </c>
      <c r="P1635" s="1060">
        <f t="shared" si="1048"/>
        <v>0</v>
      </c>
    </row>
    <row r="1636" spans="1:16" x14ac:dyDescent="0.25">
      <c r="A1636" s="1039">
        <v>1990</v>
      </c>
      <c r="B1636" s="1039">
        <f t="shared" si="1049"/>
        <v>12</v>
      </c>
      <c r="C1636" s="1039" t="str">
        <f t="shared" si="1031"/>
        <v>HAMIM</v>
      </c>
      <c r="D1636" s="1040" t="str">
        <f t="shared" si="1032"/>
        <v>ES-1A</v>
      </c>
      <c r="E1636" s="1041">
        <f t="shared" si="1033"/>
        <v>2020</v>
      </c>
      <c r="F1636" s="1040" t="str">
        <f t="shared" si="1034"/>
        <v>AKTIF</v>
      </c>
      <c r="G1636" s="1082">
        <f t="shared" si="1035"/>
        <v>203206060012</v>
      </c>
      <c r="H1636" s="1042">
        <f t="shared" si="1050"/>
        <v>6450000</v>
      </c>
      <c r="I1636" s="1042">
        <f t="shared" si="1051"/>
        <v>3750000</v>
      </c>
      <c r="J1636" s="1042">
        <f t="shared" si="1052"/>
        <v>10200000</v>
      </c>
      <c r="L1636" s="1060">
        <f t="shared" si="1044"/>
        <v>1</v>
      </c>
      <c r="M1636" s="1060">
        <f t="shared" si="1045"/>
        <v>0</v>
      </c>
      <c r="N1636" s="1060">
        <f t="shared" si="1046"/>
        <v>0</v>
      </c>
      <c r="O1636" s="1060">
        <f t="shared" si="1047"/>
        <v>0</v>
      </c>
      <c r="P1636" s="1060">
        <f t="shared" si="1048"/>
        <v>0</v>
      </c>
    </row>
    <row r="1637" spans="1:16" x14ac:dyDescent="0.25">
      <c r="A1637" s="1039">
        <v>1991</v>
      </c>
      <c r="B1637" s="1039">
        <f t="shared" si="1049"/>
        <v>13</v>
      </c>
      <c r="C1637" s="1039" t="str">
        <f t="shared" si="1031"/>
        <v>INDAH ROHMATILLAH</v>
      </c>
      <c r="D1637" s="1040" t="str">
        <f t="shared" si="1032"/>
        <v>ES-1A</v>
      </c>
      <c r="E1637" s="1041">
        <f t="shared" si="1033"/>
        <v>2020</v>
      </c>
      <c r="F1637" s="1040" t="str">
        <f t="shared" si="1034"/>
        <v>AKTIF</v>
      </c>
      <c r="G1637" s="1082">
        <f t="shared" si="1035"/>
        <v>203206060013</v>
      </c>
      <c r="H1637" s="1042">
        <f t="shared" si="1050"/>
        <v>6450000</v>
      </c>
      <c r="I1637" s="1042">
        <f t="shared" si="1051"/>
        <v>3750000</v>
      </c>
      <c r="J1637" s="1042">
        <f t="shared" si="1052"/>
        <v>10200000</v>
      </c>
      <c r="L1637" s="1060">
        <f t="shared" si="1044"/>
        <v>1</v>
      </c>
      <c r="M1637" s="1060">
        <f t="shared" si="1045"/>
        <v>0</v>
      </c>
      <c r="N1637" s="1060">
        <f t="shared" si="1046"/>
        <v>0</v>
      </c>
      <c r="O1637" s="1060">
        <f t="shared" si="1047"/>
        <v>0</v>
      </c>
      <c r="P1637" s="1060">
        <f t="shared" si="1048"/>
        <v>0</v>
      </c>
    </row>
    <row r="1638" spans="1:16" x14ac:dyDescent="0.25">
      <c r="A1638" s="1039">
        <v>1992</v>
      </c>
      <c r="B1638" s="1039">
        <f t="shared" si="1049"/>
        <v>14</v>
      </c>
      <c r="C1638" s="1039" t="str">
        <f t="shared" si="1031"/>
        <v>JIHAN AMIR</v>
      </c>
      <c r="D1638" s="1040" t="str">
        <f t="shared" si="1032"/>
        <v>ES-1A</v>
      </c>
      <c r="E1638" s="1041">
        <f t="shared" si="1033"/>
        <v>2020</v>
      </c>
      <c r="F1638" s="1040" t="str">
        <f t="shared" si="1034"/>
        <v>AKTIF</v>
      </c>
      <c r="G1638" s="1082">
        <f t="shared" si="1035"/>
        <v>203206060014</v>
      </c>
      <c r="H1638" s="1042">
        <f t="shared" si="1050"/>
        <v>6450000</v>
      </c>
      <c r="I1638" s="1042">
        <f t="shared" si="1051"/>
        <v>3750000</v>
      </c>
      <c r="J1638" s="1042">
        <f t="shared" si="1052"/>
        <v>10200000</v>
      </c>
      <c r="L1638" s="1060">
        <f t="shared" si="1044"/>
        <v>1</v>
      </c>
      <c r="M1638" s="1060">
        <f t="shared" si="1045"/>
        <v>0</v>
      </c>
      <c r="N1638" s="1060">
        <f t="shared" si="1046"/>
        <v>0</v>
      </c>
      <c r="O1638" s="1060">
        <f t="shared" si="1047"/>
        <v>0</v>
      </c>
      <c r="P1638" s="1060">
        <f t="shared" si="1048"/>
        <v>0</v>
      </c>
    </row>
    <row r="1639" spans="1:16" x14ac:dyDescent="0.25">
      <c r="A1639" s="1039">
        <v>1993</v>
      </c>
      <c r="B1639" s="1039">
        <f t="shared" si="1049"/>
        <v>15</v>
      </c>
      <c r="C1639" s="1039" t="str">
        <f t="shared" si="1031"/>
        <v>JOHARUL FATHONI</v>
      </c>
      <c r="D1639" s="1040" t="str">
        <f t="shared" si="1032"/>
        <v>ES-1A</v>
      </c>
      <c r="E1639" s="1041">
        <f t="shared" si="1033"/>
        <v>2020</v>
      </c>
      <c r="F1639" s="1040" t="str">
        <f t="shared" si="1034"/>
        <v>AKTIF</v>
      </c>
      <c r="G1639" s="1082">
        <f t="shared" si="1035"/>
        <v>203206060015</v>
      </c>
      <c r="H1639" s="1042">
        <f t="shared" si="1050"/>
        <v>6450000</v>
      </c>
      <c r="I1639" s="1042">
        <f t="shared" si="1051"/>
        <v>3750000</v>
      </c>
      <c r="J1639" s="1042">
        <f t="shared" si="1052"/>
        <v>10200000</v>
      </c>
      <c r="L1639" s="1060">
        <f t="shared" si="1044"/>
        <v>1</v>
      </c>
      <c r="M1639" s="1060">
        <f t="shared" si="1045"/>
        <v>0</v>
      </c>
      <c r="N1639" s="1060">
        <f t="shared" si="1046"/>
        <v>0</v>
      </c>
      <c r="O1639" s="1060">
        <f t="shared" si="1047"/>
        <v>0</v>
      </c>
      <c r="P1639" s="1060">
        <f t="shared" si="1048"/>
        <v>0</v>
      </c>
    </row>
    <row r="1640" spans="1:16" x14ac:dyDescent="0.25">
      <c r="A1640" s="1039">
        <v>1994</v>
      </c>
      <c r="B1640" s="1039">
        <f t="shared" si="1049"/>
        <v>16</v>
      </c>
      <c r="C1640" s="1039" t="str">
        <f t="shared" si="1031"/>
        <v>M. HASIB ABDULLAH</v>
      </c>
      <c r="D1640" s="1040" t="str">
        <f t="shared" si="1032"/>
        <v>ES-1B</v>
      </c>
      <c r="E1640" s="1041">
        <f t="shared" si="1033"/>
        <v>2020</v>
      </c>
      <c r="F1640" s="1040" t="str">
        <f t="shared" si="1034"/>
        <v>AKTIF</v>
      </c>
      <c r="G1640" s="1082">
        <f t="shared" si="1035"/>
        <v>203206060016</v>
      </c>
      <c r="H1640" s="1042">
        <f t="shared" si="1050"/>
        <v>6450000</v>
      </c>
      <c r="I1640" s="1042">
        <f t="shared" si="1051"/>
        <v>3750000</v>
      </c>
      <c r="J1640" s="1042">
        <f t="shared" si="1052"/>
        <v>10200000</v>
      </c>
      <c r="L1640" s="1060">
        <f t="shared" si="1044"/>
        <v>1</v>
      </c>
      <c r="M1640" s="1060">
        <f t="shared" si="1045"/>
        <v>0</v>
      </c>
      <c r="N1640" s="1060">
        <f t="shared" si="1046"/>
        <v>0</v>
      </c>
      <c r="O1640" s="1060">
        <f t="shared" si="1047"/>
        <v>0</v>
      </c>
      <c r="P1640" s="1060">
        <f t="shared" si="1048"/>
        <v>0</v>
      </c>
    </row>
    <row r="1641" spans="1:16" x14ac:dyDescent="0.25">
      <c r="A1641" s="1039">
        <v>1995</v>
      </c>
      <c r="B1641" s="1039">
        <f t="shared" si="1049"/>
        <v>17</v>
      </c>
      <c r="C1641" s="1039" t="str">
        <f t="shared" si="1031"/>
        <v>MUHAMMAD FAISOL ABDA'</v>
      </c>
      <c r="D1641" s="1040" t="str">
        <f t="shared" si="1032"/>
        <v>ES-1B</v>
      </c>
      <c r="E1641" s="1041">
        <f t="shared" si="1033"/>
        <v>2020</v>
      </c>
      <c r="F1641" s="1040" t="str">
        <f t="shared" si="1034"/>
        <v>AKTIF</v>
      </c>
      <c r="G1641" s="1082">
        <f t="shared" si="1035"/>
        <v>203206060017</v>
      </c>
      <c r="H1641" s="1042">
        <f t="shared" si="1050"/>
        <v>6450000</v>
      </c>
      <c r="I1641" s="1042">
        <f t="shared" si="1051"/>
        <v>3750000</v>
      </c>
      <c r="J1641" s="1042">
        <f t="shared" si="1052"/>
        <v>10200000</v>
      </c>
      <c r="L1641" s="1060">
        <f t="shared" si="1044"/>
        <v>1</v>
      </c>
      <c r="M1641" s="1060">
        <f t="shared" si="1045"/>
        <v>0</v>
      </c>
      <c r="N1641" s="1060">
        <f t="shared" si="1046"/>
        <v>0</v>
      </c>
      <c r="O1641" s="1060">
        <f t="shared" si="1047"/>
        <v>0</v>
      </c>
      <c r="P1641" s="1060">
        <f t="shared" si="1048"/>
        <v>0</v>
      </c>
    </row>
    <row r="1642" spans="1:16" x14ac:dyDescent="0.25">
      <c r="A1642" s="1039">
        <v>1996</v>
      </c>
      <c r="B1642" s="1039">
        <f t="shared" si="1049"/>
        <v>18</v>
      </c>
      <c r="C1642" s="1039" t="str">
        <f t="shared" si="1031"/>
        <v>MUHAMMAD FIKRI SYAIFULLOH</v>
      </c>
      <c r="D1642" s="1040" t="str">
        <f t="shared" si="1032"/>
        <v>ES-1B</v>
      </c>
      <c r="E1642" s="1041">
        <f t="shared" si="1033"/>
        <v>2020</v>
      </c>
      <c r="F1642" s="1040" t="str">
        <f t="shared" si="1034"/>
        <v>AKTIF</v>
      </c>
      <c r="G1642" s="1082">
        <f t="shared" si="1035"/>
        <v>203206060018</v>
      </c>
      <c r="H1642" s="1042">
        <f t="shared" si="1050"/>
        <v>6450000</v>
      </c>
      <c r="I1642" s="1042">
        <f t="shared" si="1051"/>
        <v>3750000</v>
      </c>
      <c r="J1642" s="1042">
        <f t="shared" si="1052"/>
        <v>10200000</v>
      </c>
      <c r="L1642" s="1060">
        <f t="shared" si="1044"/>
        <v>1</v>
      </c>
      <c r="M1642" s="1060">
        <f t="shared" si="1045"/>
        <v>0</v>
      </c>
      <c r="N1642" s="1060">
        <f t="shared" si="1046"/>
        <v>0</v>
      </c>
      <c r="O1642" s="1060">
        <f t="shared" si="1047"/>
        <v>0</v>
      </c>
      <c r="P1642" s="1060">
        <f t="shared" si="1048"/>
        <v>0</v>
      </c>
    </row>
    <row r="1643" spans="1:16" x14ac:dyDescent="0.25">
      <c r="A1643" s="1039">
        <v>1997</v>
      </c>
      <c r="B1643" s="1039">
        <f t="shared" si="1049"/>
        <v>19</v>
      </c>
      <c r="C1643" s="1039" t="str">
        <f t="shared" si="1031"/>
        <v>MUHAMMAD KAMALUDDIN</v>
      </c>
      <c r="D1643" s="1040" t="str">
        <f t="shared" si="1032"/>
        <v>ES-1B</v>
      </c>
      <c r="E1643" s="1041">
        <f t="shared" si="1033"/>
        <v>2020</v>
      </c>
      <c r="F1643" s="1040" t="str">
        <f t="shared" si="1034"/>
        <v>AKTIF</v>
      </c>
      <c r="G1643" s="1082">
        <f t="shared" si="1035"/>
        <v>203206060019</v>
      </c>
      <c r="H1643" s="1042">
        <f t="shared" si="1050"/>
        <v>6450000</v>
      </c>
      <c r="I1643" s="1042">
        <f t="shared" si="1051"/>
        <v>3750000</v>
      </c>
      <c r="J1643" s="1042">
        <f t="shared" si="1052"/>
        <v>10200000</v>
      </c>
      <c r="L1643" s="1060">
        <f t="shared" si="1044"/>
        <v>1</v>
      </c>
      <c r="M1643" s="1060">
        <f t="shared" si="1045"/>
        <v>0</v>
      </c>
      <c r="N1643" s="1060">
        <f t="shared" si="1046"/>
        <v>0</v>
      </c>
      <c r="O1643" s="1060">
        <f t="shared" si="1047"/>
        <v>0</v>
      </c>
      <c r="P1643" s="1060">
        <f t="shared" si="1048"/>
        <v>0</v>
      </c>
    </row>
    <row r="1644" spans="1:16" x14ac:dyDescent="0.25">
      <c r="A1644" s="1039">
        <v>1998</v>
      </c>
      <c r="B1644" s="1039">
        <f t="shared" si="1049"/>
        <v>20</v>
      </c>
      <c r="C1644" s="1039" t="str">
        <f t="shared" si="1031"/>
        <v>MUHAMMAD RIDHO</v>
      </c>
      <c r="D1644" s="1040" t="str">
        <f t="shared" si="1032"/>
        <v>ES-1B</v>
      </c>
      <c r="E1644" s="1041">
        <f t="shared" si="1033"/>
        <v>2020</v>
      </c>
      <c r="F1644" s="1040" t="str">
        <f t="shared" si="1034"/>
        <v>AKTIF</v>
      </c>
      <c r="G1644" s="1082">
        <f t="shared" si="1035"/>
        <v>203206060031</v>
      </c>
      <c r="H1644" s="1042">
        <f t="shared" si="1050"/>
        <v>6450000</v>
      </c>
      <c r="I1644" s="1042">
        <f t="shared" si="1051"/>
        <v>3750000</v>
      </c>
      <c r="J1644" s="1042">
        <f t="shared" si="1052"/>
        <v>10200000</v>
      </c>
      <c r="L1644" s="1060">
        <f t="shared" si="1044"/>
        <v>1</v>
      </c>
      <c r="M1644" s="1060">
        <f t="shared" si="1045"/>
        <v>0</v>
      </c>
      <c r="N1644" s="1060">
        <f t="shared" si="1046"/>
        <v>0</v>
      </c>
      <c r="O1644" s="1060">
        <f t="shared" si="1047"/>
        <v>0</v>
      </c>
      <c r="P1644" s="1060">
        <f t="shared" si="1048"/>
        <v>0</v>
      </c>
    </row>
    <row r="1645" spans="1:16" x14ac:dyDescent="0.25">
      <c r="A1645" s="1039">
        <v>1999</v>
      </c>
      <c r="B1645" s="1039">
        <f t="shared" ref="B1645:B1654" si="1053">IFERROR(VLOOKUP(A1645,DB,2,FALSE),"")</f>
        <v>21</v>
      </c>
      <c r="C1645" s="1039" t="str">
        <f t="shared" si="1031"/>
        <v>NADIAH SABRINA HIMAM</v>
      </c>
      <c r="D1645" s="1040" t="str">
        <f t="shared" si="1032"/>
        <v>ES-1B</v>
      </c>
      <c r="E1645" s="1041">
        <f t="shared" si="1033"/>
        <v>2020</v>
      </c>
      <c r="F1645" s="1040" t="str">
        <f t="shared" si="1034"/>
        <v>AKTIF</v>
      </c>
      <c r="G1645" s="1082">
        <f t="shared" si="1035"/>
        <v>203206060020</v>
      </c>
      <c r="H1645" s="1042">
        <f t="shared" ref="H1645:H1654" si="1054">IF(F1645="AKTIF",6450000,IF(F1645="CUTI",3000000,0))</f>
        <v>6450000</v>
      </c>
      <c r="I1645" s="1042">
        <f t="shared" ref="I1645:I1654" si="1055">IF(F1645="AKTIF",3750000,IF(F1645="CUTI",3000000,0))</f>
        <v>3750000</v>
      </c>
      <c r="J1645" s="1042">
        <f t="shared" ref="J1645:J1654" si="1056">I1645+H1645</f>
        <v>10200000</v>
      </c>
      <c r="L1645" s="1060">
        <f t="shared" si="1044"/>
        <v>1</v>
      </c>
      <c r="M1645" s="1060">
        <f t="shared" si="1045"/>
        <v>0</v>
      </c>
      <c r="N1645" s="1060">
        <f t="shared" si="1046"/>
        <v>0</v>
      </c>
      <c r="O1645" s="1060">
        <f t="shared" si="1047"/>
        <v>0</v>
      </c>
      <c r="P1645" s="1060">
        <f t="shared" si="1048"/>
        <v>0</v>
      </c>
    </row>
    <row r="1646" spans="1:16" x14ac:dyDescent="0.25">
      <c r="A1646" s="1039">
        <v>2000</v>
      </c>
      <c r="B1646" s="1039">
        <f t="shared" si="1053"/>
        <v>22</v>
      </c>
      <c r="C1646" s="1039" t="str">
        <f t="shared" si="1031"/>
        <v>NAILUL ABROR</v>
      </c>
      <c r="D1646" s="1040" t="str">
        <f t="shared" si="1032"/>
        <v>ES-1B</v>
      </c>
      <c r="E1646" s="1041">
        <f t="shared" si="1033"/>
        <v>2020</v>
      </c>
      <c r="F1646" s="1040" t="str">
        <f t="shared" si="1034"/>
        <v>AKTIF</v>
      </c>
      <c r="G1646" s="1082">
        <f t="shared" si="1035"/>
        <v>203206060021</v>
      </c>
      <c r="H1646" s="1042">
        <f t="shared" si="1054"/>
        <v>6450000</v>
      </c>
      <c r="I1646" s="1042">
        <f t="shared" si="1055"/>
        <v>3750000</v>
      </c>
      <c r="J1646" s="1042">
        <f t="shared" si="1056"/>
        <v>10200000</v>
      </c>
      <c r="L1646" s="1060">
        <f t="shared" si="1044"/>
        <v>1</v>
      </c>
      <c r="M1646" s="1060">
        <f t="shared" si="1045"/>
        <v>0</v>
      </c>
      <c r="N1646" s="1060">
        <f t="shared" si="1046"/>
        <v>0</v>
      </c>
      <c r="O1646" s="1060">
        <f t="shared" si="1047"/>
        <v>0</v>
      </c>
      <c r="P1646" s="1060">
        <f t="shared" si="1048"/>
        <v>0</v>
      </c>
    </row>
    <row r="1647" spans="1:16" x14ac:dyDescent="0.25">
      <c r="A1647" s="1039">
        <v>2001</v>
      </c>
      <c r="B1647" s="1039">
        <f t="shared" si="1053"/>
        <v>23</v>
      </c>
      <c r="C1647" s="1039" t="str">
        <f t="shared" si="1031"/>
        <v>NURINA NURJUNDINI</v>
      </c>
      <c r="D1647" s="1040" t="str">
        <f t="shared" si="1032"/>
        <v>ES-1B</v>
      </c>
      <c r="E1647" s="1041">
        <f t="shared" si="1033"/>
        <v>2020</v>
      </c>
      <c r="F1647" s="1040" t="str">
        <f t="shared" si="1034"/>
        <v>AKTIF</v>
      </c>
      <c r="G1647" s="1082">
        <f t="shared" si="1035"/>
        <v>203206060022</v>
      </c>
      <c r="H1647" s="1042">
        <f t="shared" si="1054"/>
        <v>6450000</v>
      </c>
      <c r="I1647" s="1042">
        <f t="shared" si="1055"/>
        <v>3750000</v>
      </c>
      <c r="J1647" s="1042">
        <f t="shared" si="1056"/>
        <v>10200000</v>
      </c>
      <c r="L1647" s="1060">
        <f t="shared" si="1044"/>
        <v>1</v>
      </c>
      <c r="M1647" s="1060">
        <f t="shared" si="1045"/>
        <v>0</v>
      </c>
      <c r="N1647" s="1060">
        <f t="shared" si="1046"/>
        <v>0</v>
      </c>
      <c r="O1647" s="1060">
        <f t="shared" si="1047"/>
        <v>0</v>
      </c>
      <c r="P1647" s="1060">
        <f t="shared" si="1048"/>
        <v>0</v>
      </c>
    </row>
    <row r="1648" spans="1:16" x14ac:dyDescent="0.25">
      <c r="A1648" s="1039">
        <v>2002</v>
      </c>
      <c r="B1648" s="1039">
        <f t="shared" si="1053"/>
        <v>24</v>
      </c>
      <c r="C1648" s="1039" t="str">
        <f t="shared" si="1031"/>
        <v>RISA OKTAVIA</v>
      </c>
      <c r="D1648" s="1040" t="str">
        <f t="shared" si="1032"/>
        <v>ES-1B</v>
      </c>
      <c r="E1648" s="1041">
        <f t="shared" si="1033"/>
        <v>2020</v>
      </c>
      <c r="F1648" s="1040" t="str">
        <f t="shared" si="1034"/>
        <v>AKTIF</v>
      </c>
      <c r="G1648" s="1082">
        <f t="shared" si="1035"/>
        <v>203206060023</v>
      </c>
      <c r="H1648" s="1042">
        <f t="shared" si="1054"/>
        <v>6450000</v>
      </c>
      <c r="I1648" s="1042">
        <f t="shared" si="1055"/>
        <v>3750000</v>
      </c>
      <c r="J1648" s="1042">
        <f t="shared" si="1056"/>
        <v>10200000</v>
      </c>
      <c r="L1648" s="1060">
        <f t="shared" si="1044"/>
        <v>1</v>
      </c>
      <c r="M1648" s="1060">
        <f t="shared" si="1045"/>
        <v>0</v>
      </c>
      <c r="N1648" s="1060">
        <f t="shared" si="1046"/>
        <v>0</v>
      </c>
      <c r="O1648" s="1060">
        <f t="shared" si="1047"/>
        <v>0</v>
      </c>
      <c r="P1648" s="1060">
        <f t="shared" si="1048"/>
        <v>0</v>
      </c>
    </row>
    <row r="1649" spans="1:16" x14ac:dyDescent="0.25">
      <c r="A1649" s="1039">
        <v>2003</v>
      </c>
      <c r="B1649" s="1039">
        <f t="shared" si="1053"/>
        <v>25</v>
      </c>
      <c r="C1649" s="1039" t="str">
        <f t="shared" si="1031"/>
        <v>SITI AZIZATUL KHALIMATUS SHOMAD</v>
      </c>
      <c r="D1649" s="1040" t="str">
        <f t="shared" si="1032"/>
        <v>ES-1B</v>
      </c>
      <c r="E1649" s="1041">
        <f t="shared" si="1033"/>
        <v>2020</v>
      </c>
      <c r="F1649" s="1040" t="str">
        <f t="shared" si="1034"/>
        <v>AKTIF</v>
      </c>
      <c r="G1649" s="1082">
        <f t="shared" si="1035"/>
        <v>203206060024</v>
      </c>
      <c r="H1649" s="1042">
        <f t="shared" si="1054"/>
        <v>6450000</v>
      </c>
      <c r="I1649" s="1042">
        <f t="shared" si="1055"/>
        <v>3750000</v>
      </c>
      <c r="J1649" s="1042">
        <f t="shared" si="1056"/>
        <v>10200000</v>
      </c>
      <c r="L1649" s="1060">
        <f t="shared" si="1044"/>
        <v>1</v>
      </c>
      <c r="M1649" s="1060">
        <f t="shared" si="1045"/>
        <v>0</v>
      </c>
      <c r="N1649" s="1060">
        <f t="shared" si="1046"/>
        <v>0</v>
      </c>
      <c r="O1649" s="1060">
        <f t="shared" si="1047"/>
        <v>0</v>
      </c>
      <c r="P1649" s="1060">
        <f t="shared" si="1048"/>
        <v>0</v>
      </c>
    </row>
    <row r="1650" spans="1:16" x14ac:dyDescent="0.25">
      <c r="A1650" s="1039">
        <v>2004</v>
      </c>
      <c r="B1650" s="1039">
        <f t="shared" si="1053"/>
        <v>26</v>
      </c>
      <c r="C1650" s="1039" t="str">
        <f t="shared" si="1031"/>
        <v>SITI HABIBATUR RAHMA</v>
      </c>
      <c r="D1650" s="1040" t="str">
        <f t="shared" si="1032"/>
        <v>ES-1B</v>
      </c>
      <c r="E1650" s="1041">
        <f t="shared" si="1033"/>
        <v>2020</v>
      </c>
      <c r="F1650" s="1040" t="str">
        <f t="shared" si="1034"/>
        <v>AKTIF</v>
      </c>
      <c r="G1650" s="1082">
        <f t="shared" si="1035"/>
        <v>203206060025</v>
      </c>
      <c r="H1650" s="1042">
        <f t="shared" si="1054"/>
        <v>6450000</v>
      </c>
      <c r="I1650" s="1042">
        <f t="shared" si="1055"/>
        <v>3750000</v>
      </c>
      <c r="J1650" s="1042">
        <f t="shared" si="1056"/>
        <v>10200000</v>
      </c>
      <c r="L1650" s="1060">
        <f t="shared" si="1044"/>
        <v>1</v>
      </c>
      <c r="M1650" s="1060">
        <f t="shared" si="1045"/>
        <v>0</v>
      </c>
      <c r="N1650" s="1060">
        <f t="shared" si="1046"/>
        <v>0</v>
      </c>
      <c r="O1650" s="1060">
        <f t="shared" si="1047"/>
        <v>0</v>
      </c>
      <c r="P1650" s="1060">
        <f t="shared" si="1048"/>
        <v>0</v>
      </c>
    </row>
    <row r="1651" spans="1:16" x14ac:dyDescent="0.25">
      <c r="A1651" s="1039">
        <v>2005</v>
      </c>
      <c r="B1651" s="1039">
        <f t="shared" si="1053"/>
        <v>27</v>
      </c>
      <c r="C1651" s="1039" t="str">
        <f t="shared" si="1031"/>
        <v>SITI NUR AZIZATUL LUTHFIYAH</v>
      </c>
      <c r="D1651" s="1040" t="str">
        <f t="shared" si="1032"/>
        <v>ES-1B</v>
      </c>
      <c r="E1651" s="1041">
        <f t="shared" si="1033"/>
        <v>2020</v>
      </c>
      <c r="F1651" s="1040" t="str">
        <f t="shared" si="1034"/>
        <v>AKTIF</v>
      </c>
      <c r="G1651" s="1082">
        <f t="shared" si="1035"/>
        <v>203206060026</v>
      </c>
      <c r="H1651" s="1042">
        <f t="shared" si="1054"/>
        <v>6450000</v>
      </c>
      <c r="I1651" s="1042">
        <f t="shared" si="1055"/>
        <v>3750000</v>
      </c>
      <c r="J1651" s="1042">
        <f t="shared" si="1056"/>
        <v>10200000</v>
      </c>
      <c r="L1651" s="1060">
        <f t="shared" si="1044"/>
        <v>1</v>
      </c>
      <c r="M1651" s="1060">
        <f t="shared" si="1045"/>
        <v>0</v>
      </c>
      <c r="N1651" s="1060">
        <f t="shared" si="1046"/>
        <v>0</v>
      </c>
      <c r="O1651" s="1060">
        <f t="shared" si="1047"/>
        <v>0</v>
      </c>
      <c r="P1651" s="1060">
        <f t="shared" si="1048"/>
        <v>0</v>
      </c>
    </row>
    <row r="1652" spans="1:16" x14ac:dyDescent="0.25">
      <c r="A1652" s="1039">
        <v>2006</v>
      </c>
      <c r="B1652" s="1039">
        <f t="shared" si="1053"/>
        <v>28</v>
      </c>
      <c r="C1652" s="1039" t="str">
        <f t="shared" si="1031"/>
        <v>SITI NUR HALIMAH</v>
      </c>
      <c r="D1652" s="1040" t="str">
        <f t="shared" si="1032"/>
        <v>ES-1B</v>
      </c>
      <c r="E1652" s="1041">
        <f t="shared" si="1033"/>
        <v>2020</v>
      </c>
      <c r="F1652" s="1040" t="str">
        <f t="shared" si="1034"/>
        <v>AKTIF</v>
      </c>
      <c r="G1652" s="1082">
        <f t="shared" si="1035"/>
        <v>203206060027</v>
      </c>
      <c r="H1652" s="1042">
        <f t="shared" si="1054"/>
        <v>6450000</v>
      </c>
      <c r="I1652" s="1042">
        <f t="shared" si="1055"/>
        <v>3750000</v>
      </c>
      <c r="J1652" s="1042">
        <f t="shared" si="1056"/>
        <v>10200000</v>
      </c>
      <c r="L1652" s="1060">
        <f t="shared" si="1044"/>
        <v>1</v>
      </c>
      <c r="M1652" s="1060">
        <f t="shared" si="1045"/>
        <v>0</v>
      </c>
      <c r="N1652" s="1060">
        <f t="shared" si="1046"/>
        <v>0</v>
      </c>
      <c r="O1652" s="1060">
        <f t="shared" si="1047"/>
        <v>0</v>
      </c>
      <c r="P1652" s="1060">
        <f t="shared" si="1048"/>
        <v>0</v>
      </c>
    </row>
    <row r="1653" spans="1:16" x14ac:dyDescent="0.25">
      <c r="A1653" s="1039">
        <v>2007</v>
      </c>
      <c r="B1653" s="1039">
        <f t="shared" si="1053"/>
        <v>29</v>
      </c>
      <c r="C1653" s="1039" t="str">
        <f t="shared" si="1031"/>
        <v>SITI SHOIMATUL AZIZAH</v>
      </c>
      <c r="D1653" s="1040" t="str">
        <f t="shared" si="1032"/>
        <v>ES-1B</v>
      </c>
      <c r="E1653" s="1041">
        <f t="shared" si="1033"/>
        <v>2020</v>
      </c>
      <c r="F1653" s="1040" t="str">
        <f t="shared" si="1034"/>
        <v>AKTIF</v>
      </c>
      <c r="G1653" s="1082">
        <f t="shared" si="1035"/>
        <v>203206060028</v>
      </c>
      <c r="H1653" s="1042">
        <f t="shared" si="1054"/>
        <v>6450000</v>
      </c>
      <c r="I1653" s="1042">
        <f t="shared" si="1055"/>
        <v>3750000</v>
      </c>
      <c r="J1653" s="1042">
        <f t="shared" si="1056"/>
        <v>10200000</v>
      </c>
      <c r="L1653" s="1060">
        <f t="shared" si="1044"/>
        <v>1</v>
      </c>
      <c r="M1653" s="1060">
        <f t="shared" si="1045"/>
        <v>0</v>
      </c>
      <c r="N1653" s="1060">
        <f t="shared" si="1046"/>
        <v>0</v>
      </c>
      <c r="O1653" s="1060">
        <f t="shared" si="1047"/>
        <v>0</v>
      </c>
      <c r="P1653" s="1060">
        <f t="shared" si="1048"/>
        <v>0</v>
      </c>
    </row>
    <row r="1654" spans="1:16" x14ac:dyDescent="0.25">
      <c r="A1654" s="1039">
        <v>2008</v>
      </c>
      <c r="B1654" s="1039">
        <f t="shared" si="1053"/>
        <v>30</v>
      </c>
      <c r="C1654" s="1039" t="str">
        <f t="shared" si="1031"/>
        <v>SYUKRAN MAS'UDI</v>
      </c>
      <c r="D1654" s="1040" t="str">
        <f t="shared" si="1032"/>
        <v>ES-1B</v>
      </c>
      <c r="E1654" s="1041">
        <f t="shared" si="1033"/>
        <v>2020</v>
      </c>
      <c r="F1654" s="1040" t="str">
        <f t="shared" si="1034"/>
        <v>AKTIF</v>
      </c>
      <c r="G1654" s="1082">
        <f t="shared" si="1035"/>
        <v>203206060029</v>
      </c>
      <c r="H1654" s="1042">
        <f t="shared" si="1054"/>
        <v>6450000</v>
      </c>
      <c r="I1654" s="1042">
        <f t="shared" si="1055"/>
        <v>3750000</v>
      </c>
      <c r="J1654" s="1042">
        <f t="shared" si="1056"/>
        <v>10200000</v>
      </c>
      <c r="L1654" s="1060">
        <f t="shared" si="1044"/>
        <v>1</v>
      </c>
      <c r="M1654" s="1060">
        <f t="shared" si="1045"/>
        <v>0</v>
      </c>
      <c r="N1654" s="1060">
        <f t="shared" si="1046"/>
        <v>0</v>
      </c>
      <c r="O1654" s="1060">
        <f t="shared" si="1047"/>
        <v>0</v>
      </c>
      <c r="P1654" s="1060">
        <f t="shared" si="1048"/>
        <v>0</v>
      </c>
    </row>
    <row r="1655" spans="1:16" x14ac:dyDescent="0.25">
      <c r="A1655" s="1039">
        <v>2009</v>
      </c>
      <c r="B1655" s="1039">
        <f t="shared" si="774"/>
        <v>31</v>
      </c>
      <c r="C1655" s="1039" t="str">
        <f t="shared" si="1031"/>
        <v xml:space="preserve">Nita Andriani </v>
      </c>
      <c r="D1655" s="1040" t="str">
        <f t="shared" si="1032"/>
        <v>ES-1B</v>
      </c>
      <c r="E1655" s="1041">
        <f t="shared" si="1033"/>
        <v>2020</v>
      </c>
      <c r="F1655" s="1040" t="str">
        <f t="shared" si="1034"/>
        <v>AKTIF</v>
      </c>
      <c r="G1655" s="1082">
        <f t="shared" si="1035"/>
        <v>203206060030</v>
      </c>
      <c r="H1655" s="1042">
        <f t="shared" si="978"/>
        <v>6450000</v>
      </c>
      <c r="I1655" s="1042">
        <f t="shared" si="979"/>
        <v>3750000</v>
      </c>
      <c r="J1655" s="1042">
        <f t="shared" si="977"/>
        <v>10200000</v>
      </c>
      <c r="L1655" s="1060">
        <f t="shared" si="1044"/>
        <v>1</v>
      </c>
      <c r="M1655" s="1060">
        <f t="shared" si="1045"/>
        <v>0</v>
      </c>
      <c r="N1655" s="1060">
        <f t="shared" si="1046"/>
        <v>0</v>
      </c>
      <c r="O1655" s="1060">
        <f t="shared" si="1047"/>
        <v>0</v>
      </c>
      <c r="P1655" s="1060">
        <f t="shared" si="1048"/>
        <v>0</v>
      </c>
    </row>
    <row r="1656" spans="1:16" x14ac:dyDescent="0.25">
      <c r="A1656" s="1039"/>
      <c r="B1656" s="1039"/>
      <c r="C1656" s="1039"/>
      <c r="D1656" s="1040"/>
      <c r="E1656" s="1041"/>
      <c r="F1656" s="1040"/>
      <c r="G1656" s="1041"/>
      <c r="H1656" s="1042"/>
      <c r="I1656" s="1042"/>
      <c r="J1656" s="1042"/>
    </row>
    <row r="1657" spans="1:16" x14ac:dyDescent="0.25">
      <c r="A1657" s="1076" t="str">
        <f>'Rekap SPP'!A2185</f>
        <v>S2-PAI 2020/2021</v>
      </c>
      <c r="B1657" s="1077"/>
      <c r="C1657" s="1077"/>
      <c r="D1657" s="1033" t="s">
        <v>3</v>
      </c>
      <c r="E1657" s="1032" t="s">
        <v>4</v>
      </c>
      <c r="F1657" s="1033" t="s">
        <v>3195</v>
      </c>
      <c r="G1657" s="1032" t="s">
        <v>1</v>
      </c>
      <c r="H1657" s="1033" t="s">
        <v>3362</v>
      </c>
      <c r="I1657" s="1033" t="s">
        <v>3363</v>
      </c>
      <c r="J1657" s="1062">
        <f>SUM(J1712:J1717)</f>
        <v>1564400000</v>
      </c>
      <c r="L1657" s="1063">
        <f>SUM(L1658:L1711)</f>
        <v>54</v>
      </c>
      <c r="M1657" s="1063">
        <f>SUM(M1658:M1711)</f>
        <v>0</v>
      </c>
      <c r="N1657" s="1063">
        <f>SUM(N1658:N1711)</f>
        <v>0</v>
      </c>
      <c r="O1657" s="1063">
        <f>SUM(O1658:O1711)</f>
        <v>0</v>
      </c>
      <c r="P1657" s="1063">
        <f>SUM(P1658:P1711)</f>
        <v>0</v>
      </c>
    </row>
    <row r="1658" spans="1:16" x14ac:dyDescent="0.25">
      <c r="A1658" s="1039">
        <v>2010</v>
      </c>
      <c r="B1658" s="1039">
        <f t="shared" ref="B1658:B1697" si="1057">IFERROR(VLOOKUP(A1658,DB,2,FALSE),"")</f>
        <v>1</v>
      </c>
      <c r="C1658" s="1039" t="str">
        <f t="shared" ref="C1658:C1689" si="1058">IFERROR(VLOOKUP(A1658,DB,4,FALSE),"")</f>
        <v>ABDIL GUFRON ANSHORULLAH</v>
      </c>
      <c r="D1658" s="1040" t="str">
        <f t="shared" ref="D1658:D1689" si="1059">IFERROR(VLOOKUP(A1658,DB,5,FALSE),"")</f>
        <v>PAI-1A</v>
      </c>
      <c r="E1658" s="1041">
        <f t="shared" ref="E1658:E1689" si="1060">IFERROR(VLOOKUP(A1658,DB,6,FALSE),"")</f>
        <v>2020</v>
      </c>
      <c r="F1658" s="1040" t="str">
        <f t="shared" ref="F1658:F1689" si="1061">IFERROR(VLOOKUP(A1658,DB,7,FALSE),"")</f>
        <v>AKTIF</v>
      </c>
      <c r="G1658" s="1082">
        <f t="shared" ref="G1658:G1689" si="1062">IFERROR(VLOOKUP(A1658,DB,3,FALSE),"")</f>
        <v>203206030001</v>
      </c>
      <c r="H1658" s="1042">
        <f t="shared" ref="H1658:H1697" si="1063">IF(F1658="AKTIF",6450000,IF(F1658="CUTI",3000000,0))</f>
        <v>6450000</v>
      </c>
      <c r="I1658" s="1042">
        <f t="shared" ref="I1658:I1697" si="1064">IF(F1658="AKTIF",3750000,IF(F1658="CUTI",3000000,0))</f>
        <v>3750000</v>
      </c>
      <c r="J1658" s="1042">
        <f t="shared" ref="J1658:J1697" si="1065">I1658+H1658</f>
        <v>10200000</v>
      </c>
      <c r="L1658" s="1060">
        <f>IF(F1658="AKTIF",1,0)</f>
        <v>1</v>
      </c>
      <c r="M1658" s="1060">
        <f t="shared" ref="M1658:M1672" si="1066">IF(F1658="LULUS",1,0)</f>
        <v>0</v>
      </c>
      <c r="N1658" s="1060">
        <f t="shared" ref="N1658:N1672" si="1067">IF(F1658="CUTI",1,0)</f>
        <v>0</v>
      </c>
      <c r="O1658" s="1060">
        <f t="shared" ref="O1658:O1672" si="1068">IF(F1658="DROP OUT",1,0)</f>
        <v>0</v>
      </c>
      <c r="P1658" s="1060">
        <f t="shared" ref="P1658:P1672" si="1069">IF(F1658="PASIF",1,0)</f>
        <v>0</v>
      </c>
    </row>
    <row r="1659" spans="1:16" x14ac:dyDescent="0.25">
      <c r="A1659" s="1039">
        <v>2011</v>
      </c>
      <c r="B1659" s="1039">
        <f t="shared" si="1057"/>
        <v>2</v>
      </c>
      <c r="C1659" s="1039" t="str">
        <f t="shared" si="1058"/>
        <v>AHMAD ALFARIZY ASLAM</v>
      </c>
      <c r="D1659" s="1040" t="str">
        <f t="shared" si="1059"/>
        <v>PAI-1A</v>
      </c>
      <c r="E1659" s="1041">
        <f t="shared" si="1060"/>
        <v>2020</v>
      </c>
      <c r="F1659" s="1040" t="str">
        <f t="shared" si="1061"/>
        <v>AKTIF</v>
      </c>
      <c r="G1659" s="1082">
        <f t="shared" si="1062"/>
        <v>203206030002</v>
      </c>
      <c r="H1659" s="1042">
        <f t="shared" si="1063"/>
        <v>6450000</v>
      </c>
      <c r="I1659" s="1042">
        <f t="shared" si="1064"/>
        <v>3750000</v>
      </c>
      <c r="J1659" s="1042">
        <f t="shared" si="1065"/>
        <v>10200000</v>
      </c>
      <c r="L1659" s="1060">
        <f t="shared" ref="L1659:L1672" si="1070">IF(F1659="AKTIF",1,0)</f>
        <v>1</v>
      </c>
      <c r="M1659" s="1060">
        <f t="shared" si="1066"/>
        <v>0</v>
      </c>
      <c r="N1659" s="1060">
        <f t="shared" si="1067"/>
        <v>0</v>
      </c>
      <c r="O1659" s="1060">
        <f t="shared" si="1068"/>
        <v>0</v>
      </c>
      <c r="P1659" s="1060">
        <f t="shared" si="1069"/>
        <v>0</v>
      </c>
    </row>
    <row r="1660" spans="1:16" x14ac:dyDescent="0.25">
      <c r="A1660" s="1039">
        <v>2012</v>
      </c>
      <c r="B1660" s="1039">
        <f t="shared" si="1057"/>
        <v>3</v>
      </c>
      <c r="C1660" s="1039" t="str">
        <f t="shared" si="1058"/>
        <v>FARIZ SALMAN AL FARIZY</v>
      </c>
      <c r="D1660" s="1040" t="str">
        <f t="shared" si="1059"/>
        <v>PAI-1A</v>
      </c>
      <c r="E1660" s="1041">
        <f t="shared" si="1060"/>
        <v>2020</v>
      </c>
      <c r="F1660" s="1040" t="str">
        <f t="shared" si="1061"/>
        <v>AKTIF</v>
      </c>
      <c r="G1660" s="1082">
        <f t="shared" si="1062"/>
        <v>203206030003</v>
      </c>
      <c r="H1660" s="1042">
        <f t="shared" si="1063"/>
        <v>6450000</v>
      </c>
      <c r="I1660" s="1042">
        <f t="shared" si="1064"/>
        <v>3750000</v>
      </c>
      <c r="J1660" s="1042">
        <f t="shared" si="1065"/>
        <v>10200000</v>
      </c>
      <c r="L1660" s="1060">
        <f t="shared" si="1070"/>
        <v>1</v>
      </c>
      <c r="M1660" s="1060">
        <f t="shared" si="1066"/>
        <v>0</v>
      </c>
      <c r="N1660" s="1060">
        <f t="shared" si="1067"/>
        <v>0</v>
      </c>
      <c r="O1660" s="1060">
        <f t="shared" si="1068"/>
        <v>0</v>
      </c>
      <c r="P1660" s="1060">
        <f t="shared" si="1069"/>
        <v>0</v>
      </c>
    </row>
    <row r="1661" spans="1:16" x14ac:dyDescent="0.25">
      <c r="A1661" s="1039">
        <v>2013</v>
      </c>
      <c r="B1661" s="1039">
        <f t="shared" si="1057"/>
        <v>4</v>
      </c>
      <c r="C1661" s="1039" t="str">
        <f t="shared" si="1058"/>
        <v>FATHULLOHU AINI</v>
      </c>
      <c r="D1661" s="1040" t="str">
        <f t="shared" si="1059"/>
        <v>PAI-1A</v>
      </c>
      <c r="E1661" s="1041">
        <f t="shared" si="1060"/>
        <v>2020</v>
      </c>
      <c r="F1661" s="1040" t="str">
        <f t="shared" si="1061"/>
        <v>AKTIF</v>
      </c>
      <c r="G1661" s="1082">
        <f t="shared" si="1062"/>
        <v>203206030004</v>
      </c>
      <c r="H1661" s="1042">
        <f t="shared" si="1063"/>
        <v>6450000</v>
      </c>
      <c r="I1661" s="1042">
        <f t="shared" si="1064"/>
        <v>3750000</v>
      </c>
      <c r="J1661" s="1042">
        <f t="shared" si="1065"/>
        <v>10200000</v>
      </c>
      <c r="L1661" s="1060">
        <f t="shared" si="1070"/>
        <v>1</v>
      </c>
      <c r="M1661" s="1060">
        <f t="shared" si="1066"/>
        <v>0</v>
      </c>
      <c r="N1661" s="1060">
        <f t="shared" si="1067"/>
        <v>0</v>
      </c>
      <c r="O1661" s="1060">
        <f t="shared" si="1068"/>
        <v>0</v>
      </c>
      <c r="P1661" s="1060">
        <f t="shared" si="1069"/>
        <v>0</v>
      </c>
    </row>
    <row r="1662" spans="1:16" x14ac:dyDescent="0.25">
      <c r="A1662" s="1039">
        <v>2014</v>
      </c>
      <c r="B1662" s="1039">
        <f t="shared" si="1057"/>
        <v>5</v>
      </c>
      <c r="C1662" s="1039" t="str">
        <f t="shared" si="1058"/>
        <v>HAKIMATUL KARIMAH</v>
      </c>
      <c r="D1662" s="1040" t="str">
        <f t="shared" si="1059"/>
        <v>PAI-1A</v>
      </c>
      <c r="E1662" s="1041">
        <f t="shared" si="1060"/>
        <v>2020</v>
      </c>
      <c r="F1662" s="1040" t="str">
        <f t="shared" si="1061"/>
        <v>AKTIF</v>
      </c>
      <c r="G1662" s="1082">
        <f t="shared" si="1062"/>
        <v>203206030005</v>
      </c>
      <c r="H1662" s="1042">
        <f t="shared" si="1063"/>
        <v>6450000</v>
      </c>
      <c r="I1662" s="1042">
        <f t="shared" si="1064"/>
        <v>3750000</v>
      </c>
      <c r="J1662" s="1042">
        <f t="shared" si="1065"/>
        <v>10200000</v>
      </c>
      <c r="L1662" s="1060">
        <f t="shared" si="1070"/>
        <v>1</v>
      </c>
      <c r="M1662" s="1060">
        <f t="shared" si="1066"/>
        <v>0</v>
      </c>
      <c r="N1662" s="1060">
        <f t="shared" si="1067"/>
        <v>0</v>
      </c>
      <c r="O1662" s="1060">
        <f t="shared" si="1068"/>
        <v>0</v>
      </c>
      <c r="P1662" s="1060">
        <f t="shared" si="1069"/>
        <v>0</v>
      </c>
    </row>
    <row r="1663" spans="1:16" x14ac:dyDescent="0.25">
      <c r="A1663" s="1039">
        <v>2015</v>
      </c>
      <c r="B1663" s="1039">
        <f t="shared" si="1057"/>
        <v>6</v>
      </c>
      <c r="C1663" s="1039" t="str">
        <f t="shared" si="1058"/>
        <v>JUMHERI</v>
      </c>
      <c r="D1663" s="1040" t="str">
        <f t="shared" si="1059"/>
        <v>PAI-1A</v>
      </c>
      <c r="E1663" s="1041">
        <f t="shared" si="1060"/>
        <v>2020</v>
      </c>
      <c r="F1663" s="1040" t="str">
        <f t="shared" si="1061"/>
        <v>AKTIF</v>
      </c>
      <c r="G1663" s="1082">
        <f t="shared" si="1062"/>
        <v>203206030006</v>
      </c>
      <c r="H1663" s="1042">
        <f t="shared" si="1063"/>
        <v>6450000</v>
      </c>
      <c r="I1663" s="1042">
        <f t="shared" si="1064"/>
        <v>3750000</v>
      </c>
      <c r="J1663" s="1042">
        <f t="shared" si="1065"/>
        <v>10200000</v>
      </c>
      <c r="L1663" s="1060">
        <f t="shared" si="1070"/>
        <v>1</v>
      </c>
      <c r="M1663" s="1060">
        <f t="shared" si="1066"/>
        <v>0</v>
      </c>
      <c r="N1663" s="1060">
        <f t="shared" si="1067"/>
        <v>0</v>
      </c>
      <c r="O1663" s="1060">
        <f t="shared" si="1068"/>
        <v>0</v>
      </c>
      <c r="P1663" s="1060">
        <f t="shared" si="1069"/>
        <v>0</v>
      </c>
    </row>
    <row r="1664" spans="1:16" x14ac:dyDescent="0.25">
      <c r="A1664" s="1039">
        <v>2016</v>
      </c>
      <c r="B1664" s="1039">
        <f t="shared" si="1057"/>
        <v>7</v>
      </c>
      <c r="C1664" s="1039" t="str">
        <f t="shared" si="1058"/>
        <v>MEGAWATI</v>
      </c>
      <c r="D1664" s="1040" t="str">
        <f t="shared" si="1059"/>
        <v>PAI-1A</v>
      </c>
      <c r="E1664" s="1041">
        <f t="shared" si="1060"/>
        <v>2020</v>
      </c>
      <c r="F1664" s="1040" t="str">
        <f t="shared" si="1061"/>
        <v>AKTIF</v>
      </c>
      <c r="G1664" s="1082">
        <f t="shared" si="1062"/>
        <v>203206030007</v>
      </c>
      <c r="H1664" s="1042">
        <f t="shared" si="1063"/>
        <v>6450000</v>
      </c>
      <c r="I1664" s="1042">
        <f t="shared" si="1064"/>
        <v>3750000</v>
      </c>
      <c r="J1664" s="1042">
        <f t="shared" si="1065"/>
        <v>10200000</v>
      </c>
      <c r="L1664" s="1060">
        <f t="shared" si="1070"/>
        <v>1</v>
      </c>
      <c r="M1664" s="1060">
        <f t="shared" si="1066"/>
        <v>0</v>
      </c>
      <c r="N1664" s="1060">
        <f t="shared" si="1067"/>
        <v>0</v>
      </c>
      <c r="O1664" s="1060">
        <f t="shared" si="1068"/>
        <v>0</v>
      </c>
      <c r="P1664" s="1060">
        <f t="shared" si="1069"/>
        <v>0</v>
      </c>
    </row>
    <row r="1665" spans="1:16" x14ac:dyDescent="0.25">
      <c r="A1665" s="1039">
        <v>2017</v>
      </c>
      <c r="B1665" s="1039">
        <f t="shared" si="1057"/>
        <v>8</v>
      </c>
      <c r="C1665" s="1039" t="str">
        <f t="shared" si="1058"/>
        <v>MOH AZWAR ANAS</v>
      </c>
      <c r="D1665" s="1040" t="str">
        <f t="shared" si="1059"/>
        <v>PAI-1A</v>
      </c>
      <c r="E1665" s="1041">
        <f t="shared" si="1060"/>
        <v>2020</v>
      </c>
      <c r="F1665" s="1040" t="str">
        <f t="shared" si="1061"/>
        <v>AKTIF</v>
      </c>
      <c r="G1665" s="1082">
        <f t="shared" si="1062"/>
        <v>203206030008</v>
      </c>
      <c r="H1665" s="1042">
        <f t="shared" si="1063"/>
        <v>6450000</v>
      </c>
      <c r="I1665" s="1042">
        <f t="shared" si="1064"/>
        <v>3750000</v>
      </c>
      <c r="J1665" s="1042">
        <f t="shared" si="1065"/>
        <v>10200000</v>
      </c>
      <c r="L1665" s="1060">
        <f t="shared" si="1070"/>
        <v>1</v>
      </c>
      <c r="M1665" s="1060">
        <f t="shared" si="1066"/>
        <v>0</v>
      </c>
      <c r="N1665" s="1060">
        <f t="shared" si="1067"/>
        <v>0</v>
      </c>
      <c r="O1665" s="1060">
        <f t="shared" si="1068"/>
        <v>0</v>
      </c>
      <c r="P1665" s="1060">
        <f t="shared" si="1069"/>
        <v>0</v>
      </c>
    </row>
    <row r="1666" spans="1:16" x14ac:dyDescent="0.25">
      <c r="A1666" s="1039">
        <v>2018</v>
      </c>
      <c r="B1666" s="1039">
        <f t="shared" si="1057"/>
        <v>9</v>
      </c>
      <c r="C1666" s="1039" t="str">
        <f t="shared" si="1058"/>
        <v>SITI NAFISAH</v>
      </c>
      <c r="D1666" s="1040" t="str">
        <f t="shared" si="1059"/>
        <v>PAI-1A</v>
      </c>
      <c r="E1666" s="1041">
        <f t="shared" si="1060"/>
        <v>2020</v>
      </c>
      <c r="F1666" s="1040" t="str">
        <f t="shared" si="1061"/>
        <v>AKTIF</v>
      </c>
      <c r="G1666" s="1082">
        <f t="shared" si="1062"/>
        <v>203206030009</v>
      </c>
      <c r="H1666" s="1042">
        <f t="shared" si="1063"/>
        <v>6450000</v>
      </c>
      <c r="I1666" s="1042">
        <f t="shared" si="1064"/>
        <v>3750000</v>
      </c>
      <c r="J1666" s="1042">
        <f t="shared" si="1065"/>
        <v>10200000</v>
      </c>
      <c r="L1666" s="1060">
        <f t="shared" si="1070"/>
        <v>1</v>
      </c>
      <c r="M1666" s="1060">
        <f t="shared" si="1066"/>
        <v>0</v>
      </c>
      <c r="N1666" s="1060">
        <f t="shared" si="1067"/>
        <v>0</v>
      </c>
      <c r="O1666" s="1060">
        <f t="shared" si="1068"/>
        <v>0</v>
      </c>
      <c r="P1666" s="1060">
        <f t="shared" si="1069"/>
        <v>0</v>
      </c>
    </row>
    <row r="1667" spans="1:16" x14ac:dyDescent="0.25">
      <c r="A1667" s="1039">
        <v>2019</v>
      </c>
      <c r="B1667" s="1039">
        <f t="shared" si="1057"/>
        <v>10</v>
      </c>
      <c r="C1667" s="1039" t="str">
        <f t="shared" si="1058"/>
        <v>YUSUF MUFTI FIKRI</v>
      </c>
      <c r="D1667" s="1040" t="str">
        <f t="shared" si="1059"/>
        <v>PAI-1A</v>
      </c>
      <c r="E1667" s="1041">
        <f t="shared" si="1060"/>
        <v>2020</v>
      </c>
      <c r="F1667" s="1040" t="str">
        <f t="shared" si="1061"/>
        <v>AKTIF</v>
      </c>
      <c r="G1667" s="1082">
        <f t="shared" si="1062"/>
        <v>203206030010</v>
      </c>
      <c r="H1667" s="1042">
        <f t="shared" si="1063"/>
        <v>6450000</v>
      </c>
      <c r="I1667" s="1042">
        <f t="shared" si="1064"/>
        <v>3750000</v>
      </c>
      <c r="J1667" s="1042">
        <f t="shared" si="1065"/>
        <v>10200000</v>
      </c>
      <c r="L1667" s="1060">
        <f t="shared" si="1070"/>
        <v>1</v>
      </c>
      <c r="M1667" s="1060">
        <f t="shared" si="1066"/>
        <v>0</v>
      </c>
      <c r="N1667" s="1060">
        <f t="shared" si="1067"/>
        <v>0</v>
      </c>
      <c r="O1667" s="1060">
        <f t="shared" si="1068"/>
        <v>0</v>
      </c>
      <c r="P1667" s="1060">
        <f t="shared" si="1069"/>
        <v>0</v>
      </c>
    </row>
    <row r="1668" spans="1:16" x14ac:dyDescent="0.25">
      <c r="A1668" s="1039">
        <v>2020</v>
      </c>
      <c r="B1668" s="1039">
        <f t="shared" si="1057"/>
        <v>11</v>
      </c>
      <c r="C1668" s="1039" t="str">
        <f t="shared" si="1058"/>
        <v>ZULFA YAZID</v>
      </c>
      <c r="D1668" s="1040" t="str">
        <f t="shared" si="1059"/>
        <v>PAI-1A</v>
      </c>
      <c r="E1668" s="1041">
        <f t="shared" si="1060"/>
        <v>2020</v>
      </c>
      <c r="F1668" s="1040" t="str">
        <f t="shared" si="1061"/>
        <v>AKTIF</v>
      </c>
      <c r="G1668" s="1082">
        <f t="shared" si="1062"/>
        <v>203206030011</v>
      </c>
      <c r="H1668" s="1042">
        <f t="shared" si="1063"/>
        <v>6450000</v>
      </c>
      <c r="I1668" s="1042">
        <f t="shared" si="1064"/>
        <v>3750000</v>
      </c>
      <c r="J1668" s="1042">
        <f t="shared" si="1065"/>
        <v>10200000</v>
      </c>
      <c r="L1668" s="1060">
        <f t="shared" si="1070"/>
        <v>1</v>
      </c>
      <c r="M1668" s="1060">
        <f t="shared" si="1066"/>
        <v>0</v>
      </c>
      <c r="N1668" s="1060">
        <f t="shared" si="1067"/>
        <v>0</v>
      </c>
      <c r="O1668" s="1060">
        <f t="shared" si="1068"/>
        <v>0</v>
      </c>
      <c r="P1668" s="1060">
        <f t="shared" si="1069"/>
        <v>0</v>
      </c>
    </row>
    <row r="1669" spans="1:16" x14ac:dyDescent="0.25">
      <c r="A1669" s="1039">
        <v>2021</v>
      </c>
      <c r="B1669" s="1039">
        <f t="shared" si="1057"/>
        <v>12</v>
      </c>
      <c r="C1669" s="1039" t="str">
        <f t="shared" si="1058"/>
        <v>A. AFLACH WILDANI</v>
      </c>
      <c r="D1669" s="1040" t="str">
        <f t="shared" si="1059"/>
        <v>PAI-1B</v>
      </c>
      <c r="E1669" s="1041">
        <f t="shared" si="1060"/>
        <v>2020</v>
      </c>
      <c r="F1669" s="1040" t="str">
        <f t="shared" si="1061"/>
        <v>AKTIF</v>
      </c>
      <c r="G1669" s="1082">
        <f t="shared" si="1062"/>
        <v>203206030012</v>
      </c>
      <c r="H1669" s="1042">
        <f t="shared" si="1063"/>
        <v>6450000</v>
      </c>
      <c r="I1669" s="1042">
        <f t="shared" si="1064"/>
        <v>3750000</v>
      </c>
      <c r="J1669" s="1042">
        <f t="shared" si="1065"/>
        <v>10200000</v>
      </c>
      <c r="L1669" s="1060">
        <f t="shared" si="1070"/>
        <v>1</v>
      </c>
      <c r="M1669" s="1060">
        <f t="shared" si="1066"/>
        <v>0</v>
      </c>
      <c r="N1669" s="1060">
        <f t="shared" si="1067"/>
        <v>0</v>
      </c>
      <c r="O1669" s="1060">
        <f t="shared" si="1068"/>
        <v>0</v>
      </c>
      <c r="P1669" s="1060">
        <f t="shared" si="1069"/>
        <v>0</v>
      </c>
    </row>
    <row r="1670" spans="1:16" x14ac:dyDescent="0.25">
      <c r="A1670" s="1039">
        <v>2022</v>
      </c>
      <c r="B1670" s="1039">
        <f t="shared" si="1057"/>
        <v>13</v>
      </c>
      <c r="C1670" s="1039" t="str">
        <f t="shared" si="1058"/>
        <v>ABDUL JALIL</v>
      </c>
      <c r="D1670" s="1040" t="str">
        <f t="shared" si="1059"/>
        <v>PAI-1B</v>
      </c>
      <c r="E1670" s="1041">
        <f t="shared" si="1060"/>
        <v>2020</v>
      </c>
      <c r="F1670" s="1040" t="str">
        <f t="shared" si="1061"/>
        <v>AKTIF</v>
      </c>
      <c r="G1670" s="1082">
        <f t="shared" si="1062"/>
        <v>203206030013</v>
      </c>
      <c r="H1670" s="1042">
        <f t="shared" si="1063"/>
        <v>6450000</v>
      </c>
      <c r="I1670" s="1042">
        <f t="shared" si="1064"/>
        <v>3750000</v>
      </c>
      <c r="J1670" s="1042">
        <f t="shared" si="1065"/>
        <v>10200000</v>
      </c>
      <c r="L1670" s="1060">
        <f t="shared" si="1070"/>
        <v>1</v>
      </c>
      <c r="M1670" s="1060">
        <f t="shared" si="1066"/>
        <v>0</v>
      </c>
      <c r="N1670" s="1060">
        <f t="shared" si="1067"/>
        <v>0</v>
      </c>
      <c r="O1670" s="1060">
        <f t="shared" si="1068"/>
        <v>0</v>
      </c>
      <c r="P1670" s="1060">
        <f t="shared" si="1069"/>
        <v>0</v>
      </c>
    </row>
    <row r="1671" spans="1:16" x14ac:dyDescent="0.25">
      <c r="A1671" s="1039">
        <v>2023</v>
      </c>
      <c r="B1671" s="1039">
        <f t="shared" si="1057"/>
        <v>14</v>
      </c>
      <c r="C1671" s="1039" t="str">
        <f t="shared" si="1058"/>
        <v>AHMAD FUAD AFIFI</v>
      </c>
      <c r="D1671" s="1040" t="str">
        <f t="shared" si="1059"/>
        <v>PAI-1B</v>
      </c>
      <c r="E1671" s="1041">
        <f t="shared" si="1060"/>
        <v>2020</v>
      </c>
      <c r="F1671" s="1040" t="str">
        <f t="shared" si="1061"/>
        <v>AKTIF</v>
      </c>
      <c r="G1671" s="1082">
        <f t="shared" si="1062"/>
        <v>203206030014</v>
      </c>
      <c r="H1671" s="1042">
        <f t="shared" si="1063"/>
        <v>6450000</v>
      </c>
      <c r="I1671" s="1042">
        <f t="shared" si="1064"/>
        <v>3750000</v>
      </c>
      <c r="J1671" s="1042">
        <f t="shared" si="1065"/>
        <v>10200000</v>
      </c>
      <c r="L1671" s="1060">
        <f t="shared" si="1070"/>
        <v>1</v>
      </c>
      <c r="M1671" s="1060">
        <f t="shared" si="1066"/>
        <v>0</v>
      </c>
      <c r="N1671" s="1060">
        <f t="shared" si="1067"/>
        <v>0</v>
      </c>
      <c r="O1671" s="1060">
        <f t="shared" si="1068"/>
        <v>0</v>
      </c>
      <c r="P1671" s="1060">
        <f t="shared" si="1069"/>
        <v>0</v>
      </c>
    </row>
    <row r="1672" spans="1:16" x14ac:dyDescent="0.25">
      <c r="A1672" s="1039">
        <v>2024</v>
      </c>
      <c r="B1672" s="1039">
        <f t="shared" si="1057"/>
        <v>15</v>
      </c>
      <c r="C1672" s="1039" t="str">
        <f t="shared" si="1058"/>
        <v>ANA SILVI AINIYAH</v>
      </c>
      <c r="D1672" s="1040" t="str">
        <f t="shared" si="1059"/>
        <v>PAI-1B</v>
      </c>
      <c r="E1672" s="1041">
        <f t="shared" si="1060"/>
        <v>2020</v>
      </c>
      <c r="F1672" s="1040" t="str">
        <f t="shared" si="1061"/>
        <v>AKTIF</v>
      </c>
      <c r="G1672" s="1082">
        <f t="shared" si="1062"/>
        <v>203206030015</v>
      </c>
      <c r="H1672" s="1042">
        <f t="shared" si="1063"/>
        <v>6450000</v>
      </c>
      <c r="I1672" s="1042">
        <f t="shared" si="1064"/>
        <v>3750000</v>
      </c>
      <c r="J1672" s="1042">
        <f t="shared" si="1065"/>
        <v>10200000</v>
      </c>
      <c r="L1672" s="1060">
        <f t="shared" si="1070"/>
        <v>1</v>
      </c>
      <c r="M1672" s="1060">
        <f t="shared" si="1066"/>
        <v>0</v>
      </c>
      <c r="N1672" s="1060">
        <f t="shared" si="1067"/>
        <v>0</v>
      </c>
      <c r="O1672" s="1060">
        <f t="shared" si="1068"/>
        <v>0</v>
      </c>
      <c r="P1672" s="1060">
        <f t="shared" si="1069"/>
        <v>0</v>
      </c>
    </row>
    <row r="1673" spans="1:16" x14ac:dyDescent="0.25">
      <c r="A1673" s="1039">
        <v>2025</v>
      </c>
      <c r="B1673" s="1039">
        <f t="shared" si="1057"/>
        <v>16</v>
      </c>
      <c r="C1673" s="1039" t="str">
        <f t="shared" si="1058"/>
        <v>ANDRI TANIA INDRA FATHUR ROHMAN</v>
      </c>
      <c r="D1673" s="1040" t="str">
        <f t="shared" si="1059"/>
        <v>PAI-1B</v>
      </c>
      <c r="E1673" s="1041">
        <f t="shared" si="1060"/>
        <v>2020</v>
      </c>
      <c r="F1673" s="1040" t="str">
        <f t="shared" si="1061"/>
        <v>AKTIF</v>
      </c>
      <c r="G1673" s="1082">
        <f t="shared" si="1062"/>
        <v>203206030016</v>
      </c>
      <c r="H1673" s="1042">
        <f t="shared" si="1063"/>
        <v>6450000</v>
      </c>
      <c r="I1673" s="1042">
        <f t="shared" si="1064"/>
        <v>3750000</v>
      </c>
      <c r="J1673" s="1042">
        <f t="shared" si="1065"/>
        <v>10200000</v>
      </c>
      <c r="L1673" s="1060">
        <f t="shared" ref="L1673:L1711" si="1071">IF(F1673="AKTIF",1,0)</f>
        <v>1</v>
      </c>
      <c r="M1673" s="1060">
        <f t="shared" ref="M1673:M1711" si="1072">IF(F1673="LULUS",1,0)</f>
        <v>0</v>
      </c>
      <c r="N1673" s="1060">
        <f t="shared" ref="N1673:N1711" si="1073">IF(F1673="CUTI",1,0)</f>
        <v>0</v>
      </c>
      <c r="O1673" s="1060">
        <f t="shared" ref="O1673:O1711" si="1074">IF(F1673="DROP OUT",1,0)</f>
        <v>0</v>
      </c>
      <c r="P1673" s="1060">
        <f t="shared" ref="P1673:P1711" si="1075">IF(F1673="PASIF",1,0)</f>
        <v>0</v>
      </c>
    </row>
    <row r="1674" spans="1:16" x14ac:dyDescent="0.25">
      <c r="A1674" s="1039">
        <v>2026</v>
      </c>
      <c r="B1674" s="1039">
        <f t="shared" si="1057"/>
        <v>17</v>
      </c>
      <c r="C1674" s="1039" t="str">
        <f t="shared" si="1058"/>
        <v>ANGGA MUWAFIQURRAHMAN</v>
      </c>
      <c r="D1674" s="1040" t="str">
        <f t="shared" si="1059"/>
        <v>PAI-1B</v>
      </c>
      <c r="E1674" s="1041">
        <f t="shared" si="1060"/>
        <v>2020</v>
      </c>
      <c r="F1674" s="1040" t="str">
        <f t="shared" si="1061"/>
        <v>AKTIF</v>
      </c>
      <c r="G1674" s="1082">
        <f t="shared" si="1062"/>
        <v>203206030017</v>
      </c>
      <c r="H1674" s="1042">
        <f t="shared" si="1063"/>
        <v>6450000</v>
      </c>
      <c r="I1674" s="1042">
        <f t="shared" si="1064"/>
        <v>3750000</v>
      </c>
      <c r="J1674" s="1042">
        <f t="shared" si="1065"/>
        <v>10200000</v>
      </c>
      <c r="L1674" s="1060">
        <f t="shared" si="1071"/>
        <v>1</v>
      </c>
      <c r="M1674" s="1060">
        <f t="shared" si="1072"/>
        <v>0</v>
      </c>
      <c r="N1674" s="1060">
        <f t="shared" si="1073"/>
        <v>0</v>
      </c>
      <c r="O1674" s="1060">
        <f t="shared" si="1074"/>
        <v>0</v>
      </c>
      <c r="P1674" s="1060">
        <f t="shared" si="1075"/>
        <v>0</v>
      </c>
    </row>
    <row r="1675" spans="1:16" x14ac:dyDescent="0.25">
      <c r="A1675" s="1039">
        <v>2027</v>
      </c>
      <c r="B1675" s="1039">
        <f t="shared" si="1057"/>
        <v>18</v>
      </c>
      <c r="C1675" s="1039" t="str">
        <f t="shared" si="1058"/>
        <v>AS'AD SAMSUL ARIFIN</v>
      </c>
      <c r="D1675" s="1040" t="str">
        <f t="shared" si="1059"/>
        <v>PAI-1B</v>
      </c>
      <c r="E1675" s="1041">
        <f t="shared" si="1060"/>
        <v>2020</v>
      </c>
      <c r="F1675" s="1040" t="str">
        <f t="shared" si="1061"/>
        <v>AKTIF</v>
      </c>
      <c r="G1675" s="1082">
        <f t="shared" si="1062"/>
        <v>203206030018</v>
      </c>
      <c r="H1675" s="1042">
        <f t="shared" si="1063"/>
        <v>6450000</v>
      </c>
      <c r="I1675" s="1042">
        <f t="shared" si="1064"/>
        <v>3750000</v>
      </c>
      <c r="J1675" s="1042">
        <f t="shared" si="1065"/>
        <v>10200000</v>
      </c>
      <c r="L1675" s="1060">
        <f t="shared" si="1071"/>
        <v>1</v>
      </c>
      <c r="M1675" s="1060">
        <f t="shared" si="1072"/>
        <v>0</v>
      </c>
      <c r="N1675" s="1060">
        <f t="shared" si="1073"/>
        <v>0</v>
      </c>
      <c r="O1675" s="1060">
        <f t="shared" si="1074"/>
        <v>0</v>
      </c>
      <c r="P1675" s="1060">
        <f t="shared" si="1075"/>
        <v>0</v>
      </c>
    </row>
    <row r="1676" spans="1:16" x14ac:dyDescent="0.25">
      <c r="A1676" s="1039">
        <v>2028</v>
      </c>
      <c r="B1676" s="1039">
        <f t="shared" si="1057"/>
        <v>19</v>
      </c>
      <c r="C1676" s="1039" t="str">
        <f t="shared" si="1058"/>
        <v>DESI AMBARWATI</v>
      </c>
      <c r="D1676" s="1040" t="str">
        <f t="shared" si="1059"/>
        <v>PAI-1B</v>
      </c>
      <c r="E1676" s="1041">
        <f t="shared" si="1060"/>
        <v>2020</v>
      </c>
      <c r="F1676" s="1040" t="str">
        <f t="shared" si="1061"/>
        <v>AKTIF</v>
      </c>
      <c r="G1676" s="1082">
        <f t="shared" si="1062"/>
        <v>203206030019</v>
      </c>
      <c r="H1676" s="1042">
        <f t="shared" si="1063"/>
        <v>6450000</v>
      </c>
      <c r="I1676" s="1042">
        <f t="shared" si="1064"/>
        <v>3750000</v>
      </c>
      <c r="J1676" s="1042">
        <f t="shared" si="1065"/>
        <v>10200000</v>
      </c>
      <c r="L1676" s="1060">
        <f t="shared" si="1071"/>
        <v>1</v>
      </c>
      <c r="M1676" s="1060">
        <f t="shared" si="1072"/>
        <v>0</v>
      </c>
      <c r="N1676" s="1060">
        <f t="shared" si="1073"/>
        <v>0</v>
      </c>
      <c r="O1676" s="1060">
        <f t="shared" si="1074"/>
        <v>0</v>
      </c>
      <c r="P1676" s="1060">
        <f t="shared" si="1075"/>
        <v>0</v>
      </c>
    </row>
    <row r="1677" spans="1:16" x14ac:dyDescent="0.25">
      <c r="A1677" s="1039">
        <v>2029</v>
      </c>
      <c r="B1677" s="1039">
        <f t="shared" si="1057"/>
        <v>20</v>
      </c>
      <c r="C1677" s="1039" t="str">
        <f t="shared" si="1058"/>
        <v>FATMALA BALULU</v>
      </c>
      <c r="D1677" s="1040" t="str">
        <f t="shared" si="1059"/>
        <v>PAI-1B</v>
      </c>
      <c r="E1677" s="1041">
        <f t="shared" si="1060"/>
        <v>2020</v>
      </c>
      <c r="F1677" s="1040" t="str">
        <f t="shared" si="1061"/>
        <v>AKTIF</v>
      </c>
      <c r="G1677" s="1082">
        <f t="shared" si="1062"/>
        <v>203206030020</v>
      </c>
      <c r="H1677" s="1042">
        <f t="shared" si="1063"/>
        <v>6450000</v>
      </c>
      <c r="I1677" s="1042">
        <f t="shared" si="1064"/>
        <v>3750000</v>
      </c>
      <c r="J1677" s="1042">
        <f t="shared" si="1065"/>
        <v>10200000</v>
      </c>
      <c r="L1677" s="1060">
        <f t="shared" si="1071"/>
        <v>1</v>
      </c>
      <c r="M1677" s="1060">
        <f t="shared" si="1072"/>
        <v>0</v>
      </c>
      <c r="N1677" s="1060">
        <f t="shared" si="1073"/>
        <v>0</v>
      </c>
      <c r="O1677" s="1060">
        <f t="shared" si="1074"/>
        <v>0</v>
      </c>
      <c r="P1677" s="1060">
        <f t="shared" si="1075"/>
        <v>0</v>
      </c>
    </row>
    <row r="1678" spans="1:16" x14ac:dyDescent="0.25">
      <c r="A1678" s="1039">
        <v>2030</v>
      </c>
      <c r="B1678" s="1039">
        <f t="shared" si="1057"/>
        <v>21</v>
      </c>
      <c r="C1678" s="1039" t="str">
        <f t="shared" si="1058"/>
        <v>FIRDA SARI</v>
      </c>
      <c r="D1678" s="1040" t="str">
        <f t="shared" si="1059"/>
        <v>PAI-1B</v>
      </c>
      <c r="E1678" s="1041">
        <f t="shared" si="1060"/>
        <v>2020</v>
      </c>
      <c r="F1678" s="1040" t="str">
        <f t="shared" si="1061"/>
        <v>AKTIF</v>
      </c>
      <c r="G1678" s="1082">
        <f t="shared" si="1062"/>
        <v>203206030021</v>
      </c>
      <c r="H1678" s="1042">
        <f t="shared" si="1063"/>
        <v>6450000</v>
      </c>
      <c r="I1678" s="1042">
        <f t="shared" si="1064"/>
        <v>3750000</v>
      </c>
      <c r="J1678" s="1042">
        <f t="shared" si="1065"/>
        <v>10200000</v>
      </c>
      <c r="L1678" s="1060">
        <f t="shared" si="1071"/>
        <v>1</v>
      </c>
      <c r="M1678" s="1060">
        <f t="shared" si="1072"/>
        <v>0</v>
      </c>
      <c r="N1678" s="1060">
        <f t="shared" si="1073"/>
        <v>0</v>
      </c>
      <c r="O1678" s="1060">
        <f t="shared" si="1074"/>
        <v>0</v>
      </c>
      <c r="P1678" s="1060">
        <f t="shared" si="1075"/>
        <v>0</v>
      </c>
    </row>
    <row r="1679" spans="1:16" x14ac:dyDescent="0.25">
      <c r="A1679" s="1039">
        <v>2031</v>
      </c>
      <c r="B1679" s="1039">
        <f t="shared" si="1057"/>
        <v>22</v>
      </c>
      <c r="C1679" s="1039" t="str">
        <f t="shared" si="1058"/>
        <v>HUSNUL MAULIDIYAH</v>
      </c>
      <c r="D1679" s="1040" t="str">
        <f t="shared" si="1059"/>
        <v>PAI-1B</v>
      </c>
      <c r="E1679" s="1041">
        <f t="shared" si="1060"/>
        <v>2020</v>
      </c>
      <c r="F1679" s="1040" t="str">
        <f t="shared" si="1061"/>
        <v>AKTIF</v>
      </c>
      <c r="G1679" s="1082">
        <f t="shared" si="1062"/>
        <v>203206030022</v>
      </c>
      <c r="H1679" s="1042">
        <f t="shared" si="1063"/>
        <v>6450000</v>
      </c>
      <c r="I1679" s="1042">
        <f t="shared" si="1064"/>
        <v>3750000</v>
      </c>
      <c r="J1679" s="1042">
        <f t="shared" si="1065"/>
        <v>10200000</v>
      </c>
      <c r="L1679" s="1060">
        <f t="shared" si="1071"/>
        <v>1</v>
      </c>
      <c r="M1679" s="1060">
        <f t="shared" si="1072"/>
        <v>0</v>
      </c>
      <c r="N1679" s="1060">
        <f t="shared" si="1073"/>
        <v>0</v>
      </c>
      <c r="O1679" s="1060">
        <f t="shared" si="1074"/>
        <v>0</v>
      </c>
      <c r="P1679" s="1060">
        <f t="shared" si="1075"/>
        <v>0</v>
      </c>
    </row>
    <row r="1680" spans="1:16" x14ac:dyDescent="0.25">
      <c r="A1680" s="1039">
        <v>2032</v>
      </c>
      <c r="B1680" s="1039">
        <f t="shared" si="1057"/>
        <v>23</v>
      </c>
      <c r="C1680" s="1039" t="str">
        <f t="shared" si="1058"/>
        <v>IBNU JIHAD AL ADZIM</v>
      </c>
      <c r="D1680" s="1040" t="str">
        <f t="shared" si="1059"/>
        <v>PAI-1B</v>
      </c>
      <c r="E1680" s="1041">
        <f t="shared" si="1060"/>
        <v>2020</v>
      </c>
      <c r="F1680" s="1040" t="str">
        <f t="shared" si="1061"/>
        <v>AKTIF</v>
      </c>
      <c r="G1680" s="1082">
        <f t="shared" si="1062"/>
        <v>203206030023</v>
      </c>
      <c r="H1680" s="1042">
        <f t="shared" si="1063"/>
        <v>6450000</v>
      </c>
      <c r="I1680" s="1042">
        <f t="shared" si="1064"/>
        <v>3750000</v>
      </c>
      <c r="J1680" s="1042">
        <f t="shared" si="1065"/>
        <v>10200000</v>
      </c>
      <c r="L1680" s="1060">
        <f t="shared" si="1071"/>
        <v>1</v>
      </c>
      <c r="M1680" s="1060">
        <f t="shared" si="1072"/>
        <v>0</v>
      </c>
      <c r="N1680" s="1060">
        <f t="shared" si="1073"/>
        <v>0</v>
      </c>
      <c r="O1680" s="1060">
        <f t="shared" si="1074"/>
        <v>0</v>
      </c>
      <c r="P1680" s="1060">
        <f t="shared" si="1075"/>
        <v>0</v>
      </c>
    </row>
    <row r="1681" spans="1:16" x14ac:dyDescent="0.25">
      <c r="A1681" s="1039">
        <v>2033</v>
      </c>
      <c r="B1681" s="1039">
        <f t="shared" si="1057"/>
        <v>24</v>
      </c>
      <c r="C1681" s="1039" t="str">
        <f t="shared" si="1058"/>
        <v>IHWAN NUR HUDA</v>
      </c>
      <c r="D1681" s="1040" t="str">
        <f t="shared" si="1059"/>
        <v>PAI-1B</v>
      </c>
      <c r="E1681" s="1041">
        <f t="shared" si="1060"/>
        <v>2020</v>
      </c>
      <c r="F1681" s="1040" t="str">
        <f t="shared" si="1061"/>
        <v>AKTIF</v>
      </c>
      <c r="G1681" s="1082">
        <f t="shared" si="1062"/>
        <v>203206030024</v>
      </c>
      <c r="H1681" s="1042">
        <f t="shared" si="1063"/>
        <v>6450000</v>
      </c>
      <c r="I1681" s="1042">
        <f t="shared" si="1064"/>
        <v>3750000</v>
      </c>
      <c r="J1681" s="1042">
        <f t="shared" si="1065"/>
        <v>10200000</v>
      </c>
      <c r="L1681" s="1060">
        <f t="shared" si="1071"/>
        <v>1</v>
      </c>
      <c r="M1681" s="1060">
        <f t="shared" si="1072"/>
        <v>0</v>
      </c>
      <c r="N1681" s="1060">
        <f t="shared" si="1073"/>
        <v>0</v>
      </c>
      <c r="O1681" s="1060">
        <f t="shared" si="1074"/>
        <v>0</v>
      </c>
      <c r="P1681" s="1060">
        <f t="shared" si="1075"/>
        <v>0</v>
      </c>
    </row>
    <row r="1682" spans="1:16" x14ac:dyDescent="0.25">
      <c r="A1682" s="1039">
        <v>2034</v>
      </c>
      <c r="B1682" s="1039">
        <f t="shared" si="1057"/>
        <v>25</v>
      </c>
      <c r="C1682" s="1039" t="str">
        <f t="shared" si="1058"/>
        <v>IMELITA EKA ROSITA</v>
      </c>
      <c r="D1682" s="1040" t="str">
        <f t="shared" si="1059"/>
        <v>PAI-1B</v>
      </c>
      <c r="E1682" s="1041">
        <f t="shared" si="1060"/>
        <v>2020</v>
      </c>
      <c r="F1682" s="1040" t="str">
        <f t="shared" si="1061"/>
        <v>AKTIF</v>
      </c>
      <c r="G1682" s="1082">
        <f t="shared" si="1062"/>
        <v>203206030025</v>
      </c>
      <c r="H1682" s="1042">
        <f t="shared" si="1063"/>
        <v>6450000</v>
      </c>
      <c r="I1682" s="1042">
        <f t="shared" si="1064"/>
        <v>3750000</v>
      </c>
      <c r="J1682" s="1042">
        <f t="shared" si="1065"/>
        <v>10200000</v>
      </c>
      <c r="L1682" s="1060">
        <f t="shared" si="1071"/>
        <v>1</v>
      </c>
      <c r="M1682" s="1060">
        <f t="shared" si="1072"/>
        <v>0</v>
      </c>
      <c r="N1682" s="1060">
        <f t="shared" si="1073"/>
        <v>0</v>
      </c>
      <c r="O1682" s="1060">
        <f t="shared" si="1074"/>
        <v>0</v>
      </c>
      <c r="P1682" s="1060">
        <f t="shared" si="1075"/>
        <v>0</v>
      </c>
    </row>
    <row r="1683" spans="1:16" x14ac:dyDescent="0.25">
      <c r="A1683" s="1039">
        <v>2035</v>
      </c>
      <c r="B1683" s="1039">
        <f t="shared" si="1057"/>
        <v>26</v>
      </c>
      <c r="C1683" s="1039" t="str">
        <f t="shared" si="1058"/>
        <v>KHAIRI</v>
      </c>
      <c r="D1683" s="1040" t="str">
        <f t="shared" si="1059"/>
        <v>PAI-1B</v>
      </c>
      <c r="E1683" s="1041">
        <f t="shared" si="1060"/>
        <v>2020</v>
      </c>
      <c r="F1683" s="1040" t="str">
        <f t="shared" si="1061"/>
        <v>AKTIF</v>
      </c>
      <c r="G1683" s="1082">
        <f t="shared" si="1062"/>
        <v>203206030026</v>
      </c>
      <c r="H1683" s="1042">
        <f t="shared" si="1063"/>
        <v>6450000</v>
      </c>
      <c r="I1683" s="1042">
        <f t="shared" si="1064"/>
        <v>3750000</v>
      </c>
      <c r="J1683" s="1042">
        <f t="shared" si="1065"/>
        <v>10200000</v>
      </c>
      <c r="L1683" s="1060">
        <f t="shared" si="1071"/>
        <v>1</v>
      </c>
      <c r="M1683" s="1060">
        <f t="shared" si="1072"/>
        <v>0</v>
      </c>
      <c r="N1683" s="1060">
        <f t="shared" si="1073"/>
        <v>0</v>
      </c>
      <c r="O1683" s="1060">
        <f t="shared" si="1074"/>
        <v>0</v>
      </c>
      <c r="P1683" s="1060">
        <f t="shared" si="1075"/>
        <v>0</v>
      </c>
    </row>
    <row r="1684" spans="1:16" x14ac:dyDescent="0.25">
      <c r="A1684" s="1039">
        <v>2036</v>
      </c>
      <c r="B1684" s="1039">
        <f t="shared" si="1057"/>
        <v>27</v>
      </c>
      <c r="C1684" s="1039" t="str">
        <f t="shared" si="1058"/>
        <v>KHITTOTUN NAHIDIN</v>
      </c>
      <c r="D1684" s="1040" t="str">
        <f t="shared" si="1059"/>
        <v>PAI-1B</v>
      </c>
      <c r="E1684" s="1041">
        <f t="shared" si="1060"/>
        <v>2020</v>
      </c>
      <c r="F1684" s="1040" t="str">
        <f t="shared" si="1061"/>
        <v>AKTIF</v>
      </c>
      <c r="G1684" s="1082">
        <f t="shared" si="1062"/>
        <v>203206030027</v>
      </c>
      <c r="H1684" s="1042">
        <f t="shared" si="1063"/>
        <v>6450000</v>
      </c>
      <c r="I1684" s="1042">
        <f t="shared" si="1064"/>
        <v>3750000</v>
      </c>
      <c r="J1684" s="1042">
        <f t="shared" si="1065"/>
        <v>10200000</v>
      </c>
      <c r="L1684" s="1060">
        <f t="shared" si="1071"/>
        <v>1</v>
      </c>
      <c r="M1684" s="1060">
        <f t="shared" si="1072"/>
        <v>0</v>
      </c>
      <c r="N1684" s="1060">
        <f t="shared" si="1073"/>
        <v>0</v>
      </c>
      <c r="O1684" s="1060">
        <f t="shared" si="1074"/>
        <v>0</v>
      </c>
      <c r="P1684" s="1060">
        <f t="shared" si="1075"/>
        <v>0</v>
      </c>
    </row>
    <row r="1685" spans="1:16" x14ac:dyDescent="0.25">
      <c r="A1685" s="1039">
        <v>2037</v>
      </c>
      <c r="B1685" s="1039">
        <f t="shared" si="1057"/>
        <v>28</v>
      </c>
      <c r="C1685" s="1039" t="str">
        <f t="shared" si="1058"/>
        <v>KONITATUS SAJIAH</v>
      </c>
      <c r="D1685" s="1040" t="str">
        <f t="shared" si="1059"/>
        <v>PAI-1B</v>
      </c>
      <c r="E1685" s="1041">
        <f t="shared" si="1060"/>
        <v>2020</v>
      </c>
      <c r="F1685" s="1040" t="str">
        <f t="shared" si="1061"/>
        <v>AKTIF</v>
      </c>
      <c r="G1685" s="1082">
        <f t="shared" si="1062"/>
        <v>203206030028</v>
      </c>
      <c r="H1685" s="1042">
        <f t="shared" si="1063"/>
        <v>6450000</v>
      </c>
      <c r="I1685" s="1042">
        <f t="shared" si="1064"/>
        <v>3750000</v>
      </c>
      <c r="J1685" s="1042">
        <f t="shared" si="1065"/>
        <v>10200000</v>
      </c>
      <c r="L1685" s="1060">
        <f t="shared" si="1071"/>
        <v>1</v>
      </c>
      <c r="M1685" s="1060">
        <f t="shared" si="1072"/>
        <v>0</v>
      </c>
      <c r="N1685" s="1060">
        <f t="shared" si="1073"/>
        <v>0</v>
      </c>
      <c r="O1685" s="1060">
        <f t="shared" si="1074"/>
        <v>0</v>
      </c>
      <c r="P1685" s="1060">
        <f t="shared" si="1075"/>
        <v>0</v>
      </c>
    </row>
    <row r="1686" spans="1:16" x14ac:dyDescent="0.25">
      <c r="A1686" s="1039">
        <v>2038</v>
      </c>
      <c r="B1686" s="1039">
        <f t="shared" si="1057"/>
        <v>29</v>
      </c>
      <c r="C1686" s="1039" t="str">
        <f t="shared" si="1058"/>
        <v>LULUK MUKARROMAH</v>
      </c>
      <c r="D1686" s="1040" t="str">
        <f t="shared" si="1059"/>
        <v>PAI-1B</v>
      </c>
      <c r="E1686" s="1041">
        <f t="shared" si="1060"/>
        <v>2020</v>
      </c>
      <c r="F1686" s="1040" t="str">
        <f t="shared" si="1061"/>
        <v>AKTIF</v>
      </c>
      <c r="G1686" s="1082">
        <f t="shared" si="1062"/>
        <v>203206030029</v>
      </c>
      <c r="H1686" s="1042">
        <f t="shared" si="1063"/>
        <v>6450000</v>
      </c>
      <c r="I1686" s="1042">
        <f t="shared" si="1064"/>
        <v>3750000</v>
      </c>
      <c r="J1686" s="1042">
        <f t="shared" si="1065"/>
        <v>10200000</v>
      </c>
      <c r="L1686" s="1060">
        <f t="shared" si="1071"/>
        <v>1</v>
      </c>
      <c r="M1686" s="1060">
        <f t="shared" si="1072"/>
        <v>0</v>
      </c>
      <c r="N1686" s="1060">
        <f t="shared" si="1073"/>
        <v>0</v>
      </c>
      <c r="O1686" s="1060">
        <f t="shared" si="1074"/>
        <v>0</v>
      </c>
      <c r="P1686" s="1060">
        <f t="shared" si="1075"/>
        <v>0</v>
      </c>
    </row>
    <row r="1687" spans="1:16" x14ac:dyDescent="0.25">
      <c r="A1687" s="1039">
        <v>2039</v>
      </c>
      <c r="B1687" s="1039">
        <f t="shared" si="1057"/>
        <v>30</v>
      </c>
      <c r="C1687" s="1039" t="str">
        <f t="shared" si="1058"/>
        <v>MADALIATUL JANNAH</v>
      </c>
      <c r="D1687" s="1040" t="str">
        <f t="shared" si="1059"/>
        <v>PAI-1B</v>
      </c>
      <c r="E1687" s="1041">
        <f t="shared" si="1060"/>
        <v>2020</v>
      </c>
      <c r="F1687" s="1040" t="str">
        <f t="shared" si="1061"/>
        <v>AKTIF</v>
      </c>
      <c r="G1687" s="1082">
        <f t="shared" si="1062"/>
        <v>203206030030</v>
      </c>
      <c r="H1687" s="1042">
        <f t="shared" si="1063"/>
        <v>6450000</v>
      </c>
      <c r="I1687" s="1042">
        <f t="shared" si="1064"/>
        <v>3750000</v>
      </c>
      <c r="J1687" s="1042">
        <f t="shared" si="1065"/>
        <v>10200000</v>
      </c>
      <c r="L1687" s="1060">
        <f t="shared" si="1071"/>
        <v>1</v>
      </c>
      <c r="M1687" s="1060">
        <f t="shared" si="1072"/>
        <v>0</v>
      </c>
      <c r="N1687" s="1060">
        <f t="shared" si="1073"/>
        <v>0</v>
      </c>
      <c r="O1687" s="1060">
        <f t="shared" si="1074"/>
        <v>0</v>
      </c>
      <c r="P1687" s="1060">
        <f t="shared" si="1075"/>
        <v>0</v>
      </c>
    </row>
    <row r="1688" spans="1:16" x14ac:dyDescent="0.25">
      <c r="A1688" s="1039">
        <v>2040</v>
      </c>
      <c r="B1688" s="1039">
        <f t="shared" si="1057"/>
        <v>31</v>
      </c>
      <c r="C1688" s="1039" t="str">
        <f t="shared" si="1058"/>
        <v>MAULANA ISHAQ</v>
      </c>
      <c r="D1688" s="1040" t="str">
        <f t="shared" si="1059"/>
        <v>PAI-1B</v>
      </c>
      <c r="E1688" s="1041">
        <f t="shared" si="1060"/>
        <v>2020</v>
      </c>
      <c r="F1688" s="1040" t="str">
        <f t="shared" si="1061"/>
        <v>AKTIF</v>
      </c>
      <c r="G1688" s="1082">
        <f t="shared" si="1062"/>
        <v>203206030031</v>
      </c>
      <c r="H1688" s="1042">
        <f t="shared" si="1063"/>
        <v>6450000</v>
      </c>
      <c r="I1688" s="1042">
        <f t="shared" si="1064"/>
        <v>3750000</v>
      </c>
      <c r="J1688" s="1042">
        <f t="shared" si="1065"/>
        <v>10200000</v>
      </c>
      <c r="L1688" s="1060">
        <f t="shared" si="1071"/>
        <v>1</v>
      </c>
      <c r="M1688" s="1060">
        <f t="shared" si="1072"/>
        <v>0</v>
      </c>
      <c r="N1688" s="1060">
        <f t="shared" si="1073"/>
        <v>0</v>
      </c>
      <c r="O1688" s="1060">
        <f t="shared" si="1074"/>
        <v>0</v>
      </c>
      <c r="P1688" s="1060">
        <f t="shared" si="1075"/>
        <v>0</v>
      </c>
    </row>
    <row r="1689" spans="1:16" x14ac:dyDescent="0.25">
      <c r="A1689" s="1039">
        <v>2041</v>
      </c>
      <c r="B1689" s="1039">
        <f t="shared" si="1057"/>
        <v>32</v>
      </c>
      <c r="C1689" s="1039" t="str">
        <f t="shared" si="1058"/>
        <v>MEDIA ASNI FUROIDA</v>
      </c>
      <c r="D1689" s="1040" t="str">
        <f t="shared" si="1059"/>
        <v>PAI-1B</v>
      </c>
      <c r="E1689" s="1041">
        <f t="shared" si="1060"/>
        <v>2020</v>
      </c>
      <c r="F1689" s="1040" t="str">
        <f t="shared" si="1061"/>
        <v>AKTIF</v>
      </c>
      <c r="G1689" s="1082">
        <f t="shared" si="1062"/>
        <v>203206030032</v>
      </c>
      <c r="H1689" s="1042">
        <f t="shared" si="1063"/>
        <v>6450000</v>
      </c>
      <c r="I1689" s="1042">
        <f t="shared" si="1064"/>
        <v>3750000</v>
      </c>
      <c r="J1689" s="1042">
        <f t="shared" si="1065"/>
        <v>10200000</v>
      </c>
      <c r="L1689" s="1060">
        <f t="shared" si="1071"/>
        <v>1</v>
      </c>
      <c r="M1689" s="1060">
        <f t="shared" si="1072"/>
        <v>0</v>
      </c>
      <c r="N1689" s="1060">
        <f t="shared" si="1073"/>
        <v>0</v>
      </c>
      <c r="O1689" s="1060">
        <f t="shared" si="1074"/>
        <v>0</v>
      </c>
      <c r="P1689" s="1060">
        <f t="shared" si="1075"/>
        <v>0</v>
      </c>
    </row>
    <row r="1690" spans="1:16" x14ac:dyDescent="0.25">
      <c r="A1690" s="1039">
        <v>2042</v>
      </c>
      <c r="B1690" s="1039">
        <f t="shared" si="1057"/>
        <v>33</v>
      </c>
      <c r="C1690" s="1039" t="str">
        <f t="shared" ref="C1690:C1711" si="1076">IFERROR(VLOOKUP(A1690,DB,4,FALSE),"")</f>
        <v>MOCHAMAD ZAIMUN NADZOR</v>
      </c>
      <c r="D1690" s="1040" t="str">
        <f t="shared" ref="D1690:D1711" si="1077">IFERROR(VLOOKUP(A1690,DB,5,FALSE),"")</f>
        <v>PAI-1B</v>
      </c>
      <c r="E1690" s="1041">
        <f t="shared" ref="E1690:E1711" si="1078">IFERROR(VLOOKUP(A1690,DB,6,FALSE),"")</f>
        <v>2020</v>
      </c>
      <c r="F1690" s="1040" t="str">
        <f t="shared" ref="F1690:F1711" si="1079">IFERROR(VLOOKUP(A1690,DB,7,FALSE),"")</f>
        <v>AKTIF</v>
      </c>
      <c r="G1690" s="1082">
        <f t="shared" ref="G1690:G1711" si="1080">IFERROR(VLOOKUP(A1690,DB,3,FALSE),"")</f>
        <v>203206030033</v>
      </c>
      <c r="H1690" s="1042">
        <f t="shared" si="1063"/>
        <v>6450000</v>
      </c>
      <c r="I1690" s="1042">
        <f t="shared" si="1064"/>
        <v>3750000</v>
      </c>
      <c r="J1690" s="1042">
        <f t="shared" si="1065"/>
        <v>10200000</v>
      </c>
      <c r="L1690" s="1060">
        <f t="shared" si="1071"/>
        <v>1</v>
      </c>
      <c r="M1690" s="1060">
        <f t="shared" si="1072"/>
        <v>0</v>
      </c>
      <c r="N1690" s="1060">
        <f t="shared" si="1073"/>
        <v>0</v>
      </c>
      <c r="O1690" s="1060">
        <f t="shared" si="1074"/>
        <v>0</v>
      </c>
      <c r="P1690" s="1060">
        <f t="shared" si="1075"/>
        <v>0</v>
      </c>
    </row>
    <row r="1691" spans="1:16" x14ac:dyDescent="0.25">
      <c r="A1691" s="1039">
        <v>2043</v>
      </c>
      <c r="B1691" s="1039">
        <f t="shared" si="1057"/>
        <v>34</v>
      </c>
      <c r="C1691" s="1039" t="str">
        <f t="shared" si="1076"/>
        <v>MOCHAMMAD IQBAL HAMZAH FANZURI</v>
      </c>
      <c r="D1691" s="1040" t="str">
        <f t="shared" si="1077"/>
        <v>PAI-1C</v>
      </c>
      <c r="E1691" s="1041">
        <f t="shared" si="1078"/>
        <v>2020</v>
      </c>
      <c r="F1691" s="1040" t="str">
        <f t="shared" si="1079"/>
        <v>AKTIF</v>
      </c>
      <c r="G1691" s="1082">
        <f t="shared" si="1080"/>
        <v>203206030034</v>
      </c>
      <c r="H1691" s="1042">
        <f t="shared" si="1063"/>
        <v>6450000</v>
      </c>
      <c r="I1691" s="1042">
        <f t="shared" si="1064"/>
        <v>3750000</v>
      </c>
      <c r="J1691" s="1042">
        <f t="shared" si="1065"/>
        <v>10200000</v>
      </c>
      <c r="L1691" s="1060">
        <f t="shared" si="1071"/>
        <v>1</v>
      </c>
      <c r="M1691" s="1060">
        <f t="shared" si="1072"/>
        <v>0</v>
      </c>
      <c r="N1691" s="1060">
        <f t="shared" si="1073"/>
        <v>0</v>
      </c>
      <c r="O1691" s="1060">
        <f t="shared" si="1074"/>
        <v>0</v>
      </c>
      <c r="P1691" s="1060">
        <f t="shared" si="1075"/>
        <v>0</v>
      </c>
    </row>
    <row r="1692" spans="1:16" x14ac:dyDescent="0.25">
      <c r="A1692" s="1039">
        <v>2044</v>
      </c>
      <c r="B1692" s="1039">
        <f t="shared" si="1057"/>
        <v>35</v>
      </c>
      <c r="C1692" s="1039" t="str">
        <f t="shared" si="1076"/>
        <v>MOHAMAD CHANIF</v>
      </c>
      <c r="D1692" s="1040" t="str">
        <f t="shared" si="1077"/>
        <v>PAI-1C</v>
      </c>
      <c r="E1692" s="1041">
        <f t="shared" si="1078"/>
        <v>2020</v>
      </c>
      <c r="F1692" s="1040" t="str">
        <f t="shared" si="1079"/>
        <v>AKTIF</v>
      </c>
      <c r="G1692" s="1082">
        <f t="shared" si="1080"/>
        <v>203206030035</v>
      </c>
      <c r="H1692" s="1042">
        <f t="shared" si="1063"/>
        <v>6450000</v>
      </c>
      <c r="I1692" s="1042">
        <f t="shared" si="1064"/>
        <v>3750000</v>
      </c>
      <c r="J1692" s="1042">
        <f t="shared" si="1065"/>
        <v>10200000</v>
      </c>
      <c r="L1692" s="1060">
        <f t="shared" si="1071"/>
        <v>1</v>
      </c>
      <c r="M1692" s="1060">
        <f t="shared" si="1072"/>
        <v>0</v>
      </c>
      <c r="N1692" s="1060">
        <f t="shared" si="1073"/>
        <v>0</v>
      </c>
      <c r="O1692" s="1060">
        <f t="shared" si="1074"/>
        <v>0</v>
      </c>
      <c r="P1692" s="1060">
        <f t="shared" si="1075"/>
        <v>0</v>
      </c>
    </row>
    <row r="1693" spans="1:16" x14ac:dyDescent="0.25">
      <c r="A1693" s="1039">
        <v>2045</v>
      </c>
      <c r="B1693" s="1039">
        <f t="shared" si="1057"/>
        <v>36</v>
      </c>
      <c r="C1693" s="1039" t="str">
        <f t="shared" si="1076"/>
        <v>MUCH FAHMI ILMAN</v>
      </c>
      <c r="D1693" s="1040" t="str">
        <f t="shared" si="1077"/>
        <v>PAI-1C</v>
      </c>
      <c r="E1693" s="1041">
        <f t="shared" si="1078"/>
        <v>2020</v>
      </c>
      <c r="F1693" s="1040" t="str">
        <f t="shared" si="1079"/>
        <v>AKTIF</v>
      </c>
      <c r="G1693" s="1082">
        <f t="shared" si="1080"/>
        <v>203206030036</v>
      </c>
      <c r="H1693" s="1042">
        <f t="shared" si="1063"/>
        <v>6450000</v>
      </c>
      <c r="I1693" s="1042">
        <f t="shared" si="1064"/>
        <v>3750000</v>
      </c>
      <c r="J1693" s="1042">
        <f t="shared" si="1065"/>
        <v>10200000</v>
      </c>
      <c r="L1693" s="1060">
        <f t="shared" si="1071"/>
        <v>1</v>
      </c>
      <c r="M1693" s="1060">
        <f t="shared" si="1072"/>
        <v>0</v>
      </c>
      <c r="N1693" s="1060">
        <f t="shared" si="1073"/>
        <v>0</v>
      </c>
      <c r="O1693" s="1060">
        <f t="shared" si="1074"/>
        <v>0</v>
      </c>
      <c r="P1693" s="1060">
        <f t="shared" si="1075"/>
        <v>0</v>
      </c>
    </row>
    <row r="1694" spans="1:16" x14ac:dyDescent="0.25">
      <c r="A1694" s="1039">
        <v>2046</v>
      </c>
      <c r="B1694" s="1039">
        <f t="shared" si="1057"/>
        <v>37</v>
      </c>
      <c r="C1694" s="1039" t="str">
        <f t="shared" si="1076"/>
        <v>MUHAMMAD QURROTUL AYNAN</v>
      </c>
      <c r="D1694" s="1040" t="str">
        <f t="shared" si="1077"/>
        <v>PAI-1C</v>
      </c>
      <c r="E1694" s="1041">
        <f t="shared" si="1078"/>
        <v>2020</v>
      </c>
      <c r="F1694" s="1040" t="str">
        <f t="shared" si="1079"/>
        <v>AKTIF</v>
      </c>
      <c r="G1694" s="1082">
        <f t="shared" si="1080"/>
        <v>203206030037</v>
      </c>
      <c r="H1694" s="1042">
        <f t="shared" si="1063"/>
        <v>6450000</v>
      </c>
      <c r="I1694" s="1042">
        <f t="shared" si="1064"/>
        <v>3750000</v>
      </c>
      <c r="J1694" s="1042">
        <f t="shared" si="1065"/>
        <v>10200000</v>
      </c>
      <c r="L1694" s="1060">
        <f t="shared" si="1071"/>
        <v>1</v>
      </c>
      <c r="M1694" s="1060">
        <f t="shared" si="1072"/>
        <v>0</v>
      </c>
      <c r="N1694" s="1060">
        <f t="shared" si="1073"/>
        <v>0</v>
      </c>
      <c r="O1694" s="1060">
        <f t="shared" si="1074"/>
        <v>0</v>
      </c>
      <c r="P1694" s="1060">
        <f t="shared" si="1075"/>
        <v>0</v>
      </c>
    </row>
    <row r="1695" spans="1:16" x14ac:dyDescent="0.25">
      <c r="A1695" s="1039">
        <v>2047</v>
      </c>
      <c r="B1695" s="1039">
        <f t="shared" si="1057"/>
        <v>38</v>
      </c>
      <c r="C1695" s="1039" t="str">
        <f t="shared" si="1076"/>
        <v>MUHAMMAD RIFAN FAHRURROZI</v>
      </c>
      <c r="D1695" s="1040" t="str">
        <f t="shared" si="1077"/>
        <v>PAI-1C</v>
      </c>
      <c r="E1695" s="1041">
        <f t="shared" si="1078"/>
        <v>2020</v>
      </c>
      <c r="F1695" s="1040" t="str">
        <f t="shared" si="1079"/>
        <v>AKTIF</v>
      </c>
      <c r="G1695" s="1082">
        <f t="shared" si="1080"/>
        <v>203206030038</v>
      </c>
      <c r="H1695" s="1042">
        <f t="shared" si="1063"/>
        <v>6450000</v>
      </c>
      <c r="I1695" s="1042">
        <f t="shared" si="1064"/>
        <v>3750000</v>
      </c>
      <c r="J1695" s="1042">
        <f t="shared" si="1065"/>
        <v>10200000</v>
      </c>
      <c r="L1695" s="1060">
        <f t="shared" si="1071"/>
        <v>1</v>
      </c>
      <c r="M1695" s="1060">
        <f t="shared" si="1072"/>
        <v>0</v>
      </c>
      <c r="N1695" s="1060">
        <f t="shared" si="1073"/>
        <v>0</v>
      </c>
      <c r="O1695" s="1060">
        <f t="shared" si="1074"/>
        <v>0</v>
      </c>
      <c r="P1695" s="1060">
        <f t="shared" si="1075"/>
        <v>0</v>
      </c>
    </row>
    <row r="1696" spans="1:16" x14ac:dyDescent="0.25">
      <c r="A1696" s="1039">
        <v>2048</v>
      </c>
      <c r="B1696" s="1039">
        <f t="shared" si="1057"/>
        <v>39</v>
      </c>
      <c r="C1696" s="1039" t="str">
        <f t="shared" si="1076"/>
        <v>MUHAMMAD SOLIHIN</v>
      </c>
      <c r="D1696" s="1040" t="str">
        <f t="shared" si="1077"/>
        <v>PAI-1C</v>
      </c>
      <c r="E1696" s="1041">
        <f t="shared" si="1078"/>
        <v>2020</v>
      </c>
      <c r="F1696" s="1040" t="str">
        <f t="shared" si="1079"/>
        <v>AKTIF</v>
      </c>
      <c r="G1696" s="1082">
        <f t="shared" si="1080"/>
        <v>203206030039</v>
      </c>
      <c r="H1696" s="1042">
        <f t="shared" si="1063"/>
        <v>6450000</v>
      </c>
      <c r="I1696" s="1042">
        <f t="shared" si="1064"/>
        <v>3750000</v>
      </c>
      <c r="J1696" s="1042">
        <f t="shared" si="1065"/>
        <v>10200000</v>
      </c>
      <c r="L1696" s="1060">
        <f t="shared" si="1071"/>
        <v>1</v>
      </c>
      <c r="M1696" s="1060">
        <f t="shared" si="1072"/>
        <v>0</v>
      </c>
      <c r="N1696" s="1060">
        <f t="shared" si="1073"/>
        <v>0</v>
      </c>
      <c r="O1696" s="1060">
        <f t="shared" si="1074"/>
        <v>0</v>
      </c>
      <c r="P1696" s="1060">
        <f t="shared" si="1075"/>
        <v>0</v>
      </c>
    </row>
    <row r="1697" spans="1:16" x14ac:dyDescent="0.25">
      <c r="A1697" s="1039">
        <v>2049</v>
      </c>
      <c r="B1697" s="1039">
        <f t="shared" si="1057"/>
        <v>40</v>
      </c>
      <c r="C1697" s="1039" t="str">
        <f t="shared" si="1076"/>
        <v>NALA IZZATUL FARDANA ARWI</v>
      </c>
      <c r="D1697" s="1040" t="str">
        <f t="shared" si="1077"/>
        <v>PAI-1C</v>
      </c>
      <c r="E1697" s="1041">
        <f t="shared" si="1078"/>
        <v>2020</v>
      </c>
      <c r="F1697" s="1040" t="str">
        <f t="shared" si="1079"/>
        <v>AKTIF</v>
      </c>
      <c r="G1697" s="1082">
        <f t="shared" si="1080"/>
        <v>203206030040</v>
      </c>
      <c r="H1697" s="1042">
        <f t="shared" si="1063"/>
        <v>6450000</v>
      </c>
      <c r="I1697" s="1042">
        <f t="shared" si="1064"/>
        <v>3750000</v>
      </c>
      <c r="J1697" s="1042">
        <f t="shared" si="1065"/>
        <v>10200000</v>
      </c>
      <c r="L1697" s="1060">
        <f t="shared" si="1071"/>
        <v>1</v>
      </c>
      <c r="M1697" s="1060">
        <f t="shared" si="1072"/>
        <v>0</v>
      </c>
      <c r="N1697" s="1060">
        <f t="shared" si="1073"/>
        <v>0</v>
      </c>
      <c r="O1697" s="1060">
        <f t="shared" si="1074"/>
        <v>0</v>
      </c>
      <c r="P1697" s="1060">
        <f t="shared" si="1075"/>
        <v>0</v>
      </c>
    </row>
    <row r="1698" spans="1:16" x14ac:dyDescent="0.25">
      <c r="A1698" s="1039">
        <v>2050</v>
      </c>
      <c r="B1698" s="1039">
        <f t="shared" ref="B1698:B1711" si="1081">IFERROR(VLOOKUP(A1698,DB,2,FALSE),"")</f>
        <v>41</v>
      </c>
      <c r="C1698" s="1039" t="str">
        <f t="shared" si="1076"/>
        <v>NIBROS NAZILIYA</v>
      </c>
      <c r="D1698" s="1040" t="str">
        <f t="shared" si="1077"/>
        <v>PAI-1C</v>
      </c>
      <c r="E1698" s="1041">
        <f t="shared" si="1078"/>
        <v>2020</v>
      </c>
      <c r="F1698" s="1040" t="str">
        <f t="shared" si="1079"/>
        <v>AKTIF</v>
      </c>
      <c r="G1698" s="1082">
        <f t="shared" si="1080"/>
        <v>203206030041</v>
      </c>
      <c r="H1698" s="1042">
        <f t="shared" ref="H1698:H1711" si="1082">IF(F1698="AKTIF",6450000,IF(F1698="CUTI",3000000,0))</f>
        <v>6450000</v>
      </c>
      <c r="I1698" s="1042">
        <f t="shared" ref="I1698:I1711" si="1083">IF(F1698="AKTIF",3750000,IF(F1698="CUTI",3000000,0))</f>
        <v>3750000</v>
      </c>
      <c r="J1698" s="1042">
        <f t="shared" ref="J1698:J1711" si="1084">I1698+H1698</f>
        <v>10200000</v>
      </c>
      <c r="L1698" s="1060">
        <f t="shared" si="1071"/>
        <v>1</v>
      </c>
      <c r="M1698" s="1060">
        <f t="shared" si="1072"/>
        <v>0</v>
      </c>
      <c r="N1698" s="1060">
        <f t="shared" si="1073"/>
        <v>0</v>
      </c>
      <c r="O1698" s="1060">
        <f t="shared" si="1074"/>
        <v>0</v>
      </c>
      <c r="P1698" s="1060">
        <f t="shared" si="1075"/>
        <v>0</v>
      </c>
    </row>
    <row r="1699" spans="1:16" x14ac:dyDescent="0.25">
      <c r="A1699" s="1039">
        <v>2051</v>
      </c>
      <c r="B1699" s="1039">
        <f t="shared" si="1081"/>
        <v>42</v>
      </c>
      <c r="C1699" s="1039" t="str">
        <f t="shared" si="1076"/>
        <v>NIDAUL HASANAH SAFITRI</v>
      </c>
      <c r="D1699" s="1040" t="str">
        <f t="shared" si="1077"/>
        <v>PAI-1C</v>
      </c>
      <c r="E1699" s="1041">
        <f t="shared" si="1078"/>
        <v>2020</v>
      </c>
      <c r="F1699" s="1040" t="str">
        <f t="shared" si="1079"/>
        <v>AKTIF</v>
      </c>
      <c r="G1699" s="1082">
        <f t="shared" si="1080"/>
        <v>203206030042</v>
      </c>
      <c r="H1699" s="1042">
        <f t="shared" si="1082"/>
        <v>6450000</v>
      </c>
      <c r="I1699" s="1042">
        <f t="shared" si="1083"/>
        <v>3750000</v>
      </c>
      <c r="J1699" s="1042">
        <f t="shared" si="1084"/>
        <v>10200000</v>
      </c>
      <c r="L1699" s="1060">
        <f t="shared" si="1071"/>
        <v>1</v>
      </c>
      <c r="M1699" s="1060">
        <f t="shared" si="1072"/>
        <v>0</v>
      </c>
      <c r="N1699" s="1060">
        <f t="shared" si="1073"/>
        <v>0</v>
      </c>
      <c r="O1699" s="1060">
        <f t="shared" si="1074"/>
        <v>0</v>
      </c>
      <c r="P1699" s="1060">
        <f t="shared" si="1075"/>
        <v>0</v>
      </c>
    </row>
    <row r="1700" spans="1:16" x14ac:dyDescent="0.25">
      <c r="A1700" s="1039">
        <v>2052</v>
      </c>
      <c r="B1700" s="1039">
        <f t="shared" si="1081"/>
        <v>43</v>
      </c>
      <c r="C1700" s="1039" t="str">
        <f t="shared" si="1076"/>
        <v>NINGSIH MS</v>
      </c>
      <c r="D1700" s="1040" t="str">
        <f t="shared" si="1077"/>
        <v>PAI-1C</v>
      </c>
      <c r="E1700" s="1041">
        <f t="shared" si="1078"/>
        <v>2020</v>
      </c>
      <c r="F1700" s="1040" t="str">
        <f t="shared" si="1079"/>
        <v>AKTIF</v>
      </c>
      <c r="G1700" s="1082">
        <f t="shared" si="1080"/>
        <v>203206030043</v>
      </c>
      <c r="H1700" s="1042">
        <f t="shared" si="1082"/>
        <v>6450000</v>
      </c>
      <c r="I1700" s="1042">
        <f t="shared" si="1083"/>
        <v>3750000</v>
      </c>
      <c r="J1700" s="1042">
        <f t="shared" si="1084"/>
        <v>10200000</v>
      </c>
      <c r="L1700" s="1060">
        <f t="shared" si="1071"/>
        <v>1</v>
      </c>
      <c r="M1700" s="1060">
        <f t="shared" si="1072"/>
        <v>0</v>
      </c>
      <c r="N1700" s="1060">
        <f t="shared" si="1073"/>
        <v>0</v>
      </c>
      <c r="O1700" s="1060">
        <f t="shared" si="1074"/>
        <v>0</v>
      </c>
      <c r="P1700" s="1060">
        <f t="shared" si="1075"/>
        <v>0</v>
      </c>
    </row>
    <row r="1701" spans="1:16" x14ac:dyDescent="0.25">
      <c r="A1701" s="1039">
        <v>2053</v>
      </c>
      <c r="B1701" s="1039">
        <f t="shared" si="1081"/>
        <v>44</v>
      </c>
      <c r="C1701" s="1039" t="str">
        <f t="shared" si="1076"/>
        <v>NISAUL HUSNIYAH MS</v>
      </c>
      <c r="D1701" s="1040" t="str">
        <f t="shared" si="1077"/>
        <v>PAI-1C</v>
      </c>
      <c r="E1701" s="1041">
        <f t="shared" si="1078"/>
        <v>2020</v>
      </c>
      <c r="F1701" s="1040" t="str">
        <f t="shared" si="1079"/>
        <v>AKTIF</v>
      </c>
      <c r="G1701" s="1082">
        <f t="shared" si="1080"/>
        <v>203206030044</v>
      </c>
      <c r="H1701" s="1042">
        <f t="shared" si="1082"/>
        <v>6450000</v>
      </c>
      <c r="I1701" s="1042">
        <f t="shared" si="1083"/>
        <v>3750000</v>
      </c>
      <c r="J1701" s="1042">
        <f t="shared" si="1084"/>
        <v>10200000</v>
      </c>
      <c r="L1701" s="1060">
        <f t="shared" si="1071"/>
        <v>1</v>
      </c>
      <c r="M1701" s="1060">
        <f t="shared" si="1072"/>
        <v>0</v>
      </c>
      <c r="N1701" s="1060">
        <f t="shared" si="1073"/>
        <v>0</v>
      </c>
      <c r="O1701" s="1060">
        <f t="shared" si="1074"/>
        <v>0</v>
      </c>
      <c r="P1701" s="1060">
        <f t="shared" si="1075"/>
        <v>0</v>
      </c>
    </row>
    <row r="1702" spans="1:16" x14ac:dyDescent="0.25">
      <c r="A1702" s="1039">
        <v>2054</v>
      </c>
      <c r="B1702" s="1039">
        <f t="shared" si="1081"/>
        <v>45</v>
      </c>
      <c r="C1702" s="1039" t="str">
        <f t="shared" si="1076"/>
        <v>NOVI HARDANING TIYAS</v>
      </c>
      <c r="D1702" s="1040" t="str">
        <f t="shared" si="1077"/>
        <v>PAI-1C</v>
      </c>
      <c r="E1702" s="1041">
        <f t="shared" si="1078"/>
        <v>2020</v>
      </c>
      <c r="F1702" s="1040" t="str">
        <f t="shared" si="1079"/>
        <v>AKTIF</v>
      </c>
      <c r="G1702" s="1082">
        <f t="shared" si="1080"/>
        <v>203206030045</v>
      </c>
      <c r="H1702" s="1042">
        <f t="shared" si="1082"/>
        <v>6450000</v>
      </c>
      <c r="I1702" s="1042">
        <f t="shared" si="1083"/>
        <v>3750000</v>
      </c>
      <c r="J1702" s="1042">
        <f t="shared" si="1084"/>
        <v>10200000</v>
      </c>
      <c r="L1702" s="1060">
        <f t="shared" si="1071"/>
        <v>1</v>
      </c>
      <c r="M1702" s="1060">
        <f t="shared" si="1072"/>
        <v>0</v>
      </c>
      <c r="N1702" s="1060">
        <f t="shared" si="1073"/>
        <v>0</v>
      </c>
      <c r="O1702" s="1060">
        <f t="shared" si="1074"/>
        <v>0</v>
      </c>
      <c r="P1702" s="1060">
        <f t="shared" si="1075"/>
        <v>0</v>
      </c>
    </row>
    <row r="1703" spans="1:16" x14ac:dyDescent="0.25">
      <c r="A1703" s="1039">
        <v>2055</v>
      </c>
      <c r="B1703" s="1039">
        <f t="shared" si="1081"/>
        <v>46</v>
      </c>
      <c r="C1703" s="1039" t="str">
        <f t="shared" si="1076"/>
        <v>RI'AYATUN NAFISAH</v>
      </c>
      <c r="D1703" s="1040" t="str">
        <f t="shared" si="1077"/>
        <v>PAI-1C</v>
      </c>
      <c r="E1703" s="1041">
        <f t="shared" si="1078"/>
        <v>2020</v>
      </c>
      <c r="F1703" s="1040" t="str">
        <f t="shared" si="1079"/>
        <v>AKTIF</v>
      </c>
      <c r="G1703" s="1082">
        <f t="shared" si="1080"/>
        <v>203206030046</v>
      </c>
      <c r="H1703" s="1042">
        <f t="shared" si="1082"/>
        <v>6450000</v>
      </c>
      <c r="I1703" s="1042">
        <f t="shared" si="1083"/>
        <v>3750000</v>
      </c>
      <c r="J1703" s="1042">
        <f t="shared" si="1084"/>
        <v>10200000</v>
      </c>
      <c r="L1703" s="1060">
        <f t="shared" si="1071"/>
        <v>1</v>
      </c>
      <c r="M1703" s="1060">
        <f t="shared" si="1072"/>
        <v>0</v>
      </c>
      <c r="N1703" s="1060">
        <f t="shared" si="1073"/>
        <v>0</v>
      </c>
      <c r="O1703" s="1060">
        <f t="shared" si="1074"/>
        <v>0</v>
      </c>
      <c r="P1703" s="1060">
        <f t="shared" si="1075"/>
        <v>0</v>
      </c>
    </row>
    <row r="1704" spans="1:16" x14ac:dyDescent="0.25">
      <c r="A1704" s="1039">
        <v>2056</v>
      </c>
      <c r="B1704" s="1039">
        <f t="shared" si="1081"/>
        <v>47</v>
      </c>
      <c r="C1704" s="1039" t="str">
        <f t="shared" si="1076"/>
        <v>RIF'ATUS SHOLEHAH</v>
      </c>
      <c r="D1704" s="1040" t="str">
        <f t="shared" si="1077"/>
        <v>PAI-1C</v>
      </c>
      <c r="E1704" s="1041">
        <f t="shared" si="1078"/>
        <v>2020</v>
      </c>
      <c r="F1704" s="1040" t="str">
        <f t="shared" si="1079"/>
        <v>AKTIF</v>
      </c>
      <c r="G1704" s="1082">
        <f t="shared" si="1080"/>
        <v>203206030047</v>
      </c>
      <c r="H1704" s="1042">
        <f t="shared" si="1082"/>
        <v>6450000</v>
      </c>
      <c r="I1704" s="1042">
        <f t="shared" si="1083"/>
        <v>3750000</v>
      </c>
      <c r="J1704" s="1042">
        <f t="shared" si="1084"/>
        <v>10200000</v>
      </c>
      <c r="L1704" s="1060">
        <f t="shared" si="1071"/>
        <v>1</v>
      </c>
      <c r="M1704" s="1060">
        <f t="shared" si="1072"/>
        <v>0</v>
      </c>
      <c r="N1704" s="1060">
        <f t="shared" si="1073"/>
        <v>0</v>
      </c>
      <c r="O1704" s="1060">
        <f t="shared" si="1074"/>
        <v>0</v>
      </c>
      <c r="P1704" s="1060">
        <f t="shared" si="1075"/>
        <v>0</v>
      </c>
    </row>
    <row r="1705" spans="1:16" x14ac:dyDescent="0.25">
      <c r="A1705" s="1039">
        <v>2057</v>
      </c>
      <c r="B1705" s="1039">
        <f t="shared" si="1081"/>
        <v>48</v>
      </c>
      <c r="C1705" s="1039" t="str">
        <f t="shared" si="1076"/>
        <v>SHIFATUL ULYA</v>
      </c>
      <c r="D1705" s="1040" t="str">
        <f t="shared" si="1077"/>
        <v>PAI-1C</v>
      </c>
      <c r="E1705" s="1041">
        <f t="shared" si="1078"/>
        <v>2020</v>
      </c>
      <c r="F1705" s="1040" t="str">
        <f t="shared" si="1079"/>
        <v>AKTIF</v>
      </c>
      <c r="G1705" s="1082">
        <f t="shared" si="1080"/>
        <v>203206030048</v>
      </c>
      <c r="H1705" s="1042">
        <f t="shared" si="1082"/>
        <v>6450000</v>
      </c>
      <c r="I1705" s="1042">
        <f t="shared" si="1083"/>
        <v>3750000</v>
      </c>
      <c r="J1705" s="1042">
        <f t="shared" si="1084"/>
        <v>10200000</v>
      </c>
      <c r="L1705" s="1060">
        <f t="shared" si="1071"/>
        <v>1</v>
      </c>
      <c r="M1705" s="1060">
        <f t="shared" si="1072"/>
        <v>0</v>
      </c>
      <c r="N1705" s="1060">
        <f t="shared" si="1073"/>
        <v>0</v>
      </c>
      <c r="O1705" s="1060">
        <f t="shared" si="1074"/>
        <v>0</v>
      </c>
      <c r="P1705" s="1060">
        <f t="shared" si="1075"/>
        <v>0</v>
      </c>
    </row>
    <row r="1706" spans="1:16" x14ac:dyDescent="0.25">
      <c r="A1706" s="1039">
        <v>2058</v>
      </c>
      <c r="B1706" s="1039">
        <f t="shared" si="1081"/>
        <v>49</v>
      </c>
      <c r="C1706" s="1039" t="str">
        <f t="shared" si="1076"/>
        <v>SITI LULUK MUKAROMAH</v>
      </c>
      <c r="D1706" s="1040" t="str">
        <f t="shared" si="1077"/>
        <v>PAI-1C</v>
      </c>
      <c r="E1706" s="1041">
        <f t="shared" si="1078"/>
        <v>2020</v>
      </c>
      <c r="F1706" s="1040" t="str">
        <f t="shared" si="1079"/>
        <v>AKTIF</v>
      </c>
      <c r="G1706" s="1082">
        <f t="shared" si="1080"/>
        <v>203206030049</v>
      </c>
      <c r="H1706" s="1042">
        <f t="shared" si="1082"/>
        <v>6450000</v>
      </c>
      <c r="I1706" s="1042">
        <f t="shared" si="1083"/>
        <v>3750000</v>
      </c>
      <c r="J1706" s="1042">
        <f t="shared" si="1084"/>
        <v>10200000</v>
      </c>
      <c r="L1706" s="1060">
        <f t="shared" si="1071"/>
        <v>1</v>
      </c>
      <c r="M1706" s="1060">
        <f t="shared" si="1072"/>
        <v>0</v>
      </c>
      <c r="N1706" s="1060">
        <f t="shared" si="1073"/>
        <v>0</v>
      </c>
      <c r="O1706" s="1060">
        <f t="shared" si="1074"/>
        <v>0</v>
      </c>
      <c r="P1706" s="1060">
        <f t="shared" si="1075"/>
        <v>0</v>
      </c>
    </row>
    <row r="1707" spans="1:16" x14ac:dyDescent="0.25">
      <c r="A1707" s="1039">
        <v>2059</v>
      </c>
      <c r="B1707" s="1039">
        <f t="shared" si="1081"/>
        <v>50</v>
      </c>
      <c r="C1707" s="1039" t="str">
        <f t="shared" si="1076"/>
        <v>SITI SHOFIYAH</v>
      </c>
      <c r="D1707" s="1040" t="str">
        <f t="shared" si="1077"/>
        <v>PAI-1C</v>
      </c>
      <c r="E1707" s="1041">
        <f t="shared" si="1078"/>
        <v>2020</v>
      </c>
      <c r="F1707" s="1040" t="str">
        <f t="shared" si="1079"/>
        <v>AKTIF</v>
      </c>
      <c r="G1707" s="1082">
        <f t="shared" si="1080"/>
        <v>203206030050</v>
      </c>
      <c r="H1707" s="1042">
        <f t="shared" si="1082"/>
        <v>6450000</v>
      </c>
      <c r="I1707" s="1042">
        <f t="shared" si="1083"/>
        <v>3750000</v>
      </c>
      <c r="J1707" s="1042">
        <f t="shared" si="1084"/>
        <v>10200000</v>
      </c>
      <c r="L1707" s="1060">
        <f t="shared" si="1071"/>
        <v>1</v>
      </c>
      <c r="M1707" s="1060">
        <f t="shared" si="1072"/>
        <v>0</v>
      </c>
      <c r="N1707" s="1060">
        <f t="shared" si="1073"/>
        <v>0</v>
      </c>
      <c r="O1707" s="1060">
        <f t="shared" si="1074"/>
        <v>0</v>
      </c>
      <c r="P1707" s="1060">
        <f t="shared" si="1075"/>
        <v>0</v>
      </c>
    </row>
    <row r="1708" spans="1:16" x14ac:dyDescent="0.25">
      <c r="A1708" s="1039">
        <v>2060</v>
      </c>
      <c r="B1708" s="1039">
        <f t="shared" si="1081"/>
        <v>51</v>
      </c>
      <c r="C1708" s="1039" t="str">
        <f t="shared" si="1076"/>
        <v>SYARIFUL HIMAM</v>
      </c>
      <c r="D1708" s="1040" t="str">
        <f t="shared" si="1077"/>
        <v>PAI-1C</v>
      </c>
      <c r="E1708" s="1041">
        <f t="shared" si="1078"/>
        <v>2020</v>
      </c>
      <c r="F1708" s="1040" t="str">
        <f t="shared" si="1079"/>
        <v>AKTIF</v>
      </c>
      <c r="G1708" s="1082">
        <f t="shared" si="1080"/>
        <v>203206030051</v>
      </c>
      <c r="H1708" s="1042">
        <f t="shared" si="1082"/>
        <v>6450000</v>
      </c>
      <c r="I1708" s="1042">
        <f t="shared" si="1083"/>
        <v>3750000</v>
      </c>
      <c r="J1708" s="1042">
        <f t="shared" si="1084"/>
        <v>10200000</v>
      </c>
      <c r="L1708" s="1060">
        <f t="shared" si="1071"/>
        <v>1</v>
      </c>
      <c r="M1708" s="1060">
        <f t="shared" si="1072"/>
        <v>0</v>
      </c>
      <c r="N1708" s="1060">
        <f t="shared" si="1073"/>
        <v>0</v>
      </c>
      <c r="O1708" s="1060">
        <f t="shared" si="1074"/>
        <v>0</v>
      </c>
      <c r="P1708" s="1060">
        <f t="shared" si="1075"/>
        <v>0</v>
      </c>
    </row>
    <row r="1709" spans="1:16" x14ac:dyDescent="0.25">
      <c r="A1709" s="1039">
        <v>2061</v>
      </c>
      <c r="B1709" s="1039">
        <f t="shared" si="1081"/>
        <v>52</v>
      </c>
      <c r="C1709" s="1039" t="str">
        <f t="shared" si="1076"/>
        <v>ZUBAIDI</v>
      </c>
      <c r="D1709" s="1040" t="str">
        <f t="shared" si="1077"/>
        <v>PAI-1C</v>
      </c>
      <c r="E1709" s="1041">
        <f t="shared" si="1078"/>
        <v>2020</v>
      </c>
      <c r="F1709" s="1040" t="str">
        <f t="shared" si="1079"/>
        <v>AKTIF</v>
      </c>
      <c r="G1709" s="1082">
        <f t="shared" si="1080"/>
        <v>203206030052</v>
      </c>
      <c r="H1709" s="1042">
        <f t="shared" si="1082"/>
        <v>6450000</v>
      </c>
      <c r="I1709" s="1042">
        <f t="shared" si="1083"/>
        <v>3750000</v>
      </c>
      <c r="J1709" s="1042">
        <f t="shared" si="1084"/>
        <v>10200000</v>
      </c>
      <c r="L1709" s="1060">
        <f t="shared" si="1071"/>
        <v>1</v>
      </c>
      <c r="M1709" s="1060">
        <f t="shared" si="1072"/>
        <v>0</v>
      </c>
      <c r="N1709" s="1060">
        <f t="shared" si="1073"/>
        <v>0</v>
      </c>
      <c r="O1709" s="1060">
        <f t="shared" si="1074"/>
        <v>0</v>
      </c>
      <c r="P1709" s="1060">
        <f t="shared" si="1075"/>
        <v>0</v>
      </c>
    </row>
    <row r="1710" spans="1:16" x14ac:dyDescent="0.25">
      <c r="A1710" s="1039">
        <v>2062</v>
      </c>
      <c r="B1710" s="1039">
        <f t="shared" si="1081"/>
        <v>53</v>
      </c>
      <c r="C1710" s="1039" t="str">
        <f t="shared" si="1076"/>
        <v>MUHAMMAD DHIYAUR RAHMAN</v>
      </c>
      <c r="D1710" s="1040" t="str">
        <f t="shared" si="1077"/>
        <v>PAI-1C</v>
      </c>
      <c r="E1710" s="1041">
        <f t="shared" si="1078"/>
        <v>2020</v>
      </c>
      <c r="F1710" s="1040" t="str">
        <f t="shared" si="1079"/>
        <v>AKTIF</v>
      </c>
      <c r="G1710" s="1082">
        <f t="shared" si="1080"/>
        <v>203206030053</v>
      </c>
      <c r="H1710" s="1042">
        <f t="shared" si="1082"/>
        <v>6450000</v>
      </c>
      <c r="I1710" s="1042">
        <f t="shared" si="1083"/>
        <v>3750000</v>
      </c>
      <c r="J1710" s="1042">
        <f t="shared" si="1084"/>
        <v>10200000</v>
      </c>
      <c r="L1710" s="1060">
        <f t="shared" si="1071"/>
        <v>1</v>
      </c>
      <c r="M1710" s="1060">
        <f t="shared" si="1072"/>
        <v>0</v>
      </c>
      <c r="N1710" s="1060">
        <f t="shared" si="1073"/>
        <v>0</v>
      </c>
      <c r="O1710" s="1060">
        <f t="shared" si="1074"/>
        <v>0</v>
      </c>
      <c r="P1710" s="1060">
        <f t="shared" si="1075"/>
        <v>0</v>
      </c>
    </row>
    <row r="1711" spans="1:16" x14ac:dyDescent="0.25">
      <c r="A1711" s="1039">
        <v>2063</v>
      </c>
      <c r="B1711" s="1039">
        <f t="shared" si="1081"/>
        <v>54</v>
      </c>
      <c r="C1711" s="1039" t="str">
        <f t="shared" si="1076"/>
        <v>MUHAMMAD ABDUL BASIT</v>
      </c>
      <c r="D1711" s="1040" t="str">
        <f t="shared" si="1077"/>
        <v>PAI-1C</v>
      </c>
      <c r="E1711" s="1041">
        <f t="shared" si="1078"/>
        <v>2020</v>
      </c>
      <c r="F1711" s="1040" t="str">
        <f t="shared" si="1079"/>
        <v>AKTIF</v>
      </c>
      <c r="G1711" s="1082">
        <f t="shared" si="1080"/>
        <v>203206030054</v>
      </c>
      <c r="H1711" s="1042">
        <f t="shared" si="1082"/>
        <v>6450000</v>
      </c>
      <c r="I1711" s="1042">
        <f t="shared" si="1083"/>
        <v>3750000</v>
      </c>
      <c r="J1711" s="1042">
        <f t="shared" si="1084"/>
        <v>10200000</v>
      </c>
      <c r="L1711" s="1060">
        <f t="shared" si="1071"/>
        <v>1</v>
      </c>
      <c r="M1711" s="1060">
        <f t="shared" si="1072"/>
        <v>0</v>
      </c>
      <c r="N1711" s="1060">
        <f t="shared" si="1073"/>
        <v>0</v>
      </c>
      <c r="O1711" s="1060">
        <f t="shared" si="1074"/>
        <v>0</v>
      </c>
      <c r="P1711" s="1060">
        <f t="shared" si="1075"/>
        <v>0</v>
      </c>
    </row>
    <row r="1712" spans="1:16" x14ac:dyDescent="0.25">
      <c r="A1712" s="1039"/>
      <c r="B1712" s="1039"/>
      <c r="C1712" s="1039"/>
      <c r="D1712" s="1040"/>
      <c r="E1712" s="1041"/>
      <c r="F1712" s="1040"/>
      <c r="G1712" s="1041"/>
      <c r="H1712" s="1042"/>
      <c r="I1712" s="1042"/>
      <c r="J1712" s="1042"/>
    </row>
    <row r="1713" spans="1:16" x14ac:dyDescent="0.25">
      <c r="A1713" s="1076" t="str">
        <f>'Rekap SPP'!A2241</f>
        <v>S2-KPI 2020/2021</v>
      </c>
      <c r="B1713" s="1077"/>
      <c r="C1713" s="1077"/>
      <c r="D1713" s="1033" t="s">
        <v>3</v>
      </c>
      <c r="E1713" s="1032" t="s">
        <v>4</v>
      </c>
      <c r="F1713" s="1033" t="s">
        <v>3195</v>
      </c>
      <c r="G1713" s="1032" t="s">
        <v>1</v>
      </c>
      <c r="H1713" s="1033" t="s">
        <v>3362</v>
      </c>
      <c r="I1713" s="1033" t="s">
        <v>3363</v>
      </c>
      <c r="J1713" s="1062">
        <f>SUM(J1714:J1736)</f>
        <v>1523600000</v>
      </c>
      <c r="L1713" s="1063">
        <f>SUM(L1714:L1722)</f>
        <v>9</v>
      </c>
      <c r="M1713" s="1063">
        <f>SUM(M1714:M1722)</f>
        <v>0</v>
      </c>
      <c r="N1713" s="1063">
        <f>SUM(N1714:N1722)</f>
        <v>0</v>
      </c>
      <c r="O1713" s="1063">
        <f>SUM(O1714:O1722)</f>
        <v>0</v>
      </c>
      <c r="P1713" s="1063">
        <f>SUM(P1714:P1722)</f>
        <v>0</v>
      </c>
    </row>
    <row r="1714" spans="1:16" x14ac:dyDescent="0.25">
      <c r="A1714" s="1039">
        <v>2064</v>
      </c>
      <c r="B1714" s="1039">
        <f t="shared" si="774"/>
        <v>1</v>
      </c>
      <c r="C1714" s="1039" t="str">
        <f t="shared" ref="C1714:C1722" si="1085">IFERROR(VLOOKUP(A1714,DB,4,FALSE),"")</f>
        <v>ABU YASID</v>
      </c>
      <c r="D1714" s="1040" t="str">
        <f t="shared" ref="D1714:D1722" si="1086">IFERROR(VLOOKUP(A1714,DB,5,FALSE),"")</f>
        <v>KPI-1</v>
      </c>
      <c r="E1714" s="1041">
        <f t="shared" ref="E1714:E1722" si="1087">IFERROR(VLOOKUP(A1714,DB,6,FALSE),"")</f>
        <v>2020</v>
      </c>
      <c r="F1714" s="1040" t="str">
        <f t="shared" ref="F1714:F1722" si="1088">IFERROR(VLOOKUP(A1714,DB,7,FALSE),"")</f>
        <v>AKTIF</v>
      </c>
      <c r="G1714" s="1082">
        <f t="shared" ref="G1714:G1722" si="1089">IFERROR(VLOOKUP(A1714,DB,3,FALSE),"")</f>
        <v>203206070001</v>
      </c>
      <c r="H1714" s="1042">
        <f t="shared" si="978"/>
        <v>6450000</v>
      </c>
      <c r="I1714" s="1042">
        <f t="shared" si="979"/>
        <v>3750000</v>
      </c>
      <c r="J1714" s="1042">
        <f t="shared" si="977"/>
        <v>10200000</v>
      </c>
      <c r="L1714" s="1060">
        <f>IF(F1714="AKTIF",1,0)</f>
        <v>1</v>
      </c>
      <c r="M1714" s="1060">
        <f t="shared" ref="M1714:M1722" si="1090">IF(F1714="LULUS",1,0)</f>
        <v>0</v>
      </c>
      <c r="N1714" s="1060">
        <f t="shared" ref="N1714:N1722" si="1091">IF(F1714="CUTI",1,0)</f>
        <v>0</v>
      </c>
      <c r="O1714" s="1060">
        <f t="shared" ref="O1714:O1722" si="1092">IF(F1714="DROP OUT",1,0)</f>
        <v>0</v>
      </c>
      <c r="P1714" s="1060">
        <f t="shared" ref="P1714:P1722" si="1093">IF(F1714="PASIF",1,0)</f>
        <v>0</v>
      </c>
    </row>
    <row r="1715" spans="1:16" x14ac:dyDescent="0.25">
      <c r="A1715" s="1039">
        <v>2065</v>
      </c>
      <c r="B1715" s="1039">
        <f t="shared" si="774"/>
        <v>2</v>
      </c>
      <c r="C1715" s="1039" t="str">
        <f t="shared" si="1085"/>
        <v>ACHMAD WILDAN NAUFAL HAIS</v>
      </c>
      <c r="D1715" s="1040" t="str">
        <f t="shared" si="1086"/>
        <v>KPI-1</v>
      </c>
      <c r="E1715" s="1041">
        <f t="shared" si="1087"/>
        <v>2020</v>
      </c>
      <c r="F1715" s="1040" t="str">
        <f t="shared" si="1088"/>
        <v>AKTIF</v>
      </c>
      <c r="G1715" s="1082">
        <f t="shared" si="1089"/>
        <v>203206070002</v>
      </c>
      <c r="H1715" s="1042">
        <f t="shared" si="978"/>
        <v>6450000</v>
      </c>
      <c r="I1715" s="1042">
        <f t="shared" si="979"/>
        <v>3750000</v>
      </c>
      <c r="J1715" s="1042">
        <f t="shared" si="977"/>
        <v>10200000</v>
      </c>
      <c r="L1715" s="1060">
        <f t="shared" ref="L1715:L1722" si="1094">IF(F1715="AKTIF",1,0)</f>
        <v>1</v>
      </c>
      <c r="M1715" s="1060">
        <f t="shared" si="1090"/>
        <v>0</v>
      </c>
      <c r="N1715" s="1060">
        <f t="shared" si="1091"/>
        <v>0</v>
      </c>
      <c r="O1715" s="1060">
        <f t="shared" si="1092"/>
        <v>0</v>
      </c>
      <c r="P1715" s="1060">
        <f t="shared" si="1093"/>
        <v>0</v>
      </c>
    </row>
    <row r="1716" spans="1:16" x14ac:dyDescent="0.25">
      <c r="A1716" s="1039">
        <v>2066</v>
      </c>
      <c r="B1716" s="1039">
        <f t="shared" si="774"/>
        <v>3</v>
      </c>
      <c r="C1716" s="1039" t="str">
        <f t="shared" si="1085"/>
        <v>IRFAN AINURROFIQ</v>
      </c>
      <c r="D1716" s="1040" t="str">
        <f t="shared" si="1086"/>
        <v>KPI-1</v>
      </c>
      <c r="E1716" s="1041">
        <f t="shared" si="1087"/>
        <v>2020</v>
      </c>
      <c r="F1716" s="1040" t="str">
        <f t="shared" si="1088"/>
        <v>AKTIF</v>
      </c>
      <c r="G1716" s="1082">
        <f t="shared" si="1089"/>
        <v>203206070003</v>
      </c>
      <c r="H1716" s="1042">
        <f t="shared" si="978"/>
        <v>6450000</v>
      </c>
      <c r="I1716" s="1042">
        <f t="shared" si="979"/>
        <v>3750000</v>
      </c>
      <c r="J1716" s="1042">
        <f t="shared" si="977"/>
        <v>10200000</v>
      </c>
      <c r="L1716" s="1060">
        <f t="shared" si="1094"/>
        <v>1</v>
      </c>
      <c r="M1716" s="1060">
        <f t="shared" si="1090"/>
        <v>0</v>
      </c>
      <c r="N1716" s="1060">
        <f t="shared" si="1091"/>
        <v>0</v>
      </c>
      <c r="O1716" s="1060">
        <f t="shared" si="1092"/>
        <v>0</v>
      </c>
      <c r="P1716" s="1060">
        <f t="shared" si="1093"/>
        <v>0</v>
      </c>
    </row>
    <row r="1717" spans="1:16" x14ac:dyDescent="0.25">
      <c r="A1717" s="1039">
        <v>2067</v>
      </c>
      <c r="B1717" s="1039">
        <f t="shared" si="774"/>
        <v>4</v>
      </c>
      <c r="C1717" s="1039" t="str">
        <f t="shared" si="1085"/>
        <v>MEGAWATI SYAMSIYA EMYUS</v>
      </c>
      <c r="D1717" s="1040" t="str">
        <f t="shared" si="1086"/>
        <v>KPI-1</v>
      </c>
      <c r="E1717" s="1041">
        <f t="shared" si="1087"/>
        <v>2020</v>
      </c>
      <c r="F1717" s="1040" t="str">
        <f t="shared" si="1088"/>
        <v>AKTIF</v>
      </c>
      <c r="G1717" s="1082">
        <f t="shared" si="1089"/>
        <v>203206070004</v>
      </c>
      <c r="H1717" s="1042">
        <f t="shared" si="978"/>
        <v>6450000</v>
      </c>
      <c r="I1717" s="1042">
        <f t="shared" si="979"/>
        <v>3750000</v>
      </c>
      <c r="J1717" s="1042">
        <f t="shared" si="977"/>
        <v>10200000</v>
      </c>
      <c r="L1717" s="1060">
        <f t="shared" si="1094"/>
        <v>1</v>
      </c>
      <c r="M1717" s="1060">
        <f t="shared" si="1090"/>
        <v>0</v>
      </c>
      <c r="N1717" s="1060">
        <f t="shared" si="1091"/>
        <v>0</v>
      </c>
      <c r="O1717" s="1060">
        <f t="shared" si="1092"/>
        <v>0</v>
      </c>
      <c r="P1717" s="1060">
        <f t="shared" si="1093"/>
        <v>0</v>
      </c>
    </row>
    <row r="1718" spans="1:16" x14ac:dyDescent="0.25">
      <c r="A1718" s="1039">
        <v>2068</v>
      </c>
      <c r="B1718" s="1039">
        <f t="shared" si="774"/>
        <v>5</v>
      </c>
      <c r="C1718" s="1039" t="str">
        <f t="shared" si="1085"/>
        <v>MOH. MIFTAH FARID</v>
      </c>
      <c r="D1718" s="1040" t="str">
        <f t="shared" si="1086"/>
        <v>KPI-1</v>
      </c>
      <c r="E1718" s="1041">
        <f t="shared" si="1087"/>
        <v>2020</v>
      </c>
      <c r="F1718" s="1040" t="str">
        <f t="shared" si="1088"/>
        <v>AKTIF</v>
      </c>
      <c r="G1718" s="1082">
        <f t="shared" si="1089"/>
        <v>203206070005</v>
      </c>
      <c r="H1718" s="1042">
        <f t="shared" si="978"/>
        <v>6450000</v>
      </c>
      <c r="I1718" s="1042">
        <f t="shared" si="979"/>
        <v>3750000</v>
      </c>
      <c r="J1718" s="1042">
        <f t="shared" si="977"/>
        <v>10200000</v>
      </c>
      <c r="L1718" s="1060">
        <f t="shared" si="1094"/>
        <v>1</v>
      </c>
      <c r="M1718" s="1060">
        <f t="shared" si="1090"/>
        <v>0</v>
      </c>
      <c r="N1718" s="1060">
        <f t="shared" si="1091"/>
        <v>0</v>
      </c>
      <c r="O1718" s="1060">
        <f t="shared" si="1092"/>
        <v>0</v>
      </c>
      <c r="P1718" s="1060">
        <f t="shared" si="1093"/>
        <v>0</v>
      </c>
    </row>
    <row r="1719" spans="1:16" x14ac:dyDescent="0.25">
      <c r="A1719" s="1039">
        <v>2069</v>
      </c>
      <c r="B1719" s="1039">
        <f t="shared" si="774"/>
        <v>6</v>
      </c>
      <c r="C1719" s="1039" t="str">
        <f t="shared" si="1085"/>
        <v>M.ZAKARIA HUSNI</v>
      </c>
      <c r="D1719" s="1040" t="str">
        <f t="shared" si="1086"/>
        <v>KPI-1</v>
      </c>
      <c r="E1719" s="1041">
        <f t="shared" si="1087"/>
        <v>2020</v>
      </c>
      <c r="F1719" s="1040" t="str">
        <f t="shared" si="1088"/>
        <v>AKTIF</v>
      </c>
      <c r="G1719" s="1082">
        <f t="shared" si="1089"/>
        <v>203206070006</v>
      </c>
      <c r="H1719" s="1042">
        <f t="shared" si="978"/>
        <v>6450000</v>
      </c>
      <c r="I1719" s="1042">
        <f t="shared" si="979"/>
        <v>3750000</v>
      </c>
      <c r="J1719" s="1042">
        <f t="shared" si="977"/>
        <v>10200000</v>
      </c>
      <c r="L1719" s="1060">
        <f t="shared" si="1094"/>
        <v>1</v>
      </c>
      <c r="M1719" s="1060">
        <f t="shared" si="1090"/>
        <v>0</v>
      </c>
      <c r="N1719" s="1060">
        <f t="shared" si="1091"/>
        <v>0</v>
      </c>
      <c r="O1719" s="1060">
        <f t="shared" si="1092"/>
        <v>0</v>
      </c>
      <c r="P1719" s="1060">
        <f t="shared" si="1093"/>
        <v>0</v>
      </c>
    </row>
    <row r="1720" spans="1:16" x14ac:dyDescent="0.25">
      <c r="A1720" s="1039">
        <v>2070</v>
      </c>
      <c r="B1720" s="1039">
        <f t="shared" ref="B1720:B1808" si="1095">IFERROR(VLOOKUP(A1720,DB,2,FALSE),"")</f>
        <v>7</v>
      </c>
      <c r="C1720" s="1039" t="str">
        <f t="shared" si="1085"/>
        <v>MOHAMMAD RIFKY REZA SALIM</v>
      </c>
      <c r="D1720" s="1040" t="str">
        <f t="shared" si="1086"/>
        <v>KPI-1</v>
      </c>
      <c r="E1720" s="1041">
        <f t="shared" si="1087"/>
        <v>2020</v>
      </c>
      <c r="F1720" s="1040" t="str">
        <f t="shared" si="1088"/>
        <v>AKTIF</v>
      </c>
      <c r="G1720" s="1082">
        <f t="shared" si="1089"/>
        <v>203206070007</v>
      </c>
      <c r="H1720" s="1042">
        <f t="shared" si="978"/>
        <v>6450000</v>
      </c>
      <c r="I1720" s="1042">
        <f t="shared" si="979"/>
        <v>3750000</v>
      </c>
      <c r="J1720" s="1042">
        <f t="shared" si="977"/>
        <v>10200000</v>
      </c>
      <c r="L1720" s="1060">
        <f t="shared" si="1094"/>
        <v>1</v>
      </c>
      <c r="M1720" s="1060">
        <f t="shared" si="1090"/>
        <v>0</v>
      </c>
      <c r="N1720" s="1060">
        <f t="shared" si="1091"/>
        <v>0</v>
      </c>
      <c r="O1720" s="1060">
        <f t="shared" si="1092"/>
        <v>0</v>
      </c>
      <c r="P1720" s="1060">
        <f t="shared" si="1093"/>
        <v>0</v>
      </c>
    </row>
    <row r="1721" spans="1:16" x14ac:dyDescent="0.25">
      <c r="A1721" s="1039">
        <v>2071</v>
      </c>
      <c r="B1721" s="1039">
        <f t="shared" ref="B1721:B1722" si="1096">IFERROR(VLOOKUP(A1721,DB,2,FALSE),"")</f>
        <v>8</v>
      </c>
      <c r="C1721" s="1039" t="str">
        <f t="shared" si="1085"/>
        <v>ZAHROTUL FARODIS DIANA</v>
      </c>
      <c r="D1721" s="1040" t="str">
        <f t="shared" si="1086"/>
        <v>KPI-1</v>
      </c>
      <c r="E1721" s="1041">
        <f t="shared" si="1087"/>
        <v>2020</v>
      </c>
      <c r="F1721" s="1040" t="str">
        <f t="shared" si="1088"/>
        <v>AKTIF</v>
      </c>
      <c r="G1721" s="1082">
        <f t="shared" si="1089"/>
        <v>203206070008</v>
      </c>
      <c r="H1721" s="1042">
        <f t="shared" ref="H1721:H1722" si="1097">IF(F1721="AKTIF",6450000,IF(F1721="CUTI",3000000,0))</f>
        <v>6450000</v>
      </c>
      <c r="I1721" s="1042">
        <f t="shared" ref="I1721:I1722" si="1098">IF(F1721="AKTIF",3750000,IF(F1721="CUTI",3000000,0))</f>
        <v>3750000</v>
      </c>
      <c r="J1721" s="1042">
        <f t="shared" ref="J1721:J1722" si="1099">I1721+H1721</f>
        <v>10200000</v>
      </c>
      <c r="L1721" s="1060">
        <f t="shared" si="1094"/>
        <v>1</v>
      </c>
      <c r="M1721" s="1060">
        <f t="shared" si="1090"/>
        <v>0</v>
      </c>
      <c r="N1721" s="1060">
        <f t="shared" si="1091"/>
        <v>0</v>
      </c>
      <c r="O1721" s="1060">
        <f t="shared" si="1092"/>
        <v>0</v>
      </c>
      <c r="P1721" s="1060">
        <f t="shared" si="1093"/>
        <v>0</v>
      </c>
    </row>
    <row r="1722" spans="1:16" x14ac:dyDescent="0.25">
      <c r="A1722" s="1039">
        <v>2072</v>
      </c>
      <c r="B1722" s="1039">
        <f t="shared" si="1096"/>
        <v>9</v>
      </c>
      <c r="C1722" s="1039" t="str">
        <f t="shared" si="1085"/>
        <v>Abdul Karim Amrullah</v>
      </c>
      <c r="D1722" s="1040" t="str">
        <f t="shared" si="1086"/>
        <v>KPI-1</v>
      </c>
      <c r="E1722" s="1041">
        <f t="shared" si="1087"/>
        <v>2020</v>
      </c>
      <c r="F1722" s="1040" t="str">
        <f t="shared" si="1088"/>
        <v>AKTIF</v>
      </c>
      <c r="G1722" s="1082">
        <f t="shared" si="1089"/>
        <v>204206070001</v>
      </c>
      <c r="H1722" s="1042">
        <f t="shared" si="1097"/>
        <v>6450000</v>
      </c>
      <c r="I1722" s="1042">
        <f t="shared" si="1098"/>
        <v>3750000</v>
      </c>
      <c r="J1722" s="1042">
        <f t="shared" si="1099"/>
        <v>10200000</v>
      </c>
      <c r="L1722" s="1060">
        <f t="shared" si="1094"/>
        <v>1</v>
      </c>
      <c r="M1722" s="1060">
        <f t="shared" si="1090"/>
        <v>0</v>
      </c>
      <c r="N1722" s="1060">
        <f t="shared" si="1091"/>
        <v>0</v>
      </c>
      <c r="O1722" s="1060">
        <f t="shared" si="1092"/>
        <v>0</v>
      </c>
      <c r="P1722" s="1060">
        <f t="shared" si="1093"/>
        <v>0</v>
      </c>
    </row>
    <row r="1723" spans="1:16" x14ac:dyDescent="0.25">
      <c r="A1723" s="1039"/>
      <c r="B1723" s="1039"/>
      <c r="C1723" s="1039"/>
      <c r="D1723" s="1040"/>
      <c r="E1723" s="1041"/>
      <c r="F1723" s="1040"/>
      <c r="G1723" s="1041"/>
      <c r="H1723" s="1042"/>
      <c r="I1723" s="1042"/>
      <c r="J1723" s="1042"/>
    </row>
    <row r="1724" spans="1:16" x14ac:dyDescent="0.25">
      <c r="A1724" s="1076" t="str">
        <f>'Rekap SPP'!A2252</f>
        <v>S2-PGMI 2020/2021</v>
      </c>
      <c r="B1724" s="1077"/>
      <c r="C1724" s="1077"/>
      <c r="D1724" s="1033" t="s">
        <v>3</v>
      </c>
      <c r="E1724" s="1032" t="s">
        <v>4</v>
      </c>
      <c r="F1724" s="1033" t="s">
        <v>3195</v>
      </c>
      <c r="G1724" s="1032" t="s">
        <v>1</v>
      </c>
      <c r="H1724" s="1033" t="s">
        <v>3362</v>
      </c>
      <c r="I1724" s="1033" t="s">
        <v>3363</v>
      </c>
      <c r="J1724" s="1062">
        <f>SUM(J1730:J1764)</f>
        <v>1309400000</v>
      </c>
      <c r="L1724" s="1063">
        <f>SUM(L1725:L1736)</f>
        <v>12</v>
      </c>
      <c r="M1724" s="1063">
        <f>SUM(M1725:M1736)</f>
        <v>0</v>
      </c>
      <c r="N1724" s="1063">
        <f>SUM(N1725:N1736)</f>
        <v>0</v>
      </c>
      <c r="O1724" s="1063">
        <f>SUM(O1725:O1736)</f>
        <v>0</v>
      </c>
      <c r="P1724" s="1063">
        <f>SUM(P1725:P1736)</f>
        <v>0</v>
      </c>
    </row>
    <row r="1725" spans="1:16" x14ac:dyDescent="0.25">
      <c r="A1725" s="1039">
        <v>2073</v>
      </c>
      <c r="B1725" s="1039">
        <f>IFERROR(VLOOKUP(A1725,DB,2,FALSE),"")</f>
        <v>1</v>
      </c>
      <c r="C1725" s="1039" t="str">
        <f t="shared" ref="C1725:C1736" si="1100">IFERROR(VLOOKUP(A1725,DB,4,FALSE),"")</f>
        <v>AHMAD ROFIQI</v>
      </c>
      <c r="D1725" s="1040" t="str">
        <f t="shared" ref="D1725:D1736" si="1101">IFERROR(VLOOKUP(A1725,DB,5,FALSE),"")</f>
        <v>PGMI-1</v>
      </c>
      <c r="E1725" s="1041">
        <f t="shared" ref="E1725:E1736" si="1102">IFERROR(VLOOKUP(A1725,DB,6,FALSE),"")</f>
        <v>2020</v>
      </c>
      <c r="F1725" s="1040" t="str">
        <f t="shared" ref="F1725:F1736" si="1103">IFERROR(VLOOKUP(A1725,DB,7,FALSE),"")</f>
        <v>AKTIF</v>
      </c>
      <c r="G1725" s="1082">
        <f t="shared" ref="G1725:G1736" si="1104">IFERROR(VLOOKUP(A1725,DB,3,FALSE),"")</f>
        <v>203206040001</v>
      </c>
      <c r="H1725" s="1042">
        <f>IF(F1725="AKTIF",6450000,IF(F1725="CUTI",3000000,0))</f>
        <v>6450000</v>
      </c>
      <c r="I1725" s="1042">
        <f>IF(F1725="AKTIF",3750000,IF(F1725="CUTI",3000000,0))</f>
        <v>3750000</v>
      </c>
      <c r="J1725" s="1042">
        <f>I1725+H1725</f>
        <v>10200000</v>
      </c>
      <c r="L1725" s="1060">
        <f>IF(F1725="AKTIF",1,0)</f>
        <v>1</v>
      </c>
      <c r="M1725" s="1060">
        <f t="shared" ref="M1725:M1736" si="1105">IF(F1725="LULUS",1,0)</f>
        <v>0</v>
      </c>
      <c r="N1725" s="1060">
        <f t="shared" ref="N1725:N1736" si="1106">IF(F1725="CUTI",1,0)</f>
        <v>0</v>
      </c>
      <c r="O1725" s="1060">
        <f t="shared" ref="O1725:O1736" si="1107">IF(F1725="DROP OUT",1,0)</f>
        <v>0</v>
      </c>
      <c r="P1725" s="1060">
        <f t="shared" ref="P1725:P1736" si="1108">IF(F1725="PASIF",1,0)</f>
        <v>0</v>
      </c>
    </row>
    <row r="1726" spans="1:16" x14ac:dyDescent="0.25">
      <c r="A1726" s="1039">
        <v>2074</v>
      </c>
      <c r="B1726" s="1039">
        <f>IFERROR(VLOOKUP(A1726,DB,2,FALSE),"")</f>
        <v>2</v>
      </c>
      <c r="C1726" s="1039" t="str">
        <f t="shared" si="1100"/>
        <v>FATIMA ZAHRO</v>
      </c>
      <c r="D1726" s="1040" t="str">
        <f t="shared" si="1101"/>
        <v>PGMI-1</v>
      </c>
      <c r="E1726" s="1041">
        <f t="shared" si="1102"/>
        <v>2020</v>
      </c>
      <c r="F1726" s="1040" t="str">
        <f t="shared" si="1103"/>
        <v>AKTIF</v>
      </c>
      <c r="G1726" s="1082">
        <f t="shared" si="1104"/>
        <v>203206040002</v>
      </c>
      <c r="H1726" s="1042">
        <f>IF(F1726="AKTIF",6450000,IF(F1726="CUTI",3000000,0))</f>
        <v>6450000</v>
      </c>
      <c r="I1726" s="1042">
        <f>IF(F1726="AKTIF",3750000,IF(F1726="CUTI",3000000,0))</f>
        <v>3750000</v>
      </c>
      <c r="J1726" s="1042">
        <f>I1726+H1726</f>
        <v>10200000</v>
      </c>
      <c r="L1726" s="1060">
        <f t="shared" ref="L1726:L1736" si="1109">IF(F1726="AKTIF",1,0)</f>
        <v>1</v>
      </c>
      <c r="M1726" s="1060">
        <f t="shared" si="1105"/>
        <v>0</v>
      </c>
      <c r="N1726" s="1060">
        <f t="shared" si="1106"/>
        <v>0</v>
      </c>
      <c r="O1726" s="1060">
        <f t="shared" si="1107"/>
        <v>0</v>
      </c>
      <c r="P1726" s="1060">
        <f t="shared" si="1108"/>
        <v>0</v>
      </c>
    </row>
    <row r="1727" spans="1:16" x14ac:dyDescent="0.25">
      <c r="A1727" s="1039">
        <v>2075</v>
      </c>
      <c r="B1727" s="1039">
        <f>IFERROR(VLOOKUP(A1727,DB,2,FALSE),"")</f>
        <v>3</v>
      </c>
      <c r="C1727" s="1039" t="str">
        <f t="shared" si="1100"/>
        <v>IMAM SANUSI</v>
      </c>
      <c r="D1727" s="1040" t="str">
        <f t="shared" si="1101"/>
        <v>PGMI-1</v>
      </c>
      <c r="E1727" s="1041">
        <f t="shared" si="1102"/>
        <v>2020</v>
      </c>
      <c r="F1727" s="1040" t="str">
        <f t="shared" si="1103"/>
        <v>AKTIF</v>
      </c>
      <c r="G1727" s="1082">
        <f t="shared" si="1104"/>
        <v>203206040003</v>
      </c>
      <c r="H1727" s="1042">
        <f>IF(F1727="AKTIF",6450000,IF(F1727="CUTI",3000000,0))</f>
        <v>6450000</v>
      </c>
      <c r="I1727" s="1042">
        <f>IF(F1727="AKTIF",3750000,IF(F1727="CUTI",3000000,0))</f>
        <v>3750000</v>
      </c>
      <c r="J1727" s="1042">
        <f>I1727+H1727</f>
        <v>10200000</v>
      </c>
      <c r="L1727" s="1060">
        <f t="shared" si="1109"/>
        <v>1</v>
      </c>
      <c r="M1727" s="1060">
        <f t="shared" si="1105"/>
        <v>0</v>
      </c>
      <c r="N1727" s="1060">
        <f t="shared" si="1106"/>
        <v>0</v>
      </c>
      <c r="O1727" s="1060">
        <f t="shared" si="1107"/>
        <v>0</v>
      </c>
      <c r="P1727" s="1060">
        <f t="shared" si="1108"/>
        <v>0</v>
      </c>
    </row>
    <row r="1728" spans="1:16" x14ac:dyDescent="0.25">
      <c r="A1728" s="1039">
        <v>2076</v>
      </c>
      <c r="B1728" s="1039">
        <f>IFERROR(VLOOKUP(A1728,DB,2,FALSE),"")</f>
        <v>4</v>
      </c>
      <c r="C1728" s="1039" t="str">
        <f t="shared" si="1100"/>
        <v>MEI IIN DAWATI</v>
      </c>
      <c r="D1728" s="1040" t="str">
        <f t="shared" si="1101"/>
        <v>PGMI-1</v>
      </c>
      <c r="E1728" s="1041">
        <f t="shared" si="1102"/>
        <v>2020</v>
      </c>
      <c r="F1728" s="1040" t="str">
        <f t="shared" si="1103"/>
        <v>AKTIF</v>
      </c>
      <c r="G1728" s="1082">
        <f t="shared" si="1104"/>
        <v>203206040004</v>
      </c>
      <c r="H1728" s="1042">
        <f>IF(F1728="AKTIF",6450000,IF(F1728="CUTI",3000000,0))</f>
        <v>6450000</v>
      </c>
      <c r="I1728" s="1042">
        <f>IF(F1728="AKTIF",3750000,IF(F1728="CUTI",3000000,0))</f>
        <v>3750000</v>
      </c>
      <c r="J1728" s="1042">
        <f>I1728+H1728</f>
        <v>10200000</v>
      </c>
      <c r="L1728" s="1060">
        <f t="shared" si="1109"/>
        <v>1</v>
      </c>
      <c r="M1728" s="1060">
        <f t="shared" si="1105"/>
        <v>0</v>
      </c>
      <c r="N1728" s="1060">
        <f t="shared" si="1106"/>
        <v>0</v>
      </c>
      <c r="O1728" s="1060">
        <f t="shared" si="1107"/>
        <v>0</v>
      </c>
      <c r="P1728" s="1060">
        <f t="shared" si="1108"/>
        <v>0</v>
      </c>
    </row>
    <row r="1729" spans="1:16" x14ac:dyDescent="0.25">
      <c r="A1729" s="1039">
        <v>2077</v>
      </c>
      <c r="B1729" s="1039">
        <f>IFERROR(VLOOKUP(A1729,DB,2,FALSE),"")</f>
        <v>5</v>
      </c>
      <c r="C1729" s="1039" t="str">
        <f t="shared" si="1100"/>
        <v>NUNUNG HARNANI S.PD</v>
      </c>
      <c r="D1729" s="1040" t="str">
        <f t="shared" si="1101"/>
        <v>PGMI-1</v>
      </c>
      <c r="E1729" s="1041">
        <f t="shared" si="1102"/>
        <v>2020</v>
      </c>
      <c r="F1729" s="1040" t="str">
        <f t="shared" si="1103"/>
        <v>AKTIF</v>
      </c>
      <c r="G1729" s="1082">
        <f t="shared" si="1104"/>
        <v>203206040005</v>
      </c>
      <c r="H1729" s="1042">
        <f>IF(F1729="AKTIF",6450000,IF(F1729="CUTI",3000000,0))</f>
        <v>6450000</v>
      </c>
      <c r="I1729" s="1042">
        <f>IF(F1729="AKTIF",3750000,IF(F1729="CUTI",3000000,0))</f>
        <v>3750000</v>
      </c>
      <c r="J1729" s="1042">
        <f>I1729+H1729</f>
        <v>10200000</v>
      </c>
      <c r="L1729" s="1060">
        <f t="shared" si="1109"/>
        <v>1</v>
      </c>
      <c r="M1729" s="1060">
        <f t="shared" si="1105"/>
        <v>0</v>
      </c>
      <c r="N1729" s="1060">
        <f t="shared" si="1106"/>
        <v>0</v>
      </c>
      <c r="O1729" s="1060">
        <f t="shared" si="1107"/>
        <v>0</v>
      </c>
      <c r="P1729" s="1060">
        <f t="shared" si="1108"/>
        <v>0</v>
      </c>
    </row>
    <row r="1730" spans="1:16" x14ac:dyDescent="0.25">
      <c r="A1730" s="1039">
        <v>2078</v>
      </c>
      <c r="B1730" s="1039">
        <f t="shared" si="1095"/>
        <v>6</v>
      </c>
      <c r="C1730" s="1039" t="str">
        <f t="shared" si="1100"/>
        <v>NURIL MAR'ATUS SHOLIHAH</v>
      </c>
      <c r="D1730" s="1040" t="str">
        <f t="shared" si="1101"/>
        <v>PGMI-1</v>
      </c>
      <c r="E1730" s="1041">
        <f t="shared" si="1102"/>
        <v>2020</v>
      </c>
      <c r="F1730" s="1040" t="str">
        <f t="shared" si="1103"/>
        <v>AKTIF</v>
      </c>
      <c r="G1730" s="1082">
        <f t="shared" si="1104"/>
        <v>203206040006</v>
      </c>
      <c r="H1730" s="1042">
        <f t="shared" si="978"/>
        <v>6450000</v>
      </c>
      <c r="I1730" s="1042">
        <f t="shared" si="979"/>
        <v>3750000</v>
      </c>
      <c r="J1730" s="1042">
        <f t="shared" si="977"/>
        <v>10200000</v>
      </c>
      <c r="L1730" s="1060">
        <f t="shared" si="1109"/>
        <v>1</v>
      </c>
      <c r="M1730" s="1060">
        <f t="shared" si="1105"/>
        <v>0</v>
      </c>
      <c r="N1730" s="1060">
        <f t="shared" si="1106"/>
        <v>0</v>
      </c>
      <c r="O1730" s="1060">
        <f t="shared" si="1107"/>
        <v>0</v>
      </c>
      <c r="P1730" s="1060">
        <f t="shared" si="1108"/>
        <v>0</v>
      </c>
    </row>
    <row r="1731" spans="1:16" x14ac:dyDescent="0.25">
      <c r="A1731" s="1039">
        <v>2079</v>
      </c>
      <c r="B1731" s="1039">
        <f t="shared" si="1095"/>
        <v>7</v>
      </c>
      <c r="C1731" s="1039" t="str">
        <f t="shared" si="1100"/>
        <v>NUR ITA</v>
      </c>
      <c r="D1731" s="1040" t="str">
        <f t="shared" si="1101"/>
        <v>PGMI-1</v>
      </c>
      <c r="E1731" s="1041">
        <f t="shared" si="1102"/>
        <v>2020</v>
      </c>
      <c r="F1731" s="1040" t="str">
        <f t="shared" si="1103"/>
        <v>AKTIF</v>
      </c>
      <c r="G1731" s="1082">
        <f t="shared" si="1104"/>
        <v>203206040007</v>
      </c>
      <c r="H1731" s="1042">
        <f t="shared" si="978"/>
        <v>6450000</v>
      </c>
      <c r="I1731" s="1042">
        <f t="shared" si="979"/>
        <v>3750000</v>
      </c>
      <c r="J1731" s="1042">
        <f t="shared" si="977"/>
        <v>10200000</v>
      </c>
      <c r="L1731" s="1060">
        <f t="shared" si="1109"/>
        <v>1</v>
      </c>
      <c r="M1731" s="1060">
        <f t="shared" si="1105"/>
        <v>0</v>
      </c>
      <c r="N1731" s="1060">
        <f t="shared" si="1106"/>
        <v>0</v>
      </c>
      <c r="O1731" s="1060">
        <f t="shared" si="1107"/>
        <v>0</v>
      </c>
      <c r="P1731" s="1060">
        <f t="shared" si="1108"/>
        <v>0</v>
      </c>
    </row>
    <row r="1732" spans="1:16" x14ac:dyDescent="0.25">
      <c r="A1732" s="1039">
        <v>2080</v>
      </c>
      <c r="B1732" s="1039">
        <f t="shared" ref="B1732:B1735" si="1110">IFERROR(VLOOKUP(A1732,DB,2,FALSE),"")</f>
        <v>8</v>
      </c>
      <c r="C1732" s="1039" t="str">
        <f t="shared" si="1100"/>
        <v>SINAR ROSIDAH ZIDNI</v>
      </c>
      <c r="D1732" s="1040" t="str">
        <f t="shared" si="1101"/>
        <v>PGMI-1</v>
      </c>
      <c r="E1732" s="1041">
        <f t="shared" si="1102"/>
        <v>2020</v>
      </c>
      <c r="F1732" s="1040" t="str">
        <f t="shared" si="1103"/>
        <v>AKTIF</v>
      </c>
      <c r="G1732" s="1082">
        <f t="shared" si="1104"/>
        <v>203206040008</v>
      </c>
      <c r="H1732" s="1042">
        <f t="shared" ref="H1732:H1735" si="1111">IF(F1732="AKTIF",6450000,IF(F1732="CUTI",3000000,0))</f>
        <v>6450000</v>
      </c>
      <c r="I1732" s="1042">
        <f t="shared" ref="I1732:I1735" si="1112">IF(F1732="AKTIF",3750000,IF(F1732="CUTI",3000000,0))</f>
        <v>3750000</v>
      </c>
      <c r="J1732" s="1042">
        <f t="shared" ref="J1732:J1735" si="1113">I1732+H1732</f>
        <v>10200000</v>
      </c>
      <c r="L1732" s="1060">
        <f t="shared" si="1109"/>
        <v>1</v>
      </c>
      <c r="M1732" s="1060">
        <f t="shared" si="1105"/>
        <v>0</v>
      </c>
      <c r="N1732" s="1060">
        <f t="shared" si="1106"/>
        <v>0</v>
      </c>
      <c r="O1732" s="1060">
        <f t="shared" si="1107"/>
        <v>0</v>
      </c>
      <c r="P1732" s="1060">
        <f t="shared" si="1108"/>
        <v>0</v>
      </c>
    </row>
    <row r="1733" spans="1:16" x14ac:dyDescent="0.25">
      <c r="A1733" s="1039">
        <v>2081</v>
      </c>
      <c r="B1733" s="1039">
        <f t="shared" si="1110"/>
        <v>9</v>
      </c>
      <c r="C1733" s="1039" t="str">
        <f t="shared" si="1100"/>
        <v>SINTA YULIS PRATIWI</v>
      </c>
      <c r="D1733" s="1040" t="str">
        <f t="shared" si="1101"/>
        <v>PGMI-1</v>
      </c>
      <c r="E1733" s="1041">
        <f t="shared" si="1102"/>
        <v>2020</v>
      </c>
      <c r="F1733" s="1040" t="str">
        <f t="shared" si="1103"/>
        <v>AKTIF</v>
      </c>
      <c r="G1733" s="1082">
        <f t="shared" si="1104"/>
        <v>203206040009</v>
      </c>
      <c r="H1733" s="1042">
        <f t="shared" si="1111"/>
        <v>6450000</v>
      </c>
      <c r="I1733" s="1042">
        <f t="shared" si="1112"/>
        <v>3750000</v>
      </c>
      <c r="J1733" s="1042">
        <f t="shared" si="1113"/>
        <v>10200000</v>
      </c>
      <c r="L1733" s="1060">
        <f t="shared" si="1109"/>
        <v>1</v>
      </c>
      <c r="M1733" s="1060">
        <f t="shared" si="1105"/>
        <v>0</v>
      </c>
      <c r="N1733" s="1060">
        <f t="shared" si="1106"/>
        <v>0</v>
      </c>
      <c r="O1733" s="1060">
        <f t="shared" si="1107"/>
        <v>0</v>
      </c>
      <c r="P1733" s="1060">
        <f t="shared" si="1108"/>
        <v>0</v>
      </c>
    </row>
    <row r="1734" spans="1:16" x14ac:dyDescent="0.25">
      <c r="A1734" s="1039">
        <v>2082</v>
      </c>
      <c r="B1734" s="1039">
        <f t="shared" si="1110"/>
        <v>10</v>
      </c>
      <c r="C1734" s="1039" t="str">
        <f t="shared" si="1100"/>
        <v>SITI AMINAH</v>
      </c>
      <c r="D1734" s="1040" t="str">
        <f t="shared" si="1101"/>
        <v>PGMI-1</v>
      </c>
      <c r="E1734" s="1041">
        <f t="shared" si="1102"/>
        <v>2020</v>
      </c>
      <c r="F1734" s="1040" t="str">
        <f t="shared" si="1103"/>
        <v>AKTIF</v>
      </c>
      <c r="G1734" s="1082">
        <f t="shared" si="1104"/>
        <v>203206040010</v>
      </c>
      <c r="H1734" s="1042">
        <f t="shared" si="1111"/>
        <v>6450000</v>
      </c>
      <c r="I1734" s="1042">
        <f t="shared" si="1112"/>
        <v>3750000</v>
      </c>
      <c r="J1734" s="1042">
        <f t="shared" si="1113"/>
        <v>10200000</v>
      </c>
      <c r="L1734" s="1060">
        <f t="shared" si="1109"/>
        <v>1</v>
      </c>
      <c r="M1734" s="1060">
        <f t="shared" si="1105"/>
        <v>0</v>
      </c>
      <c r="N1734" s="1060">
        <f t="shared" si="1106"/>
        <v>0</v>
      </c>
      <c r="O1734" s="1060">
        <f t="shared" si="1107"/>
        <v>0</v>
      </c>
      <c r="P1734" s="1060">
        <f t="shared" si="1108"/>
        <v>0</v>
      </c>
    </row>
    <row r="1735" spans="1:16" x14ac:dyDescent="0.25">
      <c r="A1735" s="1039">
        <v>2083</v>
      </c>
      <c r="B1735" s="1039">
        <f t="shared" si="1110"/>
        <v>11</v>
      </c>
      <c r="C1735" s="1039" t="str">
        <f t="shared" si="1100"/>
        <v>WINARTIK SUSANTININGSIH</v>
      </c>
      <c r="D1735" s="1040" t="str">
        <f t="shared" si="1101"/>
        <v>PGMI-1</v>
      </c>
      <c r="E1735" s="1041">
        <f t="shared" si="1102"/>
        <v>2020</v>
      </c>
      <c r="F1735" s="1040" t="str">
        <f t="shared" si="1103"/>
        <v>AKTIF</v>
      </c>
      <c r="G1735" s="1082">
        <f t="shared" si="1104"/>
        <v>203206040011</v>
      </c>
      <c r="H1735" s="1042">
        <f t="shared" si="1111"/>
        <v>6450000</v>
      </c>
      <c r="I1735" s="1042">
        <f t="shared" si="1112"/>
        <v>3750000</v>
      </c>
      <c r="J1735" s="1042">
        <f t="shared" si="1113"/>
        <v>10200000</v>
      </c>
      <c r="L1735" s="1060">
        <f t="shared" si="1109"/>
        <v>1</v>
      </c>
      <c r="M1735" s="1060">
        <f t="shared" si="1105"/>
        <v>0</v>
      </c>
      <c r="N1735" s="1060">
        <f t="shared" si="1106"/>
        <v>0</v>
      </c>
      <c r="O1735" s="1060">
        <f t="shared" si="1107"/>
        <v>0</v>
      </c>
      <c r="P1735" s="1060">
        <f t="shared" si="1108"/>
        <v>0</v>
      </c>
    </row>
    <row r="1736" spans="1:16" x14ac:dyDescent="0.25">
      <c r="A1736" s="1039">
        <v>2084</v>
      </c>
      <c r="B1736" s="1039">
        <f t="shared" si="1095"/>
        <v>12</v>
      </c>
      <c r="C1736" s="1039" t="str">
        <f t="shared" si="1100"/>
        <v>Dzaqi Hijrotin</v>
      </c>
      <c r="D1736" s="1040" t="str">
        <f t="shared" si="1101"/>
        <v>PGMI-1</v>
      </c>
      <c r="E1736" s="1041">
        <f t="shared" si="1102"/>
        <v>2020</v>
      </c>
      <c r="F1736" s="1040" t="str">
        <f t="shared" si="1103"/>
        <v>AKTIF</v>
      </c>
      <c r="G1736" s="1082">
        <f t="shared" si="1104"/>
        <v>204206040001</v>
      </c>
      <c r="H1736" s="1042">
        <f t="shared" si="978"/>
        <v>6450000</v>
      </c>
      <c r="I1736" s="1042">
        <f t="shared" si="979"/>
        <v>3750000</v>
      </c>
      <c r="J1736" s="1042">
        <f t="shared" si="977"/>
        <v>10200000</v>
      </c>
      <c r="L1736" s="1060">
        <f t="shared" si="1109"/>
        <v>1</v>
      </c>
      <c r="M1736" s="1060">
        <f t="shared" si="1105"/>
        <v>0</v>
      </c>
      <c r="N1736" s="1060">
        <f t="shared" si="1106"/>
        <v>0</v>
      </c>
      <c r="O1736" s="1060">
        <f t="shared" si="1107"/>
        <v>0</v>
      </c>
      <c r="P1736" s="1060">
        <f t="shared" si="1108"/>
        <v>0</v>
      </c>
    </row>
    <row r="1737" spans="1:16" x14ac:dyDescent="0.25">
      <c r="A1737" s="1039"/>
      <c r="B1737" s="1039"/>
      <c r="C1737" s="1039"/>
      <c r="D1737" s="1040"/>
      <c r="E1737" s="1041"/>
      <c r="F1737" s="1040"/>
      <c r="G1737" s="1041"/>
      <c r="H1737" s="1042"/>
      <c r="I1737" s="1042"/>
      <c r="J1737" s="1042"/>
    </row>
    <row r="1738" spans="1:16" x14ac:dyDescent="0.25">
      <c r="A1738" s="1076" t="str">
        <f>'Rekap SPP'!A2266</f>
        <v>S2-SI 2020/2021</v>
      </c>
      <c r="B1738" s="1077"/>
      <c r="C1738" s="1077"/>
      <c r="D1738" s="1033" t="s">
        <v>3</v>
      </c>
      <c r="E1738" s="1032" t="s">
        <v>4</v>
      </c>
      <c r="F1738" s="1033" t="s">
        <v>3195</v>
      </c>
      <c r="G1738" s="1032" t="s">
        <v>1</v>
      </c>
      <c r="H1738" s="1033" t="s">
        <v>3362</v>
      </c>
      <c r="I1738" s="1033" t="s">
        <v>3363</v>
      </c>
      <c r="J1738" s="1062">
        <f>SUM(J1739:J1769)</f>
        <v>715900000</v>
      </c>
      <c r="L1738" s="1063">
        <f>SUM(L1739:L1755)</f>
        <v>17</v>
      </c>
      <c r="M1738" s="1063">
        <f t="shared" ref="M1738:P1738" si="1114">SUM(M1739:M1755)</f>
        <v>0</v>
      </c>
      <c r="N1738" s="1063">
        <f t="shared" si="1114"/>
        <v>0</v>
      </c>
      <c r="O1738" s="1063">
        <f t="shared" si="1114"/>
        <v>0</v>
      </c>
      <c r="P1738" s="1063">
        <f t="shared" si="1114"/>
        <v>0</v>
      </c>
    </row>
    <row r="1739" spans="1:16" x14ac:dyDescent="0.25">
      <c r="A1739" s="1039">
        <v>2085</v>
      </c>
      <c r="B1739" s="1039">
        <f t="shared" si="1095"/>
        <v>1</v>
      </c>
      <c r="C1739" s="1039" t="str">
        <f t="shared" ref="C1739:C1755" si="1115">IFERROR(VLOOKUP(A1739,DB,4,FALSE),"")</f>
        <v>ACH BADRUS SHOLEH</v>
      </c>
      <c r="D1739" s="1040" t="str">
        <f t="shared" ref="D1739:D1755" si="1116">IFERROR(VLOOKUP(A1739,DB,5,FALSE),"")</f>
        <v>SI-1</v>
      </c>
      <c r="E1739" s="1041">
        <f t="shared" ref="E1739:E1755" si="1117">IFERROR(VLOOKUP(A1739,DB,6,FALSE),"")</f>
        <v>2020</v>
      </c>
      <c r="F1739" s="1040" t="str">
        <f t="shared" ref="F1739:F1755" si="1118">IFERROR(VLOOKUP(A1739,DB,7,FALSE),"")</f>
        <v>AKTIF</v>
      </c>
      <c r="G1739" s="1082">
        <f t="shared" ref="G1739:G1755" si="1119">IFERROR(VLOOKUP(A1739,DB,3,FALSE),"")</f>
        <v>203206080001</v>
      </c>
      <c r="H1739" s="1042">
        <f t="shared" si="978"/>
        <v>6450000</v>
      </c>
      <c r="I1739" s="1042">
        <f t="shared" si="979"/>
        <v>3750000</v>
      </c>
      <c r="J1739" s="1042">
        <f t="shared" si="977"/>
        <v>10200000</v>
      </c>
      <c r="L1739" s="1060">
        <f>IF(F1739="AKTIF",1,0)</f>
        <v>1</v>
      </c>
      <c r="M1739" s="1060">
        <f t="shared" ref="M1739:M1755" si="1120">IF(F1739="LULUS",1,0)</f>
        <v>0</v>
      </c>
      <c r="N1739" s="1060">
        <f t="shared" ref="N1739:N1755" si="1121">IF(F1739="CUTI",1,0)</f>
        <v>0</v>
      </c>
      <c r="O1739" s="1060">
        <f t="shared" ref="O1739:O1755" si="1122">IF(F1739="DROP OUT",1,0)</f>
        <v>0</v>
      </c>
      <c r="P1739" s="1060">
        <f t="shared" ref="P1739:P1755" si="1123">IF(F1739="PASIF",1,0)</f>
        <v>0</v>
      </c>
    </row>
    <row r="1740" spans="1:16" x14ac:dyDescent="0.25">
      <c r="A1740" s="1039">
        <v>2086</v>
      </c>
      <c r="B1740" s="1039">
        <f t="shared" si="1095"/>
        <v>2</v>
      </c>
      <c r="C1740" s="1039" t="str">
        <f t="shared" si="1115"/>
        <v>ACH DIMYATI MUSTOFA</v>
      </c>
      <c r="D1740" s="1040" t="str">
        <f t="shared" si="1116"/>
        <v>SI-1</v>
      </c>
      <c r="E1740" s="1041">
        <f t="shared" si="1117"/>
        <v>2020</v>
      </c>
      <c r="F1740" s="1040" t="str">
        <f t="shared" si="1118"/>
        <v>AKTIF</v>
      </c>
      <c r="G1740" s="1082">
        <f t="shared" si="1119"/>
        <v>203206080002</v>
      </c>
      <c r="H1740" s="1042">
        <f t="shared" si="978"/>
        <v>6450000</v>
      </c>
      <c r="I1740" s="1042">
        <f t="shared" si="979"/>
        <v>3750000</v>
      </c>
      <c r="J1740" s="1042">
        <f t="shared" si="977"/>
        <v>10200000</v>
      </c>
      <c r="L1740" s="1060">
        <f t="shared" ref="L1740:L1755" si="1124">IF(F1740="AKTIF",1,0)</f>
        <v>1</v>
      </c>
      <c r="M1740" s="1060">
        <f t="shared" si="1120"/>
        <v>0</v>
      </c>
      <c r="N1740" s="1060">
        <f t="shared" si="1121"/>
        <v>0</v>
      </c>
      <c r="O1740" s="1060">
        <f t="shared" si="1122"/>
        <v>0</v>
      </c>
      <c r="P1740" s="1060">
        <f t="shared" si="1123"/>
        <v>0</v>
      </c>
    </row>
    <row r="1741" spans="1:16" x14ac:dyDescent="0.25">
      <c r="A1741" s="1039">
        <v>2087</v>
      </c>
      <c r="B1741" s="1039">
        <f t="shared" si="1095"/>
        <v>3</v>
      </c>
      <c r="C1741" s="1039" t="str">
        <f t="shared" si="1115"/>
        <v>ASMUL WAKIL</v>
      </c>
      <c r="D1741" s="1040" t="str">
        <f t="shared" si="1116"/>
        <v>SI-1</v>
      </c>
      <c r="E1741" s="1041">
        <f t="shared" si="1117"/>
        <v>2020</v>
      </c>
      <c r="F1741" s="1040" t="str">
        <f t="shared" si="1118"/>
        <v>AKTIF</v>
      </c>
      <c r="G1741" s="1082">
        <f t="shared" si="1119"/>
        <v>203206080003</v>
      </c>
      <c r="H1741" s="1042">
        <f t="shared" si="978"/>
        <v>6450000</v>
      </c>
      <c r="I1741" s="1042">
        <f t="shared" si="979"/>
        <v>3750000</v>
      </c>
      <c r="J1741" s="1042">
        <f t="shared" si="977"/>
        <v>10200000</v>
      </c>
      <c r="L1741" s="1060">
        <f t="shared" si="1124"/>
        <v>1</v>
      </c>
      <c r="M1741" s="1060">
        <f t="shared" si="1120"/>
        <v>0</v>
      </c>
      <c r="N1741" s="1060">
        <f t="shared" si="1121"/>
        <v>0</v>
      </c>
      <c r="O1741" s="1060">
        <f t="shared" si="1122"/>
        <v>0</v>
      </c>
      <c r="P1741" s="1060">
        <f t="shared" si="1123"/>
        <v>0</v>
      </c>
    </row>
    <row r="1742" spans="1:16" x14ac:dyDescent="0.25">
      <c r="A1742" s="1039">
        <v>2088</v>
      </c>
      <c r="B1742" s="1039">
        <f t="shared" si="1095"/>
        <v>4</v>
      </c>
      <c r="C1742" s="1039" t="str">
        <f t="shared" si="1115"/>
        <v>FIKRI AMIL MUTTAQIN</v>
      </c>
      <c r="D1742" s="1040" t="str">
        <f t="shared" si="1116"/>
        <v>SI-1</v>
      </c>
      <c r="E1742" s="1041">
        <f t="shared" si="1117"/>
        <v>2020</v>
      </c>
      <c r="F1742" s="1040" t="str">
        <f t="shared" si="1118"/>
        <v>AKTIF</v>
      </c>
      <c r="G1742" s="1082">
        <f t="shared" si="1119"/>
        <v>203206080012</v>
      </c>
      <c r="H1742" s="1042">
        <f t="shared" si="978"/>
        <v>6450000</v>
      </c>
      <c r="I1742" s="1042">
        <f t="shared" si="979"/>
        <v>3750000</v>
      </c>
      <c r="J1742" s="1042">
        <f t="shared" si="977"/>
        <v>10200000</v>
      </c>
      <c r="L1742" s="1060">
        <f t="shared" si="1124"/>
        <v>1</v>
      </c>
      <c r="M1742" s="1060">
        <f t="shared" si="1120"/>
        <v>0</v>
      </c>
      <c r="N1742" s="1060">
        <f t="shared" si="1121"/>
        <v>0</v>
      </c>
      <c r="O1742" s="1060">
        <f t="shared" si="1122"/>
        <v>0</v>
      </c>
      <c r="P1742" s="1060">
        <f t="shared" si="1123"/>
        <v>0</v>
      </c>
    </row>
    <row r="1743" spans="1:16" x14ac:dyDescent="0.25">
      <c r="A1743" s="1039">
        <v>2089</v>
      </c>
      <c r="B1743" s="1039">
        <f t="shared" si="1095"/>
        <v>5</v>
      </c>
      <c r="C1743" s="1039" t="str">
        <f t="shared" si="1115"/>
        <v>KHAIRUNNISA SAFITRI</v>
      </c>
      <c r="D1743" s="1040" t="str">
        <f t="shared" si="1116"/>
        <v>SI-1</v>
      </c>
      <c r="E1743" s="1041">
        <f t="shared" si="1117"/>
        <v>2020</v>
      </c>
      <c r="F1743" s="1040" t="str">
        <f t="shared" si="1118"/>
        <v>AKTIF</v>
      </c>
      <c r="G1743" s="1082">
        <f t="shared" si="1119"/>
        <v>203206080004</v>
      </c>
      <c r="H1743" s="1042">
        <f t="shared" si="978"/>
        <v>6450000</v>
      </c>
      <c r="I1743" s="1042">
        <f t="shared" si="979"/>
        <v>3750000</v>
      </c>
      <c r="J1743" s="1042">
        <f t="shared" si="977"/>
        <v>10200000</v>
      </c>
      <c r="L1743" s="1060">
        <f t="shared" si="1124"/>
        <v>1</v>
      </c>
      <c r="M1743" s="1060">
        <f t="shared" si="1120"/>
        <v>0</v>
      </c>
      <c r="N1743" s="1060">
        <f t="shared" si="1121"/>
        <v>0</v>
      </c>
      <c r="O1743" s="1060">
        <f t="shared" si="1122"/>
        <v>0</v>
      </c>
      <c r="P1743" s="1060">
        <f t="shared" si="1123"/>
        <v>0</v>
      </c>
    </row>
    <row r="1744" spans="1:16" x14ac:dyDescent="0.25">
      <c r="A1744" s="1039">
        <v>2090</v>
      </c>
      <c r="B1744" s="1039">
        <f t="shared" ref="B1744:B1754" si="1125">IFERROR(VLOOKUP(A1744,DB,2,FALSE),"")</f>
        <v>6</v>
      </c>
      <c r="C1744" s="1039" t="str">
        <f t="shared" si="1115"/>
        <v>KHALISOH QADRUNNADA</v>
      </c>
      <c r="D1744" s="1040" t="str">
        <f t="shared" si="1116"/>
        <v>SI-1</v>
      </c>
      <c r="E1744" s="1041">
        <f t="shared" si="1117"/>
        <v>2020</v>
      </c>
      <c r="F1744" s="1040" t="str">
        <f t="shared" si="1118"/>
        <v>AKTIF</v>
      </c>
      <c r="G1744" s="1082">
        <f t="shared" si="1119"/>
        <v>203206080005</v>
      </c>
      <c r="H1744" s="1042">
        <f t="shared" ref="H1744:H1754" si="1126">IF(F1744="AKTIF",6450000,IF(F1744="CUTI",3000000,0))</f>
        <v>6450000</v>
      </c>
      <c r="I1744" s="1042">
        <f t="shared" ref="I1744:I1754" si="1127">IF(F1744="AKTIF",3750000,IF(F1744="CUTI",3000000,0))</f>
        <v>3750000</v>
      </c>
      <c r="J1744" s="1042">
        <f t="shared" ref="J1744:J1754" si="1128">I1744+H1744</f>
        <v>10200000</v>
      </c>
      <c r="L1744" s="1060">
        <f t="shared" si="1124"/>
        <v>1</v>
      </c>
      <c r="M1744" s="1060">
        <f t="shared" si="1120"/>
        <v>0</v>
      </c>
      <c r="N1744" s="1060">
        <f t="shared" si="1121"/>
        <v>0</v>
      </c>
      <c r="O1744" s="1060">
        <f t="shared" si="1122"/>
        <v>0</v>
      </c>
      <c r="P1744" s="1060">
        <f t="shared" si="1123"/>
        <v>0</v>
      </c>
    </row>
    <row r="1745" spans="1:16" x14ac:dyDescent="0.25">
      <c r="A1745" s="1039">
        <v>2091</v>
      </c>
      <c r="B1745" s="1039">
        <f t="shared" si="1125"/>
        <v>7</v>
      </c>
      <c r="C1745" s="1039" t="str">
        <f t="shared" si="1115"/>
        <v>MIFTAHUL JANNAH</v>
      </c>
      <c r="D1745" s="1040" t="str">
        <f t="shared" si="1116"/>
        <v>SI-1</v>
      </c>
      <c r="E1745" s="1041">
        <f t="shared" si="1117"/>
        <v>2020</v>
      </c>
      <c r="F1745" s="1040" t="str">
        <f t="shared" si="1118"/>
        <v>AKTIF</v>
      </c>
      <c r="G1745" s="1082">
        <f t="shared" si="1119"/>
        <v>203206080006</v>
      </c>
      <c r="H1745" s="1042">
        <f t="shared" si="1126"/>
        <v>6450000</v>
      </c>
      <c r="I1745" s="1042">
        <f t="shared" si="1127"/>
        <v>3750000</v>
      </c>
      <c r="J1745" s="1042">
        <f t="shared" si="1128"/>
        <v>10200000</v>
      </c>
      <c r="L1745" s="1060">
        <f t="shared" si="1124"/>
        <v>1</v>
      </c>
      <c r="M1745" s="1060">
        <f t="shared" si="1120"/>
        <v>0</v>
      </c>
      <c r="N1745" s="1060">
        <f t="shared" si="1121"/>
        <v>0</v>
      </c>
      <c r="O1745" s="1060">
        <f t="shared" si="1122"/>
        <v>0</v>
      </c>
      <c r="P1745" s="1060">
        <f t="shared" si="1123"/>
        <v>0</v>
      </c>
    </row>
    <row r="1746" spans="1:16" x14ac:dyDescent="0.25">
      <c r="A1746" s="1039">
        <v>2092</v>
      </c>
      <c r="B1746" s="1039">
        <f t="shared" ref="B1746:B1747" si="1129">IFERROR(VLOOKUP(A1746,DB,2,FALSE),"")</f>
        <v>8</v>
      </c>
      <c r="C1746" s="1039" t="str">
        <f t="shared" si="1115"/>
        <v>MOCHAMMAD NOR ZUBAIDI BAHARUN</v>
      </c>
      <c r="D1746" s="1040" t="str">
        <f t="shared" si="1116"/>
        <v>SI-1</v>
      </c>
      <c r="E1746" s="1041">
        <f t="shared" si="1117"/>
        <v>2020</v>
      </c>
      <c r="F1746" s="1040" t="str">
        <f t="shared" si="1118"/>
        <v>AKTIF</v>
      </c>
      <c r="G1746" s="1082">
        <f t="shared" si="1119"/>
        <v>203206080007</v>
      </c>
      <c r="H1746" s="1042">
        <f t="shared" ref="H1746:H1747" si="1130">IF(F1746="AKTIF",6450000,IF(F1746="CUTI",3000000,0))</f>
        <v>6450000</v>
      </c>
      <c r="I1746" s="1042">
        <f t="shared" ref="I1746:I1747" si="1131">IF(F1746="AKTIF",3750000,IF(F1746="CUTI",3000000,0))</f>
        <v>3750000</v>
      </c>
      <c r="J1746" s="1042">
        <f t="shared" ref="J1746:J1747" si="1132">I1746+H1746</f>
        <v>10200000</v>
      </c>
      <c r="L1746" s="1060">
        <f t="shared" ref="L1746:L1747" si="1133">IF(F1746="AKTIF",1,0)</f>
        <v>1</v>
      </c>
      <c r="M1746" s="1060">
        <f t="shared" ref="M1746:M1747" si="1134">IF(F1746="LULUS",1,0)</f>
        <v>0</v>
      </c>
      <c r="N1746" s="1060">
        <f t="shared" ref="N1746:N1747" si="1135">IF(F1746="CUTI",1,0)</f>
        <v>0</v>
      </c>
      <c r="O1746" s="1060">
        <f t="shared" ref="O1746:O1747" si="1136">IF(F1746="DROP OUT",1,0)</f>
        <v>0</v>
      </c>
      <c r="P1746" s="1060">
        <f t="shared" ref="P1746:P1747" si="1137">IF(F1746="PASIF",1,0)</f>
        <v>0</v>
      </c>
    </row>
    <row r="1747" spans="1:16" x14ac:dyDescent="0.25">
      <c r="A1747" s="1039">
        <v>2093</v>
      </c>
      <c r="B1747" s="1039">
        <f t="shared" si="1129"/>
        <v>9</v>
      </c>
      <c r="C1747" s="1039" t="str">
        <f t="shared" si="1115"/>
        <v>MOH CHOIRUL ANAM</v>
      </c>
      <c r="D1747" s="1040" t="str">
        <f t="shared" si="1116"/>
        <v>SI-1</v>
      </c>
      <c r="E1747" s="1041">
        <f t="shared" si="1117"/>
        <v>2020</v>
      </c>
      <c r="F1747" s="1040" t="str">
        <f t="shared" si="1118"/>
        <v>AKTIF</v>
      </c>
      <c r="G1747" s="1082">
        <f t="shared" si="1119"/>
        <v>203206080008</v>
      </c>
      <c r="H1747" s="1042">
        <f t="shared" si="1130"/>
        <v>6450000</v>
      </c>
      <c r="I1747" s="1042">
        <f t="shared" si="1131"/>
        <v>3750000</v>
      </c>
      <c r="J1747" s="1042">
        <f t="shared" si="1132"/>
        <v>10200000</v>
      </c>
      <c r="L1747" s="1060">
        <f t="shared" si="1133"/>
        <v>1</v>
      </c>
      <c r="M1747" s="1060">
        <f t="shared" si="1134"/>
        <v>0</v>
      </c>
      <c r="N1747" s="1060">
        <f t="shared" si="1135"/>
        <v>0</v>
      </c>
      <c r="O1747" s="1060">
        <f t="shared" si="1136"/>
        <v>0</v>
      </c>
      <c r="P1747" s="1060">
        <f t="shared" si="1137"/>
        <v>0</v>
      </c>
    </row>
    <row r="1748" spans="1:16" x14ac:dyDescent="0.25">
      <c r="A1748" s="1039">
        <v>2094</v>
      </c>
      <c r="B1748" s="1039">
        <f t="shared" si="1125"/>
        <v>10</v>
      </c>
      <c r="C1748" s="1039" t="str">
        <f t="shared" si="1115"/>
        <v>MOH ZAINAL</v>
      </c>
      <c r="D1748" s="1040" t="str">
        <f t="shared" si="1116"/>
        <v>SI-1</v>
      </c>
      <c r="E1748" s="1041">
        <f t="shared" si="1117"/>
        <v>2020</v>
      </c>
      <c r="F1748" s="1040" t="str">
        <f t="shared" si="1118"/>
        <v>AKTIF</v>
      </c>
      <c r="G1748" s="1082">
        <f t="shared" si="1119"/>
        <v>203206080009</v>
      </c>
      <c r="H1748" s="1042">
        <f t="shared" si="1126"/>
        <v>6450000</v>
      </c>
      <c r="I1748" s="1042">
        <f t="shared" si="1127"/>
        <v>3750000</v>
      </c>
      <c r="J1748" s="1042">
        <f t="shared" si="1128"/>
        <v>10200000</v>
      </c>
      <c r="L1748" s="1060">
        <f t="shared" si="1124"/>
        <v>1</v>
      </c>
      <c r="M1748" s="1060">
        <f t="shared" si="1120"/>
        <v>0</v>
      </c>
      <c r="N1748" s="1060">
        <f t="shared" si="1121"/>
        <v>0</v>
      </c>
      <c r="O1748" s="1060">
        <f t="shared" si="1122"/>
        <v>0</v>
      </c>
      <c r="P1748" s="1060">
        <f t="shared" si="1123"/>
        <v>0</v>
      </c>
    </row>
    <row r="1749" spans="1:16" x14ac:dyDescent="0.25">
      <c r="A1749" s="1039">
        <v>2095</v>
      </c>
      <c r="B1749" s="1039">
        <f t="shared" si="1125"/>
        <v>11</v>
      </c>
      <c r="C1749" s="1039" t="str">
        <f t="shared" si="1115"/>
        <v>SAYIDATUL UMMAH</v>
      </c>
      <c r="D1749" s="1040" t="str">
        <f t="shared" si="1116"/>
        <v>SI-1</v>
      </c>
      <c r="E1749" s="1041">
        <f t="shared" si="1117"/>
        <v>2020</v>
      </c>
      <c r="F1749" s="1040" t="str">
        <f t="shared" si="1118"/>
        <v>AKTIF</v>
      </c>
      <c r="G1749" s="1082">
        <f t="shared" si="1119"/>
        <v>203206080010</v>
      </c>
      <c r="H1749" s="1042">
        <f t="shared" si="1126"/>
        <v>6450000</v>
      </c>
      <c r="I1749" s="1042">
        <f t="shared" si="1127"/>
        <v>3750000</v>
      </c>
      <c r="J1749" s="1042">
        <f t="shared" si="1128"/>
        <v>10200000</v>
      </c>
      <c r="L1749" s="1060">
        <f t="shared" si="1124"/>
        <v>1</v>
      </c>
      <c r="M1749" s="1060">
        <f t="shared" si="1120"/>
        <v>0</v>
      </c>
      <c r="N1749" s="1060">
        <f t="shared" si="1121"/>
        <v>0</v>
      </c>
      <c r="O1749" s="1060">
        <f t="shared" si="1122"/>
        <v>0</v>
      </c>
      <c r="P1749" s="1060">
        <f t="shared" si="1123"/>
        <v>0</v>
      </c>
    </row>
    <row r="1750" spans="1:16" x14ac:dyDescent="0.25">
      <c r="A1750" s="1039">
        <v>2096</v>
      </c>
      <c r="B1750" s="1039">
        <f t="shared" si="1125"/>
        <v>12</v>
      </c>
      <c r="C1750" s="1039" t="str">
        <f t="shared" si="1115"/>
        <v>UMI LATIFATUN NIHAYAH</v>
      </c>
      <c r="D1750" s="1040" t="str">
        <f t="shared" si="1116"/>
        <v>SI-1</v>
      </c>
      <c r="E1750" s="1041">
        <f t="shared" si="1117"/>
        <v>2020</v>
      </c>
      <c r="F1750" s="1040" t="str">
        <f t="shared" si="1118"/>
        <v>AKTIF</v>
      </c>
      <c r="G1750" s="1082">
        <f t="shared" si="1119"/>
        <v>203206080011</v>
      </c>
      <c r="H1750" s="1042">
        <f t="shared" si="1126"/>
        <v>6450000</v>
      </c>
      <c r="I1750" s="1042">
        <f t="shared" si="1127"/>
        <v>3750000</v>
      </c>
      <c r="J1750" s="1042">
        <f t="shared" si="1128"/>
        <v>10200000</v>
      </c>
      <c r="L1750" s="1060">
        <f t="shared" si="1124"/>
        <v>1</v>
      </c>
      <c r="M1750" s="1060">
        <f t="shared" si="1120"/>
        <v>0</v>
      </c>
      <c r="N1750" s="1060">
        <f t="shared" si="1121"/>
        <v>0</v>
      </c>
      <c r="O1750" s="1060">
        <f t="shared" si="1122"/>
        <v>0</v>
      </c>
      <c r="P1750" s="1060">
        <f t="shared" si="1123"/>
        <v>0</v>
      </c>
    </row>
    <row r="1751" spans="1:16" x14ac:dyDescent="0.25">
      <c r="A1751" s="1039">
        <v>2097</v>
      </c>
      <c r="B1751" s="1039">
        <f t="shared" si="1125"/>
        <v>13</v>
      </c>
      <c r="C1751" s="1039" t="str">
        <f t="shared" si="1115"/>
        <v>URWATUL WUSKO</v>
      </c>
      <c r="D1751" s="1040" t="str">
        <f t="shared" si="1116"/>
        <v>SI-1</v>
      </c>
      <c r="E1751" s="1041">
        <f t="shared" si="1117"/>
        <v>2020</v>
      </c>
      <c r="F1751" s="1040" t="str">
        <f t="shared" si="1118"/>
        <v>AKTIF</v>
      </c>
      <c r="G1751" s="1082">
        <f t="shared" si="1119"/>
        <v>203206080013</v>
      </c>
      <c r="H1751" s="1042">
        <f t="shared" si="1126"/>
        <v>6450000</v>
      </c>
      <c r="I1751" s="1042">
        <f t="shared" si="1127"/>
        <v>3750000</v>
      </c>
      <c r="J1751" s="1042">
        <f t="shared" si="1128"/>
        <v>10200000</v>
      </c>
      <c r="L1751" s="1060">
        <f t="shared" si="1124"/>
        <v>1</v>
      </c>
      <c r="M1751" s="1060">
        <f t="shared" si="1120"/>
        <v>0</v>
      </c>
      <c r="N1751" s="1060">
        <f t="shared" si="1121"/>
        <v>0</v>
      </c>
      <c r="O1751" s="1060">
        <f t="shared" si="1122"/>
        <v>0</v>
      </c>
      <c r="P1751" s="1060">
        <f t="shared" si="1123"/>
        <v>0</v>
      </c>
    </row>
    <row r="1752" spans="1:16" x14ac:dyDescent="0.25">
      <c r="A1752" s="1039">
        <v>2098</v>
      </c>
      <c r="B1752" s="1039">
        <f t="shared" si="1125"/>
        <v>14</v>
      </c>
      <c r="C1752" s="1039" t="str">
        <f t="shared" si="1115"/>
        <v>Ahmad Fuad Anwar</v>
      </c>
      <c r="D1752" s="1040" t="str">
        <f t="shared" si="1116"/>
        <v>SI-1</v>
      </c>
      <c r="E1752" s="1041">
        <f t="shared" si="1117"/>
        <v>2020</v>
      </c>
      <c r="F1752" s="1040" t="str">
        <f t="shared" si="1118"/>
        <v>AKTIF</v>
      </c>
      <c r="G1752" s="1082">
        <f t="shared" si="1119"/>
        <v>204206080001</v>
      </c>
      <c r="H1752" s="1042">
        <f t="shared" si="1126"/>
        <v>6450000</v>
      </c>
      <c r="I1752" s="1042">
        <f t="shared" si="1127"/>
        <v>3750000</v>
      </c>
      <c r="J1752" s="1042">
        <f t="shared" si="1128"/>
        <v>10200000</v>
      </c>
      <c r="L1752" s="1060">
        <f t="shared" si="1124"/>
        <v>1</v>
      </c>
      <c r="M1752" s="1060">
        <f t="shared" si="1120"/>
        <v>0</v>
      </c>
      <c r="N1752" s="1060">
        <f t="shared" si="1121"/>
        <v>0</v>
      </c>
      <c r="O1752" s="1060">
        <f t="shared" si="1122"/>
        <v>0</v>
      </c>
      <c r="P1752" s="1060">
        <f t="shared" si="1123"/>
        <v>0</v>
      </c>
    </row>
    <row r="1753" spans="1:16" x14ac:dyDescent="0.25">
      <c r="A1753" s="1039">
        <v>2099</v>
      </c>
      <c r="B1753" s="1039">
        <f t="shared" si="1125"/>
        <v>15</v>
      </c>
      <c r="C1753" s="1039" t="str">
        <f t="shared" si="1115"/>
        <v>Mohammad mahdi Khered</v>
      </c>
      <c r="D1753" s="1040" t="str">
        <f t="shared" si="1116"/>
        <v>SI-1</v>
      </c>
      <c r="E1753" s="1041">
        <f t="shared" si="1117"/>
        <v>2020</v>
      </c>
      <c r="F1753" s="1040" t="str">
        <f t="shared" si="1118"/>
        <v>AKTIF</v>
      </c>
      <c r="G1753" s="1082">
        <f t="shared" si="1119"/>
        <v>204206080002</v>
      </c>
      <c r="H1753" s="1042">
        <f t="shared" si="1126"/>
        <v>6450000</v>
      </c>
      <c r="I1753" s="1042">
        <f t="shared" si="1127"/>
        <v>3750000</v>
      </c>
      <c r="J1753" s="1042">
        <f t="shared" si="1128"/>
        <v>10200000</v>
      </c>
      <c r="L1753" s="1060">
        <f t="shared" si="1124"/>
        <v>1</v>
      </c>
      <c r="M1753" s="1060">
        <f t="shared" si="1120"/>
        <v>0</v>
      </c>
      <c r="N1753" s="1060">
        <f t="shared" si="1121"/>
        <v>0</v>
      </c>
      <c r="O1753" s="1060">
        <f t="shared" si="1122"/>
        <v>0</v>
      </c>
      <c r="P1753" s="1060">
        <f t="shared" si="1123"/>
        <v>0</v>
      </c>
    </row>
    <row r="1754" spans="1:16" x14ac:dyDescent="0.25">
      <c r="A1754" s="1039">
        <v>2100</v>
      </c>
      <c r="B1754" s="1039">
        <f t="shared" si="1125"/>
        <v>16</v>
      </c>
      <c r="C1754" s="1039" t="str">
        <f t="shared" si="1115"/>
        <v>Mohammad Nur Hassan</v>
      </c>
      <c r="D1754" s="1040" t="str">
        <f t="shared" si="1116"/>
        <v>SI-1</v>
      </c>
      <c r="E1754" s="1041">
        <f t="shared" si="1117"/>
        <v>2020</v>
      </c>
      <c r="F1754" s="1040" t="str">
        <f t="shared" si="1118"/>
        <v>AKTIF</v>
      </c>
      <c r="G1754" s="1082">
        <f t="shared" si="1119"/>
        <v>204206080003</v>
      </c>
      <c r="H1754" s="1042">
        <f t="shared" si="1126"/>
        <v>6450000</v>
      </c>
      <c r="I1754" s="1042">
        <f t="shared" si="1127"/>
        <v>3750000</v>
      </c>
      <c r="J1754" s="1042">
        <f t="shared" si="1128"/>
        <v>10200000</v>
      </c>
      <c r="L1754" s="1060">
        <f t="shared" si="1124"/>
        <v>1</v>
      </c>
      <c r="M1754" s="1060">
        <f t="shared" si="1120"/>
        <v>0</v>
      </c>
      <c r="N1754" s="1060">
        <f t="shared" si="1121"/>
        <v>0</v>
      </c>
      <c r="O1754" s="1060">
        <f t="shared" si="1122"/>
        <v>0</v>
      </c>
      <c r="P1754" s="1060">
        <f t="shared" si="1123"/>
        <v>0</v>
      </c>
    </row>
    <row r="1755" spans="1:16" x14ac:dyDescent="0.25">
      <c r="A1755" s="1039">
        <v>2101</v>
      </c>
      <c r="B1755" s="1039">
        <f t="shared" si="1095"/>
        <v>17</v>
      </c>
      <c r="C1755" s="1039" t="str">
        <f t="shared" si="1115"/>
        <v>M. Syafiq Syauqi</v>
      </c>
      <c r="D1755" s="1040" t="str">
        <f t="shared" si="1116"/>
        <v>SI-1</v>
      </c>
      <c r="E1755" s="1041">
        <f t="shared" si="1117"/>
        <v>2020</v>
      </c>
      <c r="F1755" s="1040" t="str">
        <f t="shared" si="1118"/>
        <v>AKTIF</v>
      </c>
      <c r="G1755" s="1082">
        <f t="shared" si="1119"/>
        <v>204206080004</v>
      </c>
      <c r="H1755" s="1042">
        <f t="shared" si="978"/>
        <v>6450000</v>
      </c>
      <c r="I1755" s="1042">
        <f t="shared" si="979"/>
        <v>3750000</v>
      </c>
      <c r="J1755" s="1042">
        <f t="shared" si="977"/>
        <v>10200000</v>
      </c>
      <c r="L1755" s="1060">
        <f t="shared" si="1124"/>
        <v>1</v>
      </c>
      <c r="M1755" s="1060">
        <f t="shared" si="1120"/>
        <v>0</v>
      </c>
      <c r="N1755" s="1060">
        <f t="shared" si="1121"/>
        <v>0</v>
      </c>
      <c r="O1755" s="1060">
        <f t="shared" si="1122"/>
        <v>0</v>
      </c>
      <c r="P1755" s="1060">
        <f t="shared" si="1123"/>
        <v>0</v>
      </c>
    </row>
    <row r="1756" spans="1:16" x14ac:dyDescent="0.25">
      <c r="A1756" s="1039"/>
      <c r="B1756" s="1039"/>
      <c r="C1756" s="1039"/>
      <c r="D1756" s="1040"/>
      <c r="E1756" s="1041"/>
      <c r="F1756" s="1040"/>
      <c r="G1756" s="1041"/>
      <c r="H1756" s="1042"/>
      <c r="I1756" s="1042"/>
      <c r="J1756" s="1042"/>
    </row>
    <row r="1757" spans="1:16" x14ac:dyDescent="0.25">
      <c r="A1757" s="1078" t="str">
        <f>'Rekap SPP'!A2285</f>
        <v>S3-MPI 2020/2021</v>
      </c>
      <c r="B1757" s="1079"/>
      <c r="C1757" s="1079"/>
      <c r="D1757" s="1074" t="s">
        <v>3</v>
      </c>
      <c r="E1757" s="1075" t="s">
        <v>4</v>
      </c>
      <c r="F1757" s="1074" t="s">
        <v>3195</v>
      </c>
      <c r="G1757" s="1075" t="s">
        <v>1</v>
      </c>
      <c r="H1757" s="1074" t="s">
        <v>3362</v>
      </c>
      <c r="I1757" s="1074" t="s">
        <v>3363</v>
      </c>
      <c r="J1757" s="1080">
        <f>SUM(J1758:J1769)</f>
        <v>271250000</v>
      </c>
      <c r="L1757" s="1063">
        <f>SUM(L1758:L1764)</f>
        <v>7</v>
      </c>
      <c r="M1757" s="1063">
        <f>SUM(M1758:M1764)</f>
        <v>0</v>
      </c>
      <c r="N1757" s="1063">
        <f>SUM(N1758:N1764)</f>
        <v>0</v>
      </c>
      <c r="O1757" s="1063">
        <f>SUM(O1758:O1764)</f>
        <v>0</v>
      </c>
      <c r="P1757" s="1063">
        <f>SUM(P1758:P1764)</f>
        <v>0</v>
      </c>
    </row>
    <row r="1758" spans="1:16" x14ac:dyDescent="0.25">
      <c r="A1758" s="1039">
        <v>2102</v>
      </c>
      <c r="B1758" s="1039">
        <f t="shared" ref="B1758" si="1138">IFERROR(VLOOKUP(A1758,DB,2,FALSE),"  ")</f>
        <v>1</v>
      </c>
      <c r="C1758" s="1039" t="str">
        <f>IFERROR(VLOOKUP(A1758,DB,4,FALSE),"  ")</f>
        <v>Abd. Rozzaq</v>
      </c>
      <c r="D1758" s="1041" t="str">
        <f>IFERROR(VLOOKUP(A1758,DB,5,FALSE),"  ")</f>
        <v>MPI3-1</v>
      </c>
      <c r="E1758" s="1041">
        <f>IFERROR(VLOOKUP(A1758,DB,6,FALSE),"  ")</f>
        <v>2020</v>
      </c>
      <c r="F1758" s="1041" t="str">
        <f>IFERROR(VLOOKUP(A1758,DB,7,FALSE),"  ")</f>
        <v>AKTIF</v>
      </c>
      <c r="G1758" s="1082">
        <f>IFERROR(VLOOKUP(A1758,DB,3,FALSE),"  ")</f>
        <v>204307010001</v>
      </c>
      <c r="H1758" s="1042">
        <f>IF(F1758="AKTIF",10250000,)</f>
        <v>10250000</v>
      </c>
      <c r="I1758" s="1042">
        <f>IF(F1758="AKTIF",6000000,0)</f>
        <v>6000000</v>
      </c>
      <c r="J1758" s="1042">
        <f t="shared" ref="J1758" si="1139">I1758+H1758</f>
        <v>16250000</v>
      </c>
      <c r="L1758" s="1060">
        <f>IF(F1758="AKTIF",1,0)</f>
        <v>1</v>
      </c>
      <c r="M1758" s="1060">
        <f t="shared" ref="M1758" si="1140">IF(F1758="LULUS",1,0)</f>
        <v>0</v>
      </c>
      <c r="N1758" s="1060">
        <f t="shared" ref="N1758" si="1141">IF(F1758="CUTI",1,0)</f>
        <v>0</v>
      </c>
      <c r="O1758" s="1060">
        <f t="shared" ref="O1758" si="1142">IF(F1758="DROP OUT",1,0)</f>
        <v>0</v>
      </c>
      <c r="P1758" s="1060">
        <f t="shared" ref="P1758" si="1143">IF(F1758="PASIF",1,0)</f>
        <v>0</v>
      </c>
    </row>
    <row r="1759" spans="1:16" x14ac:dyDescent="0.25">
      <c r="A1759" s="1039">
        <v>2103</v>
      </c>
      <c r="B1759" s="1039">
        <f t="shared" si="1095"/>
        <v>2</v>
      </c>
      <c r="C1759" s="1039" t="str">
        <f t="shared" ref="C1759:C1764" si="1144">IFERROR(VLOOKUP(A1759,DB,4,FALSE),"")</f>
        <v>AHMAD KHUZA'I FARUQ</v>
      </c>
      <c r="D1759" s="1040" t="str">
        <f t="shared" ref="D1759:D1764" si="1145">IFERROR(VLOOKUP(A1759,DB,5,FALSE),"")</f>
        <v>MPI3-1</v>
      </c>
      <c r="E1759" s="1041">
        <f t="shared" ref="E1759:E1764" si="1146">IFERROR(VLOOKUP(A1759,DB,6,FALSE),"")</f>
        <v>2020</v>
      </c>
      <c r="F1759" s="1040" t="str">
        <f t="shared" ref="F1759:F1764" si="1147">IFERROR(VLOOKUP(A1759,DB,7,FALSE),"")</f>
        <v>AKTIF</v>
      </c>
      <c r="G1759" s="1082">
        <f t="shared" ref="G1759:G1764" si="1148">IFERROR(VLOOKUP(A1759,DB,3,FALSE),"")</f>
        <v>204307010002</v>
      </c>
      <c r="H1759" s="1042">
        <f t="shared" si="978"/>
        <v>6450000</v>
      </c>
      <c r="I1759" s="1042">
        <f t="shared" si="979"/>
        <v>3750000</v>
      </c>
      <c r="J1759" s="1042">
        <f t="shared" si="977"/>
        <v>10200000</v>
      </c>
      <c r="L1759" s="1060">
        <f t="shared" ref="L1759:L1764" si="1149">IF(F1759="AKTIF",1,0)</f>
        <v>1</v>
      </c>
      <c r="M1759" s="1060">
        <f t="shared" ref="M1759:M1764" si="1150">IF(F1759="LULUS",1,0)</f>
        <v>0</v>
      </c>
      <c r="N1759" s="1060">
        <f t="shared" ref="N1759:N1764" si="1151">IF(F1759="CUTI",1,0)</f>
        <v>0</v>
      </c>
      <c r="O1759" s="1060">
        <f t="shared" ref="O1759:O1764" si="1152">IF(F1759="DROP OUT",1,0)</f>
        <v>0</v>
      </c>
      <c r="P1759" s="1060">
        <f t="shared" ref="P1759:P1764" si="1153">IF(F1759="PASIF",1,0)</f>
        <v>0</v>
      </c>
    </row>
    <row r="1760" spans="1:16" x14ac:dyDescent="0.25">
      <c r="A1760" s="1039">
        <v>2104</v>
      </c>
      <c r="B1760" s="1039">
        <f t="shared" ref="B1760:B1764" si="1154">IFERROR(VLOOKUP(A1760,DB,2,FALSE),"")</f>
        <v>3</v>
      </c>
      <c r="C1760" s="1039" t="str">
        <f t="shared" si="1144"/>
        <v>Elis Nursetialloh</v>
      </c>
      <c r="D1760" s="1040" t="str">
        <f t="shared" si="1145"/>
        <v>MPI3-1</v>
      </c>
      <c r="E1760" s="1041">
        <f t="shared" si="1146"/>
        <v>2020</v>
      </c>
      <c r="F1760" s="1040" t="str">
        <f t="shared" si="1147"/>
        <v>AKTIF</v>
      </c>
      <c r="G1760" s="1082">
        <f t="shared" si="1148"/>
        <v>204307010003</v>
      </c>
      <c r="H1760" s="1042">
        <f t="shared" ref="H1760:H1764" si="1155">IF(F1760="AKTIF",6450000,IF(F1760="CUTI",3000000,0))</f>
        <v>6450000</v>
      </c>
      <c r="I1760" s="1042">
        <f t="shared" ref="I1760:I1764" si="1156">IF(F1760="AKTIF",3750000,IF(F1760="CUTI",3000000,0))</f>
        <v>3750000</v>
      </c>
      <c r="J1760" s="1042">
        <f t="shared" ref="J1760:J1764" si="1157">I1760+H1760</f>
        <v>10200000</v>
      </c>
      <c r="L1760" s="1060">
        <f t="shared" si="1149"/>
        <v>1</v>
      </c>
      <c r="M1760" s="1060">
        <f t="shared" si="1150"/>
        <v>0</v>
      </c>
      <c r="N1760" s="1060">
        <f t="shared" si="1151"/>
        <v>0</v>
      </c>
      <c r="O1760" s="1060">
        <f t="shared" si="1152"/>
        <v>0</v>
      </c>
      <c r="P1760" s="1060">
        <f t="shared" si="1153"/>
        <v>0</v>
      </c>
    </row>
    <row r="1761" spans="1:16" x14ac:dyDescent="0.25">
      <c r="A1761" s="1039">
        <v>2105</v>
      </c>
      <c r="B1761" s="1039">
        <f t="shared" si="1154"/>
        <v>4</v>
      </c>
      <c r="C1761" s="1039" t="str">
        <f t="shared" si="1144"/>
        <v>HASANATUL KHALIDIYAH</v>
      </c>
      <c r="D1761" s="1040" t="str">
        <f t="shared" si="1145"/>
        <v>MPI3-1</v>
      </c>
      <c r="E1761" s="1041">
        <f t="shared" si="1146"/>
        <v>2020</v>
      </c>
      <c r="F1761" s="1040" t="str">
        <f t="shared" si="1147"/>
        <v>AKTIF</v>
      </c>
      <c r="G1761" s="1082">
        <f t="shared" si="1148"/>
        <v>203307010001</v>
      </c>
      <c r="H1761" s="1042">
        <f t="shared" si="1155"/>
        <v>6450000</v>
      </c>
      <c r="I1761" s="1042">
        <f t="shared" si="1156"/>
        <v>3750000</v>
      </c>
      <c r="J1761" s="1042">
        <f t="shared" si="1157"/>
        <v>10200000</v>
      </c>
      <c r="L1761" s="1060">
        <f t="shared" si="1149"/>
        <v>1</v>
      </c>
      <c r="M1761" s="1060">
        <f t="shared" si="1150"/>
        <v>0</v>
      </c>
      <c r="N1761" s="1060">
        <f t="shared" si="1151"/>
        <v>0</v>
      </c>
      <c r="O1761" s="1060">
        <f t="shared" si="1152"/>
        <v>0</v>
      </c>
      <c r="P1761" s="1060">
        <f t="shared" si="1153"/>
        <v>0</v>
      </c>
    </row>
    <row r="1762" spans="1:16" x14ac:dyDescent="0.25">
      <c r="A1762" s="1039">
        <v>2106</v>
      </c>
      <c r="B1762" s="1039">
        <f t="shared" si="1154"/>
        <v>5</v>
      </c>
      <c r="C1762" s="1039" t="str">
        <f t="shared" si="1144"/>
        <v>Riayatul Husnan</v>
      </c>
      <c r="D1762" s="1040" t="str">
        <f t="shared" si="1145"/>
        <v>MPI3-1</v>
      </c>
      <c r="E1762" s="1041">
        <f t="shared" si="1146"/>
        <v>2020</v>
      </c>
      <c r="F1762" s="1040" t="str">
        <f t="shared" si="1147"/>
        <v>AKTIF</v>
      </c>
      <c r="G1762" s="1082">
        <f t="shared" si="1148"/>
        <v>204307010004</v>
      </c>
      <c r="H1762" s="1042">
        <f t="shared" si="1155"/>
        <v>6450000</v>
      </c>
      <c r="I1762" s="1042">
        <f t="shared" si="1156"/>
        <v>3750000</v>
      </c>
      <c r="J1762" s="1042">
        <f t="shared" si="1157"/>
        <v>10200000</v>
      </c>
      <c r="L1762" s="1060">
        <f t="shared" si="1149"/>
        <v>1</v>
      </c>
      <c r="M1762" s="1060">
        <f t="shared" si="1150"/>
        <v>0</v>
      </c>
      <c r="N1762" s="1060">
        <f t="shared" si="1151"/>
        <v>0</v>
      </c>
      <c r="O1762" s="1060">
        <f t="shared" si="1152"/>
        <v>0</v>
      </c>
      <c r="P1762" s="1060">
        <f t="shared" si="1153"/>
        <v>0</v>
      </c>
    </row>
    <row r="1763" spans="1:16" x14ac:dyDescent="0.25">
      <c r="A1763" s="1039">
        <v>2107</v>
      </c>
      <c r="B1763" s="1039">
        <f t="shared" si="1154"/>
        <v>6</v>
      </c>
      <c r="C1763" s="1039" t="str">
        <f t="shared" si="1144"/>
        <v>Mawardi</v>
      </c>
      <c r="D1763" s="1040" t="str">
        <f t="shared" si="1145"/>
        <v>MPI3-1</v>
      </c>
      <c r="E1763" s="1041">
        <f t="shared" si="1146"/>
        <v>2020</v>
      </c>
      <c r="F1763" s="1040" t="str">
        <f t="shared" si="1147"/>
        <v>AKTIF</v>
      </c>
      <c r="G1763" s="1082">
        <f t="shared" si="1148"/>
        <v>203307010002</v>
      </c>
      <c r="H1763" s="1042">
        <f t="shared" si="1155"/>
        <v>6450000</v>
      </c>
      <c r="I1763" s="1042">
        <f t="shared" si="1156"/>
        <v>3750000</v>
      </c>
      <c r="J1763" s="1042">
        <f t="shared" si="1157"/>
        <v>10200000</v>
      </c>
      <c r="L1763" s="1060">
        <f t="shared" si="1149"/>
        <v>1</v>
      </c>
      <c r="M1763" s="1060">
        <f t="shared" si="1150"/>
        <v>0</v>
      </c>
      <c r="N1763" s="1060">
        <f t="shared" si="1151"/>
        <v>0</v>
      </c>
      <c r="O1763" s="1060">
        <f t="shared" si="1152"/>
        <v>0</v>
      </c>
      <c r="P1763" s="1060">
        <f t="shared" si="1153"/>
        <v>0</v>
      </c>
    </row>
    <row r="1764" spans="1:16" x14ac:dyDescent="0.25">
      <c r="A1764" s="1039">
        <v>2108</v>
      </c>
      <c r="B1764" s="1039">
        <f t="shared" si="1154"/>
        <v>7</v>
      </c>
      <c r="C1764" s="1039" t="str">
        <f t="shared" si="1144"/>
        <v>Buyung Syukron</v>
      </c>
      <c r="D1764" s="1040" t="str">
        <f t="shared" si="1145"/>
        <v>MPI3-M</v>
      </c>
      <c r="E1764" s="1041">
        <f t="shared" si="1146"/>
        <v>2020</v>
      </c>
      <c r="F1764" s="1040" t="str">
        <f t="shared" si="1147"/>
        <v>AKTIF</v>
      </c>
      <c r="G1764" s="1082">
        <f t="shared" si="1148"/>
        <v>204307010005</v>
      </c>
      <c r="H1764" s="1042">
        <f t="shared" si="1155"/>
        <v>6450000</v>
      </c>
      <c r="I1764" s="1042">
        <f t="shared" si="1156"/>
        <v>3750000</v>
      </c>
      <c r="J1764" s="1042">
        <f t="shared" si="1157"/>
        <v>10200000</v>
      </c>
      <c r="L1764" s="1060">
        <f t="shared" si="1149"/>
        <v>1</v>
      </c>
      <c r="M1764" s="1060">
        <f t="shared" si="1150"/>
        <v>0</v>
      </c>
      <c r="N1764" s="1060">
        <f t="shared" si="1151"/>
        <v>0</v>
      </c>
      <c r="O1764" s="1060">
        <f t="shared" si="1152"/>
        <v>0</v>
      </c>
      <c r="P1764" s="1060">
        <f t="shared" si="1153"/>
        <v>0</v>
      </c>
    </row>
    <row r="1765" spans="1:16" x14ac:dyDescent="0.25">
      <c r="A1765" s="1039"/>
      <c r="B1765" s="1039"/>
      <c r="C1765" s="1039"/>
      <c r="D1765" s="1040"/>
      <c r="E1765" s="1041"/>
      <c r="F1765" s="1040"/>
      <c r="G1765" s="1041"/>
      <c r="H1765" s="1042"/>
      <c r="I1765" s="1042"/>
      <c r="J1765" s="1042"/>
    </row>
    <row r="1766" spans="1:16" x14ac:dyDescent="0.25">
      <c r="A1766" s="1078" t="str">
        <f>'Rekap SPP'!A2294</f>
        <v>S3-PAI 2020/2021</v>
      </c>
      <c r="B1766" s="1079"/>
      <c r="C1766" s="1079"/>
      <c r="D1766" s="1074" t="s">
        <v>3</v>
      </c>
      <c r="E1766" s="1075" t="s">
        <v>4</v>
      </c>
      <c r="F1766" s="1074" t="s">
        <v>3195</v>
      </c>
      <c r="G1766" s="1075" t="s">
        <v>1</v>
      </c>
      <c r="H1766" s="1074" t="s">
        <v>3362</v>
      </c>
      <c r="I1766" s="1074" t="s">
        <v>3363</v>
      </c>
      <c r="J1766" s="1080">
        <f>SUM(J1767:J1782)</f>
        <v>163200000</v>
      </c>
      <c r="L1766" s="1063">
        <f>SUM(L1767:L1784)</f>
        <v>18</v>
      </c>
      <c r="M1766" s="1063">
        <f t="shared" ref="M1766" si="1158">SUM(M1767:M1784)</f>
        <v>0</v>
      </c>
      <c r="N1766" s="1063">
        <f t="shared" ref="N1766" si="1159">SUM(N1767:N1784)</f>
        <v>0</v>
      </c>
      <c r="O1766" s="1063">
        <f t="shared" ref="O1766" si="1160">SUM(O1767:O1784)</f>
        <v>0</v>
      </c>
      <c r="P1766" s="1063">
        <f t="shared" ref="P1766" si="1161">SUM(P1767:P1784)</f>
        <v>0</v>
      </c>
    </row>
    <row r="1767" spans="1:16" x14ac:dyDescent="0.25">
      <c r="A1767" s="1039">
        <v>2109</v>
      </c>
      <c r="B1767" s="1039">
        <f t="shared" si="1095"/>
        <v>1</v>
      </c>
      <c r="C1767" s="1039" t="str">
        <f t="shared" ref="C1767:C1830" si="1162">IFERROR(VLOOKUP(A1767,DB,4,FALSE),"")</f>
        <v>ABDUL MUIS</v>
      </c>
      <c r="D1767" s="1040" t="str">
        <f t="shared" ref="D1767:D1830" si="1163">IFERROR(VLOOKUP(A1767,DB,5,FALSE),"")</f>
        <v>PAI3-1</v>
      </c>
      <c r="E1767" s="1041">
        <f t="shared" ref="E1767:E1830" si="1164">IFERROR(VLOOKUP(A1767,DB,6,FALSE),"")</f>
        <v>2020</v>
      </c>
      <c r="F1767" s="1040" t="str">
        <f t="shared" ref="F1767:F1830" si="1165">IFERROR(VLOOKUP(A1767,DB,7,FALSE),"")</f>
        <v>AKTIF</v>
      </c>
      <c r="G1767" s="1082">
        <f t="shared" ref="G1767:G1830" si="1166">IFERROR(VLOOKUP(A1767,DB,3,FALSE),"")</f>
        <v>203307020001</v>
      </c>
      <c r="H1767" s="1042">
        <f t="shared" si="978"/>
        <v>6450000</v>
      </c>
      <c r="I1767" s="1042">
        <f t="shared" si="979"/>
        <v>3750000</v>
      </c>
      <c r="J1767" s="1042">
        <f t="shared" si="977"/>
        <v>10200000</v>
      </c>
      <c r="L1767" s="1060">
        <f>IF(F1767="AKTIF",1,0)</f>
        <v>1</v>
      </c>
      <c r="M1767" s="1060">
        <f t="shared" ref="M1767:M1784" si="1167">IF(F1767="LULUS",1,0)</f>
        <v>0</v>
      </c>
      <c r="N1767" s="1060">
        <f t="shared" ref="N1767:N1784" si="1168">IF(F1767="CUTI",1,0)</f>
        <v>0</v>
      </c>
      <c r="O1767" s="1060">
        <f t="shared" ref="O1767:O1784" si="1169">IF(F1767="DROP OUT",1,0)</f>
        <v>0</v>
      </c>
      <c r="P1767" s="1060">
        <f t="shared" ref="P1767:P1784" si="1170">IF(F1767="PASIF",1,0)</f>
        <v>0</v>
      </c>
    </row>
    <row r="1768" spans="1:16" x14ac:dyDescent="0.25">
      <c r="A1768" s="1039">
        <v>2110</v>
      </c>
      <c r="B1768" s="1039">
        <f t="shared" si="1095"/>
        <v>1</v>
      </c>
      <c r="C1768" s="1039" t="str">
        <f t="shared" si="1162"/>
        <v>DEBBIY NURFAIDAH</v>
      </c>
      <c r="D1768" s="1040" t="str">
        <f t="shared" si="1163"/>
        <v>PAI3-1</v>
      </c>
      <c r="E1768" s="1041">
        <f t="shared" si="1164"/>
        <v>2020</v>
      </c>
      <c r="F1768" s="1040" t="str">
        <f t="shared" si="1165"/>
        <v>AKTIF</v>
      </c>
      <c r="G1768" s="1082">
        <f t="shared" si="1166"/>
        <v>203307020002</v>
      </c>
      <c r="H1768" s="1042">
        <f t="shared" si="978"/>
        <v>6450000</v>
      </c>
      <c r="I1768" s="1042">
        <f t="shared" si="979"/>
        <v>3750000</v>
      </c>
      <c r="J1768" s="1042">
        <f t="shared" si="977"/>
        <v>10200000</v>
      </c>
      <c r="L1768" s="1060">
        <f t="shared" ref="L1768:L1784" si="1171">IF(F1768="AKTIF",1,0)</f>
        <v>1</v>
      </c>
      <c r="M1768" s="1060">
        <f t="shared" si="1167"/>
        <v>0</v>
      </c>
      <c r="N1768" s="1060">
        <f t="shared" si="1168"/>
        <v>0</v>
      </c>
      <c r="O1768" s="1060">
        <f t="shared" si="1169"/>
        <v>0</v>
      </c>
      <c r="P1768" s="1060">
        <f t="shared" si="1170"/>
        <v>0</v>
      </c>
    </row>
    <row r="1769" spans="1:16" x14ac:dyDescent="0.25">
      <c r="A1769" s="1039">
        <v>2111</v>
      </c>
      <c r="B1769" s="1039">
        <f t="shared" si="1095"/>
        <v>2</v>
      </c>
      <c r="C1769" s="1039" t="str">
        <f t="shared" si="1162"/>
        <v>HUDZAIFAH AL AYYUBI</v>
      </c>
      <c r="D1769" s="1040" t="str">
        <f t="shared" si="1163"/>
        <v>PAI3-1</v>
      </c>
      <c r="E1769" s="1041">
        <f t="shared" si="1164"/>
        <v>2020</v>
      </c>
      <c r="F1769" s="1040" t="str">
        <f t="shared" si="1165"/>
        <v>AKTIF</v>
      </c>
      <c r="G1769" s="1082">
        <f t="shared" si="1166"/>
        <v>203307020003</v>
      </c>
      <c r="H1769" s="1042">
        <f t="shared" si="978"/>
        <v>6450000</v>
      </c>
      <c r="I1769" s="1042">
        <f t="shared" si="979"/>
        <v>3750000</v>
      </c>
      <c r="J1769" s="1042">
        <f t="shared" si="977"/>
        <v>10200000</v>
      </c>
      <c r="L1769" s="1060">
        <f t="shared" si="1171"/>
        <v>1</v>
      </c>
      <c r="M1769" s="1060">
        <f t="shared" si="1167"/>
        <v>0</v>
      </c>
      <c r="N1769" s="1060">
        <f t="shared" si="1168"/>
        <v>0</v>
      </c>
      <c r="O1769" s="1060">
        <f t="shared" si="1169"/>
        <v>0</v>
      </c>
      <c r="P1769" s="1060">
        <f t="shared" si="1170"/>
        <v>0</v>
      </c>
    </row>
    <row r="1770" spans="1:16" x14ac:dyDescent="0.25">
      <c r="A1770" s="1039">
        <v>2112</v>
      </c>
      <c r="B1770" s="1039">
        <f t="shared" si="1095"/>
        <v>3</v>
      </c>
      <c r="C1770" s="1039" t="str">
        <f t="shared" si="1162"/>
        <v>MAHRUS ZAINUL UMAM</v>
      </c>
      <c r="D1770" s="1040" t="str">
        <f t="shared" si="1163"/>
        <v>PAI3-1</v>
      </c>
      <c r="E1770" s="1041">
        <f t="shared" si="1164"/>
        <v>2020</v>
      </c>
      <c r="F1770" s="1040" t="str">
        <f t="shared" si="1165"/>
        <v>AKTIF</v>
      </c>
      <c r="G1770" s="1082">
        <f t="shared" si="1166"/>
        <v>203307020004</v>
      </c>
      <c r="H1770" s="1042">
        <f t="shared" si="978"/>
        <v>6450000</v>
      </c>
      <c r="I1770" s="1042">
        <f t="shared" si="979"/>
        <v>3750000</v>
      </c>
      <c r="J1770" s="1042">
        <f t="shared" si="977"/>
        <v>10200000</v>
      </c>
      <c r="L1770" s="1060">
        <f t="shared" si="1171"/>
        <v>1</v>
      </c>
      <c r="M1770" s="1060">
        <f t="shared" si="1167"/>
        <v>0</v>
      </c>
      <c r="N1770" s="1060">
        <f t="shared" si="1168"/>
        <v>0</v>
      </c>
      <c r="O1770" s="1060">
        <f t="shared" si="1169"/>
        <v>0</v>
      </c>
      <c r="P1770" s="1060">
        <f t="shared" si="1170"/>
        <v>0</v>
      </c>
    </row>
    <row r="1771" spans="1:16" x14ac:dyDescent="0.25">
      <c r="A1771" s="1039">
        <v>2113</v>
      </c>
      <c r="B1771" s="1039">
        <f t="shared" ref="B1771:B1772" si="1172">IFERROR(VLOOKUP(A1771,DB,2,FALSE),"")</f>
        <v>4</v>
      </c>
      <c r="C1771" s="1039" t="str">
        <f t="shared" si="1162"/>
        <v>MOH. ALI MASUD</v>
      </c>
      <c r="D1771" s="1040" t="str">
        <f t="shared" si="1163"/>
        <v>PAI3-1</v>
      </c>
      <c r="E1771" s="1041">
        <f t="shared" si="1164"/>
        <v>2020</v>
      </c>
      <c r="F1771" s="1040" t="str">
        <f t="shared" si="1165"/>
        <v>AKTIF</v>
      </c>
      <c r="G1771" s="1082">
        <f t="shared" si="1166"/>
        <v>203307020005</v>
      </c>
      <c r="H1771" s="1042">
        <f t="shared" ref="H1771:H1772" si="1173">IF(F1771="AKTIF",6450000,IF(F1771="CUTI",3000000,0))</f>
        <v>6450000</v>
      </c>
      <c r="I1771" s="1042">
        <f t="shared" ref="I1771:I1772" si="1174">IF(F1771="AKTIF",3750000,IF(F1771="CUTI",3000000,0))</f>
        <v>3750000</v>
      </c>
      <c r="J1771" s="1042">
        <f t="shared" ref="J1771:J1772" si="1175">I1771+H1771</f>
        <v>10200000</v>
      </c>
      <c r="L1771" s="1060">
        <f t="shared" ref="L1771:L1772" si="1176">IF(F1771="AKTIF",1,0)</f>
        <v>1</v>
      </c>
      <c r="M1771" s="1060">
        <f t="shared" ref="M1771:M1772" si="1177">IF(F1771="LULUS",1,0)</f>
        <v>0</v>
      </c>
      <c r="N1771" s="1060">
        <f t="shared" ref="N1771:N1772" si="1178">IF(F1771="CUTI",1,0)</f>
        <v>0</v>
      </c>
      <c r="O1771" s="1060">
        <f t="shared" ref="O1771:O1772" si="1179">IF(F1771="DROP OUT",1,0)</f>
        <v>0</v>
      </c>
      <c r="P1771" s="1060">
        <f t="shared" ref="P1771:P1772" si="1180">IF(F1771="PASIF",1,0)</f>
        <v>0</v>
      </c>
    </row>
    <row r="1772" spans="1:16" x14ac:dyDescent="0.25">
      <c r="A1772" s="1039">
        <v>2114</v>
      </c>
      <c r="B1772" s="1039">
        <f t="shared" si="1172"/>
        <v>5</v>
      </c>
      <c r="C1772" s="1039" t="str">
        <f t="shared" si="1162"/>
        <v>MUHAMMAD RUSYDI</v>
      </c>
      <c r="D1772" s="1040" t="str">
        <f t="shared" si="1163"/>
        <v>PAI3-1</v>
      </c>
      <c r="E1772" s="1041">
        <f t="shared" si="1164"/>
        <v>2020</v>
      </c>
      <c r="F1772" s="1040" t="str">
        <f t="shared" si="1165"/>
        <v>AKTIF</v>
      </c>
      <c r="G1772" s="1082">
        <f t="shared" si="1166"/>
        <v>203307020006</v>
      </c>
      <c r="H1772" s="1042">
        <f t="shared" si="1173"/>
        <v>6450000</v>
      </c>
      <c r="I1772" s="1042">
        <f t="shared" si="1174"/>
        <v>3750000</v>
      </c>
      <c r="J1772" s="1042">
        <f t="shared" si="1175"/>
        <v>10200000</v>
      </c>
      <c r="L1772" s="1060">
        <f t="shared" si="1176"/>
        <v>1</v>
      </c>
      <c r="M1772" s="1060">
        <f t="shared" si="1177"/>
        <v>0</v>
      </c>
      <c r="N1772" s="1060">
        <f t="shared" si="1178"/>
        <v>0</v>
      </c>
      <c r="O1772" s="1060">
        <f t="shared" si="1179"/>
        <v>0</v>
      </c>
      <c r="P1772" s="1060">
        <f t="shared" si="1180"/>
        <v>0</v>
      </c>
    </row>
    <row r="1773" spans="1:16" x14ac:dyDescent="0.25">
      <c r="A1773" s="1039">
        <v>2115</v>
      </c>
      <c r="B1773" s="1039">
        <f t="shared" si="1095"/>
        <v>6</v>
      </c>
      <c r="C1773" s="1039" t="str">
        <f t="shared" si="1162"/>
        <v>SULAIMAN</v>
      </c>
      <c r="D1773" s="1040" t="str">
        <f t="shared" si="1163"/>
        <v>PAI3-1</v>
      </c>
      <c r="E1773" s="1041">
        <f t="shared" si="1164"/>
        <v>2020</v>
      </c>
      <c r="F1773" s="1040" t="str">
        <f t="shared" si="1165"/>
        <v>AKTIF</v>
      </c>
      <c r="G1773" s="1082">
        <f t="shared" si="1166"/>
        <v>203307020007</v>
      </c>
      <c r="H1773" s="1042">
        <f t="shared" si="978"/>
        <v>6450000</v>
      </c>
      <c r="I1773" s="1042">
        <f t="shared" si="979"/>
        <v>3750000</v>
      </c>
      <c r="J1773" s="1042">
        <f t="shared" ref="J1773:J1836" si="1181">I1773+H1773</f>
        <v>10200000</v>
      </c>
      <c r="L1773" s="1060">
        <f t="shared" si="1171"/>
        <v>1</v>
      </c>
      <c r="M1773" s="1060">
        <f t="shared" si="1167"/>
        <v>0</v>
      </c>
      <c r="N1773" s="1060">
        <f t="shared" si="1168"/>
        <v>0</v>
      </c>
      <c r="O1773" s="1060">
        <f t="shared" si="1169"/>
        <v>0</v>
      </c>
      <c r="P1773" s="1060">
        <f t="shared" si="1170"/>
        <v>0</v>
      </c>
    </row>
    <row r="1774" spans="1:16" x14ac:dyDescent="0.25">
      <c r="A1774" s="1039">
        <v>2116</v>
      </c>
      <c r="B1774" s="1039">
        <f t="shared" si="1095"/>
        <v>7</v>
      </c>
      <c r="C1774" s="1039" t="str">
        <f t="shared" si="1162"/>
        <v>ZAINOR RAHMAN</v>
      </c>
      <c r="D1774" s="1040" t="str">
        <f t="shared" si="1163"/>
        <v>PAI3-1</v>
      </c>
      <c r="E1774" s="1041">
        <f t="shared" si="1164"/>
        <v>2020</v>
      </c>
      <c r="F1774" s="1040" t="str">
        <f t="shared" si="1165"/>
        <v>AKTIF</v>
      </c>
      <c r="G1774" s="1082">
        <f t="shared" si="1166"/>
        <v>203307020008</v>
      </c>
      <c r="H1774" s="1042">
        <f t="shared" ref="H1774:H1837" si="1182">IF(F1774="AKTIF",6450000,IF(F1774="CUTI",3000000,0))</f>
        <v>6450000</v>
      </c>
      <c r="I1774" s="1042">
        <f t="shared" ref="I1774:I1837" si="1183">IF(F1774="AKTIF",3750000,IF(F1774="CUTI",3000000,0))</f>
        <v>3750000</v>
      </c>
      <c r="J1774" s="1042">
        <f t="shared" si="1181"/>
        <v>10200000</v>
      </c>
      <c r="L1774" s="1060">
        <f t="shared" si="1171"/>
        <v>1</v>
      </c>
      <c r="M1774" s="1060">
        <f t="shared" si="1167"/>
        <v>0</v>
      </c>
      <c r="N1774" s="1060">
        <f t="shared" si="1168"/>
        <v>0</v>
      </c>
      <c r="O1774" s="1060">
        <f t="shared" si="1169"/>
        <v>0</v>
      </c>
      <c r="P1774" s="1060">
        <f t="shared" si="1170"/>
        <v>0</v>
      </c>
    </row>
    <row r="1775" spans="1:16" x14ac:dyDescent="0.25">
      <c r="A1775" s="1039">
        <v>2117</v>
      </c>
      <c r="B1775" s="1039">
        <f t="shared" si="1095"/>
        <v>8</v>
      </c>
      <c r="C1775" s="1039" t="str">
        <f t="shared" si="1162"/>
        <v>Ahmad Dhiyaa Ul Haqq</v>
      </c>
      <c r="D1775" s="1040" t="str">
        <f t="shared" si="1163"/>
        <v>PAI3-1</v>
      </c>
      <c r="E1775" s="1041">
        <f t="shared" si="1164"/>
        <v>2020</v>
      </c>
      <c r="F1775" s="1040" t="str">
        <f t="shared" si="1165"/>
        <v>AKTIF</v>
      </c>
      <c r="G1775" s="1082">
        <f t="shared" si="1166"/>
        <v>204307020001</v>
      </c>
      <c r="H1775" s="1042">
        <f t="shared" si="1182"/>
        <v>6450000</v>
      </c>
      <c r="I1775" s="1042">
        <f t="shared" si="1183"/>
        <v>3750000</v>
      </c>
      <c r="J1775" s="1042">
        <f t="shared" si="1181"/>
        <v>10200000</v>
      </c>
      <c r="L1775" s="1060">
        <f t="shared" si="1171"/>
        <v>1</v>
      </c>
      <c r="M1775" s="1060">
        <f t="shared" si="1167"/>
        <v>0</v>
      </c>
      <c r="N1775" s="1060">
        <f t="shared" si="1168"/>
        <v>0</v>
      </c>
      <c r="O1775" s="1060">
        <f t="shared" si="1169"/>
        <v>0</v>
      </c>
      <c r="P1775" s="1060">
        <f t="shared" si="1170"/>
        <v>0</v>
      </c>
    </row>
    <row r="1776" spans="1:16" x14ac:dyDescent="0.25">
      <c r="A1776" s="1039">
        <v>2118</v>
      </c>
      <c r="B1776" s="1039">
        <f t="shared" si="1095"/>
        <v>9</v>
      </c>
      <c r="C1776" s="1039" t="str">
        <f t="shared" si="1162"/>
        <v>Ahmad Winarno</v>
      </c>
      <c r="D1776" s="1040" t="str">
        <f t="shared" si="1163"/>
        <v>PAI3-1</v>
      </c>
      <c r="E1776" s="1041">
        <f t="shared" si="1164"/>
        <v>2020</v>
      </c>
      <c r="F1776" s="1040" t="str">
        <f t="shared" si="1165"/>
        <v>AKTIF</v>
      </c>
      <c r="G1776" s="1082">
        <f t="shared" si="1166"/>
        <v>204307020002</v>
      </c>
      <c r="H1776" s="1042">
        <f t="shared" si="1182"/>
        <v>6450000</v>
      </c>
      <c r="I1776" s="1042">
        <f t="shared" si="1183"/>
        <v>3750000</v>
      </c>
      <c r="J1776" s="1042">
        <f t="shared" si="1181"/>
        <v>10200000</v>
      </c>
      <c r="L1776" s="1060">
        <f t="shared" si="1171"/>
        <v>1</v>
      </c>
      <c r="M1776" s="1060">
        <f t="shared" si="1167"/>
        <v>0</v>
      </c>
      <c r="N1776" s="1060">
        <f t="shared" si="1168"/>
        <v>0</v>
      </c>
      <c r="O1776" s="1060">
        <f t="shared" si="1169"/>
        <v>0</v>
      </c>
      <c r="P1776" s="1060">
        <f t="shared" si="1170"/>
        <v>0</v>
      </c>
    </row>
    <row r="1777" spans="1:16" x14ac:dyDescent="0.25">
      <c r="A1777" s="1039">
        <v>2119</v>
      </c>
      <c r="B1777" s="1039">
        <f t="shared" si="1095"/>
        <v>10</v>
      </c>
      <c r="C1777" s="1039" t="str">
        <f t="shared" si="1162"/>
        <v>Habib Anwar Al Anshori</v>
      </c>
      <c r="D1777" s="1040" t="str">
        <f t="shared" si="1163"/>
        <v>PAI3-1</v>
      </c>
      <c r="E1777" s="1041">
        <f t="shared" si="1164"/>
        <v>2020</v>
      </c>
      <c r="F1777" s="1040" t="str">
        <f t="shared" si="1165"/>
        <v>AKTIF</v>
      </c>
      <c r="G1777" s="1082">
        <f t="shared" si="1166"/>
        <v>204307020003</v>
      </c>
      <c r="H1777" s="1042">
        <f t="shared" si="1182"/>
        <v>6450000</v>
      </c>
      <c r="I1777" s="1042">
        <f t="shared" si="1183"/>
        <v>3750000</v>
      </c>
      <c r="J1777" s="1042">
        <f t="shared" si="1181"/>
        <v>10200000</v>
      </c>
      <c r="L1777" s="1060">
        <f t="shared" si="1171"/>
        <v>1</v>
      </c>
      <c r="M1777" s="1060">
        <f t="shared" si="1167"/>
        <v>0</v>
      </c>
      <c r="N1777" s="1060">
        <f t="shared" si="1168"/>
        <v>0</v>
      </c>
      <c r="O1777" s="1060">
        <f t="shared" si="1169"/>
        <v>0</v>
      </c>
      <c r="P1777" s="1060">
        <f t="shared" si="1170"/>
        <v>0</v>
      </c>
    </row>
    <row r="1778" spans="1:16" x14ac:dyDescent="0.25">
      <c r="A1778" s="1039">
        <v>2120</v>
      </c>
      <c r="B1778" s="1039">
        <f t="shared" si="1095"/>
        <v>11</v>
      </c>
      <c r="C1778" s="1039" t="str">
        <f t="shared" si="1162"/>
        <v>Hesthi Priyambodo</v>
      </c>
      <c r="D1778" s="1040" t="str">
        <f t="shared" si="1163"/>
        <v>PAI3-1</v>
      </c>
      <c r="E1778" s="1041">
        <f t="shared" si="1164"/>
        <v>2020</v>
      </c>
      <c r="F1778" s="1040" t="str">
        <f t="shared" si="1165"/>
        <v>AKTIF</v>
      </c>
      <c r="G1778" s="1082">
        <f t="shared" si="1166"/>
        <v>204307020004</v>
      </c>
      <c r="H1778" s="1042">
        <f t="shared" si="1182"/>
        <v>6450000</v>
      </c>
      <c r="I1778" s="1042">
        <f t="shared" si="1183"/>
        <v>3750000</v>
      </c>
      <c r="J1778" s="1042">
        <f t="shared" si="1181"/>
        <v>10200000</v>
      </c>
      <c r="L1778" s="1060">
        <f t="shared" si="1171"/>
        <v>1</v>
      </c>
      <c r="M1778" s="1060">
        <f t="shared" si="1167"/>
        <v>0</v>
      </c>
      <c r="N1778" s="1060">
        <f t="shared" si="1168"/>
        <v>0</v>
      </c>
      <c r="O1778" s="1060">
        <f t="shared" si="1169"/>
        <v>0</v>
      </c>
      <c r="P1778" s="1060">
        <f t="shared" si="1170"/>
        <v>0</v>
      </c>
    </row>
    <row r="1779" spans="1:16" x14ac:dyDescent="0.25">
      <c r="A1779" s="1039">
        <v>2121</v>
      </c>
      <c r="B1779" s="1039">
        <f t="shared" si="1095"/>
        <v>12</v>
      </c>
      <c r="C1779" s="1039" t="str">
        <f t="shared" si="1162"/>
        <v>Misbakhus Sururi</v>
      </c>
      <c r="D1779" s="1040" t="str">
        <f t="shared" si="1163"/>
        <v>PAI3-1</v>
      </c>
      <c r="E1779" s="1041">
        <f t="shared" si="1164"/>
        <v>2020</v>
      </c>
      <c r="F1779" s="1040" t="str">
        <f t="shared" si="1165"/>
        <v>AKTIF</v>
      </c>
      <c r="G1779" s="1082">
        <f t="shared" si="1166"/>
        <v>204307020005</v>
      </c>
      <c r="H1779" s="1042">
        <f t="shared" si="1182"/>
        <v>6450000</v>
      </c>
      <c r="I1779" s="1042">
        <f t="shared" si="1183"/>
        <v>3750000</v>
      </c>
      <c r="J1779" s="1042">
        <f t="shared" si="1181"/>
        <v>10200000</v>
      </c>
      <c r="L1779" s="1060">
        <f t="shared" si="1171"/>
        <v>1</v>
      </c>
      <c r="M1779" s="1060">
        <f t="shared" si="1167"/>
        <v>0</v>
      </c>
      <c r="N1779" s="1060">
        <f t="shared" si="1168"/>
        <v>0</v>
      </c>
      <c r="O1779" s="1060">
        <f t="shared" si="1169"/>
        <v>0</v>
      </c>
      <c r="P1779" s="1060">
        <f t="shared" si="1170"/>
        <v>0</v>
      </c>
    </row>
    <row r="1780" spans="1:16" x14ac:dyDescent="0.25">
      <c r="A1780" s="1039">
        <v>2122</v>
      </c>
      <c r="B1780" s="1039">
        <f t="shared" si="1095"/>
        <v>13</v>
      </c>
      <c r="C1780" s="1039" t="str">
        <f t="shared" si="1162"/>
        <v>Moh Mundzir</v>
      </c>
      <c r="D1780" s="1040" t="str">
        <f t="shared" si="1163"/>
        <v>PAI3-1</v>
      </c>
      <c r="E1780" s="1041">
        <f t="shared" si="1164"/>
        <v>2020</v>
      </c>
      <c r="F1780" s="1040" t="str">
        <f t="shared" si="1165"/>
        <v>AKTIF</v>
      </c>
      <c r="G1780" s="1082">
        <f t="shared" si="1166"/>
        <v>204307020006</v>
      </c>
      <c r="H1780" s="1042">
        <f t="shared" si="1182"/>
        <v>6450000</v>
      </c>
      <c r="I1780" s="1042">
        <f t="shared" si="1183"/>
        <v>3750000</v>
      </c>
      <c r="J1780" s="1042">
        <f t="shared" si="1181"/>
        <v>10200000</v>
      </c>
      <c r="L1780" s="1060">
        <f t="shared" si="1171"/>
        <v>1</v>
      </c>
      <c r="M1780" s="1060">
        <f t="shared" si="1167"/>
        <v>0</v>
      </c>
      <c r="N1780" s="1060">
        <f t="shared" si="1168"/>
        <v>0</v>
      </c>
      <c r="O1780" s="1060">
        <f t="shared" si="1169"/>
        <v>0</v>
      </c>
      <c r="P1780" s="1060">
        <f t="shared" si="1170"/>
        <v>0</v>
      </c>
    </row>
    <row r="1781" spans="1:16" x14ac:dyDescent="0.25">
      <c r="A1781" s="1039">
        <v>2123</v>
      </c>
      <c r="B1781" s="1039">
        <f t="shared" si="1095"/>
        <v>14</v>
      </c>
      <c r="C1781" s="1039" t="str">
        <f t="shared" si="1162"/>
        <v>Muhammad Sali</v>
      </c>
      <c r="D1781" s="1040" t="str">
        <f t="shared" si="1163"/>
        <v>PAI3-1</v>
      </c>
      <c r="E1781" s="1041">
        <f t="shared" si="1164"/>
        <v>2020</v>
      </c>
      <c r="F1781" s="1040" t="str">
        <f t="shared" si="1165"/>
        <v>AKTIF</v>
      </c>
      <c r="G1781" s="1082">
        <f t="shared" si="1166"/>
        <v>204307020007</v>
      </c>
      <c r="H1781" s="1042">
        <f t="shared" si="1182"/>
        <v>6450000</v>
      </c>
      <c r="I1781" s="1042">
        <f t="shared" si="1183"/>
        <v>3750000</v>
      </c>
      <c r="J1781" s="1042">
        <f t="shared" si="1181"/>
        <v>10200000</v>
      </c>
      <c r="L1781" s="1060">
        <f t="shared" si="1171"/>
        <v>1</v>
      </c>
      <c r="M1781" s="1060">
        <f t="shared" si="1167"/>
        <v>0</v>
      </c>
      <c r="N1781" s="1060">
        <f t="shared" si="1168"/>
        <v>0</v>
      </c>
      <c r="O1781" s="1060">
        <f t="shared" si="1169"/>
        <v>0</v>
      </c>
      <c r="P1781" s="1060">
        <f t="shared" si="1170"/>
        <v>0</v>
      </c>
    </row>
    <row r="1782" spans="1:16" x14ac:dyDescent="0.25">
      <c r="A1782" s="1039">
        <v>2124</v>
      </c>
      <c r="B1782" s="1039">
        <f t="shared" si="1095"/>
        <v>15</v>
      </c>
      <c r="C1782" s="1039" t="str">
        <f t="shared" si="1162"/>
        <v>Sabran</v>
      </c>
      <c r="D1782" s="1040" t="str">
        <f t="shared" si="1163"/>
        <v>PAI3-1</v>
      </c>
      <c r="E1782" s="1041">
        <f t="shared" si="1164"/>
        <v>2020</v>
      </c>
      <c r="F1782" s="1040" t="str">
        <f t="shared" si="1165"/>
        <v>AKTIF</v>
      </c>
      <c r="G1782" s="1082">
        <f t="shared" si="1166"/>
        <v>204307020008</v>
      </c>
      <c r="H1782" s="1042">
        <f t="shared" si="1182"/>
        <v>6450000</v>
      </c>
      <c r="I1782" s="1042">
        <f t="shared" si="1183"/>
        <v>3750000</v>
      </c>
      <c r="J1782" s="1042">
        <f t="shared" si="1181"/>
        <v>10200000</v>
      </c>
      <c r="L1782" s="1060">
        <f t="shared" si="1171"/>
        <v>1</v>
      </c>
      <c r="M1782" s="1060">
        <f t="shared" si="1167"/>
        <v>0</v>
      </c>
      <c r="N1782" s="1060">
        <f t="shared" si="1168"/>
        <v>0</v>
      </c>
      <c r="O1782" s="1060">
        <f t="shared" si="1169"/>
        <v>0</v>
      </c>
      <c r="P1782" s="1060">
        <f t="shared" si="1170"/>
        <v>0</v>
      </c>
    </row>
    <row r="1783" spans="1:16" x14ac:dyDescent="0.25">
      <c r="A1783" s="1039">
        <v>2125</v>
      </c>
      <c r="B1783" s="1039">
        <f t="shared" si="1095"/>
        <v>16</v>
      </c>
      <c r="C1783" s="1039" t="str">
        <f t="shared" si="1162"/>
        <v>Sri Susmiyati</v>
      </c>
      <c r="D1783" s="1040" t="str">
        <f t="shared" si="1163"/>
        <v>PAI3-1</v>
      </c>
      <c r="E1783" s="1041">
        <f t="shared" si="1164"/>
        <v>2020</v>
      </c>
      <c r="F1783" s="1040" t="str">
        <f t="shared" si="1165"/>
        <v>AKTIF</v>
      </c>
      <c r="G1783" s="1082">
        <f t="shared" si="1166"/>
        <v>204307020009</v>
      </c>
      <c r="H1783" s="1042">
        <f t="shared" si="1182"/>
        <v>6450000</v>
      </c>
      <c r="I1783" s="1042">
        <f t="shared" si="1183"/>
        <v>3750000</v>
      </c>
      <c r="J1783" s="1042">
        <f t="shared" si="1181"/>
        <v>10200000</v>
      </c>
      <c r="L1783" s="1060">
        <f t="shared" si="1171"/>
        <v>1</v>
      </c>
      <c r="M1783" s="1060">
        <f t="shared" si="1167"/>
        <v>0</v>
      </c>
      <c r="N1783" s="1060">
        <f t="shared" si="1168"/>
        <v>0</v>
      </c>
      <c r="O1783" s="1060">
        <f t="shared" si="1169"/>
        <v>0</v>
      </c>
      <c r="P1783" s="1060">
        <f t="shared" si="1170"/>
        <v>0</v>
      </c>
    </row>
    <row r="1784" spans="1:16" x14ac:dyDescent="0.25">
      <c r="A1784" s="1039">
        <v>2126</v>
      </c>
      <c r="B1784" s="1039">
        <f t="shared" si="1095"/>
        <v>17</v>
      </c>
      <c r="C1784" s="1039" t="str">
        <f t="shared" si="1162"/>
        <v>HJ. TITI KADI M.PDI</v>
      </c>
      <c r="D1784" s="1040" t="str">
        <f t="shared" si="1163"/>
        <v>PAI3-1</v>
      </c>
      <c r="E1784" s="1041">
        <f t="shared" si="1164"/>
        <v>2020</v>
      </c>
      <c r="F1784" s="1040" t="str">
        <f t="shared" si="1165"/>
        <v>AKTIF</v>
      </c>
      <c r="G1784" s="1082">
        <f t="shared" si="1166"/>
        <v>203307020009</v>
      </c>
      <c r="H1784" s="1042">
        <f t="shared" si="1182"/>
        <v>6450000</v>
      </c>
      <c r="I1784" s="1042">
        <f t="shared" si="1183"/>
        <v>3750000</v>
      </c>
      <c r="J1784" s="1042">
        <f t="shared" si="1181"/>
        <v>10200000</v>
      </c>
      <c r="L1784" s="1060">
        <f t="shared" si="1171"/>
        <v>1</v>
      </c>
      <c r="M1784" s="1060">
        <f t="shared" si="1167"/>
        <v>0</v>
      </c>
      <c r="N1784" s="1060">
        <f t="shared" si="1168"/>
        <v>0</v>
      </c>
      <c r="O1784" s="1060">
        <f t="shared" si="1169"/>
        <v>0</v>
      </c>
      <c r="P1784" s="1060">
        <f t="shared" si="1170"/>
        <v>0</v>
      </c>
    </row>
    <row r="1785" spans="1:16" x14ac:dyDescent="0.25">
      <c r="A1785" s="1039"/>
      <c r="B1785" s="1039" t="str">
        <f t="shared" si="1095"/>
        <v/>
      </c>
      <c r="C1785" s="1039" t="str">
        <f t="shared" si="1162"/>
        <v/>
      </c>
      <c r="D1785" s="1040" t="str">
        <f t="shared" si="1163"/>
        <v/>
      </c>
      <c r="E1785" s="1041" t="str">
        <f t="shared" si="1164"/>
        <v/>
      </c>
      <c r="F1785" s="1040" t="str">
        <f t="shared" si="1165"/>
        <v/>
      </c>
      <c r="G1785" s="1041" t="str">
        <f t="shared" si="1166"/>
        <v/>
      </c>
      <c r="H1785" s="1042">
        <f t="shared" si="1182"/>
        <v>0</v>
      </c>
      <c r="I1785" s="1042">
        <f t="shared" si="1183"/>
        <v>0</v>
      </c>
      <c r="J1785" s="1042">
        <f t="shared" si="1181"/>
        <v>0</v>
      </c>
    </row>
    <row r="1786" spans="1:16" x14ac:dyDescent="0.25">
      <c r="A1786" s="1039"/>
      <c r="B1786" s="1039" t="str">
        <f t="shared" si="1095"/>
        <v/>
      </c>
      <c r="C1786" s="1039" t="str">
        <f t="shared" si="1162"/>
        <v/>
      </c>
      <c r="D1786" s="1040" t="str">
        <f t="shared" si="1163"/>
        <v/>
      </c>
      <c r="E1786" s="1041" t="str">
        <f t="shared" si="1164"/>
        <v/>
      </c>
      <c r="F1786" s="1040" t="str">
        <f t="shared" si="1165"/>
        <v/>
      </c>
      <c r="G1786" s="1041" t="str">
        <f t="shared" si="1166"/>
        <v/>
      </c>
      <c r="H1786" s="1042">
        <f t="shared" si="1182"/>
        <v>0</v>
      </c>
      <c r="I1786" s="1042">
        <f t="shared" si="1183"/>
        <v>0</v>
      </c>
      <c r="J1786" s="1042">
        <f t="shared" si="1181"/>
        <v>0</v>
      </c>
    </row>
    <row r="1787" spans="1:16" x14ac:dyDescent="0.25">
      <c r="A1787" s="1039"/>
      <c r="B1787" s="1039" t="str">
        <f t="shared" si="1095"/>
        <v/>
      </c>
      <c r="C1787" s="1039" t="str">
        <f t="shared" si="1162"/>
        <v/>
      </c>
      <c r="D1787" s="1040" t="str">
        <f t="shared" si="1163"/>
        <v/>
      </c>
      <c r="E1787" s="1041" t="str">
        <f t="shared" si="1164"/>
        <v/>
      </c>
      <c r="F1787" s="1040" t="str">
        <f t="shared" si="1165"/>
        <v/>
      </c>
      <c r="G1787" s="1041" t="str">
        <f t="shared" si="1166"/>
        <v/>
      </c>
      <c r="H1787" s="1042">
        <f t="shared" si="1182"/>
        <v>0</v>
      </c>
      <c r="I1787" s="1042">
        <f t="shared" si="1183"/>
        <v>0</v>
      </c>
      <c r="J1787" s="1042">
        <f t="shared" si="1181"/>
        <v>0</v>
      </c>
    </row>
    <row r="1788" spans="1:16" x14ac:dyDescent="0.25">
      <c r="A1788" s="1039"/>
      <c r="B1788" s="1039" t="str">
        <f t="shared" si="1095"/>
        <v/>
      </c>
      <c r="C1788" s="1039" t="str">
        <f t="shared" si="1162"/>
        <v/>
      </c>
      <c r="D1788" s="1040" t="str">
        <f t="shared" si="1163"/>
        <v/>
      </c>
      <c r="E1788" s="1041" t="str">
        <f t="shared" si="1164"/>
        <v/>
      </c>
      <c r="F1788" s="1040" t="str">
        <f t="shared" si="1165"/>
        <v/>
      </c>
      <c r="G1788" s="1041" t="str">
        <f t="shared" si="1166"/>
        <v/>
      </c>
      <c r="H1788" s="1042">
        <f t="shared" si="1182"/>
        <v>0</v>
      </c>
      <c r="I1788" s="1042">
        <f t="shared" si="1183"/>
        <v>0</v>
      </c>
      <c r="J1788" s="1042">
        <f t="shared" si="1181"/>
        <v>0</v>
      </c>
    </row>
    <row r="1789" spans="1:16" x14ac:dyDescent="0.25">
      <c r="A1789" s="1039"/>
      <c r="B1789" s="1039" t="str">
        <f t="shared" si="1095"/>
        <v/>
      </c>
      <c r="C1789" s="1039" t="str">
        <f t="shared" si="1162"/>
        <v/>
      </c>
      <c r="D1789" s="1040" t="str">
        <f t="shared" si="1163"/>
        <v/>
      </c>
      <c r="E1789" s="1041" t="str">
        <f t="shared" si="1164"/>
        <v/>
      </c>
      <c r="F1789" s="1040" t="str">
        <f t="shared" si="1165"/>
        <v/>
      </c>
      <c r="G1789" s="1041" t="str">
        <f t="shared" si="1166"/>
        <v/>
      </c>
      <c r="H1789" s="1042">
        <f t="shared" si="1182"/>
        <v>0</v>
      </c>
      <c r="I1789" s="1042">
        <f t="shared" si="1183"/>
        <v>0</v>
      </c>
      <c r="J1789" s="1042">
        <f t="shared" si="1181"/>
        <v>0</v>
      </c>
    </row>
    <row r="1790" spans="1:16" x14ac:dyDescent="0.25">
      <c r="A1790" s="1039"/>
      <c r="B1790" s="1039" t="str">
        <f t="shared" si="1095"/>
        <v/>
      </c>
      <c r="C1790" s="1039" t="str">
        <f t="shared" si="1162"/>
        <v/>
      </c>
      <c r="D1790" s="1040" t="str">
        <f t="shared" si="1163"/>
        <v/>
      </c>
      <c r="E1790" s="1041" t="str">
        <f t="shared" si="1164"/>
        <v/>
      </c>
      <c r="F1790" s="1040" t="str">
        <f t="shared" si="1165"/>
        <v/>
      </c>
      <c r="G1790" s="1041" t="str">
        <f t="shared" si="1166"/>
        <v/>
      </c>
      <c r="H1790" s="1042">
        <f t="shared" si="1182"/>
        <v>0</v>
      </c>
      <c r="I1790" s="1042">
        <f t="shared" si="1183"/>
        <v>0</v>
      </c>
      <c r="J1790" s="1042">
        <f t="shared" si="1181"/>
        <v>0</v>
      </c>
    </row>
    <row r="1791" spans="1:16" x14ac:dyDescent="0.25">
      <c r="A1791" s="1039"/>
      <c r="B1791" s="1039" t="str">
        <f t="shared" si="1095"/>
        <v/>
      </c>
      <c r="C1791" s="1039" t="str">
        <f t="shared" si="1162"/>
        <v/>
      </c>
      <c r="D1791" s="1040" t="str">
        <f t="shared" si="1163"/>
        <v/>
      </c>
      <c r="E1791" s="1041" t="str">
        <f t="shared" si="1164"/>
        <v/>
      </c>
      <c r="F1791" s="1040" t="str">
        <f t="shared" si="1165"/>
        <v/>
      </c>
      <c r="G1791" s="1041" t="str">
        <f t="shared" si="1166"/>
        <v/>
      </c>
      <c r="H1791" s="1042">
        <f t="shared" si="1182"/>
        <v>0</v>
      </c>
      <c r="I1791" s="1042">
        <f t="shared" si="1183"/>
        <v>0</v>
      </c>
      <c r="J1791" s="1042">
        <f t="shared" si="1181"/>
        <v>0</v>
      </c>
    </row>
    <row r="1792" spans="1:16" x14ac:dyDescent="0.25">
      <c r="A1792" s="1039"/>
      <c r="B1792" s="1039" t="str">
        <f t="shared" si="1095"/>
        <v/>
      </c>
      <c r="C1792" s="1039" t="str">
        <f t="shared" si="1162"/>
        <v/>
      </c>
      <c r="D1792" s="1040" t="str">
        <f t="shared" si="1163"/>
        <v/>
      </c>
      <c r="E1792" s="1041" t="str">
        <f t="shared" si="1164"/>
        <v/>
      </c>
      <c r="F1792" s="1040" t="str">
        <f t="shared" si="1165"/>
        <v/>
      </c>
      <c r="G1792" s="1041" t="str">
        <f t="shared" si="1166"/>
        <v/>
      </c>
      <c r="H1792" s="1042">
        <f t="shared" si="1182"/>
        <v>0</v>
      </c>
      <c r="I1792" s="1042">
        <f t="shared" si="1183"/>
        <v>0</v>
      </c>
      <c r="J1792" s="1042">
        <f t="shared" si="1181"/>
        <v>0</v>
      </c>
    </row>
    <row r="1793" spans="1:10" x14ac:dyDescent="0.25">
      <c r="A1793" s="1039"/>
      <c r="B1793" s="1039" t="str">
        <f t="shared" si="1095"/>
        <v/>
      </c>
      <c r="C1793" s="1039" t="str">
        <f t="shared" si="1162"/>
        <v/>
      </c>
      <c r="D1793" s="1040" t="str">
        <f t="shared" si="1163"/>
        <v/>
      </c>
      <c r="E1793" s="1041" t="str">
        <f t="shared" si="1164"/>
        <v/>
      </c>
      <c r="F1793" s="1040" t="str">
        <f t="shared" si="1165"/>
        <v/>
      </c>
      <c r="G1793" s="1041" t="str">
        <f t="shared" si="1166"/>
        <v/>
      </c>
      <c r="H1793" s="1042">
        <f t="shared" si="1182"/>
        <v>0</v>
      </c>
      <c r="I1793" s="1042">
        <f t="shared" si="1183"/>
        <v>0</v>
      </c>
      <c r="J1793" s="1042">
        <f t="shared" si="1181"/>
        <v>0</v>
      </c>
    </row>
    <row r="1794" spans="1:10" x14ac:dyDescent="0.25">
      <c r="A1794" s="1039"/>
      <c r="B1794" s="1039" t="str">
        <f t="shared" si="1095"/>
        <v/>
      </c>
      <c r="C1794" s="1039" t="str">
        <f t="shared" si="1162"/>
        <v/>
      </c>
      <c r="D1794" s="1040" t="str">
        <f t="shared" si="1163"/>
        <v/>
      </c>
      <c r="E1794" s="1041" t="str">
        <f t="shared" si="1164"/>
        <v/>
      </c>
      <c r="F1794" s="1040" t="str">
        <f t="shared" si="1165"/>
        <v/>
      </c>
      <c r="G1794" s="1041" t="str">
        <f t="shared" si="1166"/>
        <v/>
      </c>
      <c r="H1794" s="1042">
        <f t="shared" si="1182"/>
        <v>0</v>
      </c>
      <c r="I1794" s="1042">
        <f t="shared" si="1183"/>
        <v>0</v>
      </c>
      <c r="J1794" s="1042">
        <f t="shared" si="1181"/>
        <v>0</v>
      </c>
    </row>
    <row r="1795" spans="1:10" x14ac:dyDescent="0.25">
      <c r="A1795" s="1039"/>
      <c r="B1795" s="1039" t="str">
        <f t="shared" si="1095"/>
        <v/>
      </c>
      <c r="C1795" s="1039" t="str">
        <f t="shared" si="1162"/>
        <v/>
      </c>
      <c r="D1795" s="1040" t="str">
        <f t="shared" si="1163"/>
        <v/>
      </c>
      <c r="E1795" s="1041" t="str">
        <f t="shared" si="1164"/>
        <v/>
      </c>
      <c r="F1795" s="1040" t="str">
        <f t="shared" si="1165"/>
        <v/>
      </c>
      <c r="G1795" s="1041" t="str">
        <f t="shared" si="1166"/>
        <v/>
      </c>
      <c r="H1795" s="1042">
        <f t="shared" si="1182"/>
        <v>0</v>
      </c>
      <c r="I1795" s="1042">
        <f t="shared" si="1183"/>
        <v>0</v>
      </c>
      <c r="J1795" s="1042">
        <f t="shared" si="1181"/>
        <v>0</v>
      </c>
    </row>
    <row r="1796" spans="1:10" x14ac:dyDescent="0.25">
      <c r="A1796" s="1039"/>
      <c r="B1796" s="1039" t="str">
        <f t="shared" si="1095"/>
        <v/>
      </c>
      <c r="C1796" s="1039" t="str">
        <f t="shared" si="1162"/>
        <v/>
      </c>
      <c r="D1796" s="1040" t="str">
        <f t="shared" si="1163"/>
        <v/>
      </c>
      <c r="E1796" s="1041" t="str">
        <f t="shared" si="1164"/>
        <v/>
      </c>
      <c r="F1796" s="1040" t="str">
        <f t="shared" si="1165"/>
        <v/>
      </c>
      <c r="G1796" s="1041" t="str">
        <f t="shared" si="1166"/>
        <v/>
      </c>
      <c r="H1796" s="1042">
        <f t="shared" si="1182"/>
        <v>0</v>
      </c>
      <c r="I1796" s="1042">
        <f t="shared" si="1183"/>
        <v>0</v>
      </c>
      <c r="J1796" s="1042">
        <f t="shared" si="1181"/>
        <v>0</v>
      </c>
    </row>
    <row r="1797" spans="1:10" x14ac:dyDescent="0.25">
      <c r="A1797" s="1039"/>
      <c r="B1797" s="1039" t="str">
        <f t="shared" si="1095"/>
        <v/>
      </c>
      <c r="C1797" s="1039" t="str">
        <f t="shared" si="1162"/>
        <v/>
      </c>
      <c r="D1797" s="1040" t="str">
        <f t="shared" si="1163"/>
        <v/>
      </c>
      <c r="E1797" s="1041" t="str">
        <f t="shared" si="1164"/>
        <v/>
      </c>
      <c r="F1797" s="1040" t="str">
        <f t="shared" si="1165"/>
        <v/>
      </c>
      <c r="G1797" s="1041" t="str">
        <f t="shared" si="1166"/>
        <v/>
      </c>
      <c r="H1797" s="1042">
        <f t="shared" si="1182"/>
        <v>0</v>
      </c>
      <c r="I1797" s="1042">
        <f t="shared" si="1183"/>
        <v>0</v>
      </c>
      <c r="J1797" s="1042">
        <f t="shared" si="1181"/>
        <v>0</v>
      </c>
    </row>
    <row r="1798" spans="1:10" x14ac:dyDescent="0.25">
      <c r="A1798" s="1039"/>
      <c r="B1798" s="1039" t="str">
        <f t="shared" si="1095"/>
        <v/>
      </c>
      <c r="C1798" s="1039" t="str">
        <f t="shared" si="1162"/>
        <v/>
      </c>
      <c r="D1798" s="1040" t="str">
        <f t="shared" si="1163"/>
        <v/>
      </c>
      <c r="E1798" s="1041" t="str">
        <f t="shared" si="1164"/>
        <v/>
      </c>
      <c r="F1798" s="1040" t="str">
        <f t="shared" si="1165"/>
        <v/>
      </c>
      <c r="G1798" s="1041" t="str">
        <f t="shared" si="1166"/>
        <v/>
      </c>
      <c r="H1798" s="1042">
        <f t="shared" si="1182"/>
        <v>0</v>
      </c>
      <c r="I1798" s="1042">
        <f t="shared" si="1183"/>
        <v>0</v>
      </c>
      <c r="J1798" s="1042">
        <f t="shared" si="1181"/>
        <v>0</v>
      </c>
    </row>
    <row r="1799" spans="1:10" x14ac:dyDescent="0.25">
      <c r="A1799" s="1039"/>
      <c r="B1799" s="1039" t="str">
        <f t="shared" si="1095"/>
        <v/>
      </c>
      <c r="C1799" s="1039" t="str">
        <f t="shared" si="1162"/>
        <v/>
      </c>
      <c r="D1799" s="1040" t="str">
        <f t="shared" si="1163"/>
        <v/>
      </c>
      <c r="E1799" s="1041" t="str">
        <f t="shared" si="1164"/>
        <v/>
      </c>
      <c r="F1799" s="1040" t="str">
        <f t="shared" si="1165"/>
        <v/>
      </c>
      <c r="G1799" s="1041" t="str">
        <f t="shared" si="1166"/>
        <v/>
      </c>
      <c r="H1799" s="1042">
        <f t="shared" si="1182"/>
        <v>0</v>
      </c>
      <c r="I1799" s="1042">
        <f t="shared" si="1183"/>
        <v>0</v>
      </c>
      <c r="J1799" s="1042">
        <f t="shared" si="1181"/>
        <v>0</v>
      </c>
    </row>
    <row r="1800" spans="1:10" x14ac:dyDescent="0.25">
      <c r="A1800" s="1039"/>
      <c r="B1800" s="1039" t="str">
        <f t="shared" si="1095"/>
        <v/>
      </c>
      <c r="C1800" s="1039" t="str">
        <f t="shared" si="1162"/>
        <v/>
      </c>
      <c r="D1800" s="1040" t="str">
        <f t="shared" si="1163"/>
        <v/>
      </c>
      <c r="E1800" s="1041" t="str">
        <f t="shared" si="1164"/>
        <v/>
      </c>
      <c r="F1800" s="1040" t="str">
        <f t="shared" si="1165"/>
        <v/>
      </c>
      <c r="G1800" s="1041" t="str">
        <f t="shared" si="1166"/>
        <v/>
      </c>
      <c r="H1800" s="1042">
        <f t="shared" si="1182"/>
        <v>0</v>
      </c>
      <c r="I1800" s="1042">
        <f t="shared" si="1183"/>
        <v>0</v>
      </c>
      <c r="J1800" s="1042">
        <f t="shared" si="1181"/>
        <v>0</v>
      </c>
    </row>
    <row r="1801" spans="1:10" x14ac:dyDescent="0.25">
      <c r="A1801" s="1039"/>
      <c r="B1801" s="1039" t="str">
        <f t="shared" si="1095"/>
        <v/>
      </c>
      <c r="C1801" s="1039" t="str">
        <f t="shared" si="1162"/>
        <v/>
      </c>
      <c r="D1801" s="1040" t="str">
        <f t="shared" si="1163"/>
        <v/>
      </c>
      <c r="E1801" s="1041" t="str">
        <f t="shared" si="1164"/>
        <v/>
      </c>
      <c r="F1801" s="1040" t="str">
        <f t="shared" si="1165"/>
        <v/>
      </c>
      <c r="G1801" s="1041" t="str">
        <f t="shared" si="1166"/>
        <v/>
      </c>
      <c r="H1801" s="1042">
        <f t="shared" si="1182"/>
        <v>0</v>
      </c>
      <c r="I1801" s="1042">
        <f t="shared" si="1183"/>
        <v>0</v>
      </c>
      <c r="J1801" s="1042">
        <f t="shared" si="1181"/>
        <v>0</v>
      </c>
    </row>
    <row r="1802" spans="1:10" x14ac:dyDescent="0.25">
      <c r="A1802" s="1039"/>
      <c r="B1802" s="1039" t="str">
        <f t="shared" si="1095"/>
        <v/>
      </c>
      <c r="C1802" s="1039" t="str">
        <f t="shared" si="1162"/>
        <v/>
      </c>
      <c r="D1802" s="1040" t="str">
        <f t="shared" si="1163"/>
        <v/>
      </c>
      <c r="E1802" s="1041" t="str">
        <f t="shared" si="1164"/>
        <v/>
      </c>
      <c r="F1802" s="1040" t="str">
        <f t="shared" si="1165"/>
        <v/>
      </c>
      <c r="G1802" s="1041" t="str">
        <f t="shared" si="1166"/>
        <v/>
      </c>
      <c r="H1802" s="1042">
        <f t="shared" si="1182"/>
        <v>0</v>
      </c>
      <c r="I1802" s="1042">
        <f t="shared" si="1183"/>
        <v>0</v>
      </c>
      <c r="J1802" s="1042">
        <f t="shared" si="1181"/>
        <v>0</v>
      </c>
    </row>
    <row r="1803" spans="1:10" x14ac:dyDescent="0.25">
      <c r="A1803" s="1039"/>
      <c r="B1803" s="1039" t="str">
        <f t="shared" si="1095"/>
        <v/>
      </c>
      <c r="C1803" s="1039" t="str">
        <f t="shared" si="1162"/>
        <v/>
      </c>
      <c r="D1803" s="1040" t="str">
        <f t="shared" si="1163"/>
        <v/>
      </c>
      <c r="E1803" s="1041" t="str">
        <f t="shared" si="1164"/>
        <v/>
      </c>
      <c r="F1803" s="1040" t="str">
        <f t="shared" si="1165"/>
        <v/>
      </c>
      <c r="G1803" s="1041" t="str">
        <f t="shared" si="1166"/>
        <v/>
      </c>
      <c r="H1803" s="1042">
        <f t="shared" si="1182"/>
        <v>0</v>
      </c>
      <c r="I1803" s="1042">
        <f t="shared" si="1183"/>
        <v>0</v>
      </c>
      <c r="J1803" s="1042">
        <f t="shared" si="1181"/>
        <v>0</v>
      </c>
    </row>
    <row r="1804" spans="1:10" x14ac:dyDescent="0.25">
      <c r="A1804" s="1039"/>
      <c r="B1804" s="1039" t="str">
        <f t="shared" si="1095"/>
        <v/>
      </c>
      <c r="C1804" s="1039" t="str">
        <f t="shared" si="1162"/>
        <v/>
      </c>
      <c r="D1804" s="1040" t="str">
        <f t="shared" si="1163"/>
        <v/>
      </c>
      <c r="E1804" s="1041" t="str">
        <f t="shared" si="1164"/>
        <v/>
      </c>
      <c r="F1804" s="1040" t="str">
        <f t="shared" si="1165"/>
        <v/>
      </c>
      <c r="G1804" s="1041" t="str">
        <f t="shared" si="1166"/>
        <v/>
      </c>
      <c r="H1804" s="1042">
        <f t="shared" si="1182"/>
        <v>0</v>
      </c>
      <c r="I1804" s="1042">
        <f t="shared" si="1183"/>
        <v>0</v>
      </c>
      <c r="J1804" s="1042">
        <f t="shared" si="1181"/>
        <v>0</v>
      </c>
    </row>
    <row r="1805" spans="1:10" x14ac:dyDescent="0.25">
      <c r="A1805" s="1039"/>
      <c r="B1805" s="1039" t="str">
        <f t="shared" si="1095"/>
        <v/>
      </c>
      <c r="C1805" s="1039" t="str">
        <f t="shared" si="1162"/>
        <v/>
      </c>
      <c r="D1805" s="1040" t="str">
        <f t="shared" si="1163"/>
        <v/>
      </c>
      <c r="E1805" s="1041" t="str">
        <f t="shared" si="1164"/>
        <v/>
      </c>
      <c r="F1805" s="1040" t="str">
        <f t="shared" si="1165"/>
        <v/>
      </c>
      <c r="G1805" s="1041" t="str">
        <f t="shared" si="1166"/>
        <v/>
      </c>
      <c r="H1805" s="1042">
        <f t="shared" si="1182"/>
        <v>0</v>
      </c>
      <c r="I1805" s="1042">
        <f t="shared" si="1183"/>
        <v>0</v>
      </c>
      <c r="J1805" s="1042">
        <f t="shared" si="1181"/>
        <v>0</v>
      </c>
    </row>
    <row r="1806" spans="1:10" x14ac:dyDescent="0.25">
      <c r="A1806" s="1039"/>
      <c r="B1806" s="1039" t="str">
        <f t="shared" si="1095"/>
        <v/>
      </c>
      <c r="C1806" s="1039" t="str">
        <f t="shared" si="1162"/>
        <v/>
      </c>
      <c r="D1806" s="1040" t="str">
        <f t="shared" si="1163"/>
        <v/>
      </c>
      <c r="E1806" s="1041" t="str">
        <f t="shared" si="1164"/>
        <v/>
      </c>
      <c r="F1806" s="1040" t="str">
        <f t="shared" si="1165"/>
        <v/>
      </c>
      <c r="G1806" s="1041" t="str">
        <f t="shared" si="1166"/>
        <v/>
      </c>
      <c r="H1806" s="1042">
        <f t="shared" si="1182"/>
        <v>0</v>
      </c>
      <c r="I1806" s="1042">
        <f t="shared" si="1183"/>
        <v>0</v>
      </c>
      <c r="J1806" s="1042">
        <f t="shared" si="1181"/>
        <v>0</v>
      </c>
    </row>
    <row r="1807" spans="1:10" x14ac:dyDescent="0.25">
      <c r="A1807" s="1039"/>
      <c r="B1807" s="1039" t="str">
        <f t="shared" si="1095"/>
        <v/>
      </c>
      <c r="C1807" s="1039" t="str">
        <f t="shared" si="1162"/>
        <v/>
      </c>
      <c r="D1807" s="1040" t="str">
        <f t="shared" si="1163"/>
        <v/>
      </c>
      <c r="E1807" s="1041" t="str">
        <f t="shared" si="1164"/>
        <v/>
      </c>
      <c r="F1807" s="1040" t="str">
        <f t="shared" si="1165"/>
        <v/>
      </c>
      <c r="G1807" s="1041" t="str">
        <f t="shared" si="1166"/>
        <v/>
      </c>
      <c r="H1807" s="1042">
        <f t="shared" si="1182"/>
        <v>0</v>
      </c>
      <c r="I1807" s="1042">
        <f t="shared" si="1183"/>
        <v>0</v>
      </c>
      <c r="J1807" s="1042">
        <f t="shared" si="1181"/>
        <v>0</v>
      </c>
    </row>
    <row r="1808" spans="1:10" x14ac:dyDescent="0.25">
      <c r="A1808" s="1039"/>
      <c r="B1808" s="1039" t="str">
        <f t="shared" si="1095"/>
        <v/>
      </c>
      <c r="C1808" s="1039" t="str">
        <f t="shared" si="1162"/>
        <v/>
      </c>
      <c r="D1808" s="1040" t="str">
        <f t="shared" si="1163"/>
        <v/>
      </c>
      <c r="E1808" s="1041" t="str">
        <f t="shared" si="1164"/>
        <v/>
      </c>
      <c r="F1808" s="1040" t="str">
        <f t="shared" si="1165"/>
        <v/>
      </c>
      <c r="G1808" s="1041" t="str">
        <f t="shared" si="1166"/>
        <v/>
      </c>
      <c r="H1808" s="1042">
        <f t="shared" si="1182"/>
        <v>0</v>
      </c>
      <c r="I1808" s="1042">
        <f t="shared" si="1183"/>
        <v>0</v>
      </c>
      <c r="J1808" s="1042">
        <f t="shared" si="1181"/>
        <v>0</v>
      </c>
    </row>
    <row r="1809" spans="1:10" x14ac:dyDescent="0.25">
      <c r="A1809" s="1039"/>
      <c r="B1809" s="1039" t="str">
        <f t="shared" ref="B1809:B1872" si="1184">IFERROR(VLOOKUP(A1809,DB,2,FALSE),"")</f>
        <v/>
      </c>
      <c r="C1809" s="1039" t="str">
        <f t="shared" si="1162"/>
        <v/>
      </c>
      <c r="D1809" s="1040" t="str">
        <f t="shared" si="1163"/>
        <v/>
      </c>
      <c r="E1809" s="1041" t="str">
        <f t="shared" si="1164"/>
        <v/>
      </c>
      <c r="F1809" s="1040" t="str">
        <f t="shared" si="1165"/>
        <v/>
      </c>
      <c r="G1809" s="1041" t="str">
        <f t="shared" si="1166"/>
        <v/>
      </c>
      <c r="H1809" s="1042">
        <f t="shared" si="1182"/>
        <v>0</v>
      </c>
      <c r="I1809" s="1042">
        <f t="shared" si="1183"/>
        <v>0</v>
      </c>
      <c r="J1809" s="1042">
        <f t="shared" si="1181"/>
        <v>0</v>
      </c>
    </row>
    <row r="1810" spans="1:10" x14ac:dyDescent="0.25">
      <c r="A1810" s="1039"/>
      <c r="B1810" s="1039" t="str">
        <f t="shared" si="1184"/>
        <v/>
      </c>
      <c r="C1810" s="1039" t="str">
        <f t="shared" si="1162"/>
        <v/>
      </c>
      <c r="D1810" s="1040" t="str">
        <f t="shared" si="1163"/>
        <v/>
      </c>
      <c r="E1810" s="1041" t="str">
        <f t="shared" si="1164"/>
        <v/>
      </c>
      <c r="F1810" s="1040" t="str">
        <f t="shared" si="1165"/>
        <v/>
      </c>
      <c r="G1810" s="1041" t="str">
        <f t="shared" si="1166"/>
        <v/>
      </c>
      <c r="H1810" s="1042">
        <f t="shared" si="1182"/>
        <v>0</v>
      </c>
      <c r="I1810" s="1042">
        <f t="shared" si="1183"/>
        <v>0</v>
      </c>
      <c r="J1810" s="1042">
        <f t="shared" si="1181"/>
        <v>0</v>
      </c>
    </row>
    <row r="1811" spans="1:10" x14ac:dyDescent="0.25">
      <c r="A1811" s="1039"/>
      <c r="B1811" s="1039" t="str">
        <f t="shared" si="1184"/>
        <v/>
      </c>
      <c r="C1811" s="1039" t="str">
        <f t="shared" si="1162"/>
        <v/>
      </c>
      <c r="D1811" s="1040" t="str">
        <f t="shared" si="1163"/>
        <v/>
      </c>
      <c r="E1811" s="1041" t="str">
        <f t="shared" si="1164"/>
        <v/>
      </c>
      <c r="F1811" s="1040" t="str">
        <f t="shared" si="1165"/>
        <v/>
      </c>
      <c r="G1811" s="1041" t="str">
        <f t="shared" si="1166"/>
        <v/>
      </c>
      <c r="H1811" s="1042">
        <f t="shared" si="1182"/>
        <v>0</v>
      </c>
      <c r="I1811" s="1042">
        <f t="shared" si="1183"/>
        <v>0</v>
      </c>
      <c r="J1811" s="1042">
        <f t="shared" si="1181"/>
        <v>0</v>
      </c>
    </row>
    <row r="1812" spans="1:10" x14ac:dyDescent="0.25">
      <c r="A1812" s="1039"/>
      <c r="B1812" s="1039" t="str">
        <f t="shared" si="1184"/>
        <v/>
      </c>
      <c r="C1812" s="1039" t="str">
        <f t="shared" si="1162"/>
        <v/>
      </c>
      <c r="D1812" s="1040" t="str">
        <f t="shared" si="1163"/>
        <v/>
      </c>
      <c r="E1812" s="1041" t="str">
        <f t="shared" si="1164"/>
        <v/>
      </c>
      <c r="F1812" s="1040" t="str">
        <f t="shared" si="1165"/>
        <v/>
      </c>
      <c r="G1812" s="1041" t="str">
        <f t="shared" si="1166"/>
        <v/>
      </c>
      <c r="H1812" s="1042">
        <f t="shared" si="1182"/>
        <v>0</v>
      </c>
      <c r="I1812" s="1042">
        <f t="shared" si="1183"/>
        <v>0</v>
      </c>
      <c r="J1812" s="1042">
        <f t="shared" si="1181"/>
        <v>0</v>
      </c>
    </row>
    <row r="1813" spans="1:10" x14ac:dyDescent="0.25">
      <c r="A1813" s="1039"/>
      <c r="B1813" s="1039" t="str">
        <f t="shared" si="1184"/>
        <v/>
      </c>
      <c r="C1813" s="1039" t="str">
        <f t="shared" si="1162"/>
        <v/>
      </c>
      <c r="D1813" s="1040" t="str">
        <f t="shared" si="1163"/>
        <v/>
      </c>
      <c r="E1813" s="1041" t="str">
        <f t="shared" si="1164"/>
        <v/>
      </c>
      <c r="F1813" s="1040" t="str">
        <f t="shared" si="1165"/>
        <v/>
      </c>
      <c r="G1813" s="1041" t="str">
        <f t="shared" si="1166"/>
        <v/>
      </c>
      <c r="H1813" s="1042">
        <f t="shared" si="1182"/>
        <v>0</v>
      </c>
      <c r="I1813" s="1042">
        <f t="shared" si="1183"/>
        <v>0</v>
      </c>
      <c r="J1813" s="1042">
        <f t="shared" si="1181"/>
        <v>0</v>
      </c>
    </row>
    <row r="1814" spans="1:10" x14ac:dyDescent="0.25">
      <c r="A1814" s="1039"/>
      <c r="B1814" s="1039" t="str">
        <f t="shared" si="1184"/>
        <v/>
      </c>
      <c r="C1814" s="1039" t="str">
        <f t="shared" si="1162"/>
        <v/>
      </c>
      <c r="D1814" s="1040" t="str">
        <f t="shared" si="1163"/>
        <v/>
      </c>
      <c r="E1814" s="1041" t="str">
        <f t="shared" si="1164"/>
        <v/>
      </c>
      <c r="F1814" s="1040" t="str">
        <f t="shared" si="1165"/>
        <v/>
      </c>
      <c r="G1814" s="1041" t="str">
        <f t="shared" si="1166"/>
        <v/>
      </c>
      <c r="H1814" s="1042">
        <f t="shared" si="1182"/>
        <v>0</v>
      </c>
      <c r="I1814" s="1042">
        <f t="shared" si="1183"/>
        <v>0</v>
      </c>
      <c r="J1814" s="1042">
        <f t="shared" si="1181"/>
        <v>0</v>
      </c>
    </row>
    <row r="1815" spans="1:10" x14ac:dyDescent="0.25">
      <c r="A1815" s="1039"/>
      <c r="B1815" s="1039" t="str">
        <f t="shared" si="1184"/>
        <v/>
      </c>
      <c r="C1815" s="1039" t="str">
        <f t="shared" si="1162"/>
        <v/>
      </c>
      <c r="D1815" s="1040" t="str">
        <f t="shared" si="1163"/>
        <v/>
      </c>
      <c r="E1815" s="1041" t="str">
        <f t="shared" si="1164"/>
        <v/>
      </c>
      <c r="F1815" s="1040" t="str">
        <f t="shared" si="1165"/>
        <v/>
      </c>
      <c r="G1815" s="1041" t="str">
        <f t="shared" si="1166"/>
        <v/>
      </c>
      <c r="H1815" s="1042">
        <f t="shared" si="1182"/>
        <v>0</v>
      </c>
      <c r="I1815" s="1042">
        <f t="shared" si="1183"/>
        <v>0</v>
      </c>
      <c r="J1815" s="1042">
        <f t="shared" si="1181"/>
        <v>0</v>
      </c>
    </row>
    <row r="1816" spans="1:10" x14ac:dyDescent="0.25">
      <c r="A1816" s="1039"/>
      <c r="B1816" s="1039" t="str">
        <f t="shared" si="1184"/>
        <v/>
      </c>
      <c r="C1816" s="1039" t="str">
        <f t="shared" si="1162"/>
        <v/>
      </c>
      <c r="D1816" s="1040" t="str">
        <f t="shared" si="1163"/>
        <v/>
      </c>
      <c r="E1816" s="1041" t="str">
        <f t="shared" si="1164"/>
        <v/>
      </c>
      <c r="F1816" s="1040" t="str">
        <f t="shared" si="1165"/>
        <v/>
      </c>
      <c r="G1816" s="1041" t="str">
        <f t="shared" si="1166"/>
        <v/>
      </c>
      <c r="H1816" s="1042">
        <f t="shared" si="1182"/>
        <v>0</v>
      </c>
      <c r="I1816" s="1042">
        <f t="shared" si="1183"/>
        <v>0</v>
      </c>
      <c r="J1816" s="1042">
        <f t="shared" si="1181"/>
        <v>0</v>
      </c>
    </row>
    <row r="1817" spans="1:10" x14ac:dyDescent="0.25">
      <c r="A1817" s="1039"/>
      <c r="B1817" s="1039" t="str">
        <f t="shared" si="1184"/>
        <v/>
      </c>
      <c r="C1817" s="1039" t="str">
        <f t="shared" si="1162"/>
        <v/>
      </c>
      <c r="D1817" s="1040" t="str">
        <f t="shared" si="1163"/>
        <v/>
      </c>
      <c r="E1817" s="1041" t="str">
        <f t="shared" si="1164"/>
        <v/>
      </c>
      <c r="F1817" s="1040" t="str">
        <f t="shared" si="1165"/>
        <v/>
      </c>
      <c r="G1817" s="1041" t="str">
        <f t="shared" si="1166"/>
        <v/>
      </c>
      <c r="H1817" s="1042">
        <f t="shared" si="1182"/>
        <v>0</v>
      </c>
      <c r="I1817" s="1042">
        <f t="shared" si="1183"/>
        <v>0</v>
      </c>
      <c r="J1817" s="1042">
        <f t="shared" si="1181"/>
        <v>0</v>
      </c>
    </row>
    <row r="1818" spans="1:10" x14ac:dyDescent="0.25">
      <c r="A1818" s="1039"/>
      <c r="B1818" s="1039" t="str">
        <f t="shared" si="1184"/>
        <v/>
      </c>
      <c r="C1818" s="1039" t="str">
        <f t="shared" si="1162"/>
        <v/>
      </c>
      <c r="D1818" s="1040" t="str">
        <f t="shared" si="1163"/>
        <v/>
      </c>
      <c r="E1818" s="1041" t="str">
        <f t="shared" si="1164"/>
        <v/>
      </c>
      <c r="F1818" s="1040" t="str">
        <f t="shared" si="1165"/>
        <v/>
      </c>
      <c r="G1818" s="1041" t="str">
        <f t="shared" si="1166"/>
        <v/>
      </c>
      <c r="H1818" s="1042">
        <f t="shared" si="1182"/>
        <v>0</v>
      </c>
      <c r="I1818" s="1042">
        <f t="shared" si="1183"/>
        <v>0</v>
      </c>
      <c r="J1818" s="1042">
        <f t="shared" si="1181"/>
        <v>0</v>
      </c>
    </row>
    <row r="1819" spans="1:10" x14ac:dyDescent="0.25">
      <c r="A1819" s="1039"/>
      <c r="B1819" s="1039" t="str">
        <f t="shared" si="1184"/>
        <v/>
      </c>
      <c r="C1819" s="1039" t="str">
        <f t="shared" si="1162"/>
        <v/>
      </c>
      <c r="D1819" s="1040" t="str">
        <f t="shared" si="1163"/>
        <v/>
      </c>
      <c r="E1819" s="1041" t="str">
        <f t="shared" si="1164"/>
        <v/>
      </c>
      <c r="F1819" s="1040" t="str">
        <f t="shared" si="1165"/>
        <v/>
      </c>
      <c r="G1819" s="1041" t="str">
        <f t="shared" si="1166"/>
        <v/>
      </c>
      <c r="H1819" s="1042">
        <f t="shared" si="1182"/>
        <v>0</v>
      </c>
      <c r="I1819" s="1042">
        <f t="shared" si="1183"/>
        <v>0</v>
      </c>
      <c r="J1819" s="1042">
        <f t="shared" si="1181"/>
        <v>0</v>
      </c>
    </row>
    <row r="1820" spans="1:10" x14ac:dyDescent="0.25">
      <c r="A1820" s="1039"/>
      <c r="B1820" s="1039" t="str">
        <f t="shared" si="1184"/>
        <v/>
      </c>
      <c r="C1820" s="1039" t="str">
        <f t="shared" si="1162"/>
        <v/>
      </c>
      <c r="D1820" s="1040" t="str">
        <f t="shared" si="1163"/>
        <v/>
      </c>
      <c r="E1820" s="1041" t="str">
        <f t="shared" si="1164"/>
        <v/>
      </c>
      <c r="F1820" s="1040" t="str">
        <f t="shared" si="1165"/>
        <v/>
      </c>
      <c r="G1820" s="1041" t="str">
        <f t="shared" si="1166"/>
        <v/>
      </c>
      <c r="H1820" s="1042">
        <f t="shared" si="1182"/>
        <v>0</v>
      </c>
      <c r="I1820" s="1042">
        <f t="shared" si="1183"/>
        <v>0</v>
      </c>
      <c r="J1820" s="1042">
        <f t="shared" si="1181"/>
        <v>0</v>
      </c>
    </row>
    <row r="1821" spans="1:10" x14ac:dyDescent="0.25">
      <c r="A1821" s="1039"/>
      <c r="B1821" s="1039" t="str">
        <f t="shared" si="1184"/>
        <v/>
      </c>
      <c r="C1821" s="1039" t="str">
        <f t="shared" si="1162"/>
        <v/>
      </c>
      <c r="D1821" s="1040" t="str">
        <f t="shared" si="1163"/>
        <v/>
      </c>
      <c r="E1821" s="1041" t="str">
        <f t="shared" si="1164"/>
        <v/>
      </c>
      <c r="F1821" s="1040" t="str">
        <f t="shared" si="1165"/>
        <v/>
      </c>
      <c r="G1821" s="1041" t="str">
        <f t="shared" si="1166"/>
        <v/>
      </c>
      <c r="H1821" s="1042">
        <f t="shared" si="1182"/>
        <v>0</v>
      </c>
      <c r="I1821" s="1042">
        <f t="shared" si="1183"/>
        <v>0</v>
      </c>
      <c r="J1821" s="1042">
        <f t="shared" si="1181"/>
        <v>0</v>
      </c>
    </row>
    <row r="1822" spans="1:10" x14ac:dyDescent="0.25">
      <c r="A1822" s="1039"/>
      <c r="B1822" s="1039" t="str">
        <f t="shared" si="1184"/>
        <v/>
      </c>
      <c r="C1822" s="1039" t="str">
        <f t="shared" si="1162"/>
        <v/>
      </c>
      <c r="D1822" s="1040" t="str">
        <f t="shared" si="1163"/>
        <v/>
      </c>
      <c r="E1822" s="1041" t="str">
        <f t="shared" si="1164"/>
        <v/>
      </c>
      <c r="F1822" s="1040" t="str">
        <f t="shared" si="1165"/>
        <v/>
      </c>
      <c r="G1822" s="1041" t="str">
        <f t="shared" si="1166"/>
        <v/>
      </c>
      <c r="H1822" s="1042">
        <f t="shared" si="1182"/>
        <v>0</v>
      </c>
      <c r="I1822" s="1042">
        <f t="shared" si="1183"/>
        <v>0</v>
      </c>
      <c r="J1822" s="1042">
        <f t="shared" si="1181"/>
        <v>0</v>
      </c>
    </row>
    <row r="1823" spans="1:10" x14ac:dyDescent="0.25">
      <c r="A1823" s="1039"/>
      <c r="B1823" s="1039" t="str">
        <f t="shared" si="1184"/>
        <v/>
      </c>
      <c r="C1823" s="1039" t="str">
        <f t="shared" si="1162"/>
        <v/>
      </c>
      <c r="D1823" s="1040" t="str">
        <f t="shared" si="1163"/>
        <v/>
      </c>
      <c r="E1823" s="1041" t="str">
        <f t="shared" si="1164"/>
        <v/>
      </c>
      <c r="F1823" s="1040" t="str">
        <f t="shared" si="1165"/>
        <v/>
      </c>
      <c r="G1823" s="1041" t="str">
        <f t="shared" si="1166"/>
        <v/>
      </c>
      <c r="H1823" s="1042">
        <f t="shared" si="1182"/>
        <v>0</v>
      </c>
      <c r="I1823" s="1042">
        <f t="shared" si="1183"/>
        <v>0</v>
      </c>
      <c r="J1823" s="1042">
        <f t="shared" si="1181"/>
        <v>0</v>
      </c>
    </row>
    <row r="1824" spans="1:10" x14ac:dyDescent="0.25">
      <c r="A1824" s="1039"/>
      <c r="B1824" s="1039" t="str">
        <f t="shared" si="1184"/>
        <v/>
      </c>
      <c r="C1824" s="1039" t="str">
        <f t="shared" si="1162"/>
        <v/>
      </c>
      <c r="D1824" s="1040" t="str">
        <f t="shared" si="1163"/>
        <v/>
      </c>
      <c r="E1824" s="1041" t="str">
        <f t="shared" si="1164"/>
        <v/>
      </c>
      <c r="F1824" s="1040" t="str">
        <f t="shared" si="1165"/>
        <v/>
      </c>
      <c r="G1824" s="1041" t="str">
        <f t="shared" si="1166"/>
        <v/>
      </c>
      <c r="H1824" s="1042">
        <f t="shared" si="1182"/>
        <v>0</v>
      </c>
      <c r="I1824" s="1042">
        <f t="shared" si="1183"/>
        <v>0</v>
      </c>
      <c r="J1824" s="1042">
        <f t="shared" si="1181"/>
        <v>0</v>
      </c>
    </row>
    <row r="1825" spans="1:10" x14ac:dyDescent="0.25">
      <c r="A1825" s="1039"/>
      <c r="B1825" s="1039" t="str">
        <f t="shared" si="1184"/>
        <v/>
      </c>
      <c r="C1825" s="1039" t="str">
        <f t="shared" si="1162"/>
        <v/>
      </c>
      <c r="D1825" s="1040" t="str">
        <f t="shared" si="1163"/>
        <v/>
      </c>
      <c r="E1825" s="1041" t="str">
        <f t="shared" si="1164"/>
        <v/>
      </c>
      <c r="F1825" s="1040" t="str">
        <f t="shared" si="1165"/>
        <v/>
      </c>
      <c r="G1825" s="1041" t="str">
        <f t="shared" si="1166"/>
        <v/>
      </c>
      <c r="H1825" s="1042">
        <f t="shared" si="1182"/>
        <v>0</v>
      </c>
      <c r="I1825" s="1042">
        <f t="shared" si="1183"/>
        <v>0</v>
      </c>
      <c r="J1825" s="1042">
        <f t="shared" si="1181"/>
        <v>0</v>
      </c>
    </row>
    <row r="1826" spans="1:10" x14ac:dyDescent="0.25">
      <c r="A1826" s="1039"/>
      <c r="B1826" s="1039" t="str">
        <f t="shared" si="1184"/>
        <v/>
      </c>
      <c r="C1826" s="1039" t="str">
        <f t="shared" si="1162"/>
        <v/>
      </c>
      <c r="D1826" s="1040" t="str">
        <f t="shared" si="1163"/>
        <v/>
      </c>
      <c r="E1826" s="1041" t="str">
        <f t="shared" si="1164"/>
        <v/>
      </c>
      <c r="F1826" s="1040" t="str">
        <f t="shared" si="1165"/>
        <v/>
      </c>
      <c r="G1826" s="1041" t="str">
        <f t="shared" si="1166"/>
        <v/>
      </c>
      <c r="H1826" s="1042">
        <f t="shared" si="1182"/>
        <v>0</v>
      </c>
      <c r="I1826" s="1042">
        <f t="shared" si="1183"/>
        <v>0</v>
      </c>
      <c r="J1826" s="1042">
        <f t="shared" si="1181"/>
        <v>0</v>
      </c>
    </row>
    <row r="1827" spans="1:10" x14ac:dyDescent="0.25">
      <c r="A1827" s="1039"/>
      <c r="B1827" s="1039" t="str">
        <f t="shared" si="1184"/>
        <v/>
      </c>
      <c r="C1827" s="1039" t="str">
        <f t="shared" si="1162"/>
        <v/>
      </c>
      <c r="D1827" s="1040" t="str">
        <f t="shared" si="1163"/>
        <v/>
      </c>
      <c r="E1827" s="1041" t="str">
        <f t="shared" si="1164"/>
        <v/>
      </c>
      <c r="F1827" s="1040" t="str">
        <f t="shared" si="1165"/>
        <v/>
      </c>
      <c r="G1827" s="1041" t="str">
        <f t="shared" si="1166"/>
        <v/>
      </c>
      <c r="H1827" s="1042">
        <f t="shared" si="1182"/>
        <v>0</v>
      </c>
      <c r="I1827" s="1042">
        <f t="shared" si="1183"/>
        <v>0</v>
      </c>
      <c r="J1827" s="1042">
        <f t="shared" si="1181"/>
        <v>0</v>
      </c>
    </row>
    <row r="1828" spans="1:10" x14ac:dyDescent="0.25">
      <c r="A1828" s="1039"/>
      <c r="B1828" s="1039" t="str">
        <f t="shared" si="1184"/>
        <v/>
      </c>
      <c r="C1828" s="1039" t="str">
        <f t="shared" si="1162"/>
        <v/>
      </c>
      <c r="D1828" s="1040" t="str">
        <f t="shared" si="1163"/>
        <v/>
      </c>
      <c r="E1828" s="1041" t="str">
        <f t="shared" si="1164"/>
        <v/>
      </c>
      <c r="F1828" s="1040" t="str">
        <f t="shared" si="1165"/>
        <v/>
      </c>
      <c r="G1828" s="1041" t="str">
        <f t="shared" si="1166"/>
        <v/>
      </c>
      <c r="H1828" s="1042">
        <f t="shared" si="1182"/>
        <v>0</v>
      </c>
      <c r="I1828" s="1042">
        <f t="shared" si="1183"/>
        <v>0</v>
      </c>
      <c r="J1828" s="1042">
        <f t="shared" si="1181"/>
        <v>0</v>
      </c>
    </row>
    <row r="1829" spans="1:10" x14ac:dyDescent="0.25">
      <c r="A1829" s="1039"/>
      <c r="B1829" s="1039" t="str">
        <f t="shared" si="1184"/>
        <v/>
      </c>
      <c r="C1829" s="1039" t="str">
        <f t="shared" si="1162"/>
        <v/>
      </c>
      <c r="D1829" s="1040" t="str">
        <f t="shared" si="1163"/>
        <v/>
      </c>
      <c r="E1829" s="1041" t="str">
        <f t="shared" si="1164"/>
        <v/>
      </c>
      <c r="F1829" s="1040" t="str">
        <f t="shared" si="1165"/>
        <v/>
      </c>
      <c r="G1829" s="1041" t="str">
        <f t="shared" si="1166"/>
        <v/>
      </c>
      <c r="H1829" s="1042">
        <f t="shared" si="1182"/>
        <v>0</v>
      </c>
      <c r="I1829" s="1042">
        <f t="shared" si="1183"/>
        <v>0</v>
      </c>
      <c r="J1829" s="1042">
        <f t="shared" si="1181"/>
        <v>0</v>
      </c>
    </row>
    <row r="1830" spans="1:10" x14ac:dyDescent="0.25">
      <c r="A1830" s="1039"/>
      <c r="B1830" s="1039" t="str">
        <f t="shared" si="1184"/>
        <v/>
      </c>
      <c r="C1830" s="1039" t="str">
        <f t="shared" si="1162"/>
        <v/>
      </c>
      <c r="D1830" s="1040" t="str">
        <f t="shared" si="1163"/>
        <v/>
      </c>
      <c r="E1830" s="1041" t="str">
        <f t="shared" si="1164"/>
        <v/>
      </c>
      <c r="F1830" s="1040" t="str">
        <f t="shared" si="1165"/>
        <v/>
      </c>
      <c r="G1830" s="1041" t="str">
        <f t="shared" si="1166"/>
        <v/>
      </c>
      <c r="H1830" s="1042">
        <f t="shared" si="1182"/>
        <v>0</v>
      </c>
      <c r="I1830" s="1042">
        <f t="shared" si="1183"/>
        <v>0</v>
      </c>
      <c r="J1830" s="1042">
        <f t="shared" si="1181"/>
        <v>0</v>
      </c>
    </row>
    <row r="1831" spans="1:10" x14ac:dyDescent="0.25">
      <c r="A1831" s="1039"/>
      <c r="B1831" s="1039" t="str">
        <f t="shared" si="1184"/>
        <v/>
      </c>
      <c r="C1831" s="1039" t="str">
        <f t="shared" ref="C1831:C1894" si="1185">IFERROR(VLOOKUP(A1831,DB,4,FALSE),"")</f>
        <v/>
      </c>
      <c r="D1831" s="1040" t="str">
        <f t="shared" ref="D1831:D1894" si="1186">IFERROR(VLOOKUP(A1831,DB,5,FALSE),"")</f>
        <v/>
      </c>
      <c r="E1831" s="1041" t="str">
        <f t="shared" ref="E1831:E1894" si="1187">IFERROR(VLOOKUP(A1831,DB,6,FALSE),"")</f>
        <v/>
      </c>
      <c r="F1831" s="1040" t="str">
        <f t="shared" ref="F1831:F1894" si="1188">IFERROR(VLOOKUP(A1831,DB,7,FALSE),"")</f>
        <v/>
      </c>
      <c r="G1831" s="1041" t="str">
        <f t="shared" ref="G1831:G1894" si="1189">IFERROR(VLOOKUP(A1831,DB,3,FALSE),"")</f>
        <v/>
      </c>
      <c r="H1831" s="1042">
        <f t="shared" si="1182"/>
        <v>0</v>
      </c>
      <c r="I1831" s="1042">
        <f t="shared" si="1183"/>
        <v>0</v>
      </c>
      <c r="J1831" s="1042">
        <f t="shared" si="1181"/>
        <v>0</v>
      </c>
    </row>
    <row r="1832" spans="1:10" x14ac:dyDescent="0.25">
      <c r="A1832" s="1039"/>
      <c r="B1832" s="1039" t="str">
        <f t="shared" si="1184"/>
        <v/>
      </c>
      <c r="C1832" s="1039" t="str">
        <f t="shared" si="1185"/>
        <v/>
      </c>
      <c r="D1832" s="1040" t="str">
        <f t="shared" si="1186"/>
        <v/>
      </c>
      <c r="E1832" s="1041" t="str">
        <f t="shared" si="1187"/>
        <v/>
      </c>
      <c r="F1832" s="1040" t="str">
        <f t="shared" si="1188"/>
        <v/>
      </c>
      <c r="G1832" s="1041" t="str">
        <f t="shared" si="1189"/>
        <v/>
      </c>
      <c r="H1832" s="1042">
        <f t="shared" si="1182"/>
        <v>0</v>
      </c>
      <c r="I1832" s="1042">
        <f t="shared" si="1183"/>
        <v>0</v>
      </c>
      <c r="J1832" s="1042">
        <f t="shared" si="1181"/>
        <v>0</v>
      </c>
    </row>
    <row r="1833" spans="1:10" x14ac:dyDescent="0.25">
      <c r="A1833" s="1039"/>
      <c r="B1833" s="1039" t="str">
        <f t="shared" si="1184"/>
        <v/>
      </c>
      <c r="C1833" s="1039" t="str">
        <f t="shared" si="1185"/>
        <v/>
      </c>
      <c r="D1833" s="1040" t="str">
        <f t="shared" si="1186"/>
        <v/>
      </c>
      <c r="E1833" s="1041" t="str">
        <f t="shared" si="1187"/>
        <v/>
      </c>
      <c r="F1833" s="1040" t="str">
        <f t="shared" si="1188"/>
        <v/>
      </c>
      <c r="G1833" s="1041" t="str">
        <f t="shared" si="1189"/>
        <v/>
      </c>
      <c r="H1833" s="1042">
        <f t="shared" si="1182"/>
        <v>0</v>
      </c>
      <c r="I1833" s="1042">
        <f t="shared" si="1183"/>
        <v>0</v>
      </c>
      <c r="J1833" s="1042">
        <f t="shared" si="1181"/>
        <v>0</v>
      </c>
    </row>
    <row r="1834" spans="1:10" x14ac:dyDescent="0.25">
      <c r="A1834" s="1039"/>
      <c r="B1834" s="1039" t="str">
        <f t="shared" si="1184"/>
        <v/>
      </c>
      <c r="C1834" s="1039" t="str">
        <f t="shared" si="1185"/>
        <v/>
      </c>
      <c r="D1834" s="1040" t="str">
        <f t="shared" si="1186"/>
        <v/>
      </c>
      <c r="E1834" s="1041" t="str">
        <f t="shared" si="1187"/>
        <v/>
      </c>
      <c r="F1834" s="1040" t="str">
        <f t="shared" si="1188"/>
        <v/>
      </c>
      <c r="G1834" s="1041" t="str">
        <f t="shared" si="1189"/>
        <v/>
      </c>
      <c r="H1834" s="1042">
        <f t="shared" si="1182"/>
        <v>0</v>
      </c>
      <c r="I1834" s="1042">
        <f t="shared" si="1183"/>
        <v>0</v>
      </c>
      <c r="J1834" s="1042">
        <f t="shared" si="1181"/>
        <v>0</v>
      </c>
    </row>
    <row r="1835" spans="1:10" x14ac:dyDescent="0.25">
      <c r="A1835" s="1039"/>
      <c r="B1835" s="1039" t="str">
        <f t="shared" si="1184"/>
        <v/>
      </c>
      <c r="C1835" s="1039" t="str">
        <f t="shared" si="1185"/>
        <v/>
      </c>
      <c r="D1835" s="1040" t="str">
        <f t="shared" si="1186"/>
        <v/>
      </c>
      <c r="E1835" s="1041" t="str">
        <f t="shared" si="1187"/>
        <v/>
      </c>
      <c r="F1835" s="1040" t="str">
        <f t="shared" si="1188"/>
        <v/>
      </c>
      <c r="G1835" s="1041" t="str">
        <f t="shared" si="1189"/>
        <v/>
      </c>
      <c r="H1835" s="1042">
        <f t="shared" si="1182"/>
        <v>0</v>
      </c>
      <c r="I1835" s="1042">
        <f t="shared" si="1183"/>
        <v>0</v>
      </c>
      <c r="J1835" s="1042">
        <f t="shared" si="1181"/>
        <v>0</v>
      </c>
    </row>
    <row r="1836" spans="1:10" x14ac:dyDescent="0.25">
      <c r="A1836" s="1039"/>
      <c r="B1836" s="1039" t="str">
        <f t="shared" si="1184"/>
        <v/>
      </c>
      <c r="C1836" s="1039" t="str">
        <f t="shared" si="1185"/>
        <v/>
      </c>
      <c r="D1836" s="1040" t="str">
        <f t="shared" si="1186"/>
        <v/>
      </c>
      <c r="E1836" s="1041" t="str">
        <f t="shared" si="1187"/>
        <v/>
      </c>
      <c r="F1836" s="1040" t="str">
        <f t="shared" si="1188"/>
        <v/>
      </c>
      <c r="G1836" s="1041" t="str">
        <f t="shared" si="1189"/>
        <v/>
      </c>
      <c r="H1836" s="1042">
        <f t="shared" si="1182"/>
        <v>0</v>
      </c>
      <c r="I1836" s="1042">
        <f t="shared" si="1183"/>
        <v>0</v>
      </c>
      <c r="J1836" s="1042">
        <f t="shared" si="1181"/>
        <v>0</v>
      </c>
    </row>
    <row r="1837" spans="1:10" x14ac:dyDescent="0.25">
      <c r="A1837" s="1039"/>
      <c r="B1837" s="1039" t="str">
        <f t="shared" si="1184"/>
        <v/>
      </c>
      <c r="C1837" s="1039" t="str">
        <f t="shared" si="1185"/>
        <v/>
      </c>
      <c r="D1837" s="1040" t="str">
        <f t="shared" si="1186"/>
        <v/>
      </c>
      <c r="E1837" s="1041" t="str">
        <f t="shared" si="1187"/>
        <v/>
      </c>
      <c r="F1837" s="1040" t="str">
        <f t="shared" si="1188"/>
        <v/>
      </c>
      <c r="G1837" s="1041" t="str">
        <f t="shared" si="1189"/>
        <v/>
      </c>
      <c r="H1837" s="1042">
        <f t="shared" si="1182"/>
        <v>0</v>
      </c>
      <c r="I1837" s="1042">
        <f t="shared" si="1183"/>
        <v>0</v>
      </c>
      <c r="J1837" s="1042">
        <f t="shared" ref="J1837:J1900" si="1190">I1837+H1837</f>
        <v>0</v>
      </c>
    </row>
    <row r="1838" spans="1:10" x14ac:dyDescent="0.25">
      <c r="A1838" s="1039"/>
      <c r="B1838" s="1039" t="str">
        <f t="shared" si="1184"/>
        <v/>
      </c>
      <c r="C1838" s="1039" t="str">
        <f t="shared" si="1185"/>
        <v/>
      </c>
      <c r="D1838" s="1040" t="str">
        <f t="shared" si="1186"/>
        <v/>
      </c>
      <c r="E1838" s="1041" t="str">
        <f t="shared" si="1187"/>
        <v/>
      </c>
      <c r="F1838" s="1040" t="str">
        <f t="shared" si="1188"/>
        <v/>
      </c>
      <c r="G1838" s="1041" t="str">
        <f t="shared" si="1189"/>
        <v/>
      </c>
      <c r="H1838" s="1042">
        <f t="shared" ref="H1838:H1901" si="1191">IF(F1838="AKTIF",6450000,IF(F1838="CUTI",3000000,0))</f>
        <v>0</v>
      </c>
      <c r="I1838" s="1042">
        <f t="shared" ref="I1838:I1901" si="1192">IF(F1838="AKTIF",3750000,IF(F1838="CUTI",3000000,0))</f>
        <v>0</v>
      </c>
      <c r="J1838" s="1042">
        <f t="shared" si="1190"/>
        <v>0</v>
      </c>
    </row>
    <row r="1839" spans="1:10" x14ac:dyDescent="0.25">
      <c r="A1839" s="1039"/>
      <c r="B1839" s="1039" t="str">
        <f t="shared" si="1184"/>
        <v/>
      </c>
      <c r="C1839" s="1039" t="str">
        <f t="shared" si="1185"/>
        <v/>
      </c>
      <c r="D1839" s="1040" t="str">
        <f t="shared" si="1186"/>
        <v/>
      </c>
      <c r="E1839" s="1041" t="str">
        <f t="shared" si="1187"/>
        <v/>
      </c>
      <c r="F1839" s="1040" t="str">
        <f t="shared" si="1188"/>
        <v/>
      </c>
      <c r="G1839" s="1041" t="str">
        <f t="shared" si="1189"/>
        <v/>
      </c>
      <c r="H1839" s="1042">
        <f t="shared" si="1191"/>
        <v>0</v>
      </c>
      <c r="I1839" s="1042">
        <f t="shared" si="1192"/>
        <v>0</v>
      </c>
      <c r="J1839" s="1042">
        <f t="shared" si="1190"/>
        <v>0</v>
      </c>
    </row>
    <row r="1840" spans="1:10" x14ac:dyDescent="0.25">
      <c r="A1840" s="1039"/>
      <c r="B1840" s="1039" t="str">
        <f t="shared" si="1184"/>
        <v/>
      </c>
      <c r="C1840" s="1039" t="str">
        <f t="shared" si="1185"/>
        <v/>
      </c>
      <c r="D1840" s="1040" t="str">
        <f t="shared" si="1186"/>
        <v/>
      </c>
      <c r="E1840" s="1041" t="str">
        <f t="shared" si="1187"/>
        <v/>
      </c>
      <c r="F1840" s="1040" t="str">
        <f t="shared" si="1188"/>
        <v/>
      </c>
      <c r="G1840" s="1041" t="str">
        <f t="shared" si="1189"/>
        <v/>
      </c>
      <c r="H1840" s="1042">
        <f t="shared" si="1191"/>
        <v>0</v>
      </c>
      <c r="I1840" s="1042">
        <f t="shared" si="1192"/>
        <v>0</v>
      </c>
      <c r="J1840" s="1042">
        <f t="shared" si="1190"/>
        <v>0</v>
      </c>
    </row>
    <row r="1841" spans="1:10" x14ac:dyDescent="0.25">
      <c r="A1841" s="1039"/>
      <c r="B1841" s="1039" t="str">
        <f t="shared" si="1184"/>
        <v/>
      </c>
      <c r="C1841" s="1039" t="str">
        <f t="shared" si="1185"/>
        <v/>
      </c>
      <c r="D1841" s="1040" t="str">
        <f t="shared" si="1186"/>
        <v/>
      </c>
      <c r="E1841" s="1041" t="str">
        <f t="shared" si="1187"/>
        <v/>
      </c>
      <c r="F1841" s="1040" t="str">
        <f t="shared" si="1188"/>
        <v/>
      </c>
      <c r="G1841" s="1041" t="str">
        <f t="shared" si="1189"/>
        <v/>
      </c>
      <c r="H1841" s="1042">
        <f t="shared" si="1191"/>
        <v>0</v>
      </c>
      <c r="I1841" s="1042">
        <f t="shared" si="1192"/>
        <v>0</v>
      </c>
      <c r="J1841" s="1042">
        <f t="shared" si="1190"/>
        <v>0</v>
      </c>
    </row>
    <row r="1842" spans="1:10" x14ac:dyDescent="0.25">
      <c r="A1842" s="1039"/>
      <c r="B1842" s="1039" t="str">
        <f t="shared" si="1184"/>
        <v/>
      </c>
      <c r="C1842" s="1039" t="str">
        <f t="shared" si="1185"/>
        <v/>
      </c>
      <c r="D1842" s="1040" t="str">
        <f t="shared" si="1186"/>
        <v/>
      </c>
      <c r="E1842" s="1041" t="str">
        <f t="shared" si="1187"/>
        <v/>
      </c>
      <c r="F1842" s="1040" t="str">
        <f t="shared" si="1188"/>
        <v/>
      </c>
      <c r="G1842" s="1041" t="str">
        <f t="shared" si="1189"/>
        <v/>
      </c>
      <c r="H1842" s="1042">
        <f t="shared" si="1191"/>
        <v>0</v>
      </c>
      <c r="I1842" s="1042">
        <f t="shared" si="1192"/>
        <v>0</v>
      </c>
      <c r="J1842" s="1042">
        <f t="shared" si="1190"/>
        <v>0</v>
      </c>
    </row>
    <row r="1843" spans="1:10" x14ac:dyDescent="0.25">
      <c r="A1843" s="1039"/>
      <c r="B1843" s="1039" t="str">
        <f t="shared" si="1184"/>
        <v/>
      </c>
      <c r="C1843" s="1039" t="str">
        <f t="shared" si="1185"/>
        <v/>
      </c>
      <c r="D1843" s="1040" t="str">
        <f t="shared" si="1186"/>
        <v/>
      </c>
      <c r="E1843" s="1041" t="str">
        <f t="shared" si="1187"/>
        <v/>
      </c>
      <c r="F1843" s="1040" t="str">
        <f t="shared" si="1188"/>
        <v/>
      </c>
      <c r="G1843" s="1041" t="str">
        <f t="shared" si="1189"/>
        <v/>
      </c>
      <c r="H1843" s="1042">
        <f t="shared" si="1191"/>
        <v>0</v>
      </c>
      <c r="I1843" s="1042">
        <f t="shared" si="1192"/>
        <v>0</v>
      </c>
      <c r="J1843" s="1042">
        <f t="shared" si="1190"/>
        <v>0</v>
      </c>
    </row>
    <row r="1844" spans="1:10" x14ac:dyDescent="0.25">
      <c r="A1844" s="1039"/>
      <c r="B1844" s="1039" t="str">
        <f t="shared" si="1184"/>
        <v/>
      </c>
      <c r="C1844" s="1039" t="str">
        <f t="shared" si="1185"/>
        <v/>
      </c>
      <c r="D1844" s="1040" t="str">
        <f t="shared" si="1186"/>
        <v/>
      </c>
      <c r="E1844" s="1041" t="str">
        <f t="shared" si="1187"/>
        <v/>
      </c>
      <c r="F1844" s="1040" t="str">
        <f t="shared" si="1188"/>
        <v/>
      </c>
      <c r="G1844" s="1041" t="str">
        <f t="shared" si="1189"/>
        <v/>
      </c>
      <c r="H1844" s="1042">
        <f t="shared" si="1191"/>
        <v>0</v>
      </c>
      <c r="I1844" s="1042">
        <f t="shared" si="1192"/>
        <v>0</v>
      </c>
      <c r="J1844" s="1042">
        <f t="shared" si="1190"/>
        <v>0</v>
      </c>
    </row>
    <row r="1845" spans="1:10" x14ac:dyDescent="0.25">
      <c r="A1845" s="1039"/>
      <c r="B1845" s="1039" t="str">
        <f t="shared" si="1184"/>
        <v/>
      </c>
      <c r="C1845" s="1039" t="str">
        <f t="shared" si="1185"/>
        <v/>
      </c>
      <c r="D1845" s="1040" t="str">
        <f t="shared" si="1186"/>
        <v/>
      </c>
      <c r="E1845" s="1041" t="str">
        <f t="shared" si="1187"/>
        <v/>
      </c>
      <c r="F1845" s="1040" t="str">
        <f t="shared" si="1188"/>
        <v/>
      </c>
      <c r="G1845" s="1041" t="str">
        <f t="shared" si="1189"/>
        <v/>
      </c>
      <c r="H1845" s="1042">
        <f t="shared" si="1191"/>
        <v>0</v>
      </c>
      <c r="I1845" s="1042">
        <f t="shared" si="1192"/>
        <v>0</v>
      </c>
      <c r="J1845" s="1042">
        <f t="shared" si="1190"/>
        <v>0</v>
      </c>
    </row>
    <row r="1846" spans="1:10" x14ac:dyDescent="0.25">
      <c r="A1846" s="1039"/>
      <c r="B1846" s="1039" t="str">
        <f t="shared" si="1184"/>
        <v/>
      </c>
      <c r="C1846" s="1039" t="str">
        <f t="shared" si="1185"/>
        <v/>
      </c>
      <c r="D1846" s="1040" t="str">
        <f t="shared" si="1186"/>
        <v/>
      </c>
      <c r="E1846" s="1041" t="str">
        <f t="shared" si="1187"/>
        <v/>
      </c>
      <c r="F1846" s="1040" t="str">
        <f t="shared" si="1188"/>
        <v/>
      </c>
      <c r="G1846" s="1041" t="str">
        <f t="shared" si="1189"/>
        <v/>
      </c>
      <c r="H1846" s="1042">
        <f t="shared" si="1191"/>
        <v>0</v>
      </c>
      <c r="I1846" s="1042">
        <f t="shared" si="1192"/>
        <v>0</v>
      </c>
      <c r="J1846" s="1042">
        <f t="shared" si="1190"/>
        <v>0</v>
      </c>
    </row>
    <row r="1847" spans="1:10" x14ac:dyDescent="0.25">
      <c r="A1847" s="1039"/>
      <c r="B1847" s="1039" t="str">
        <f t="shared" si="1184"/>
        <v/>
      </c>
      <c r="C1847" s="1039" t="str">
        <f t="shared" si="1185"/>
        <v/>
      </c>
      <c r="D1847" s="1040" t="str">
        <f t="shared" si="1186"/>
        <v/>
      </c>
      <c r="E1847" s="1041" t="str">
        <f t="shared" si="1187"/>
        <v/>
      </c>
      <c r="F1847" s="1040" t="str">
        <f t="shared" si="1188"/>
        <v/>
      </c>
      <c r="G1847" s="1041" t="str">
        <f t="shared" si="1189"/>
        <v/>
      </c>
      <c r="H1847" s="1042">
        <f t="shared" si="1191"/>
        <v>0</v>
      </c>
      <c r="I1847" s="1042">
        <f t="shared" si="1192"/>
        <v>0</v>
      </c>
      <c r="J1847" s="1042">
        <f t="shared" si="1190"/>
        <v>0</v>
      </c>
    </row>
    <row r="1848" spans="1:10" x14ac:dyDescent="0.25">
      <c r="A1848" s="1039"/>
      <c r="B1848" s="1039" t="str">
        <f t="shared" si="1184"/>
        <v/>
      </c>
      <c r="C1848" s="1039" t="str">
        <f t="shared" si="1185"/>
        <v/>
      </c>
      <c r="D1848" s="1040" t="str">
        <f t="shared" si="1186"/>
        <v/>
      </c>
      <c r="E1848" s="1041" t="str">
        <f t="shared" si="1187"/>
        <v/>
      </c>
      <c r="F1848" s="1040" t="str">
        <f t="shared" si="1188"/>
        <v/>
      </c>
      <c r="G1848" s="1041" t="str">
        <f t="shared" si="1189"/>
        <v/>
      </c>
      <c r="H1848" s="1042">
        <f t="shared" si="1191"/>
        <v>0</v>
      </c>
      <c r="I1848" s="1042">
        <f t="shared" si="1192"/>
        <v>0</v>
      </c>
      <c r="J1848" s="1042">
        <f t="shared" si="1190"/>
        <v>0</v>
      </c>
    </row>
    <row r="1849" spans="1:10" x14ac:dyDescent="0.25">
      <c r="A1849" s="1039"/>
      <c r="B1849" s="1039" t="str">
        <f t="shared" si="1184"/>
        <v/>
      </c>
      <c r="C1849" s="1039" t="str">
        <f t="shared" si="1185"/>
        <v/>
      </c>
      <c r="D1849" s="1040" t="str">
        <f t="shared" si="1186"/>
        <v/>
      </c>
      <c r="E1849" s="1041" t="str">
        <f t="shared" si="1187"/>
        <v/>
      </c>
      <c r="F1849" s="1040" t="str">
        <f t="shared" si="1188"/>
        <v/>
      </c>
      <c r="G1849" s="1041" t="str">
        <f t="shared" si="1189"/>
        <v/>
      </c>
      <c r="H1849" s="1042">
        <f t="shared" si="1191"/>
        <v>0</v>
      </c>
      <c r="I1849" s="1042">
        <f t="shared" si="1192"/>
        <v>0</v>
      </c>
      <c r="J1849" s="1042">
        <f t="shared" si="1190"/>
        <v>0</v>
      </c>
    </row>
    <row r="1850" spans="1:10" x14ac:dyDescent="0.25">
      <c r="A1850" s="1039"/>
      <c r="B1850" s="1039" t="str">
        <f t="shared" si="1184"/>
        <v/>
      </c>
      <c r="C1850" s="1039" t="str">
        <f t="shared" si="1185"/>
        <v/>
      </c>
      <c r="D1850" s="1040" t="str">
        <f t="shared" si="1186"/>
        <v/>
      </c>
      <c r="E1850" s="1041" t="str">
        <f t="shared" si="1187"/>
        <v/>
      </c>
      <c r="F1850" s="1040" t="str">
        <f t="shared" si="1188"/>
        <v/>
      </c>
      <c r="G1850" s="1041" t="str">
        <f t="shared" si="1189"/>
        <v/>
      </c>
      <c r="H1850" s="1042">
        <f t="shared" si="1191"/>
        <v>0</v>
      </c>
      <c r="I1850" s="1042">
        <f t="shared" si="1192"/>
        <v>0</v>
      </c>
      <c r="J1850" s="1042">
        <f t="shared" si="1190"/>
        <v>0</v>
      </c>
    </row>
    <row r="1851" spans="1:10" x14ac:dyDescent="0.25">
      <c r="A1851" s="1039"/>
      <c r="B1851" s="1039" t="str">
        <f t="shared" si="1184"/>
        <v/>
      </c>
      <c r="C1851" s="1039" t="str">
        <f t="shared" si="1185"/>
        <v/>
      </c>
      <c r="D1851" s="1040" t="str">
        <f t="shared" si="1186"/>
        <v/>
      </c>
      <c r="E1851" s="1041" t="str">
        <f t="shared" si="1187"/>
        <v/>
      </c>
      <c r="F1851" s="1040" t="str">
        <f t="shared" si="1188"/>
        <v/>
      </c>
      <c r="G1851" s="1041" t="str">
        <f t="shared" si="1189"/>
        <v/>
      </c>
      <c r="H1851" s="1042">
        <f t="shared" si="1191"/>
        <v>0</v>
      </c>
      <c r="I1851" s="1042">
        <f t="shared" si="1192"/>
        <v>0</v>
      </c>
      <c r="J1851" s="1042">
        <f t="shared" si="1190"/>
        <v>0</v>
      </c>
    </row>
    <row r="1852" spans="1:10" x14ac:dyDescent="0.25">
      <c r="A1852" s="1039"/>
      <c r="B1852" s="1039" t="str">
        <f t="shared" si="1184"/>
        <v/>
      </c>
      <c r="C1852" s="1039" t="str">
        <f t="shared" si="1185"/>
        <v/>
      </c>
      <c r="D1852" s="1040" t="str">
        <f t="shared" si="1186"/>
        <v/>
      </c>
      <c r="E1852" s="1041" t="str">
        <f t="shared" si="1187"/>
        <v/>
      </c>
      <c r="F1852" s="1040" t="str">
        <f t="shared" si="1188"/>
        <v/>
      </c>
      <c r="G1852" s="1041" t="str">
        <f t="shared" si="1189"/>
        <v/>
      </c>
      <c r="H1852" s="1042">
        <f t="shared" si="1191"/>
        <v>0</v>
      </c>
      <c r="I1852" s="1042">
        <f t="shared" si="1192"/>
        <v>0</v>
      </c>
      <c r="J1852" s="1042">
        <f t="shared" si="1190"/>
        <v>0</v>
      </c>
    </row>
    <row r="1853" spans="1:10" x14ac:dyDescent="0.25">
      <c r="A1853" s="1039"/>
      <c r="B1853" s="1039" t="str">
        <f t="shared" si="1184"/>
        <v/>
      </c>
      <c r="C1853" s="1039" t="str">
        <f t="shared" si="1185"/>
        <v/>
      </c>
      <c r="D1853" s="1040" t="str">
        <f t="shared" si="1186"/>
        <v/>
      </c>
      <c r="E1853" s="1041" t="str">
        <f t="shared" si="1187"/>
        <v/>
      </c>
      <c r="F1853" s="1040" t="str">
        <f t="shared" si="1188"/>
        <v/>
      </c>
      <c r="G1853" s="1041" t="str">
        <f t="shared" si="1189"/>
        <v/>
      </c>
      <c r="H1853" s="1042">
        <f t="shared" si="1191"/>
        <v>0</v>
      </c>
      <c r="I1853" s="1042">
        <f t="shared" si="1192"/>
        <v>0</v>
      </c>
      <c r="J1853" s="1042">
        <f t="shared" si="1190"/>
        <v>0</v>
      </c>
    </row>
    <row r="1854" spans="1:10" x14ac:dyDescent="0.25">
      <c r="A1854" s="1039"/>
      <c r="B1854" s="1039" t="str">
        <f t="shared" si="1184"/>
        <v/>
      </c>
      <c r="C1854" s="1039" t="str">
        <f t="shared" si="1185"/>
        <v/>
      </c>
      <c r="D1854" s="1040" t="str">
        <f t="shared" si="1186"/>
        <v/>
      </c>
      <c r="E1854" s="1041" t="str">
        <f t="shared" si="1187"/>
        <v/>
      </c>
      <c r="F1854" s="1040" t="str">
        <f t="shared" si="1188"/>
        <v/>
      </c>
      <c r="G1854" s="1041" t="str">
        <f t="shared" si="1189"/>
        <v/>
      </c>
      <c r="H1854" s="1042">
        <f t="shared" si="1191"/>
        <v>0</v>
      </c>
      <c r="I1854" s="1042">
        <f t="shared" si="1192"/>
        <v>0</v>
      </c>
      <c r="J1854" s="1042">
        <f t="shared" si="1190"/>
        <v>0</v>
      </c>
    </row>
    <row r="1855" spans="1:10" x14ac:dyDescent="0.25">
      <c r="A1855" s="1039"/>
      <c r="B1855" s="1039" t="str">
        <f t="shared" si="1184"/>
        <v/>
      </c>
      <c r="C1855" s="1039" t="str">
        <f t="shared" si="1185"/>
        <v/>
      </c>
      <c r="D1855" s="1040" t="str">
        <f t="shared" si="1186"/>
        <v/>
      </c>
      <c r="E1855" s="1041" t="str">
        <f t="shared" si="1187"/>
        <v/>
      </c>
      <c r="F1855" s="1040" t="str">
        <f t="shared" si="1188"/>
        <v/>
      </c>
      <c r="G1855" s="1041" t="str">
        <f t="shared" si="1189"/>
        <v/>
      </c>
      <c r="H1855" s="1042">
        <f t="shared" si="1191"/>
        <v>0</v>
      </c>
      <c r="I1855" s="1042">
        <f t="shared" si="1192"/>
        <v>0</v>
      </c>
      <c r="J1855" s="1042">
        <f t="shared" si="1190"/>
        <v>0</v>
      </c>
    </row>
    <row r="1856" spans="1:10" x14ac:dyDescent="0.25">
      <c r="A1856" s="1039"/>
      <c r="B1856" s="1039" t="str">
        <f t="shared" si="1184"/>
        <v/>
      </c>
      <c r="C1856" s="1039" t="str">
        <f t="shared" si="1185"/>
        <v/>
      </c>
      <c r="D1856" s="1040" t="str">
        <f t="shared" si="1186"/>
        <v/>
      </c>
      <c r="E1856" s="1041" t="str">
        <f t="shared" si="1187"/>
        <v/>
      </c>
      <c r="F1856" s="1040" t="str">
        <f t="shared" si="1188"/>
        <v/>
      </c>
      <c r="G1856" s="1041" t="str">
        <f t="shared" si="1189"/>
        <v/>
      </c>
      <c r="H1856" s="1042">
        <f t="shared" si="1191"/>
        <v>0</v>
      </c>
      <c r="I1856" s="1042">
        <f t="shared" si="1192"/>
        <v>0</v>
      </c>
      <c r="J1856" s="1042">
        <f t="shared" si="1190"/>
        <v>0</v>
      </c>
    </row>
    <row r="1857" spans="1:10" x14ac:dyDescent="0.25">
      <c r="A1857" s="1039"/>
      <c r="B1857" s="1039" t="str">
        <f t="shared" si="1184"/>
        <v/>
      </c>
      <c r="C1857" s="1039" t="str">
        <f t="shared" si="1185"/>
        <v/>
      </c>
      <c r="D1857" s="1040" t="str">
        <f t="shared" si="1186"/>
        <v/>
      </c>
      <c r="E1857" s="1041" t="str">
        <f t="shared" si="1187"/>
        <v/>
      </c>
      <c r="F1857" s="1040" t="str">
        <f t="shared" si="1188"/>
        <v/>
      </c>
      <c r="G1857" s="1041" t="str">
        <f t="shared" si="1189"/>
        <v/>
      </c>
      <c r="H1857" s="1042">
        <f t="shared" si="1191"/>
        <v>0</v>
      </c>
      <c r="I1857" s="1042">
        <f t="shared" si="1192"/>
        <v>0</v>
      </c>
      <c r="J1857" s="1042">
        <f t="shared" si="1190"/>
        <v>0</v>
      </c>
    </row>
    <row r="1858" spans="1:10" x14ac:dyDescent="0.25">
      <c r="A1858" s="1039"/>
      <c r="B1858" s="1039" t="str">
        <f t="shared" si="1184"/>
        <v/>
      </c>
      <c r="C1858" s="1039" t="str">
        <f t="shared" si="1185"/>
        <v/>
      </c>
      <c r="D1858" s="1040" t="str">
        <f t="shared" si="1186"/>
        <v/>
      </c>
      <c r="E1858" s="1041" t="str">
        <f t="shared" si="1187"/>
        <v/>
      </c>
      <c r="F1858" s="1040" t="str">
        <f t="shared" si="1188"/>
        <v/>
      </c>
      <c r="G1858" s="1041" t="str">
        <f t="shared" si="1189"/>
        <v/>
      </c>
      <c r="H1858" s="1042">
        <f t="shared" si="1191"/>
        <v>0</v>
      </c>
      <c r="I1858" s="1042">
        <f t="shared" si="1192"/>
        <v>0</v>
      </c>
      <c r="J1858" s="1042">
        <f t="shared" si="1190"/>
        <v>0</v>
      </c>
    </row>
    <row r="1859" spans="1:10" x14ac:dyDescent="0.25">
      <c r="A1859" s="1039"/>
      <c r="B1859" s="1039" t="str">
        <f t="shared" si="1184"/>
        <v/>
      </c>
      <c r="C1859" s="1039" t="str">
        <f t="shared" si="1185"/>
        <v/>
      </c>
      <c r="D1859" s="1040" t="str">
        <f t="shared" si="1186"/>
        <v/>
      </c>
      <c r="E1859" s="1041" t="str">
        <f t="shared" si="1187"/>
        <v/>
      </c>
      <c r="F1859" s="1040" t="str">
        <f t="shared" si="1188"/>
        <v/>
      </c>
      <c r="G1859" s="1041" t="str">
        <f t="shared" si="1189"/>
        <v/>
      </c>
      <c r="H1859" s="1042">
        <f t="shared" si="1191"/>
        <v>0</v>
      </c>
      <c r="I1859" s="1042">
        <f t="shared" si="1192"/>
        <v>0</v>
      </c>
      <c r="J1859" s="1042">
        <f t="shared" si="1190"/>
        <v>0</v>
      </c>
    </row>
    <row r="1860" spans="1:10" x14ac:dyDescent="0.25">
      <c r="A1860" s="1039"/>
      <c r="B1860" s="1039" t="str">
        <f t="shared" si="1184"/>
        <v/>
      </c>
      <c r="C1860" s="1039" t="str">
        <f t="shared" si="1185"/>
        <v/>
      </c>
      <c r="D1860" s="1040" t="str">
        <f t="shared" si="1186"/>
        <v/>
      </c>
      <c r="E1860" s="1041" t="str">
        <f t="shared" si="1187"/>
        <v/>
      </c>
      <c r="F1860" s="1040" t="str">
        <f t="shared" si="1188"/>
        <v/>
      </c>
      <c r="G1860" s="1041" t="str">
        <f t="shared" si="1189"/>
        <v/>
      </c>
      <c r="H1860" s="1042">
        <f t="shared" si="1191"/>
        <v>0</v>
      </c>
      <c r="I1860" s="1042">
        <f t="shared" si="1192"/>
        <v>0</v>
      </c>
      <c r="J1860" s="1042">
        <f t="shared" si="1190"/>
        <v>0</v>
      </c>
    </row>
    <row r="1861" spans="1:10" x14ac:dyDescent="0.25">
      <c r="A1861" s="1039"/>
      <c r="B1861" s="1039" t="str">
        <f t="shared" si="1184"/>
        <v/>
      </c>
      <c r="C1861" s="1039" t="str">
        <f t="shared" si="1185"/>
        <v/>
      </c>
      <c r="D1861" s="1040" t="str">
        <f t="shared" si="1186"/>
        <v/>
      </c>
      <c r="E1861" s="1041" t="str">
        <f t="shared" si="1187"/>
        <v/>
      </c>
      <c r="F1861" s="1040" t="str">
        <f t="shared" si="1188"/>
        <v/>
      </c>
      <c r="G1861" s="1041" t="str">
        <f t="shared" si="1189"/>
        <v/>
      </c>
      <c r="H1861" s="1042">
        <f t="shared" si="1191"/>
        <v>0</v>
      </c>
      <c r="I1861" s="1042">
        <f t="shared" si="1192"/>
        <v>0</v>
      </c>
      <c r="J1861" s="1042">
        <f t="shared" si="1190"/>
        <v>0</v>
      </c>
    </row>
    <row r="1862" spans="1:10" x14ac:dyDescent="0.25">
      <c r="A1862" s="1039"/>
      <c r="B1862" s="1039" t="str">
        <f t="shared" si="1184"/>
        <v/>
      </c>
      <c r="C1862" s="1039" t="str">
        <f t="shared" si="1185"/>
        <v/>
      </c>
      <c r="D1862" s="1040" t="str">
        <f t="shared" si="1186"/>
        <v/>
      </c>
      <c r="E1862" s="1041" t="str">
        <f t="shared" si="1187"/>
        <v/>
      </c>
      <c r="F1862" s="1040" t="str">
        <f t="shared" si="1188"/>
        <v/>
      </c>
      <c r="G1862" s="1041" t="str">
        <f t="shared" si="1189"/>
        <v/>
      </c>
      <c r="H1862" s="1042">
        <f t="shared" si="1191"/>
        <v>0</v>
      </c>
      <c r="I1862" s="1042">
        <f t="shared" si="1192"/>
        <v>0</v>
      </c>
      <c r="J1862" s="1042">
        <f t="shared" si="1190"/>
        <v>0</v>
      </c>
    </row>
    <row r="1863" spans="1:10" x14ac:dyDescent="0.25">
      <c r="A1863" s="1039"/>
      <c r="B1863" s="1039" t="str">
        <f t="shared" si="1184"/>
        <v/>
      </c>
      <c r="C1863" s="1039" t="str">
        <f t="shared" si="1185"/>
        <v/>
      </c>
      <c r="D1863" s="1040" t="str">
        <f t="shared" si="1186"/>
        <v/>
      </c>
      <c r="E1863" s="1041" t="str">
        <f t="shared" si="1187"/>
        <v/>
      </c>
      <c r="F1863" s="1040" t="str">
        <f t="shared" si="1188"/>
        <v/>
      </c>
      <c r="G1863" s="1041" t="str">
        <f t="shared" si="1189"/>
        <v/>
      </c>
      <c r="H1863" s="1042">
        <f t="shared" si="1191"/>
        <v>0</v>
      </c>
      <c r="I1863" s="1042">
        <f t="shared" si="1192"/>
        <v>0</v>
      </c>
      <c r="J1863" s="1042">
        <f t="shared" si="1190"/>
        <v>0</v>
      </c>
    </row>
    <row r="1864" spans="1:10" x14ac:dyDescent="0.25">
      <c r="A1864" s="1039"/>
      <c r="B1864" s="1039" t="str">
        <f t="shared" si="1184"/>
        <v/>
      </c>
      <c r="C1864" s="1039" t="str">
        <f t="shared" si="1185"/>
        <v/>
      </c>
      <c r="D1864" s="1040" t="str">
        <f t="shared" si="1186"/>
        <v/>
      </c>
      <c r="E1864" s="1041" t="str">
        <f t="shared" si="1187"/>
        <v/>
      </c>
      <c r="F1864" s="1040" t="str">
        <f t="shared" si="1188"/>
        <v/>
      </c>
      <c r="G1864" s="1041" t="str">
        <f t="shared" si="1189"/>
        <v/>
      </c>
      <c r="H1864" s="1042">
        <f t="shared" si="1191"/>
        <v>0</v>
      </c>
      <c r="I1864" s="1042">
        <f t="shared" si="1192"/>
        <v>0</v>
      </c>
      <c r="J1864" s="1042">
        <f t="shared" si="1190"/>
        <v>0</v>
      </c>
    </row>
    <row r="1865" spans="1:10" x14ac:dyDescent="0.25">
      <c r="A1865" s="1039"/>
      <c r="B1865" s="1039" t="str">
        <f t="shared" si="1184"/>
        <v/>
      </c>
      <c r="C1865" s="1039" t="str">
        <f t="shared" si="1185"/>
        <v/>
      </c>
      <c r="D1865" s="1040" t="str">
        <f t="shared" si="1186"/>
        <v/>
      </c>
      <c r="E1865" s="1041" t="str">
        <f t="shared" si="1187"/>
        <v/>
      </c>
      <c r="F1865" s="1040" t="str">
        <f t="shared" si="1188"/>
        <v/>
      </c>
      <c r="G1865" s="1041" t="str">
        <f t="shared" si="1189"/>
        <v/>
      </c>
      <c r="H1865" s="1042">
        <f t="shared" si="1191"/>
        <v>0</v>
      </c>
      <c r="I1865" s="1042">
        <f t="shared" si="1192"/>
        <v>0</v>
      </c>
      <c r="J1865" s="1042">
        <f t="shared" si="1190"/>
        <v>0</v>
      </c>
    </row>
    <row r="1866" spans="1:10" x14ac:dyDescent="0.25">
      <c r="A1866" s="1039"/>
      <c r="B1866" s="1039" t="str">
        <f t="shared" si="1184"/>
        <v/>
      </c>
      <c r="C1866" s="1039" t="str">
        <f t="shared" si="1185"/>
        <v/>
      </c>
      <c r="D1866" s="1040" t="str">
        <f t="shared" si="1186"/>
        <v/>
      </c>
      <c r="E1866" s="1041" t="str">
        <f t="shared" si="1187"/>
        <v/>
      </c>
      <c r="F1866" s="1040" t="str">
        <f t="shared" si="1188"/>
        <v/>
      </c>
      <c r="G1866" s="1041" t="str">
        <f t="shared" si="1189"/>
        <v/>
      </c>
      <c r="H1866" s="1042">
        <f t="shared" si="1191"/>
        <v>0</v>
      </c>
      <c r="I1866" s="1042">
        <f t="shared" si="1192"/>
        <v>0</v>
      </c>
      <c r="J1866" s="1042">
        <f t="shared" si="1190"/>
        <v>0</v>
      </c>
    </row>
    <row r="1867" spans="1:10" x14ac:dyDescent="0.25">
      <c r="A1867" s="1039"/>
      <c r="B1867" s="1039" t="str">
        <f t="shared" si="1184"/>
        <v/>
      </c>
      <c r="C1867" s="1039" t="str">
        <f t="shared" si="1185"/>
        <v/>
      </c>
      <c r="D1867" s="1040" t="str">
        <f t="shared" si="1186"/>
        <v/>
      </c>
      <c r="E1867" s="1041" t="str">
        <f t="shared" si="1187"/>
        <v/>
      </c>
      <c r="F1867" s="1040" t="str">
        <f t="shared" si="1188"/>
        <v/>
      </c>
      <c r="G1867" s="1041" t="str">
        <f t="shared" si="1189"/>
        <v/>
      </c>
      <c r="H1867" s="1042">
        <f t="shared" si="1191"/>
        <v>0</v>
      </c>
      <c r="I1867" s="1042">
        <f t="shared" si="1192"/>
        <v>0</v>
      </c>
      <c r="J1867" s="1042">
        <f t="shared" si="1190"/>
        <v>0</v>
      </c>
    </row>
    <row r="1868" spans="1:10" x14ac:dyDescent="0.25">
      <c r="A1868" s="1039"/>
      <c r="B1868" s="1039" t="str">
        <f t="shared" si="1184"/>
        <v/>
      </c>
      <c r="C1868" s="1039" t="str">
        <f t="shared" si="1185"/>
        <v/>
      </c>
      <c r="D1868" s="1040" t="str">
        <f t="shared" si="1186"/>
        <v/>
      </c>
      <c r="E1868" s="1041" t="str">
        <f t="shared" si="1187"/>
        <v/>
      </c>
      <c r="F1868" s="1040" t="str">
        <f t="shared" si="1188"/>
        <v/>
      </c>
      <c r="G1868" s="1041" t="str">
        <f t="shared" si="1189"/>
        <v/>
      </c>
      <c r="H1868" s="1042">
        <f t="shared" si="1191"/>
        <v>0</v>
      </c>
      <c r="I1868" s="1042">
        <f t="shared" si="1192"/>
        <v>0</v>
      </c>
      <c r="J1868" s="1042">
        <f t="shared" si="1190"/>
        <v>0</v>
      </c>
    </row>
    <row r="1869" spans="1:10" x14ac:dyDescent="0.25">
      <c r="A1869" s="1039"/>
      <c r="B1869" s="1039" t="str">
        <f t="shared" si="1184"/>
        <v/>
      </c>
      <c r="C1869" s="1039" t="str">
        <f t="shared" si="1185"/>
        <v/>
      </c>
      <c r="D1869" s="1040" t="str">
        <f t="shared" si="1186"/>
        <v/>
      </c>
      <c r="E1869" s="1041" t="str">
        <f t="shared" si="1187"/>
        <v/>
      </c>
      <c r="F1869" s="1040" t="str">
        <f t="shared" si="1188"/>
        <v/>
      </c>
      <c r="G1869" s="1041" t="str">
        <f t="shared" si="1189"/>
        <v/>
      </c>
      <c r="H1869" s="1042">
        <f t="shared" si="1191"/>
        <v>0</v>
      </c>
      <c r="I1869" s="1042">
        <f t="shared" si="1192"/>
        <v>0</v>
      </c>
      <c r="J1869" s="1042">
        <f t="shared" si="1190"/>
        <v>0</v>
      </c>
    </row>
    <row r="1870" spans="1:10" x14ac:dyDescent="0.25">
      <c r="A1870" s="1039"/>
      <c r="B1870" s="1039" t="str">
        <f t="shared" si="1184"/>
        <v/>
      </c>
      <c r="C1870" s="1039" t="str">
        <f t="shared" si="1185"/>
        <v/>
      </c>
      <c r="D1870" s="1040" t="str">
        <f t="shared" si="1186"/>
        <v/>
      </c>
      <c r="E1870" s="1041" t="str">
        <f t="shared" si="1187"/>
        <v/>
      </c>
      <c r="F1870" s="1040" t="str">
        <f t="shared" si="1188"/>
        <v/>
      </c>
      <c r="G1870" s="1041" t="str">
        <f t="shared" si="1189"/>
        <v/>
      </c>
      <c r="H1870" s="1042">
        <f t="shared" si="1191"/>
        <v>0</v>
      </c>
      <c r="I1870" s="1042">
        <f t="shared" si="1192"/>
        <v>0</v>
      </c>
      <c r="J1870" s="1042">
        <f t="shared" si="1190"/>
        <v>0</v>
      </c>
    </row>
    <row r="1871" spans="1:10" x14ac:dyDescent="0.25">
      <c r="A1871" s="1039"/>
      <c r="B1871" s="1039" t="str">
        <f t="shared" si="1184"/>
        <v/>
      </c>
      <c r="C1871" s="1039" t="str">
        <f t="shared" si="1185"/>
        <v/>
      </c>
      <c r="D1871" s="1040" t="str">
        <f t="shared" si="1186"/>
        <v/>
      </c>
      <c r="E1871" s="1041" t="str">
        <f t="shared" si="1187"/>
        <v/>
      </c>
      <c r="F1871" s="1040" t="str">
        <f t="shared" si="1188"/>
        <v/>
      </c>
      <c r="G1871" s="1041" t="str">
        <f t="shared" si="1189"/>
        <v/>
      </c>
      <c r="H1871" s="1042">
        <f t="shared" si="1191"/>
        <v>0</v>
      </c>
      <c r="I1871" s="1042">
        <f t="shared" si="1192"/>
        <v>0</v>
      </c>
      <c r="J1871" s="1042">
        <f t="shared" si="1190"/>
        <v>0</v>
      </c>
    </row>
    <row r="1872" spans="1:10" x14ac:dyDescent="0.25">
      <c r="A1872" s="1039"/>
      <c r="B1872" s="1039" t="str">
        <f t="shared" si="1184"/>
        <v/>
      </c>
      <c r="C1872" s="1039" t="str">
        <f t="shared" si="1185"/>
        <v/>
      </c>
      <c r="D1872" s="1040" t="str">
        <f t="shared" si="1186"/>
        <v/>
      </c>
      <c r="E1872" s="1041" t="str">
        <f t="shared" si="1187"/>
        <v/>
      </c>
      <c r="F1872" s="1040" t="str">
        <f t="shared" si="1188"/>
        <v/>
      </c>
      <c r="G1872" s="1041" t="str">
        <f t="shared" si="1189"/>
        <v/>
      </c>
      <c r="H1872" s="1042">
        <f t="shared" si="1191"/>
        <v>0</v>
      </c>
      <c r="I1872" s="1042">
        <f t="shared" si="1192"/>
        <v>0</v>
      </c>
      <c r="J1872" s="1042">
        <f t="shared" si="1190"/>
        <v>0</v>
      </c>
    </row>
    <row r="1873" spans="1:10" x14ac:dyDescent="0.25">
      <c r="A1873" s="1039"/>
      <c r="B1873" s="1039" t="str">
        <f t="shared" ref="B1873:B1936" si="1193">IFERROR(VLOOKUP(A1873,DB,2,FALSE),"")</f>
        <v/>
      </c>
      <c r="C1873" s="1039" t="str">
        <f t="shared" si="1185"/>
        <v/>
      </c>
      <c r="D1873" s="1040" t="str">
        <f t="shared" si="1186"/>
        <v/>
      </c>
      <c r="E1873" s="1041" t="str">
        <f t="shared" si="1187"/>
        <v/>
      </c>
      <c r="F1873" s="1040" t="str">
        <f t="shared" si="1188"/>
        <v/>
      </c>
      <c r="G1873" s="1041" t="str">
        <f t="shared" si="1189"/>
        <v/>
      </c>
      <c r="H1873" s="1042">
        <f t="shared" si="1191"/>
        <v>0</v>
      </c>
      <c r="I1873" s="1042">
        <f t="shared" si="1192"/>
        <v>0</v>
      </c>
      <c r="J1873" s="1042">
        <f t="shared" si="1190"/>
        <v>0</v>
      </c>
    </row>
    <row r="1874" spans="1:10" x14ac:dyDescent="0.25">
      <c r="A1874" s="1039"/>
      <c r="B1874" s="1039" t="str">
        <f t="shared" si="1193"/>
        <v/>
      </c>
      <c r="C1874" s="1039" t="str">
        <f t="shared" si="1185"/>
        <v/>
      </c>
      <c r="D1874" s="1040" t="str">
        <f t="shared" si="1186"/>
        <v/>
      </c>
      <c r="E1874" s="1041" t="str">
        <f t="shared" si="1187"/>
        <v/>
      </c>
      <c r="F1874" s="1040" t="str">
        <f t="shared" si="1188"/>
        <v/>
      </c>
      <c r="G1874" s="1041" t="str">
        <f t="shared" si="1189"/>
        <v/>
      </c>
      <c r="H1874" s="1042">
        <f t="shared" si="1191"/>
        <v>0</v>
      </c>
      <c r="I1874" s="1042">
        <f t="shared" si="1192"/>
        <v>0</v>
      </c>
      <c r="J1874" s="1042">
        <f t="shared" si="1190"/>
        <v>0</v>
      </c>
    </row>
    <row r="1875" spans="1:10" x14ac:dyDescent="0.25">
      <c r="A1875" s="1039"/>
      <c r="B1875" s="1039" t="str">
        <f t="shared" si="1193"/>
        <v/>
      </c>
      <c r="C1875" s="1039" t="str">
        <f t="shared" si="1185"/>
        <v/>
      </c>
      <c r="D1875" s="1040" t="str">
        <f t="shared" si="1186"/>
        <v/>
      </c>
      <c r="E1875" s="1041" t="str">
        <f t="shared" si="1187"/>
        <v/>
      </c>
      <c r="F1875" s="1040" t="str">
        <f t="shared" si="1188"/>
        <v/>
      </c>
      <c r="G1875" s="1041" t="str">
        <f t="shared" si="1189"/>
        <v/>
      </c>
      <c r="H1875" s="1042">
        <f t="shared" si="1191"/>
        <v>0</v>
      </c>
      <c r="I1875" s="1042">
        <f t="shared" si="1192"/>
        <v>0</v>
      </c>
      <c r="J1875" s="1042">
        <f t="shared" si="1190"/>
        <v>0</v>
      </c>
    </row>
    <row r="1876" spans="1:10" x14ac:dyDescent="0.25">
      <c r="A1876" s="1039"/>
      <c r="B1876" s="1039" t="str">
        <f t="shared" si="1193"/>
        <v/>
      </c>
      <c r="C1876" s="1039" t="str">
        <f t="shared" si="1185"/>
        <v/>
      </c>
      <c r="D1876" s="1040" t="str">
        <f t="shared" si="1186"/>
        <v/>
      </c>
      <c r="E1876" s="1041" t="str">
        <f t="shared" si="1187"/>
        <v/>
      </c>
      <c r="F1876" s="1040" t="str">
        <f t="shared" si="1188"/>
        <v/>
      </c>
      <c r="G1876" s="1041" t="str">
        <f t="shared" si="1189"/>
        <v/>
      </c>
      <c r="H1876" s="1042">
        <f t="shared" si="1191"/>
        <v>0</v>
      </c>
      <c r="I1876" s="1042">
        <f t="shared" si="1192"/>
        <v>0</v>
      </c>
      <c r="J1876" s="1042">
        <f t="shared" si="1190"/>
        <v>0</v>
      </c>
    </row>
    <row r="1877" spans="1:10" x14ac:dyDescent="0.25">
      <c r="A1877" s="1039"/>
      <c r="B1877" s="1039" t="str">
        <f t="shared" si="1193"/>
        <v/>
      </c>
      <c r="C1877" s="1039" t="str">
        <f t="shared" si="1185"/>
        <v/>
      </c>
      <c r="D1877" s="1040" t="str">
        <f t="shared" si="1186"/>
        <v/>
      </c>
      <c r="E1877" s="1041" t="str">
        <f t="shared" si="1187"/>
        <v/>
      </c>
      <c r="F1877" s="1040" t="str">
        <f t="shared" si="1188"/>
        <v/>
      </c>
      <c r="G1877" s="1041" t="str">
        <f t="shared" si="1189"/>
        <v/>
      </c>
      <c r="H1877" s="1042">
        <f t="shared" si="1191"/>
        <v>0</v>
      </c>
      <c r="I1877" s="1042">
        <f t="shared" si="1192"/>
        <v>0</v>
      </c>
      <c r="J1877" s="1042">
        <f t="shared" si="1190"/>
        <v>0</v>
      </c>
    </row>
    <row r="1878" spans="1:10" x14ac:dyDescent="0.25">
      <c r="A1878" s="1039"/>
      <c r="B1878" s="1039" t="str">
        <f t="shared" si="1193"/>
        <v/>
      </c>
      <c r="C1878" s="1039" t="str">
        <f t="shared" si="1185"/>
        <v/>
      </c>
      <c r="D1878" s="1040" t="str">
        <f t="shared" si="1186"/>
        <v/>
      </c>
      <c r="E1878" s="1041" t="str">
        <f t="shared" si="1187"/>
        <v/>
      </c>
      <c r="F1878" s="1040" t="str">
        <f t="shared" si="1188"/>
        <v/>
      </c>
      <c r="G1878" s="1041" t="str">
        <f t="shared" si="1189"/>
        <v/>
      </c>
      <c r="H1878" s="1042">
        <f t="shared" si="1191"/>
        <v>0</v>
      </c>
      <c r="I1878" s="1042">
        <f t="shared" si="1192"/>
        <v>0</v>
      </c>
      <c r="J1878" s="1042">
        <f t="shared" si="1190"/>
        <v>0</v>
      </c>
    </row>
    <row r="1879" spans="1:10" x14ac:dyDescent="0.25">
      <c r="A1879" s="1039"/>
      <c r="B1879" s="1039" t="str">
        <f t="shared" si="1193"/>
        <v/>
      </c>
      <c r="C1879" s="1039" t="str">
        <f t="shared" si="1185"/>
        <v/>
      </c>
      <c r="D1879" s="1040" t="str">
        <f t="shared" si="1186"/>
        <v/>
      </c>
      <c r="E1879" s="1041" t="str">
        <f t="shared" si="1187"/>
        <v/>
      </c>
      <c r="F1879" s="1040" t="str">
        <f t="shared" si="1188"/>
        <v/>
      </c>
      <c r="G1879" s="1041" t="str">
        <f t="shared" si="1189"/>
        <v/>
      </c>
      <c r="H1879" s="1042">
        <f t="shared" si="1191"/>
        <v>0</v>
      </c>
      <c r="I1879" s="1042">
        <f t="shared" si="1192"/>
        <v>0</v>
      </c>
      <c r="J1879" s="1042">
        <f t="shared" si="1190"/>
        <v>0</v>
      </c>
    </row>
    <row r="1880" spans="1:10" x14ac:dyDescent="0.25">
      <c r="A1880" s="1039"/>
      <c r="B1880" s="1039" t="str">
        <f t="shared" si="1193"/>
        <v/>
      </c>
      <c r="C1880" s="1039" t="str">
        <f t="shared" si="1185"/>
        <v/>
      </c>
      <c r="D1880" s="1040" t="str">
        <f t="shared" si="1186"/>
        <v/>
      </c>
      <c r="E1880" s="1041" t="str">
        <f t="shared" si="1187"/>
        <v/>
      </c>
      <c r="F1880" s="1040" t="str">
        <f t="shared" si="1188"/>
        <v/>
      </c>
      <c r="G1880" s="1041" t="str">
        <f t="shared" si="1189"/>
        <v/>
      </c>
      <c r="H1880" s="1042">
        <f t="shared" si="1191"/>
        <v>0</v>
      </c>
      <c r="I1880" s="1042">
        <f t="shared" si="1192"/>
        <v>0</v>
      </c>
      <c r="J1880" s="1042">
        <f t="shared" si="1190"/>
        <v>0</v>
      </c>
    </row>
    <row r="1881" spans="1:10" x14ac:dyDescent="0.25">
      <c r="A1881" s="1039"/>
      <c r="B1881" s="1039" t="str">
        <f t="shared" si="1193"/>
        <v/>
      </c>
      <c r="C1881" s="1039" t="str">
        <f t="shared" si="1185"/>
        <v/>
      </c>
      <c r="D1881" s="1040" t="str">
        <f t="shared" si="1186"/>
        <v/>
      </c>
      <c r="E1881" s="1041" t="str">
        <f t="shared" si="1187"/>
        <v/>
      </c>
      <c r="F1881" s="1040" t="str">
        <f t="shared" si="1188"/>
        <v/>
      </c>
      <c r="G1881" s="1041" t="str">
        <f t="shared" si="1189"/>
        <v/>
      </c>
      <c r="H1881" s="1042">
        <f t="shared" si="1191"/>
        <v>0</v>
      </c>
      <c r="I1881" s="1042">
        <f t="shared" si="1192"/>
        <v>0</v>
      </c>
      <c r="J1881" s="1042">
        <f t="shared" si="1190"/>
        <v>0</v>
      </c>
    </row>
    <row r="1882" spans="1:10" x14ac:dyDescent="0.25">
      <c r="A1882" s="1039"/>
      <c r="B1882" s="1039" t="str">
        <f t="shared" si="1193"/>
        <v/>
      </c>
      <c r="C1882" s="1039" t="str">
        <f t="shared" si="1185"/>
        <v/>
      </c>
      <c r="D1882" s="1040" t="str">
        <f t="shared" si="1186"/>
        <v/>
      </c>
      <c r="E1882" s="1041" t="str">
        <f t="shared" si="1187"/>
        <v/>
      </c>
      <c r="F1882" s="1040" t="str">
        <f t="shared" si="1188"/>
        <v/>
      </c>
      <c r="G1882" s="1041" t="str">
        <f t="shared" si="1189"/>
        <v/>
      </c>
      <c r="H1882" s="1042">
        <f t="shared" si="1191"/>
        <v>0</v>
      </c>
      <c r="I1882" s="1042">
        <f t="shared" si="1192"/>
        <v>0</v>
      </c>
      <c r="J1882" s="1042">
        <f t="shared" si="1190"/>
        <v>0</v>
      </c>
    </row>
    <row r="1883" spans="1:10" x14ac:dyDescent="0.25">
      <c r="A1883" s="1039"/>
      <c r="B1883" s="1039" t="str">
        <f t="shared" si="1193"/>
        <v/>
      </c>
      <c r="C1883" s="1039" t="str">
        <f t="shared" si="1185"/>
        <v/>
      </c>
      <c r="D1883" s="1040" t="str">
        <f t="shared" si="1186"/>
        <v/>
      </c>
      <c r="E1883" s="1041" t="str">
        <f t="shared" si="1187"/>
        <v/>
      </c>
      <c r="F1883" s="1040" t="str">
        <f t="shared" si="1188"/>
        <v/>
      </c>
      <c r="G1883" s="1041" t="str">
        <f t="shared" si="1189"/>
        <v/>
      </c>
      <c r="H1883" s="1042">
        <f t="shared" si="1191"/>
        <v>0</v>
      </c>
      <c r="I1883" s="1042">
        <f t="shared" si="1192"/>
        <v>0</v>
      </c>
      <c r="J1883" s="1042">
        <f t="shared" si="1190"/>
        <v>0</v>
      </c>
    </row>
    <row r="1884" spans="1:10" x14ac:dyDescent="0.25">
      <c r="A1884" s="1039"/>
      <c r="B1884" s="1039" t="str">
        <f t="shared" si="1193"/>
        <v/>
      </c>
      <c r="C1884" s="1039" t="str">
        <f t="shared" si="1185"/>
        <v/>
      </c>
      <c r="D1884" s="1040" t="str">
        <f t="shared" si="1186"/>
        <v/>
      </c>
      <c r="E1884" s="1041" t="str">
        <f t="shared" si="1187"/>
        <v/>
      </c>
      <c r="F1884" s="1040" t="str">
        <f t="shared" si="1188"/>
        <v/>
      </c>
      <c r="G1884" s="1041" t="str">
        <f t="shared" si="1189"/>
        <v/>
      </c>
      <c r="H1884" s="1042">
        <f t="shared" si="1191"/>
        <v>0</v>
      </c>
      <c r="I1884" s="1042">
        <f t="shared" si="1192"/>
        <v>0</v>
      </c>
      <c r="J1884" s="1042">
        <f t="shared" si="1190"/>
        <v>0</v>
      </c>
    </row>
    <row r="1885" spans="1:10" x14ac:dyDescent="0.25">
      <c r="A1885" s="1039"/>
      <c r="B1885" s="1039" t="str">
        <f t="shared" si="1193"/>
        <v/>
      </c>
      <c r="C1885" s="1039" t="str">
        <f t="shared" si="1185"/>
        <v/>
      </c>
      <c r="D1885" s="1040" t="str">
        <f t="shared" si="1186"/>
        <v/>
      </c>
      <c r="E1885" s="1041" t="str">
        <f t="shared" si="1187"/>
        <v/>
      </c>
      <c r="F1885" s="1040" t="str">
        <f t="shared" si="1188"/>
        <v/>
      </c>
      <c r="G1885" s="1041" t="str">
        <f t="shared" si="1189"/>
        <v/>
      </c>
      <c r="H1885" s="1042">
        <f t="shared" si="1191"/>
        <v>0</v>
      </c>
      <c r="I1885" s="1042">
        <f t="shared" si="1192"/>
        <v>0</v>
      </c>
      <c r="J1885" s="1042">
        <f t="shared" si="1190"/>
        <v>0</v>
      </c>
    </row>
    <row r="1886" spans="1:10" x14ac:dyDescent="0.25">
      <c r="A1886" s="1039"/>
      <c r="B1886" s="1039" t="str">
        <f t="shared" si="1193"/>
        <v/>
      </c>
      <c r="C1886" s="1039" t="str">
        <f t="shared" si="1185"/>
        <v/>
      </c>
      <c r="D1886" s="1040" t="str">
        <f t="shared" si="1186"/>
        <v/>
      </c>
      <c r="E1886" s="1041" t="str">
        <f t="shared" si="1187"/>
        <v/>
      </c>
      <c r="F1886" s="1040" t="str">
        <f t="shared" si="1188"/>
        <v/>
      </c>
      <c r="G1886" s="1041" t="str">
        <f t="shared" si="1189"/>
        <v/>
      </c>
      <c r="H1886" s="1042">
        <f t="shared" si="1191"/>
        <v>0</v>
      </c>
      <c r="I1886" s="1042">
        <f t="shared" si="1192"/>
        <v>0</v>
      </c>
      <c r="J1886" s="1042">
        <f t="shared" si="1190"/>
        <v>0</v>
      </c>
    </row>
    <row r="1887" spans="1:10" x14ac:dyDescent="0.25">
      <c r="A1887" s="1039"/>
      <c r="B1887" s="1039" t="str">
        <f t="shared" si="1193"/>
        <v/>
      </c>
      <c r="C1887" s="1039" t="str">
        <f t="shared" si="1185"/>
        <v/>
      </c>
      <c r="D1887" s="1040" t="str">
        <f t="shared" si="1186"/>
        <v/>
      </c>
      <c r="E1887" s="1041" t="str">
        <f t="shared" si="1187"/>
        <v/>
      </c>
      <c r="F1887" s="1040" t="str">
        <f t="shared" si="1188"/>
        <v/>
      </c>
      <c r="G1887" s="1041" t="str">
        <f t="shared" si="1189"/>
        <v/>
      </c>
      <c r="H1887" s="1042">
        <f t="shared" si="1191"/>
        <v>0</v>
      </c>
      <c r="I1887" s="1042">
        <f t="shared" si="1192"/>
        <v>0</v>
      </c>
      <c r="J1887" s="1042">
        <f t="shared" si="1190"/>
        <v>0</v>
      </c>
    </row>
    <row r="1888" spans="1:10" x14ac:dyDescent="0.25">
      <c r="A1888" s="1039"/>
      <c r="B1888" s="1039" t="str">
        <f t="shared" si="1193"/>
        <v/>
      </c>
      <c r="C1888" s="1039" t="str">
        <f t="shared" si="1185"/>
        <v/>
      </c>
      <c r="D1888" s="1040" t="str">
        <f t="shared" si="1186"/>
        <v/>
      </c>
      <c r="E1888" s="1041" t="str">
        <f t="shared" si="1187"/>
        <v/>
      </c>
      <c r="F1888" s="1040" t="str">
        <f t="shared" si="1188"/>
        <v/>
      </c>
      <c r="G1888" s="1041" t="str">
        <f t="shared" si="1189"/>
        <v/>
      </c>
      <c r="H1888" s="1042">
        <f t="shared" si="1191"/>
        <v>0</v>
      </c>
      <c r="I1888" s="1042">
        <f t="shared" si="1192"/>
        <v>0</v>
      </c>
      <c r="J1888" s="1042">
        <f t="shared" si="1190"/>
        <v>0</v>
      </c>
    </row>
    <row r="1889" spans="1:10" x14ac:dyDescent="0.25">
      <c r="A1889" s="1039"/>
      <c r="B1889" s="1039" t="str">
        <f t="shared" si="1193"/>
        <v/>
      </c>
      <c r="C1889" s="1039" t="str">
        <f t="shared" si="1185"/>
        <v/>
      </c>
      <c r="D1889" s="1040" t="str">
        <f t="shared" si="1186"/>
        <v/>
      </c>
      <c r="E1889" s="1041" t="str">
        <f t="shared" si="1187"/>
        <v/>
      </c>
      <c r="F1889" s="1040" t="str">
        <f t="shared" si="1188"/>
        <v/>
      </c>
      <c r="G1889" s="1041" t="str">
        <f t="shared" si="1189"/>
        <v/>
      </c>
      <c r="H1889" s="1042">
        <f t="shared" si="1191"/>
        <v>0</v>
      </c>
      <c r="I1889" s="1042">
        <f t="shared" si="1192"/>
        <v>0</v>
      </c>
      <c r="J1889" s="1042">
        <f t="shared" si="1190"/>
        <v>0</v>
      </c>
    </row>
    <row r="1890" spans="1:10" x14ac:dyDescent="0.25">
      <c r="A1890" s="1039"/>
      <c r="B1890" s="1039" t="str">
        <f t="shared" si="1193"/>
        <v/>
      </c>
      <c r="C1890" s="1039" t="str">
        <f t="shared" si="1185"/>
        <v/>
      </c>
      <c r="D1890" s="1040" t="str">
        <f t="shared" si="1186"/>
        <v/>
      </c>
      <c r="E1890" s="1041" t="str">
        <f t="shared" si="1187"/>
        <v/>
      </c>
      <c r="F1890" s="1040" t="str">
        <f t="shared" si="1188"/>
        <v/>
      </c>
      <c r="G1890" s="1041" t="str">
        <f t="shared" si="1189"/>
        <v/>
      </c>
      <c r="H1890" s="1042">
        <f t="shared" si="1191"/>
        <v>0</v>
      </c>
      <c r="I1890" s="1042">
        <f t="shared" si="1192"/>
        <v>0</v>
      </c>
      <c r="J1890" s="1042">
        <f t="shared" si="1190"/>
        <v>0</v>
      </c>
    </row>
    <row r="1891" spans="1:10" x14ac:dyDescent="0.25">
      <c r="A1891" s="1039"/>
      <c r="B1891" s="1039" t="str">
        <f t="shared" si="1193"/>
        <v/>
      </c>
      <c r="C1891" s="1039" t="str">
        <f t="shared" si="1185"/>
        <v/>
      </c>
      <c r="D1891" s="1040" t="str">
        <f t="shared" si="1186"/>
        <v/>
      </c>
      <c r="E1891" s="1041" t="str">
        <f t="shared" si="1187"/>
        <v/>
      </c>
      <c r="F1891" s="1040" t="str">
        <f t="shared" si="1188"/>
        <v/>
      </c>
      <c r="G1891" s="1041" t="str">
        <f t="shared" si="1189"/>
        <v/>
      </c>
      <c r="H1891" s="1042">
        <f t="shared" si="1191"/>
        <v>0</v>
      </c>
      <c r="I1891" s="1042">
        <f t="shared" si="1192"/>
        <v>0</v>
      </c>
      <c r="J1891" s="1042">
        <f t="shared" si="1190"/>
        <v>0</v>
      </c>
    </row>
    <row r="1892" spans="1:10" x14ac:dyDescent="0.25">
      <c r="A1892" s="1039"/>
      <c r="B1892" s="1039" t="str">
        <f t="shared" si="1193"/>
        <v/>
      </c>
      <c r="C1892" s="1039" t="str">
        <f t="shared" si="1185"/>
        <v/>
      </c>
      <c r="D1892" s="1040" t="str">
        <f t="shared" si="1186"/>
        <v/>
      </c>
      <c r="E1892" s="1041" t="str">
        <f t="shared" si="1187"/>
        <v/>
      </c>
      <c r="F1892" s="1040" t="str">
        <f t="shared" si="1188"/>
        <v/>
      </c>
      <c r="G1892" s="1041" t="str">
        <f t="shared" si="1189"/>
        <v/>
      </c>
      <c r="H1892" s="1042">
        <f t="shared" si="1191"/>
        <v>0</v>
      </c>
      <c r="I1892" s="1042">
        <f t="shared" si="1192"/>
        <v>0</v>
      </c>
      <c r="J1892" s="1042">
        <f t="shared" si="1190"/>
        <v>0</v>
      </c>
    </row>
    <row r="1893" spans="1:10" x14ac:dyDescent="0.25">
      <c r="A1893" s="1039"/>
      <c r="B1893" s="1039" t="str">
        <f t="shared" si="1193"/>
        <v/>
      </c>
      <c r="C1893" s="1039" t="str">
        <f t="shared" si="1185"/>
        <v/>
      </c>
      <c r="D1893" s="1040" t="str">
        <f t="shared" si="1186"/>
        <v/>
      </c>
      <c r="E1893" s="1041" t="str">
        <f t="shared" si="1187"/>
        <v/>
      </c>
      <c r="F1893" s="1040" t="str">
        <f t="shared" si="1188"/>
        <v/>
      </c>
      <c r="G1893" s="1041" t="str">
        <f t="shared" si="1189"/>
        <v/>
      </c>
      <c r="H1893" s="1042">
        <f t="shared" si="1191"/>
        <v>0</v>
      </c>
      <c r="I1893" s="1042">
        <f t="shared" si="1192"/>
        <v>0</v>
      </c>
      <c r="J1893" s="1042">
        <f t="shared" si="1190"/>
        <v>0</v>
      </c>
    </row>
    <row r="1894" spans="1:10" x14ac:dyDescent="0.25">
      <c r="A1894" s="1039"/>
      <c r="B1894" s="1039" t="str">
        <f t="shared" si="1193"/>
        <v/>
      </c>
      <c r="C1894" s="1039" t="str">
        <f t="shared" si="1185"/>
        <v/>
      </c>
      <c r="D1894" s="1040" t="str">
        <f t="shared" si="1186"/>
        <v/>
      </c>
      <c r="E1894" s="1041" t="str">
        <f t="shared" si="1187"/>
        <v/>
      </c>
      <c r="F1894" s="1040" t="str">
        <f t="shared" si="1188"/>
        <v/>
      </c>
      <c r="G1894" s="1041" t="str">
        <f t="shared" si="1189"/>
        <v/>
      </c>
      <c r="H1894" s="1042">
        <f t="shared" si="1191"/>
        <v>0</v>
      </c>
      <c r="I1894" s="1042">
        <f t="shared" si="1192"/>
        <v>0</v>
      </c>
      <c r="J1894" s="1042">
        <f t="shared" si="1190"/>
        <v>0</v>
      </c>
    </row>
    <row r="1895" spans="1:10" x14ac:dyDescent="0.25">
      <c r="A1895" s="1039"/>
      <c r="B1895" s="1039" t="str">
        <f t="shared" si="1193"/>
        <v/>
      </c>
      <c r="C1895" s="1039" t="str">
        <f t="shared" ref="C1895:C1958" si="1194">IFERROR(VLOOKUP(A1895,DB,4,FALSE),"")</f>
        <v/>
      </c>
      <c r="D1895" s="1040" t="str">
        <f t="shared" ref="D1895:D1958" si="1195">IFERROR(VLOOKUP(A1895,DB,5,FALSE),"")</f>
        <v/>
      </c>
      <c r="E1895" s="1041" t="str">
        <f t="shared" ref="E1895:E1958" si="1196">IFERROR(VLOOKUP(A1895,DB,6,FALSE),"")</f>
        <v/>
      </c>
      <c r="F1895" s="1040" t="str">
        <f t="shared" ref="F1895:F1958" si="1197">IFERROR(VLOOKUP(A1895,DB,7,FALSE),"")</f>
        <v/>
      </c>
      <c r="G1895" s="1041" t="str">
        <f t="shared" ref="G1895:G1958" si="1198">IFERROR(VLOOKUP(A1895,DB,3,FALSE),"")</f>
        <v/>
      </c>
      <c r="H1895" s="1042">
        <f t="shared" si="1191"/>
        <v>0</v>
      </c>
      <c r="I1895" s="1042">
        <f t="shared" si="1192"/>
        <v>0</v>
      </c>
      <c r="J1895" s="1042">
        <f t="shared" si="1190"/>
        <v>0</v>
      </c>
    </row>
    <row r="1896" spans="1:10" x14ac:dyDescent="0.25">
      <c r="A1896" s="1039"/>
      <c r="B1896" s="1039" t="str">
        <f t="shared" si="1193"/>
        <v/>
      </c>
      <c r="C1896" s="1039" t="str">
        <f t="shared" si="1194"/>
        <v/>
      </c>
      <c r="D1896" s="1040" t="str">
        <f t="shared" si="1195"/>
        <v/>
      </c>
      <c r="E1896" s="1041" t="str">
        <f t="shared" si="1196"/>
        <v/>
      </c>
      <c r="F1896" s="1040" t="str">
        <f t="shared" si="1197"/>
        <v/>
      </c>
      <c r="G1896" s="1041" t="str">
        <f t="shared" si="1198"/>
        <v/>
      </c>
      <c r="H1896" s="1042">
        <f t="shared" si="1191"/>
        <v>0</v>
      </c>
      <c r="I1896" s="1042">
        <f t="shared" si="1192"/>
        <v>0</v>
      </c>
      <c r="J1896" s="1042">
        <f t="shared" si="1190"/>
        <v>0</v>
      </c>
    </row>
    <row r="1897" spans="1:10" x14ac:dyDescent="0.25">
      <c r="A1897" s="1039"/>
      <c r="B1897" s="1039" t="str">
        <f t="shared" si="1193"/>
        <v/>
      </c>
      <c r="C1897" s="1039" t="str">
        <f t="shared" si="1194"/>
        <v/>
      </c>
      <c r="D1897" s="1040" t="str">
        <f t="shared" si="1195"/>
        <v/>
      </c>
      <c r="E1897" s="1041" t="str">
        <f t="shared" si="1196"/>
        <v/>
      </c>
      <c r="F1897" s="1040" t="str">
        <f t="shared" si="1197"/>
        <v/>
      </c>
      <c r="G1897" s="1041" t="str">
        <f t="shared" si="1198"/>
        <v/>
      </c>
      <c r="H1897" s="1042">
        <f t="shared" si="1191"/>
        <v>0</v>
      </c>
      <c r="I1897" s="1042">
        <f t="shared" si="1192"/>
        <v>0</v>
      </c>
      <c r="J1897" s="1042">
        <f t="shared" si="1190"/>
        <v>0</v>
      </c>
    </row>
    <row r="1898" spans="1:10" x14ac:dyDescent="0.25">
      <c r="A1898" s="1039"/>
      <c r="B1898" s="1039" t="str">
        <f t="shared" si="1193"/>
        <v/>
      </c>
      <c r="C1898" s="1039" t="str">
        <f t="shared" si="1194"/>
        <v/>
      </c>
      <c r="D1898" s="1040" t="str">
        <f t="shared" si="1195"/>
        <v/>
      </c>
      <c r="E1898" s="1041" t="str">
        <f t="shared" si="1196"/>
        <v/>
      </c>
      <c r="F1898" s="1040" t="str">
        <f t="shared" si="1197"/>
        <v/>
      </c>
      <c r="G1898" s="1041" t="str">
        <f t="shared" si="1198"/>
        <v/>
      </c>
      <c r="H1898" s="1042">
        <f t="shared" si="1191"/>
        <v>0</v>
      </c>
      <c r="I1898" s="1042">
        <f t="shared" si="1192"/>
        <v>0</v>
      </c>
      <c r="J1898" s="1042">
        <f t="shared" si="1190"/>
        <v>0</v>
      </c>
    </row>
    <row r="1899" spans="1:10" x14ac:dyDescent="0.25">
      <c r="A1899" s="1039"/>
      <c r="B1899" s="1039" t="str">
        <f t="shared" si="1193"/>
        <v/>
      </c>
      <c r="C1899" s="1039" t="str">
        <f t="shared" si="1194"/>
        <v/>
      </c>
      <c r="D1899" s="1040" t="str">
        <f t="shared" si="1195"/>
        <v/>
      </c>
      <c r="E1899" s="1041" t="str">
        <f t="shared" si="1196"/>
        <v/>
      </c>
      <c r="F1899" s="1040" t="str">
        <f t="shared" si="1197"/>
        <v/>
      </c>
      <c r="G1899" s="1041" t="str">
        <f t="shared" si="1198"/>
        <v/>
      </c>
      <c r="H1899" s="1042">
        <f t="shared" si="1191"/>
        <v>0</v>
      </c>
      <c r="I1899" s="1042">
        <f t="shared" si="1192"/>
        <v>0</v>
      </c>
      <c r="J1899" s="1042">
        <f t="shared" si="1190"/>
        <v>0</v>
      </c>
    </row>
    <row r="1900" spans="1:10" x14ac:dyDescent="0.25">
      <c r="A1900" s="1039"/>
      <c r="B1900" s="1039" t="str">
        <f t="shared" si="1193"/>
        <v/>
      </c>
      <c r="C1900" s="1039" t="str">
        <f t="shared" si="1194"/>
        <v/>
      </c>
      <c r="D1900" s="1040" t="str">
        <f t="shared" si="1195"/>
        <v/>
      </c>
      <c r="E1900" s="1041" t="str">
        <f t="shared" si="1196"/>
        <v/>
      </c>
      <c r="F1900" s="1040" t="str">
        <f t="shared" si="1197"/>
        <v/>
      </c>
      <c r="G1900" s="1041" t="str">
        <f t="shared" si="1198"/>
        <v/>
      </c>
      <c r="H1900" s="1042">
        <f t="shared" si="1191"/>
        <v>0</v>
      </c>
      <c r="I1900" s="1042">
        <f t="shared" si="1192"/>
        <v>0</v>
      </c>
      <c r="J1900" s="1042">
        <f t="shared" si="1190"/>
        <v>0</v>
      </c>
    </row>
    <row r="1901" spans="1:10" x14ac:dyDescent="0.25">
      <c r="A1901" s="1039"/>
      <c r="B1901" s="1039" t="str">
        <f t="shared" si="1193"/>
        <v/>
      </c>
      <c r="C1901" s="1039" t="str">
        <f t="shared" si="1194"/>
        <v/>
      </c>
      <c r="D1901" s="1040" t="str">
        <f t="shared" si="1195"/>
        <v/>
      </c>
      <c r="E1901" s="1041" t="str">
        <f t="shared" si="1196"/>
        <v/>
      </c>
      <c r="F1901" s="1040" t="str">
        <f t="shared" si="1197"/>
        <v/>
      </c>
      <c r="G1901" s="1041" t="str">
        <f t="shared" si="1198"/>
        <v/>
      </c>
      <c r="H1901" s="1042">
        <f t="shared" si="1191"/>
        <v>0</v>
      </c>
      <c r="I1901" s="1042">
        <f t="shared" si="1192"/>
        <v>0</v>
      </c>
      <c r="J1901" s="1042">
        <f t="shared" ref="J1901:J1964" si="1199">I1901+H1901</f>
        <v>0</v>
      </c>
    </row>
    <row r="1902" spans="1:10" x14ac:dyDescent="0.25">
      <c r="A1902" s="1039"/>
      <c r="B1902" s="1039" t="str">
        <f t="shared" si="1193"/>
        <v/>
      </c>
      <c r="C1902" s="1039" t="str">
        <f t="shared" si="1194"/>
        <v/>
      </c>
      <c r="D1902" s="1040" t="str">
        <f t="shared" si="1195"/>
        <v/>
      </c>
      <c r="E1902" s="1041" t="str">
        <f t="shared" si="1196"/>
        <v/>
      </c>
      <c r="F1902" s="1040" t="str">
        <f t="shared" si="1197"/>
        <v/>
      </c>
      <c r="G1902" s="1041" t="str">
        <f t="shared" si="1198"/>
        <v/>
      </c>
      <c r="H1902" s="1042">
        <f t="shared" ref="H1902:H1965" si="1200">IF(F1902="AKTIF",6450000,IF(F1902="CUTI",3000000,0))</f>
        <v>0</v>
      </c>
      <c r="I1902" s="1042">
        <f t="shared" ref="I1902:I1965" si="1201">IF(F1902="AKTIF",3750000,IF(F1902="CUTI",3000000,0))</f>
        <v>0</v>
      </c>
      <c r="J1902" s="1042">
        <f t="shared" si="1199"/>
        <v>0</v>
      </c>
    </row>
    <row r="1903" spans="1:10" x14ac:dyDescent="0.25">
      <c r="A1903" s="1039"/>
      <c r="B1903" s="1039" t="str">
        <f t="shared" si="1193"/>
        <v/>
      </c>
      <c r="C1903" s="1039" t="str">
        <f t="shared" si="1194"/>
        <v/>
      </c>
      <c r="D1903" s="1040" t="str">
        <f t="shared" si="1195"/>
        <v/>
      </c>
      <c r="E1903" s="1041" t="str">
        <f t="shared" si="1196"/>
        <v/>
      </c>
      <c r="F1903" s="1040" t="str">
        <f t="shared" si="1197"/>
        <v/>
      </c>
      <c r="G1903" s="1041" t="str">
        <f t="shared" si="1198"/>
        <v/>
      </c>
      <c r="H1903" s="1042">
        <f t="shared" si="1200"/>
        <v>0</v>
      </c>
      <c r="I1903" s="1042">
        <f t="shared" si="1201"/>
        <v>0</v>
      </c>
      <c r="J1903" s="1042">
        <f t="shared" si="1199"/>
        <v>0</v>
      </c>
    </row>
    <row r="1904" spans="1:10" x14ac:dyDescent="0.25">
      <c r="A1904" s="1039"/>
      <c r="B1904" s="1039" t="str">
        <f t="shared" si="1193"/>
        <v/>
      </c>
      <c r="C1904" s="1039" t="str">
        <f t="shared" si="1194"/>
        <v/>
      </c>
      <c r="D1904" s="1040" t="str">
        <f t="shared" si="1195"/>
        <v/>
      </c>
      <c r="E1904" s="1041" t="str">
        <f t="shared" si="1196"/>
        <v/>
      </c>
      <c r="F1904" s="1040" t="str">
        <f t="shared" si="1197"/>
        <v/>
      </c>
      <c r="G1904" s="1041" t="str">
        <f t="shared" si="1198"/>
        <v/>
      </c>
      <c r="H1904" s="1042">
        <f t="shared" si="1200"/>
        <v>0</v>
      </c>
      <c r="I1904" s="1042">
        <f t="shared" si="1201"/>
        <v>0</v>
      </c>
      <c r="J1904" s="1042">
        <f t="shared" si="1199"/>
        <v>0</v>
      </c>
    </row>
    <row r="1905" spans="1:10" x14ac:dyDescent="0.25">
      <c r="A1905" s="1039"/>
      <c r="B1905" s="1039" t="str">
        <f t="shared" si="1193"/>
        <v/>
      </c>
      <c r="C1905" s="1039" t="str">
        <f t="shared" si="1194"/>
        <v/>
      </c>
      <c r="D1905" s="1040" t="str">
        <f t="shared" si="1195"/>
        <v/>
      </c>
      <c r="E1905" s="1041" t="str">
        <f t="shared" si="1196"/>
        <v/>
      </c>
      <c r="F1905" s="1040" t="str">
        <f t="shared" si="1197"/>
        <v/>
      </c>
      <c r="G1905" s="1041" t="str">
        <f t="shared" si="1198"/>
        <v/>
      </c>
      <c r="H1905" s="1042">
        <f t="shared" si="1200"/>
        <v>0</v>
      </c>
      <c r="I1905" s="1042">
        <f t="shared" si="1201"/>
        <v>0</v>
      </c>
      <c r="J1905" s="1042">
        <f t="shared" si="1199"/>
        <v>0</v>
      </c>
    </row>
    <row r="1906" spans="1:10" x14ac:dyDescent="0.25">
      <c r="A1906" s="1039"/>
      <c r="B1906" s="1039" t="str">
        <f t="shared" si="1193"/>
        <v/>
      </c>
      <c r="C1906" s="1039" t="str">
        <f t="shared" si="1194"/>
        <v/>
      </c>
      <c r="D1906" s="1040" t="str">
        <f t="shared" si="1195"/>
        <v/>
      </c>
      <c r="E1906" s="1041" t="str">
        <f t="shared" si="1196"/>
        <v/>
      </c>
      <c r="F1906" s="1040" t="str">
        <f t="shared" si="1197"/>
        <v/>
      </c>
      <c r="G1906" s="1041" t="str">
        <f t="shared" si="1198"/>
        <v/>
      </c>
      <c r="H1906" s="1042">
        <f t="shared" si="1200"/>
        <v>0</v>
      </c>
      <c r="I1906" s="1042">
        <f t="shared" si="1201"/>
        <v>0</v>
      </c>
      <c r="J1906" s="1042">
        <f t="shared" si="1199"/>
        <v>0</v>
      </c>
    </row>
    <row r="1907" spans="1:10" x14ac:dyDescent="0.25">
      <c r="A1907" s="1039"/>
      <c r="B1907" s="1039" t="str">
        <f t="shared" si="1193"/>
        <v/>
      </c>
      <c r="C1907" s="1039" t="str">
        <f t="shared" si="1194"/>
        <v/>
      </c>
      <c r="D1907" s="1040" t="str">
        <f t="shared" si="1195"/>
        <v/>
      </c>
      <c r="E1907" s="1041" t="str">
        <f t="shared" si="1196"/>
        <v/>
      </c>
      <c r="F1907" s="1040" t="str">
        <f t="shared" si="1197"/>
        <v/>
      </c>
      <c r="G1907" s="1041" t="str">
        <f t="shared" si="1198"/>
        <v/>
      </c>
      <c r="H1907" s="1042">
        <f t="shared" si="1200"/>
        <v>0</v>
      </c>
      <c r="I1907" s="1042">
        <f t="shared" si="1201"/>
        <v>0</v>
      </c>
      <c r="J1907" s="1042">
        <f t="shared" si="1199"/>
        <v>0</v>
      </c>
    </row>
    <row r="1908" spans="1:10" x14ac:dyDescent="0.25">
      <c r="A1908" s="1039"/>
      <c r="B1908" s="1039" t="str">
        <f t="shared" si="1193"/>
        <v/>
      </c>
      <c r="C1908" s="1039" t="str">
        <f t="shared" si="1194"/>
        <v/>
      </c>
      <c r="D1908" s="1040" t="str">
        <f t="shared" si="1195"/>
        <v/>
      </c>
      <c r="E1908" s="1041" t="str">
        <f t="shared" si="1196"/>
        <v/>
      </c>
      <c r="F1908" s="1040" t="str">
        <f t="shared" si="1197"/>
        <v/>
      </c>
      <c r="G1908" s="1041" t="str">
        <f t="shared" si="1198"/>
        <v/>
      </c>
      <c r="H1908" s="1042">
        <f t="shared" si="1200"/>
        <v>0</v>
      </c>
      <c r="I1908" s="1042">
        <f t="shared" si="1201"/>
        <v>0</v>
      </c>
      <c r="J1908" s="1042">
        <f t="shared" si="1199"/>
        <v>0</v>
      </c>
    </row>
    <row r="1909" spans="1:10" x14ac:dyDescent="0.25">
      <c r="A1909" s="1039"/>
      <c r="B1909" s="1039" t="str">
        <f t="shared" si="1193"/>
        <v/>
      </c>
      <c r="C1909" s="1039" t="str">
        <f t="shared" si="1194"/>
        <v/>
      </c>
      <c r="D1909" s="1040" t="str">
        <f t="shared" si="1195"/>
        <v/>
      </c>
      <c r="E1909" s="1041" t="str">
        <f t="shared" si="1196"/>
        <v/>
      </c>
      <c r="F1909" s="1040" t="str">
        <f t="shared" si="1197"/>
        <v/>
      </c>
      <c r="G1909" s="1041" t="str">
        <f t="shared" si="1198"/>
        <v/>
      </c>
      <c r="H1909" s="1042">
        <f t="shared" si="1200"/>
        <v>0</v>
      </c>
      <c r="I1909" s="1042">
        <f t="shared" si="1201"/>
        <v>0</v>
      </c>
      <c r="J1909" s="1042">
        <f t="shared" si="1199"/>
        <v>0</v>
      </c>
    </row>
    <row r="1910" spans="1:10" x14ac:dyDescent="0.25">
      <c r="A1910" s="1039"/>
      <c r="B1910" s="1039" t="str">
        <f t="shared" si="1193"/>
        <v/>
      </c>
      <c r="C1910" s="1039" t="str">
        <f t="shared" si="1194"/>
        <v/>
      </c>
      <c r="D1910" s="1040" t="str">
        <f t="shared" si="1195"/>
        <v/>
      </c>
      <c r="E1910" s="1041" t="str">
        <f t="shared" si="1196"/>
        <v/>
      </c>
      <c r="F1910" s="1040" t="str">
        <f t="shared" si="1197"/>
        <v/>
      </c>
      <c r="G1910" s="1041" t="str">
        <f t="shared" si="1198"/>
        <v/>
      </c>
      <c r="H1910" s="1042">
        <f t="shared" si="1200"/>
        <v>0</v>
      </c>
      <c r="I1910" s="1042">
        <f t="shared" si="1201"/>
        <v>0</v>
      </c>
      <c r="J1910" s="1042">
        <f t="shared" si="1199"/>
        <v>0</v>
      </c>
    </row>
    <row r="1911" spans="1:10" x14ac:dyDescent="0.25">
      <c r="A1911" s="1039"/>
      <c r="B1911" s="1039" t="str">
        <f t="shared" si="1193"/>
        <v/>
      </c>
      <c r="C1911" s="1039" t="str">
        <f t="shared" si="1194"/>
        <v/>
      </c>
      <c r="D1911" s="1040" t="str">
        <f t="shared" si="1195"/>
        <v/>
      </c>
      <c r="E1911" s="1041" t="str">
        <f t="shared" si="1196"/>
        <v/>
      </c>
      <c r="F1911" s="1040" t="str">
        <f t="shared" si="1197"/>
        <v/>
      </c>
      <c r="G1911" s="1041" t="str">
        <f t="shared" si="1198"/>
        <v/>
      </c>
      <c r="H1911" s="1042">
        <f t="shared" si="1200"/>
        <v>0</v>
      </c>
      <c r="I1911" s="1042">
        <f t="shared" si="1201"/>
        <v>0</v>
      </c>
      <c r="J1911" s="1042">
        <f t="shared" si="1199"/>
        <v>0</v>
      </c>
    </row>
    <row r="1912" spans="1:10" x14ac:dyDescent="0.25">
      <c r="A1912" s="1039"/>
      <c r="B1912" s="1039" t="str">
        <f t="shared" si="1193"/>
        <v/>
      </c>
      <c r="C1912" s="1039" t="str">
        <f t="shared" si="1194"/>
        <v/>
      </c>
      <c r="D1912" s="1040" t="str">
        <f t="shared" si="1195"/>
        <v/>
      </c>
      <c r="E1912" s="1041" t="str">
        <f t="shared" si="1196"/>
        <v/>
      </c>
      <c r="F1912" s="1040" t="str">
        <f t="shared" si="1197"/>
        <v/>
      </c>
      <c r="G1912" s="1041" t="str">
        <f t="shared" si="1198"/>
        <v/>
      </c>
      <c r="H1912" s="1042">
        <f t="shared" si="1200"/>
        <v>0</v>
      </c>
      <c r="I1912" s="1042">
        <f t="shared" si="1201"/>
        <v>0</v>
      </c>
      <c r="J1912" s="1042">
        <f t="shared" si="1199"/>
        <v>0</v>
      </c>
    </row>
    <row r="1913" spans="1:10" x14ac:dyDescent="0.25">
      <c r="A1913" s="1039"/>
      <c r="B1913" s="1039" t="str">
        <f t="shared" si="1193"/>
        <v/>
      </c>
      <c r="C1913" s="1039" t="str">
        <f t="shared" si="1194"/>
        <v/>
      </c>
      <c r="D1913" s="1040" t="str">
        <f t="shared" si="1195"/>
        <v/>
      </c>
      <c r="E1913" s="1041" t="str">
        <f t="shared" si="1196"/>
        <v/>
      </c>
      <c r="F1913" s="1040" t="str">
        <f t="shared" si="1197"/>
        <v/>
      </c>
      <c r="G1913" s="1041" t="str">
        <f t="shared" si="1198"/>
        <v/>
      </c>
      <c r="H1913" s="1042">
        <f t="shared" si="1200"/>
        <v>0</v>
      </c>
      <c r="I1913" s="1042">
        <f t="shared" si="1201"/>
        <v>0</v>
      </c>
      <c r="J1913" s="1042">
        <f t="shared" si="1199"/>
        <v>0</v>
      </c>
    </row>
    <row r="1914" spans="1:10" x14ac:dyDescent="0.25">
      <c r="A1914" s="1039"/>
      <c r="B1914" s="1039" t="str">
        <f t="shared" si="1193"/>
        <v/>
      </c>
      <c r="C1914" s="1039" t="str">
        <f t="shared" si="1194"/>
        <v/>
      </c>
      <c r="D1914" s="1040" t="str">
        <f t="shared" si="1195"/>
        <v/>
      </c>
      <c r="E1914" s="1041" t="str">
        <f t="shared" si="1196"/>
        <v/>
      </c>
      <c r="F1914" s="1040" t="str">
        <f t="shared" si="1197"/>
        <v/>
      </c>
      <c r="G1914" s="1041" t="str">
        <f t="shared" si="1198"/>
        <v/>
      </c>
      <c r="H1914" s="1042">
        <f t="shared" si="1200"/>
        <v>0</v>
      </c>
      <c r="I1914" s="1042">
        <f t="shared" si="1201"/>
        <v>0</v>
      </c>
      <c r="J1914" s="1042">
        <f t="shared" si="1199"/>
        <v>0</v>
      </c>
    </row>
    <row r="1915" spans="1:10" x14ac:dyDescent="0.25">
      <c r="A1915" s="1039"/>
      <c r="B1915" s="1039" t="str">
        <f t="shared" si="1193"/>
        <v/>
      </c>
      <c r="C1915" s="1039" t="str">
        <f t="shared" si="1194"/>
        <v/>
      </c>
      <c r="D1915" s="1040" t="str">
        <f t="shared" si="1195"/>
        <v/>
      </c>
      <c r="E1915" s="1041" t="str">
        <f t="shared" si="1196"/>
        <v/>
      </c>
      <c r="F1915" s="1040" t="str">
        <f t="shared" si="1197"/>
        <v/>
      </c>
      <c r="G1915" s="1041" t="str">
        <f t="shared" si="1198"/>
        <v/>
      </c>
      <c r="H1915" s="1042">
        <f t="shared" si="1200"/>
        <v>0</v>
      </c>
      <c r="I1915" s="1042">
        <f t="shared" si="1201"/>
        <v>0</v>
      </c>
      <c r="J1915" s="1042">
        <f t="shared" si="1199"/>
        <v>0</v>
      </c>
    </row>
    <row r="1916" spans="1:10" x14ac:dyDescent="0.25">
      <c r="A1916" s="1039"/>
      <c r="B1916" s="1039" t="str">
        <f t="shared" si="1193"/>
        <v/>
      </c>
      <c r="C1916" s="1039" t="str">
        <f t="shared" si="1194"/>
        <v/>
      </c>
      <c r="D1916" s="1040" t="str">
        <f t="shared" si="1195"/>
        <v/>
      </c>
      <c r="E1916" s="1041" t="str">
        <f t="shared" si="1196"/>
        <v/>
      </c>
      <c r="F1916" s="1040" t="str">
        <f t="shared" si="1197"/>
        <v/>
      </c>
      <c r="G1916" s="1041" t="str">
        <f t="shared" si="1198"/>
        <v/>
      </c>
      <c r="H1916" s="1042">
        <f t="shared" si="1200"/>
        <v>0</v>
      </c>
      <c r="I1916" s="1042">
        <f t="shared" si="1201"/>
        <v>0</v>
      </c>
      <c r="J1916" s="1042">
        <f t="shared" si="1199"/>
        <v>0</v>
      </c>
    </row>
    <row r="1917" spans="1:10" x14ac:dyDescent="0.25">
      <c r="A1917" s="1039"/>
      <c r="B1917" s="1039" t="str">
        <f t="shared" si="1193"/>
        <v/>
      </c>
      <c r="C1917" s="1039" t="str">
        <f t="shared" si="1194"/>
        <v/>
      </c>
      <c r="D1917" s="1040" t="str">
        <f t="shared" si="1195"/>
        <v/>
      </c>
      <c r="E1917" s="1041" t="str">
        <f t="shared" si="1196"/>
        <v/>
      </c>
      <c r="F1917" s="1040" t="str">
        <f t="shared" si="1197"/>
        <v/>
      </c>
      <c r="G1917" s="1041" t="str">
        <f t="shared" si="1198"/>
        <v/>
      </c>
      <c r="H1917" s="1042">
        <f t="shared" si="1200"/>
        <v>0</v>
      </c>
      <c r="I1917" s="1042">
        <f t="shared" si="1201"/>
        <v>0</v>
      </c>
      <c r="J1917" s="1042">
        <f t="shared" si="1199"/>
        <v>0</v>
      </c>
    </row>
    <row r="1918" spans="1:10" x14ac:dyDescent="0.25">
      <c r="A1918" s="1039"/>
      <c r="B1918" s="1039" t="str">
        <f t="shared" si="1193"/>
        <v/>
      </c>
      <c r="C1918" s="1039" t="str">
        <f t="shared" si="1194"/>
        <v/>
      </c>
      <c r="D1918" s="1040" t="str">
        <f t="shared" si="1195"/>
        <v/>
      </c>
      <c r="E1918" s="1041" t="str">
        <f t="shared" si="1196"/>
        <v/>
      </c>
      <c r="F1918" s="1040" t="str">
        <f t="shared" si="1197"/>
        <v/>
      </c>
      <c r="G1918" s="1041" t="str">
        <f t="shared" si="1198"/>
        <v/>
      </c>
      <c r="H1918" s="1042">
        <f t="shared" si="1200"/>
        <v>0</v>
      </c>
      <c r="I1918" s="1042">
        <f t="shared" si="1201"/>
        <v>0</v>
      </c>
      <c r="J1918" s="1042">
        <f t="shared" si="1199"/>
        <v>0</v>
      </c>
    </row>
    <row r="1919" spans="1:10" x14ac:dyDescent="0.25">
      <c r="A1919" s="1039"/>
      <c r="B1919" s="1039" t="str">
        <f t="shared" si="1193"/>
        <v/>
      </c>
      <c r="C1919" s="1039" t="str">
        <f t="shared" si="1194"/>
        <v/>
      </c>
      <c r="D1919" s="1040" t="str">
        <f t="shared" si="1195"/>
        <v/>
      </c>
      <c r="E1919" s="1041" t="str">
        <f t="shared" si="1196"/>
        <v/>
      </c>
      <c r="F1919" s="1040" t="str">
        <f t="shared" si="1197"/>
        <v/>
      </c>
      <c r="G1919" s="1041" t="str">
        <f t="shared" si="1198"/>
        <v/>
      </c>
      <c r="H1919" s="1042">
        <f t="shared" si="1200"/>
        <v>0</v>
      </c>
      <c r="I1919" s="1042">
        <f t="shared" si="1201"/>
        <v>0</v>
      </c>
      <c r="J1919" s="1042">
        <f t="shared" si="1199"/>
        <v>0</v>
      </c>
    </row>
    <row r="1920" spans="1:10" x14ac:dyDescent="0.25">
      <c r="A1920" s="1039"/>
      <c r="B1920" s="1039" t="str">
        <f t="shared" si="1193"/>
        <v/>
      </c>
      <c r="C1920" s="1039" t="str">
        <f t="shared" si="1194"/>
        <v/>
      </c>
      <c r="D1920" s="1040" t="str">
        <f t="shared" si="1195"/>
        <v/>
      </c>
      <c r="E1920" s="1041" t="str">
        <f t="shared" si="1196"/>
        <v/>
      </c>
      <c r="F1920" s="1040" t="str">
        <f t="shared" si="1197"/>
        <v/>
      </c>
      <c r="G1920" s="1041" t="str">
        <f t="shared" si="1198"/>
        <v/>
      </c>
      <c r="H1920" s="1042">
        <f t="shared" si="1200"/>
        <v>0</v>
      </c>
      <c r="I1920" s="1042">
        <f t="shared" si="1201"/>
        <v>0</v>
      </c>
      <c r="J1920" s="1042">
        <f t="shared" si="1199"/>
        <v>0</v>
      </c>
    </row>
    <row r="1921" spans="1:10" x14ac:dyDescent="0.25">
      <c r="A1921" s="1039"/>
      <c r="B1921" s="1039" t="str">
        <f t="shared" si="1193"/>
        <v/>
      </c>
      <c r="C1921" s="1039" t="str">
        <f t="shared" si="1194"/>
        <v/>
      </c>
      <c r="D1921" s="1040" t="str">
        <f t="shared" si="1195"/>
        <v/>
      </c>
      <c r="E1921" s="1041" t="str">
        <f t="shared" si="1196"/>
        <v/>
      </c>
      <c r="F1921" s="1040" t="str">
        <f t="shared" si="1197"/>
        <v/>
      </c>
      <c r="G1921" s="1041" t="str">
        <f t="shared" si="1198"/>
        <v/>
      </c>
      <c r="H1921" s="1042">
        <f t="shared" si="1200"/>
        <v>0</v>
      </c>
      <c r="I1921" s="1042">
        <f t="shared" si="1201"/>
        <v>0</v>
      </c>
      <c r="J1921" s="1042">
        <f t="shared" si="1199"/>
        <v>0</v>
      </c>
    </row>
    <row r="1922" spans="1:10" x14ac:dyDescent="0.25">
      <c r="A1922" s="1039"/>
      <c r="B1922" s="1039" t="str">
        <f t="shared" si="1193"/>
        <v/>
      </c>
      <c r="C1922" s="1039" t="str">
        <f t="shared" si="1194"/>
        <v/>
      </c>
      <c r="D1922" s="1040" t="str">
        <f t="shared" si="1195"/>
        <v/>
      </c>
      <c r="E1922" s="1041" t="str">
        <f t="shared" si="1196"/>
        <v/>
      </c>
      <c r="F1922" s="1040" t="str">
        <f t="shared" si="1197"/>
        <v/>
      </c>
      <c r="G1922" s="1041" t="str">
        <f t="shared" si="1198"/>
        <v/>
      </c>
      <c r="H1922" s="1042">
        <f t="shared" si="1200"/>
        <v>0</v>
      </c>
      <c r="I1922" s="1042">
        <f t="shared" si="1201"/>
        <v>0</v>
      </c>
      <c r="J1922" s="1042">
        <f t="shared" si="1199"/>
        <v>0</v>
      </c>
    </row>
    <row r="1923" spans="1:10" x14ac:dyDescent="0.25">
      <c r="A1923" s="1039"/>
      <c r="B1923" s="1039" t="str">
        <f t="shared" si="1193"/>
        <v/>
      </c>
      <c r="C1923" s="1039" t="str">
        <f t="shared" si="1194"/>
        <v/>
      </c>
      <c r="D1923" s="1040" t="str">
        <f t="shared" si="1195"/>
        <v/>
      </c>
      <c r="E1923" s="1041" t="str">
        <f t="shared" si="1196"/>
        <v/>
      </c>
      <c r="F1923" s="1040" t="str">
        <f t="shared" si="1197"/>
        <v/>
      </c>
      <c r="G1923" s="1041" t="str">
        <f t="shared" si="1198"/>
        <v/>
      </c>
      <c r="H1923" s="1042">
        <f t="shared" si="1200"/>
        <v>0</v>
      </c>
      <c r="I1923" s="1042">
        <f t="shared" si="1201"/>
        <v>0</v>
      </c>
      <c r="J1923" s="1042">
        <f t="shared" si="1199"/>
        <v>0</v>
      </c>
    </row>
    <row r="1924" spans="1:10" x14ac:dyDescent="0.25">
      <c r="A1924" s="1039"/>
      <c r="B1924" s="1039" t="str">
        <f t="shared" si="1193"/>
        <v/>
      </c>
      <c r="C1924" s="1039" t="str">
        <f t="shared" si="1194"/>
        <v/>
      </c>
      <c r="D1924" s="1040" t="str">
        <f t="shared" si="1195"/>
        <v/>
      </c>
      <c r="E1924" s="1041" t="str">
        <f t="shared" si="1196"/>
        <v/>
      </c>
      <c r="F1924" s="1040" t="str">
        <f t="shared" si="1197"/>
        <v/>
      </c>
      <c r="G1924" s="1041" t="str">
        <f t="shared" si="1198"/>
        <v/>
      </c>
      <c r="H1924" s="1042">
        <f t="shared" si="1200"/>
        <v>0</v>
      </c>
      <c r="I1924" s="1042">
        <f t="shared" si="1201"/>
        <v>0</v>
      </c>
      <c r="J1924" s="1042">
        <f t="shared" si="1199"/>
        <v>0</v>
      </c>
    </row>
    <row r="1925" spans="1:10" x14ac:dyDescent="0.25">
      <c r="A1925" s="1039"/>
      <c r="B1925" s="1039" t="str">
        <f t="shared" si="1193"/>
        <v/>
      </c>
      <c r="C1925" s="1039" t="str">
        <f t="shared" si="1194"/>
        <v/>
      </c>
      <c r="D1925" s="1040" t="str">
        <f t="shared" si="1195"/>
        <v/>
      </c>
      <c r="E1925" s="1041" t="str">
        <f t="shared" si="1196"/>
        <v/>
      </c>
      <c r="F1925" s="1040" t="str">
        <f t="shared" si="1197"/>
        <v/>
      </c>
      <c r="G1925" s="1041" t="str">
        <f t="shared" si="1198"/>
        <v/>
      </c>
      <c r="H1925" s="1042">
        <f t="shared" si="1200"/>
        <v>0</v>
      </c>
      <c r="I1925" s="1042">
        <f t="shared" si="1201"/>
        <v>0</v>
      </c>
      <c r="J1925" s="1042">
        <f t="shared" si="1199"/>
        <v>0</v>
      </c>
    </row>
    <row r="1926" spans="1:10" x14ac:dyDescent="0.25">
      <c r="A1926" s="1039"/>
      <c r="B1926" s="1039" t="str">
        <f t="shared" si="1193"/>
        <v/>
      </c>
      <c r="C1926" s="1039" t="str">
        <f t="shared" si="1194"/>
        <v/>
      </c>
      <c r="D1926" s="1040" t="str">
        <f t="shared" si="1195"/>
        <v/>
      </c>
      <c r="E1926" s="1041" t="str">
        <f t="shared" si="1196"/>
        <v/>
      </c>
      <c r="F1926" s="1040" t="str">
        <f t="shared" si="1197"/>
        <v/>
      </c>
      <c r="G1926" s="1041" t="str">
        <f t="shared" si="1198"/>
        <v/>
      </c>
      <c r="H1926" s="1042">
        <f t="shared" si="1200"/>
        <v>0</v>
      </c>
      <c r="I1926" s="1042">
        <f t="shared" si="1201"/>
        <v>0</v>
      </c>
      <c r="J1926" s="1042">
        <f t="shared" si="1199"/>
        <v>0</v>
      </c>
    </row>
    <row r="1927" spans="1:10" x14ac:dyDescent="0.25">
      <c r="A1927" s="1039"/>
      <c r="B1927" s="1039" t="str">
        <f t="shared" si="1193"/>
        <v/>
      </c>
      <c r="C1927" s="1039" t="str">
        <f t="shared" si="1194"/>
        <v/>
      </c>
      <c r="D1927" s="1040" t="str">
        <f t="shared" si="1195"/>
        <v/>
      </c>
      <c r="E1927" s="1041" t="str">
        <f t="shared" si="1196"/>
        <v/>
      </c>
      <c r="F1927" s="1040" t="str">
        <f t="shared" si="1197"/>
        <v/>
      </c>
      <c r="G1927" s="1041" t="str">
        <f t="shared" si="1198"/>
        <v/>
      </c>
      <c r="H1927" s="1042">
        <f t="shared" si="1200"/>
        <v>0</v>
      </c>
      <c r="I1927" s="1042">
        <f t="shared" si="1201"/>
        <v>0</v>
      </c>
      <c r="J1927" s="1042">
        <f t="shared" si="1199"/>
        <v>0</v>
      </c>
    </row>
    <row r="1928" spans="1:10" x14ac:dyDescent="0.25">
      <c r="A1928" s="1039"/>
      <c r="B1928" s="1039" t="str">
        <f t="shared" si="1193"/>
        <v/>
      </c>
      <c r="C1928" s="1039" t="str">
        <f t="shared" si="1194"/>
        <v/>
      </c>
      <c r="D1928" s="1040" t="str">
        <f t="shared" si="1195"/>
        <v/>
      </c>
      <c r="E1928" s="1041" t="str">
        <f t="shared" si="1196"/>
        <v/>
      </c>
      <c r="F1928" s="1040" t="str">
        <f t="shared" si="1197"/>
        <v/>
      </c>
      <c r="G1928" s="1041" t="str">
        <f t="shared" si="1198"/>
        <v/>
      </c>
      <c r="H1928" s="1042">
        <f t="shared" si="1200"/>
        <v>0</v>
      </c>
      <c r="I1928" s="1042">
        <f t="shared" si="1201"/>
        <v>0</v>
      </c>
      <c r="J1928" s="1042">
        <f t="shared" si="1199"/>
        <v>0</v>
      </c>
    </row>
    <row r="1929" spans="1:10" x14ac:dyDescent="0.25">
      <c r="A1929" s="1039"/>
      <c r="B1929" s="1039" t="str">
        <f t="shared" si="1193"/>
        <v/>
      </c>
      <c r="C1929" s="1039" t="str">
        <f t="shared" si="1194"/>
        <v/>
      </c>
      <c r="D1929" s="1040" t="str">
        <f t="shared" si="1195"/>
        <v/>
      </c>
      <c r="E1929" s="1041" t="str">
        <f t="shared" si="1196"/>
        <v/>
      </c>
      <c r="F1929" s="1040" t="str">
        <f t="shared" si="1197"/>
        <v/>
      </c>
      <c r="G1929" s="1041" t="str">
        <f t="shared" si="1198"/>
        <v/>
      </c>
      <c r="H1929" s="1042">
        <f t="shared" si="1200"/>
        <v>0</v>
      </c>
      <c r="I1929" s="1042">
        <f t="shared" si="1201"/>
        <v>0</v>
      </c>
      <c r="J1929" s="1042">
        <f t="shared" si="1199"/>
        <v>0</v>
      </c>
    </row>
    <row r="1930" spans="1:10" x14ac:dyDescent="0.25">
      <c r="A1930" s="1039"/>
      <c r="B1930" s="1039" t="str">
        <f t="shared" si="1193"/>
        <v/>
      </c>
      <c r="C1930" s="1039" t="str">
        <f t="shared" si="1194"/>
        <v/>
      </c>
      <c r="D1930" s="1040" t="str">
        <f t="shared" si="1195"/>
        <v/>
      </c>
      <c r="E1930" s="1041" t="str">
        <f t="shared" si="1196"/>
        <v/>
      </c>
      <c r="F1930" s="1040" t="str">
        <f t="shared" si="1197"/>
        <v/>
      </c>
      <c r="G1930" s="1041" t="str">
        <f t="shared" si="1198"/>
        <v/>
      </c>
      <c r="H1930" s="1042">
        <f t="shared" si="1200"/>
        <v>0</v>
      </c>
      <c r="I1930" s="1042">
        <f t="shared" si="1201"/>
        <v>0</v>
      </c>
      <c r="J1930" s="1042">
        <f t="shared" si="1199"/>
        <v>0</v>
      </c>
    </row>
    <row r="1931" spans="1:10" x14ac:dyDescent="0.25">
      <c r="A1931" s="1039"/>
      <c r="B1931" s="1039" t="str">
        <f t="shared" si="1193"/>
        <v/>
      </c>
      <c r="C1931" s="1039" t="str">
        <f t="shared" si="1194"/>
        <v/>
      </c>
      <c r="D1931" s="1040" t="str">
        <f t="shared" si="1195"/>
        <v/>
      </c>
      <c r="E1931" s="1041" t="str">
        <f t="shared" si="1196"/>
        <v/>
      </c>
      <c r="F1931" s="1040" t="str">
        <f t="shared" si="1197"/>
        <v/>
      </c>
      <c r="G1931" s="1041" t="str">
        <f t="shared" si="1198"/>
        <v/>
      </c>
      <c r="H1931" s="1042">
        <f t="shared" si="1200"/>
        <v>0</v>
      </c>
      <c r="I1931" s="1042">
        <f t="shared" si="1201"/>
        <v>0</v>
      </c>
      <c r="J1931" s="1042">
        <f t="shared" si="1199"/>
        <v>0</v>
      </c>
    </row>
    <row r="1932" spans="1:10" x14ac:dyDescent="0.25">
      <c r="A1932" s="1039"/>
      <c r="B1932" s="1039" t="str">
        <f t="shared" si="1193"/>
        <v/>
      </c>
      <c r="C1932" s="1039" t="str">
        <f t="shared" si="1194"/>
        <v/>
      </c>
      <c r="D1932" s="1040" t="str">
        <f t="shared" si="1195"/>
        <v/>
      </c>
      <c r="E1932" s="1041" t="str">
        <f t="shared" si="1196"/>
        <v/>
      </c>
      <c r="F1932" s="1040" t="str">
        <f t="shared" si="1197"/>
        <v/>
      </c>
      <c r="G1932" s="1041" t="str">
        <f t="shared" si="1198"/>
        <v/>
      </c>
      <c r="H1932" s="1042">
        <f t="shared" si="1200"/>
        <v>0</v>
      </c>
      <c r="I1932" s="1042">
        <f t="shared" si="1201"/>
        <v>0</v>
      </c>
      <c r="J1932" s="1042">
        <f t="shared" si="1199"/>
        <v>0</v>
      </c>
    </row>
    <row r="1933" spans="1:10" x14ac:dyDescent="0.25">
      <c r="A1933" s="1039"/>
      <c r="B1933" s="1039" t="str">
        <f t="shared" si="1193"/>
        <v/>
      </c>
      <c r="C1933" s="1039" t="str">
        <f t="shared" si="1194"/>
        <v/>
      </c>
      <c r="D1933" s="1040" t="str">
        <f t="shared" si="1195"/>
        <v/>
      </c>
      <c r="E1933" s="1041" t="str">
        <f t="shared" si="1196"/>
        <v/>
      </c>
      <c r="F1933" s="1040" t="str">
        <f t="shared" si="1197"/>
        <v/>
      </c>
      <c r="G1933" s="1041" t="str">
        <f t="shared" si="1198"/>
        <v/>
      </c>
      <c r="H1933" s="1042">
        <f t="shared" si="1200"/>
        <v>0</v>
      </c>
      <c r="I1933" s="1042">
        <f t="shared" si="1201"/>
        <v>0</v>
      </c>
      <c r="J1933" s="1042">
        <f t="shared" si="1199"/>
        <v>0</v>
      </c>
    </row>
    <row r="1934" spans="1:10" x14ac:dyDescent="0.25">
      <c r="A1934" s="1039"/>
      <c r="B1934" s="1039" t="str">
        <f t="shared" si="1193"/>
        <v/>
      </c>
      <c r="C1934" s="1039" t="str">
        <f t="shared" si="1194"/>
        <v/>
      </c>
      <c r="D1934" s="1040" t="str">
        <f t="shared" si="1195"/>
        <v/>
      </c>
      <c r="E1934" s="1041" t="str">
        <f t="shared" si="1196"/>
        <v/>
      </c>
      <c r="F1934" s="1040" t="str">
        <f t="shared" si="1197"/>
        <v/>
      </c>
      <c r="G1934" s="1041" t="str">
        <f t="shared" si="1198"/>
        <v/>
      </c>
      <c r="H1934" s="1042">
        <f t="shared" si="1200"/>
        <v>0</v>
      </c>
      <c r="I1934" s="1042">
        <f t="shared" si="1201"/>
        <v>0</v>
      </c>
      <c r="J1934" s="1042">
        <f t="shared" si="1199"/>
        <v>0</v>
      </c>
    </row>
    <row r="1935" spans="1:10" x14ac:dyDescent="0.25">
      <c r="A1935" s="1039"/>
      <c r="B1935" s="1039" t="str">
        <f t="shared" si="1193"/>
        <v/>
      </c>
      <c r="C1935" s="1039" t="str">
        <f t="shared" si="1194"/>
        <v/>
      </c>
      <c r="D1935" s="1040" t="str">
        <f t="shared" si="1195"/>
        <v/>
      </c>
      <c r="E1935" s="1041" t="str">
        <f t="shared" si="1196"/>
        <v/>
      </c>
      <c r="F1935" s="1040" t="str">
        <f t="shared" si="1197"/>
        <v/>
      </c>
      <c r="G1935" s="1041" t="str">
        <f t="shared" si="1198"/>
        <v/>
      </c>
      <c r="H1935" s="1042">
        <f t="shared" si="1200"/>
        <v>0</v>
      </c>
      <c r="I1935" s="1042">
        <f t="shared" si="1201"/>
        <v>0</v>
      </c>
      <c r="J1935" s="1042">
        <f t="shared" si="1199"/>
        <v>0</v>
      </c>
    </row>
    <row r="1936" spans="1:10" x14ac:dyDescent="0.25">
      <c r="A1936" s="1039"/>
      <c r="B1936" s="1039" t="str">
        <f t="shared" si="1193"/>
        <v/>
      </c>
      <c r="C1936" s="1039" t="str">
        <f t="shared" si="1194"/>
        <v/>
      </c>
      <c r="D1936" s="1040" t="str">
        <f t="shared" si="1195"/>
        <v/>
      </c>
      <c r="E1936" s="1041" t="str">
        <f t="shared" si="1196"/>
        <v/>
      </c>
      <c r="F1936" s="1040" t="str">
        <f t="shared" si="1197"/>
        <v/>
      </c>
      <c r="G1936" s="1041" t="str">
        <f t="shared" si="1198"/>
        <v/>
      </c>
      <c r="H1936" s="1042">
        <f t="shared" si="1200"/>
        <v>0</v>
      </c>
      <c r="I1936" s="1042">
        <f t="shared" si="1201"/>
        <v>0</v>
      </c>
      <c r="J1936" s="1042">
        <f t="shared" si="1199"/>
        <v>0</v>
      </c>
    </row>
    <row r="1937" spans="1:10" x14ac:dyDescent="0.25">
      <c r="A1937" s="1039"/>
      <c r="B1937" s="1039" t="str">
        <f t="shared" ref="B1937:B2000" si="1202">IFERROR(VLOOKUP(A1937,DB,2,FALSE),"")</f>
        <v/>
      </c>
      <c r="C1937" s="1039" t="str">
        <f t="shared" si="1194"/>
        <v/>
      </c>
      <c r="D1937" s="1040" t="str">
        <f t="shared" si="1195"/>
        <v/>
      </c>
      <c r="E1937" s="1041" t="str">
        <f t="shared" si="1196"/>
        <v/>
      </c>
      <c r="F1937" s="1040" t="str">
        <f t="shared" si="1197"/>
        <v/>
      </c>
      <c r="G1937" s="1041" t="str">
        <f t="shared" si="1198"/>
        <v/>
      </c>
      <c r="H1937" s="1042">
        <f t="shared" si="1200"/>
        <v>0</v>
      </c>
      <c r="I1937" s="1042">
        <f t="shared" si="1201"/>
        <v>0</v>
      </c>
      <c r="J1937" s="1042">
        <f t="shared" si="1199"/>
        <v>0</v>
      </c>
    </row>
    <row r="1938" spans="1:10" x14ac:dyDescent="0.25">
      <c r="A1938" s="1039"/>
      <c r="B1938" s="1039" t="str">
        <f t="shared" si="1202"/>
        <v/>
      </c>
      <c r="C1938" s="1039" t="str">
        <f t="shared" si="1194"/>
        <v/>
      </c>
      <c r="D1938" s="1040" t="str">
        <f t="shared" si="1195"/>
        <v/>
      </c>
      <c r="E1938" s="1041" t="str">
        <f t="shared" si="1196"/>
        <v/>
      </c>
      <c r="F1938" s="1040" t="str">
        <f t="shared" si="1197"/>
        <v/>
      </c>
      <c r="G1938" s="1041" t="str">
        <f t="shared" si="1198"/>
        <v/>
      </c>
      <c r="H1938" s="1042">
        <f t="shared" si="1200"/>
        <v>0</v>
      </c>
      <c r="I1938" s="1042">
        <f t="shared" si="1201"/>
        <v>0</v>
      </c>
      <c r="J1938" s="1042">
        <f t="shared" si="1199"/>
        <v>0</v>
      </c>
    </row>
    <row r="1939" spans="1:10" x14ac:dyDescent="0.25">
      <c r="A1939" s="1039"/>
      <c r="B1939" s="1039" t="str">
        <f t="shared" si="1202"/>
        <v/>
      </c>
      <c r="C1939" s="1039" t="str">
        <f t="shared" si="1194"/>
        <v/>
      </c>
      <c r="D1939" s="1040" t="str">
        <f t="shared" si="1195"/>
        <v/>
      </c>
      <c r="E1939" s="1041" t="str">
        <f t="shared" si="1196"/>
        <v/>
      </c>
      <c r="F1939" s="1040" t="str">
        <f t="shared" si="1197"/>
        <v/>
      </c>
      <c r="G1939" s="1041" t="str">
        <f t="shared" si="1198"/>
        <v/>
      </c>
      <c r="H1939" s="1042">
        <f t="shared" si="1200"/>
        <v>0</v>
      </c>
      <c r="I1939" s="1042">
        <f t="shared" si="1201"/>
        <v>0</v>
      </c>
      <c r="J1939" s="1042">
        <f t="shared" si="1199"/>
        <v>0</v>
      </c>
    </row>
    <row r="1940" spans="1:10" x14ac:dyDescent="0.25">
      <c r="A1940" s="1039"/>
      <c r="B1940" s="1039" t="str">
        <f t="shared" si="1202"/>
        <v/>
      </c>
      <c r="C1940" s="1039" t="str">
        <f t="shared" si="1194"/>
        <v/>
      </c>
      <c r="D1940" s="1040" t="str">
        <f t="shared" si="1195"/>
        <v/>
      </c>
      <c r="E1940" s="1041" t="str">
        <f t="shared" si="1196"/>
        <v/>
      </c>
      <c r="F1940" s="1040" t="str">
        <f t="shared" si="1197"/>
        <v/>
      </c>
      <c r="G1940" s="1041" t="str">
        <f t="shared" si="1198"/>
        <v/>
      </c>
      <c r="H1940" s="1042">
        <f t="shared" si="1200"/>
        <v>0</v>
      </c>
      <c r="I1940" s="1042">
        <f t="shared" si="1201"/>
        <v>0</v>
      </c>
      <c r="J1940" s="1042">
        <f t="shared" si="1199"/>
        <v>0</v>
      </c>
    </row>
    <row r="1941" spans="1:10" x14ac:dyDescent="0.25">
      <c r="A1941" s="1039"/>
      <c r="B1941" s="1039" t="str">
        <f t="shared" si="1202"/>
        <v/>
      </c>
      <c r="C1941" s="1039" t="str">
        <f t="shared" si="1194"/>
        <v/>
      </c>
      <c r="D1941" s="1040" t="str">
        <f t="shared" si="1195"/>
        <v/>
      </c>
      <c r="E1941" s="1041" t="str">
        <f t="shared" si="1196"/>
        <v/>
      </c>
      <c r="F1941" s="1040" t="str">
        <f t="shared" si="1197"/>
        <v/>
      </c>
      <c r="G1941" s="1041" t="str">
        <f t="shared" si="1198"/>
        <v/>
      </c>
      <c r="H1941" s="1042">
        <f t="shared" si="1200"/>
        <v>0</v>
      </c>
      <c r="I1941" s="1042">
        <f t="shared" si="1201"/>
        <v>0</v>
      </c>
      <c r="J1941" s="1042">
        <f t="shared" si="1199"/>
        <v>0</v>
      </c>
    </row>
    <row r="1942" spans="1:10" x14ac:dyDescent="0.25">
      <c r="A1942" s="1039"/>
      <c r="B1942" s="1039" t="str">
        <f t="shared" si="1202"/>
        <v/>
      </c>
      <c r="C1942" s="1039" t="str">
        <f t="shared" si="1194"/>
        <v/>
      </c>
      <c r="D1942" s="1040" t="str">
        <f t="shared" si="1195"/>
        <v/>
      </c>
      <c r="E1942" s="1041" t="str">
        <f t="shared" si="1196"/>
        <v/>
      </c>
      <c r="F1942" s="1040" t="str">
        <f t="shared" si="1197"/>
        <v/>
      </c>
      <c r="G1942" s="1041" t="str">
        <f t="shared" si="1198"/>
        <v/>
      </c>
      <c r="H1942" s="1042">
        <f t="shared" si="1200"/>
        <v>0</v>
      </c>
      <c r="I1942" s="1042">
        <f t="shared" si="1201"/>
        <v>0</v>
      </c>
      <c r="J1942" s="1042">
        <f t="shared" si="1199"/>
        <v>0</v>
      </c>
    </row>
    <row r="1943" spans="1:10" x14ac:dyDescent="0.25">
      <c r="A1943" s="1039"/>
      <c r="B1943" s="1039" t="str">
        <f t="shared" si="1202"/>
        <v/>
      </c>
      <c r="C1943" s="1039" t="str">
        <f t="shared" si="1194"/>
        <v/>
      </c>
      <c r="D1943" s="1040" t="str">
        <f t="shared" si="1195"/>
        <v/>
      </c>
      <c r="E1943" s="1041" t="str">
        <f t="shared" si="1196"/>
        <v/>
      </c>
      <c r="F1943" s="1040" t="str">
        <f t="shared" si="1197"/>
        <v/>
      </c>
      <c r="G1943" s="1041" t="str">
        <f t="shared" si="1198"/>
        <v/>
      </c>
      <c r="H1943" s="1042">
        <f t="shared" si="1200"/>
        <v>0</v>
      </c>
      <c r="I1943" s="1042">
        <f t="shared" si="1201"/>
        <v>0</v>
      </c>
      <c r="J1943" s="1042">
        <f t="shared" si="1199"/>
        <v>0</v>
      </c>
    </row>
    <row r="1944" spans="1:10" x14ac:dyDescent="0.25">
      <c r="A1944" s="1039"/>
      <c r="B1944" s="1039" t="str">
        <f t="shared" si="1202"/>
        <v/>
      </c>
      <c r="C1944" s="1039" t="str">
        <f t="shared" si="1194"/>
        <v/>
      </c>
      <c r="D1944" s="1040" t="str">
        <f t="shared" si="1195"/>
        <v/>
      </c>
      <c r="E1944" s="1041" t="str">
        <f t="shared" si="1196"/>
        <v/>
      </c>
      <c r="F1944" s="1040" t="str">
        <f t="shared" si="1197"/>
        <v/>
      </c>
      <c r="G1944" s="1041" t="str">
        <f t="shared" si="1198"/>
        <v/>
      </c>
      <c r="H1944" s="1042">
        <f t="shared" si="1200"/>
        <v>0</v>
      </c>
      <c r="I1944" s="1042">
        <f t="shared" si="1201"/>
        <v>0</v>
      </c>
      <c r="J1944" s="1042">
        <f t="shared" si="1199"/>
        <v>0</v>
      </c>
    </row>
    <row r="1945" spans="1:10" x14ac:dyDescent="0.25">
      <c r="A1945" s="1039"/>
      <c r="B1945" s="1039" t="str">
        <f t="shared" si="1202"/>
        <v/>
      </c>
      <c r="C1945" s="1039" t="str">
        <f t="shared" si="1194"/>
        <v/>
      </c>
      <c r="D1945" s="1040" t="str">
        <f t="shared" si="1195"/>
        <v/>
      </c>
      <c r="E1945" s="1041" t="str">
        <f t="shared" si="1196"/>
        <v/>
      </c>
      <c r="F1945" s="1040" t="str">
        <f t="shared" si="1197"/>
        <v/>
      </c>
      <c r="G1945" s="1041" t="str">
        <f t="shared" si="1198"/>
        <v/>
      </c>
      <c r="H1945" s="1042">
        <f t="shared" si="1200"/>
        <v>0</v>
      </c>
      <c r="I1945" s="1042">
        <f t="shared" si="1201"/>
        <v>0</v>
      </c>
      <c r="J1945" s="1042">
        <f t="shared" si="1199"/>
        <v>0</v>
      </c>
    </row>
    <row r="1946" spans="1:10" x14ac:dyDescent="0.25">
      <c r="A1946" s="1039"/>
      <c r="B1946" s="1039" t="str">
        <f t="shared" si="1202"/>
        <v/>
      </c>
      <c r="C1946" s="1039" t="str">
        <f t="shared" si="1194"/>
        <v/>
      </c>
      <c r="D1946" s="1040" t="str">
        <f t="shared" si="1195"/>
        <v/>
      </c>
      <c r="E1946" s="1041" t="str">
        <f t="shared" si="1196"/>
        <v/>
      </c>
      <c r="F1946" s="1040" t="str">
        <f t="shared" si="1197"/>
        <v/>
      </c>
      <c r="G1946" s="1041" t="str">
        <f t="shared" si="1198"/>
        <v/>
      </c>
      <c r="H1946" s="1042">
        <f t="shared" si="1200"/>
        <v>0</v>
      </c>
      <c r="I1946" s="1042">
        <f t="shared" si="1201"/>
        <v>0</v>
      </c>
      <c r="J1946" s="1042">
        <f t="shared" si="1199"/>
        <v>0</v>
      </c>
    </row>
    <row r="1947" spans="1:10" x14ac:dyDescent="0.25">
      <c r="A1947" s="1039"/>
      <c r="B1947" s="1039" t="str">
        <f t="shared" si="1202"/>
        <v/>
      </c>
      <c r="C1947" s="1039" t="str">
        <f t="shared" si="1194"/>
        <v/>
      </c>
      <c r="D1947" s="1040" t="str">
        <f t="shared" si="1195"/>
        <v/>
      </c>
      <c r="E1947" s="1041" t="str">
        <f t="shared" si="1196"/>
        <v/>
      </c>
      <c r="F1947" s="1040" t="str">
        <f t="shared" si="1197"/>
        <v/>
      </c>
      <c r="G1947" s="1041" t="str">
        <f t="shared" si="1198"/>
        <v/>
      </c>
      <c r="H1947" s="1042">
        <f t="shared" si="1200"/>
        <v>0</v>
      </c>
      <c r="I1947" s="1042">
        <f t="shared" si="1201"/>
        <v>0</v>
      </c>
      <c r="J1947" s="1042">
        <f t="shared" si="1199"/>
        <v>0</v>
      </c>
    </row>
    <row r="1948" spans="1:10" x14ac:dyDescent="0.25">
      <c r="A1948" s="1039"/>
      <c r="B1948" s="1039" t="str">
        <f t="shared" si="1202"/>
        <v/>
      </c>
      <c r="C1948" s="1039" t="str">
        <f t="shared" si="1194"/>
        <v/>
      </c>
      <c r="D1948" s="1040" t="str">
        <f t="shared" si="1195"/>
        <v/>
      </c>
      <c r="E1948" s="1041" t="str">
        <f t="shared" si="1196"/>
        <v/>
      </c>
      <c r="F1948" s="1040" t="str">
        <f t="shared" si="1197"/>
        <v/>
      </c>
      <c r="G1948" s="1041" t="str">
        <f t="shared" si="1198"/>
        <v/>
      </c>
      <c r="H1948" s="1042">
        <f t="shared" si="1200"/>
        <v>0</v>
      </c>
      <c r="I1948" s="1042">
        <f t="shared" si="1201"/>
        <v>0</v>
      </c>
      <c r="J1948" s="1042">
        <f t="shared" si="1199"/>
        <v>0</v>
      </c>
    </row>
    <row r="1949" spans="1:10" x14ac:dyDescent="0.25">
      <c r="A1949" s="1039"/>
      <c r="B1949" s="1039" t="str">
        <f t="shared" si="1202"/>
        <v/>
      </c>
      <c r="C1949" s="1039" t="str">
        <f t="shared" si="1194"/>
        <v/>
      </c>
      <c r="D1949" s="1040" t="str">
        <f t="shared" si="1195"/>
        <v/>
      </c>
      <c r="E1949" s="1041" t="str">
        <f t="shared" si="1196"/>
        <v/>
      </c>
      <c r="F1949" s="1040" t="str">
        <f t="shared" si="1197"/>
        <v/>
      </c>
      <c r="G1949" s="1041" t="str">
        <f t="shared" si="1198"/>
        <v/>
      </c>
      <c r="H1949" s="1042">
        <f t="shared" si="1200"/>
        <v>0</v>
      </c>
      <c r="I1949" s="1042">
        <f t="shared" si="1201"/>
        <v>0</v>
      </c>
      <c r="J1949" s="1042">
        <f t="shared" si="1199"/>
        <v>0</v>
      </c>
    </row>
    <row r="1950" spans="1:10" x14ac:dyDescent="0.25">
      <c r="A1950" s="1039"/>
      <c r="B1950" s="1039" t="str">
        <f t="shared" si="1202"/>
        <v/>
      </c>
      <c r="C1950" s="1039" t="str">
        <f t="shared" si="1194"/>
        <v/>
      </c>
      <c r="D1950" s="1040" t="str">
        <f t="shared" si="1195"/>
        <v/>
      </c>
      <c r="E1950" s="1041" t="str">
        <f t="shared" si="1196"/>
        <v/>
      </c>
      <c r="F1950" s="1040" t="str">
        <f t="shared" si="1197"/>
        <v/>
      </c>
      <c r="G1950" s="1041" t="str">
        <f t="shared" si="1198"/>
        <v/>
      </c>
      <c r="H1950" s="1042">
        <f t="shared" si="1200"/>
        <v>0</v>
      </c>
      <c r="I1950" s="1042">
        <f t="shared" si="1201"/>
        <v>0</v>
      </c>
      <c r="J1950" s="1042">
        <f t="shared" si="1199"/>
        <v>0</v>
      </c>
    </row>
    <row r="1951" spans="1:10" x14ac:dyDescent="0.25">
      <c r="A1951" s="1039"/>
      <c r="B1951" s="1039" t="str">
        <f t="shared" si="1202"/>
        <v/>
      </c>
      <c r="C1951" s="1039" t="str">
        <f t="shared" si="1194"/>
        <v/>
      </c>
      <c r="D1951" s="1040" t="str">
        <f t="shared" si="1195"/>
        <v/>
      </c>
      <c r="E1951" s="1041" t="str">
        <f t="shared" si="1196"/>
        <v/>
      </c>
      <c r="F1951" s="1040" t="str">
        <f t="shared" si="1197"/>
        <v/>
      </c>
      <c r="G1951" s="1041" t="str">
        <f t="shared" si="1198"/>
        <v/>
      </c>
      <c r="H1951" s="1042">
        <f t="shared" si="1200"/>
        <v>0</v>
      </c>
      <c r="I1951" s="1042">
        <f t="shared" si="1201"/>
        <v>0</v>
      </c>
      <c r="J1951" s="1042">
        <f t="shared" si="1199"/>
        <v>0</v>
      </c>
    </row>
    <row r="1952" spans="1:10" x14ac:dyDescent="0.25">
      <c r="A1952" s="1039"/>
      <c r="B1952" s="1039" t="str">
        <f t="shared" si="1202"/>
        <v/>
      </c>
      <c r="C1952" s="1039" t="str">
        <f t="shared" si="1194"/>
        <v/>
      </c>
      <c r="D1952" s="1040" t="str">
        <f t="shared" si="1195"/>
        <v/>
      </c>
      <c r="E1952" s="1041" t="str">
        <f t="shared" si="1196"/>
        <v/>
      </c>
      <c r="F1952" s="1040" t="str">
        <f t="shared" si="1197"/>
        <v/>
      </c>
      <c r="G1952" s="1041" t="str">
        <f t="shared" si="1198"/>
        <v/>
      </c>
      <c r="H1952" s="1042">
        <f t="shared" si="1200"/>
        <v>0</v>
      </c>
      <c r="I1952" s="1042">
        <f t="shared" si="1201"/>
        <v>0</v>
      </c>
      <c r="J1952" s="1042">
        <f t="shared" si="1199"/>
        <v>0</v>
      </c>
    </row>
    <row r="1953" spans="1:10" x14ac:dyDescent="0.25">
      <c r="A1953" s="1039"/>
      <c r="B1953" s="1039" t="str">
        <f t="shared" si="1202"/>
        <v/>
      </c>
      <c r="C1953" s="1039" t="str">
        <f t="shared" si="1194"/>
        <v/>
      </c>
      <c r="D1953" s="1040" t="str">
        <f t="shared" si="1195"/>
        <v/>
      </c>
      <c r="E1953" s="1041" t="str">
        <f t="shared" si="1196"/>
        <v/>
      </c>
      <c r="F1953" s="1040" t="str">
        <f t="shared" si="1197"/>
        <v/>
      </c>
      <c r="G1953" s="1041" t="str">
        <f t="shared" si="1198"/>
        <v/>
      </c>
      <c r="H1953" s="1042">
        <f t="shared" si="1200"/>
        <v>0</v>
      </c>
      <c r="I1953" s="1042">
        <f t="shared" si="1201"/>
        <v>0</v>
      </c>
      <c r="J1953" s="1042">
        <f t="shared" si="1199"/>
        <v>0</v>
      </c>
    </row>
    <row r="1954" spans="1:10" x14ac:dyDescent="0.25">
      <c r="A1954" s="1039"/>
      <c r="B1954" s="1039" t="str">
        <f t="shared" si="1202"/>
        <v/>
      </c>
      <c r="C1954" s="1039" t="str">
        <f t="shared" si="1194"/>
        <v/>
      </c>
      <c r="D1954" s="1040" t="str">
        <f t="shared" si="1195"/>
        <v/>
      </c>
      <c r="E1954" s="1041" t="str">
        <f t="shared" si="1196"/>
        <v/>
      </c>
      <c r="F1954" s="1040" t="str">
        <f t="shared" si="1197"/>
        <v/>
      </c>
      <c r="G1954" s="1041" t="str">
        <f t="shared" si="1198"/>
        <v/>
      </c>
      <c r="H1954" s="1042">
        <f t="shared" si="1200"/>
        <v>0</v>
      </c>
      <c r="I1954" s="1042">
        <f t="shared" si="1201"/>
        <v>0</v>
      </c>
      <c r="J1954" s="1042">
        <f t="shared" si="1199"/>
        <v>0</v>
      </c>
    </row>
    <row r="1955" spans="1:10" x14ac:dyDescent="0.25">
      <c r="A1955" s="1039"/>
      <c r="B1955" s="1039" t="str">
        <f t="shared" si="1202"/>
        <v/>
      </c>
      <c r="C1955" s="1039" t="str">
        <f t="shared" si="1194"/>
        <v/>
      </c>
      <c r="D1955" s="1040" t="str">
        <f t="shared" si="1195"/>
        <v/>
      </c>
      <c r="E1955" s="1041" t="str">
        <f t="shared" si="1196"/>
        <v/>
      </c>
      <c r="F1955" s="1040" t="str">
        <f t="shared" si="1197"/>
        <v/>
      </c>
      <c r="G1955" s="1041" t="str">
        <f t="shared" si="1198"/>
        <v/>
      </c>
      <c r="H1955" s="1042">
        <f t="shared" si="1200"/>
        <v>0</v>
      </c>
      <c r="I1955" s="1042">
        <f t="shared" si="1201"/>
        <v>0</v>
      </c>
      <c r="J1955" s="1042">
        <f t="shared" si="1199"/>
        <v>0</v>
      </c>
    </row>
    <row r="1956" spans="1:10" x14ac:dyDescent="0.25">
      <c r="A1956" s="1039"/>
      <c r="B1956" s="1039" t="str">
        <f t="shared" si="1202"/>
        <v/>
      </c>
      <c r="C1956" s="1039" t="str">
        <f t="shared" si="1194"/>
        <v/>
      </c>
      <c r="D1956" s="1040" t="str">
        <f t="shared" si="1195"/>
        <v/>
      </c>
      <c r="E1956" s="1041" t="str">
        <f t="shared" si="1196"/>
        <v/>
      </c>
      <c r="F1956" s="1040" t="str">
        <f t="shared" si="1197"/>
        <v/>
      </c>
      <c r="G1956" s="1041" t="str">
        <f t="shared" si="1198"/>
        <v/>
      </c>
      <c r="H1956" s="1042">
        <f t="shared" si="1200"/>
        <v>0</v>
      </c>
      <c r="I1956" s="1042">
        <f t="shared" si="1201"/>
        <v>0</v>
      </c>
      <c r="J1956" s="1042">
        <f t="shared" si="1199"/>
        <v>0</v>
      </c>
    </row>
    <row r="1957" spans="1:10" x14ac:dyDescent="0.25">
      <c r="A1957" s="1039"/>
      <c r="B1957" s="1039" t="str">
        <f t="shared" si="1202"/>
        <v/>
      </c>
      <c r="C1957" s="1039" t="str">
        <f t="shared" si="1194"/>
        <v/>
      </c>
      <c r="D1957" s="1040" t="str">
        <f t="shared" si="1195"/>
        <v/>
      </c>
      <c r="E1957" s="1041" t="str">
        <f t="shared" si="1196"/>
        <v/>
      </c>
      <c r="F1957" s="1040" t="str">
        <f t="shared" si="1197"/>
        <v/>
      </c>
      <c r="G1957" s="1041" t="str">
        <f t="shared" si="1198"/>
        <v/>
      </c>
      <c r="H1957" s="1042">
        <f t="shared" si="1200"/>
        <v>0</v>
      </c>
      <c r="I1957" s="1042">
        <f t="shared" si="1201"/>
        <v>0</v>
      </c>
      <c r="J1957" s="1042">
        <f t="shared" si="1199"/>
        <v>0</v>
      </c>
    </row>
    <row r="1958" spans="1:10" x14ac:dyDescent="0.25">
      <c r="A1958" s="1039"/>
      <c r="B1958" s="1039" t="str">
        <f t="shared" si="1202"/>
        <v/>
      </c>
      <c r="C1958" s="1039" t="str">
        <f t="shared" si="1194"/>
        <v/>
      </c>
      <c r="D1958" s="1040" t="str">
        <f t="shared" si="1195"/>
        <v/>
      </c>
      <c r="E1958" s="1041" t="str">
        <f t="shared" si="1196"/>
        <v/>
      </c>
      <c r="F1958" s="1040" t="str">
        <f t="shared" si="1197"/>
        <v/>
      </c>
      <c r="G1958" s="1041" t="str">
        <f t="shared" si="1198"/>
        <v/>
      </c>
      <c r="H1958" s="1042">
        <f t="shared" si="1200"/>
        <v>0</v>
      </c>
      <c r="I1958" s="1042">
        <f t="shared" si="1201"/>
        <v>0</v>
      </c>
      <c r="J1958" s="1042">
        <f t="shared" si="1199"/>
        <v>0</v>
      </c>
    </row>
    <row r="1959" spans="1:10" x14ac:dyDescent="0.25">
      <c r="A1959" s="1039"/>
      <c r="B1959" s="1039" t="str">
        <f t="shared" si="1202"/>
        <v/>
      </c>
      <c r="C1959" s="1039" t="str">
        <f t="shared" ref="C1959:C2022" si="1203">IFERROR(VLOOKUP(A1959,DB,4,FALSE),"")</f>
        <v/>
      </c>
      <c r="D1959" s="1040" t="str">
        <f t="shared" ref="D1959:D2022" si="1204">IFERROR(VLOOKUP(A1959,DB,5,FALSE),"")</f>
        <v/>
      </c>
      <c r="E1959" s="1041" t="str">
        <f t="shared" ref="E1959:E2022" si="1205">IFERROR(VLOOKUP(A1959,DB,6,FALSE),"")</f>
        <v/>
      </c>
      <c r="F1959" s="1040" t="str">
        <f t="shared" ref="F1959:F2022" si="1206">IFERROR(VLOOKUP(A1959,DB,7,FALSE),"")</f>
        <v/>
      </c>
      <c r="G1959" s="1041" t="str">
        <f t="shared" ref="G1959:G2022" si="1207">IFERROR(VLOOKUP(A1959,DB,3,FALSE),"")</f>
        <v/>
      </c>
      <c r="H1959" s="1042">
        <f t="shared" si="1200"/>
        <v>0</v>
      </c>
      <c r="I1959" s="1042">
        <f t="shared" si="1201"/>
        <v>0</v>
      </c>
      <c r="J1959" s="1042">
        <f t="shared" si="1199"/>
        <v>0</v>
      </c>
    </row>
    <row r="1960" spans="1:10" x14ac:dyDescent="0.25">
      <c r="A1960" s="1039"/>
      <c r="B1960" s="1039" t="str">
        <f t="shared" si="1202"/>
        <v/>
      </c>
      <c r="C1960" s="1039" t="str">
        <f t="shared" si="1203"/>
        <v/>
      </c>
      <c r="D1960" s="1040" t="str">
        <f t="shared" si="1204"/>
        <v/>
      </c>
      <c r="E1960" s="1041" t="str">
        <f t="shared" si="1205"/>
        <v/>
      </c>
      <c r="F1960" s="1040" t="str">
        <f t="shared" si="1206"/>
        <v/>
      </c>
      <c r="G1960" s="1041" t="str">
        <f t="shared" si="1207"/>
        <v/>
      </c>
      <c r="H1960" s="1042">
        <f t="shared" si="1200"/>
        <v>0</v>
      </c>
      <c r="I1960" s="1042">
        <f t="shared" si="1201"/>
        <v>0</v>
      </c>
      <c r="J1960" s="1042">
        <f t="shared" si="1199"/>
        <v>0</v>
      </c>
    </row>
    <row r="1961" spans="1:10" x14ac:dyDescent="0.25">
      <c r="A1961" s="1039"/>
      <c r="B1961" s="1039" t="str">
        <f t="shared" si="1202"/>
        <v/>
      </c>
      <c r="C1961" s="1039" t="str">
        <f t="shared" si="1203"/>
        <v/>
      </c>
      <c r="D1961" s="1040" t="str">
        <f t="shared" si="1204"/>
        <v/>
      </c>
      <c r="E1961" s="1041" t="str">
        <f t="shared" si="1205"/>
        <v/>
      </c>
      <c r="F1961" s="1040" t="str">
        <f t="shared" si="1206"/>
        <v/>
      </c>
      <c r="G1961" s="1041" t="str">
        <f t="shared" si="1207"/>
        <v/>
      </c>
      <c r="H1961" s="1042">
        <f t="shared" si="1200"/>
        <v>0</v>
      </c>
      <c r="I1961" s="1042">
        <f t="shared" si="1201"/>
        <v>0</v>
      </c>
      <c r="J1961" s="1042">
        <f t="shared" si="1199"/>
        <v>0</v>
      </c>
    </row>
    <row r="1962" spans="1:10" x14ac:dyDescent="0.25">
      <c r="A1962" s="1039"/>
      <c r="B1962" s="1039" t="str">
        <f t="shared" si="1202"/>
        <v/>
      </c>
      <c r="C1962" s="1039" t="str">
        <f t="shared" si="1203"/>
        <v/>
      </c>
      <c r="D1962" s="1040" t="str">
        <f t="shared" si="1204"/>
        <v/>
      </c>
      <c r="E1962" s="1041" t="str">
        <f t="shared" si="1205"/>
        <v/>
      </c>
      <c r="F1962" s="1040" t="str">
        <f t="shared" si="1206"/>
        <v/>
      </c>
      <c r="G1962" s="1041" t="str">
        <f t="shared" si="1207"/>
        <v/>
      </c>
      <c r="H1962" s="1042">
        <f t="shared" si="1200"/>
        <v>0</v>
      </c>
      <c r="I1962" s="1042">
        <f t="shared" si="1201"/>
        <v>0</v>
      </c>
      <c r="J1962" s="1042">
        <f t="shared" si="1199"/>
        <v>0</v>
      </c>
    </row>
    <row r="1963" spans="1:10" x14ac:dyDescent="0.25">
      <c r="A1963" s="1039"/>
      <c r="B1963" s="1039" t="str">
        <f t="shared" si="1202"/>
        <v/>
      </c>
      <c r="C1963" s="1039" t="str">
        <f t="shared" si="1203"/>
        <v/>
      </c>
      <c r="D1963" s="1040" t="str">
        <f t="shared" si="1204"/>
        <v/>
      </c>
      <c r="E1963" s="1041" t="str">
        <f t="shared" si="1205"/>
        <v/>
      </c>
      <c r="F1963" s="1040" t="str">
        <f t="shared" si="1206"/>
        <v/>
      </c>
      <c r="G1963" s="1041" t="str">
        <f t="shared" si="1207"/>
        <v/>
      </c>
      <c r="H1963" s="1042">
        <f t="shared" si="1200"/>
        <v>0</v>
      </c>
      <c r="I1963" s="1042">
        <f t="shared" si="1201"/>
        <v>0</v>
      </c>
      <c r="J1963" s="1042">
        <f t="shared" si="1199"/>
        <v>0</v>
      </c>
    </row>
    <row r="1964" spans="1:10" x14ac:dyDescent="0.25">
      <c r="A1964" s="1039"/>
      <c r="B1964" s="1039" t="str">
        <f t="shared" si="1202"/>
        <v/>
      </c>
      <c r="C1964" s="1039" t="str">
        <f t="shared" si="1203"/>
        <v/>
      </c>
      <c r="D1964" s="1040" t="str">
        <f t="shared" si="1204"/>
        <v/>
      </c>
      <c r="E1964" s="1041" t="str">
        <f t="shared" si="1205"/>
        <v/>
      </c>
      <c r="F1964" s="1040" t="str">
        <f t="shared" si="1206"/>
        <v/>
      </c>
      <c r="G1964" s="1041" t="str">
        <f t="shared" si="1207"/>
        <v/>
      </c>
      <c r="H1964" s="1042">
        <f t="shared" si="1200"/>
        <v>0</v>
      </c>
      <c r="I1964" s="1042">
        <f t="shared" si="1201"/>
        <v>0</v>
      </c>
      <c r="J1964" s="1042">
        <f t="shared" si="1199"/>
        <v>0</v>
      </c>
    </row>
    <row r="1965" spans="1:10" x14ac:dyDescent="0.25">
      <c r="A1965" s="1039"/>
      <c r="B1965" s="1039" t="str">
        <f t="shared" si="1202"/>
        <v/>
      </c>
      <c r="C1965" s="1039" t="str">
        <f t="shared" si="1203"/>
        <v/>
      </c>
      <c r="D1965" s="1040" t="str">
        <f t="shared" si="1204"/>
        <v/>
      </c>
      <c r="E1965" s="1041" t="str">
        <f t="shared" si="1205"/>
        <v/>
      </c>
      <c r="F1965" s="1040" t="str">
        <f t="shared" si="1206"/>
        <v/>
      </c>
      <c r="G1965" s="1041" t="str">
        <f t="shared" si="1207"/>
        <v/>
      </c>
      <c r="H1965" s="1042">
        <f t="shared" si="1200"/>
        <v>0</v>
      </c>
      <c r="I1965" s="1042">
        <f t="shared" si="1201"/>
        <v>0</v>
      </c>
      <c r="J1965" s="1042">
        <f t="shared" ref="J1965:J2028" si="1208">I1965+H1965</f>
        <v>0</v>
      </c>
    </row>
    <row r="1966" spans="1:10" x14ac:dyDescent="0.25">
      <c r="A1966" s="1039"/>
      <c r="B1966" s="1039" t="str">
        <f t="shared" si="1202"/>
        <v/>
      </c>
      <c r="C1966" s="1039" t="str">
        <f t="shared" si="1203"/>
        <v/>
      </c>
      <c r="D1966" s="1040" t="str">
        <f t="shared" si="1204"/>
        <v/>
      </c>
      <c r="E1966" s="1041" t="str">
        <f t="shared" si="1205"/>
        <v/>
      </c>
      <c r="F1966" s="1040" t="str">
        <f t="shared" si="1206"/>
        <v/>
      </c>
      <c r="G1966" s="1041" t="str">
        <f t="shared" si="1207"/>
        <v/>
      </c>
      <c r="H1966" s="1042">
        <f t="shared" ref="H1966:H2029" si="1209">IF(F1966="AKTIF",6450000,IF(F1966="CUTI",3000000,0))</f>
        <v>0</v>
      </c>
      <c r="I1966" s="1042">
        <f t="shared" ref="I1966:I2029" si="1210">IF(F1966="AKTIF",3750000,IF(F1966="CUTI",3000000,0))</f>
        <v>0</v>
      </c>
      <c r="J1966" s="1042">
        <f t="shared" si="1208"/>
        <v>0</v>
      </c>
    </row>
    <row r="1967" spans="1:10" x14ac:dyDescent="0.25">
      <c r="A1967" s="1039"/>
      <c r="B1967" s="1039" t="str">
        <f t="shared" si="1202"/>
        <v/>
      </c>
      <c r="C1967" s="1039" t="str">
        <f t="shared" si="1203"/>
        <v/>
      </c>
      <c r="D1967" s="1040" t="str">
        <f t="shared" si="1204"/>
        <v/>
      </c>
      <c r="E1967" s="1041" t="str">
        <f t="shared" si="1205"/>
        <v/>
      </c>
      <c r="F1967" s="1040" t="str">
        <f t="shared" si="1206"/>
        <v/>
      </c>
      <c r="G1967" s="1041" t="str">
        <f t="shared" si="1207"/>
        <v/>
      </c>
      <c r="H1967" s="1042">
        <f t="shared" si="1209"/>
        <v>0</v>
      </c>
      <c r="I1967" s="1042">
        <f t="shared" si="1210"/>
        <v>0</v>
      </c>
      <c r="J1967" s="1042">
        <f t="shared" si="1208"/>
        <v>0</v>
      </c>
    </row>
    <row r="1968" spans="1:10" x14ac:dyDescent="0.25">
      <c r="A1968" s="1039"/>
      <c r="B1968" s="1039" t="str">
        <f t="shared" si="1202"/>
        <v/>
      </c>
      <c r="C1968" s="1039" t="str">
        <f t="shared" si="1203"/>
        <v/>
      </c>
      <c r="D1968" s="1040" t="str">
        <f t="shared" si="1204"/>
        <v/>
      </c>
      <c r="E1968" s="1041" t="str">
        <f t="shared" si="1205"/>
        <v/>
      </c>
      <c r="F1968" s="1040" t="str">
        <f t="shared" si="1206"/>
        <v/>
      </c>
      <c r="G1968" s="1041" t="str">
        <f t="shared" si="1207"/>
        <v/>
      </c>
      <c r="H1968" s="1042">
        <f t="shared" si="1209"/>
        <v>0</v>
      </c>
      <c r="I1968" s="1042">
        <f t="shared" si="1210"/>
        <v>0</v>
      </c>
      <c r="J1968" s="1042">
        <f t="shared" si="1208"/>
        <v>0</v>
      </c>
    </row>
    <row r="1969" spans="1:10" x14ac:dyDescent="0.25">
      <c r="A1969" s="1039"/>
      <c r="B1969" s="1039" t="str">
        <f t="shared" si="1202"/>
        <v/>
      </c>
      <c r="C1969" s="1039" t="str">
        <f t="shared" si="1203"/>
        <v/>
      </c>
      <c r="D1969" s="1040" t="str">
        <f t="shared" si="1204"/>
        <v/>
      </c>
      <c r="E1969" s="1041" t="str">
        <f t="shared" si="1205"/>
        <v/>
      </c>
      <c r="F1969" s="1040" t="str">
        <f t="shared" si="1206"/>
        <v/>
      </c>
      <c r="G1969" s="1041" t="str">
        <f t="shared" si="1207"/>
        <v/>
      </c>
      <c r="H1969" s="1042">
        <f t="shared" si="1209"/>
        <v>0</v>
      </c>
      <c r="I1969" s="1042">
        <f t="shared" si="1210"/>
        <v>0</v>
      </c>
      <c r="J1969" s="1042">
        <f t="shared" si="1208"/>
        <v>0</v>
      </c>
    </row>
    <row r="1970" spans="1:10" x14ac:dyDescent="0.25">
      <c r="A1970" s="1039"/>
      <c r="B1970" s="1039" t="str">
        <f t="shared" si="1202"/>
        <v/>
      </c>
      <c r="C1970" s="1039" t="str">
        <f t="shared" si="1203"/>
        <v/>
      </c>
      <c r="D1970" s="1040" t="str">
        <f t="shared" si="1204"/>
        <v/>
      </c>
      <c r="E1970" s="1041" t="str">
        <f t="shared" si="1205"/>
        <v/>
      </c>
      <c r="F1970" s="1040" t="str">
        <f t="shared" si="1206"/>
        <v/>
      </c>
      <c r="G1970" s="1041" t="str">
        <f t="shared" si="1207"/>
        <v/>
      </c>
      <c r="H1970" s="1042">
        <f t="shared" si="1209"/>
        <v>0</v>
      </c>
      <c r="I1970" s="1042">
        <f t="shared" si="1210"/>
        <v>0</v>
      </c>
      <c r="J1970" s="1042">
        <f t="shared" si="1208"/>
        <v>0</v>
      </c>
    </row>
    <row r="1971" spans="1:10" x14ac:dyDescent="0.25">
      <c r="A1971" s="1039"/>
      <c r="B1971" s="1039" t="str">
        <f t="shared" si="1202"/>
        <v/>
      </c>
      <c r="C1971" s="1039" t="str">
        <f t="shared" si="1203"/>
        <v/>
      </c>
      <c r="D1971" s="1040" t="str">
        <f t="shared" si="1204"/>
        <v/>
      </c>
      <c r="E1971" s="1041" t="str">
        <f t="shared" si="1205"/>
        <v/>
      </c>
      <c r="F1971" s="1040" t="str">
        <f t="shared" si="1206"/>
        <v/>
      </c>
      <c r="G1971" s="1041" t="str">
        <f t="shared" si="1207"/>
        <v/>
      </c>
      <c r="H1971" s="1042">
        <f t="shared" si="1209"/>
        <v>0</v>
      </c>
      <c r="I1971" s="1042">
        <f t="shared" si="1210"/>
        <v>0</v>
      </c>
      <c r="J1971" s="1042">
        <f t="shared" si="1208"/>
        <v>0</v>
      </c>
    </row>
    <row r="1972" spans="1:10" x14ac:dyDescent="0.25">
      <c r="A1972" s="1039"/>
      <c r="B1972" s="1039" t="str">
        <f t="shared" si="1202"/>
        <v/>
      </c>
      <c r="C1972" s="1039" t="str">
        <f t="shared" si="1203"/>
        <v/>
      </c>
      <c r="D1972" s="1040" t="str">
        <f t="shared" si="1204"/>
        <v/>
      </c>
      <c r="E1972" s="1041" t="str">
        <f t="shared" si="1205"/>
        <v/>
      </c>
      <c r="F1972" s="1040" t="str">
        <f t="shared" si="1206"/>
        <v/>
      </c>
      <c r="G1972" s="1041" t="str">
        <f t="shared" si="1207"/>
        <v/>
      </c>
      <c r="H1972" s="1042">
        <f t="shared" si="1209"/>
        <v>0</v>
      </c>
      <c r="I1972" s="1042">
        <f t="shared" si="1210"/>
        <v>0</v>
      </c>
      <c r="J1972" s="1042">
        <f t="shared" si="1208"/>
        <v>0</v>
      </c>
    </row>
    <row r="1973" spans="1:10" x14ac:dyDescent="0.25">
      <c r="A1973" s="1039"/>
      <c r="B1973" s="1039" t="str">
        <f t="shared" si="1202"/>
        <v/>
      </c>
      <c r="C1973" s="1039" t="str">
        <f t="shared" si="1203"/>
        <v/>
      </c>
      <c r="D1973" s="1040" t="str">
        <f t="shared" si="1204"/>
        <v/>
      </c>
      <c r="E1973" s="1041" t="str">
        <f t="shared" si="1205"/>
        <v/>
      </c>
      <c r="F1973" s="1040" t="str">
        <f t="shared" si="1206"/>
        <v/>
      </c>
      <c r="G1973" s="1041" t="str">
        <f t="shared" si="1207"/>
        <v/>
      </c>
      <c r="H1973" s="1042">
        <f t="shared" si="1209"/>
        <v>0</v>
      </c>
      <c r="I1973" s="1042">
        <f t="shared" si="1210"/>
        <v>0</v>
      </c>
      <c r="J1973" s="1042">
        <f t="shared" si="1208"/>
        <v>0</v>
      </c>
    </row>
    <row r="1974" spans="1:10" x14ac:dyDescent="0.25">
      <c r="A1974" s="1039"/>
      <c r="B1974" s="1039" t="str">
        <f t="shared" si="1202"/>
        <v/>
      </c>
      <c r="C1974" s="1039" t="str">
        <f t="shared" si="1203"/>
        <v/>
      </c>
      <c r="D1974" s="1040" t="str">
        <f t="shared" si="1204"/>
        <v/>
      </c>
      <c r="E1974" s="1041" t="str">
        <f t="shared" si="1205"/>
        <v/>
      </c>
      <c r="F1974" s="1040" t="str">
        <f t="shared" si="1206"/>
        <v/>
      </c>
      <c r="G1974" s="1041" t="str">
        <f t="shared" si="1207"/>
        <v/>
      </c>
      <c r="H1974" s="1042">
        <f t="shared" si="1209"/>
        <v>0</v>
      </c>
      <c r="I1974" s="1042">
        <f t="shared" si="1210"/>
        <v>0</v>
      </c>
      <c r="J1974" s="1042">
        <f t="shared" si="1208"/>
        <v>0</v>
      </c>
    </row>
    <row r="1975" spans="1:10" x14ac:dyDescent="0.25">
      <c r="A1975" s="1039"/>
      <c r="B1975" s="1039" t="str">
        <f t="shared" si="1202"/>
        <v/>
      </c>
      <c r="C1975" s="1039" t="str">
        <f t="shared" si="1203"/>
        <v/>
      </c>
      <c r="D1975" s="1040" t="str">
        <f t="shared" si="1204"/>
        <v/>
      </c>
      <c r="E1975" s="1041" t="str">
        <f t="shared" si="1205"/>
        <v/>
      </c>
      <c r="F1975" s="1040" t="str">
        <f t="shared" si="1206"/>
        <v/>
      </c>
      <c r="G1975" s="1041" t="str">
        <f t="shared" si="1207"/>
        <v/>
      </c>
      <c r="H1975" s="1042">
        <f t="shared" si="1209"/>
        <v>0</v>
      </c>
      <c r="I1975" s="1042">
        <f t="shared" si="1210"/>
        <v>0</v>
      </c>
      <c r="J1975" s="1042">
        <f t="shared" si="1208"/>
        <v>0</v>
      </c>
    </row>
    <row r="1976" spans="1:10" x14ac:dyDescent="0.25">
      <c r="A1976" s="1039"/>
      <c r="B1976" s="1039" t="str">
        <f t="shared" si="1202"/>
        <v/>
      </c>
      <c r="C1976" s="1039" t="str">
        <f t="shared" si="1203"/>
        <v/>
      </c>
      <c r="D1976" s="1040" t="str">
        <f t="shared" si="1204"/>
        <v/>
      </c>
      <c r="E1976" s="1041" t="str">
        <f t="shared" si="1205"/>
        <v/>
      </c>
      <c r="F1976" s="1040" t="str">
        <f t="shared" si="1206"/>
        <v/>
      </c>
      <c r="G1976" s="1041" t="str">
        <f t="shared" si="1207"/>
        <v/>
      </c>
      <c r="H1976" s="1042">
        <f t="shared" si="1209"/>
        <v>0</v>
      </c>
      <c r="I1976" s="1042">
        <f t="shared" si="1210"/>
        <v>0</v>
      </c>
      <c r="J1976" s="1042">
        <f t="shared" si="1208"/>
        <v>0</v>
      </c>
    </row>
    <row r="1977" spans="1:10" x14ac:dyDescent="0.25">
      <c r="A1977" s="1039"/>
      <c r="B1977" s="1039" t="str">
        <f t="shared" si="1202"/>
        <v/>
      </c>
      <c r="C1977" s="1039" t="str">
        <f t="shared" si="1203"/>
        <v/>
      </c>
      <c r="D1977" s="1040" t="str">
        <f t="shared" si="1204"/>
        <v/>
      </c>
      <c r="E1977" s="1041" t="str">
        <f t="shared" si="1205"/>
        <v/>
      </c>
      <c r="F1977" s="1040" t="str">
        <f t="shared" si="1206"/>
        <v/>
      </c>
      <c r="G1977" s="1041" t="str">
        <f t="shared" si="1207"/>
        <v/>
      </c>
      <c r="H1977" s="1042">
        <f t="shared" si="1209"/>
        <v>0</v>
      </c>
      <c r="I1977" s="1042">
        <f t="shared" si="1210"/>
        <v>0</v>
      </c>
      <c r="J1977" s="1042">
        <f t="shared" si="1208"/>
        <v>0</v>
      </c>
    </row>
    <row r="1978" spans="1:10" x14ac:dyDescent="0.25">
      <c r="A1978" s="1039"/>
      <c r="B1978" s="1039" t="str">
        <f t="shared" si="1202"/>
        <v/>
      </c>
      <c r="C1978" s="1039" t="str">
        <f t="shared" si="1203"/>
        <v/>
      </c>
      <c r="D1978" s="1040" t="str">
        <f t="shared" si="1204"/>
        <v/>
      </c>
      <c r="E1978" s="1041" t="str">
        <f t="shared" si="1205"/>
        <v/>
      </c>
      <c r="F1978" s="1040" t="str">
        <f t="shared" si="1206"/>
        <v/>
      </c>
      <c r="G1978" s="1041" t="str">
        <f t="shared" si="1207"/>
        <v/>
      </c>
      <c r="H1978" s="1042">
        <f t="shared" si="1209"/>
        <v>0</v>
      </c>
      <c r="I1978" s="1042">
        <f t="shared" si="1210"/>
        <v>0</v>
      </c>
      <c r="J1978" s="1042">
        <f t="shared" si="1208"/>
        <v>0</v>
      </c>
    </row>
    <row r="1979" spans="1:10" x14ac:dyDescent="0.25">
      <c r="A1979" s="1039"/>
      <c r="B1979" s="1039" t="str">
        <f t="shared" si="1202"/>
        <v/>
      </c>
      <c r="C1979" s="1039" t="str">
        <f t="shared" si="1203"/>
        <v/>
      </c>
      <c r="D1979" s="1040" t="str">
        <f t="shared" si="1204"/>
        <v/>
      </c>
      <c r="E1979" s="1041" t="str">
        <f t="shared" si="1205"/>
        <v/>
      </c>
      <c r="F1979" s="1040" t="str">
        <f t="shared" si="1206"/>
        <v/>
      </c>
      <c r="G1979" s="1041" t="str">
        <f t="shared" si="1207"/>
        <v/>
      </c>
      <c r="H1979" s="1042">
        <f t="shared" si="1209"/>
        <v>0</v>
      </c>
      <c r="I1979" s="1042">
        <f t="shared" si="1210"/>
        <v>0</v>
      </c>
      <c r="J1979" s="1042">
        <f t="shared" si="1208"/>
        <v>0</v>
      </c>
    </row>
    <row r="1980" spans="1:10" x14ac:dyDescent="0.25">
      <c r="A1980" s="1039"/>
      <c r="B1980" s="1039" t="str">
        <f t="shared" si="1202"/>
        <v/>
      </c>
      <c r="C1980" s="1039" t="str">
        <f t="shared" si="1203"/>
        <v/>
      </c>
      <c r="D1980" s="1040" t="str">
        <f t="shared" si="1204"/>
        <v/>
      </c>
      <c r="E1980" s="1041" t="str">
        <f t="shared" si="1205"/>
        <v/>
      </c>
      <c r="F1980" s="1040" t="str">
        <f t="shared" si="1206"/>
        <v/>
      </c>
      <c r="G1980" s="1041" t="str">
        <f t="shared" si="1207"/>
        <v/>
      </c>
      <c r="H1980" s="1042">
        <f t="shared" si="1209"/>
        <v>0</v>
      </c>
      <c r="I1980" s="1042">
        <f t="shared" si="1210"/>
        <v>0</v>
      </c>
      <c r="J1980" s="1042">
        <f t="shared" si="1208"/>
        <v>0</v>
      </c>
    </row>
    <row r="1981" spans="1:10" x14ac:dyDescent="0.25">
      <c r="A1981" s="1039"/>
      <c r="B1981" s="1039" t="str">
        <f t="shared" si="1202"/>
        <v/>
      </c>
      <c r="C1981" s="1039" t="str">
        <f t="shared" si="1203"/>
        <v/>
      </c>
      <c r="D1981" s="1040" t="str">
        <f t="shared" si="1204"/>
        <v/>
      </c>
      <c r="E1981" s="1041" t="str">
        <f t="shared" si="1205"/>
        <v/>
      </c>
      <c r="F1981" s="1040" t="str">
        <f t="shared" si="1206"/>
        <v/>
      </c>
      <c r="G1981" s="1041" t="str">
        <f t="shared" si="1207"/>
        <v/>
      </c>
      <c r="H1981" s="1042">
        <f t="shared" si="1209"/>
        <v>0</v>
      </c>
      <c r="I1981" s="1042">
        <f t="shared" si="1210"/>
        <v>0</v>
      </c>
      <c r="J1981" s="1042">
        <f t="shared" si="1208"/>
        <v>0</v>
      </c>
    </row>
    <row r="1982" spans="1:10" x14ac:dyDescent="0.25">
      <c r="A1982" s="1039"/>
      <c r="B1982" s="1039" t="str">
        <f t="shared" si="1202"/>
        <v/>
      </c>
      <c r="C1982" s="1039" t="str">
        <f t="shared" si="1203"/>
        <v/>
      </c>
      <c r="D1982" s="1040" t="str">
        <f t="shared" si="1204"/>
        <v/>
      </c>
      <c r="E1982" s="1041" t="str">
        <f t="shared" si="1205"/>
        <v/>
      </c>
      <c r="F1982" s="1040" t="str">
        <f t="shared" si="1206"/>
        <v/>
      </c>
      <c r="G1982" s="1041" t="str">
        <f t="shared" si="1207"/>
        <v/>
      </c>
      <c r="H1982" s="1042">
        <f t="shared" si="1209"/>
        <v>0</v>
      </c>
      <c r="I1982" s="1042">
        <f t="shared" si="1210"/>
        <v>0</v>
      </c>
      <c r="J1982" s="1042">
        <f t="shared" si="1208"/>
        <v>0</v>
      </c>
    </row>
    <row r="1983" spans="1:10" x14ac:dyDescent="0.25">
      <c r="A1983" s="1039"/>
      <c r="B1983" s="1039" t="str">
        <f t="shared" si="1202"/>
        <v/>
      </c>
      <c r="C1983" s="1039" t="str">
        <f t="shared" si="1203"/>
        <v/>
      </c>
      <c r="D1983" s="1040" t="str">
        <f t="shared" si="1204"/>
        <v/>
      </c>
      <c r="E1983" s="1041" t="str">
        <f t="shared" si="1205"/>
        <v/>
      </c>
      <c r="F1983" s="1040" t="str">
        <f t="shared" si="1206"/>
        <v/>
      </c>
      <c r="G1983" s="1041" t="str">
        <f t="shared" si="1207"/>
        <v/>
      </c>
      <c r="H1983" s="1042">
        <f t="shared" si="1209"/>
        <v>0</v>
      </c>
      <c r="I1983" s="1042">
        <f t="shared" si="1210"/>
        <v>0</v>
      </c>
      <c r="J1983" s="1042">
        <f t="shared" si="1208"/>
        <v>0</v>
      </c>
    </row>
    <row r="1984" spans="1:10" x14ac:dyDescent="0.25">
      <c r="A1984" s="1039"/>
      <c r="B1984" s="1039" t="str">
        <f t="shared" si="1202"/>
        <v/>
      </c>
      <c r="C1984" s="1039" t="str">
        <f t="shared" si="1203"/>
        <v/>
      </c>
      <c r="D1984" s="1040" t="str">
        <f t="shared" si="1204"/>
        <v/>
      </c>
      <c r="E1984" s="1041" t="str">
        <f t="shared" si="1205"/>
        <v/>
      </c>
      <c r="F1984" s="1040" t="str">
        <f t="shared" si="1206"/>
        <v/>
      </c>
      <c r="G1984" s="1041" t="str">
        <f t="shared" si="1207"/>
        <v/>
      </c>
      <c r="H1984" s="1042">
        <f t="shared" si="1209"/>
        <v>0</v>
      </c>
      <c r="I1984" s="1042">
        <f t="shared" si="1210"/>
        <v>0</v>
      </c>
      <c r="J1984" s="1042">
        <f t="shared" si="1208"/>
        <v>0</v>
      </c>
    </row>
    <row r="1985" spans="1:10" x14ac:dyDescent="0.25">
      <c r="A1985" s="1039"/>
      <c r="B1985" s="1039" t="str">
        <f t="shared" si="1202"/>
        <v/>
      </c>
      <c r="C1985" s="1039" t="str">
        <f t="shared" si="1203"/>
        <v/>
      </c>
      <c r="D1985" s="1040" t="str">
        <f t="shared" si="1204"/>
        <v/>
      </c>
      <c r="E1985" s="1041" t="str">
        <f t="shared" si="1205"/>
        <v/>
      </c>
      <c r="F1985" s="1040" t="str">
        <f t="shared" si="1206"/>
        <v/>
      </c>
      <c r="G1985" s="1041" t="str">
        <f t="shared" si="1207"/>
        <v/>
      </c>
      <c r="H1985" s="1042">
        <f t="shared" si="1209"/>
        <v>0</v>
      </c>
      <c r="I1985" s="1042">
        <f t="shared" si="1210"/>
        <v>0</v>
      </c>
      <c r="J1985" s="1042">
        <f t="shared" si="1208"/>
        <v>0</v>
      </c>
    </row>
    <row r="1986" spans="1:10" x14ac:dyDescent="0.25">
      <c r="A1986" s="1039"/>
      <c r="B1986" s="1039" t="str">
        <f t="shared" si="1202"/>
        <v/>
      </c>
      <c r="C1986" s="1039" t="str">
        <f t="shared" si="1203"/>
        <v/>
      </c>
      <c r="D1986" s="1040" t="str">
        <f t="shared" si="1204"/>
        <v/>
      </c>
      <c r="E1986" s="1041" t="str">
        <f t="shared" si="1205"/>
        <v/>
      </c>
      <c r="F1986" s="1040" t="str">
        <f t="shared" si="1206"/>
        <v/>
      </c>
      <c r="G1986" s="1041" t="str">
        <f t="shared" si="1207"/>
        <v/>
      </c>
      <c r="H1986" s="1042">
        <f t="shared" si="1209"/>
        <v>0</v>
      </c>
      <c r="I1986" s="1042">
        <f t="shared" si="1210"/>
        <v>0</v>
      </c>
      <c r="J1986" s="1042">
        <f t="shared" si="1208"/>
        <v>0</v>
      </c>
    </row>
    <row r="1987" spans="1:10" x14ac:dyDescent="0.25">
      <c r="A1987" s="1039"/>
      <c r="B1987" s="1039" t="str">
        <f t="shared" si="1202"/>
        <v/>
      </c>
      <c r="C1987" s="1039" t="str">
        <f t="shared" si="1203"/>
        <v/>
      </c>
      <c r="D1987" s="1040" t="str">
        <f t="shared" si="1204"/>
        <v/>
      </c>
      <c r="E1987" s="1041" t="str">
        <f t="shared" si="1205"/>
        <v/>
      </c>
      <c r="F1987" s="1040" t="str">
        <f t="shared" si="1206"/>
        <v/>
      </c>
      <c r="G1987" s="1041" t="str">
        <f t="shared" si="1207"/>
        <v/>
      </c>
      <c r="H1987" s="1042">
        <f t="shared" si="1209"/>
        <v>0</v>
      </c>
      <c r="I1987" s="1042">
        <f t="shared" si="1210"/>
        <v>0</v>
      </c>
      <c r="J1987" s="1042">
        <f t="shared" si="1208"/>
        <v>0</v>
      </c>
    </row>
    <row r="1988" spans="1:10" x14ac:dyDescent="0.25">
      <c r="A1988" s="1039"/>
      <c r="B1988" s="1039" t="str">
        <f t="shared" si="1202"/>
        <v/>
      </c>
      <c r="C1988" s="1039" t="str">
        <f t="shared" si="1203"/>
        <v/>
      </c>
      <c r="D1988" s="1040" t="str">
        <f t="shared" si="1204"/>
        <v/>
      </c>
      <c r="E1988" s="1041" t="str">
        <f t="shared" si="1205"/>
        <v/>
      </c>
      <c r="F1988" s="1040" t="str">
        <f t="shared" si="1206"/>
        <v/>
      </c>
      <c r="G1988" s="1041" t="str">
        <f t="shared" si="1207"/>
        <v/>
      </c>
      <c r="H1988" s="1042">
        <f t="shared" si="1209"/>
        <v>0</v>
      </c>
      <c r="I1988" s="1042">
        <f t="shared" si="1210"/>
        <v>0</v>
      </c>
      <c r="J1988" s="1042">
        <f t="shared" si="1208"/>
        <v>0</v>
      </c>
    </row>
    <row r="1989" spans="1:10" x14ac:dyDescent="0.25">
      <c r="A1989" s="1039"/>
      <c r="B1989" s="1039" t="str">
        <f t="shared" si="1202"/>
        <v/>
      </c>
      <c r="C1989" s="1039" t="str">
        <f t="shared" si="1203"/>
        <v/>
      </c>
      <c r="D1989" s="1040" t="str">
        <f t="shared" si="1204"/>
        <v/>
      </c>
      <c r="E1989" s="1041" t="str">
        <f t="shared" si="1205"/>
        <v/>
      </c>
      <c r="F1989" s="1040" t="str">
        <f t="shared" si="1206"/>
        <v/>
      </c>
      <c r="G1989" s="1041" t="str">
        <f t="shared" si="1207"/>
        <v/>
      </c>
      <c r="H1989" s="1042">
        <f t="shared" si="1209"/>
        <v>0</v>
      </c>
      <c r="I1989" s="1042">
        <f t="shared" si="1210"/>
        <v>0</v>
      </c>
      <c r="J1989" s="1042">
        <f t="shared" si="1208"/>
        <v>0</v>
      </c>
    </row>
    <row r="1990" spans="1:10" x14ac:dyDescent="0.25">
      <c r="A1990" s="1039"/>
      <c r="B1990" s="1039" t="str">
        <f t="shared" si="1202"/>
        <v/>
      </c>
      <c r="C1990" s="1039" t="str">
        <f t="shared" si="1203"/>
        <v/>
      </c>
      <c r="D1990" s="1040" t="str">
        <f t="shared" si="1204"/>
        <v/>
      </c>
      <c r="E1990" s="1041" t="str">
        <f t="shared" si="1205"/>
        <v/>
      </c>
      <c r="F1990" s="1040" t="str">
        <f t="shared" si="1206"/>
        <v/>
      </c>
      <c r="G1990" s="1041" t="str">
        <f t="shared" si="1207"/>
        <v/>
      </c>
      <c r="H1990" s="1042">
        <f t="shared" si="1209"/>
        <v>0</v>
      </c>
      <c r="I1990" s="1042">
        <f t="shared" si="1210"/>
        <v>0</v>
      </c>
      <c r="J1990" s="1042">
        <f t="shared" si="1208"/>
        <v>0</v>
      </c>
    </row>
    <row r="1991" spans="1:10" x14ac:dyDescent="0.25">
      <c r="A1991" s="1039"/>
      <c r="B1991" s="1039" t="str">
        <f t="shared" si="1202"/>
        <v/>
      </c>
      <c r="C1991" s="1039" t="str">
        <f t="shared" si="1203"/>
        <v/>
      </c>
      <c r="D1991" s="1040" t="str">
        <f t="shared" si="1204"/>
        <v/>
      </c>
      <c r="E1991" s="1041" t="str">
        <f t="shared" si="1205"/>
        <v/>
      </c>
      <c r="F1991" s="1040" t="str">
        <f t="shared" si="1206"/>
        <v/>
      </c>
      <c r="G1991" s="1041" t="str">
        <f t="shared" si="1207"/>
        <v/>
      </c>
      <c r="H1991" s="1042">
        <f t="shared" si="1209"/>
        <v>0</v>
      </c>
      <c r="I1991" s="1042">
        <f t="shared" si="1210"/>
        <v>0</v>
      </c>
      <c r="J1991" s="1042">
        <f t="shared" si="1208"/>
        <v>0</v>
      </c>
    </row>
    <row r="1992" spans="1:10" x14ac:dyDescent="0.25">
      <c r="A1992" s="1039"/>
      <c r="B1992" s="1039" t="str">
        <f t="shared" si="1202"/>
        <v/>
      </c>
      <c r="C1992" s="1039" t="str">
        <f t="shared" si="1203"/>
        <v/>
      </c>
      <c r="D1992" s="1040" t="str">
        <f t="shared" si="1204"/>
        <v/>
      </c>
      <c r="E1992" s="1041" t="str">
        <f t="shared" si="1205"/>
        <v/>
      </c>
      <c r="F1992" s="1040" t="str">
        <f t="shared" si="1206"/>
        <v/>
      </c>
      <c r="G1992" s="1041" t="str">
        <f t="shared" si="1207"/>
        <v/>
      </c>
      <c r="H1992" s="1042">
        <f t="shared" si="1209"/>
        <v>0</v>
      </c>
      <c r="I1992" s="1042">
        <f t="shared" si="1210"/>
        <v>0</v>
      </c>
      <c r="J1992" s="1042">
        <f t="shared" si="1208"/>
        <v>0</v>
      </c>
    </row>
    <row r="1993" spans="1:10" x14ac:dyDescent="0.25">
      <c r="A1993" s="1039"/>
      <c r="B1993" s="1039" t="str">
        <f t="shared" si="1202"/>
        <v/>
      </c>
      <c r="C1993" s="1039" t="str">
        <f t="shared" si="1203"/>
        <v/>
      </c>
      <c r="D1993" s="1040" t="str">
        <f t="shared" si="1204"/>
        <v/>
      </c>
      <c r="E1993" s="1041" t="str">
        <f t="shared" si="1205"/>
        <v/>
      </c>
      <c r="F1993" s="1040" t="str">
        <f t="shared" si="1206"/>
        <v/>
      </c>
      <c r="G1993" s="1041" t="str">
        <f t="shared" si="1207"/>
        <v/>
      </c>
      <c r="H1993" s="1042">
        <f t="shared" si="1209"/>
        <v>0</v>
      </c>
      <c r="I1993" s="1042">
        <f t="shared" si="1210"/>
        <v>0</v>
      </c>
      <c r="J1993" s="1042">
        <f t="shared" si="1208"/>
        <v>0</v>
      </c>
    </row>
    <row r="1994" spans="1:10" x14ac:dyDescent="0.25">
      <c r="A1994" s="1039"/>
      <c r="B1994" s="1039" t="str">
        <f t="shared" si="1202"/>
        <v/>
      </c>
      <c r="C1994" s="1039" t="str">
        <f t="shared" si="1203"/>
        <v/>
      </c>
      <c r="D1994" s="1040" t="str">
        <f t="shared" si="1204"/>
        <v/>
      </c>
      <c r="E1994" s="1041" t="str">
        <f t="shared" si="1205"/>
        <v/>
      </c>
      <c r="F1994" s="1040" t="str">
        <f t="shared" si="1206"/>
        <v/>
      </c>
      <c r="G1994" s="1041" t="str">
        <f t="shared" si="1207"/>
        <v/>
      </c>
      <c r="H1994" s="1042">
        <f t="shared" si="1209"/>
        <v>0</v>
      </c>
      <c r="I1994" s="1042">
        <f t="shared" si="1210"/>
        <v>0</v>
      </c>
      <c r="J1994" s="1042">
        <f t="shared" si="1208"/>
        <v>0</v>
      </c>
    </row>
    <row r="1995" spans="1:10" x14ac:dyDescent="0.25">
      <c r="A1995" s="1039"/>
      <c r="B1995" s="1039" t="str">
        <f t="shared" si="1202"/>
        <v/>
      </c>
      <c r="C1995" s="1039" t="str">
        <f t="shared" si="1203"/>
        <v/>
      </c>
      <c r="D1995" s="1040" t="str">
        <f t="shared" si="1204"/>
        <v/>
      </c>
      <c r="E1995" s="1041" t="str">
        <f t="shared" si="1205"/>
        <v/>
      </c>
      <c r="F1995" s="1040" t="str">
        <f t="shared" si="1206"/>
        <v/>
      </c>
      <c r="G1995" s="1041" t="str">
        <f t="shared" si="1207"/>
        <v/>
      </c>
      <c r="H1995" s="1042">
        <f t="shared" si="1209"/>
        <v>0</v>
      </c>
      <c r="I1995" s="1042">
        <f t="shared" si="1210"/>
        <v>0</v>
      </c>
      <c r="J1995" s="1042">
        <f t="shared" si="1208"/>
        <v>0</v>
      </c>
    </row>
    <row r="1996" spans="1:10" x14ac:dyDescent="0.25">
      <c r="A1996" s="1039"/>
      <c r="B1996" s="1039" t="str">
        <f t="shared" si="1202"/>
        <v/>
      </c>
      <c r="C1996" s="1039" t="str">
        <f t="shared" si="1203"/>
        <v/>
      </c>
      <c r="D1996" s="1040" t="str">
        <f t="shared" si="1204"/>
        <v/>
      </c>
      <c r="E1996" s="1041" t="str">
        <f t="shared" si="1205"/>
        <v/>
      </c>
      <c r="F1996" s="1040" t="str">
        <f t="shared" si="1206"/>
        <v/>
      </c>
      <c r="G1996" s="1041" t="str">
        <f t="shared" si="1207"/>
        <v/>
      </c>
      <c r="H1996" s="1042">
        <f t="shared" si="1209"/>
        <v>0</v>
      </c>
      <c r="I1996" s="1042">
        <f t="shared" si="1210"/>
        <v>0</v>
      </c>
      <c r="J1996" s="1042">
        <f t="shared" si="1208"/>
        <v>0</v>
      </c>
    </row>
    <row r="1997" spans="1:10" x14ac:dyDescent="0.25">
      <c r="A1997" s="1039"/>
      <c r="B1997" s="1039" t="str">
        <f t="shared" si="1202"/>
        <v/>
      </c>
      <c r="C1997" s="1039" t="str">
        <f t="shared" si="1203"/>
        <v/>
      </c>
      <c r="D1997" s="1040" t="str">
        <f t="shared" si="1204"/>
        <v/>
      </c>
      <c r="E1997" s="1041" t="str">
        <f t="shared" si="1205"/>
        <v/>
      </c>
      <c r="F1997" s="1040" t="str">
        <f t="shared" si="1206"/>
        <v/>
      </c>
      <c r="G1997" s="1041" t="str">
        <f t="shared" si="1207"/>
        <v/>
      </c>
      <c r="H1997" s="1042">
        <f t="shared" si="1209"/>
        <v>0</v>
      </c>
      <c r="I1997" s="1042">
        <f t="shared" si="1210"/>
        <v>0</v>
      </c>
      <c r="J1997" s="1042">
        <f t="shared" si="1208"/>
        <v>0</v>
      </c>
    </row>
    <row r="1998" spans="1:10" x14ac:dyDescent="0.25">
      <c r="A1998" s="1039"/>
      <c r="B1998" s="1039" t="str">
        <f t="shared" si="1202"/>
        <v/>
      </c>
      <c r="C1998" s="1039" t="str">
        <f t="shared" si="1203"/>
        <v/>
      </c>
      <c r="D1998" s="1040" t="str">
        <f t="shared" si="1204"/>
        <v/>
      </c>
      <c r="E1998" s="1041" t="str">
        <f t="shared" si="1205"/>
        <v/>
      </c>
      <c r="F1998" s="1040" t="str">
        <f t="shared" si="1206"/>
        <v/>
      </c>
      <c r="G1998" s="1041" t="str">
        <f t="shared" si="1207"/>
        <v/>
      </c>
      <c r="H1998" s="1042">
        <f t="shared" si="1209"/>
        <v>0</v>
      </c>
      <c r="I1998" s="1042">
        <f t="shared" si="1210"/>
        <v>0</v>
      </c>
      <c r="J1998" s="1042">
        <f t="shared" si="1208"/>
        <v>0</v>
      </c>
    </row>
    <row r="1999" spans="1:10" x14ac:dyDescent="0.25">
      <c r="A1999" s="1039"/>
      <c r="B1999" s="1039" t="str">
        <f t="shared" si="1202"/>
        <v/>
      </c>
      <c r="C1999" s="1039" t="str">
        <f t="shared" si="1203"/>
        <v/>
      </c>
      <c r="D1999" s="1040" t="str">
        <f t="shared" si="1204"/>
        <v/>
      </c>
      <c r="E1999" s="1041" t="str">
        <f t="shared" si="1205"/>
        <v/>
      </c>
      <c r="F1999" s="1040" t="str">
        <f t="shared" si="1206"/>
        <v/>
      </c>
      <c r="G1999" s="1041" t="str">
        <f t="shared" si="1207"/>
        <v/>
      </c>
      <c r="H1999" s="1042">
        <f t="shared" si="1209"/>
        <v>0</v>
      </c>
      <c r="I1999" s="1042">
        <f t="shared" si="1210"/>
        <v>0</v>
      </c>
      <c r="J1999" s="1042">
        <f t="shared" si="1208"/>
        <v>0</v>
      </c>
    </row>
    <row r="2000" spans="1:10" x14ac:dyDescent="0.25">
      <c r="A2000" s="1039"/>
      <c r="B2000" s="1039" t="str">
        <f t="shared" si="1202"/>
        <v/>
      </c>
      <c r="C2000" s="1039" t="str">
        <f t="shared" si="1203"/>
        <v/>
      </c>
      <c r="D2000" s="1040" t="str">
        <f t="shared" si="1204"/>
        <v/>
      </c>
      <c r="E2000" s="1041" t="str">
        <f t="shared" si="1205"/>
        <v/>
      </c>
      <c r="F2000" s="1040" t="str">
        <f t="shared" si="1206"/>
        <v/>
      </c>
      <c r="G2000" s="1041" t="str">
        <f t="shared" si="1207"/>
        <v/>
      </c>
      <c r="H2000" s="1042">
        <f t="shared" si="1209"/>
        <v>0</v>
      </c>
      <c r="I2000" s="1042">
        <f t="shared" si="1210"/>
        <v>0</v>
      </c>
      <c r="J2000" s="1042">
        <f t="shared" si="1208"/>
        <v>0</v>
      </c>
    </row>
    <row r="2001" spans="1:10" x14ac:dyDescent="0.25">
      <c r="A2001" s="1039"/>
      <c r="B2001" s="1039" t="str">
        <f t="shared" ref="B2001:B2064" si="1211">IFERROR(VLOOKUP(A2001,DB,2,FALSE),"")</f>
        <v/>
      </c>
      <c r="C2001" s="1039" t="str">
        <f t="shared" si="1203"/>
        <v/>
      </c>
      <c r="D2001" s="1040" t="str">
        <f t="shared" si="1204"/>
        <v/>
      </c>
      <c r="E2001" s="1041" t="str">
        <f t="shared" si="1205"/>
        <v/>
      </c>
      <c r="F2001" s="1040" t="str">
        <f t="shared" si="1206"/>
        <v/>
      </c>
      <c r="G2001" s="1041" t="str">
        <f t="shared" si="1207"/>
        <v/>
      </c>
      <c r="H2001" s="1042">
        <f t="shared" si="1209"/>
        <v>0</v>
      </c>
      <c r="I2001" s="1042">
        <f t="shared" si="1210"/>
        <v>0</v>
      </c>
      <c r="J2001" s="1042">
        <f t="shared" si="1208"/>
        <v>0</v>
      </c>
    </row>
    <row r="2002" spans="1:10" x14ac:dyDescent="0.25">
      <c r="A2002" s="1039"/>
      <c r="B2002" s="1039" t="str">
        <f t="shared" si="1211"/>
        <v/>
      </c>
      <c r="C2002" s="1039" t="str">
        <f t="shared" si="1203"/>
        <v/>
      </c>
      <c r="D2002" s="1040" t="str">
        <f t="shared" si="1204"/>
        <v/>
      </c>
      <c r="E2002" s="1041" t="str">
        <f t="shared" si="1205"/>
        <v/>
      </c>
      <c r="F2002" s="1040" t="str">
        <f t="shared" si="1206"/>
        <v/>
      </c>
      <c r="G2002" s="1041" t="str">
        <f t="shared" si="1207"/>
        <v/>
      </c>
      <c r="H2002" s="1042">
        <f t="shared" si="1209"/>
        <v>0</v>
      </c>
      <c r="I2002" s="1042">
        <f t="shared" si="1210"/>
        <v>0</v>
      </c>
      <c r="J2002" s="1042">
        <f t="shared" si="1208"/>
        <v>0</v>
      </c>
    </row>
    <row r="2003" spans="1:10" x14ac:dyDescent="0.25">
      <c r="A2003" s="1039"/>
      <c r="B2003" s="1039" t="str">
        <f t="shared" si="1211"/>
        <v/>
      </c>
      <c r="C2003" s="1039" t="str">
        <f t="shared" si="1203"/>
        <v/>
      </c>
      <c r="D2003" s="1040" t="str">
        <f t="shared" si="1204"/>
        <v/>
      </c>
      <c r="E2003" s="1041" t="str">
        <f t="shared" si="1205"/>
        <v/>
      </c>
      <c r="F2003" s="1040" t="str">
        <f t="shared" si="1206"/>
        <v/>
      </c>
      <c r="G2003" s="1041" t="str">
        <f t="shared" si="1207"/>
        <v/>
      </c>
      <c r="H2003" s="1042">
        <f t="shared" si="1209"/>
        <v>0</v>
      </c>
      <c r="I2003" s="1042">
        <f t="shared" si="1210"/>
        <v>0</v>
      </c>
      <c r="J2003" s="1042">
        <f t="shared" si="1208"/>
        <v>0</v>
      </c>
    </row>
    <row r="2004" spans="1:10" x14ac:dyDescent="0.25">
      <c r="A2004" s="1039"/>
      <c r="B2004" s="1039" t="str">
        <f t="shared" si="1211"/>
        <v/>
      </c>
      <c r="C2004" s="1039" t="str">
        <f t="shared" si="1203"/>
        <v/>
      </c>
      <c r="D2004" s="1040" t="str">
        <f t="shared" si="1204"/>
        <v/>
      </c>
      <c r="E2004" s="1041" t="str">
        <f t="shared" si="1205"/>
        <v/>
      </c>
      <c r="F2004" s="1040" t="str">
        <f t="shared" si="1206"/>
        <v/>
      </c>
      <c r="G2004" s="1041" t="str">
        <f t="shared" si="1207"/>
        <v/>
      </c>
      <c r="H2004" s="1042">
        <f t="shared" si="1209"/>
        <v>0</v>
      </c>
      <c r="I2004" s="1042">
        <f t="shared" si="1210"/>
        <v>0</v>
      </c>
      <c r="J2004" s="1042">
        <f t="shared" si="1208"/>
        <v>0</v>
      </c>
    </row>
    <row r="2005" spans="1:10" x14ac:dyDescent="0.25">
      <c r="A2005" s="1039"/>
      <c r="B2005" s="1039" t="str">
        <f t="shared" si="1211"/>
        <v/>
      </c>
      <c r="C2005" s="1039" t="str">
        <f t="shared" si="1203"/>
        <v/>
      </c>
      <c r="D2005" s="1040" t="str">
        <f t="shared" si="1204"/>
        <v/>
      </c>
      <c r="E2005" s="1041" t="str">
        <f t="shared" si="1205"/>
        <v/>
      </c>
      <c r="F2005" s="1040" t="str">
        <f t="shared" si="1206"/>
        <v/>
      </c>
      <c r="G2005" s="1041" t="str">
        <f t="shared" si="1207"/>
        <v/>
      </c>
      <c r="H2005" s="1042">
        <f t="shared" si="1209"/>
        <v>0</v>
      </c>
      <c r="I2005" s="1042">
        <f t="shared" si="1210"/>
        <v>0</v>
      </c>
      <c r="J2005" s="1042">
        <f t="shared" si="1208"/>
        <v>0</v>
      </c>
    </row>
    <row r="2006" spans="1:10" x14ac:dyDescent="0.25">
      <c r="A2006" s="1039"/>
      <c r="B2006" s="1039" t="str">
        <f t="shared" si="1211"/>
        <v/>
      </c>
      <c r="C2006" s="1039" t="str">
        <f t="shared" si="1203"/>
        <v/>
      </c>
      <c r="D2006" s="1040" t="str">
        <f t="shared" si="1204"/>
        <v/>
      </c>
      <c r="E2006" s="1041" t="str">
        <f t="shared" si="1205"/>
        <v/>
      </c>
      <c r="F2006" s="1040" t="str">
        <f t="shared" si="1206"/>
        <v/>
      </c>
      <c r="G2006" s="1041" t="str">
        <f t="shared" si="1207"/>
        <v/>
      </c>
      <c r="H2006" s="1042">
        <f t="shared" si="1209"/>
        <v>0</v>
      </c>
      <c r="I2006" s="1042">
        <f t="shared" si="1210"/>
        <v>0</v>
      </c>
      <c r="J2006" s="1042">
        <f t="shared" si="1208"/>
        <v>0</v>
      </c>
    </row>
    <row r="2007" spans="1:10" x14ac:dyDescent="0.25">
      <c r="A2007" s="1039"/>
      <c r="B2007" s="1039" t="str">
        <f t="shared" si="1211"/>
        <v/>
      </c>
      <c r="C2007" s="1039" t="str">
        <f t="shared" si="1203"/>
        <v/>
      </c>
      <c r="D2007" s="1040" t="str">
        <f t="shared" si="1204"/>
        <v/>
      </c>
      <c r="E2007" s="1041" t="str">
        <f t="shared" si="1205"/>
        <v/>
      </c>
      <c r="F2007" s="1040" t="str">
        <f t="shared" si="1206"/>
        <v/>
      </c>
      <c r="G2007" s="1041" t="str">
        <f t="shared" si="1207"/>
        <v/>
      </c>
      <c r="H2007" s="1042">
        <f t="shared" si="1209"/>
        <v>0</v>
      </c>
      <c r="I2007" s="1042">
        <f t="shared" si="1210"/>
        <v>0</v>
      </c>
      <c r="J2007" s="1042">
        <f t="shared" si="1208"/>
        <v>0</v>
      </c>
    </row>
    <row r="2008" spans="1:10" x14ac:dyDescent="0.25">
      <c r="A2008" s="1039"/>
      <c r="B2008" s="1039" t="str">
        <f t="shared" si="1211"/>
        <v/>
      </c>
      <c r="C2008" s="1039" t="str">
        <f t="shared" si="1203"/>
        <v/>
      </c>
      <c r="D2008" s="1040" t="str">
        <f t="shared" si="1204"/>
        <v/>
      </c>
      <c r="E2008" s="1041" t="str">
        <f t="shared" si="1205"/>
        <v/>
      </c>
      <c r="F2008" s="1040" t="str">
        <f t="shared" si="1206"/>
        <v/>
      </c>
      <c r="G2008" s="1041" t="str">
        <f t="shared" si="1207"/>
        <v/>
      </c>
      <c r="H2008" s="1042">
        <f t="shared" si="1209"/>
        <v>0</v>
      </c>
      <c r="I2008" s="1042">
        <f t="shared" si="1210"/>
        <v>0</v>
      </c>
      <c r="J2008" s="1042">
        <f t="shared" si="1208"/>
        <v>0</v>
      </c>
    </row>
    <row r="2009" spans="1:10" x14ac:dyDescent="0.25">
      <c r="A2009" s="1039"/>
      <c r="B2009" s="1039" t="str">
        <f t="shared" si="1211"/>
        <v/>
      </c>
      <c r="C2009" s="1039" t="str">
        <f t="shared" si="1203"/>
        <v/>
      </c>
      <c r="D2009" s="1040" t="str">
        <f t="shared" si="1204"/>
        <v/>
      </c>
      <c r="E2009" s="1041" t="str">
        <f t="shared" si="1205"/>
        <v/>
      </c>
      <c r="F2009" s="1040" t="str">
        <f t="shared" si="1206"/>
        <v/>
      </c>
      <c r="G2009" s="1041" t="str">
        <f t="shared" si="1207"/>
        <v/>
      </c>
      <c r="H2009" s="1042">
        <f t="shared" si="1209"/>
        <v>0</v>
      </c>
      <c r="I2009" s="1042">
        <f t="shared" si="1210"/>
        <v>0</v>
      </c>
      <c r="J2009" s="1042">
        <f t="shared" si="1208"/>
        <v>0</v>
      </c>
    </row>
    <row r="2010" spans="1:10" x14ac:dyDescent="0.25">
      <c r="A2010" s="1039"/>
      <c r="B2010" s="1039" t="str">
        <f t="shared" si="1211"/>
        <v/>
      </c>
      <c r="C2010" s="1039" t="str">
        <f t="shared" si="1203"/>
        <v/>
      </c>
      <c r="D2010" s="1040" t="str">
        <f t="shared" si="1204"/>
        <v/>
      </c>
      <c r="E2010" s="1041" t="str">
        <f t="shared" si="1205"/>
        <v/>
      </c>
      <c r="F2010" s="1040" t="str">
        <f t="shared" si="1206"/>
        <v/>
      </c>
      <c r="G2010" s="1041" t="str">
        <f t="shared" si="1207"/>
        <v/>
      </c>
      <c r="H2010" s="1042">
        <f t="shared" si="1209"/>
        <v>0</v>
      </c>
      <c r="I2010" s="1042">
        <f t="shared" si="1210"/>
        <v>0</v>
      </c>
      <c r="J2010" s="1042">
        <f t="shared" si="1208"/>
        <v>0</v>
      </c>
    </row>
    <row r="2011" spans="1:10" x14ac:dyDescent="0.25">
      <c r="A2011" s="1039"/>
      <c r="B2011" s="1039" t="str">
        <f t="shared" si="1211"/>
        <v/>
      </c>
      <c r="C2011" s="1039" t="str">
        <f t="shared" si="1203"/>
        <v/>
      </c>
      <c r="D2011" s="1040" t="str">
        <f t="shared" si="1204"/>
        <v/>
      </c>
      <c r="E2011" s="1041" t="str">
        <f t="shared" si="1205"/>
        <v/>
      </c>
      <c r="F2011" s="1040" t="str">
        <f t="shared" si="1206"/>
        <v/>
      </c>
      <c r="G2011" s="1041" t="str">
        <f t="shared" si="1207"/>
        <v/>
      </c>
      <c r="H2011" s="1042">
        <f t="shared" si="1209"/>
        <v>0</v>
      </c>
      <c r="I2011" s="1042">
        <f t="shared" si="1210"/>
        <v>0</v>
      </c>
      <c r="J2011" s="1042">
        <f t="shared" si="1208"/>
        <v>0</v>
      </c>
    </row>
    <row r="2012" spans="1:10" x14ac:dyDescent="0.25">
      <c r="A2012" s="1039"/>
      <c r="B2012" s="1039" t="str">
        <f t="shared" si="1211"/>
        <v/>
      </c>
      <c r="C2012" s="1039" t="str">
        <f t="shared" si="1203"/>
        <v/>
      </c>
      <c r="D2012" s="1040" t="str">
        <f t="shared" si="1204"/>
        <v/>
      </c>
      <c r="E2012" s="1041" t="str">
        <f t="shared" si="1205"/>
        <v/>
      </c>
      <c r="F2012" s="1040" t="str">
        <f t="shared" si="1206"/>
        <v/>
      </c>
      <c r="G2012" s="1041" t="str">
        <f t="shared" si="1207"/>
        <v/>
      </c>
      <c r="H2012" s="1042">
        <f t="shared" si="1209"/>
        <v>0</v>
      </c>
      <c r="I2012" s="1042">
        <f t="shared" si="1210"/>
        <v>0</v>
      </c>
      <c r="J2012" s="1042">
        <f t="shared" si="1208"/>
        <v>0</v>
      </c>
    </row>
    <row r="2013" spans="1:10" x14ac:dyDescent="0.25">
      <c r="A2013" s="1039"/>
      <c r="B2013" s="1039" t="str">
        <f t="shared" si="1211"/>
        <v/>
      </c>
      <c r="C2013" s="1039" t="str">
        <f t="shared" si="1203"/>
        <v/>
      </c>
      <c r="D2013" s="1040" t="str">
        <f t="shared" si="1204"/>
        <v/>
      </c>
      <c r="E2013" s="1041" t="str">
        <f t="shared" si="1205"/>
        <v/>
      </c>
      <c r="F2013" s="1040" t="str">
        <f t="shared" si="1206"/>
        <v/>
      </c>
      <c r="G2013" s="1041" t="str">
        <f t="shared" si="1207"/>
        <v/>
      </c>
      <c r="H2013" s="1042">
        <f t="shared" si="1209"/>
        <v>0</v>
      </c>
      <c r="I2013" s="1042">
        <f t="shared" si="1210"/>
        <v>0</v>
      </c>
      <c r="J2013" s="1042">
        <f t="shared" si="1208"/>
        <v>0</v>
      </c>
    </row>
    <row r="2014" spans="1:10" x14ac:dyDescent="0.25">
      <c r="A2014" s="1039"/>
      <c r="B2014" s="1039" t="str">
        <f t="shared" si="1211"/>
        <v/>
      </c>
      <c r="C2014" s="1039" t="str">
        <f t="shared" si="1203"/>
        <v/>
      </c>
      <c r="D2014" s="1040" t="str">
        <f t="shared" si="1204"/>
        <v/>
      </c>
      <c r="E2014" s="1041" t="str">
        <f t="shared" si="1205"/>
        <v/>
      </c>
      <c r="F2014" s="1040" t="str">
        <f t="shared" si="1206"/>
        <v/>
      </c>
      <c r="G2014" s="1041" t="str">
        <f t="shared" si="1207"/>
        <v/>
      </c>
      <c r="H2014" s="1042">
        <f t="shared" si="1209"/>
        <v>0</v>
      </c>
      <c r="I2014" s="1042">
        <f t="shared" si="1210"/>
        <v>0</v>
      </c>
      <c r="J2014" s="1042">
        <f t="shared" si="1208"/>
        <v>0</v>
      </c>
    </row>
    <row r="2015" spans="1:10" x14ac:dyDescent="0.25">
      <c r="A2015" s="1039"/>
      <c r="B2015" s="1039" t="str">
        <f t="shared" si="1211"/>
        <v/>
      </c>
      <c r="C2015" s="1039" t="str">
        <f t="shared" si="1203"/>
        <v/>
      </c>
      <c r="D2015" s="1040" t="str">
        <f t="shared" si="1204"/>
        <v/>
      </c>
      <c r="E2015" s="1041" t="str">
        <f t="shared" si="1205"/>
        <v/>
      </c>
      <c r="F2015" s="1040" t="str">
        <f t="shared" si="1206"/>
        <v/>
      </c>
      <c r="G2015" s="1041" t="str">
        <f t="shared" si="1207"/>
        <v/>
      </c>
      <c r="H2015" s="1042">
        <f t="shared" si="1209"/>
        <v>0</v>
      </c>
      <c r="I2015" s="1042">
        <f t="shared" si="1210"/>
        <v>0</v>
      </c>
      <c r="J2015" s="1042">
        <f t="shared" si="1208"/>
        <v>0</v>
      </c>
    </row>
    <row r="2016" spans="1:10" x14ac:dyDescent="0.25">
      <c r="A2016" s="1039"/>
      <c r="B2016" s="1039" t="str">
        <f t="shared" si="1211"/>
        <v/>
      </c>
      <c r="C2016" s="1039" t="str">
        <f t="shared" si="1203"/>
        <v/>
      </c>
      <c r="D2016" s="1040" t="str">
        <f t="shared" si="1204"/>
        <v/>
      </c>
      <c r="E2016" s="1041" t="str">
        <f t="shared" si="1205"/>
        <v/>
      </c>
      <c r="F2016" s="1040" t="str">
        <f t="shared" si="1206"/>
        <v/>
      </c>
      <c r="G2016" s="1041" t="str">
        <f t="shared" si="1207"/>
        <v/>
      </c>
      <c r="H2016" s="1042">
        <f t="shared" si="1209"/>
        <v>0</v>
      </c>
      <c r="I2016" s="1042">
        <f t="shared" si="1210"/>
        <v>0</v>
      </c>
      <c r="J2016" s="1042">
        <f t="shared" si="1208"/>
        <v>0</v>
      </c>
    </row>
    <row r="2017" spans="1:10" x14ac:dyDescent="0.25">
      <c r="A2017" s="1039"/>
      <c r="B2017" s="1039" t="str">
        <f t="shared" si="1211"/>
        <v/>
      </c>
      <c r="C2017" s="1039" t="str">
        <f t="shared" si="1203"/>
        <v/>
      </c>
      <c r="D2017" s="1040" t="str">
        <f t="shared" si="1204"/>
        <v/>
      </c>
      <c r="E2017" s="1041" t="str">
        <f t="shared" si="1205"/>
        <v/>
      </c>
      <c r="F2017" s="1040" t="str">
        <f t="shared" si="1206"/>
        <v/>
      </c>
      <c r="G2017" s="1041" t="str">
        <f t="shared" si="1207"/>
        <v/>
      </c>
      <c r="H2017" s="1042">
        <f t="shared" si="1209"/>
        <v>0</v>
      </c>
      <c r="I2017" s="1042">
        <f t="shared" si="1210"/>
        <v>0</v>
      </c>
      <c r="J2017" s="1042">
        <f t="shared" si="1208"/>
        <v>0</v>
      </c>
    </row>
    <row r="2018" spans="1:10" x14ac:dyDescent="0.25">
      <c r="A2018" s="1039"/>
      <c r="B2018" s="1039" t="str">
        <f t="shared" si="1211"/>
        <v/>
      </c>
      <c r="C2018" s="1039" t="str">
        <f t="shared" si="1203"/>
        <v/>
      </c>
      <c r="D2018" s="1040" t="str">
        <f t="shared" si="1204"/>
        <v/>
      </c>
      <c r="E2018" s="1041" t="str">
        <f t="shared" si="1205"/>
        <v/>
      </c>
      <c r="F2018" s="1040" t="str">
        <f t="shared" si="1206"/>
        <v/>
      </c>
      <c r="G2018" s="1041" t="str">
        <f t="shared" si="1207"/>
        <v/>
      </c>
      <c r="H2018" s="1042">
        <f t="shared" si="1209"/>
        <v>0</v>
      </c>
      <c r="I2018" s="1042">
        <f t="shared" si="1210"/>
        <v>0</v>
      </c>
      <c r="J2018" s="1042">
        <f t="shared" si="1208"/>
        <v>0</v>
      </c>
    </row>
    <row r="2019" spans="1:10" x14ac:dyDescent="0.25">
      <c r="A2019" s="1039"/>
      <c r="B2019" s="1039" t="str">
        <f t="shared" si="1211"/>
        <v/>
      </c>
      <c r="C2019" s="1039" t="str">
        <f t="shared" si="1203"/>
        <v/>
      </c>
      <c r="D2019" s="1040" t="str">
        <f t="shared" si="1204"/>
        <v/>
      </c>
      <c r="E2019" s="1041" t="str">
        <f t="shared" si="1205"/>
        <v/>
      </c>
      <c r="F2019" s="1040" t="str">
        <f t="shared" si="1206"/>
        <v/>
      </c>
      <c r="G2019" s="1041" t="str">
        <f t="shared" si="1207"/>
        <v/>
      </c>
      <c r="H2019" s="1042">
        <f t="shared" si="1209"/>
        <v>0</v>
      </c>
      <c r="I2019" s="1042">
        <f t="shared" si="1210"/>
        <v>0</v>
      </c>
      <c r="J2019" s="1042">
        <f t="shared" si="1208"/>
        <v>0</v>
      </c>
    </row>
    <row r="2020" spans="1:10" x14ac:dyDescent="0.25">
      <c r="A2020" s="1039"/>
      <c r="B2020" s="1039" t="str">
        <f t="shared" si="1211"/>
        <v/>
      </c>
      <c r="C2020" s="1039" t="str">
        <f t="shared" si="1203"/>
        <v/>
      </c>
      <c r="D2020" s="1040" t="str">
        <f t="shared" si="1204"/>
        <v/>
      </c>
      <c r="E2020" s="1041" t="str">
        <f t="shared" si="1205"/>
        <v/>
      </c>
      <c r="F2020" s="1040" t="str">
        <f t="shared" si="1206"/>
        <v/>
      </c>
      <c r="G2020" s="1041" t="str">
        <f t="shared" si="1207"/>
        <v/>
      </c>
      <c r="H2020" s="1042">
        <f t="shared" si="1209"/>
        <v>0</v>
      </c>
      <c r="I2020" s="1042">
        <f t="shared" si="1210"/>
        <v>0</v>
      </c>
      <c r="J2020" s="1042">
        <f t="shared" si="1208"/>
        <v>0</v>
      </c>
    </row>
    <row r="2021" spans="1:10" x14ac:dyDescent="0.25">
      <c r="A2021" s="1039"/>
      <c r="B2021" s="1039" t="str">
        <f t="shared" si="1211"/>
        <v/>
      </c>
      <c r="C2021" s="1039" t="str">
        <f t="shared" si="1203"/>
        <v/>
      </c>
      <c r="D2021" s="1040" t="str">
        <f t="shared" si="1204"/>
        <v/>
      </c>
      <c r="E2021" s="1041" t="str">
        <f t="shared" si="1205"/>
        <v/>
      </c>
      <c r="F2021" s="1040" t="str">
        <f t="shared" si="1206"/>
        <v/>
      </c>
      <c r="G2021" s="1041" t="str">
        <f t="shared" si="1207"/>
        <v/>
      </c>
      <c r="H2021" s="1042">
        <f t="shared" si="1209"/>
        <v>0</v>
      </c>
      <c r="I2021" s="1042">
        <f t="shared" si="1210"/>
        <v>0</v>
      </c>
      <c r="J2021" s="1042">
        <f t="shared" si="1208"/>
        <v>0</v>
      </c>
    </row>
    <row r="2022" spans="1:10" x14ac:dyDescent="0.25">
      <c r="A2022" s="1039"/>
      <c r="B2022" s="1039" t="str">
        <f t="shared" si="1211"/>
        <v/>
      </c>
      <c r="C2022" s="1039" t="str">
        <f t="shared" si="1203"/>
        <v/>
      </c>
      <c r="D2022" s="1040" t="str">
        <f t="shared" si="1204"/>
        <v/>
      </c>
      <c r="E2022" s="1041" t="str">
        <f t="shared" si="1205"/>
        <v/>
      </c>
      <c r="F2022" s="1040" t="str">
        <f t="shared" si="1206"/>
        <v/>
      </c>
      <c r="G2022" s="1041" t="str">
        <f t="shared" si="1207"/>
        <v/>
      </c>
      <c r="H2022" s="1042">
        <f t="shared" si="1209"/>
        <v>0</v>
      </c>
      <c r="I2022" s="1042">
        <f t="shared" si="1210"/>
        <v>0</v>
      </c>
      <c r="J2022" s="1042">
        <f t="shared" si="1208"/>
        <v>0</v>
      </c>
    </row>
    <row r="2023" spans="1:10" x14ac:dyDescent="0.25">
      <c r="A2023" s="1039"/>
      <c r="B2023" s="1039" t="str">
        <f t="shared" si="1211"/>
        <v/>
      </c>
      <c r="C2023" s="1039" t="str">
        <f t="shared" ref="C2023:C2086" si="1212">IFERROR(VLOOKUP(A2023,DB,4,FALSE),"")</f>
        <v/>
      </c>
      <c r="D2023" s="1040" t="str">
        <f t="shared" ref="D2023:D2086" si="1213">IFERROR(VLOOKUP(A2023,DB,5,FALSE),"")</f>
        <v/>
      </c>
      <c r="E2023" s="1041" t="str">
        <f t="shared" ref="E2023:E2086" si="1214">IFERROR(VLOOKUP(A2023,DB,6,FALSE),"")</f>
        <v/>
      </c>
      <c r="F2023" s="1040" t="str">
        <f t="shared" ref="F2023:F2086" si="1215">IFERROR(VLOOKUP(A2023,DB,7,FALSE),"")</f>
        <v/>
      </c>
      <c r="G2023" s="1041" t="str">
        <f t="shared" ref="G2023:G2086" si="1216">IFERROR(VLOOKUP(A2023,DB,3,FALSE),"")</f>
        <v/>
      </c>
      <c r="H2023" s="1042">
        <f t="shared" si="1209"/>
        <v>0</v>
      </c>
      <c r="I2023" s="1042">
        <f t="shared" si="1210"/>
        <v>0</v>
      </c>
      <c r="J2023" s="1042">
        <f t="shared" si="1208"/>
        <v>0</v>
      </c>
    </row>
    <row r="2024" spans="1:10" x14ac:dyDescent="0.25">
      <c r="A2024" s="1039"/>
      <c r="B2024" s="1039" t="str">
        <f t="shared" si="1211"/>
        <v/>
      </c>
      <c r="C2024" s="1039" t="str">
        <f t="shared" si="1212"/>
        <v/>
      </c>
      <c r="D2024" s="1040" t="str">
        <f t="shared" si="1213"/>
        <v/>
      </c>
      <c r="E2024" s="1041" t="str">
        <f t="shared" si="1214"/>
        <v/>
      </c>
      <c r="F2024" s="1040" t="str">
        <f t="shared" si="1215"/>
        <v/>
      </c>
      <c r="G2024" s="1041" t="str">
        <f t="shared" si="1216"/>
        <v/>
      </c>
      <c r="H2024" s="1042">
        <f t="shared" si="1209"/>
        <v>0</v>
      </c>
      <c r="I2024" s="1042">
        <f t="shared" si="1210"/>
        <v>0</v>
      </c>
      <c r="J2024" s="1042">
        <f t="shared" si="1208"/>
        <v>0</v>
      </c>
    </row>
    <row r="2025" spans="1:10" x14ac:dyDescent="0.25">
      <c r="A2025" s="1039"/>
      <c r="B2025" s="1039" t="str">
        <f t="shared" si="1211"/>
        <v/>
      </c>
      <c r="C2025" s="1039" t="str">
        <f t="shared" si="1212"/>
        <v/>
      </c>
      <c r="D2025" s="1040" t="str">
        <f t="shared" si="1213"/>
        <v/>
      </c>
      <c r="E2025" s="1041" t="str">
        <f t="shared" si="1214"/>
        <v/>
      </c>
      <c r="F2025" s="1040" t="str">
        <f t="shared" si="1215"/>
        <v/>
      </c>
      <c r="G2025" s="1041" t="str">
        <f t="shared" si="1216"/>
        <v/>
      </c>
      <c r="H2025" s="1042">
        <f t="shared" si="1209"/>
        <v>0</v>
      </c>
      <c r="I2025" s="1042">
        <f t="shared" si="1210"/>
        <v>0</v>
      </c>
      <c r="J2025" s="1042">
        <f t="shared" si="1208"/>
        <v>0</v>
      </c>
    </row>
    <row r="2026" spans="1:10" x14ac:dyDescent="0.25">
      <c r="A2026" s="1039"/>
      <c r="B2026" s="1039" t="str">
        <f t="shared" si="1211"/>
        <v/>
      </c>
      <c r="C2026" s="1039" t="str">
        <f t="shared" si="1212"/>
        <v/>
      </c>
      <c r="D2026" s="1040" t="str">
        <f t="shared" si="1213"/>
        <v/>
      </c>
      <c r="E2026" s="1041" t="str">
        <f t="shared" si="1214"/>
        <v/>
      </c>
      <c r="F2026" s="1040" t="str">
        <f t="shared" si="1215"/>
        <v/>
      </c>
      <c r="G2026" s="1041" t="str">
        <f t="shared" si="1216"/>
        <v/>
      </c>
      <c r="H2026" s="1042">
        <f t="shared" si="1209"/>
        <v>0</v>
      </c>
      <c r="I2026" s="1042">
        <f t="shared" si="1210"/>
        <v>0</v>
      </c>
      <c r="J2026" s="1042">
        <f t="shared" si="1208"/>
        <v>0</v>
      </c>
    </row>
    <row r="2027" spans="1:10" x14ac:dyDescent="0.25">
      <c r="A2027" s="1039"/>
      <c r="B2027" s="1039" t="str">
        <f t="shared" si="1211"/>
        <v/>
      </c>
      <c r="C2027" s="1039" t="str">
        <f t="shared" si="1212"/>
        <v/>
      </c>
      <c r="D2027" s="1040" t="str">
        <f t="shared" si="1213"/>
        <v/>
      </c>
      <c r="E2027" s="1041" t="str">
        <f t="shared" si="1214"/>
        <v/>
      </c>
      <c r="F2027" s="1040" t="str">
        <f t="shared" si="1215"/>
        <v/>
      </c>
      <c r="G2027" s="1041" t="str">
        <f t="shared" si="1216"/>
        <v/>
      </c>
      <c r="H2027" s="1042">
        <f t="shared" si="1209"/>
        <v>0</v>
      </c>
      <c r="I2027" s="1042">
        <f t="shared" si="1210"/>
        <v>0</v>
      </c>
      <c r="J2027" s="1042">
        <f t="shared" si="1208"/>
        <v>0</v>
      </c>
    </row>
    <row r="2028" spans="1:10" x14ac:dyDescent="0.25">
      <c r="A2028" s="1039"/>
      <c r="B2028" s="1039" t="str">
        <f t="shared" si="1211"/>
        <v/>
      </c>
      <c r="C2028" s="1039" t="str">
        <f t="shared" si="1212"/>
        <v/>
      </c>
      <c r="D2028" s="1040" t="str">
        <f t="shared" si="1213"/>
        <v/>
      </c>
      <c r="E2028" s="1041" t="str">
        <f t="shared" si="1214"/>
        <v/>
      </c>
      <c r="F2028" s="1040" t="str">
        <f t="shared" si="1215"/>
        <v/>
      </c>
      <c r="G2028" s="1041" t="str">
        <f t="shared" si="1216"/>
        <v/>
      </c>
      <c r="H2028" s="1042">
        <f t="shared" si="1209"/>
        <v>0</v>
      </c>
      <c r="I2028" s="1042">
        <f t="shared" si="1210"/>
        <v>0</v>
      </c>
      <c r="J2028" s="1042">
        <f t="shared" si="1208"/>
        <v>0</v>
      </c>
    </row>
    <row r="2029" spans="1:10" x14ac:dyDescent="0.25">
      <c r="A2029" s="1039"/>
      <c r="B2029" s="1039" t="str">
        <f t="shared" si="1211"/>
        <v/>
      </c>
      <c r="C2029" s="1039" t="str">
        <f t="shared" si="1212"/>
        <v/>
      </c>
      <c r="D2029" s="1040" t="str">
        <f t="shared" si="1213"/>
        <v/>
      </c>
      <c r="E2029" s="1041" t="str">
        <f t="shared" si="1214"/>
        <v/>
      </c>
      <c r="F2029" s="1040" t="str">
        <f t="shared" si="1215"/>
        <v/>
      </c>
      <c r="G2029" s="1041" t="str">
        <f t="shared" si="1216"/>
        <v/>
      </c>
      <c r="H2029" s="1042">
        <f t="shared" si="1209"/>
        <v>0</v>
      </c>
      <c r="I2029" s="1042">
        <f t="shared" si="1210"/>
        <v>0</v>
      </c>
      <c r="J2029" s="1042">
        <f t="shared" ref="J2029:J2092" si="1217">I2029+H2029</f>
        <v>0</v>
      </c>
    </row>
    <row r="2030" spans="1:10" x14ac:dyDescent="0.25">
      <c r="A2030" s="1039"/>
      <c r="B2030" s="1039" t="str">
        <f t="shared" si="1211"/>
        <v/>
      </c>
      <c r="C2030" s="1039" t="str">
        <f t="shared" si="1212"/>
        <v/>
      </c>
      <c r="D2030" s="1040" t="str">
        <f t="shared" si="1213"/>
        <v/>
      </c>
      <c r="E2030" s="1041" t="str">
        <f t="shared" si="1214"/>
        <v/>
      </c>
      <c r="F2030" s="1040" t="str">
        <f t="shared" si="1215"/>
        <v/>
      </c>
      <c r="G2030" s="1041" t="str">
        <f t="shared" si="1216"/>
        <v/>
      </c>
      <c r="H2030" s="1042">
        <f t="shared" ref="H2030:H2093" si="1218">IF(F2030="AKTIF",6450000,IF(F2030="CUTI",3000000,0))</f>
        <v>0</v>
      </c>
      <c r="I2030" s="1042">
        <f t="shared" ref="I2030:I2093" si="1219">IF(F2030="AKTIF",3750000,IF(F2030="CUTI",3000000,0))</f>
        <v>0</v>
      </c>
      <c r="J2030" s="1042">
        <f t="shared" si="1217"/>
        <v>0</v>
      </c>
    </row>
    <row r="2031" spans="1:10" x14ac:dyDescent="0.25">
      <c r="A2031" s="1039"/>
      <c r="B2031" s="1039" t="str">
        <f t="shared" si="1211"/>
        <v/>
      </c>
      <c r="C2031" s="1039" t="str">
        <f t="shared" si="1212"/>
        <v/>
      </c>
      <c r="D2031" s="1040" t="str">
        <f t="shared" si="1213"/>
        <v/>
      </c>
      <c r="E2031" s="1041" t="str">
        <f t="shared" si="1214"/>
        <v/>
      </c>
      <c r="F2031" s="1040" t="str">
        <f t="shared" si="1215"/>
        <v/>
      </c>
      <c r="G2031" s="1041" t="str">
        <f t="shared" si="1216"/>
        <v/>
      </c>
      <c r="H2031" s="1042">
        <f t="shared" si="1218"/>
        <v>0</v>
      </c>
      <c r="I2031" s="1042">
        <f t="shared" si="1219"/>
        <v>0</v>
      </c>
      <c r="J2031" s="1042">
        <f t="shared" si="1217"/>
        <v>0</v>
      </c>
    </row>
    <row r="2032" spans="1:10" x14ac:dyDescent="0.25">
      <c r="A2032" s="1039"/>
      <c r="B2032" s="1039" t="str">
        <f t="shared" si="1211"/>
        <v/>
      </c>
      <c r="C2032" s="1039" t="str">
        <f t="shared" si="1212"/>
        <v/>
      </c>
      <c r="D2032" s="1040" t="str">
        <f t="shared" si="1213"/>
        <v/>
      </c>
      <c r="E2032" s="1041" t="str">
        <f t="shared" si="1214"/>
        <v/>
      </c>
      <c r="F2032" s="1040" t="str">
        <f t="shared" si="1215"/>
        <v/>
      </c>
      <c r="G2032" s="1041" t="str">
        <f t="shared" si="1216"/>
        <v/>
      </c>
      <c r="H2032" s="1042">
        <f t="shared" si="1218"/>
        <v>0</v>
      </c>
      <c r="I2032" s="1042">
        <f t="shared" si="1219"/>
        <v>0</v>
      </c>
      <c r="J2032" s="1042">
        <f t="shared" si="1217"/>
        <v>0</v>
      </c>
    </row>
    <row r="2033" spans="1:10" x14ac:dyDescent="0.25">
      <c r="A2033" s="1039"/>
      <c r="B2033" s="1039" t="str">
        <f t="shared" si="1211"/>
        <v/>
      </c>
      <c r="C2033" s="1039" t="str">
        <f t="shared" si="1212"/>
        <v/>
      </c>
      <c r="D2033" s="1040" t="str">
        <f t="shared" si="1213"/>
        <v/>
      </c>
      <c r="E2033" s="1041" t="str">
        <f t="shared" si="1214"/>
        <v/>
      </c>
      <c r="F2033" s="1040" t="str">
        <f t="shared" si="1215"/>
        <v/>
      </c>
      <c r="G2033" s="1041" t="str">
        <f t="shared" si="1216"/>
        <v/>
      </c>
      <c r="H2033" s="1042">
        <f t="shared" si="1218"/>
        <v>0</v>
      </c>
      <c r="I2033" s="1042">
        <f t="shared" si="1219"/>
        <v>0</v>
      </c>
      <c r="J2033" s="1042">
        <f t="shared" si="1217"/>
        <v>0</v>
      </c>
    </row>
    <row r="2034" spans="1:10" x14ac:dyDescent="0.25">
      <c r="A2034" s="1039"/>
      <c r="B2034" s="1039" t="str">
        <f t="shared" si="1211"/>
        <v/>
      </c>
      <c r="C2034" s="1039" t="str">
        <f t="shared" si="1212"/>
        <v/>
      </c>
      <c r="D2034" s="1040" t="str">
        <f t="shared" si="1213"/>
        <v/>
      </c>
      <c r="E2034" s="1041" t="str">
        <f t="shared" si="1214"/>
        <v/>
      </c>
      <c r="F2034" s="1040" t="str">
        <f t="shared" si="1215"/>
        <v/>
      </c>
      <c r="G2034" s="1041" t="str">
        <f t="shared" si="1216"/>
        <v/>
      </c>
      <c r="H2034" s="1042">
        <f t="shared" si="1218"/>
        <v>0</v>
      </c>
      <c r="I2034" s="1042">
        <f t="shared" si="1219"/>
        <v>0</v>
      </c>
      <c r="J2034" s="1042">
        <f t="shared" si="1217"/>
        <v>0</v>
      </c>
    </row>
    <row r="2035" spans="1:10" x14ac:dyDescent="0.25">
      <c r="A2035" s="1039"/>
      <c r="B2035" s="1039" t="str">
        <f t="shared" si="1211"/>
        <v/>
      </c>
      <c r="C2035" s="1039" t="str">
        <f t="shared" si="1212"/>
        <v/>
      </c>
      <c r="D2035" s="1040" t="str">
        <f t="shared" si="1213"/>
        <v/>
      </c>
      <c r="E2035" s="1041" t="str">
        <f t="shared" si="1214"/>
        <v/>
      </c>
      <c r="F2035" s="1040" t="str">
        <f t="shared" si="1215"/>
        <v/>
      </c>
      <c r="G2035" s="1041" t="str">
        <f t="shared" si="1216"/>
        <v/>
      </c>
      <c r="H2035" s="1042">
        <f t="shared" si="1218"/>
        <v>0</v>
      </c>
      <c r="I2035" s="1042">
        <f t="shared" si="1219"/>
        <v>0</v>
      </c>
      <c r="J2035" s="1042">
        <f t="shared" si="1217"/>
        <v>0</v>
      </c>
    </row>
    <row r="2036" spans="1:10" x14ac:dyDescent="0.25">
      <c r="A2036" s="1039"/>
      <c r="B2036" s="1039" t="str">
        <f t="shared" si="1211"/>
        <v/>
      </c>
      <c r="C2036" s="1039" t="str">
        <f t="shared" si="1212"/>
        <v/>
      </c>
      <c r="D2036" s="1040" t="str">
        <f t="shared" si="1213"/>
        <v/>
      </c>
      <c r="E2036" s="1041" t="str">
        <f t="shared" si="1214"/>
        <v/>
      </c>
      <c r="F2036" s="1040" t="str">
        <f t="shared" si="1215"/>
        <v/>
      </c>
      <c r="G2036" s="1041" t="str">
        <f t="shared" si="1216"/>
        <v/>
      </c>
      <c r="H2036" s="1042">
        <f t="shared" si="1218"/>
        <v>0</v>
      </c>
      <c r="I2036" s="1042">
        <f t="shared" si="1219"/>
        <v>0</v>
      </c>
      <c r="J2036" s="1042">
        <f t="shared" si="1217"/>
        <v>0</v>
      </c>
    </row>
    <row r="2037" spans="1:10" x14ac:dyDescent="0.25">
      <c r="A2037" s="1039"/>
      <c r="B2037" s="1039" t="str">
        <f t="shared" si="1211"/>
        <v/>
      </c>
      <c r="C2037" s="1039" t="str">
        <f t="shared" si="1212"/>
        <v/>
      </c>
      <c r="D2037" s="1040" t="str">
        <f t="shared" si="1213"/>
        <v/>
      </c>
      <c r="E2037" s="1041" t="str">
        <f t="shared" si="1214"/>
        <v/>
      </c>
      <c r="F2037" s="1040" t="str">
        <f t="shared" si="1215"/>
        <v/>
      </c>
      <c r="G2037" s="1041" t="str">
        <f t="shared" si="1216"/>
        <v/>
      </c>
      <c r="H2037" s="1042">
        <f t="shared" si="1218"/>
        <v>0</v>
      </c>
      <c r="I2037" s="1042">
        <f t="shared" si="1219"/>
        <v>0</v>
      </c>
      <c r="J2037" s="1042">
        <f t="shared" si="1217"/>
        <v>0</v>
      </c>
    </row>
    <row r="2038" spans="1:10" x14ac:dyDescent="0.25">
      <c r="A2038" s="1039"/>
      <c r="B2038" s="1039" t="str">
        <f t="shared" si="1211"/>
        <v/>
      </c>
      <c r="C2038" s="1039" t="str">
        <f t="shared" si="1212"/>
        <v/>
      </c>
      <c r="D2038" s="1040" t="str">
        <f t="shared" si="1213"/>
        <v/>
      </c>
      <c r="E2038" s="1041" t="str">
        <f t="shared" si="1214"/>
        <v/>
      </c>
      <c r="F2038" s="1040" t="str">
        <f t="shared" si="1215"/>
        <v/>
      </c>
      <c r="G2038" s="1041" t="str">
        <f t="shared" si="1216"/>
        <v/>
      </c>
      <c r="H2038" s="1042">
        <f t="shared" si="1218"/>
        <v>0</v>
      </c>
      <c r="I2038" s="1042">
        <f t="shared" si="1219"/>
        <v>0</v>
      </c>
      <c r="J2038" s="1042">
        <f t="shared" si="1217"/>
        <v>0</v>
      </c>
    </row>
    <row r="2039" spans="1:10" x14ac:dyDescent="0.25">
      <c r="A2039" s="1039"/>
      <c r="B2039" s="1039" t="str">
        <f t="shared" si="1211"/>
        <v/>
      </c>
      <c r="C2039" s="1039" t="str">
        <f t="shared" si="1212"/>
        <v/>
      </c>
      <c r="D2039" s="1040" t="str">
        <f t="shared" si="1213"/>
        <v/>
      </c>
      <c r="E2039" s="1041" t="str">
        <f t="shared" si="1214"/>
        <v/>
      </c>
      <c r="F2039" s="1040" t="str">
        <f t="shared" si="1215"/>
        <v/>
      </c>
      <c r="G2039" s="1041" t="str">
        <f t="shared" si="1216"/>
        <v/>
      </c>
      <c r="H2039" s="1042">
        <f t="shared" si="1218"/>
        <v>0</v>
      </c>
      <c r="I2039" s="1042">
        <f t="shared" si="1219"/>
        <v>0</v>
      </c>
      <c r="J2039" s="1042">
        <f t="shared" si="1217"/>
        <v>0</v>
      </c>
    </row>
    <row r="2040" spans="1:10" x14ac:dyDescent="0.25">
      <c r="A2040" s="1039"/>
      <c r="B2040" s="1039" t="str">
        <f t="shared" si="1211"/>
        <v/>
      </c>
      <c r="C2040" s="1039" t="str">
        <f t="shared" si="1212"/>
        <v/>
      </c>
      <c r="D2040" s="1040" t="str">
        <f t="shared" si="1213"/>
        <v/>
      </c>
      <c r="E2040" s="1041" t="str">
        <f t="shared" si="1214"/>
        <v/>
      </c>
      <c r="F2040" s="1040" t="str">
        <f t="shared" si="1215"/>
        <v/>
      </c>
      <c r="G2040" s="1041" t="str">
        <f t="shared" si="1216"/>
        <v/>
      </c>
      <c r="H2040" s="1042">
        <f t="shared" si="1218"/>
        <v>0</v>
      </c>
      <c r="I2040" s="1042">
        <f t="shared" si="1219"/>
        <v>0</v>
      </c>
      <c r="J2040" s="1042">
        <f t="shared" si="1217"/>
        <v>0</v>
      </c>
    </row>
    <row r="2041" spans="1:10" x14ac:dyDescent="0.25">
      <c r="A2041" s="1039"/>
      <c r="B2041" s="1039" t="str">
        <f t="shared" si="1211"/>
        <v/>
      </c>
      <c r="C2041" s="1039" t="str">
        <f t="shared" si="1212"/>
        <v/>
      </c>
      <c r="D2041" s="1040" t="str">
        <f t="shared" si="1213"/>
        <v/>
      </c>
      <c r="E2041" s="1041" t="str">
        <f t="shared" si="1214"/>
        <v/>
      </c>
      <c r="F2041" s="1040" t="str">
        <f t="shared" si="1215"/>
        <v/>
      </c>
      <c r="G2041" s="1041" t="str">
        <f t="shared" si="1216"/>
        <v/>
      </c>
      <c r="H2041" s="1042">
        <f t="shared" si="1218"/>
        <v>0</v>
      </c>
      <c r="I2041" s="1042">
        <f t="shared" si="1219"/>
        <v>0</v>
      </c>
      <c r="J2041" s="1042">
        <f t="shared" si="1217"/>
        <v>0</v>
      </c>
    </row>
    <row r="2042" spans="1:10" x14ac:dyDescent="0.25">
      <c r="A2042" s="1039"/>
      <c r="B2042" s="1039" t="str">
        <f t="shared" si="1211"/>
        <v/>
      </c>
      <c r="C2042" s="1039" t="str">
        <f t="shared" si="1212"/>
        <v/>
      </c>
      <c r="D2042" s="1040" t="str">
        <f t="shared" si="1213"/>
        <v/>
      </c>
      <c r="E2042" s="1041" t="str">
        <f t="shared" si="1214"/>
        <v/>
      </c>
      <c r="F2042" s="1040" t="str">
        <f t="shared" si="1215"/>
        <v/>
      </c>
      <c r="G2042" s="1041" t="str">
        <f t="shared" si="1216"/>
        <v/>
      </c>
      <c r="H2042" s="1042">
        <f t="shared" si="1218"/>
        <v>0</v>
      </c>
      <c r="I2042" s="1042">
        <f t="shared" si="1219"/>
        <v>0</v>
      </c>
      <c r="J2042" s="1042">
        <f t="shared" si="1217"/>
        <v>0</v>
      </c>
    </row>
    <row r="2043" spans="1:10" x14ac:dyDescent="0.25">
      <c r="A2043" s="1039"/>
      <c r="B2043" s="1039" t="str">
        <f t="shared" si="1211"/>
        <v/>
      </c>
      <c r="C2043" s="1039" t="str">
        <f t="shared" si="1212"/>
        <v/>
      </c>
      <c r="D2043" s="1040" t="str">
        <f t="shared" si="1213"/>
        <v/>
      </c>
      <c r="E2043" s="1041" t="str">
        <f t="shared" si="1214"/>
        <v/>
      </c>
      <c r="F2043" s="1040" t="str">
        <f t="shared" si="1215"/>
        <v/>
      </c>
      <c r="G2043" s="1041" t="str">
        <f t="shared" si="1216"/>
        <v/>
      </c>
      <c r="H2043" s="1042">
        <f t="shared" si="1218"/>
        <v>0</v>
      </c>
      <c r="I2043" s="1042">
        <f t="shared" si="1219"/>
        <v>0</v>
      </c>
      <c r="J2043" s="1042">
        <f t="shared" si="1217"/>
        <v>0</v>
      </c>
    </row>
    <row r="2044" spans="1:10" x14ac:dyDescent="0.25">
      <c r="A2044" s="1039"/>
      <c r="B2044" s="1039" t="str">
        <f t="shared" si="1211"/>
        <v/>
      </c>
      <c r="C2044" s="1039" t="str">
        <f t="shared" si="1212"/>
        <v/>
      </c>
      <c r="D2044" s="1040" t="str">
        <f t="shared" si="1213"/>
        <v/>
      </c>
      <c r="E2044" s="1041" t="str">
        <f t="shared" si="1214"/>
        <v/>
      </c>
      <c r="F2044" s="1040" t="str">
        <f t="shared" si="1215"/>
        <v/>
      </c>
      <c r="G2044" s="1041" t="str">
        <f t="shared" si="1216"/>
        <v/>
      </c>
      <c r="H2044" s="1042">
        <f t="shared" si="1218"/>
        <v>0</v>
      </c>
      <c r="I2044" s="1042">
        <f t="shared" si="1219"/>
        <v>0</v>
      </c>
      <c r="J2044" s="1042">
        <f t="shared" si="1217"/>
        <v>0</v>
      </c>
    </row>
    <row r="2045" spans="1:10" x14ac:dyDescent="0.25">
      <c r="A2045" s="1039"/>
      <c r="B2045" s="1039" t="str">
        <f t="shared" si="1211"/>
        <v/>
      </c>
      <c r="C2045" s="1039" t="str">
        <f t="shared" si="1212"/>
        <v/>
      </c>
      <c r="D2045" s="1040" t="str">
        <f t="shared" si="1213"/>
        <v/>
      </c>
      <c r="E2045" s="1041" t="str">
        <f t="shared" si="1214"/>
        <v/>
      </c>
      <c r="F2045" s="1040" t="str">
        <f t="shared" si="1215"/>
        <v/>
      </c>
      <c r="G2045" s="1041" t="str">
        <f t="shared" si="1216"/>
        <v/>
      </c>
      <c r="H2045" s="1042">
        <f t="shared" si="1218"/>
        <v>0</v>
      </c>
      <c r="I2045" s="1042">
        <f t="shared" si="1219"/>
        <v>0</v>
      </c>
      <c r="J2045" s="1042">
        <f t="shared" si="1217"/>
        <v>0</v>
      </c>
    </row>
    <row r="2046" spans="1:10" x14ac:dyDescent="0.25">
      <c r="A2046" s="1039"/>
      <c r="B2046" s="1039" t="str">
        <f t="shared" si="1211"/>
        <v/>
      </c>
      <c r="C2046" s="1039" t="str">
        <f t="shared" si="1212"/>
        <v/>
      </c>
      <c r="D2046" s="1040" t="str">
        <f t="shared" si="1213"/>
        <v/>
      </c>
      <c r="E2046" s="1041" t="str">
        <f t="shared" si="1214"/>
        <v/>
      </c>
      <c r="F2046" s="1040" t="str">
        <f t="shared" si="1215"/>
        <v/>
      </c>
      <c r="G2046" s="1041" t="str">
        <f t="shared" si="1216"/>
        <v/>
      </c>
      <c r="H2046" s="1042">
        <f t="shared" si="1218"/>
        <v>0</v>
      </c>
      <c r="I2046" s="1042">
        <f t="shared" si="1219"/>
        <v>0</v>
      </c>
      <c r="J2046" s="1042">
        <f t="shared" si="1217"/>
        <v>0</v>
      </c>
    </row>
    <row r="2047" spans="1:10" x14ac:dyDescent="0.25">
      <c r="A2047" s="1039"/>
      <c r="B2047" s="1039" t="str">
        <f t="shared" si="1211"/>
        <v/>
      </c>
      <c r="C2047" s="1039" t="str">
        <f t="shared" si="1212"/>
        <v/>
      </c>
      <c r="D2047" s="1040" t="str">
        <f t="shared" si="1213"/>
        <v/>
      </c>
      <c r="E2047" s="1041" t="str">
        <f t="shared" si="1214"/>
        <v/>
      </c>
      <c r="F2047" s="1040" t="str">
        <f t="shared" si="1215"/>
        <v/>
      </c>
      <c r="G2047" s="1041" t="str">
        <f t="shared" si="1216"/>
        <v/>
      </c>
      <c r="H2047" s="1042">
        <f t="shared" si="1218"/>
        <v>0</v>
      </c>
      <c r="I2047" s="1042">
        <f t="shared" si="1219"/>
        <v>0</v>
      </c>
      <c r="J2047" s="1042">
        <f t="shared" si="1217"/>
        <v>0</v>
      </c>
    </row>
    <row r="2048" spans="1:10" x14ac:dyDescent="0.25">
      <c r="A2048" s="1039"/>
      <c r="B2048" s="1039" t="str">
        <f t="shared" si="1211"/>
        <v/>
      </c>
      <c r="C2048" s="1039" t="str">
        <f t="shared" si="1212"/>
        <v/>
      </c>
      <c r="D2048" s="1040" t="str">
        <f t="shared" si="1213"/>
        <v/>
      </c>
      <c r="E2048" s="1041" t="str">
        <f t="shared" si="1214"/>
        <v/>
      </c>
      <c r="F2048" s="1040" t="str">
        <f t="shared" si="1215"/>
        <v/>
      </c>
      <c r="G2048" s="1041" t="str">
        <f t="shared" si="1216"/>
        <v/>
      </c>
      <c r="H2048" s="1042">
        <f t="shared" si="1218"/>
        <v>0</v>
      </c>
      <c r="I2048" s="1042">
        <f t="shared" si="1219"/>
        <v>0</v>
      </c>
      <c r="J2048" s="1042">
        <f t="shared" si="1217"/>
        <v>0</v>
      </c>
    </row>
    <row r="2049" spans="1:10" x14ac:dyDescent="0.25">
      <c r="A2049" s="1039"/>
      <c r="B2049" s="1039" t="str">
        <f t="shared" si="1211"/>
        <v/>
      </c>
      <c r="C2049" s="1039" t="str">
        <f t="shared" si="1212"/>
        <v/>
      </c>
      <c r="D2049" s="1040" t="str">
        <f t="shared" si="1213"/>
        <v/>
      </c>
      <c r="E2049" s="1041" t="str">
        <f t="shared" si="1214"/>
        <v/>
      </c>
      <c r="F2049" s="1040" t="str">
        <f t="shared" si="1215"/>
        <v/>
      </c>
      <c r="G2049" s="1041" t="str">
        <f t="shared" si="1216"/>
        <v/>
      </c>
      <c r="H2049" s="1042">
        <f t="shared" si="1218"/>
        <v>0</v>
      </c>
      <c r="I2049" s="1042">
        <f t="shared" si="1219"/>
        <v>0</v>
      </c>
      <c r="J2049" s="1042">
        <f t="shared" si="1217"/>
        <v>0</v>
      </c>
    </row>
    <row r="2050" spans="1:10" x14ac:dyDescent="0.25">
      <c r="A2050" s="1039"/>
      <c r="B2050" s="1039" t="str">
        <f t="shared" si="1211"/>
        <v/>
      </c>
      <c r="C2050" s="1039" t="str">
        <f t="shared" si="1212"/>
        <v/>
      </c>
      <c r="D2050" s="1040" t="str">
        <f t="shared" si="1213"/>
        <v/>
      </c>
      <c r="E2050" s="1041" t="str">
        <f t="shared" si="1214"/>
        <v/>
      </c>
      <c r="F2050" s="1040" t="str">
        <f t="shared" si="1215"/>
        <v/>
      </c>
      <c r="G2050" s="1041" t="str">
        <f t="shared" si="1216"/>
        <v/>
      </c>
      <c r="H2050" s="1042">
        <f t="shared" si="1218"/>
        <v>0</v>
      </c>
      <c r="I2050" s="1042">
        <f t="shared" si="1219"/>
        <v>0</v>
      </c>
      <c r="J2050" s="1042">
        <f t="shared" si="1217"/>
        <v>0</v>
      </c>
    </row>
    <row r="2051" spans="1:10" x14ac:dyDescent="0.25">
      <c r="A2051" s="1039"/>
      <c r="B2051" s="1039" t="str">
        <f t="shared" si="1211"/>
        <v/>
      </c>
      <c r="C2051" s="1039" t="str">
        <f t="shared" si="1212"/>
        <v/>
      </c>
      <c r="D2051" s="1040" t="str">
        <f t="shared" si="1213"/>
        <v/>
      </c>
      <c r="E2051" s="1041" t="str">
        <f t="shared" si="1214"/>
        <v/>
      </c>
      <c r="F2051" s="1040" t="str">
        <f t="shared" si="1215"/>
        <v/>
      </c>
      <c r="G2051" s="1041" t="str">
        <f t="shared" si="1216"/>
        <v/>
      </c>
      <c r="H2051" s="1042">
        <f t="shared" si="1218"/>
        <v>0</v>
      </c>
      <c r="I2051" s="1042">
        <f t="shared" si="1219"/>
        <v>0</v>
      </c>
      <c r="J2051" s="1042">
        <f t="shared" si="1217"/>
        <v>0</v>
      </c>
    </row>
    <row r="2052" spans="1:10" x14ac:dyDescent="0.25">
      <c r="A2052" s="1039"/>
      <c r="B2052" s="1039" t="str">
        <f t="shared" si="1211"/>
        <v/>
      </c>
      <c r="C2052" s="1039" t="str">
        <f t="shared" si="1212"/>
        <v/>
      </c>
      <c r="D2052" s="1040" t="str">
        <f t="shared" si="1213"/>
        <v/>
      </c>
      <c r="E2052" s="1041" t="str">
        <f t="shared" si="1214"/>
        <v/>
      </c>
      <c r="F2052" s="1040" t="str">
        <f t="shared" si="1215"/>
        <v/>
      </c>
      <c r="G2052" s="1041" t="str">
        <f t="shared" si="1216"/>
        <v/>
      </c>
      <c r="H2052" s="1042">
        <f t="shared" si="1218"/>
        <v>0</v>
      </c>
      <c r="I2052" s="1042">
        <f t="shared" si="1219"/>
        <v>0</v>
      </c>
      <c r="J2052" s="1042">
        <f t="shared" si="1217"/>
        <v>0</v>
      </c>
    </row>
    <row r="2053" spans="1:10" x14ac:dyDescent="0.25">
      <c r="A2053" s="1039"/>
      <c r="B2053" s="1039" t="str">
        <f t="shared" si="1211"/>
        <v/>
      </c>
      <c r="C2053" s="1039" t="str">
        <f t="shared" si="1212"/>
        <v/>
      </c>
      <c r="D2053" s="1040" t="str">
        <f t="shared" si="1213"/>
        <v/>
      </c>
      <c r="E2053" s="1041" t="str">
        <f t="shared" si="1214"/>
        <v/>
      </c>
      <c r="F2053" s="1040" t="str">
        <f t="shared" si="1215"/>
        <v/>
      </c>
      <c r="G2053" s="1041" t="str">
        <f t="shared" si="1216"/>
        <v/>
      </c>
      <c r="H2053" s="1042">
        <f t="shared" si="1218"/>
        <v>0</v>
      </c>
      <c r="I2053" s="1042">
        <f t="shared" si="1219"/>
        <v>0</v>
      </c>
      <c r="J2053" s="1042">
        <f t="shared" si="1217"/>
        <v>0</v>
      </c>
    </row>
    <row r="2054" spans="1:10" x14ac:dyDescent="0.25">
      <c r="A2054" s="1039"/>
      <c r="B2054" s="1039" t="str">
        <f t="shared" si="1211"/>
        <v/>
      </c>
      <c r="C2054" s="1039" t="str">
        <f t="shared" si="1212"/>
        <v/>
      </c>
      <c r="D2054" s="1040" t="str">
        <f t="shared" si="1213"/>
        <v/>
      </c>
      <c r="E2054" s="1041" t="str">
        <f t="shared" si="1214"/>
        <v/>
      </c>
      <c r="F2054" s="1040" t="str">
        <f t="shared" si="1215"/>
        <v/>
      </c>
      <c r="G2054" s="1041" t="str">
        <f t="shared" si="1216"/>
        <v/>
      </c>
      <c r="H2054" s="1042">
        <f t="shared" si="1218"/>
        <v>0</v>
      </c>
      <c r="I2054" s="1042">
        <f t="shared" si="1219"/>
        <v>0</v>
      </c>
      <c r="J2054" s="1042">
        <f t="shared" si="1217"/>
        <v>0</v>
      </c>
    </row>
    <row r="2055" spans="1:10" x14ac:dyDescent="0.25">
      <c r="A2055" s="1039"/>
      <c r="B2055" s="1039" t="str">
        <f t="shared" si="1211"/>
        <v/>
      </c>
      <c r="C2055" s="1039" t="str">
        <f t="shared" si="1212"/>
        <v/>
      </c>
      <c r="D2055" s="1040" t="str">
        <f t="shared" si="1213"/>
        <v/>
      </c>
      <c r="E2055" s="1041" t="str">
        <f t="shared" si="1214"/>
        <v/>
      </c>
      <c r="F2055" s="1040" t="str">
        <f t="shared" si="1215"/>
        <v/>
      </c>
      <c r="G2055" s="1041" t="str">
        <f t="shared" si="1216"/>
        <v/>
      </c>
      <c r="H2055" s="1042">
        <f t="shared" si="1218"/>
        <v>0</v>
      </c>
      <c r="I2055" s="1042">
        <f t="shared" si="1219"/>
        <v>0</v>
      </c>
      <c r="J2055" s="1042">
        <f t="shared" si="1217"/>
        <v>0</v>
      </c>
    </row>
    <row r="2056" spans="1:10" x14ac:dyDescent="0.25">
      <c r="A2056" s="1039"/>
      <c r="B2056" s="1039" t="str">
        <f t="shared" si="1211"/>
        <v/>
      </c>
      <c r="C2056" s="1039" t="str">
        <f t="shared" si="1212"/>
        <v/>
      </c>
      <c r="D2056" s="1040" t="str">
        <f t="shared" si="1213"/>
        <v/>
      </c>
      <c r="E2056" s="1041" t="str">
        <f t="shared" si="1214"/>
        <v/>
      </c>
      <c r="F2056" s="1040" t="str">
        <f t="shared" si="1215"/>
        <v/>
      </c>
      <c r="G2056" s="1041" t="str">
        <f t="shared" si="1216"/>
        <v/>
      </c>
      <c r="H2056" s="1042">
        <f t="shared" si="1218"/>
        <v>0</v>
      </c>
      <c r="I2056" s="1042">
        <f t="shared" si="1219"/>
        <v>0</v>
      </c>
      <c r="J2056" s="1042">
        <f t="shared" si="1217"/>
        <v>0</v>
      </c>
    </row>
    <row r="2057" spans="1:10" x14ac:dyDescent="0.25">
      <c r="A2057" s="1039"/>
      <c r="B2057" s="1039" t="str">
        <f t="shared" si="1211"/>
        <v/>
      </c>
      <c r="C2057" s="1039" t="str">
        <f t="shared" si="1212"/>
        <v/>
      </c>
      <c r="D2057" s="1040" t="str">
        <f t="shared" si="1213"/>
        <v/>
      </c>
      <c r="E2057" s="1041" t="str">
        <f t="shared" si="1214"/>
        <v/>
      </c>
      <c r="F2057" s="1040" t="str">
        <f t="shared" si="1215"/>
        <v/>
      </c>
      <c r="G2057" s="1041" t="str">
        <f t="shared" si="1216"/>
        <v/>
      </c>
      <c r="H2057" s="1042">
        <f t="shared" si="1218"/>
        <v>0</v>
      </c>
      <c r="I2057" s="1042">
        <f t="shared" si="1219"/>
        <v>0</v>
      </c>
      <c r="J2057" s="1042">
        <f t="shared" si="1217"/>
        <v>0</v>
      </c>
    </row>
    <row r="2058" spans="1:10" x14ac:dyDescent="0.25">
      <c r="A2058" s="1039"/>
      <c r="B2058" s="1039" t="str">
        <f t="shared" si="1211"/>
        <v/>
      </c>
      <c r="C2058" s="1039" t="str">
        <f t="shared" si="1212"/>
        <v/>
      </c>
      <c r="D2058" s="1040" t="str">
        <f t="shared" si="1213"/>
        <v/>
      </c>
      <c r="E2058" s="1041" t="str">
        <f t="shared" si="1214"/>
        <v/>
      </c>
      <c r="F2058" s="1040" t="str">
        <f t="shared" si="1215"/>
        <v/>
      </c>
      <c r="G2058" s="1041" t="str">
        <f t="shared" si="1216"/>
        <v/>
      </c>
      <c r="H2058" s="1042">
        <f t="shared" si="1218"/>
        <v>0</v>
      </c>
      <c r="I2058" s="1042">
        <f t="shared" si="1219"/>
        <v>0</v>
      </c>
      <c r="J2058" s="1042">
        <f t="shared" si="1217"/>
        <v>0</v>
      </c>
    </row>
    <row r="2059" spans="1:10" x14ac:dyDescent="0.25">
      <c r="A2059" s="1039"/>
      <c r="B2059" s="1039" t="str">
        <f t="shared" si="1211"/>
        <v/>
      </c>
      <c r="C2059" s="1039" t="str">
        <f t="shared" si="1212"/>
        <v/>
      </c>
      <c r="D2059" s="1040" t="str">
        <f t="shared" si="1213"/>
        <v/>
      </c>
      <c r="E2059" s="1041" t="str">
        <f t="shared" si="1214"/>
        <v/>
      </c>
      <c r="F2059" s="1040" t="str">
        <f t="shared" si="1215"/>
        <v/>
      </c>
      <c r="G2059" s="1041" t="str">
        <f t="shared" si="1216"/>
        <v/>
      </c>
      <c r="H2059" s="1042">
        <f t="shared" si="1218"/>
        <v>0</v>
      </c>
      <c r="I2059" s="1042">
        <f t="shared" si="1219"/>
        <v>0</v>
      </c>
      <c r="J2059" s="1042">
        <f t="shared" si="1217"/>
        <v>0</v>
      </c>
    </row>
    <row r="2060" spans="1:10" x14ac:dyDescent="0.25">
      <c r="A2060" s="1039"/>
      <c r="B2060" s="1039" t="str">
        <f t="shared" si="1211"/>
        <v/>
      </c>
      <c r="C2060" s="1039" t="str">
        <f t="shared" si="1212"/>
        <v/>
      </c>
      <c r="D2060" s="1040" t="str">
        <f t="shared" si="1213"/>
        <v/>
      </c>
      <c r="E2060" s="1041" t="str">
        <f t="shared" si="1214"/>
        <v/>
      </c>
      <c r="F2060" s="1040" t="str">
        <f t="shared" si="1215"/>
        <v/>
      </c>
      <c r="G2060" s="1041" t="str">
        <f t="shared" si="1216"/>
        <v/>
      </c>
      <c r="H2060" s="1042">
        <f t="shared" si="1218"/>
        <v>0</v>
      </c>
      <c r="I2060" s="1042">
        <f t="shared" si="1219"/>
        <v>0</v>
      </c>
      <c r="J2060" s="1042">
        <f t="shared" si="1217"/>
        <v>0</v>
      </c>
    </row>
    <row r="2061" spans="1:10" x14ac:dyDescent="0.25">
      <c r="A2061" s="1039"/>
      <c r="B2061" s="1039" t="str">
        <f t="shared" si="1211"/>
        <v/>
      </c>
      <c r="C2061" s="1039" t="str">
        <f t="shared" si="1212"/>
        <v/>
      </c>
      <c r="D2061" s="1040" t="str">
        <f t="shared" si="1213"/>
        <v/>
      </c>
      <c r="E2061" s="1041" t="str">
        <f t="shared" si="1214"/>
        <v/>
      </c>
      <c r="F2061" s="1040" t="str">
        <f t="shared" si="1215"/>
        <v/>
      </c>
      <c r="G2061" s="1041" t="str">
        <f t="shared" si="1216"/>
        <v/>
      </c>
      <c r="H2061" s="1042">
        <f t="shared" si="1218"/>
        <v>0</v>
      </c>
      <c r="I2061" s="1042">
        <f t="shared" si="1219"/>
        <v>0</v>
      </c>
      <c r="J2061" s="1042">
        <f t="shared" si="1217"/>
        <v>0</v>
      </c>
    </row>
    <row r="2062" spans="1:10" x14ac:dyDescent="0.25">
      <c r="A2062" s="1039"/>
      <c r="B2062" s="1039" t="str">
        <f t="shared" si="1211"/>
        <v/>
      </c>
      <c r="C2062" s="1039" t="str">
        <f t="shared" si="1212"/>
        <v/>
      </c>
      <c r="D2062" s="1040" t="str">
        <f t="shared" si="1213"/>
        <v/>
      </c>
      <c r="E2062" s="1041" t="str">
        <f t="shared" si="1214"/>
        <v/>
      </c>
      <c r="F2062" s="1040" t="str">
        <f t="shared" si="1215"/>
        <v/>
      </c>
      <c r="G2062" s="1041" t="str">
        <f t="shared" si="1216"/>
        <v/>
      </c>
      <c r="H2062" s="1042">
        <f t="shared" si="1218"/>
        <v>0</v>
      </c>
      <c r="I2062" s="1042">
        <f t="shared" si="1219"/>
        <v>0</v>
      </c>
      <c r="J2062" s="1042">
        <f t="shared" si="1217"/>
        <v>0</v>
      </c>
    </row>
    <row r="2063" spans="1:10" x14ac:dyDescent="0.25">
      <c r="A2063" s="1039"/>
      <c r="B2063" s="1039" t="str">
        <f t="shared" si="1211"/>
        <v/>
      </c>
      <c r="C2063" s="1039" t="str">
        <f t="shared" si="1212"/>
        <v/>
      </c>
      <c r="D2063" s="1040" t="str">
        <f t="shared" si="1213"/>
        <v/>
      </c>
      <c r="E2063" s="1041" t="str">
        <f t="shared" si="1214"/>
        <v/>
      </c>
      <c r="F2063" s="1040" t="str">
        <f t="shared" si="1215"/>
        <v/>
      </c>
      <c r="G2063" s="1041" t="str">
        <f t="shared" si="1216"/>
        <v/>
      </c>
      <c r="H2063" s="1042">
        <f t="shared" si="1218"/>
        <v>0</v>
      </c>
      <c r="I2063" s="1042">
        <f t="shared" si="1219"/>
        <v>0</v>
      </c>
      <c r="J2063" s="1042">
        <f t="shared" si="1217"/>
        <v>0</v>
      </c>
    </row>
    <row r="2064" spans="1:10" x14ac:dyDescent="0.25">
      <c r="A2064" s="1039"/>
      <c r="B2064" s="1039" t="str">
        <f t="shared" si="1211"/>
        <v/>
      </c>
      <c r="C2064" s="1039" t="str">
        <f t="shared" si="1212"/>
        <v/>
      </c>
      <c r="D2064" s="1040" t="str">
        <f t="shared" si="1213"/>
        <v/>
      </c>
      <c r="E2064" s="1041" t="str">
        <f t="shared" si="1214"/>
        <v/>
      </c>
      <c r="F2064" s="1040" t="str">
        <f t="shared" si="1215"/>
        <v/>
      </c>
      <c r="G2064" s="1041" t="str">
        <f t="shared" si="1216"/>
        <v/>
      </c>
      <c r="H2064" s="1042">
        <f t="shared" si="1218"/>
        <v>0</v>
      </c>
      <c r="I2064" s="1042">
        <f t="shared" si="1219"/>
        <v>0</v>
      </c>
      <c r="J2064" s="1042">
        <f t="shared" si="1217"/>
        <v>0</v>
      </c>
    </row>
    <row r="2065" spans="1:10" x14ac:dyDescent="0.25">
      <c r="A2065" s="1039"/>
      <c r="B2065" s="1039" t="str">
        <f t="shared" ref="B2065:B2128" si="1220">IFERROR(VLOOKUP(A2065,DB,2,FALSE),"")</f>
        <v/>
      </c>
      <c r="C2065" s="1039" t="str">
        <f t="shared" si="1212"/>
        <v/>
      </c>
      <c r="D2065" s="1040" t="str">
        <f t="shared" si="1213"/>
        <v/>
      </c>
      <c r="E2065" s="1041" t="str">
        <f t="shared" si="1214"/>
        <v/>
      </c>
      <c r="F2065" s="1040" t="str">
        <f t="shared" si="1215"/>
        <v/>
      </c>
      <c r="G2065" s="1041" t="str">
        <f t="shared" si="1216"/>
        <v/>
      </c>
      <c r="H2065" s="1042">
        <f t="shared" si="1218"/>
        <v>0</v>
      </c>
      <c r="I2065" s="1042">
        <f t="shared" si="1219"/>
        <v>0</v>
      </c>
      <c r="J2065" s="1042">
        <f t="shared" si="1217"/>
        <v>0</v>
      </c>
    </row>
    <row r="2066" spans="1:10" x14ac:dyDescent="0.25">
      <c r="A2066" s="1039"/>
      <c r="B2066" s="1039" t="str">
        <f t="shared" si="1220"/>
        <v/>
      </c>
      <c r="C2066" s="1039" t="str">
        <f t="shared" si="1212"/>
        <v/>
      </c>
      <c r="D2066" s="1040" t="str">
        <f t="shared" si="1213"/>
        <v/>
      </c>
      <c r="E2066" s="1041" t="str">
        <f t="shared" si="1214"/>
        <v/>
      </c>
      <c r="F2066" s="1040" t="str">
        <f t="shared" si="1215"/>
        <v/>
      </c>
      <c r="G2066" s="1041" t="str">
        <f t="shared" si="1216"/>
        <v/>
      </c>
      <c r="H2066" s="1042">
        <f t="shared" si="1218"/>
        <v>0</v>
      </c>
      <c r="I2066" s="1042">
        <f t="shared" si="1219"/>
        <v>0</v>
      </c>
      <c r="J2066" s="1042">
        <f t="shared" si="1217"/>
        <v>0</v>
      </c>
    </row>
    <row r="2067" spans="1:10" x14ac:dyDescent="0.25">
      <c r="A2067" s="1039"/>
      <c r="B2067" s="1039" t="str">
        <f t="shared" si="1220"/>
        <v/>
      </c>
      <c r="C2067" s="1039" t="str">
        <f t="shared" si="1212"/>
        <v/>
      </c>
      <c r="D2067" s="1040" t="str">
        <f t="shared" si="1213"/>
        <v/>
      </c>
      <c r="E2067" s="1041" t="str">
        <f t="shared" si="1214"/>
        <v/>
      </c>
      <c r="F2067" s="1040" t="str">
        <f t="shared" si="1215"/>
        <v/>
      </c>
      <c r="G2067" s="1041" t="str">
        <f t="shared" si="1216"/>
        <v/>
      </c>
      <c r="H2067" s="1042">
        <f t="shared" si="1218"/>
        <v>0</v>
      </c>
      <c r="I2067" s="1042">
        <f t="shared" si="1219"/>
        <v>0</v>
      </c>
      <c r="J2067" s="1042">
        <f t="shared" si="1217"/>
        <v>0</v>
      </c>
    </row>
    <row r="2068" spans="1:10" x14ac:dyDescent="0.25">
      <c r="A2068" s="1039"/>
      <c r="B2068" s="1039" t="str">
        <f t="shared" si="1220"/>
        <v/>
      </c>
      <c r="C2068" s="1039" t="str">
        <f t="shared" si="1212"/>
        <v/>
      </c>
      <c r="D2068" s="1040" t="str">
        <f t="shared" si="1213"/>
        <v/>
      </c>
      <c r="E2068" s="1041" t="str">
        <f t="shared" si="1214"/>
        <v/>
      </c>
      <c r="F2068" s="1040" t="str">
        <f t="shared" si="1215"/>
        <v/>
      </c>
      <c r="G2068" s="1041" t="str">
        <f t="shared" si="1216"/>
        <v/>
      </c>
      <c r="H2068" s="1042">
        <f t="shared" si="1218"/>
        <v>0</v>
      </c>
      <c r="I2068" s="1042">
        <f t="shared" si="1219"/>
        <v>0</v>
      </c>
      <c r="J2068" s="1042">
        <f t="shared" si="1217"/>
        <v>0</v>
      </c>
    </row>
    <row r="2069" spans="1:10" x14ac:dyDescent="0.25">
      <c r="A2069" s="1039"/>
      <c r="B2069" s="1039" t="str">
        <f t="shared" si="1220"/>
        <v/>
      </c>
      <c r="C2069" s="1039" t="str">
        <f t="shared" si="1212"/>
        <v/>
      </c>
      <c r="D2069" s="1040" t="str">
        <f t="shared" si="1213"/>
        <v/>
      </c>
      <c r="E2069" s="1041" t="str">
        <f t="shared" si="1214"/>
        <v/>
      </c>
      <c r="F2069" s="1040" t="str">
        <f t="shared" si="1215"/>
        <v/>
      </c>
      <c r="G2069" s="1041" t="str">
        <f t="shared" si="1216"/>
        <v/>
      </c>
      <c r="H2069" s="1042">
        <f t="shared" si="1218"/>
        <v>0</v>
      </c>
      <c r="I2069" s="1042">
        <f t="shared" si="1219"/>
        <v>0</v>
      </c>
      <c r="J2069" s="1042">
        <f t="shared" si="1217"/>
        <v>0</v>
      </c>
    </row>
    <row r="2070" spans="1:10" x14ac:dyDescent="0.25">
      <c r="A2070" s="1039"/>
      <c r="B2070" s="1039" t="str">
        <f t="shared" si="1220"/>
        <v/>
      </c>
      <c r="C2070" s="1039" t="str">
        <f t="shared" si="1212"/>
        <v/>
      </c>
      <c r="D2070" s="1040" t="str">
        <f t="shared" si="1213"/>
        <v/>
      </c>
      <c r="E2070" s="1041" t="str">
        <f t="shared" si="1214"/>
        <v/>
      </c>
      <c r="F2070" s="1040" t="str">
        <f t="shared" si="1215"/>
        <v/>
      </c>
      <c r="G2070" s="1041" t="str">
        <f t="shared" si="1216"/>
        <v/>
      </c>
      <c r="H2070" s="1042">
        <f t="shared" si="1218"/>
        <v>0</v>
      </c>
      <c r="I2070" s="1042">
        <f t="shared" si="1219"/>
        <v>0</v>
      </c>
      <c r="J2070" s="1042">
        <f t="shared" si="1217"/>
        <v>0</v>
      </c>
    </row>
    <row r="2071" spans="1:10" x14ac:dyDescent="0.25">
      <c r="A2071" s="1039"/>
      <c r="B2071" s="1039" t="str">
        <f t="shared" si="1220"/>
        <v/>
      </c>
      <c r="C2071" s="1039" t="str">
        <f t="shared" si="1212"/>
        <v/>
      </c>
      <c r="D2071" s="1040" t="str">
        <f t="shared" si="1213"/>
        <v/>
      </c>
      <c r="E2071" s="1041" t="str">
        <f t="shared" si="1214"/>
        <v/>
      </c>
      <c r="F2071" s="1040" t="str">
        <f t="shared" si="1215"/>
        <v/>
      </c>
      <c r="G2071" s="1041" t="str">
        <f t="shared" si="1216"/>
        <v/>
      </c>
      <c r="H2071" s="1042">
        <f t="shared" si="1218"/>
        <v>0</v>
      </c>
      <c r="I2071" s="1042">
        <f t="shared" si="1219"/>
        <v>0</v>
      </c>
      <c r="J2071" s="1042">
        <f t="shared" si="1217"/>
        <v>0</v>
      </c>
    </row>
    <row r="2072" spans="1:10" x14ac:dyDescent="0.25">
      <c r="A2072" s="1039"/>
      <c r="B2072" s="1039" t="str">
        <f t="shared" si="1220"/>
        <v/>
      </c>
      <c r="C2072" s="1039" t="str">
        <f t="shared" si="1212"/>
        <v/>
      </c>
      <c r="D2072" s="1040" t="str">
        <f t="shared" si="1213"/>
        <v/>
      </c>
      <c r="E2072" s="1041" t="str">
        <f t="shared" si="1214"/>
        <v/>
      </c>
      <c r="F2072" s="1040" t="str">
        <f t="shared" si="1215"/>
        <v/>
      </c>
      <c r="G2072" s="1041" t="str">
        <f t="shared" si="1216"/>
        <v/>
      </c>
      <c r="H2072" s="1042">
        <f t="shared" si="1218"/>
        <v>0</v>
      </c>
      <c r="I2072" s="1042">
        <f t="shared" si="1219"/>
        <v>0</v>
      </c>
      <c r="J2072" s="1042">
        <f t="shared" si="1217"/>
        <v>0</v>
      </c>
    </row>
    <row r="2073" spans="1:10" x14ac:dyDescent="0.25">
      <c r="A2073" s="1039"/>
      <c r="B2073" s="1039" t="str">
        <f t="shared" si="1220"/>
        <v/>
      </c>
      <c r="C2073" s="1039" t="str">
        <f t="shared" si="1212"/>
        <v/>
      </c>
      <c r="D2073" s="1040" t="str">
        <f t="shared" si="1213"/>
        <v/>
      </c>
      <c r="E2073" s="1041" t="str">
        <f t="shared" si="1214"/>
        <v/>
      </c>
      <c r="F2073" s="1040" t="str">
        <f t="shared" si="1215"/>
        <v/>
      </c>
      <c r="G2073" s="1041" t="str">
        <f t="shared" si="1216"/>
        <v/>
      </c>
      <c r="H2073" s="1042">
        <f t="shared" si="1218"/>
        <v>0</v>
      </c>
      <c r="I2073" s="1042">
        <f t="shared" si="1219"/>
        <v>0</v>
      </c>
      <c r="J2073" s="1042">
        <f t="shared" si="1217"/>
        <v>0</v>
      </c>
    </row>
    <row r="2074" spans="1:10" x14ac:dyDescent="0.25">
      <c r="A2074" s="1039"/>
      <c r="B2074" s="1039" t="str">
        <f t="shared" si="1220"/>
        <v/>
      </c>
      <c r="C2074" s="1039" t="str">
        <f t="shared" si="1212"/>
        <v/>
      </c>
      <c r="D2074" s="1040" t="str">
        <f t="shared" si="1213"/>
        <v/>
      </c>
      <c r="E2074" s="1041" t="str">
        <f t="shared" si="1214"/>
        <v/>
      </c>
      <c r="F2074" s="1040" t="str">
        <f t="shared" si="1215"/>
        <v/>
      </c>
      <c r="G2074" s="1041" t="str">
        <f t="shared" si="1216"/>
        <v/>
      </c>
      <c r="H2074" s="1042">
        <f t="shared" si="1218"/>
        <v>0</v>
      </c>
      <c r="I2074" s="1042">
        <f t="shared" si="1219"/>
        <v>0</v>
      </c>
      <c r="J2074" s="1042">
        <f t="shared" si="1217"/>
        <v>0</v>
      </c>
    </row>
    <row r="2075" spans="1:10" x14ac:dyDescent="0.25">
      <c r="A2075" s="1039"/>
      <c r="B2075" s="1039" t="str">
        <f t="shared" si="1220"/>
        <v/>
      </c>
      <c r="C2075" s="1039" t="str">
        <f t="shared" si="1212"/>
        <v/>
      </c>
      <c r="D2075" s="1040" t="str">
        <f t="shared" si="1213"/>
        <v/>
      </c>
      <c r="E2075" s="1041" t="str">
        <f t="shared" si="1214"/>
        <v/>
      </c>
      <c r="F2075" s="1040" t="str">
        <f t="shared" si="1215"/>
        <v/>
      </c>
      <c r="G2075" s="1041" t="str">
        <f t="shared" si="1216"/>
        <v/>
      </c>
      <c r="H2075" s="1042">
        <f t="shared" si="1218"/>
        <v>0</v>
      </c>
      <c r="I2075" s="1042">
        <f t="shared" si="1219"/>
        <v>0</v>
      </c>
      <c r="J2075" s="1042">
        <f t="shared" si="1217"/>
        <v>0</v>
      </c>
    </row>
    <row r="2076" spans="1:10" x14ac:dyDescent="0.25">
      <c r="A2076" s="1039"/>
      <c r="B2076" s="1039" t="str">
        <f t="shared" si="1220"/>
        <v/>
      </c>
      <c r="C2076" s="1039" t="str">
        <f t="shared" si="1212"/>
        <v/>
      </c>
      <c r="D2076" s="1040" t="str">
        <f t="shared" si="1213"/>
        <v/>
      </c>
      <c r="E2076" s="1041" t="str">
        <f t="shared" si="1214"/>
        <v/>
      </c>
      <c r="F2076" s="1040" t="str">
        <f t="shared" si="1215"/>
        <v/>
      </c>
      <c r="G2076" s="1041" t="str">
        <f t="shared" si="1216"/>
        <v/>
      </c>
      <c r="H2076" s="1042">
        <f t="shared" si="1218"/>
        <v>0</v>
      </c>
      <c r="I2076" s="1042">
        <f t="shared" si="1219"/>
        <v>0</v>
      </c>
      <c r="J2076" s="1042">
        <f t="shared" si="1217"/>
        <v>0</v>
      </c>
    </row>
    <row r="2077" spans="1:10" x14ac:dyDescent="0.25">
      <c r="A2077" s="1039"/>
      <c r="B2077" s="1039" t="str">
        <f t="shared" si="1220"/>
        <v/>
      </c>
      <c r="C2077" s="1039" t="str">
        <f t="shared" si="1212"/>
        <v/>
      </c>
      <c r="D2077" s="1040" t="str">
        <f t="shared" si="1213"/>
        <v/>
      </c>
      <c r="E2077" s="1041" t="str">
        <f t="shared" si="1214"/>
        <v/>
      </c>
      <c r="F2077" s="1040" t="str">
        <f t="shared" si="1215"/>
        <v/>
      </c>
      <c r="G2077" s="1041" t="str">
        <f t="shared" si="1216"/>
        <v/>
      </c>
      <c r="H2077" s="1042">
        <f t="shared" si="1218"/>
        <v>0</v>
      </c>
      <c r="I2077" s="1042">
        <f t="shared" si="1219"/>
        <v>0</v>
      </c>
      <c r="J2077" s="1042">
        <f t="shared" si="1217"/>
        <v>0</v>
      </c>
    </row>
    <row r="2078" spans="1:10" x14ac:dyDescent="0.25">
      <c r="A2078" s="1039"/>
      <c r="B2078" s="1039" t="str">
        <f t="shared" si="1220"/>
        <v/>
      </c>
      <c r="C2078" s="1039" t="str">
        <f t="shared" si="1212"/>
        <v/>
      </c>
      <c r="D2078" s="1040" t="str">
        <f t="shared" si="1213"/>
        <v/>
      </c>
      <c r="E2078" s="1041" t="str">
        <f t="shared" si="1214"/>
        <v/>
      </c>
      <c r="F2078" s="1040" t="str">
        <f t="shared" si="1215"/>
        <v/>
      </c>
      <c r="G2078" s="1041" t="str">
        <f t="shared" si="1216"/>
        <v/>
      </c>
      <c r="H2078" s="1042">
        <f t="shared" si="1218"/>
        <v>0</v>
      </c>
      <c r="I2078" s="1042">
        <f t="shared" si="1219"/>
        <v>0</v>
      </c>
      <c r="J2078" s="1042">
        <f t="shared" si="1217"/>
        <v>0</v>
      </c>
    </row>
    <row r="2079" spans="1:10" x14ac:dyDescent="0.25">
      <c r="A2079" s="1039"/>
      <c r="B2079" s="1039" t="str">
        <f t="shared" si="1220"/>
        <v/>
      </c>
      <c r="C2079" s="1039" t="str">
        <f t="shared" si="1212"/>
        <v/>
      </c>
      <c r="D2079" s="1040" t="str">
        <f t="shared" si="1213"/>
        <v/>
      </c>
      <c r="E2079" s="1041" t="str">
        <f t="shared" si="1214"/>
        <v/>
      </c>
      <c r="F2079" s="1040" t="str">
        <f t="shared" si="1215"/>
        <v/>
      </c>
      <c r="G2079" s="1041" t="str">
        <f t="shared" si="1216"/>
        <v/>
      </c>
      <c r="H2079" s="1042">
        <f t="shared" si="1218"/>
        <v>0</v>
      </c>
      <c r="I2079" s="1042">
        <f t="shared" si="1219"/>
        <v>0</v>
      </c>
      <c r="J2079" s="1042">
        <f t="shared" si="1217"/>
        <v>0</v>
      </c>
    </row>
    <row r="2080" spans="1:10" x14ac:dyDescent="0.25">
      <c r="A2080" s="1039"/>
      <c r="B2080" s="1039" t="str">
        <f t="shared" si="1220"/>
        <v/>
      </c>
      <c r="C2080" s="1039" t="str">
        <f t="shared" si="1212"/>
        <v/>
      </c>
      <c r="D2080" s="1040" t="str">
        <f t="shared" si="1213"/>
        <v/>
      </c>
      <c r="E2080" s="1041" t="str">
        <f t="shared" si="1214"/>
        <v/>
      </c>
      <c r="F2080" s="1040" t="str">
        <f t="shared" si="1215"/>
        <v/>
      </c>
      <c r="G2080" s="1041" t="str">
        <f t="shared" si="1216"/>
        <v/>
      </c>
      <c r="H2080" s="1042">
        <f t="shared" si="1218"/>
        <v>0</v>
      </c>
      <c r="I2080" s="1042">
        <f t="shared" si="1219"/>
        <v>0</v>
      </c>
      <c r="J2080" s="1042">
        <f t="shared" si="1217"/>
        <v>0</v>
      </c>
    </row>
    <row r="2081" spans="1:10" x14ac:dyDescent="0.25">
      <c r="A2081" s="1039"/>
      <c r="B2081" s="1039" t="str">
        <f t="shared" si="1220"/>
        <v/>
      </c>
      <c r="C2081" s="1039" t="str">
        <f t="shared" si="1212"/>
        <v/>
      </c>
      <c r="D2081" s="1040" t="str">
        <f t="shared" si="1213"/>
        <v/>
      </c>
      <c r="E2081" s="1041" t="str">
        <f t="shared" si="1214"/>
        <v/>
      </c>
      <c r="F2081" s="1040" t="str">
        <f t="shared" si="1215"/>
        <v/>
      </c>
      <c r="G2081" s="1041" t="str">
        <f t="shared" si="1216"/>
        <v/>
      </c>
      <c r="H2081" s="1042">
        <f t="shared" si="1218"/>
        <v>0</v>
      </c>
      <c r="I2081" s="1042">
        <f t="shared" si="1219"/>
        <v>0</v>
      </c>
      <c r="J2081" s="1042">
        <f t="shared" si="1217"/>
        <v>0</v>
      </c>
    </row>
    <row r="2082" spans="1:10" x14ac:dyDescent="0.25">
      <c r="A2082" s="1039"/>
      <c r="B2082" s="1039" t="str">
        <f t="shared" si="1220"/>
        <v/>
      </c>
      <c r="C2082" s="1039" t="str">
        <f t="shared" si="1212"/>
        <v/>
      </c>
      <c r="D2082" s="1040" t="str">
        <f t="shared" si="1213"/>
        <v/>
      </c>
      <c r="E2082" s="1041" t="str">
        <f t="shared" si="1214"/>
        <v/>
      </c>
      <c r="F2082" s="1040" t="str">
        <f t="shared" si="1215"/>
        <v/>
      </c>
      <c r="G2082" s="1041" t="str">
        <f t="shared" si="1216"/>
        <v/>
      </c>
      <c r="H2082" s="1042">
        <f t="shared" si="1218"/>
        <v>0</v>
      </c>
      <c r="I2082" s="1042">
        <f t="shared" si="1219"/>
        <v>0</v>
      </c>
      <c r="J2082" s="1042">
        <f t="shared" si="1217"/>
        <v>0</v>
      </c>
    </row>
    <row r="2083" spans="1:10" x14ac:dyDescent="0.25">
      <c r="A2083" s="1039"/>
      <c r="B2083" s="1039" t="str">
        <f t="shared" si="1220"/>
        <v/>
      </c>
      <c r="C2083" s="1039" t="str">
        <f t="shared" si="1212"/>
        <v/>
      </c>
      <c r="D2083" s="1040" t="str">
        <f t="shared" si="1213"/>
        <v/>
      </c>
      <c r="E2083" s="1041" t="str">
        <f t="shared" si="1214"/>
        <v/>
      </c>
      <c r="F2083" s="1040" t="str">
        <f t="shared" si="1215"/>
        <v/>
      </c>
      <c r="G2083" s="1041" t="str">
        <f t="shared" si="1216"/>
        <v/>
      </c>
      <c r="H2083" s="1042">
        <f t="shared" si="1218"/>
        <v>0</v>
      </c>
      <c r="I2083" s="1042">
        <f t="shared" si="1219"/>
        <v>0</v>
      </c>
      <c r="J2083" s="1042">
        <f t="shared" si="1217"/>
        <v>0</v>
      </c>
    </row>
    <row r="2084" spans="1:10" x14ac:dyDescent="0.25">
      <c r="A2084" s="1039"/>
      <c r="B2084" s="1039" t="str">
        <f t="shared" si="1220"/>
        <v/>
      </c>
      <c r="C2084" s="1039" t="str">
        <f t="shared" si="1212"/>
        <v/>
      </c>
      <c r="D2084" s="1040" t="str">
        <f t="shared" si="1213"/>
        <v/>
      </c>
      <c r="E2084" s="1041" t="str">
        <f t="shared" si="1214"/>
        <v/>
      </c>
      <c r="F2084" s="1040" t="str">
        <f t="shared" si="1215"/>
        <v/>
      </c>
      <c r="G2084" s="1041" t="str">
        <f t="shared" si="1216"/>
        <v/>
      </c>
      <c r="H2084" s="1042">
        <f t="shared" si="1218"/>
        <v>0</v>
      </c>
      <c r="I2084" s="1042">
        <f t="shared" si="1219"/>
        <v>0</v>
      </c>
      <c r="J2084" s="1042">
        <f t="shared" si="1217"/>
        <v>0</v>
      </c>
    </row>
    <row r="2085" spans="1:10" x14ac:dyDescent="0.25">
      <c r="A2085" s="1039"/>
      <c r="B2085" s="1039" t="str">
        <f t="shared" si="1220"/>
        <v/>
      </c>
      <c r="C2085" s="1039" t="str">
        <f t="shared" si="1212"/>
        <v/>
      </c>
      <c r="D2085" s="1040" t="str">
        <f t="shared" si="1213"/>
        <v/>
      </c>
      <c r="E2085" s="1041" t="str">
        <f t="shared" si="1214"/>
        <v/>
      </c>
      <c r="F2085" s="1040" t="str">
        <f t="shared" si="1215"/>
        <v/>
      </c>
      <c r="G2085" s="1041" t="str">
        <f t="shared" si="1216"/>
        <v/>
      </c>
      <c r="H2085" s="1042">
        <f t="shared" si="1218"/>
        <v>0</v>
      </c>
      <c r="I2085" s="1042">
        <f t="shared" si="1219"/>
        <v>0</v>
      </c>
      <c r="J2085" s="1042">
        <f t="shared" si="1217"/>
        <v>0</v>
      </c>
    </row>
    <row r="2086" spans="1:10" x14ac:dyDescent="0.25">
      <c r="A2086" s="1039"/>
      <c r="B2086" s="1039" t="str">
        <f t="shared" si="1220"/>
        <v/>
      </c>
      <c r="C2086" s="1039" t="str">
        <f t="shared" si="1212"/>
        <v/>
      </c>
      <c r="D2086" s="1040" t="str">
        <f t="shared" si="1213"/>
        <v/>
      </c>
      <c r="E2086" s="1041" t="str">
        <f t="shared" si="1214"/>
        <v/>
      </c>
      <c r="F2086" s="1040" t="str">
        <f t="shared" si="1215"/>
        <v/>
      </c>
      <c r="G2086" s="1041" t="str">
        <f t="shared" si="1216"/>
        <v/>
      </c>
      <c r="H2086" s="1042">
        <f t="shared" si="1218"/>
        <v>0</v>
      </c>
      <c r="I2086" s="1042">
        <f t="shared" si="1219"/>
        <v>0</v>
      </c>
      <c r="J2086" s="1042">
        <f t="shared" si="1217"/>
        <v>0</v>
      </c>
    </row>
    <row r="2087" spans="1:10" x14ac:dyDescent="0.25">
      <c r="A2087" s="1039"/>
      <c r="B2087" s="1039" t="str">
        <f t="shared" si="1220"/>
        <v/>
      </c>
      <c r="C2087" s="1039" t="str">
        <f t="shared" ref="C2087:C2150" si="1221">IFERROR(VLOOKUP(A2087,DB,4,FALSE),"")</f>
        <v/>
      </c>
      <c r="D2087" s="1040" t="str">
        <f t="shared" ref="D2087:D2150" si="1222">IFERROR(VLOOKUP(A2087,DB,5,FALSE),"")</f>
        <v/>
      </c>
      <c r="E2087" s="1041" t="str">
        <f t="shared" ref="E2087:E2150" si="1223">IFERROR(VLOOKUP(A2087,DB,6,FALSE),"")</f>
        <v/>
      </c>
      <c r="F2087" s="1040" t="str">
        <f t="shared" ref="F2087:F2150" si="1224">IFERROR(VLOOKUP(A2087,DB,7,FALSE),"")</f>
        <v/>
      </c>
      <c r="G2087" s="1041" t="str">
        <f t="shared" ref="G2087:G2150" si="1225">IFERROR(VLOOKUP(A2087,DB,3,FALSE),"")</f>
        <v/>
      </c>
      <c r="H2087" s="1042">
        <f t="shared" si="1218"/>
        <v>0</v>
      </c>
      <c r="I2087" s="1042">
        <f t="shared" si="1219"/>
        <v>0</v>
      </c>
      <c r="J2087" s="1042">
        <f t="shared" si="1217"/>
        <v>0</v>
      </c>
    </row>
    <row r="2088" spans="1:10" x14ac:dyDescent="0.25">
      <c r="A2088" s="1039"/>
      <c r="B2088" s="1039" t="str">
        <f t="shared" si="1220"/>
        <v/>
      </c>
      <c r="C2088" s="1039" t="str">
        <f t="shared" si="1221"/>
        <v/>
      </c>
      <c r="D2088" s="1040" t="str">
        <f t="shared" si="1222"/>
        <v/>
      </c>
      <c r="E2088" s="1041" t="str">
        <f t="shared" si="1223"/>
        <v/>
      </c>
      <c r="F2088" s="1040" t="str">
        <f t="shared" si="1224"/>
        <v/>
      </c>
      <c r="G2088" s="1041" t="str">
        <f t="shared" si="1225"/>
        <v/>
      </c>
      <c r="H2088" s="1042">
        <f t="shared" si="1218"/>
        <v>0</v>
      </c>
      <c r="I2088" s="1042">
        <f t="shared" si="1219"/>
        <v>0</v>
      </c>
      <c r="J2088" s="1042">
        <f t="shared" si="1217"/>
        <v>0</v>
      </c>
    </row>
    <row r="2089" spans="1:10" x14ac:dyDescent="0.25">
      <c r="A2089" s="1039"/>
      <c r="B2089" s="1039" t="str">
        <f t="shared" si="1220"/>
        <v/>
      </c>
      <c r="C2089" s="1039" t="str">
        <f t="shared" si="1221"/>
        <v/>
      </c>
      <c r="D2089" s="1040" t="str">
        <f t="shared" si="1222"/>
        <v/>
      </c>
      <c r="E2089" s="1041" t="str">
        <f t="shared" si="1223"/>
        <v/>
      </c>
      <c r="F2089" s="1040" t="str">
        <f t="shared" si="1224"/>
        <v/>
      </c>
      <c r="G2089" s="1041" t="str">
        <f t="shared" si="1225"/>
        <v/>
      </c>
      <c r="H2089" s="1042">
        <f t="shared" si="1218"/>
        <v>0</v>
      </c>
      <c r="I2089" s="1042">
        <f t="shared" si="1219"/>
        <v>0</v>
      </c>
      <c r="J2089" s="1042">
        <f t="shared" si="1217"/>
        <v>0</v>
      </c>
    </row>
    <row r="2090" spans="1:10" x14ac:dyDescent="0.25">
      <c r="A2090" s="1039"/>
      <c r="B2090" s="1039" t="str">
        <f t="shared" si="1220"/>
        <v/>
      </c>
      <c r="C2090" s="1039" t="str">
        <f t="shared" si="1221"/>
        <v/>
      </c>
      <c r="D2090" s="1040" t="str">
        <f t="shared" si="1222"/>
        <v/>
      </c>
      <c r="E2090" s="1041" t="str">
        <f t="shared" si="1223"/>
        <v/>
      </c>
      <c r="F2090" s="1040" t="str">
        <f t="shared" si="1224"/>
        <v/>
      </c>
      <c r="G2090" s="1041" t="str">
        <f t="shared" si="1225"/>
        <v/>
      </c>
      <c r="H2090" s="1042">
        <f t="shared" si="1218"/>
        <v>0</v>
      </c>
      <c r="I2090" s="1042">
        <f t="shared" si="1219"/>
        <v>0</v>
      </c>
      <c r="J2090" s="1042">
        <f t="shared" si="1217"/>
        <v>0</v>
      </c>
    </row>
    <row r="2091" spans="1:10" x14ac:dyDescent="0.25">
      <c r="A2091" s="1039"/>
      <c r="B2091" s="1039" t="str">
        <f t="shared" si="1220"/>
        <v/>
      </c>
      <c r="C2091" s="1039" t="str">
        <f t="shared" si="1221"/>
        <v/>
      </c>
      <c r="D2091" s="1040" t="str">
        <f t="shared" si="1222"/>
        <v/>
      </c>
      <c r="E2091" s="1041" t="str">
        <f t="shared" si="1223"/>
        <v/>
      </c>
      <c r="F2091" s="1040" t="str">
        <f t="shared" si="1224"/>
        <v/>
      </c>
      <c r="G2091" s="1041" t="str">
        <f t="shared" si="1225"/>
        <v/>
      </c>
      <c r="H2091" s="1042">
        <f t="shared" si="1218"/>
        <v>0</v>
      </c>
      <c r="I2091" s="1042">
        <f t="shared" si="1219"/>
        <v>0</v>
      </c>
      <c r="J2091" s="1042">
        <f t="shared" si="1217"/>
        <v>0</v>
      </c>
    </row>
    <row r="2092" spans="1:10" x14ac:dyDescent="0.25">
      <c r="A2092" s="1039"/>
      <c r="B2092" s="1039" t="str">
        <f t="shared" si="1220"/>
        <v/>
      </c>
      <c r="C2092" s="1039" t="str">
        <f t="shared" si="1221"/>
        <v/>
      </c>
      <c r="D2092" s="1040" t="str">
        <f t="shared" si="1222"/>
        <v/>
      </c>
      <c r="E2092" s="1041" t="str">
        <f t="shared" si="1223"/>
        <v/>
      </c>
      <c r="F2092" s="1040" t="str">
        <f t="shared" si="1224"/>
        <v/>
      </c>
      <c r="G2092" s="1041" t="str">
        <f t="shared" si="1225"/>
        <v/>
      </c>
      <c r="H2092" s="1042">
        <f t="shared" si="1218"/>
        <v>0</v>
      </c>
      <c r="I2092" s="1042">
        <f t="shared" si="1219"/>
        <v>0</v>
      </c>
      <c r="J2092" s="1042">
        <f t="shared" si="1217"/>
        <v>0</v>
      </c>
    </row>
    <row r="2093" spans="1:10" x14ac:dyDescent="0.25">
      <c r="A2093" s="1039"/>
      <c r="B2093" s="1039" t="str">
        <f t="shared" si="1220"/>
        <v/>
      </c>
      <c r="C2093" s="1039" t="str">
        <f t="shared" si="1221"/>
        <v/>
      </c>
      <c r="D2093" s="1040" t="str">
        <f t="shared" si="1222"/>
        <v/>
      </c>
      <c r="E2093" s="1041" t="str">
        <f t="shared" si="1223"/>
        <v/>
      </c>
      <c r="F2093" s="1040" t="str">
        <f t="shared" si="1224"/>
        <v/>
      </c>
      <c r="G2093" s="1041" t="str">
        <f t="shared" si="1225"/>
        <v/>
      </c>
      <c r="H2093" s="1042">
        <f t="shared" si="1218"/>
        <v>0</v>
      </c>
      <c r="I2093" s="1042">
        <f t="shared" si="1219"/>
        <v>0</v>
      </c>
      <c r="J2093" s="1042">
        <f t="shared" ref="J2093:J2156" si="1226">I2093+H2093</f>
        <v>0</v>
      </c>
    </row>
    <row r="2094" spans="1:10" x14ac:dyDescent="0.25">
      <c r="A2094" s="1039"/>
      <c r="B2094" s="1039" t="str">
        <f t="shared" si="1220"/>
        <v/>
      </c>
      <c r="C2094" s="1039" t="str">
        <f t="shared" si="1221"/>
        <v/>
      </c>
      <c r="D2094" s="1040" t="str">
        <f t="shared" si="1222"/>
        <v/>
      </c>
      <c r="E2094" s="1041" t="str">
        <f t="shared" si="1223"/>
        <v/>
      </c>
      <c r="F2094" s="1040" t="str">
        <f t="shared" si="1224"/>
        <v/>
      </c>
      <c r="G2094" s="1041" t="str">
        <f t="shared" si="1225"/>
        <v/>
      </c>
      <c r="H2094" s="1042">
        <f t="shared" ref="H2094:H2157" si="1227">IF(F2094="AKTIF",6450000,IF(F2094="CUTI",3000000,0))</f>
        <v>0</v>
      </c>
      <c r="I2094" s="1042">
        <f t="shared" ref="I2094:I2157" si="1228">IF(F2094="AKTIF",3750000,IF(F2094="CUTI",3000000,0))</f>
        <v>0</v>
      </c>
      <c r="J2094" s="1042">
        <f t="shared" si="1226"/>
        <v>0</v>
      </c>
    </row>
    <row r="2095" spans="1:10" x14ac:dyDescent="0.25">
      <c r="A2095" s="1039"/>
      <c r="B2095" s="1039" t="str">
        <f t="shared" si="1220"/>
        <v/>
      </c>
      <c r="C2095" s="1039" t="str">
        <f t="shared" si="1221"/>
        <v/>
      </c>
      <c r="D2095" s="1040" t="str">
        <f t="shared" si="1222"/>
        <v/>
      </c>
      <c r="E2095" s="1041" t="str">
        <f t="shared" si="1223"/>
        <v/>
      </c>
      <c r="F2095" s="1040" t="str">
        <f t="shared" si="1224"/>
        <v/>
      </c>
      <c r="G2095" s="1041" t="str">
        <f t="shared" si="1225"/>
        <v/>
      </c>
      <c r="H2095" s="1042">
        <f t="shared" si="1227"/>
        <v>0</v>
      </c>
      <c r="I2095" s="1042">
        <f t="shared" si="1228"/>
        <v>0</v>
      </c>
      <c r="J2095" s="1042">
        <f t="shared" si="1226"/>
        <v>0</v>
      </c>
    </row>
    <row r="2096" spans="1:10" x14ac:dyDescent="0.25">
      <c r="A2096" s="1039"/>
      <c r="B2096" s="1039" t="str">
        <f t="shared" si="1220"/>
        <v/>
      </c>
      <c r="C2096" s="1039" t="str">
        <f t="shared" si="1221"/>
        <v/>
      </c>
      <c r="D2096" s="1040" t="str">
        <f t="shared" si="1222"/>
        <v/>
      </c>
      <c r="E2096" s="1041" t="str">
        <f t="shared" si="1223"/>
        <v/>
      </c>
      <c r="F2096" s="1040" t="str">
        <f t="shared" si="1224"/>
        <v/>
      </c>
      <c r="G2096" s="1041" t="str">
        <f t="shared" si="1225"/>
        <v/>
      </c>
      <c r="H2096" s="1042">
        <f t="shared" si="1227"/>
        <v>0</v>
      </c>
      <c r="I2096" s="1042">
        <f t="shared" si="1228"/>
        <v>0</v>
      </c>
      <c r="J2096" s="1042">
        <f t="shared" si="1226"/>
        <v>0</v>
      </c>
    </row>
    <row r="2097" spans="1:10" x14ac:dyDescent="0.25">
      <c r="A2097" s="1039"/>
      <c r="B2097" s="1039" t="str">
        <f t="shared" si="1220"/>
        <v/>
      </c>
      <c r="C2097" s="1039" t="str">
        <f t="shared" si="1221"/>
        <v/>
      </c>
      <c r="D2097" s="1040" t="str">
        <f t="shared" si="1222"/>
        <v/>
      </c>
      <c r="E2097" s="1041" t="str">
        <f t="shared" si="1223"/>
        <v/>
      </c>
      <c r="F2097" s="1040" t="str">
        <f t="shared" si="1224"/>
        <v/>
      </c>
      <c r="G2097" s="1041" t="str">
        <f t="shared" si="1225"/>
        <v/>
      </c>
      <c r="H2097" s="1042">
        <f t="shared" si="1227"/>
        <v>0</v>
      </c>
      <c r="I2097" s="1042">
        <f t="shared" si="1228"/>
        <v>0</v>
      </c>
      <c r="J2097" s="1042">
        <f t="shared" si="1226"/>
        <v>0</v>
      </c>
    </row>
    <row r="2098" spans="1:10" x14ac:dyDescent="0.25">
      <c r="A2098" s="1039"/>
      <c r="B2098" s="1039" t="str">
        <f t="shared" si="1220"/>
        <v/>
      </c>
      <c r="C2098" s="1039" t="str">
        <f t="shared" si="1221"/>
        <v/>
      </c>
      <c r="D2098" s="1040" t="str">
        <f t="shared" si="1222"/>
        <v/>
      </c>
      <c r="E2098" s="1041" t="str">
        <f t="shared" si="1223"/>
        <v/>
      </c>
      <c r="F2098" s="1040" t="str">
        <f t="shared" si="1224"/>
        <v/>
      </c>
      <c r="G2098" s="1041" t="str">
        <f t="shared" si="1225"/>
        <v/>
      </c>
      <c r="H2098" s="1042">
        <f t="shared" si="1227"/>
        <v>0</v>
      </c>
      <c r="I2098" s="1042">
        <f t="shared" si="1228"/>
        <v>0</v>
      </c>
      <c r="J2098" s="1042">
        <f t="shared" si="1226"/>
        <v>0</v>
      </c>
    </row>
    <row r="2099" spans="1:10" x14ac:dyDescent="0.25">
      <c r="A2099" s="1039"/>
      <c r="B2099" s="1039" t="str">
        <f t="shared" si="1220"/>
        <v/>
      </c>
      <c r="C2099" s="1039" t="str">
        <f t="shared" si="1221"/>
        <v/>
      </c>
      <c r="D2099" s="1040" t="str">
        <f t="shared" si="1222"/>
        <v/>
      </c>
      <c r="E2099" s="1041" t="str">
        <f t="shared" si="1223"/>
        <v/>
      </c>
      <c r="F2099" s="1040" t="str">
        <f t="shared" si="1224"/>
        <v/>
      </c>
      <c r="G2099" s="1041" t="str">
        <f t="shared" si="1225"/>
        <v/>
      </c>
      <c r="H2099" s="1042">
        <f t="shared" si="1227"/>
        <v>0</v>
      </c>
      <c r="I2099" s="1042">
        <f t="shared" si="1228"/>
        <v>0</v>
      </c>
      <c r="J2099" s="1042">
        <f t="shared" si="1226"/>
        <v>0</v>
      </c>
    </row>
    <row r="2100" spans="1:10" x14ac:dyDescent="0.25">
      <c r="A2100" s="1039"/>
      <c r="B2100" s="1039" t="str">
        <f t="shared" si="1220"/>
        <v/>
      </c>
      <c r="C2100" s="1039" t="str">
        <f t="shared" si="1221"/>
        <v/>
      </c>
      <c r="D2100" s="1040" t="str">
        <f t="shared" si="1222"/>
        <v/>
      </c>
      <c r="E2100" s="1041" t="str">
        <f t="shared" si="1223"/>
        <v/>
      </c>
      <c r="F2100" s="1040" t="str">
        <f t="shared" si="1224"/>
        <v/>
      </c>
      <c r="G2100" s="1041" t="str">
        <f t="shared" si="1225"/>
        <v/>
      </c>
      <c r="H2100" s="1042">
        <f t="shared" si="1227"/>
        <v>0</v>
      </c>
      <c r="I2100" s="1042">
        <f t="shared" si="1228"/>
        <v>0</v>
      </c>
      <c r="J2100" s="1042">
        <f t="shared" si="1226"/>
        <v>0</v>
      </c>
    </row>
    <row r="2101" spans="1:10" x14ac:dyDescent="0.25">
      <c r="A2101" s="1039"/>
      <c r="B2101" s="1039" t="str">
        <f t="shared" si="1220"/>
        <v/>
      </c>
      <c r="C2101" s="1039" t="str">
        <f t="shared" si="1221"/>
        <v/>
      </c>
      <c r="D2101" s="1040" t="str">
        <f t="shared" si="1222"/>
        <v/>
      </c>
      <c r="E2101" s="1041" t="str">
        <f t="shared" si="1223"/>
        <v/>
      </c>
      <c r="F2101" s="1040" t="str">
        <f t="shared" si="1224"/>
        <v/>
      </c>
      <c r="G2101" s="1041" t="str">
        <f t="shared" si="1225"/>
        <v/>
      </c>
      <c r="H2101" s="1042">
        <f t="shared" si="1227"/>
        <v>0</v>
      </c>
      <c r="I2101" s="1042">
        <f t="shared" si="1228"/>
        <v>0</v>
      </c>
      <c r="J2101" s="1042">
        <f t="shared" si="1226"/>
        <v>0</v>
      </c>
    </row>
    <row r="2102" spans="1:10" x14ac:dyDescent="0.25">
      <c r="A2102" s="1039"/>
      <c r="B2102" s="1039" t="str">
        <f t="shared" si="1220"/>
        <v/>
      </c>
      <c r="C2102" s="1039" t="str">
        <f t="shared" si="1221"/>
        <v/>
      </c>
      <c r="D2102" s="1040" t="str">
        <f t="shared" si="1222"/>
        <v/>
      </c>
      <c r="E2102" s="1041" t="str">
        <f t="shared" si="1223"/>
        <v/>
      </c>
      <c r="F2102" s="1040" t="str">
        <f t="shared" si="1224"/>
        <v/>
      </c>
      <c r="G2102" s="1041" t="str">
        <f t="shared" si="1225"/>
        <v/>
      </c>
      <c r="H2102" s="1042">
        <f t="shared" si="1227"/>
        <v>0</v>
      </c>
      <c r="I2102" s="1042">
        <f t="shared" si="1228"/>
        <v>0</v>
      </c>
      <c r="J2102" s="1042">
        <f t="shared" si="1226"/>
        <v>0</v>
      </c>
    </row>
    <row r="2103" spans="1:10" x14ac:dyDescent="0.25">
      <c r="A2103" s="1039"/>
      <c r="B2103" s="1039" t="str">
        <f t="shared" si="1220"/>
        <v/>
      </c>
      <c r="C2103" s="1039" t="str">
        <f t="shared" si="1221"/>
        <v/>
      </c>
      <c r="D2103" s="1040" t="str">
        <f t="shared" si="1222"/>
        <v/>
      </c>
      <c r="E2103" s="1041" t="str">
        <f t="shared" si="1223"/>
        <v/>
      </c>
      <c r="F2103" s="1040" t="str">
        <f t="shared" si="1224"/>
        <v/>
      </c>
      <c r="G2103" s="1041" t="str">
        <f t="shared" si="1225"/>
        <v/>
      </c>
      <c r="H2103" s="1042">
        <f t="shared" si="1227"/>
        <v>0</v>
      </c>
      <c r="I2103" s="1042">
        <f t="shared" si="1228"/>
        <v>0</v>
      </c>
      <c r="J2103" s="1042">
        <f t="shared" si="1226"/>
        <v>0</v>
      </c>
    </row>
    <row r="2104" spans="1:10" x14ac:dyDescent="0.25">
      <c r="A2104" s="1039"/>
      <c r="B2104" s="1039" t="str">
        <f t="shared" si="1220"/>
        <v/>
      </c>
      <c r="C2104" s="1039" t="str">
        <f t="shared" si="1221"/>
        <v/>
      </c>
      <c r="D2104" s="1040" t="str">
        <f t="shared" si="1222"/>
        <v/>
      </c>
      <c r="E2104" s="1041" t="str">
        <f t="shared" si="1223"/>
        <v/>
      </c>
      <c r="F2104" s="1040" t="str">
        <f t="shared" si="1224"/>
        <v/>
      </c>
      <c r="G2104" s="1041" t="str">
        <f t="shared" si="1225"/>
        <v/>
      </c>
      <c r="H2104" s="1042">
        <f t="shared" si="1227"/>
        <v>0</v>
      </c>
      <c r="I2104" s="1042">
        <f t="shared" si="1228"/>
        <v>0</v>
      </c>
      <c r="J2104" s="1042">
        <f t="shared" si="1226"/>
        <v>0</v>
      </c>
    </row>
    <row r="2105" spans="1:10" x14ac:dyDescent="0.25">
      <c r="A2105" s="1039"/>
      <c r="B2105" s="1039" t="str">
        <f t="shared" si="1220"/>
        <v/>
      </c>
      <c r="C2105" s="1039" t="str">
        <f t="shared" si="1221"/>
        <v/>
      </c>
      <c r="D2105" s="1040" t="str">
        <f t="shared" si="1222"/>
        <v/>
      </c>
      <c r="E2105" s="1041" t="str">
        <f t="shared" si="1223"/>
        <v/>
      </c>
      <c r="F2105" s="1040" t="str">
        <f t="shared" si="1224"/>
        <v/>
      </c>
      <c r="G2105" s="1041" t="str">
        <f t="shared" si="1225"/>
        <v/>
      </c>
      <c r="H2105" s="1042">
        <f t="shared" si="1227"/>
        <v>0</v>
      </c>
      <c r="I2105" s="1042">
        <f t="shared" si="1228"/>
        <v>0</v>
      </c>
      <c r="J2105" s="1042">
        <f t="shared" si="1226"/>
        <v>0</v>
      </c>
    </row>
    <row r="2106" spans="1:10" x14ac:dyDescent="0.25">
      <c r="A2106" s="1039"/>
      <c r="B2106" s="1039" t="str">
        <f t="shared" si="1220"/>
        <v/>
      </c>
      <c r="C2106" s="1039" t="str">
        <f t="shared" si="1221"/>
        <v/>
      </c>
      <c r="D2106" s="1040" t="str">
        <f t="shared" si="1222"/>
        <v/>
      </c>
      <c r="E2106" s="1041" t="str">
        <f t="shared" si="1223"/>
        <v/>
      </c>
      <c r="F2106" s="1040" t="str">
        <f t="shared" si="1224"/>
        <v/>
      </c>
      <c r="G2106" s="1041" t="str">
        <f t="shared" si="1225"/>
        <v/>
      </c>
      <c r="H2106" s="1042">
        <f t="shared" si="1227"/>
        <v>0</v>
      </c>
      <c r="I2106" s="1042">
        <f t="shared" si="1228"/>
        <v>0</v>
      </c>
      <c r="J2106" s="1042">
        <f t="shared" si="1226"/>
        <v>0</v>
      </c>
    </row>
    <row r="2107" spans="1:10" x14ac:dyDescent="0.25">
      <c r="A2107" s="1039"/>
      <c r="B2107" s="1039" t="str">
        <f t="shared" si="1220"/>
        <v/>
      </c>
      <c r="C2107" s="1039" t="str">
        <f t="shared" si="1221"/>
        <v/>
      </c>
      <c r="D2107" s="1040" t="str">
        <f t="shared" si="1222"/>
        <v/>
      </c>
      <c r="E2107" s="1041" t="str">
        <f t="shared" si="1223"/>
        <v/>
      </c>
      <c r="F2107" s="1040" t="str">
        <f t="shared" si="1224"/>
        <v/>
      </c>
      <c r="G2107" s="1041" t="str">
        <f t="shared" si="1225"/>
        <v/>
      </c>
      <c r="H2107" s="1042">
        <f t="shared" si="1227"/>
        <v>0</v>
      </c>
      <c r="I2107" s="1042">
        <f t="shared" si="1228"/>
        <v>0</v>
      </c>
      <c r="J2107" s="1042">
        <f t="shared" si="1226"/>
        <v>0</v>
      </c>
    </row>
    <row r="2108" spans="1:10" x14ac:dyDescent="0.25">
      <c r="A2108" s="1039"/>
      <c r="B2108" s="1039" t="str">
        <f t="shared" si="1220"/>
        <v/>
      </c>
      <c r="C2108" s="1039" t="str">
        <f t="shared" si="1221"/>
        <v/>
      </c>
      <c r="D2108" s="1040" t="str">
        <f t="shared" si="1222"/>
        <v/>
      </c>
      <c r="E2108" s="1041" t="str">
        <f t="shared" si="1223"/>
        <v/>
      </c>
      <c r="F2108" s="1040" t="str">
        <f t="shared" si="1224"/>
        <v/>
      </c>
      <c r="G2108" s="1041" t="str">
        <f t="shared" si="1225"/>
        <v/>
      </c>
      <c r="H2108" s="1042">
        <f t="shared" si="1227"/>
        <v>0</v>
      </c>
      <c r="I2108" s="1042">
        <f t="shared" si="1228"/>
        <v>0</v>
      </c>
      <c r="J2108" s="1042">
        <f t="shared" si="1226"/>
        <v>0</v>
      </c>
    </row>
    <row r="2109" spans="1:10" x14ac:dyDescent="0.25">
      <c r="A2109" s="1039"/>
      <c r="B2109" s="1039" t="str">
        <f t="shared" si="1220"/>
        <v/>
      </c>
      <c r="C2109" s="1039" t="str">
        <f t="shared" si="1221"/>
        <v/>
      </c>
      <c r="D2109" s="1040" t="str">
        <f t="shared" si="1222"/>
        <v/>
      </c>
      <c r="E2109" s="1041" t="str">
        <f t="shared" si="1223"/>
        <v/>
      </c>
      <c r="F2109" s="1040" t="str">
        <f t="shared" si="1224"/>
        <v/>
      </c>
      <c r="G2109" s="1041" t="str">
        <f t="shared" si="1225"/>
        <v/>
      </c>
      <c r="H2109" s="1042">
        <f t="shared" si="1227"/>
        <v>0</v>
      </c>
      <c r="I2109" s="1042">
        <f t="shared" si="1228"/>
        <v>0</v>
      </c>
      <c r="J2109" s="1042">
        <f t="shared" si="1226"/>
        <v>0</v>
      </c>
    </row>
    <row r="2110" spans="1:10" x14ac:dyDescent="0.25">
      <c r="A2110" s="1039"/>
      <c r="B2110" s="1039" t="str">
        <f t="shared" si="1220"/>
        <v/>
      </c>
      <c r="C2110" s="1039" t="str">
        <f t="shared" si="1221"/>
        <v/>
      </c>
      <c r="D2110" s="1040" t="str">
        <f t="shared" si="1222"/>
        <v/>
      </c>
      <c r="E2110" s="1041" t="str">
        <f t="shared" si="1223"/>
        <v/>
      </c>
      <c r="F2110" s="1040" t="str">
        <f t="shared" si="1224"/>
        <v/>
      </c>
      <c r="G2110" s="1041" t="str">
        <f t="shared" si="1225"/>
        <v/>
      </c>
      <c r="H2110" s="1042">
        <f t="shared" si="1227"/>
        <v>0</v>
      </c>
      <c r="I2110" s="1042">
        <f t="shared" si="1228"/>
        <v>0</v>
      </c>
      <c r="J2110" s="1042">
        <f t="shared" si="1226"/>
        <v>0</v>
      </c>
    </row>
    <row r="2111" spans="1:10" x14ac:dyDescent="0.25">
      <c r="A2111" s="1039"/>
      <c r="B2111" s="1039" t="str">
        <f t="shared" si="1220"/>
        <v/>
      </c>
      <c r="C2111" s="1039" t="str">
        <f t="shared" si="1221"/>
        <v/>
      </c>
      <c r="D2111" s="1040" t="str">
        <f t="shared" si="1222"/>
        <v/>
      </c>
      <c r="E2111" s="1041" t="str">
        <f t="shared" si="1223"/>
        <v/>
      </c>
      <c r="F2111" s="1040" t="str">
        <f t="shared" si="1224"/>
        <v/>
      </c>
      <c r="G2111" s="1041" t="str">
        <f t="shared" si="1225"/>
        <v/>
      </c>
      <c r="H2111" s="1042">
        <f t="shared" si="1227"/>
        <v>0</v>
      </c>
      <c r="I2111" s="1042">
        <f t="shared" si="1228"/>
        <v>0</v>
      </c>
      <c r="J2111" s="1042">
        <f t="shared" si="1226"/>
        <v>0</v>
      </c>
    </row>
    <row r="2112" spans="1:10" x14ac:dyDescent="0.25">
      <c r="A2112" s="1039"/>
      <c r="B2112" s="1039" t="str">
        <f t="shared" si="1220"/>
        <v/>
      </c>
      <c r="C2112" s="1039" t="str">
        <f t="shared" si="1221"/>
        <v/>
      </c>
      <c r="D2112" s="1040" t="str">
        <f t="shared" si="1222"/>
        <v/>
      </c>
      <c r="E2112" s="1041" t="str">
        <f t="shared" si="1223"/>
        <v/>
      </c>
      <c r="F2112" s="1040" t="str">
        <f t="shared" si="1224"/>
        <v/>
      </c>
      <c r="G2112" s="1041" t="str">
        <f t="shared" si="1225"/>
        <v/>
      </c>
      <c r="H2112" s="1042">
        <f t="shared" si="1227"/>
        <v>0</v>
      </c>
      <c r="I2112" s="1042">
        <f t="shared" si="1228"/>
        <v>0</v>
      </c>
      <c r="J2112" s="1042">
        <f t="shared" si="1226"/>
        <v>0</v>
      </c>
    </row>
    <row r="2113" spans="1:10" x14ac:dyDescent="0.25">
      <c r="A2113" s="1039"/>
      <c r="B2113" s="1039" t="str">
        <f t="shared" si="1220"/>
        <v/>
      </c>
      <c r="C2113" s="1039" t="str">
        <f t="shared" si="1221"/>
        <v/>
      </c>
      <c r="D2113" s="1040" t="str">
        <f t="shared" si="1222"/>
        <v/>
      </c>
      <c r="E2113" s="1041" t="str">
        <f t="shared" si="1223"/>
        <v/>
      </c>
      <c r="F2113" s="1040" t="str">
        <f t="shared" si="1224"/>
        <v/>
      </c>
      <c r="G2113" s="1041" t="str">
        <f t="shared" si="1225"/>
        <v/>
      </c>
      <c r="H2113" s="1042">
        <f t="shared" si="1227"/>
        <v>0</v>
      </c>
      <c r="I2113" s="1042">
        <f t="shared" si="1228"/>
        <v>0</v>
      </c>
      <c r="J2113" s="1042">
        <f t="shared" si="1226"/>
        <v>0</v>
      </c>
    </row>
    <row r="2114" spans="1:10" x14ac:dyDescent="0.25">
      <c r="A2114" s="1039"/>
      <c r="B2114" s="1039" t="str">
        <f t="shared" si="1220"/>
        <v/>
      </c>
      <c r="C2114" s="1039" t="str">
        <f t="shared" si="1221"/>
        <v/>
      </c>
      <c r="D2114" s="1040" t="str">
        <f t="shared" si="1222"/>
        <v/>
      </c>
      <c r="E2114" s="1041" t="str">
        <f t="shared" si="1223"/>
        <v/>
      </c>
      <c r="F2114" s="1040" t="str">
        <f t="shared" si="1224"/>
        <v/>
      </c>
      <c r="G2114" s="1041" t="str">
        <f t="shared" si="1225"/>
        <v/>
      </c>
      <c r="H2114" s="1042">
        <f t="shared" si="1227"/>
        <v>0</v>
      </c>
      <c r="I2114" s="1042">
        <f t="shared" si="1228"/>
        <v>0</v>
      </c>
      <c r="J2114" s="1042">
        <f t="shared" si="1226"/>
        <v>0</v>
      </c>
    </row>
    <row r="2115" spans="1:10" x14ac:dyDescent="0.25">
      <c r="A2115" s="1039"/>
      <c r="B2115" s="1039" t="str">
        <f t="shared" si="1220"/>
        <v/>
      </c>
      <c r="C2115" s="1039" t="str">
        <f t="shared" si="1221"/>
        <v/>
      </c>
      <c r="D2115" s="1040" t="str">
        <f t="shared" si="1222"/>
        <v/>
      </c>
      <c r="E2115" s="1041" t="str">
        <f t="shared" si="1223"/>
        <v/>
      </c>
      <c r="F2115" s="1040" t="str">
        <f t="shared" si="1224"/>
        <v/>
      </c>
      <c r="G2115" s="1041" t="str">
        <f t="shared" si="1225"/>
        <v/>
      </c>
      <c r="H2115" s="1042">
        <f t="shared" si="1227"/>
        <v>0</v>
      </c>
      <c r="I2115" s="1042">
        <f t="shared" si="1228"/>
        <v>0</v>
      </c>
      <c r="J2115" s="1042">
        <f t="shared" si="1226"/>
        <v>0</v>
      </c>
    </row>
    <row r="2116" spans="1:10" x14ac:dyDescent="0.25">
      <c r="A2116" s="1039"/>
      <c r="B2116" s="1039" t="str">
        <f t="shared" si="1220"/>
        <v/>
      </c>
      <c r="C2116" s="1039" t="str">
        <f t="shared" si="1221"/>
        <v/>
      </c>
      <c r="D2116" s="1040" t="str">
        <f t="shared" si="1222"/>
        <v/>
      </c>
      <c r="E2116" s="1041" t="str">
        <f t="shared" si="1223"/>
        <v/>
      </c>
      <c r="F2116" s="1040" t="str">
        <f t="shared" si="1224"/>
        <v/>
      </c>
      <c r="G2116" s="1041" t="str">
        <f t="shared" si="1225"/>
        <v/>
      </c>
      <c r="H2116" s="1042">
        <f t="shared" si="1227"/>
        <v>0</v>
      </c>
      <c r="I2116" s="1042">
        <f t="shared" si="1228"/>
        <v>0</v>
      </c>
      <c r="J2116" s="1042">
        <f t="shared" si="1226"/>
        <v>0</v>
      </c>
    </row>
    <row r="2117" spans="1:10" x14ac:dyDescent="0.25">
      <c r="A2117" s="1039"/>
      <c r="B2117" s="1039" t="str">
        <f t="shared" si="1220"/>
        <v/>
      </c>
      <c r="C2117" s="1039" t="str">
        <f t="shared" si="1221"/>
        <v/>
      </c>
      <c r="D2117" s="1040" t="str">
        <f t="shared" si="1222"/>
        <v/>
      </c>
      <c r="E2117" s="1041" t="str">
        <f t="shared" si="1223"/>
        <v/>
      </c>
      <c r="F2117" s="1040" t="str">
        <f t="shared" si="1224"/>
        <v/>
      </c>
      <c r="G2117" s="1041" t="str">
        <f t="shared" si="1225"/>
        <v/>
      </c>
      <c r="H2117" s="1042">
        <f t="shared" si="1227"/>
        <v>0</v>
      </c>
      <c r="I2117" s="1042">
        <f t="shared" si="1228"/>
        <v>0</v>
      </c>
      <c r="J2117" s="1042">
        <f t="shared" si="1226"/>
        <v>0</v>
      </c>
    </row>
    <row r="2118" spans="1:10" x14ac:dyDescent="0.25">
      <c r="A2118" s="1039"/>
      <c r="B2118" s="1039" t="str">
        <f t="shared" si="1220"/>
        <v/>
      </c>
      <c r="C2118" s="1039" t="str">
        <f t="shared" si="1221"/>
        <v/>
      </c>
      <c r="D2118" s="1040" t="str">
        <f t="shared" si="1222"/>
        <v/>
      </c>
      <c r="E2118" s="1041" t="str">
        <f t="shared" si="1223"/>
        <v/>
      </c>
      <c r="F2118" s="1040" t="str">
        <f t="shared" si="1224"/>
        <v/>
      </c>
      <c r="G2118" s="1041" t="str">
        <f t="shared" si="1225"/>
        <v/>
      </c>
      <c r="H2118" s="1042">
        <f t="shared" si="1227"/>
        <v>0</v>
      </c>
      <c r="I2118" s="1042">
        <f t="shared" si="1228"/>
        <v>0</v>
      </c>
      <c r="J2118" s="1042">
        <f t="shared" si="1226"/>
        <v>0</v>
      </c>
    </row>
    <row r="2119" spans="1:10" x14ac:dyDescent="0.25">
      <c r="A2119" s="1039"/>
      <c r="B2119" s="1039" t="str">
        <f t="shared" si="1220"/>
        <v/>
      </c>
      <c r="C2119" s="1039" t="str">
        <f t="shared" si="1221"/>
        <v/>
      </c>
      <c r="D2119" s="1040" t="str">
        <f t="shared" si="1222"/>
        <v/>
      </c>
      <c r="E2119" s="1041" t="str">
        <f t="shared" si="1223"/>
        <v/>
      </c>
      <c r="F2119" s="1040" t="str">
        <f t="shared" si="1224"/>
        <v/>
      </c>
      <c r="G2119" s="1041" t="str">
        <f t="shared" si="1225"/>
        <v/>
      </c>
      <c r="H2119" s="1042">
        <f t="shared" si="1227"/>
        <v>0</v>
      </c>
      <c r="I2119" s="1042">
        <f t="shared" si="1228"/>
        <v>0</v>
      </c>
      <c r="J2119" s="1042">
        <f t="shared" si="1226"/>
        <v>0</v>
      </c>
    </row>
    <row r="2120" spans="1:10" x14ac:dyDescent="0.25">
      <c r="A2120" s="1039"/>
      <c r="B2120" s="1039" t="str">
        <f t="shared" si="1220"/>
        <v/>
      </c>
      <c r="C2120" s="1039" t="str">
        <f t="shared" si="1221"/>
        <v/>
      </c>
      <c r="D2120" s="1040" t="str">
        <f t="shared" si="1222"/>
        <v/>
      </c>
      <c r="E2120" s="1041" t="str">
        <f t="shared" si="1223"/>
        <v/>
      </c>
      <c r="F2120" s="1040" t="str">
        <f t="shared" si="1224"/>
        <v/>
      </c>
      <c r="G2120" s="1041" t="str">
        <f t="shared" si="1225"/>
        <v/>
      </c>
      <c r="H2120" s="1042">
        <f t="shared" si="1227"/>
        <v>0</v>
      </c>
      <c r="I2120" s="1042">
        <f t="shared" si="1228"/>
        <v>0</v>
      </c>
      <c r="J2120" s="1042">
        <f t="shared" si="1226"/>
        <v>0</v>
      </c>
    </row>
    <row r="2121" spans="1:10" x14ac:dyDescent="0.25">
      <c r="A2121" s="1039"/>
      <c r="B2121" s="1039" t="str">
        <f t="shared" si="1220"/>
        <v/>
      </c>
      <c r="C2121" s="1039" t="str">
        <f t="shared" si="1221"/>
        <v/>
      </c>
      <c r="D2121" s="1040" t="str">
        <f t="shared" si="1222"/>
        <v/>
      </c>
      <c r="E2121" s="1041" t="str">
        <f t="shared" si="1223"/>
        <v/>
      </c>
      <c r="F2121" s="1040" t="str">
        <f t="shared" si="1224"/>
        <v/>
      </c>
      <c r="G2121" s="1041" t="str">
        <f t="shared" si="1225"/>
        <v/>
      </c>
      <c r="H2121" s="1042">
        <f t="shared" si="1227"/>
        <v>0</v>
      </c>
      <c r="I2121" s="1042">
        <f t="shared" si="1228"/>
        <v>0</v>
      </c>
      <c r="J2121" s="1042">
        <f t="shared" si="1226"/>
        <v>0</v>
      </c>
    </row>
    <row r="2122" spans="1:10" x14ac:dyDescent="0.25">
      <c r="A2122" s="1039"/>
      <c r="B2122" s="1039" t="str">
        <f t="shared" si="1220"/>
        <v/>
      </c>
      <c r="C2122" s="1039" t="str">
        <f t="shared" si="1221"/>
        <v/>
      </c>
      <c r="D2122" s="1040" t="str">
        <f t="shared" si="1222"/>
        <v/>
      </c>
      <c r="E2122" s="1041" t="str">
        <f t="shared" si="1223"/>
        <v/>
      </c>
      <c r="F2122" s="1040" t="str">
        <f t="shared" si="1224"/>
        <v/>
      </c>
      <c r="G2122" s="1041" t="str">
        <f t="shared" si="1225"/>
        <v/>
      </c>
      <c r="H2122" s="1042">
        <f t="shared" si="1227"/>
        <v>0</v>
      </c>
      <c r="I2122" s="1042">
        <f t="shared" si="1228"/>
        <v>0</v>
      </c>
      <c r="J2122" s="1042">
        <f t="shared" si="1226"/>
        <v>0</v>
      </c>
    </row>
    <row r="2123" spans="1:10" x14ac:dyDescent="0.25">
      <c r="A2123" s="1039"/>
      <c r="B2123" s="1039" t="str">
        <f t="shared" si="1220"/>
        <v/>
      </c>
      <c r="C2123" s="1039" t="str">
        <f t="shared" si="1221"/>
        <v/>
      </c>
      <c r="D2123" s="1040" t="str">
        <f t="shared" si="1222"/>
        <v/>
      </c>
      <c r="E2123" s="1041" t="str">
        <f t="shared" si="1223"/>
        <v/>
      </c>
      <c r="F2123" s="1040" t="str">
        <f t="shared" si="1224"/>
        <v/>
      </c>
      <c r="G2123" s="1041" t="str">
        <f t="shared" si="1225"/>
        <v/>
      </c>
      <c r="H2123" s="1042">
        <f t="shared" si="1227"/>
        <v>0</v>
      </c>
      <c r="I2123" s="1042">
        <f t="shared" si="1228"/>
        <v>0</v>
      </c>
      <c r="J2123" s="1042">
        <f t="shared" si="1226"/>
        <v>0</v>
      </c>
    </row>
    <row r="2124" spans="1:10" x14ac:dyDescent="0.25">
      <c r="A2124" s="1039"/>
      <c r="B2124" s="1039" t="str">
        <f t="shared" si="1220"/>
        <v/>
      </c>
      <c r="C2124" s="1039" t="str">
        <f t="shared" si="1221"/>
        <v/>
      </c>
      <c r="D2124" s="1040" t="str">
        <f t="shared" si="1222"/>
        <v/>
      </c>
      <c r="E2124" s="1041" t="str">
        <f t="shared" si="1223"/>
        <v/>
      </c>
      <c r="F2124" s="1040" t="str">
        <f t="shared" si="1224"/>
        <v/>
      </c>
      <c r="G2124" s="1041" t="str">
        <f t="shared" si="1225"/>
        <v/>
      </c>
      <c r="H2124" s="1042">
        <f t="shared" si="1227"/>
        <v>0</v>
      </c>
      <c r="I2124" s="1042">
        <f t="shared" si="1228"/>
        <v>0</v>
      </c>
      <c r="J2124" s="1042">
        <f t="shared" si="1226"/>
        <v>0</v>
      </c>
    </row>
    <row r="2125" spans="1:10" x14ac:dyDescent="0.25">
      <c r="A2125" s="1039"/>
      <c r="B2125" s="1039" t="str">
        <f t="shared" si="1220"/>
        <v/>
      </c>
      <c r="C2125" s="1039" t="str">
        <f t="shared" si="1221"/>
        <v/>
      </c>
      <c r="D2125" s="1040" t="str">
        <f t="shared" si="1222"/>
        <v/>
      </c>
      <c r="E2125" s="1041" t="str">
        <f t="shared" si="1223"/>
        <v/>
      </c>
      <c r="F2125" s="1040" t="str">
        <f t="shared" si="1224"/>
        <v/>
      </c>
      <c r="G2125" s="1041" t="str">
        <f t="shared" si="1225"/>
        <v/>
      </c>
      <c r="H2125" s="1042">
        <f t="shared" si="1227"/>
        <v>0</v>
      </c>
      <c r="I2125" s="1042">
        <f t="shared" si="1228"/>
        <v>0</v>
      </c>
      <c r="J2125" s="1042">
        <f t="shared" si="1226"/>
        <v>0</v>
      </c>
    </row>
    <row r="2126" spans="1:10" x14ac:dyDescent="0.25">
      <c r="A2126" s="1039"/>
      <c r="B2126" s="1039" t="str">
        <f t="shared" si="1220"/>
        <v/>
      </c>
      <c r="C2126" s="1039" t="str">
        <f t="shared" si="1221"/>
        <v/>
      </c>
      <c r="D2126" s="1040" t="str">
        <f t="shared" si="1222"/>
        <v/>
      </c>
      <c r="E2126" s="1041" t="str">
        <f t="shared" si="1223"/>
        <v/>
      </c>
      <c r="F2126" s="1040" t="str">
        <f t="shared" si="1224"/>
        <v/>
      </c>
      <c r="G2126" s="1041" t="str">
        <f t="shared" si="1225"/>
        <v/>
      </c>
      <c r="H2126" s="1042">
        <f t="shared" si="1227"/>
        <v>0</v>
      </c>
      <c r="I2126" s="1042">
        <f t="shared" si="1228"/>
        <v>0</v>
      </c>
      <c r="J2126" s="1042">
        <f t="shared" si="1226"/>
        <v>0</v>
      </c>
    </row>
    <row r="2127" spans="1:10" x14ac:dyDescent="0.25">
      <c r="A2127" s="1039"/>
      <c r="B2127" s="1039" t="str">
        <f t="shared" si="1220"/>
        <v/>
      </c>
      <c r="C2127" s="1039" t="str">
        <f t="shared" si="1221"/>
        <v/>
      </c>
      <c r="D2127" s="1040" t="str">
        <f t="shared" si="1222"/>
        <v/>
      </c>
      <c r="E2127" s="1041" t="str">
        <f t="shared" si="1223"/>
        <v/>
      </c>
      <c r="F2127" s="1040" t="str">
        <f t="shared" si="1224"/>
        <v/>
      </c>
      <c r="G2127" s="1041" t="str">
        <f t="shared" si="1225"/>
        <v/>
      </c>
      <c r="H2127" s="1042">
        <f t="shared" si="1227"/>
        <v>0</v>
      </c>
      <c r="I2127" s="1042">
        <f t="shared" si="1228"/>
        <v>0</v>
      </c>
      <c r="J2127" s="1042">
        <f t="shared" si="1226"/>
        <v>0</v>
      </c>
    </row>
    <row r="2128" spans="1:10" x14ac:dyDescent="0.25">
      <c r="A2128" s="1039"/>
      <c r="B2128" s="1039" t="str">
        <f t="shared" si="1220"/>
        <v/>
      </c>
      <c r="C2128" s="1039" t="str">
        <f t="shared" si="1221"/>
        <v/>
      </c>
      <c r="D2128" s="1040" t="str">
        <f t="shared" si="1222"/>
        <v/>
      </c>
      <c r="E2128" s="1041" t="str">
        <f t="shared" si="1223"/>
        <v/>
      </c>
      <c r="F2128" s="1040" t="str">
        <f t="shared" si="1224"/>
        <v/>
      </c>
      <c r="G2128" s="1041" t="str">
        <f t="shared" si="1225"/>
        <v/>
      </c>
      <c r="H2128" s="1042">
        <f t="shared" si="1227"/>
        <v>0</v>
      </c>
      <c r="I2128" s="1042">
        <f t="shared" si="1228"/>
        <v>0</v>
      </c>
      <c r="J2128" s="1042">
        <f t="shared" si="1226"/>
        <v>0</v>
      </c>
    </row>
    <row r="2129" spans="1:10" x14ac:dyDescent="0.25">
      <c r="A2129" s="1039"/>
      <c r="B2129" s="1039" t="str">
        <f t="shared" ref="B2129:B2192" si="1229">IFERROR(VLOOKUP(A2129,DB,2,FALSE),"")</f>
        <v/>
      </c>
      <c r="C2129" s="1039" t="str">
        <f t="shared" si="1221"/>
        <v/>
      </c>
      <c r="D2129" s="1040" t="str">
        <f t="shared" si="1222"/>
        <v/>
      </c>
      <c r="E2129" s="1041" t="str">
        <f t="shared" si="1223"/>
        <v/>
      </c>
      <c r="F2129" s="1040" t="str">
        <f t="shared" si="1224"/>
        <v/>
      </c>
      <c r="G2129" s="1041" t="str">
        <f t="shared" si="1225"/>
        <v/>
      </c>
      <c r="H2129" s="1042">
        <f t="shared" si="1227"/>
        <v>0</v>
      </c>
      <c r="I2129" s="1042">
        <f t="shared" si="1228"/>
        <v>0</v>
      </c>
      <c r="J2129" s="1042">
        <f t="shared" si="1226"/>
        <v>0</v>
      </c>
    </row>
    <row r="2130" spans="1:10" x14ac:dyDescent="0.25">
      <c r="A2130" s="1039"/>
      <c r="B2130" s="1039" t="str">
        <f t="shared" si="1229"/>
        <v/>
      </c>
      <c r="C2130" s="1039" t="str">
        <f t="shared" si="1221"/>
        <v/>
      </c>
      <c r="D2130" s="1040" t="str">
        <f t="shared" si="1222"/>
        <v/>
      </c>
      <c r="E2130" s="1041" t="str">
        <f t="shared" si="1223"/>
        <v/>
      </c>
      <c r="F2130" s="1040" t="str">
        <f t="shared" si="1224"/>
        <v/>
      </c>
      <c r="G2130" s="1041" t="str">
        <f t="shared" si="1225"/>
        <v/>
      </c>
      <c r="H2130" s="1042">
        <f t="shared" si="1227"/>
        <v>0</v>
      </c>
      <c r="I2130" s="1042">
        <f t="shared" si="1228"/>
        <v>0</v>
      </c>
      <c r="J2130" s="1042">
        <f t="shared" si="1226"/>
        <v>0</v>
      </c>
    </row>
    <row r="2131" spans="1:10" x14ac:dyDescent="0.25">
      <c r="A2131" s="1039"/>
      <c r="B2131" s="1039" t="str">
        <f t="shared" si="1229"/>
        <v/>
      </c>
      <c r="C2131" s="1039" t="str">
        <f t="shared" si="1221"/>
        <v/>
      </c>
      <c r="D2131" s="1040" t="str">
        <f t="shared" si="1222"/>
        <v/>
      </c>
      <c r="E2131" s="1041" t="str">
        <f t="shared" si="1223"/>
        <v/>
      </c>
      <c r="F2131" s="1040" t="str">
        <f t="shared" si="1224"/>
        <v/>
      </c>
      <c r="G2131" s="1041" t="str">
        <f t="shared" si="1225"/>
        <v/>
      </c>
      <c r="H2131" s="1042">
        <f t="shared" si="1227"/>
        <v>0</v>
      </c>
      <c r="I2131" s="1042">
        <f t="shared" si="1228"/>
        <v>0</v>
      </c>
      <c r="J2131" s="1042">
        <f t="shared" si="1226"/>
        <v>0</v>
      </c>
    </row>
    <row r="2132" spans="1:10" x14ac:dyDescent="0.25">
      <c r="A2132" s="1039"/>
      <c r="B2132" s="1039" t="str">
        <f t="shared" si="1229"/>
        <v/>
      </c>
      <c r="C2132" s="1039" t="str">
        <f t="shared" si="1221"/>
        <v/>
      </c>
      <c r="D2132" s="1040" t="str">
        <f t="shared" si="1222"/>
        <v/>
      </c>
      <c r="E2132" s="1041" t="str">
        <f t="shared" si="1223"/>
        <v/>
      </c>
      <c r="F2132" s="1040" t="str">
        <f t="shared" si="1224"/>
        <v/>
      </c>
      <c r="G2132" s="1041" t="str">
        <f t="shared" si="1225"/>
        <v/>
      </c>
      <c r="H2132" s="1042">
        <f t="shared" si="1227"/>
        <v>0</v>
      </c>
      <c r="I2132" s="1042">
        <f t="shared" si="1228"/>
        <v>0</v>
      </c>
      <c r="J2132" s="1042">
        <f t="shared" si="1226"/>
        <v>0</v>
      </c>
    </row>
    <row r="2133" spans="1:10" x14ac:dyDescent="0.25">
      <c r="A2133" s="1039"/>
      <c r="B2133" s="1039" t="str">
        <f t="shared" si="1229"/>
        <v/>
      </c>
      <c r="C2133" s="1039" t="str">
        <f t="shared" si="1221"/>
        <v/>
      </c>
      <c r="D2133" s="1040" t="str">
        <f t="shared" si="1222"/>
        <v/>
      </c>
      <c r="E2133" s="1041" t="str">
        <f t="shared" si="1223"/>
        <v/>
      </c>
      <c r="F2133" s="1040" t="str">
        <f t="shared" si="1224"/>
        <v/>
      </c>
      <c r="G2133" s="1041" t="str">
        <f t="shared" si="1225"/>
        <v/>
      </c>
      <c r="H2133" s="1042">
        <f t="shared" si="1227"/>
        <v>0</v>
      </c>
      <c r="I2133" s="1042">
        <f t="shared" si="1228"/>
        <v>0</v>
      </c>
      <c r="J2133" s="1042">
        <f t="shared" si="1226"/>
        <v>0</v>
      </c>
    </row>
    <row r="2134" spans="1:10" x14ac:dyDescent="0.25">
      <c r="A2134" s="1039"/>
      <c r="B2134" s="1039" t="str">
        <f t="shared" si="1229"/>
        <v/>
      </c>
      <c r="C2134" s="1039" t="str">
        <f t="shared" si="1221"/>
        <v/>
      </c>
      <c r="D2134" s="1040" t="str">
        <f t="shared" si="1222"/>
        <v/>
      </c>
      <c r="E2134" s="1041" t="str">
        <f t="shared" si="1223"/>
        <v/>
      </c>
      <c r="F2134" s="1040" t="str">
        <f t="shared" si="1224"/>
        <v/>
      </c>
      <c r="G2134" s="1041" t="str">
        <f t="shared" si="1225"/>
        <v/>
      </c>
      <c r="H2134" s="1042">
        <f t="shared" si="1227"/>
        <v>0</v>
      </c>
      <c r="I2134" s="1042">
        <f t="shared" si="1228"/>
        <v>0</v>
      </c>
      <c r="J2134" s="1042">
        <f t="shared" si="1226"/>
        <v>0</v>
      </c>
    </row>
    <row r="2135" spans="1:10" x14ac:dyDescent="0.25">
      <c r="A2135" s="1039"/>
      <c r="B2135" s="1039" t="str">
        <f t="shared" si="1229"/>
        <v/>
      </c>
      <c r="C2135" s="1039" t="str">
        <f t="shared" si="1221"/>
        <v/>
      </c>
      <c r="D2135" s="1040" t="str">
        <f t="shared" si="1222"/>
        <v/>
      </c>
      <c r="E2135" s="1041" t="str">
        <f t="shared" si="1223"/>
        <v/>
      </c>
      <c r="F2135" s="1040" t="str">
        <f t="shared" si="1224"/>
        <v/>
      </c>
      <c r="G2135" s="1041" t="str">
        <f t="shared" si="1225"/>
        <v/>
      </c>
      <c r="H2135" s="1042">
        <f t="shared" si="1227"/>
        <v>0</v>
      </c>
      <c r="I2135" s="1042">
        <f t="shared" si="1228"/>
        <v>0</v>
      </c>
      <c r="J2135" s="1042">
        <f t="shared" si="1226"/>
        <v>0</v>
      </c>
    </row>
    <row r="2136" spans="1:10" x14ac:dyDescent="0.25">
      <c r="A2136" s="1039"/>
      <c r="B2136" s="1039" t="str">
        <f t="shared" si="1229"/>
        <v/>
      </c>
      <c r="C2136" s="1039" t="str">
        <f t="shared" si="1221"/>
        <v/>
      </c>
      <c r="D2136" s="1040" t="str">
        <f t="shared" si="1222"/>
        <v/>
      </c>
      <c r="E2136" s="1041" t="str">
        <f t="shared" si="1223"/>
        <v/>
      </c>
      <c r="F2136" s="1040" t="str">
        <f t="shared" si="1224"/>
        <v/>
      </c>
      <c r="G2136" s="1041" t="str">
        <f t="shared" si="1225"/>
        <v/>
      </c>
      <c r="H2136" s="1042">
        <f t="shared" si="1227"/>
        <v>0</v>
      </c>
      <c r="I2136" s="1042">
        <f t="shared" si="1228"/>
        <v>0</v>
      </c>
      <c r="J2136" s="1042">
        <f t="shared" si="1226"/>
        <v>0</v>
      </c>
    </row>
    <row r="2137" spans="1:10" x14ac:dyDescent="0.25">
      <c r="A2137" s="1039"/>
      <c r="B2137" s="1039" t="str">
        <f t="shared" si="1229"/>
        <v/>
      </c>
      <c r="C2137" s="1039" t="str">
        <f t="shared" si="1221"/>
        <v/>
      </c>
      <c r="D2137" s="1040" t="str">
        <f t="shared" si="1222"/>
        <v/>
      </c>
      <c r="E2137" s="1041" t="str">
        <f t="shared" si="1223"/>
        <v/>
      </c>
      <c r="F2137" s="1040" t="str">
        <f t="shared" si="1224"/>
        <v/>
      </c>
      <c r="G2137" s="1041" t="str">
        <f t="shared" si="1225"/>
        <v/>
      </c>
      <c r="H2137" s="1042">
        <f t="shared" si="1227"/>
        <v>0</v>
      </c>
      <c r="I2137" s="1042">
        <f t="shared" si="1228"/>
        <v>0</v>
      </c>
      <c r="J2137" s="1042">
        <f t="shared" si="1226"/>
        <v>0</v>
      </c>
    </row>
    <row r="2138" spans="1:10" x14ac:dyDescent="0.25">
      <c r="A2138" s="1039"/>
      <c r="B2138" s="1039" t="str">
        <f t="shared" si="1229"/>
        <v/>
      </c>
      <c r="C2138" s="1039" t="str">
        <f t="shared" si="1221"/>
        <v/>
      </c>
      <c r="D2138" s="1040" t="str">
        <f t="shared" si="1222"/>
        <v/>
      </c>
      <c r="E2138" s="1041" t="str">
        <f t="shared" si="1223"/>
        <v/>
      </c>
      <c r="F2138" s="1040" t="str">
        <f t="shared" si="1224"/>
        <v/>
      </c>
      <c r="G2138" s="1041" t="str">
        <f t="shared" si="1225"/>
        <v/>
      </c>
      <c r="H2138" s="1042">
        <f t="shared" si="1227"/>
        <v>0</v>
      </c>
      <c r="I2138" s="1042">
        <f t="shared" si="1228"/>
        <v>0</v>
      </c>
      <c r="J2138" s="1042">
        <f t="shared" si="1226"/>
        <v>0</v>
      </c>
    </row>
    <row r="2139" spans="1:10" x14ac:dyDescent="0.25">
      <c r="A2139" s="1039"/>
      <c r="B2139" s="1039" t="str">
        <f t="shared" si="1229"/>
        <v/>
      </c>
      <c r="C2139" s="1039" t="str">
        <f t="shared" si="1221"/>
        <v/>
      </c>
      <c r="D2139" s="1040" t="str">
        <f t="shared" si="1222"/>
        <v/>
      </c>
      <c r="E2139" s="1041" t="str">
        <f t="shared" si="1223"/>
        <v/>
      </c>
      <c r="F2139" s="1040" t="str">
        <f t="shared" si="1224"/>
        <v/>
      </c>
      <c r="G2139" s="1041" t="str">
        <f t="shared" si="1225"/>
        <v/>
      </c>
      <c r="H2139" s="1042">
        <f t="shared" si="1227"/>
        <v>0</v>
      </c>
      <c r="I2139" s="1042">
        <f t="shared" si="1228"/>
        <v>0</v>
      </c>
      <c r="J2139" s="1042">
        <f t="shared" si="1226"/>
        <v>0</v>
      </c>
    </row>
    <row r="2140" spans="1:10" x14ac:dyDescent="0.25">
      <c r="A2140" s="1039"/>
      <c r="B2140" s="1039" t="str">
        <f t="shared" si="1229"/>
        <v/>
      </c>
      <c r="C2140" s="1039" t="str">
        <f t="shared" si="1221"/>
        <v/>
      </c>
      <c r="D2140" s="1040" t="str">
        <f t="shared" si="1222"/>
        <v/>
      </c>
      <c r="E2140" s="1041" t="str">
        <f t="shared" si="1223"/>
        <v/>
      </c>
      <c r="F2140" s="1040" t="str">
        <f t="shared" si="1224"/>
        <v/>
      </c>
      <c r="G2140" s="1041" t="str">
        <f t="shared" si="1225"/>
        <v/>
      </c>
      <c r="H2140" s="1042">
        <f t="shared" si="1227"/>
        <v>0</v>
      </c>
      <c r="I2140" s="1042">
        <f t="shared" si="1228"/>
        <v>0</v>
      </c>
      <c r="J2140" s="1042">
        <f t="shared" si="1226"/>
        <v>0</v>
      </c>
    </row>
    <row r="2141" spans="1:10" x14ac:dyDescent="0.25">
      <c r="A2141" s="1039"/>
      <c r="B2141" s="1039" t="str">
        <f t="shared" si="1229"/>
        <v/>
      </c>
      <c r="C2141" s="1039" t="str">
        <f t="shared" si="1221"/>
        <v/>
      </c>
      <c r="D2141" s="1040" t="str">
        <f t="shared" si="1222"/>
        <v/>
      </c>
      <c r="E2141" s="1041" t="str">
        <f t="shared" si="1223"/>
        <v/>
      </c>
      <c r="F2141" s="1040" t="str">
        <f t="shared" si="1224"/>
        <v/>
      </c>
      <c r="G2141" s="1041" t="str">
        <f t="shared" si="1225"/>
        <v/>
      </c>
      <c r="H2141" s="1042">
        <f t="shared" si="1227"/>
        <v>0</v>
      </c>
      <c r="I2141" s="1042">
        <f t="shared" si="1228"/>
        <v>0</v>
      </c>
      <c r="J2141" s="1042">
        <f t="shared" si="1226"/>
        <v>0</v>
      </c>
    </row>
    <row r="2142" spans="1:10" x14ac:dyDescent="0.25">
      <c r="A2142" s="1039"/>
      <c r="B2142" s="1039" t="str">
        <f t="shared" si="1229"/>
        <v/>
      </c>
      <c r="C2142" s="1039" t="str">
        <f t="shared" si="1221"/>
        <v/>
      </c>
      <c r="D2142" s="1040" t="str">
        <f t="shared" si="1222"/>
        <v/>
      </c>
      <c r="E2142" s="1041" t="str">
        <f t="shared" si="1223"/>
        <v/>
      </c>
      <c r="F2142" s="1040" t="str">
        <f t="shared" si="1224"/>
        <v/>
      </c>
      <c r="G2142" s="1041" t="str">
        <f t="shared" si="1225"/>
        <v/>
      </c>
      <c r="H2142" s="1042">
        <f t="shared" si="1227"/>
        <v>0</v>
      </c>
      <c r="I2142" s="1042">
        <f t="shared" si="1228"/>
        <v>0</v>
      </c>
      <c r="J2142" s="1042">
        <f t="shared" si="1226"/>
        <v>0</v>
      </c>
    </row>
    <row r="2143" spans="1:10" x14ac:dyDescent="0.25">
      <c r="A2143" s="1039"/>
      <c r="B2143" s="1039" t="str">
        <f t="shared" si="1229"/>
        <v/>
      </c>
      <c r="C2143" s="1039" t="str">
        <f t="shared" si="1221"/>
        <v/>
      </c>
      <c r="D2143" s="1040" t="str">
        <f t="shared" si="1222"/>
        <v/>
      </c>
      <c r="E2143" s="1041" t="str">
        <f t="shared" si="1223"/>
        <v/>
      </c>
      <c r="F2143" s="1040" t="str">
        <f t="shared" si="1224"/>
        <v/>
      </c>
      <c r="G2143" s="1041" t="str">
        <f t="shared" si="1225"/>
        <v/>
      </c>
      <c r="H2143" s="1042">
        <f t="shared" si="1227"/>
        <v>0</v>
      </c>
      <c r="I2143" s="1042">
        <f t="shared" si="1228"/>
        <v>0</v>
      </c>
      <c r="J2143" s="1042">
        <f t="shared" si="1226"/>
        <v>0</v>
      </c>
    </row>
    <row r="2144" spans="1:10" x14ac:dyDescent="0.25">
      <c r="A2144" s="1039"/>
      <c r="B2144" s="1039" t="str">
        <f t="shared" si="1229"/>
        <v/>
      </c>
      <c r="C2144" s="1039" t="str">
        <f t="shared" si="1221"/>
        <v/>
      </c>
      <c r="D2144" s="1040" t="str">
        <f t="shared" si="1222"/>
        <v/>
      </c>
      <c r="E2144" s="1041" t="str">
        <f t="shared" si="1223"/>
        <v/>
      </c>
      <c r="F2144" s="1040" t="str">
        <f t="shared" si="1224"/>
        <v/>
      </c>
      <c r="G2144" s="1041" t="str">
        <f t="shared" si="1225"/>
        <v/>
      </c>
      <c r="H2144" s="1042">
        <f t="shared" si="1227"/>
        <v>0</v>
      </c>
      <c r="I2144" s="1042">
        <f t="shared" si="1228"/>
        <v>0</v>
      </c>
      <c r="J2144" s="1042">
        <f t="shared" si="1226"/>
        <v>0</v>
      </c>
    </row>
    <row r="2145" spans="1:10" x14ac:dyDescent="0.25">
      <c r="A2145" s="1039"/>
      <c r="B2145" s="1039" t="str">
        <f t="shared" si="1229"/>
        <v/>
      </c>
      <c r="C2145" s="1039" t="str">
        <f t="shared" si="1221"/>
        <v/>
      </c>
      <c r="D2145" s="1040" t="str">
        <f t="shared" si="1222"/>
        <v/>
      </c>
      <c r="E2145" s="1041" t="str">
        <f t="shared" si="1223"/>
        <v/>
      </c>
      <c r="F2145" s="1040" t="str">
        <f t="shared" si="1224"/>
        <v/>
      </c>
      <c r="G2145" s="1041" t="str">
        <f t="shared" si="1225"/>
        <v/>
      </c>
      <c r="H2145" s="1042">
        <f t="shared" si="1227"/>
        <v>0</v>
      </c>
      <c r="I2145" s="1042">
        <f t="shared" si="1228"/>
        <v>0</v>
      </c>
      <c r="J2145" s="1042">
        <f t="shared" si="1226"/>
        <v>0</v>
      </c>
    </row>
    <row r="2146" spans="1:10" x14ac:dyDescent="0.25">
      <c r="A2146" s="1039"/>
      <c r="B2146" s="1039" t="str">
        <f t="shared" si="1229"/>
        <v/>
      </c>
      <c r="C2146" s="1039" t="str">
        <f t="shared" si="1221"/>
        <v/>
      </c>
      <c r="D2146" s="1040" t="str">
        <f t="shared" si="1222"/>
        <v/>
      </c>
      <c r="E2146" s="1041" t="str">
        <f t="shared" si="1223"/>
        <v/>
      </c>
      <c r="F2146" s="1040" t="str">
        <f t="shared" si="1224"/>
        <v/>
      </c>
      <c r="G2146" s="1041" t="str">
        <f t="shared" si="1225"/>
        <v/>
      </c>
      <c r="H2146" s="1042">
        <f t="shared" si="1227"/>
        <v>0</v>
      </c>
      <c r="I2146" s="1042">
        <f t="shared" si="1228"/>
        <v>0</v>
      </c>
      <c r="J2146" s="1042">
        <f t="shared" si="1226"/>
        <v>0</v>
      </c>
    </row>
    <row r="2147" spans="1:10" x14ac:dyDescent="0.25">
      <c r="A2147" s="1039"/>
      <c r="B2147" s="1039" t="str">
        <f t="shared" si="1229"/>
        <v/>
      </c>
      <c r="C2147" s="1039" t="str">
        <f t="shared" si="1221"/>
        <v/>
      </c>
      <c r="D2147" s="1040" t="str">
        <f t="shared" si="1222"/>
        <v/>
      </c>
      <c r="E2147" s="1041" t="str">
        <f t="shared" si="1223"/>
        <v/>
      </c>
      <c r="F2147" s="1040" t="str">
        <f t="shared" si="1224"/>
        <v/>
      </c>
      <c r="G2147" s="1041" t="str">
        <f t="shared" si="1225"/>
        <v/>
      </c>
      <c r="H2147" s="1042">
        <f t="shared" si="1227"/>
        <v>0</v>
      </c>
      <c r="I2147" s="1042">
        <f t="shared" si="1228"/>
        <v>0</v>
      </c>
      <c r="J2147" s="1042">
        <f t="shared" si="1226"/>
        <v>0</v>
      </c>
    </row>
    <row r="2148" spans="1:10" x14ac:dyDescent="0.25">
      <c r="A2148" s="1039"/>
      <c r="B2148" s="1039" t="str">
        <f t="shared" si="1229"/>
        <v/>
      </c>
      <c r="C2148" s="1039" t="str">
        <f t="shared" si="1221"/>
        <v/>
      </c>
      <c r="D2148" s="1040" t="str">
        <f t="shared" si="1222"/>
        <v/>
      </c>
      <c r="E2148" s="1041" t="str">
        <f t="shared" si="1223"/>
        <v/>
      </c>
      <c r="F2148" s="1040" t="str">
        <f t="shared" si="1224"/>
        <v/>
      </c>
      <c r="G2148" s="1041" t="str">
        <f t="shared" si="1225"/>
        <v/>
      </c>
      <c r="H2148" s="1042">
        <f t="shared" si="1227"/>
        <v>0</v>
      </c>
      <c r="I2148" s="1042">
        <f t="shared" si="1228"/>
        <v>0</v>
      </c>
      <c r="J2148" s="1042">
        <f t="shared" si="1226"/>
        <v>0</v>
      </c>
    </row>
    <row r="2149" spans="1:10" x14ac:dyDescent="0.25">
      <c r="A2149" s="1039"/>
      <c r="B2149" s="1039" t="str">
        <f t="shared" si="1229"/>
        <v/>
      </c>
      <c r="C2149" s="1039" t="str">
        <f t="shared" si="1221"/>
        <v/>
      </c>
      <c r="D2149" s="1040" t="str">
        <f t="shared" si="1222"/>
        <v/>
      </c>
      <c r="E2149" s="1041" t="str">
        <f t="shared" si="1223"/>
        <v/>
      </c>
      <c r="F2149" s="1040" t="str">
        <f t="shared" si="1224"/>
        <v/>
      </c>
      <c r="G2149" s="1041" t="str">
        <f t="shared" si="1225"/>
        <v/>
      </c>
      <c r="H2149" s="1042">
        <f t="shared" si="1227"/>
        <v>0</v>
      </c>
      <c r="I2149" s="1042">
        <f t="shared" si="1228"/>
        <v>0</v>
      </c>
      <c r="J2149" s="1042">
        <f t="shared" si="1226"/>
        <v>0</v>
      </c>
    </row>
    <row r="2150" spans="1:10" x14ac:dyDescent="0.25">
      <c r="A2150" s="1039"/>
      <c r="B2150" s="1039" t="str">
        <f t="shared" si="1229"/>
        <v/>
      </c>
      <c r="C2150" s="1039" t="str">
        <f t="shared" si="1221"/>
        <v/>
      </c>
      <c r="D2150" s="1040" t="str">
        <f t="shared" si="1222"/>
        <v/>
      </c>
      <c r="E2150" s="1041" t="str">
        <f t="shared" si="1223"/>
        <v/>
      </c>
      <c r="F2150" s="1040" t="str">
        <f t="shared" si="1224"/>
        <v/>
      </c>
      <c r="G2150" s="1041" t="str">
        <f t="shared" si="1225"/>
        <v/>
      </c>
      <c r="H2150" s="1042">
        <f t="shared" si="1227"/>
        <v>0</v>
      </c>
      <c r="I2150" s="1042">
        <f t="shared" si="1228"/>
        <v>0</v>
      </c>
      <c r="J2150" s="1042">
        <f t="shared" si="1226"/>
        <v>0</v>
      </c>
    </row>
    <row r="2151" spans="1:10" x14ac:dyDescent="0.25">
      <c r="A2151" s="1039"/>
      <c r="B2151" s="1039" t="str">
        <f t="shared" si="1229"/>
        <v/>
      </c>
      <c r="C2151" s="1039" t="str">
        <f t="shared" ref="C2151:C2214" si="1230">IFERROR(VLOOKUP(A2151,DB,4,FALSE),"")</f>
        <v/>
      </c>
      <c r="D2151" s="1040" t="str">
        <f t="shared" ref="D2151:D2214" si="1231">IFERROR(VLOOKUP(A2151,DB,5,FALSE),"")</f>
        <v/>
      </c>
      <c r="E2151" s="1041" t="str">
        <f t="shared" ref="E2151:E2214" si="1232">IFERROR(VLOOKUP(A2151,DB,6,FALSE),"")</f>
        <v/>
      </c>
      <c r="F2151" s="1040" t="str">
        <f t="shared" ref="F2151:F2214" si="1233">IFERROR(VLOOKUP(A2151,DB,7,FALSE),"")</f>
        <v/>
      </c>
      <c r="G2151" s="1041" t="str">
        <f t="shared" ref="G2151:G2214" si="1234">IFERROR(VLOOKUP(A2151,DB,3,FALSE),"")</f>
        <v/>
      </c>
      <c r="H2151" s="1042">
        <f t="shared" si="1227"/>
        <v>0</v>
      </c>
      <c r="I2151" s="1042">
        <f t="shared" si="1228"/>
        <v>0</v>
      </c>
      <c r="J2151" s="1042">
        <f t="shared" si="1226"/>
        <v>0</v>
      </c>
    </row>
    <row r="2152" spans="1:10" x14ac:dyDescent="0.25">
      <c r="A2152" s="1039"/>
      <c r="B2152" s="1039" t="str">
        <f t="shared" si="1229"/>
        <v/>
      </c>
      <c r="C2152" s="1039" t="str">
        <f t="shared" si="1230"/>
        <v/>
      </c>
      <c r="D2152" s="1040" t="str">
        <f t="shared" si="1231"/>
        <v/>
      </c>
      <c r="E2152" s="1041" t="str">
        <f t="shared" si="1232"/>
        <v/>
      </c>
      <c r="F2152" s="1040" t="str">
        <f t="shared" si="1233"/>
        <v/>
      </c>
      <c r="G2152" s="1041" t="str">
        <f t="shared" si="1234"/>
        <v/>
      </c>
      <c r="H2152" s="1042">
        <f t="shared" si="1227"/>
        <v>0</v>
      </c>
      <c r="I2152" s="1042">
        <f t="shared" si="1228"/>
        <v>0</v>
      </c>
      <c r="J2152" s="1042">
        <f t="shared" si="1226"/>
        <v>0</v>
      </c>
    </row>
    <row r="2153" spans="1:10" x14ac:dyDescent="0.25">
      <c r="A2153" s="1039"/>
      <c r="B2153" s="1039" t="str">
        <f t="shared" si="1229"/>
        <v/>
      </c>
      <c r="C2153" s="1039" t="str">
        <f t="shared" si="1230"/>
        <v/>
      </c>
      <c r="D2153" s="1040" t="str">
        <f t="shared" si="1231"/>
        <v/>
      </c>
      <c r="E2153" s="1041" t="str">
        <f t="shared" si="1232"/>
        <v/>
      </c>
      <c r="F2153" s="1040" t="str">
        <f t="shared" si="1233"/>
        <v/>
      </c>
      <c r="G2153" s="1041" t="str">
        <f t="shared" si="1234"/>
        <v/>
      </c>
      <c r="H2153" s="1042">
        <f t="shared" si="1227"/>
        <v>0</v>
      </c>
      <c r="I2153" s="1042">
        <f t="shared" si="1228"/>
        <v>0</v>
      </c>
      <c r="J2153" s="1042">
        <f t="shared" si="1226"/>
        <v>0</v>
      </c>
    </row>
    <row r="2154" spans="1:10" x14ac:dyDescent="0.25">
      <c r="A2154" s="1039"/>
      <c r="B2154" s="1039" t="str">
        <f t="shared" si="1229"/>
        <v/>
      </c>
      <c r="C2154" s="1039" t="str">
        <f t="shared" si="1230"/>
        <v/>
      </c>
      <c r="D2154" s="1040" t="str">
        <f t="shared" si="1231"/>
        <v/>
      </c>
      <c r="E2154" s="1041" t="str">
        <f t="shared" si="1232"/>
        <v/>
      </c>
      <c r="F2154" s="1040" t="str">
        <f t="shared" si="1233"/>
        <v/>
      </c>
      <c r="G2154" s="1041" t="str">
        <f t="shared" si="1234"/>
        <v/>
      </c>
      <c r="H2154" s="1042">
        <f t="shared" si="1227"/>
        <v>0</v>
      </c>
      <c r="I2154" s="1042">
        <f t="shared" si="1228"/>
        <v>0</v>
      </c>
      <c r="J2154" s="1042">
        <f t="shared" si="1226"/>
        <v>0</v>
      </c>
    </row>
    <row r="2155" spans="1:10" x14ac:dyDescent="0.25">
      <c r="A2155" s="1039"/>
      <c r="B2155" s="1039" t="str">
        <f t="shared" si="1229"/>
        <v/>
      </c>
      <c r="C2155" s="1039" t="str">
        <f t="shared" si="1230"/>
        <v/>
      </c>
      <c r="D2155" s="1040" t="str">
        <f t="shared" si="1231"/>
        <v/>
      </c>
      <c r="E2155" s="1041" t="str">
        <f t="shared" si="1232"/>
        <v/>
      </c>
      <c r="F2155" s="1040" t="str">
        <f t="shared" si="1233"/>
        <v/>
      </c>
      <c r="G2155" s="1041" t="str">
        <f t="shared" si="1234"/>
        <v/>
      </c>
      <c r="H2155" s="1042">
        <f t="shared" si="1227"/>
        <v>0</v>
      </c>
      <c r="I2155" s="1042">
        <f t="shared" si="1228"/>
        <v>0</v>
      </c>
      <c r="J2155" s="1042">
        <f t="shared" si="1226"/>
        <v>0</v>
      </c>
    </row>
    <row r="2156" spans="1:10" x14ac:dyDescent="0.25">
      <c r="A2156" s="1039"/>
      <c r="B2156" s="1039" t="str">
        <f t="shared" si="1229"/>
        <v/>
      </c>
      <c r="C2156" s="1039" t="str">
        <f t="shared" si="1230"/>
        <v/>
      </c>
      <c r="D2156" s="1040" t="str">
        <f t="shared" si="1231"/>
        <v/>
      </c>
      <c r="E2156" s="1041" t="str">
        <f t="shared" si="1232"/>
        <v/>
      </c>
      <c r="F2156" s="1040" t="str">
        <f t="shared" si="1233"/>
        <v/>
      </c>
      <c r="G2156" s="1041" t="str">
        <f t="shared" si="1234"/>
        <v/>
      </c>
      <c r="H2156" s="1042">
        <f t="shared" si="1227"/>
        <v>0</v>
      </c>
      <c r="I2156" s="1042">
        <f t="shared" si="1228"/>
        <v>0</v>
      </c>
      <c r="J2156" s="1042">
        <f t="shared" si="1226"/>
        <v>0</v>
      </c>
    </row>
    <row r="2157" spans="1:10" x14ac:dyDescent="0.25">
      <c r="A2157" s="1039"/>
      <c r="B2157" s="1039" t="str">
        <f t="shared" si="1229"/>
        <v/>
      </c>
      <c r="C2157" s="1039" t="str">
        <f t="shared" si="1230"/>
        <v/>
      </c>
      <c r="D2157" s="1040" t="str">
        <f t="shared" si="1231"/>
        <v/>
      </c>
      <c r="E2157" s="1041" t="str">
        <f t="shared" si="1232"/>
        <v/>
      </c>
      <c r="F2157" s="1040" t="str">
        <f t="shared" si="1233"/>
        <v/>
      </c>
      <c r="G2157" s="1041" t="str">
        <f t="shared" si="1234"/>
        <v/>
      </c>
      <c r="H2157" s="1042">
        <f t="shared" si="1227"/>
        <v>0</v>
      </c>
      <c r="I2157" s="1042">
        <f t="shared" si="1228"/>
        <v>0</v>
      </c>
      <c r="J2157" s="1042">
        <f t="shared" ref="J2157:J2220" si="1235">I2157+H2157</f>
        <v>0</v>
      </c>
    </row>
    <row r="2158" spans="1:10" x14ac:dyDescent="0.25">
      <c r="A2158" s="1039"/>
      <c r="B2158" s="1039" t="str">
        <f t="shared" si="1229"/>
        <v/>
      </c>
      <c r="C2158" s="1039" t="str">
        <f t="shared" si="1230"/>
        <v/>
      </c>
      <c r="D2158" s="1040" t="str">
        <f t="shared" si="1231"/>
        <v/>
      </c>
      <c r="E2158" s="1041" t="str">
        <f t="shared" si="1232"/>
        <v/>
      </c>
      <c r="F2158" s="1040" t="str">
        <f t="shared" si="1233"/>
        <v/>
      </c>
      <c r="G2158" s="1041" t="str">
        <f t="shared" si="1234"/>
        <v/>
      </c>
      <c r="H2158" s="1042">
        <f t="shared" ref="H2158:H2221" si="1236">IF(F2158="AKTIF",6450000,IF(F2158="CUTI",3000000,0))</f>
        <v>0</v>
      </c>
      <c r="I2158" s="1042">
        <f t="shared" ref="I2158:I2221" si="1237">IF(F2158="AKTIF",3750000,IF(F2158="CUTI",3000000,0))</f>
        <v>0</v>
      </c>
      <c r="J2158" s="1042">
        <f t="shared" si="1235"/>
        <v>0</v>
      </c>
    </row>
    <row r="2159" spans="1:10" x14ac:dyDescent="0.25">
      <c r="A2159" s="1039"/>
      <c r="B2159" s="1039" t="str">
        <f t="shared" si="1229"/>
        <v/>
      </c>
      <c r="C2159" s="1039" t="str">
        <f t="shared" si="1230"/>
        <v/>
      </c>
      <c r="D2159" s="1040" t="str">
        <f t="shared" si="1231"/>
        <v/>
      </c>
      <c r="E2159" s="1041" t="str">
        <f t="shared" si="1232"/>
        <v/>
      </c>
      <c r="F2159" s="1040" t="str">
        <f t="shared" si="1233"/>
        <v/>
      </c>
      <c r="G2159" s="1041" t="str">
        <f t="shared" si="1234"/>
        <v/>
      </c>
      <c r="H2159" s="1042">
        <f t="shared" si="1236"/>
        <v>0</v>
      </c>
      <c r="I2159" s="1042">
        <f t="shared" si="1237"/>
        <v>0</v>
      </c>
      <c r="J2159" s="1042">
        <f t="shared" si="1235"/>
        <v>0</v>
      </c>
    </row>
    <row r="2160" spans="1:10" x14ac:dyDescent="0.25">
      <c r="A2160" s="1039"/>
      <c r="B2160" s="1039" t="str">
        <f t="shared" si="1229"/>
        <v/>
      </c>
      <c r="C2160" s="1039" t="str">
        <f t="shared" si="1230"/>
        <v/>
      </c>
      <c r="D2160" s="1040" t="str">
        <f t="shared" si="1231"/>
        <v/>
      </c>
      <c r="E2160" s="1041" t="str">
        <f t="shared" si="1232"/>
        <v/>
      </c>
      <c r="F2160" s="1040" t="str">
        <f t="shared" si="1233"/>
        <v/>
      </c>
      <c r="G2160" s="1041" t="str">
        <f t="shared" si="1234"/>
        <v/>
      </c>
      <c r="H2160" s="1042">
        <f t="shared" si="1236"/>
        <v>0</v>
      </c>
      <c r="I2160" s="1042">
        <f t="shared" si="1237"/>
        <v>0</v>
      </c>
      <c r="J2160" s="1042">
        <f t="shared" si="1235"/>
        <v>0</v>
      </c>
    </row>
    <row r="2161" spans="1:10" x14ac:dyDescent="0.25">
      <c r="A2161" s="1039"/>
      <c r="B2161" s="1039" t="str">
        <f t="shared" si="1229"/>
        <v/>
      </c>
      <c r="C2161" s="1039" t="str">
        <f t="shared" si="1230"/>
        <v/>
      </c>
      <c r="D2161" s="1040" t="str">
        <f t="shared" si="1231"/>
        <v/>
      </c>
      <c r="E2161" s="1041" t="str">
        <f t="shared" si="1232"/>
        <v/>
      </c>
      <c r="F2161" s="1040" t="str">
        <f t="shared" si="1233"/>
        <v/>
      </c>
      <c r="G2161" s="1041" t="str">
        <f t="shared" si="1234"/>
        <v/>
      </c>
      <c r="H2161" s="1042">
        <f t="shared" si="1236"/>
        <v>0</v>
      </c>
      <c r="I2161" s="1042">
        <f t="shared" si="1237"/>
        <v>0</v>
      </c>
      <c r="J2161" s="1042">
        <f t="shared" si="1235"/>
        <v>0</v>
      </c>
    </row>
    <row r="2162" spans="1:10" x14ac:dyDescent="0.25">
      <c r="A2162" s="1039"/>
      <c r="B2162" s="1039" t="str">
        <f t="shared" si="1229"/>
        <v/>
      </c>
      <c r="C2162" s="1039" t="str">
        <f t="shared" si="1230"/>
        <v/>
      </c>
      <c r="D2162" s="1040" t="str">
        <f t="shared" si="1231"/>
        <v/>
      </c>
      <c r="E2162" s="1041" t="str">
        <f t="shared" si="1232"/>
        <v/>
      </c>
      <c r="F2162" s="1040" t="str">
        <f t="shared" si="1233"/>
        <v/>
      </c>
      <c r="G2162" s="1041" t="str">
        <f t="shared" si="1234"/>
        <v/>
      </c>
      <c r="H2162" s="1042">
        <f t="shared" si="1236"/>
        <v>0</v>
      </c>
      <c r="I2162" s="1042">
        <f t="shared" si="1237"/>
        <v>0</v>
      </c>
      <c r="J2162" s="1042">
        <f t="shared" si="1235"/>
        <v>0</v>
      </c>
    </row>
    <row r="2163" spans="1:10" x14ac:dyDescent="0.25">
      <c r="A2163" s="1039"/>
      <c r="B2163" s="1039" t="str">
        <f t="shared" si="1229"/>
        <v/>
      </c>
      <c r="C2163" s="1039" t="str">
        <f t="shared" si="1230"/>
        <v/>
      </c>
      <c r="D2163" s="1040" t="str">
        <f t="shared" si="1231"/>
        <v/>
      </c>
      <c r="E2163" s="1041" t="str">
        <f t="shared" si="1232"/>
        <v/>
      </c>
      <c r="F2163" s="1040" t="str">
        <f t="shared" si="1233"/>
        <v/>
      </c>
      <c r="G2163" s="1041" t="str">
        <f t="shared" si="1234"/>
        <v/>
      </c>
      <c r="H2163" s="1042">
        <f t="shared" si="1236"/>
        <v>0</v>
      </c>
      <c r="I2163" s="1042">
        <f t="shared" si="1237"/>
        <v>0</v>
      </c>
      <c r="J2163" s="1042">
        <f t="shared" si="1235"/>
        <v>0</v>
      </c>
    </row>
    <row r="2164" spans="1:10" x14ac:dyDescent="0.25">
      <c r="A2164" s="1039"/>
      <c r="B2164" s="1039" t="str">
        <f t="shared" si="1229"/>
        <v/>
      </c>
      <c r="C2164" s="1039" t="str">
        <f t="shared" si="1230"/>
        <v/>
      </c>
      <c r="D2164" s="1040" t="str">
        <f t="shared" si="1231"/>
        <v/>
      </c>
      <c r="E2164" s="1041" t="str">
        <f t="shared" si="1232"/>
        <v/>
      </c>
      <c r="F2164" s="1040" t="str">
        <f t="shared" si="1233"/>
        <v/>
      </c>
      <c r="G2164" s="1041" t="str">
        <f t="shared" si="1234"/>
        <v/>
      </c>
      <c r="H2164" s="1042">
        <f t="shared" si="1236"/>
        <v>0</v>
      </c>
      <c r="I2164" s="1042">
        <f t="shared" si="1237"/>
        <v>0</v>
      </c>
      <c r="J2164" s="1042">
        <f t="shared" si="1235"/>
        <v>0</v>
      </c>
    </row>
    <row r="2165" spans="1:10" x14ac:dyDescent="0.25">
      <c r="A2165" s="1039"/>
      <c r="B2165" s="1039" t="str">
        <f t="shared" si="1229"/>
        <v/>
      </c>
      <c r="C2165" s="1039" t="str">
        <f t="shared" si="1230"/>
        <v/>
      </c>
      <c r="D2165" s="1040" t="str">
        <f t="shared" si="1231"/>
        <v/>
      </c>
      <c r="E2165" s="1041" t="str">
        <f t="shared" si="1232"/>
        <v/>
      </c>
      <c r="F2165" s="1040" t="str">
        <f t="shared" si="1233"/>
        <v/>
      </c>
      <c r="G2165" s="1041" t="str">
        <f t="shared" si="1234"/>
        <v/>
      </c>
      <c r="H2165" s="1042">
        <f t="shared" si="1236"/>
        <v>0</v>
      </c>
      <c r="I2165" s="1042">
        <f t="shared" si="1237"/>
        <v>0</v>
      </c>
      <c r="J2165" s="1042">
        <f t="shared" si="1235"/>
        <v>0</v>
      </c>
    </row>
    <row r="2166" spans="1:10" x14ac:dyDescent="0.25">
      <c r="A2166" s="1039"/>
      <c r="B2166" s="1039" t="str">
        <f t="shared" si="1229"/>
        <v/>
      </c>
      <c r="C2166" s="1039" t="str">
        <f t="shared" si="1230"/>
        <v/>
      </c>
      <c r="D2166" s="1040" t="str">
        <f t="shared" si="1231"/>
        <v/>
      </c>
      <c r="E2166" s="1041" t="str">
        <f t="shared" si="1232"/>
        <v/>
      </c>
      <c r="F2166" s="1040" t="str">
        <f t="shared" si="1233"/>
        <v/>
      </c>
      <c r="G2166" s="1041" t="str">
        <f t="shared" si="1234"/>
        <v/>
      </c>
      <c r="H2166" s="1042">
        <f t="shared" si="1236"/>
        <v>0</v>
      </c>
      <c r="I2166" s="1042">
        <f t="shared" si="1237"/>
        <v>0</v>
      </c>
      <c r="J2166" s="1042">
        <f t="shared" si="1235"/>
        <v>0</v>
      </c>
    </row>
    <row r="2167" spans="1:10" x14ac:dyDescent="0.25">
      <c r="A2167" s="1039"/>
      <c r="B2167" s="1039" t="str">
        <f t="shared" si="1229"/>
        <v/>
      </c>
      <c r="C2167" s="1039" t="str">
        <f t="shared" si="1230"/>
        <v/>
      </c>
      <c r="D2167" s="1040" t="str">
        <f t="shared" si="1231"/>
        <v/>
      </c>
      <c r="E2167" s="1041" t="str">
        <f t="shared" si="1232"/>
        <v/>
      </c>
      <c r="F2167" s="1040" t="str">
        <f t="shared" si="1233"/>
        <v/>
      </c>
      <c r="G2167" s="1041" t="str">
        <f t="shared" si="1234"/>
        <v/>
      </c>
      <c r="H2167" s="1042">
        <f t="shared" si="1236"/>
        <v>0</v>
      </c>
      <c r="I2167" s="1042">
        <f t="shared" si="1237"/>
        <v>0</v>
      </c>
      <c r="J2167" s="1042">
        <f t="shared" si="1235"/>
        <v>0</v>
      </c>
    </row>
    <row r="2168" spans="1:10" x14ac:dyDescent="0.25">
      <c r="A2168" s="1039"/>
      <c r="B2168" s="1039" t="str">
        <f t="shared" si="1229"/>
        <v/>
      </c>
      <c r="C2168" s="1039" t="str">
        <f t="shared" si="1230"/>
        <v/>
      </c>
      <c r="D2168" s="1040" t="str">
        <f t="shared" si="1231"/>
        <v/>
      </c>
      <c r="E2168" s="1041" t="str">
        <f t="shared" si="1232"/>
        <v/>
      </c>
      <c r="F2168" s="1040" t="str">
        <f t="shared" si="1233"/>
        <v/>
      </c>
      <c r="G2168" s="1041" t="str">
        <f t="shared" si="1234"/>
        <v/>
      </c>
      <c r="H2168" s="1042">
        <f t="shared" si="1236"/>
        <v>0</v>
      </c>
      <c r="I2168" s="1042">
        <f t="shared" si="1237"/>
        <v>0</v>
      </c>
      <c r="J2168" s="1042">
        <f t="shared" si="1235"/>
        <v>0</v>
      </c>
    </row>
    <row r="2169" spans="1:10" x14ac:dyDescent="0.25">
      <c r="A2169" s="1039"/>
      <c r="B2169" s="1039" t="str">
        <f t="shared" si="1229"/>
        <v/>
      </c>
      <c r="C2169" s="1039" t="str">
        <f t="shared" si="1230"/>
        <v/>
      </c>
      <c r="D2169" s="1040" t="str">
        <f t="shared" si="1231"/>
        <v/>
      </c>
      <c r="E2169" s="1041" t="str">
        <f t="shared" si="1232"/>
        <v/>
      </c>
      <c r="F2169" s="1040" t="str">
        <f t="shared" si="1233"/>
        <v/>
      </c>
      <c r="G2169" s="1041" t="str">
        <f t="shared" si="1234"/>
        <v/>
      </c>
      <c r="H2169" s="1042">
        <f t="shared" si="1236"/>
        <v>0</v>
      </c>
      <c r="I2169" s="1042">
        <f t="shared" si="1237"/>
        <v>0</v>
      </c>
      <c r="J2169" s="1042">
        <f t="shared" si="1235"/>
        <v>0</v>
      </c>
    </row>
    <row r="2170" spans="1:10" x14ac:dyDescent="0.25">
      <c r="A2170" s="1039"/>
      <c r="B2170" s="1039" t="str">
        <f t="shared" si="1229"/>
        <v/>
      </c>
      <c r="C2170" s="1039" t="str">
        <f t="shared" si="1230"/>
        <v/>
      </c>
      <c r="D2170" s="1040" t="str">
        <f t="shared" si="1231"/>
        <v/>
      </c>
      <c r="E2170" s="1041" t="str">
        <f t="shared" si="1232"/>
        <v/>
      </c>
      <c r="F2170" s="1040" t="str">
        <f t="shared" si="1233"/>
        <v/>
      </c>
      <c r="G2170" s="1041" t="str">
        <f t="shared" si="1234"/>
        <v/>
      </c>
      <c r="H2170" s="1042">
        <f t="shared" si="1236"/>
        <v>0</v>
      </c>
      <c r="I2170" s="1042">
        <f t="shared" si="1237"/>
        <v>0</v>
      </c>
      <c r="J2170" s="1042">
        <f t="shared" si="1235"/>
        <v>0</v>
      </c>
    </row>
    <row r="2171" spans="1:10" x14ac:dyDescent="0.25">
      <c r="A2171" s="1039"/>
      <c r="B2171" s="1039" t="str">
        <f t="shared" si="1229"/>
        <v/>
      </c>
      <c r="C2171" s="1039" t="str">
        <f t="shared" si="1230"/>
        <v/>
      </c>
      <c r="D2171" s="1040" t="str">
        <f t="shared" si="1231"/>
        <v/>
      </c>
      <c r="E2171" s="1041" t="str">
        <f t="shared" si="1232"/>
        <v/>
      </c>
      <c r="F2171" s="1040" t="str">
        <f t="shared" si="1233"/>
        <v/>
      </c>
      <c r="G2171" s="1041" t="str">
        <f t="shared" si="1234"/>
        <v/>
      </c>
      <c r="H2171" s="1042">
        <f t="shared" si="1236"/>
        <v>0</v>
      </c>
      <c r="I2171" s="1042">
        <f t="shared" si="1237"/>
        <v>0</v>
      </c>
      <c r="J2171" s="1042">
        <f t="shared" si="1235"/>
        <v>0</v>
      </c>
    </row>
    <row r="2172" spans="1:10" x14ac:dyDescent="0.25">
      <c r="A2172" s="1039"/>
      <c r="B2172" s="1039" t="str">
        <f t="shared" si="1229"/>
        <v/>
      </c>
      <c r="C2172" s="1039" t="str">
        <f t="shared" si="1230"/>
        <v/>
      </c>
      <c r="D2172" s="1040" t="str">
        <f t="shared" si="1231"/>
        <v/>
      </c>
      <c r="E2172" s="1041" t="str">
        <f t="shared" si="1232"/>
        <v/>
      </c>
      <c r="F2172" s="1040" t="str">
        <f t="shared" si="1233"/>
        <v/>
      </c>
      <c r="G2172" s="1041" t="str">
        <f t="shared" si="1234"/>
        <v/>
      </c>
      <c r="H2172" s="1042">
        <f t="shared" si="1236"/>
        <v>0</v>
      </c>
      <c r="I2172" s="1042">
        <f t="shared" si="1237"/>
        <v>0</v>
      </c>
      <c r="J2172" s="1042">
        <f t="shared" si="1235"/>
        <v>0</v>
      </c>
    </row>
    <row r="2173" spans="1:10" x14ac:dyDescent="0.25">
      <c r="A2173" s="1039"/>
      <c r="B2173" s="1039" t="str">
        <f t="shared" si="1229"/>
        <v/>
      </c>
      <c r="C2173" s="1039" t="str">
        <f t="shared" si="1230"/>
        <v/>
      </c>
      <c r="D2173" s="1040" t="str">
        <f t="shared" si="1231"/>
        <v/>
      </c>
      <c r="E2173" s="1041" t="str">
        <f t="shared" si="1232"/>
        <v/>
      </c>
      <c r="F2173" s="1040" t="str">
        <f t="shared" si="1233"/>
        <v/>
      </c>
      <c r="G2173" s="1041" t="str">
        <f t="shared" si="1234"/>
        <v/>
      </c>
      <c r="H2173" s="1042">
        <f t="shared" si="1236"/>
        <v>0</v>
      </c>
      <c r="I2173" s="1042">
        <f t="shared" si="1237"/>
        <v>0</v>
      </c>
      <c r="J2173" s="1042">
        <f t="shared" si="1235"/>
        <v>0</v>
      </c>
    </row>
    <row r="2174" spans="1:10" x14ac:dyDescent="0.25">
      <c r="A2174" s="1039"/>
      <c r="B2174" s="1039" t="str">
        <f t="shared" si="1229"/>
        <v/>
      </c>
      <c r="C2174" s="1039" t="str">
        <f t="shared" si="1230"/>
        <v/>
      </c>
      <c r="D2174" s="1040" t="str">
        <f t="shared" si="1231"/>
        <v/>
      </c>
      <c r="E2174" s="1041" t="str">
        <f t="shared" si="1232"/>
        <v/>
      </c>
      <c r="F2174" s="1040" t="str">
        <f t="shared" si="1233"/>
        <v/>
      </c>
      <c r="G2174" s="1041" t="str">
        <f t="shared" si="1234"/>
        <v/>
      </c>
      <c r="H2174" s="1042">
        <f t="shared" si="1236"/>
        <v>0</v>
      </c>
      <c r="I2174" s="1042">
        <f t="shared" si="1237"/>
        <v>0</v>
      </c>
      <c r="J2174" s="1042">
        <f t="shared" si="1235"/>
        <v>0</v>
      </c>
    </row>
    <row r="2175" spans="1:10" x14ac:dyDescent="0.25">
      <c r="A2175" s="1039"/>
      <c r="B2175" s="1039" t="str">
        <f t="shared" si="1229"/>
        <v/>
      </c>
      <c r="C2175" s="1039" t="str">
        <f t="shared" si="1230"/>
        <v/>
      </c>
      <c r="D2175" s="1040" t="str">
        <f t="shared" si="1231"/>
        <v/>
      </c>
      <c r="E2175" s="1041" t="str">
        <f t="shared" si="1232"/>
        <v/>
      </c>
      <c r="F2175" s="1040" t="str">
        <f t="shared" si="1233"/>
        <v/>
      </c>
      <c r="G2175" s="1041" t="str">
        <f t="shared" si="1234"/>
        <v/>
      </c>
      <c r="H2175" s="1042">
        <f t="shared" si="1236"/>
        <v>0</v>
      </c>
      <c r="I2175" s="1042">
        <f t="shared" si="1237"/>
        <v>0</v>
      </c>
      <c r="J2175" s="1042">
        <f t="shared" si="1235"/>
        <v>0</v>
      </c>
    </row>
    <row r="2176" spans="1:10" x14ac:dyDescent="0.25">
      <c r="A2176" s="1039"/>
      <c r="B2176" s="1039" t="str">
        <f t="shared" si="1229"/>
        <v/>
      </c>
      <c r="C2176" s="1039" t="str">
        <f t="shared" si="1230"/>
        <v/>
      </c>
      <c r="D2176" s="1040" t="str">
        <f t="shared" si="1231"/>
        <v/>
      </c>
      <c r="E2176" s="1041" t="str">
        <f t="shared" si="1232"/>
        <v/>
      </c>
      <c r="F2176" s="1040" t="str">
        <f t="shared" si="1233"/>
        <v/>
      </c>
      <c r="G2176" s="1041" t="str">
        <f t="shared" si="1234"/>
        <v/>
      </c>
      <c r="H2176" s="1042">
        <f t="shared" si="1236"/>
        <v>0</v>
      </c>
      <c r="I2176" s="1042">
        <f t="shared" si="1237"/>
        <v>0</v>
      </c>
      <c r="J2176" s="1042">
        <f t="shared" si="1235"/>
        <v>0</v>
      </c>
    </row>
    <row r="2177" spans="1:10" x14ac:dyDescent="0.25">
      <c r="A2177" s="1039"/>
      <c r="B2177" s="1039" t="str">
        <f t="shared" si="1229"/>
        <v/>
      </c>
      <c r="C2177" s="1039" t="str">
        <f t="shared" si="1230"/>
        <v/>
      </c>
      <c r="D2177" s="1040" t="str">
        <f t="shared" si="1231"/>
        <v/>
      </c>
      <c r="E2177" s="1041" t="str">
        <f t="shared" si="1232"/>
        <v/>
      </c>
      <c r="F2177" s="1040" t="str">
        <f t="shared" si="1233"/>
        <v/>
      </c>
      <c r="G2177" s="1041" t="str">
        <f t="shared" si="1234"/>
        <v/>
      </c>
      <c r="H2177" s="1042">
        <f t="shared" si="1236"/>
        <v>0</v>
      </c>
      <c r="I2177" s="1042">
        <f t="shared" si="1237"/>
        <v>0</v>
      </c>
      <c r="J2177" s="1042">
        <f t="shared" si="1235"/>
        <v>0</v>
      </c>
    </row>
    <row r="2178" spans="1:10" x14ac:dyDescent="0.25">
      <c r="A2178" s="1039"/>
      <c r="B2178" s="1039" t="str">
        <f t="shared" si="1229"/>
        <v/>
      </c>
      <c r="C2178" s="1039" t="str">
        <f t="shared" si="1230"/>
        <v/>
      </c>
      <c r="D2178" s="1040" t="str">
        <f t="shared" si="1231"/>
        <v/>
      </c>
      <c r="E2178" s="1041" t="str">
        <f t="shared" si="1232"/>
        <v/>
      </c>
      <c r="F2178" s="1040" t="str">
        <f t="shared" si="1233"/>
        <v/>
      </c>
      <c r="G2178" s="1041" t="str">
        <f t="shared" si="1234"/>
        <v/>
      </c>
      <c r="H2178" s="1042">
        <f t="shared" si="1236"/>
        <v>0</v>
      </c>
      <c r="I2178" s="1042">
        <f t="shared" si="1237"/>
        <v>0</v>
      </c>
      <c r="J2178" s="1042">
        <f t="shared" si="1235"/>
        <v>0</v>
      </c>
    </row>
    <row r="2179" spans="1:10" x14ac:dyDescent="0.25">
      <c r="A2179" s="1039"/>
      <c r="B2179" s="1039" t="str">
        <f t="shared" si="1229"/>
        <v/>
      </c>
      <c r="C2179" s="1039" t="str">
        <f t="shared" si="1230"/>
        <v/>
      </c>
      <c r="D2179" s="1040" t="str">
        <f t="shared" si="1231"/>
        <v/>
      </c>
      <c r="E2179" s="1041" t="str">
        <f t="shared" si="1232"/>
        <v/>
      </c>
      <c r="F2179" s="1040" t="str">
        <f t="shared" si="1233"/>
        <v/>
      </c>
      <c r="G2179" s="1041" t="str">
        <f t="shared" si="1234"/>
        <v/>
      </c>
      <c r="H2179" s="1042">
        <f t="shared" si="1236"/>
        <v>0</v>
      </c>
      <c r="I2179" s="1042">
        <f t="shared" si="1237"/>
        <v>0</v>
      </c>
      <c r="J2179" s="1042">
        <f t="shared" si="1235"/>
        <v>0</v>
      </c>
    </row>
    <row r="2180" spans="1:10" x14ac:dyDescent="0.25">
      <c r="A2180" s="1039"/>
      <c r="B2180" s="1039" t="str">
        <f t="shared" si="1229"/>
        <v/>
      </c>
      <c r="C2180" s="1039" t="str">
        <f t="shared" si="1230"/>
        <v/>
      </c>
      <c r="D2180" s="1040" t="str">
        <f t="shared" si="1231"/>
        <v/>
      </c>
      <c r="E2180" s="1041" t="str">
        <f t="shared" si="1232"/>
        <v/>
      </c>
      <c r="F2180" s="1040" t="str">
        <f t="shared" si="1233"/>
        <v/>
      </c>
      <c r="G2180" s="1041" t="str">
        <f t="shared" si="1234"/>
        <v/>
      </c>
      <c r="H2180" s="1042">
        <f t="shared" si="1236"/>
        <v>0</v>
      </c>
      <c r="I2180" s="1042">
        <f t="shared" si="1237"/>
        <v>0</v>
      </c>
      <c r="J2180" s="1042">
        <f t="shared" si="1235"/>
        <v>0</v>
      </c>
    </row>
    <row r="2181" spans="1:10" x14ac:dyDescent="0.25">
      <c r="A2181" s="1039"/>
      <c r="B2181" s="1039" t="str">
        <f t="shared" si="1229"/>
        <v/>
      </c>
      <c r="C2181" s="1039" t="str">
        <f t="shared" si="1230"/>
        <v/>
      </c>
      <c r="D2181" s="1040" t="str">
        <f t="shared" si="1231"/>
        <v/>
      </c>
      <c r="E2181" s="1041" t="str">
        <f t="shared" si="1232"/>
        <v/>
      </c>
      <c r="F2181" s="1040" t="str">
        <f t="shared" si="1233"/>
        <v/>
      </c>
      <c r="G2181" s="1041" t="str">
        <f t="shared" si="1234"/>
        <v/>
      </c>
      <c r="H2181" s="1042">
        <f t="shared" si="1236"/>
        <v>0</v>
      </c>
      <c r="I2181" s="1042">
        <f t="shared" si="1237"/>
        <v>0</v>
      </c>
      <c r="J2181" s="1042">
        <f t="shared" si="1235"/>
        <v>0</v>
      </c>
    </row>
    <row r="2182" spans="1:10" x14ac:dyDescent="0.25">
      <c r="A2182" s="1039"/>
      <c r="B2182" s="1039" t="str">
        <f t="shared" si="1229"/>
        <v/>
      </c>
      <c r="C2182" s="1039" t="str">
        <f t="shared" si="1230"/>
        <v/>
      </c>
      <c r="D2182" s="1040" t="str">
        <f t="shared" si="1231"/>
        <v/>
      </c>
      <c r="E2182" s="1041" t="str">
        <f t="shared" si="1232"/>
        <v/>
      </c>
      <c r="F2182" s="1040" t="str">
        <f t="shared" si="1233"/>
        <v/>
      </c>
      <c r="G2182" s="1041" t="str">
        <f t="shared" si="1234"/>
        <v/>
      </c>
      <c r="H2182" s="1042">
        <f t="shared" si="1236"/>
        <v>0</v>
      </c>
      <c r="I2182" s="1042">
        <f t="shared" si="1237"/>
        <v>0</v>
      </c>
      <c r="J2182" s="1042">
        <f t="shared" si="1235"/>
        <v>0</v>
      </c>
    </row>
    <row r="2183" spans="1:10" x14ac:dyDescent="0.25">
      <c r="A2183" s="1039"/>
      <c r="B2183" s="1039" t="str">
        <f t="shared" si="1229"/>
        <v/>
      </c>
      <c r="C2183" s="1039" t="str">
        <f t="shared" si="1230"/>
        <v/>
      </c>
      <c r="D2183" s="1040" t="str">
        <f t="shared" si="1231"/>
        <v/>
      </c>
      <c r="E2183" s="1041" t="str">
        <f t="shared" si="1232"/>
        <v/>
      </c>
      <c r="F2183" s="1040" t="str">
        <f t="shared" si="1233"/>
        <v/>
      </c>
      <c r="G2183" s="1041" t="str">
        <f t="shared" si="1234"/>
        <v/>
      </c>
      <c r="H2183" s="1042">
        <f t="shared" si="1236"/>
        <v>0</v>
      </c>
      <c r="I2183" s="1042">
        <f t="shared" si="1237"/>
        <v>0</v>
      </c>
      <c r="J2183" s="1042">
        <f t="shared" si="1235"/>
        <v>0</v>
      </c>
    </row>
    <row r="2184" spans="1:10" x14ac:dyDescent="0.25">
      <c r="A2184" s="1039"/>
      <c r="B2184" s="1039" t="str">
        <f t="shared" si="1229"/>
        <v/>
      </c>
      <c r="C2184" s="1039" t="str">
        <f t="shared" si="1230"/>
        <v/>
      </c>
      <c r="D2184" s="1040" t="str">
        <f t="shared" si="1231"/>
        <v/>
      </c>
      <c r="E2184" s="1041" t="str">
        <f t="shared" si="1232"/>
        <v/>
      </c>
      <c r="F2184" s="1040" t="str">
        <f t="shared" si="1233"/>
        <v/>
      </c>
      <c r="G2184" s="1041" t="str">
        <f t="shared" si="1234"/>
        <v/>
      </c>
      <c r="H2184" s="1042">
        <f t="shared" si="1236"/>
        <v>0</v>
      </c>
      <c r="I2184" s="1042">
        <f t="shared" si="1237"/>
        <v>0</v>
      </c>
      <c r="J2184" s="1042">
        <f t="shared" si="1235"/>
        <v>0</v>
      </c>
    </row>
    <row r="2185" spans="1:10" x14ac:dyDescent="0.25">
      <c r="A2185" s="1039"/>
      <c r="B2185" s="1039" t="str">
        <f t="shared" si="1229"/>
        <v/>
      </c>
      <c r="C2185" s="1039" t="str">
        <f t="shared" si="1230"/>
        <v/>
      </c>
      <c r="D2185" s="1040" t="str">
        <f t="shared" si="1231"/>
        <v/>
      </c>
      <c r="E2185" s="1041" t="str">
        <f t="shared" si="1232"/>
        <v/>
      </c>
      <c r="F2185" s="1040" t="str">
        <f t="shared" si="1233"/>
        <v/>
      </c>
      <c r="G2185" s="1041" t="str">
        <f t="shared" si="1234"/>
        <v/>
      </c>
      <c r="H2185" s="1042">
        <f t="shared" si="1236"/>
        <v>0</v>
      </c>
      <c r="I2185" s="1042">
        <f t="shared" si="1237"/>
        <v>0</v>
      </c>
      <c r="J2185" s="1042">
        <f t="shared" si="1235"/>
        <v>0</v>
      </c>
    </row>
    <row r="2186" spans="1:10" x14ac:dyDescent="0.25">
      <c r="A2186" s="1039"/>
      <c r="B2186" s="1039" t="str">
        <f t="shared" si="1229"/>
        <v/>
      </c>
      <c r="C2186" s="1039" t="str">
        <f t="shared" si="1230"/>
        <v/>
      </c>
      <c r="D2186" s="1040" t="str">
        <f t="shared" si="1231"/>
        <v/>
      </c>
      <c r="E2186" s="1041" t="str">
        <f t="shared" si="1232"/>
        <v/>
      </c>
      <c r="F2186" s="1040" t="str">
        <f t="shared" si="1233"/>
        <v/>
      </c>
      <c r="G2186" s="1041" t="str">
        <f t="shared" si="1234"/>
        <v/>
      </c>
      <c r="H2186" s="1042">
        <f t="shared" si="1236"/>
        <v>0</v>
      </c>
      <c r="I2186" s="1042">
        <f t="shared" si="1237"/>
        <v>0</v>
      </c>
      <c r="J2186" s="1042">
        <f t="shared" si="1235"/>
        <v>0</v>
      </c>
    </row>
    <row r="2187" spans="1:10" x14ac:dyDescent="0.25">
      <c r="A2187" s="1039"/>
      <c r="B2187" s="1039" t="str">
        <f t="shared" si="1229"/>
        <v/>
      </c>
      <c r="C2187" s="1039" t="str">
        <f t="shared" si="1230"/>
        <v/>
      </c>
      <c r="D2187" s="1040" t="str">
        <f t="shared" si="1231"/>
        <v/>
      </c>
      <c r="E2187" s="1041" t="str">
        <f t="shared" si="1232"/>
        <v/>
      </c>
      <c r="F2187" s="1040" t="str">
        <f t="shared" si="1233"/>
        <v/>
      </c>
      <c r="G2187" s="1041" t="str">
        <f t="shared" si="1234"/>
        <v/>
      </c>
      <c r="H2187" s="1042">
        <f t="shared" si="1236"/>
        <v>0</v>
      </c>
      <c r="I2187" s="1042">
        <f t="shared" si="1237"/>
        <v>0</v>
      </c>
      <c r="J2187" s="1042">
        <f t="shared" si="1235"/>
        <v>0</v>
      </c>
    </row>
    <row r="2188" spans="1:10" x14ac:dyDescent="0.25">
      <c r="A2188" s="1039"/>
      <c r="B2188" s="1039" t="str">
        <f t="shared" si="1229"/>
        <v/>
      </c>
      <c r="C2188" s="1039" t="str">
        <f t="shared" si="1230"/>
        <v/>
      </c>
      <c r="D2188" s="1040" t="str">
        <f t="shared" si="1231"/>
        <v/>
      </c>
      <c r="E2188" s="1041" t="str">
        <f t="shared" si="1232"/>
        <v/>
      </c>
      <c r="F2188" s="1040" t="str">
        <f t="shared" si="1233"/>
        <v/>
      </c>
      <c r="G2188" s="1041" t="str">
        <f t="shared" si="1234"/>
        <v/>
      </c>
      <c r="H2188" s="1042">
        <f t="shared" si="1236"/>
        <v>0</v>
      </c>
      <c r="I2188" s="1042">
        <f t="shared" si="1237"/>
        <v>0</v>
      </c>
      <c r="J2188" s="1042">
        <f t="shared" si="1235"/>
        <v>0</v>
      </c>
    </row>
    <row r="2189" spans="1:10" x14ac:dyDescent="0.25">
      <c r="A2189" s="1039"/>
      <c r="B2189" s="1039" t="str">
        <f t="shared" si="1229"/>
        <v/>
      </c>
      <c r="C2189" s="1039" t="str">
        <f t="shared" si="1230"/>
        <v/>
      </c>
      <c r="D2189" s="1040" t="str">
        <f t="shared" si="1231"/>
        <v/>
      </c>
      <c r="E2189" s="1041" t="str">
        <f t="shared" si="1232"/>
        <v/>
      </c>
      <c r="F2189" s="1040" t="str">
        <f t="shared" si="1233"/>
        <v/>
      </c>
      <c r="G2189" s="1041" t="str">
        <f t="shared" si="1234"/>
        <v/>
      </c>
      <c r="H2189" s="1042">
        <f t="shared" si="1236"/>
        <v>0</v>
      </c>
      <c r="I2189" s="1042">
        <f t="shared" si="1237"/>
        <v>0</v>
      </c>
      <c r="J2189" s="1042">
        <f t="shared" si="1235"/>
        <v>0</v>
      </c>
    </row>
    <row r="2190" spans="1:10" x14ac:dyDescent="0.25">
      <c r="A2190" s="1039"/>
      <c r="B2190" s="1039" t="str">
        <f t="shared" si="1229"/>
        <v/>
      </c>
      <c r="C2190" s="1039" t="str">
        <f t="shared" si="1230"/>
        <v/>
      </c>
      <c r="D2190" s="1040" t="str">
        <f t="shared" si="1231"/>
        <v/>
      </c>
      <c r="E2190" s="1041" t="str">
        <f t="shared" si="1232"/>
        <v/>
      </c>
      <c r="F2190" s="1040" t="str">
        <f t="shared" si="1233"/>
        <v/>
      </c>
      <c r="G2190" s="1041" t="str">
        <f t="shared" si="1234"/>
        <v/>
      </c>
      <c r="H2190" s="1042">
        <f t="shared" si="1236"/>
        <v>0</v>
      </c>
      <c r="I2190" s="1042">
        <f t="shared" si="1237"/>
        <v>0</v>
      </c>
      <c r="J2190" s="1042">
        <f t="shared" si="1235"/>
        <v>0</v>
      </c>
    </row>
    <row r="2191" spans="1:10" x14ac:dyDescent="0.25">
      <c r="A2191" s="1039"/>
      <c r="B2191" s="1039" t="str">
        <f t="shared" si="1229"/>
        <v/>
      </c>
      <c r="C2191" s="1039" t="str">
        <f t="shared" si="1230"/>
        <v/>
      </c>
      <c r="D2191" s="1040" t="str">
        <f t="shared" si="1231"/>
        <v/>
      </c>
      <c r="E2191" s="1041" t="str">
        <f t="shared" si="1232"/>
        <v/>
      </c>
      <c r="F2191" s="1040" t="str">
        <f t="shared" si="1233"/>
        <v/>
      </c>
      <c r="G2191" s="1041" t="str">
        <f t="shared" si="1234"/>
        <v/>
      </c>
      <c r="H2191" s="1042">
        <f t="shared" si="1236"/>
        <v>0</v>
      </c>
      <c r="I2191" s="1042">
        <f t="shared" si="1237"/>
        <v>0</v>
      </c>
      <c r="J2191" s="1042">
        <f t="shared" si="1235"/>
        <v>0</v>
      </c>
    </row>
    <row r="2192" spans="1:10" x14ac:dyDescent="0.25">
      <c r="A2192" s="1039"/>
      <c r="B2192" s="1039" t="str">
        <f t="shared" si="1229"/>
        <v/>
      </c>
      <c r="C2192" s="1039" t="str">
        <f t="shared" si="1230"/>
        <v/>
      </c>
      <c r="D2192" s="1040" t="str">
        <f t="shared" si="1231"/>
        <v/>
      </c>
      <c r="E2192" s="1041" t="str">
        <f t="shared" si="1232"/>
        <v/>
      </c>
      <c r="F2192" s="1040" t="str">
        <f t="shared" si="1233"/>
        <v/>
      </c>
      <c r="G2192" s="1041" t="str">
        <f t="shared" si="1234"/>
        <v/>
      </c>
      <c r="H2192" s="1042">
        <f t="shared" si="1236"/>
        <v>0</v>
      </c>
      <c r="I2192" s="1042">
        <f t="shared" si="1237"/>
        <v>0</v>
      </c>
      <c r="J2192" s="1042">
        <f t="shared" si="1235"/>
        <v>0</v>
      </c>
    </row>
    <row r="2193" spans="1:10" x14ac:dyDescent="0.25">
      <c r="A2193" s="1039"/>
      <c r="B2193" s="1039" t="str">
        <f t="shared" ref="B2193:B2234" si="1238">IFERROR(VLOOKUP(A2193,DB,2,FALSE),"")</f>
        <v/>
      </c>
      <c r="C2193" s="1039" t="str">
        <f t="shared" si="1230"/>
        <v/>
      </c>
      <c r="D2193" s="1040" t="str">
        <f t="shared" si="1231"/>
        <v/>
      </c>
      <c r="E2193" s="1041" t="str">
        <f t="shared" si="1232"/>
        <v/>
      </c>
      <c r="F2193" s="1040" t="str">
        <f t="shared" si="1233"/>
        <v/>
      </c>
      <c r="G2193" s="1041" t="str">
        <f t="shared" si="1234"/>
        <v/>
      </c>
      <c r="H2193" s="1042">
        <f t="shared" si="1236"/>
        <v>0</v>
      </c>
      <c r="I2193" s="1042">
        <f t="shared" si="1237"/>
        <v>0</v>
      </c>
      <c r="J2193" s="1042">
        <f t="shared" si="1235"/>
        <v>0</v>
      </c>
    </row>
    <row r="2194" spans="1:10" x14ac:dyDescent="0.25">
      <c r="A2194" s="1039"/>
      <c r="B2194" s="1039" t="str">
        <f t="shared" si="1238"/>
        <v/>
      </c>
      <c r="C2194" s="1039" t="str">
        <f t="shared" si="1230"/>
        <v/>
      </c>
      <c r="D2194" s="1040" t="str">
        <f t="shared" si="1231"/>
        <v/>
      </c>
      <c r="E2194" s="1041" t="str">
        <f t="shared" si="1232"/>
        <v/>
      </c>
      <c r="F2194" s="1040" t="str">
        <f t="shared" si="1233"/>
        <v/>
      </c>
      <c r="G2194" s="1041" t="str">
        <f t="shared" si="1234"/>
        <v/>
      </c>
      <c r="H2194" s="1042">
        <f t="shared" si="1236"/>
        <v>0</v>
      </c>
      <c r="I2194" s="1042">
        <f t="shared" si="1237"/>
        <v>0</v>
      </c>
      <c r="J2194" s="1042">
        <f t="shared" si="1235"/>
        <v>0</v>
      </c>
    </row>
    <row r="2195" spans="1:10" x14ac:dyDescent="0.25">
      <c r="A2195" s="1039"/>
      <c r="B2195" s="1039" t="str">
        <f t="shared" si="1238"/>
        <v/>
      </c>
      <c r="C2195" s="1039" t="str">
        <f t="shared" si="1230"/>
        <v/>
      </c>
      <c r="D2195" s="1040" t="str">
        <f t="shared" si="1231"/>
        <v/>
      </c>
      <c r="E2195" s="1041" t="str">
        <f t="shared" si="1232"/>
        <v/>
      </c>
      <c r="F2195" s="1040" t="str">
        <f t="shared" si="1233"/>
        <v/>
      </c>
      <c r="G2195" s="1041" t="str">
        <f t="shared" si="1234"/>
        <v/>
      </c>
      <c r="H2195" s="1042">
        <f t="shared" si="1236"/>
        <v>0</v>
      </c>
      <c r="I2195" s="1042">
        <f t="shared" si="1237"/>
        <v>0</v>
      </c>
      <c r="J2195" s="1042">
        <f t="shared" si="1235"/>
        <v>0</v>
      </c>
    </row>
    <row r="2196" spans="1:10" x14ac:dyDescent="0.25">
      <c r="A2196" s="1039"/>
      <c r="B2196" s="1039" t="str">
        <f t="shared" si="1238"/>
        <v/>
      </c>
      <c r="C2196" s="1039" t="str">
        <f t="shared" si="1230"/>
        <v/>
      </c>
      <c r="D2196" s="1040" t="str">
        <f t="shared" si="1231"/>
        <v/>
      </c>
      <c r="E2196" s="1041" t="str">
        <f t="shared" si="1232"/>
        <v/>
      </c>
      <c r="F2196" s="1040" t="str">
        <f t="shared" si="1233"/>
        <v/>
      </c>
      <c r="G2196" s="1041" t="str">
        <f t="shared" si="1234"/>
        <v/>
      </c>
      <c r="H2196" s="1042">
        <f t="shared" si="1236"/>
        <v>0</v>
      </c>
      <c r="I2196" s="1042">
        <f t="shared" si="1237"/>
        <v>0</v>
      </c>
      <c r="J2196" s="1042">
        <f t="shared" si="1235"/>
        <v>0</v>
      </c>
    </row>
    <row r="2197" spans="1:10" x14ac:dyDescent="0.25">
      <c r="A2197" s="1039"/>
      <c r="B2197" s="1039" t="str">
        <f t="shared" si="1238"/>
        <v/>
      </c>
      <c r="C2197" s="1039" t="str">
        <f t="shared" si="1230"/>
        <v/>
      </c>
      <c r="D2197" s="1040" t="str">
        <f t="shared" si="1231"/>
        <v/>
      </c>
      <c r="E2197" s="1041" t="str">
        <f t="shared" si="1232"/>
        <v/>
      </c>
      <c r="F2197" s="1040" t="str">
        <f t="shared" si="1233"/>
        <v/>
      </c>
      <c r="G2197" s="1041" t="str">
        <f t="shared" si="1234"/>
        <v/>
      </c>
      <c r="H2197" s="1042">
        <f t="shared" si="1236"/>
        <v>0</v>
      </c>
      <c r="I2197" s="1042">
        <f t="shared" si="1237"/>
        <v>0</v>
      </c>
      <c r="J2197" s="1042">
        <f t="shared" si="1235"/>
        <v>0</v>
      </c>
    </row>
    <row r="2198" spans="1:10" x14ac:dyDescent="0.25">
      <c r="A2198" s="1039"/>
      <c r="B2198" s="1039" t="str">
        <f t="shared" si="1238"/>
        <v/>
      </c>
      <c r="C2198" s="1039" t="str">
        <f t="shared" si="1230"/>
        <v/>
      </c>
      <c r="D2198" s="1040" t="str">
        <f t="shared" si="1231"/>
        <v/>
      </c>
      <c r="E2198" s="1041" t="str">
        <f t="shared" si="1232"/>
        <v/>
      </c>
      <c r="F2198" s="1040" t="str">
        <f t="shared" si="1233"/>
        <v/>
      </c>
      <c r="G2198" s="1041" t="str">
        <f t="shared" si="1234"/>
        <v/>
      </c>
      <c r="H2198" s="1042">
        <f t="shared" si="1236"/>
        <v>0</v>
      </c>
      <c r="I2198" s="1042">
        <f t="shared" si="1237"/>
        <v>0</v>
      </c>
      <c r="J2198" s="1042">
        <f t="shared" si="1235"/>
        <v>0</v>
      </c>
    </row>
    <row r="2199" spans="1:10" x14ac:dyDescent="0.25">
      <c r="A2199" s="1039"/>
      <c r="B2199" s="1039" t="str">
        <f t="shared" si="1238"/>
        <v/>
      </c>
      <c r="C2199" s="1039" t="str">
        <f t="shared" si="1230"/>
        <v/>
      </c>
      <c r="D2199" s="1040" t="str">
        <f t="shared" si="1231"/>
        <v/>
      </c>
      <c r="E2199" s="1041" t="str">
        <f t="shared" si="1232"/>
        <v/>
      </c>
      <c r="F2199" s="1040" t="str">
        <f t="shared" si="1233"/>
        <v/>
      </c>
      <c r="G2199" s="1041" t="str">
        <f t="shared" si="1234"/>
        <v/>
      </c>
      <c r="H2199" s="1042">
        <f t="shared" si="1236"/>
        <v>0</v>
      </c>
      <c r="I2199" s="1042">
        <f t="shared" si="1237"/>
        <v>0</v>
      </c>
      <c r="J2199" s="1042">
        <f t="shared" si="1235"/>
        <v>0</v>
      </c>
    </row>
    <row r="2200" spans="1:10" x14ac:dyDescent="0.25">
      <c r="A2200" s="1039"/>
      <c r="B2200" s="1039" t="str">
        <f t="shared" si="1238"/>
        <v/>
      </c>
      <c r="C2200" s="1039" t="str">
        <f t="shared" si="1230"/>
        <v/>
      </c>
      <c r="D2200" s="1040" t="str">
        <f t="shared" si="1231"/>
        <v/>
      </c>
      <c r="E2200" s="1041" t="str">
        <f t="shared" si="1232"/>
        <v/>
      </c>
      <c r="F2200" s="1040" t="str">
        <f t="shared" si="1233"/>
        <v/>
      </c>
      <c r="G2200" s="1041" t="str">
        <f t="shared" si="1234"/>
        <v/>
      </c>
      <c r="H2200" s="1042">
        <f t="shared" si="1236"/>
        <v>0</v>
      </c>
      <c r="I2200" s="1042">
        <f t="shared" si="1237"/>
        <v>0</v>
      </c>
      <c r="J2200" s="1042">
        <f t="shared" si="1235"/>
        <v>0</v>
      </c>
    </row>
    <row r="2201" spans="1:10" x14ac:dyDescent="0.25">
      <c r="A2201" s="1039"/>
      <c r="B2201" s="1039" t="str">
        <f t="shared" si="1238"/>
        <v/>
      </c>
      <c r="C2201" s="1039" t="str">
        <f t="shared" si="1230"/>
        <v/>
      </c>
      <c r="D2201" s="1040" t="str">
        <f t="shared" si="1231"/>
        <v/>
      </c>
      <c r="E2201" s="1041" t="str">
        <f t="shared" si="1232"/>
        <v/>
      </c>
      <c r="F2201" s="1040" t="str">
        <f t="shared" si="1233"/>
        <v/>
      </c>
      <c r="G2201" s="1041" t="str">
        <f t="shared" si="1234"/>
        <v/>
      </c>
      <c r="H2201" s="1042">
        <f t="shared" si="1236"/>
        <v>0</v>
      </c>
      <c r="I2201" s="1042">
        <f t="shared" si="1237"/>
        <v>0</v>
      </c>
      <c r="J2201" s="1042">
        <f t="shared" si="1235"/>
        <v>0</v>
      </c>
    </row>
    <row r="2202" spans="1:10" x14ac:dyDescent="0.25">
      <c r="A2202" s="1039"/>
      <c r="B2202" s="1039" t="str">
        <f t="shared" si="1238"/>
        <v/>
      </c>
      <c r="C2202" s="1039" t="str">
        <f t="shared" si="1230"/>
        <v/>
      </c>
      <c r="D2202" s="1040" t="str">
        <f t="shared" si="1231"/>
        <v/>
      </c>
      <c r="E2202" s="1041" t="str">
        <f t="shared" si="1232"/>
        <v/>
      </c>
      <c r="F2202" s="1040" t="str">
        <f t="shared" si="1233"/>
        <v/>
      </c>
      <c r="G2202" s="1041" t="str">
        <f t="shared" si="1234"/>
        <v/>
      </c>
      <c r="H2202" s="1042">
        <f t="shared" si="1236"/>
        <v>0</v>
      </c>
      <c r="I2202" s="1042">
        <f t="shared" si="1237"/>
        <v>0</v>
      </c>
      <c r="J2202" s="1042">
        <f t="shared" si="1235"/>
        <v>0</v>
      </c>
    </row>
    <row r="2203" spans="1:10" x14ac:dyDescent="0.25">
      <c r="A2203" s="1039"/>
      <c r="B2203" s="1039" t="str">
        <f t="shared" si="1238"/>
        <v/>
      </c>
      <c r="C2203" s="1039" t="str">
        <f t="shared" si="1230"/>
        <v/>
      </c>
      <c r="D2203" s="1040" t="str">
        <f t="shared" si="1231"/>
        <v/>
      </c>
      <c r="E2203" s="1041" t="str">
        <f t="shared" si="1232"/>
        <v/>
      </c>
      <c r="F2203" s="1040" t="str">
        <f t="shared" si="1233"/>
        <v/>
      </c>
      <c r="G2203" s="1041" t="str">
        <f t="shared" si="1234"/>
        <v/>
      </c>
      <c r="H2203" s="1042">
        <f t="shared" si="1236"/>
        <v>0</v>
      </c>
      <c r="I2203" s="1042">
        <f t="shared" si="1237"/>
        <v>0</v>
      </c>
      <c r="J2203" s="1042">
        <f t="shared" si="1235"/>
        <v>0</v>
      </c>
    </row>
    <row r="2204" spans="1:10" x14ac:dyDescent="0.25">
      <c r="A2204" s="1039"/>
      <c r="B2204" s="1039" t="str">
        <f t="shared" si="1238"/>
        <v/>
      </c>
      <c r="C2204" s="1039" t="str">
        <f t="shared" si="1230"/>
        <v/>
      </c>
      <c r="D2204" s="1040" t="str">
        <f t="shared" si="1231"/>
        <v/>
      </c>
      <c r="E2204" s="1041" t="str">
        <f t="shared" si="1232"/>
        <v/>
      </c>
      <c r="F2204" s="1040" t="str">
        <f t="shared" si="1233"/>
        <v/>
      </c>
      <c r="G2204" s="1041" t="str">
        <f t="shared" si="1234"/>
        <v/>
      </c>
      <c r="H2204" s="1042">
        <f t="shared" si="1236"/>
        <v>0</v>
      </c>
      <c r="I2204" s="1042">
        <f t="shared" si="1237"/>
        <v>0</v>
      </c>
      <c r="J2204" s="1042">
        <f t="shared" si="1235"/>
        <v>0</v>
      </c>
    </row>
    <row r="2205" spans="1:10" x14ac:dyDescent="0.25">
      <c r="A2205" s="1039"/>
      <c r="B2205" s="1039" t="str">
        <f t="shared" si="1238"/>
        <v/>
      </c>
      <c r="C2205" s="1039" t="str">
        <f t="shared" si="1230"/>
        <v/>
      </c>
      <c r="D2205" s="1040" t="str">
        <f t="shared" si="1231"/>
        <v/>
      </c>
      <c r="E2205" s="1041" t="str">
        <f t="shared" si="1232"/>
        <v/>
      </c>
      <c r="F2205" s="1040" t="str">
        <f t="shared" si="1233"/>
        <v/>
      </c>
      <c r="G2205" s="1041" t="str">
        <f t="shared" si="1234"/>
        <v/>
      </c>
      <c r="H2205" s="1042">
        <f t="shared" si="1236"/>
        <v>0</v>
      </c>
      <c r="I2205" s="1042">
        <f t="shared" si="1237"/>
        <v>0</v>
      </c>
      <c r="J2205" s="1042">
        <f t="shared" si="1235"/>
        <v>0</v>
      </c>
    </row>
    <row r="2206" spans="1:10" x14ac:dyDescent="0.25">
      <c r="A2206" s="1039"/>
      <c r="B2206" s="1039" t="str">
        <f t="shared" si="1238"/>
        <v/>
      </c>
      <c r="C2206" s="1039" t="str">
        <f t="shared" si="1230"/>
        <v/>
      </c>
      <c r="D2206" s="1040" t="str">
        <f t="shared" si="1231"/>
        <v/>
      </c>
      <c r="E2206" s="1041" t="str">
        <f t="shared" si="1232"/>
        <v/>
      </c>
      <c r="F2206" s="1040" t="str">
        <f t="shared" si="1233"/>
        <v/>
      </c>
      <c r="G2206" s="1041" t="str">
        <f t="shared" si="1234"/>
        <v/>
      </c>
      <c r="H2206" s="1042">
        <f t="shared" si="1236"/>
        <v>0</v>
      </c>
      <c r="I2206" s="1042">
        <f t="shared" si="1237"/>
        <v>0</v>
      </c>
      <c r="J2206" s="1042">
        <f t="shared" si="1235"/>
        <v>0</v>
      </c>
    </row>
    <row r="2207" spans="1:10" x14ac:dyDescent="0.25">
      <c r="A2207" s="1039"/>
      <c r="B2207" s="1039" t="str">
        <f t="shared" si="1238"/>
        <v/>
      </c>
      <c r="C2207" s="1039" t="str">
        <f t="shared" si="1230"/>
        <v/>
      </c>
      <c r="D2207" s="1040" t="str">
        <f t="shared" si="1231"/>
        <v/>
      </c>
      <c r="E2207" s="1041" t="str">
        <f t="shared" si="1232"/>
        <v/>
      </c>
      <c r="F2207" s="1040" t="str">
        <f t="shared" si="1233"/>
        <v/>
      </c>
      <c r="G2207" s="1041" t="str">
        <f t="shared" si="1234"/>
        <v/>
      </c>
      <c r="H2207" s="1042">
        <f t="shared" si="1236"/>
        <v>0</v>
      </c>
      <c r="I2207" s="1042">
        <f t="shared" si="1237"/>
        <v>0</v>
      </c>
      <c r="J2207" s="1042">
        <f t="shared" si="1235"/>
        <v>0</v>
      </c>
    </row>
    <row r="2208" spans="1:10" x14ac:dyDescent="0.25">
      <c r="A2208" s="1039"/>
      <c r="B2208" s="1039" t="str">
        <f t="shared" si="1238"/>
        <v/>
      </c>
      <c r="C2208" s="1039" t="str">
        <f t="shared" si="1230"/>
        <v/>
      </c>
      <c r="D2208" s="1040" t="str">
        <f t="shared" si="1231"/>
        <v/>
      </c>
      <c r="E2208" s="1041" t="str">
        <f t="shared" si="1232"/>
        <v/>
      </c>
      <c r="F2208" s="1040" t="str">
        <f t="shared" si="1233"/>
        <v/>
      </c>
      <c r="G2208" s="1041" t="str">
        <f t="shared" si="1234"/>
        <v/>
      </c>
      <c r="H2208" s="1042">
        <f t="shared" si="1236"/>
        <v>0</v>
      </c>
      <c r="I2208" s="1042">
        <f t="shared" si="1237"/>
        <v>0</v>
      </c>
      <c r="J2208" s="1042">
        <f t="shared" si="1235"/>
        <v>0</v>
      </c>
    </row>
    <row r="2209" spans="1:10" x14ac:dyDescent="0.25">
      <c r="A2209" s="1039"/>
      <c r="B2209" s="1039" t="str">
        <f t="shared" si="1238"/>
        <v/>
      </c>
      <c r="C2209" s="1039" t="str">
        <f t="shared" si="1230"/>
        <v/>
      </c>
      <c r="D2209" s="1040" t="str">
        <f t="shared" si="1231"/>
        <v/>
      </c>
      <c r="E2209" s="1041" t="str">
        <f t="shared" si="1232"/>
        <v/>
      </c>
      <c r="F2209" s="1040" t="str">
        <f t="shared" si="1233"/>
        <v/>
      </c>
      <c r="G2209" s="1041" t="str">
        <f t="shared" si="1234"/>
        <v/>
      </c>
      <c r="H2209" s="1042">
        <f t="shared" si="1236"/>
        <v>0</v>
      </c>
      <c r="I2209" s="1042">
        <f t="shared" si="1237"/>
        <v>0</v>
      </c>
      <c r="J2209" s="1042">
        <f t="shared" si="1235"/>
        <v>0</v>
      </c>
    </row>
    <row r="2210" spans="1:10" x14ac:dyDescent="0.25">
      <c r="A2210" s="1039"/>
      <c r="B2210" s="1039" t="str">
        <f t="shared" si="1238"/>
        <v/>
      </c>
      <c r="C2210" s="1039" t="str">
        <f t="shared" si="1230"/>
        <v/>
      </c>
      <c r="D2210" s="1040" t="str">
        <f t="shared" si="1231"/>
        <v/>
      </c>
      <c r="E2210" s="1041" t="str">
        <f t="shared" si="1232"/>
        <v/>
      </c>
      <c r="F2210" s="1040" t="str">
        <f t="shared" si="1233"/>
        <v/>
      </c>
      <c r="G2210" s="1041" t="str">
        <f t="shared" si="1234"/>
        <v/>
      </c>
      <c r="H2210" s="1042">
        <f t="shared" si="1236"/>
        <v>0</v>
      </c>
      <c r="I2210" s="1042">
        <f t="shared" si="1237"/>
        <v>0</v>
      </c>
      <c r="J2210" s="1042">
        <f t="shared" si="1235"/>
        <v>0</v>
      </c>
    </row>
    <row r="2211" spans="1:10" x14ac:dyDescent="0.25">
      <c r="A2211" s="1039"/>
      <c r="B2211" s="1039" t="str">
        <f t="shared" si="1238"/>
        <v/>
      </c>
      <c r="C2211" s="1039" t="str">
        <f t="shared" si="1230"/>
        <v/>
      </c>
      <c r="D2211" s="1040" t="str">
        <f t="shared" si="1231"/>
        <v/>
      </c>
      <c r="E2211" s="1041" t="str">
        <f t="shared" si="1232"/>
        <v/>
      </c>
      <c r="F2211" s="1040" t="str">
        <f t="shared" si="1233"/>
        <v/>
      </c>
      <c r="G2211" s="1041" t="str">
        <f t="shared" si="1234"/>
        <v/>
      </c>
      <c r="H2211" s="1042">
        <f t="shared" si="1236"/>
        <v>0</v>
      </c>
      <c r="I2211" s="1042">
        <f t="shared" si="1237"/>
        <v>0</v>
      </c>
      <c r="J2211" s="1042">
        <f t="shared" si="1235"/>
        <v>0</v>
      </c>
    </row>
    <row r="2212" spans="1:10" x14ac:dyDescent="0.25">
      <c r="A2212" s="1039"/>
      <c r="B2212" s="1039" t="str">
        <f t="shared" si="1238"/>
        <v/>
      </c>
      <c r="C2212" s="1039" t="str">
        <f t="shared" si="1230"/>
        <v/>
      </c>
      <c r="D2212" s="1040" t="str">
        <f t="shared" si="1231"/>
        <v/>
      </c>
      <c r="E2212" s="1041" t="str">
        <f t="shared" si="1232"/>
        <v/>
      </c>
      <c r="F2212" s="1040" t="str">
        <f t="shared" si="1233"/>
        <v/>
      </c>
      <c r="G2212" s="1041" t="str">
        <f t="shared" si="1234"/>
        <v/>
      </c>
      <c r="H2212" s="1042">
        <f t="shared" si="1236"/>
        <v>0</v>
      </c>
      <c r="I2212" s="1042">
        <f t="shared" si="1237"/>
        <v>0</v>
      </c>
      <c r="J2212" s="1042">
        <f t="shared" si="1235"/>
        <v>0</v>
      </c>
    </row>
    <row r="2213" spans="1:10" x14ac:dyDescent="0.25">
      <c r="A2213" s="1039"/>
      <c r="B2213" s="1039" t="str">
        <f t="shared" si="1238"/>
        <v/>
      </c>
      <c r="C2213" s="1039" t="str">
        <f t="shared" si="1230"/>
        <v/>
      </c>
      <c r="D2213" s="1040" t="str">
        <f t="shared" si="1231"/>
        <v/>
      </c>
      <c r="E2213" s="1041" t="str">
        <f t="shared" si="1232"/>
        <v/>
      </c>
      <c r="F2213" s="1040" t="str">
        <f t="shared" si="1233"/>
        <v/>
      </c>
      <c r="G2213" s="1041" t="str">
        <f t="shared" si="1234"/>
        <v/>
      </c>
      <c r="H2213" s="1042">
        <f t="shared" si="1236"/>
        <v>0</v>
      </c>
      <c r="I2213" s="1042">
        <f t="shared" si="1237"/>
        <v>0</v>
      </c>
      <c r="J2213" s="1042">
        <f t="shared" si="1235"/>
        <v>0</v>
      </c>
    </row>
    <row r="2214" spans="1:10" x14ac:dyDescent="0.25">
      <c r="A2214" s="1039"/>
      <c r="B2214" s="1039" t="str">
        <f t="shared" si="1238"/>
        <v/>
      </c>
      <c r="C2214" s="1039" t="str">
        <f t="shared" si="1230"/>
        <v/>
      </c>
      <c r="D2214" s="1040" t="str">
        <f t="shared" si="1231"/>
        <v/>
      </c>
      <c r="E2214" s="1041" t="str">
        <f t="shared" si="1232"/>
        <v/>
      </c>
      <c r="F2214" s="1040" t="str">
        <f t="shared" si="1233"/>
        <v/>
      </c>
      <c r="G2214" s="1041" t="str">
        <f t="shared" si="1234"/>
        <v/>
      </c>
      <c r="H2214" s="1042">
        <f t="shared" si="1236"/>
        <v>0</v>
      </c>
      <c r="I2214" s="1042">
        <f t="shared" si="1237"/>
        <v>0</v>
      </c>
      <c r="J2214" s="1042">
        <f t="shared" si="1235"/>
        <v>0</v>
      </c>
    </row>
    <row r="2215" spans="1:10" x14ac:dyDescent="0.25">
      <c r="A2215" s="1039"/>
      <c r="B2215" s="1039" t="str">
        <f t="shared" si="1238"/>
        <v/>
      </c>
      <c r="C2215" s="1039" t="str">
        <f t="shared" ref="C2215:C2234" si="1239">IFERROR(VLOOKUP(A2215,DB,4,FALSE),"")</f>
        <v/>
      </c>
      <c r="D2215" s="1040" t="str">
        <f t="shared" ref="D2215:D2234" si="1240">IFERROR(VLOOKUP(A2215,DB,5,FALSE),"")</f>
        <v/>
      </c>
      <c r="E2215" s="1041" t="str">
        <f t="shared" ref="E2215:E2234" si="1241">IFERROR(VLOOKUP(A2215,DB,6,FALSE),"")</f>
        <v/>
      </c>
      <c r="F2215" s="1040" t="str">
        <f t="shared" ref="F2215:F2234" si="1242">IFERROR(VLOOKUP(A2215,DB,7,FALSE),"")</f>
        <v/>
      </c>
      <c r="G2215" s="1041" t="str">
        <f t="shared" ref="G2215:G2234" si="1243">IFERROR(VLOOKUP(A2215,DB,3,FALSE),"")</f>
        <v/>
      </c>
      <c r="H2215" s="1042">
        <f t="shared" si="1236"/>
        <v>0</v>
      </c>
      <c r="I2215" s="1042">
        <f t="shared" si="1237"/>
        <v>0</v>
      </c>
      <c r="J2215" s="1042">
        <f t="shared" si="1235"/>
        <v>0</v>
      </c>
    </row>
    <row r="2216" spans="1:10" x14ac:dyDescent="0.25">
      <c r="A2216" s="1039"/>
      <c r="B2216" s="1039" t="str">
        <f t="shared" si="1238"/>
        <v/>
      </c>
      <c r="C2216" s="1039" t="str">
        <f t="shared" si="1239"/>
        <v/>
      </c>
      <c r="D2216" s="1040" t="str">
        <f t="shared" si="1240"/>
        <v/>
      </c>
      <c r="E2216" s="1041" t="str">
        <f t="shared" si="1241"/>
        <v/>
      </c>
      <c r="F2216" s="1040" t="str">
        <f t="shared" si="1242"/>
        <v/>
      </c>
      <c r="G2216" s="1041" t="str">
        <f t="shared" si="1243"/>
        <v/>
      </c>
      <c r="H2216" s="1042">
        <f t="shared" si="1236"/>
        <v>0</v>
      </c>
      <c r="I2216" s="1042">
        <f t="shared" si="1237"/>
        <v>0</v>
      </c>
      <c r="J2216" s="1042">
        <f t="shared" si="1235"/>
        <v>0</v>
      </c>
    </row>
    <row r="2217" spans="1:10" x14ac:dyDescent="0.25">
      <c r="A2217" s="1039"/>
      <c r="B2217" s="1039" t="str">
        <f t="shared" si="1238"/>
        <v/>
      </c>
      <c r="C2217" s="1039" t="str">
        <f t="shared" si="1239"/>
        <v/>
      </c>
      <c r="D2217" s="1040" t="str">
        <f t="shared" si="1240"/>
        <v/>
      </c>
      <c r="E2217" s="1041" t="str">
        <f t="shared" si="1241"/>
        <v/>
      </c>
      <c r="F2217" s="1040" t="str">
        <f t="shared" si="1242"/>
        <v/>
      </c>
      <c r="G2217" s="1041" t="str">
        <f t="shared" si="1243"/>
        <v/>
      </c>
      <c r="H2217" s="1042">
        <f t="shared" si="1236"/>
        <v>0</v>
      </c>
      <c r="I2217" s="1042">
        <f t="shared" si="1237"/>
        <v>0</v>
      </c>
      <c r="J2217" s="1042">
        <f t="shared" si="1235"/>
        <v>0</v>
      </c>
    </row>
    <row r="2218" spans="1:10" x14ac:dyDescent="0.25">
      <c r="A2218" s="1039"/>
      <c r="B2218" s="1039" t="str">
        <f t="shared" si="1238"/>
        <v/>
      </c>
      <c r="C2218" s="1039" t="str">
        <f t="shared" si="1239"/>
        <v/>
      </c>
      <c r="D2218" s="1040" t="str">
        <f t="shared" si="1240"/>
        <v/>
      </c>
      <c r="E2218" s="1041" t="str">
        <f t="shared" si="1241"/>
        <v/>
      </c>
      <c r="F2218" s="1040" t="str">
        <f t="shared" si="1242"/>
        <v/>
      </c>
      <c r="G2218" s="1041" t="str">
        <f t="shared" si="1243"/>
        <v/>
      </c>
      <c r="H2218" s="1042">
        <f t="shared" si="1236"/>
        <v>0</v>
      </c>
      <c r="I2218" s="1042">
        <f t="shared" si="1237"/>
        <v>0</v>
      </c>
      <c r="J2218" s="1042">
        <f t="shared" si="1235"/>
        <v>0</v>
      </c>
    </row>
    <row r="2219" spans="1:10" x14ac:dyDescent="0.25">
      <c r="A2219" s="1039"/>
      <c r="B2219" s="1039" t="str">
        <f t="shared" si="1238"/>
        <v/>
      </c>
      <c r="C2219" s="1039" t="str">
        <f t="shared" si="1239"/>
        <v/>
      </c>
      <c r="D2219" s="1040" t="str">
        <f t="shared" si="1240"/>
        <v/>
      </c>
      <c r="E2219" s="1041" t="str">
        <f t="shared" si="1241"/>
        <v/>
      </c>
      <c r="F2219" s="1040" t="str">
        <f t="shared" si="1242"/>
        <v/>
      </c>
      <c r="G2219" s="1041" t="str">
        <f t="shared" si="1243"/>
        <v/>
      </c>
      <c r="H2219" s="1042">
        <f t="shared" si="1236"/>
        <v>0</v>
      </c>
      <c r="I2219" s="1042">
        <f t="shared" si="1237"/>
        <v>0</v>
      </c>
      <c r="J2219" s="1042">
        <f t="shared" si="1235"/>
        <v>0</v>
      </c>
    </row>
    <row r="2220" spans="1:10" x14ac:dyDescent="0.25">
      <c r="A2220" s="1039"/>
      <c r="B2220" s="1039" t="str">
        <f t="shared" si="1238"/>
        <v/>
      </c>
      <c r="C2220" s="1039" t="str">
        <f t="shared" si="1239"/>
        <v/>
      </c>
      <c r="D2220" s="1040" t="str">
        <f t="shared" si="1240"/>
        <v/>
      </c>
      <c r="E2220" s="1041" t="str">
        <f t="shared" si="1241"/>
        <v/>
      </c>
      <c r="F2220" s="1040" t="str">
        <f t="shared" si="1242"/>
        <v/>
      </c>
      <c r="G2220" s="1041" t="str">
        <f t="shared" si="1243"/>
        <v/>
      </c>
      <c r="H2220" s="1042">
        <f t="shared" si="1236"/>
        <v>0</v>
      </c>
      <c r="I2220" s="1042">
        <f t="shared" si="1237"/>
        <v>0</v>
      </c>
      <c r="J2220" s="1042">
        <f t="shared" si="1235"/>
        <v>0</v>
      </c>
    </row>
    <row r="2221" spans="1:10" x14ac:dyDescent="0.25">
      <c r="A2221" s="1039"/>
      <c r="B2221" s="1039" t="str">
        <f t="shared" si="1238"/>
        <v/>
      </c>
      <c r="C2221" s="1039" t="str">
        <f t="shared" si="1239"/>
        <v/>
      </c>
      <c r="D2221" s="1040" t="str">
        <f t="shared" si="1240"/>
        <v/>
      </c>
      <c r="E2221" s="1041" t="str">
        <f t="shared" si="1241"/>
        <v/>
      </c>
      <c r="F2221" s="1040" t="str">
        <f t="shared" si="1242"/>
        <v/>
      </c>
      <c r="G2221" s="1041" t="str">
        <f t="shared" si="1243"/>
        <v/>
      </c>
      <c r="H2221" s="1042">
        <f t="shared" si="1236"/>
        <v>0</v>
      </c>
      <c r="I2221" s="1042">
        <f t="shared" si="1237"/>
        <v>0</v>
      </c>
      <c r="J2221" s="1042">
        <f t="shared" ref="J2221:J2234" si="1244">I2221+H2221</f>
        <v>0</v>
      </c>
    </row>
    <row r="2222" spans="1:10" x14ac:dyDescent="0.25">
      <c r="A2222" s="1039"/>
      <c r="B2222" s="1039" t="str">
        <f t="shared" si="1238"/>
        <v/>
      </c>
      <c r="C2222" s="1039" t="str">
        <f t="shared" si="1239"/>
        <v/>
      </c>
      <c r="D2222" s="1040" t="str">
        <f t="shared" si="1240"/>
        <v/>
      </c>
      <c r="E2222" s="1041" t="str">
        <f t="shared" si="1241"/>
        <v/>
      </c>
      <c r="F2222" s="1040" t="str">
        <f t="shared" si="1242"/>
        <v/>
      </c>
      <c r="G2222" s="1041" t="str">
        <f t="shared" si="1243"/>
        <v/>
      </c>
      <c r="H2222" s="1042">
        <f t="shared" ref="H2222:H2234" si="1245">IF(F2222="AKTIF",6450000,IF(F2222="CUTI",3000000,0))</f>
        <v>0</v>
      </c>
      <c r="I2222" s="1042">
        <f t="shared" ref="I2222:I2234" si="1246">IF(F2222="AKTIF",3750000,IF(F2222="CUTI",3000000,0))</f>
        <v>0</v>
      </c>
      <c r="J2222" s="1042">
        <f t="shared" si="1244"/>
        <v>0</v>
      </c>
    </row>
    <row r="2223" spans="1:10" x14ac:dyDescent="0.25">
      <c r="A2223" s="1039"/>
      <c r="B2223" s="1039" t="str">
        <f t="shared" si="1238"/>
        <v/>
      </c>
      <c r="C2223" s="1039" t="str">
        <f t="shared" si="1239"/>
        <v/>
      </c>
      <c r="D2223" s="1040" t="str">
        <f t="shared" si="1240"/>
        <v/>
      </c>
      <c r="E2223" s="1041" t="str">
        <f t="shared" si="1241"/>
        <v/>
      </c>
      <c r="F2223" s="1040" t="str">
        <f t="shared" si="1242"/>
        <v/>
      </c>
      <c r="G2223" s="1041" t="str">
        <f t="shared" si="1243"/>
        <v/>
      </c>
      <c r="H2223" s="1042">
        <f t="shared" si="1245"/>
        <v>0</v>
      </c>
      <c r="I2223" s="1042">
        <f t="shared" si="1246"/>
        <v>0</v>
      </c>
      <c r="J2223" s="1042">
        <f t="shared" si="1244"/>
        <v>0</v>
      </c>
    </row>
    <row r="2224" spans="1:10" x14ac:dyDescent="0.25">
      <c r="A2224" s="1039"/>
      <c r="B2224" s="1039" t="str">
        <f t="shared" si="1238"/>
        <v/>
      </c>
      <c r="C2224" s="1039" t="str">
        <f t="shared" si="1239"/>
        <v/>
      </c>
      <c r="D2224" s="1040" t="str">
        <f t="shared" si="1240"/>
        <v/>
      </c>
      <c r="E2224" s="1041" t="str">
        <f t="shared" si="1241"/>
        <v/>
      </c>
      <c r="F2224" s="1040" t="str">
        <f t="shared" si="1242"/>
        <v/>
      </c>
      <c r="G2224" s="1041" t="str">
        <f t="shared" si="1243"/>
        <v/>
      </c>
      <c r="H2224" s="1042">
        <f t="shared" si="1245"/>
        <v>0</v>
      </c>
      <c r="I2224" s="1042">
        <f t="shared" si="1246"/>
        <v>0</v>
      </c>
      <c r="J2224" s="1042">
        <f t="shared" si="1244"/>
        <v>0</v>
      </c>
    </row>
    <row r="2225" spans="1:10" x14ac:dyDescent="0.25">
      <c r="A2225" s="1039"/>
      <c r="B2225" s="1039" t="str">
        <f t="shared" si="1238"/>
        <v/>
      </c>
      <c r="C2225" s="1039" t="str">
        <f t="shared" si="1239"/>
        <v/>
      </c>
      <c r="D2225" s="1040" t="str">
        <f t="shared" si="1240"/>
        <v/>
      </c>
      <c r="E2225" s="1041" t="str">
        <f t="shared" si="1241"/>
        <v/>
      </c>
      <c r="F2225" s="1040" t="str">
        <f t="shared" si="1242"/>
        <v/>
      </c>
      <c r="G2225" s="1041" t="str">
        <f t="shared" si="1243"/>
        <v/>
      </c>
      <c r="H2225" s="1042">
        <f t="shared" si="1245"/>
        <v>0</v>
      </c>
      <c r="I2225" s="1042">
        <f t="shared" si="1246"/>
        <v>0</v>
      </c>
      <c r="J2225" s="1042">
        <f t="shared" si="1244"/>
        <v>0</v>
      </c>
    </row>
    <row r="2226" spans="1:10" x14ac:dyDescent="0.25">
      <c r="A2226" s="1039"/>
      <c r="B2226" s="1039" t="str">
        <f t="shared" si="1238"/>
        <v/>
      </c>
      <c r="C2226" s="1039" t="str">
        <f t="shared" si="1239"/>
        <v/>
      </c>
      <c r="D2226" s="1040" t="str">
        <f t="shared" si="1240"/>
        <v/>
      </c>
      <c r="E2226" s="1041" t="str">
        <f t="shared" si="1241"/>
        <v/>
      </c>
      <c r="F2226" s="1040" t="str">
        <f t="shared" si="1242"/>
        <v/>
      </c>
      <c r="G2226" s="1041" t="str">
        <f t="shared" si="1243"/>
        <v/>
      </c>
      <c r="H2226" s="1042">
        <f t="shared" si="1245"/>
        <v>0</v>
      </c>
      <c r="I2226" s="1042">
        <f t="shared" si="1246"/>
        <v>0</v>
      </c>
      <c r="J2226" s="1042">
        <f t="shared" si="1244"/>
        <v>0</v>
      </c>
    </row>
    <row r="2227" spans="1:10" x14ac:dyDescent="0.25">
      <c r="A2227" s="1039"/>
      <c r="B2227" s="1039" t="str">
        <f t="shared" si="1238"/>
        <v/>
      </c>
      <c r="C2227" s="1039" t="str">
        <f t="shared" si="1239"/>
        <v/>
      </c>
      <c r="D2227" s="1040" t="str">
        <f t="shared" si="1240"/>
        <v/>
      </c>
      <c r="E2227" s="1041" t="str">
        <f t="shared" si="1241"/>
        <v/>
      </c>
      <c r="F2227" s="1040" t="str">
        <f t="shared" si="1242"/>
        <v/>
      </c>
      <c r="G2227" s="1041" t="str">
        <f t="shared" si="1243"/>
        <v/>
      </c>
      <c r="H2227" s="1042">
        <f t="shared" si="1245"/>
        <v>0</v>
      </c>
      <c r="I2227" s="1042">
        <f t="shared" si="1246"/>
        <v>0</v>
      </c>
      <c r="J2227" s="1042">
        <f t="shared" si="1244"/>
        <v>0</v>
      </c>
    </row>
    <row r="2228" spans="1:10" x14ac:dyDescent="0.25">
      <c r="A2228" s="1039"/>
      <c r="B2228" s="1039" t="str">
        <f t="shared" si="1238"/>
        <v/>
      </c>
      <c r="C2228" s="1039" t="str">
        <f t="shared" si="1239"/>
        <v/>
      </c>
      <c r="D2228" s="1040" t="str">
        <f t="shared" si="1240"/>
        <v/>
      </c>
      <c r="E2228" s="1041" t="str">
        <f t="shared" si="1241"/>
        <v/>
      </c>
      <c r="F2228" s="1040" t="str">
        <f t="shared" si="1242"/>
        <v/>
      </c>
      <c r="G2228" s="1041" t="str">
        <f t="shared" si="1243"/>
        <v/>
      </c>
      <c r="H2228" s="1042">
        <f t="shared" si="1245"/>
        <v>0</v>
      </c>
      <c r="I2228" s="1042">
        <f t="shared" si="1246"/>
        <v>0</v>
      </c>
      <c r="J2228" s="1042">
        <f t="shared" si="1244"/>
        <v>0</v>
      </c>
    </row>
    <row r="2229" spans="1:10" x14ac:dyDescent="0.25">
      <c r="A2229" s="1039"/>
      <c r="B2229" s="1039" t="str">
        <f t="shared" si="1238"/>
        <v/>
      </c>
      <c r="C2229" s="1039" t="str">
        <f t="shared" si="1239"/>
        <v/>
      </c>
      <c r="D2229" s="1040" t="str">
        <f t="shared" si="1240"/>
        <v/>
      </c>
      <c r="E2229" s="1041" t="str">
        <f t="shared" si="1241"/>
        <v/>
      </c>
      <c r="F2229" s="1040" t="str">
        <f t="shared" si="1242"/>
        <v/>
      </c>
      <c r="G2229" s="1041" t="str">
        <f t="shared" si="1243"/>
        <v/>
      </c>
      <c r="H2229" s="1042">
        <f t="shared" si="1245"/>
        <v>0</v>
      </c>
      <c r="I2229" s="1042">
        <f t="shared" si="1246"/>
        <v>0</v>
      </c>
      <c r="J2229" s="1042">
        <f t="shared" si="1244"/>
        <v>0</v>
      </c>
    </row>
    <row r="2230" spans="1:10" x14ac:dyDescent="0.25">
      <c r="A2230" s="1039"/>
      <c r="B2230" s="1039" t="str">
        <f t="shared" si="1238"/>
        <v/>
      </c>
      <c r="C2230" s="1039" t="str">
        <f t="shared" si="1239"/>
        <v/>
      </c>
      <c r="D2230" s="1040" t="str">
        <f t="shared" si="1240"/>
        <v/>
      </c>
      <c r="E2230" s="1041" t="str">
        <f t="shared" si="1241"/>
        <v/>
      </c>
      <c r="F2230" s="1040" t="str">
        <f t="shared" si="1242"/>
        <v/>
      </c>
      <c r="G2230" s="1041" t="str">
        <f t="shared" si="1243"/>
        <v/>
      </c>
      <c r="H2230" s="1042">
        <f t="shared" si="1245"/>
        <v>0</v>
      </c>
      <c r="I2230" s="1042">
        <f t="shared" si="1246"/>
        <v>0</v>
      </c>
      <c r="J2230" s="1042">
        <f t="shared" si="1244"/>
        <v>0</v>
      </c>
    </row>
    <row r="2231" spans="1:10" x14ac:dyDescent="0.25">
      <c r="A2231" s="1039"/>
      <c r="B2231" s="1039" t="str">
        <f t="shared" si="1238"/>
        <v/>
      </c>
      <c r="C2231" s="1039" t="str">
        <f t="shared" si="1239"/>
        <v/>
      </c>
      <c r="D2231" s="1040" t="str">
        <f t="shared" si="1240"/>
        <v/>
      </c>
      <c r="E2231" s="1041" t="str">
        <f t="shared" si="1241"/>
        <v/>
      </c>
      <c r="F2231" s="1040" t="str">
        <f t="shared" si="1242"/>
        <v/>
      </c>
      <c r="G2231" s="1041" t="str">
        <f t="shared" si="1243"/>
        <v/>
      </c>
      <c r="H2231" s="1042">
        <f t="shared" si="1245"/>
        <v>0</v>
      </c>
      <c r="I2231" s="1042">
        <f t="shared" si="1246"/>
        <v>0</v>
      </c>
      <c r="J2231" s="1042">
        <f t="shared" si="1244"/>
        <v>0</v>
      </c>
    </row>
    <row r="2232" spans="1:10" x14ac:dyDescent="0.25">
      <c r="A2232" s="1039"/>
      <c r="B2232" s="1039" t="str">
        <f t="shared" si="1238"/>
        <v/>
      </c>
      <c r="C2232" s="1039" t="str">
        <f t="shared" si="1239"/>
        <v/>
      </c>
      <c r="D2232" s="1040" t="str">
        <f t="shared" si="1240"/>
        <v/>
      </c>
      <c r="E2232" s="1041" t="str">
        <f t="shared" si="1241"/>
        <v/>
      </c>
      <c r="F2232" s="1040" t="str">
        <f t="shared" si="1242"/>
        <v/>
      </c>
      <c r="G2232" s="1041" t="str">
        <f t="shared" si="1243"/>
        <v/>
      </c>
      <c r="H2232" s="1042">
        <f t="shared" si="1245"/>
        <v>0</v>
      </c>
      <c r="I2232" s="1042">
        <f t="shared" si="1246"/>
        <v>0</v>
      </c>
      <c r="J2232" s="1042">
        <f t="shared" si="1244"/>
        <v>0</v>
      </c>
    </row>
    <row r="2233" spans="1:10" x14ac:dyDescent="0.25">
      <c r="A2233" s="1039"/>
      <c r="B2233" s="1039" t="str">
        <f t="shared" si="1238"/>
        <v/>
      </c>
      <c r="C2233" s="1039" t="str">
        <f t="shared" si="1239"/>
        <v/>
      </c>
      <c r="D2233" s="1040" t="str">
        <f t="shared" si="1240"/>
        <v/>
      </c>
      <c r="E2233" s="1041" t="str">
        <f t="shared" si="1241"/>
        <v/>
      </c>
      <c r="F2233" s="1040" t="str">
        <f t="shared" si="1242"/>
        <v/>
      </c>
      <c r="G2233" s="1041" t="str">
        <f t="shared" si="1243"/>
        <v/>
      </c>
      <c r="H2233" s="1042">
        <f t="shared" si="1245"/>
        <v>0</v>
      </c>
      <c r="I2233" s="1042">
        <f t="shared" si="1246"/>
        <v>0</v>
      </c>
      <c r="J2233" s="1042">
        <f t="shared" si="1244"/>
        <v>0</v>
      </c>
    </row>
    <row r="2234" spans="1:10" x14ac:dyDescent="0.25">
      <c r="A2234" s="1039"/>
      <c r="B2234" s="1039" t="str">
        <f t="shared" si="1238"/>
        <v/>
      </c>
      <c r="C2234" s="1039" t="str">
        <f t="shared" si="1239"/>
        <v/>
      </c>
      <c r="D2234" s="1040" t="str">
        <f t="shared" si="1240"/>
        <v/>
      </c>
      <c r="E2234" s="1041" t="str">
        <f t="shared" si="1241"/>
        <v/>
      </c>
      <c r="F2234" s="1040" t="str">
        <f t="shared" si="1242"/>
        <v/>
      </c>
      <c r="G2234" s="1041" t="str">
        <f t="shared" si="1243"/>
        <v/>
      </c>
      <c r="H2234" s="1042">
        <f t="shared" si="1245"/>
        <v>0</v>
      </c>
      <c r="I2234" s="1042">
        <f t="shared" si="1246"/>
        <v>0</v>
      </c>
      <c r="J2234" s="1042">
        <f t="shared" si="1244"/>
        <v>0</v>
      </c>
    </row>
    <row r="2235" spans="1:10" x14ac:dyDescent="0.25">
      <c r="A2235" s="1039"/>
      <c r="B2235" s="1039"/>
      <c r="C2235" s="1039"/>
      <c r="D2235" s="1040"/>
      <c r="E2235" s="1041"/>
      <c r="F2235" s="1040"/>
      <c r="G2235" s="1041"/>
      <c r="H2235" s="1083"/>
      <c r="I2235" s="1083"/>
      <c r="J2235" s="1083"/>
    </row>
    <row r="2236" spans="1:10" x14ac:dyDescent="0.25">
      <c r="A2236" s="1039"/>
      <c r="B2236" s="1039"/>
      <c r="C2236" s="1039"/>
      <c r="D2236" s="1040"/>
      <c r="E2236" s="1041"/>
      <c r="F2236" s="1040"/>
      <c r="G2236" s="1041"/>
      <c r="H2236" s="1083"/>
      <c r="I2236" s="1083"/>
      <c r="J2236" s="1083"/>
    </row>
    <row r="2237" spans="1:10" x14ac:dyDescent="0.25">
      <c r="A2237" s="1039"/>
      <c r="B2237" s="1039"/>
      <c r="C2237" s="1039"/>
      <c r="D2237" s="1040"/>
      <c r="E2237" s="1041"/>
      <c r="F2237" s="1040"/>
      <c r="G2237" s="1041"/>
      <c r="H2237" s="1083"/>
      <c r="I2237" s="1083"/>
      <c r="J2237" s="1083"/>
    </row>
    <row r="2238" spans="1:10" x14ac:dyDescent="0.25">
      <c r="A2238" s="1039"/>
      <c r="B2238" s="1039"/>
      <c r="C2238" s="1039"/>
      <c r="D2238" s="1040"/>
      <c r="E2238" s="1041"/>
      <c r="F2238" s="1040"/>
      <c r="G2238" s="1041"/>
      <c r="H2238" s="1083"/>
      <c r="I2238" s="1083"/>
      <c r="J2238" s="1083"/>
    </row>
    <row r="2239" spans="1:10" x14ac:dyDescent="0.25">
      <c r="A2239" s="1039"/>
      <c r="B2239" s="1039"/>
      <c r="C2239" s="1039"/>
      <c r="D2239" s="1040"/>
      <c r="E2239" s="1041"/>
      <c r="F2239" s="1040"/>
      <c r="G2239" s="1041"/>
      <c r="H2239" s="1083"/>
      <c r="I2239" s="1083"/>
      <c r="J2239" s="1083"/>
    </row>
    <row r="2240" spans="1:10" x14ac:dyDescent="0.25">
      <c r="A2240" s="1039"/>
      <c r="B2240" s="1039"/>
      <c r="C2240" s="1039"/>
      <c r="D2240" s="1040"/>
      <c r="E2240" s="1041"/>
      <c r="F2240" s="1040"/>
      <c r="G2240" s="1041"/>
      <c r="H2240" s="1083"/>
      <c r="I2240" s="1083"/>
      <c r="J2240" s="1083"/>
    </row>
    <row r="2241" spans="1:10" x14ac:dyDescent="0.25">
      <c r="A2241" s="1039"/>
      <c r="B2241" s="1039"/>
      <c r="C2241" s="1039"/>
      <c r="D2241" s="1040"/>
      <c r="E2241" s="1041"/>
      <c r="F2241" s="1040"/>
      <c r="G2241" s="1041"/>
      <c r="H2241" s="1083"/>
      <c r="I2241" s="1083"/>
      <c r="J2241" s="1083"/>
    </row>
    <row r="2242" spans="1:10" x14ac:dyDescent="0.25">
      <c r="A2242" s="1039"/>
      <c r="B2242" s="1039"/>
      <c r="C2242" s="1039"/>
      <c r="D2242" s="1040"/>
      <c r="E2242" s="1041"/>
      <c r="F2242" s="1040"/>
      <c r="G2242" s="1041"/>
      <c r="H2242" s="1083"/>
      <c r="I2242" s="1083"/>
      <c r="J2242" s="1083"/>
    </row>
    <row r="2243" spans="1:10" x14ac:dyDescent="0.25">
      <c r="A2243" s="1039"/>
      <c r="B2243" s="1039"/>
      <c r="C2243" s="1039"/>
      <c r="D2243" s="1040"/>
      <c r="E2243" s="1041"/>
      <c r="F2243" s="1040"/>
      <c r="G2243" s="1041"/>
      <c r="H2243" s="1083"/>
      <c r="I2243" s="1083"/>
      <c r="J2243" s="1083"/>
    </row>
    <row r="2244" spans="1:10" x14ac:dyDescent="0.25">
      <c r="A2244" s="1039"/>
      <c r="B2244" s="1039"/>
      <c r="C2244" s="1039"/>
      <c r="D2244" s="1040"/>
      <c r="E2244" s="1041"/>
      <c r="F2244" s="1040"/>
      <c r="G2244" s="1041"/>
      <c r="H2244" s="1083"/>
      <c r="I2244" s="1083"/>
      <c r="J2244" s="1083"/>
    </row>
    <row r="2245" spans="1:10" x14ac:dyDescent="0.25">
      <c r="A2245" s="1039"/>
      <c r="B2245" s="1039"/>
      <c r="C2245" s="1039"/>
      <c r="D2245" s="1040"/>
      <c r="E2245" s="1041"/>
      <c r="F2245" s="1040"/>
      <c r="G2245" s="1041"/>
      <c r="H2245" s="1083"/>
      <c r="I2245" s="1083"/>
      <c r="J2245" s="1083"/>
    </row>
    <row r="2246" spans="1:10" x14ac:dyDescent="0.25">
      <c r="A2246" s="1039"/>
      <c r="B2246" s="1039"/>
      <c r="C2246" s="1039"/>
      <c r="D2246" s="1040"/>
      <c r="E2246" s="1041"/>
      <c r="F2246" s="1040"/>
      <c r="G2246" s="1041"/>
      <c r="H2246" s="1083"/>
      <c r="I2246" s="1083"/>
      <c r="J2246" s="1083"/>
    </row>
    <row r="2247" spans="1:10" x14ac:dyDescent="0.25">
      <c r="A2247" s="1039"/>
      <c r="B2247" s="1039"/>
      <c r="C2247" s="1039"/>
      <c r="D2247" s="1040"/>
      <c r="E2247" s="1041"/>
      <c r="F2247" s="1040"/>
      <c r="G2247" s="1041"/>
      <c r="H2247" s="1083"/>
      <c r="I2247" s="1083"/>
      <c r="J2247" s="1083"/>
    </row>
    <row r="2248" spans="1:10" x14ac:dyDescent="0.25">
      <c r="A2248" s="1039"/>
      <c r="B2248" s="1039"/>
      <c r="C2248" s="1039"/>
      <c r="D2248" s="1040"/>
      <c r="E2248" s="1041"/>
      <c r="F2248" s="1040"/>
      <c r="G2248" s="1041"/>
      <c r="H2248" s="1083"/>
      <c r="I2248" s="1083"/>
      <c r="J2248" s="1083"/>
    </row>
    <row r="2249" spans="1:10" x14ac:dyDescent="0.25">
      <c r="A2249" s="1039"/>
      <c r="B2249" s="1039"/>
      <c r="C2249" s="1039"/>
      <c r="D2249" s="1040"/>
      <c r="E2249" s="1041"/>
      <c r="F2249" s="1040"/>
      <c r="G2249" s="1041"/>
      <c r="H2249" s="1083"/>
      <c r="I2249" s="1083"/>
      <c r="J2249" s="1083"/>
    </row>
    <row r="2250" spans="1:10" x14ac:dyDescent="0.25">
      <c r="A2250" s="1039"/>
      <c r="B2250" s="1039"/>
      <c r="C2250" s="1039"/>
      <c r="D2250" s="1040"/>
      <c r="E2250" s="1041"/>
      <c r="F2250" s="1040"/>
      <c r="G2250" s="1041"/>
      <c r="H2250" s="1083"/>
      <c r="I2250" s="1083"/>
      <c r="J2250" s="1083"/>
    </row>
    <row r="2251" spans="1:10" x14ac:dyDescent="0.25">
      <c r="A2251" s="1039"/>
      <c r="B2251" s="1039"/>
      <c r="C2251" s="1039"/>
      <c r="D2251" s="1040"/>
      <c r="E2251" s="1041"/>
      <c r="F2251" s="1040"/>
      <c r="G2251" s="1041"/>
      <c r="H2251" s="1083"/>
      <c r="I2251" s="1083"/>
      <c r="J2251" s="1083"/>
    </row>
    <row r="2252" spans="1:10" x14ac:dyDescent="0.25">
      <c r="A2252" s="1039"/>
      <c r="B2252" s="1039"/>
      <c r="C2252" s="1039"/>
      <c r="D2252" s="1040"/>
      <c r="E2252" s="1041"/>
      <c r="F2252" s="1040"/>
      <c r="G2252" s="1041"/>
      <c r="H2252" s="1083"/>
      <c r="I2252" s="1083"/>
      <c r="J2252" s="1083"/>
    </row>
    <row r="2253" spans="1:10" x14ac:dyDescent="0.25">
      <c r="A2253" s="1039"/>
      <c r="B2253" s="1039"/>
      <c r="C2253" s="1039"/>
      <c r="D2253" s="1040"/>
      <c r="E2253" s="1041"/>
      <c r="F2253" s="1040"/>
      <c r="G2253" s="1041"/>
      <c r="H2253" s="1083"/>
      <c r="I2253" s="1083"/>
      <c r="J2253" s="1083"/>
    </row>
    <row r="2254" spans="1:10" x14ac:dyDescent="0.25">
      <c r="A2254" s="1039"/>
      <c r="B2254" s="1039"/>
      <c r="C2254" s="1039"/>
      <c r="D2254" s="1040"/>
      <c r="E2254" s="1041"/>
      <c r="F2254" s="1040"/>
      <c r="G2254" s="1041"/>
      <c r="H2254" s="1083"/>
      <c r="I2254" s="1083"/>
      <c r="J2254" s="1083"/>
    </row>
    <row r="2255" spans="1:10" x14ac:dyDescent="0.25">
      <c r="A2255" s="1039"/>
      <c r="B2255" s="1039"/>
      <c r="C2255" s="1039"/>
      <c r="D2255" s="1040"/>
      <c r="E2255" s="1041"/>
      <c r="F2255" s="1040"/>
      <c r="G2255" s="1041"/>
      <c r="H2255" s="1083"/>
      <c r="I2255" s="1083"/>
      <c r="J2255" s="1083"/>
    </row>
    <row r="2256" spans="1:10" x14ac:dyDescent="0.25">
      <c r="A2256" s="1039"/>
      <c r="B2256" s="1039"/>
      <c r="C2256" s="1039"/>
      <c r="D2256" s="1040"/>
      <c r="E2256" s="1041"/>
      <c r="F2256" s="1040"/>
      <c r="G2256" s="1041"/>
      <c r="H2256" s="1083"/>
      <c r="I2256" s="1083"/>
      <c r="J2256" s="1083"/>
    </row>
    <row r="2257" spans="1:10" x14ac:dyDescent="0.25">
      <c r="A2257" s="1039"/>
      <c r="B2257" s="1039"/>
      <c r="C2257" s="1039"/>
      <c r="D2257" s="1040"/>
      <c r="E2257" s="1041"/>
      <c r="F2257" s="1040"/>
      <c r="G2257" s="1041"/>
      <c r="H2257" s="1083"/>
      <c r="I2257" s="1083"/>
      <c r="J2257" s="1083"/>
    </row>
    <row r="2258" spans="1:10" x14ac:dyDescent="0.25">
      <c r="A2258" s="1039"/>
      <c r="B2258" s="1039"/>
      <c r="C2258" s="1039"/>
      <c r="D2258" s="1040"/>
      <c r="E2258" s="1041"/>
      <c r="F2258" s="1040"/>
      <c r="G2258" s="1041"/>
      <c r="H2258" s="1083"/>
      <c r="I2258" s="1083"/>
      <c r="J2258" s="1083"/>
    </row>
    <row r="2259" spans="1:10" x14ac:dyDescent="0.25">
      <c r="A2259" s="1039"/>
      <c r="B2259" s="1039"/>
      <c r="C2259" s="1039"/>
      <c r="D2259" s="1040"/>
      <c r="E2259" s="1041"/>
      <c r="F2259" s="1040"/>
      <c r="G2259" s="1041"/>
      <c r="H2259" s="1083"/>
      <c r="I2259" s="1083"/>
      <c r="J2259" s="1083"/>
    </row>
    <row r="2260" spans="1:10" x14ac:dyDescent="0.25">
      <c r="A2260" s="1039"/>
      <c r="B2260" s="1039"/>
      <c r="C2260" s="1039"/>
      <c r="D2260" s="1040"/>
      <c r="E2260" s="1041"/>
      <c r="F2260" s="1040"/>
      <c r="G2260" s="1041"/>
      <c r="H2260" s="1083"/>
      <c r="I2260" s="1083"/>
      <c r="J2260" s="1083"/>
    </row>
    <row r="2261" spans="1:10" x14ac:dyDescent="0.25">
      <c r="A2261" s="1039"/>
      <c r="B2261" s="1039"/>
      <c r="C2261" s="1039"/>
      <c r="D2261" s="1040"/>
      <c r="E2261" s="1041"/>
      <c r="F2261" s="1040"/>
      <c r="G2261" s="1041"/>
      <c r="H2261" s="1083"/>
      <c r="I2261" s="1083"/>
      <c r="J2261" s="1083"/>
    </row>
    <row r="2262" spans="1:10" x14ac:dyDescent="0.25">
      <c r="A2262" s="1039"/>
      <c r="B2262" s="1039"/>
      <c r="C2262" s="1039"/>
      <c r="D2262" s="1040"/>
      <c r="E2262" s="1041"/>
      <c r="F2262" s="1040"/>
      <c r="G2262" s="1041"/>
      <c r="H2262" s="1083"/>
      <c r="I2262" s="1083"/>
      <c r="J2262" s="1083"/>
    </row>
    <row r="2263" spans="1:10" x14ac:dyDescent="0.25">
      <c r="A2263" s="1039"/>
      <c r="B2263" s="1039"/>
      <c r="C2263" s="1039"/>
      <c r="D2263" s="1040"/>
      <c r="E2263" s="1041"/>
      <c r="F2263" s="1040"/>
      <c r="G2263" s="1041"/>
      <c r="H2263" s="1083"/>
      <c r="I2263" s="1083"/>
      <c r="J2263" s="1083"/>
    </row>
    <row r="2264" spans="1:10" x14ac:dyDescent="0.25">
      <c r="A2264" s="1039"/>
      <c r="B2264" s="1039"/>
      <c r="C2264" s="1039"/>
      <c r="D2264" s="1040"/>
      <c r="E2264" s="1041"/>
      <c r="F2264" s="1040"/>
      <c r="G2264" s="1041"/>
      <c r="H2264" s="1083"/>
      <c r="I2264" s="1083"/>
      <c r="J2264" s="1083"/>
    </row>
    <row r="2265" spans="1:10" x14ac:dyDescent="0.25">
      <c r="A2265" s="1039"/>
      <c r="B2265" s="1039"/>
      <c r="C2265" s="1039"/>
      <c r="D2265" s="1040"/>
      <c r="E2265" s="1041"/>
      <c r="F2265" s="1040"/>
      <c r="G2265" s="1041"/>
      <c r="H2265" s="1083"/>
      <c r="I2265" s="1083"/>
      <c r="J2265" s="1083"/>
    </row>
    <row r="2266" spans="1:10" x14ac:dyDescent="0.25">
      <c r="A2266" s="1039"/>
      <c r="B2266" s="1039"/>
      <c r="C2266" s="1039"/>
      <c r="D2266" s="1040"/>
      <c r="E2266" s="1041"/>
      <c r="F2266" s="1040"/>
      <c r="G2266" s="1041"/>
      <c r="H2266" s="1083"/>
      <c r="I2266" s="1083"/>
      <c r="J2266" s="1083"/>
    </row>
    <row r="2267" spans="1:10" x14ac:dyDescent="0.25">
      <c r="A2267" s="1039"/>
      <c r="B2267" s="1039"/>
      <c r="C2267" s="1039"/>
      <c r="D2267" s="1040"/>
      <c r="E2267" s="1041"/>
      <c r="F2267" s="1040"/>
      <c r="G2267" s="1041"/>
      <c r="H2267" s="1083"/>
      <c r="I2267" s="1083"/>
      <c r="J2267" s="1083"/>
    </row>
    <row r="2268" spans="1:10" x14ac:dyDescent="0.25">
      <c r="A2268" s="1039"/>
      <c r="B2268" s="1039"/>
      <c r="C2268" s="1039"/>
      <c r="D2268" s="1040"/>
      <c r="E2268" s="1041"/>
      <c r="F2268" s="1040"/>
      <c r="G2268" s="1041"/>
      <c r="H2268" s="1083"/>
      <c r="I2268" s="1083"/>
      <c r="J2268" s="1083"/>
    </row>
    <row r="2269" spans="1:10" x14ac:dyDescent="0.25">
      <c r="A2269" s="1039"/>
      <c r="B2269" s="1039"/>
      <c r="C2269" s="1039"/>
      <c r="D2269" s="1040"/>
      <c r="E2269" s="1041"/>
      <c r="F2269" s="1040"/>
      <c r="G2269" s="1041"/>
      <c r="H2269" s="1083"/>
      <c r="I2269" s="1083"/>
      <c r="J2269" s="1083"/>
    </row>
    <row r="2270" spans="1:10" x14ac:dyDescent="0.25">
      <c r="A2270" s="1039"/>
      <c r="B2270" s="1039"/>
      <c r="C2270" s="1039"/>
      <c r="D2270" s="1040"/>
      <c r="E2270" s="1041"/>
      <c r="F2270" s="1040"/>
      <c r="G2270" s="1041"/>
      <c r="H2270" s="1083"/>
      <c r="I2270" s="1083"/>
      <c r="J2270" s="1083"/>
    </row>
    <row r="2271" spans="1:10" x14ac:dyDescent="0.25">
      <c r="A2271" s="1039"/>
      <c r="B2271" s="1039"/>
      <c r="C2271" s="1039"/>
      <c r="D2271" s="1040"/>
      <c r="E2271" s="1041"/>
      <c r="F2271" s="1040"/>
      <c r="G2271" s="1041"/>
      <c r="H2271" s="1083"/>
      <c r="I2271" s="1083"/>
      <c r="J2271" s="1083"/>
    </row>
    <row r="2272" spans="1:10" x14ac:dyDescent="0.25">
      <c r="A2272" s="1039"/>
      <c r="B2272" s="1039"/>
      <c r="C2272" s="1039"/>
      <c r="D2272" s="1040"/>
      <c r="E2272" s="1041"/>
      <c r="F2272" s="1040"/>
      <c r="G2272" s="1041"/>
      <c r="H2272" s="1083"/>
      <c r="I2272" s="1083"/>
      <c r="J2272" s="1083"/>
    </row>
    <row r="2273" spans="1:10" x14ac:dyDescent="0.25">
      <c r="A2273" s="1039"/>
      <c r="B2273" s="1039"/>
      <c r="C2273" s="1039"/>
      <c r="D2273" s="1040"/>
      <c r="E2273" s="1041"/>
      <c r="F2273" s="1040"/>
      <c r="G2273" s="1041"/>
      <c r="H2273" s="1083"/>
      <c r="I2273" s="1083"/>
      <c r="J2273" s="1083"/>
    </row>
    <row r="2274" spans="1:10" x14ac:dyDescent="0.25">
      <c r="A2274" s="1039"/>
      <c r="B2274" s="1039"/>
      <c r="C2274" s="1039"/>
      <c r="D2274" s="1040"/>
      <c r="E2274" s="1041"/>
      <c r="F2274" s="1040"/>
      <c r="G2274" s="1041"/>
      <c r="H2274" s="1083"/>
      <c r="I2274" s="1083"/>
      <c r="J2274" s="1083"/>
    </row>
    <row r="2275" spans="1:10" x14ac:dyDescent="0.25">
      <c r="A2275" s="1039"/>
      <c r="B2275" s="1039"/>
      <c r="C2275" s="1039"/>
      <c r="D2275" s="1040"/>
      <c r="E2275" s="1041"/>
      <c r="F2275" s="1040"/>
      <c r="G2275" s="1041"/>
      <c r="H2275" s="1083"/>
      <c r="I2275" s="1083"/>
      <c r="J2275" s="1083"/>
    </row>
    <row r="2276" spans="1:10" x14ac:dyDescent="0.25">
      <c r="A2276" s="1039"/>
      <c r="B2276" s="1039"/>
      <c r="C2276" s="1039"/>
      <c r="D2276" s="1040"/>
      <c r="E2276" s="1041"/>
      <c r="F2276" s="1040"/>
      <c r="G2276" s="1041"/>
      <c r="H2276" s="1083"/>
      <c r="I2276" s="1083"/>
      <c r="J2276" s="1083"/>
    </row>
    <row r="2277" spans="1:10" x14ac:dyDescent="0.25">
      <c r="A2277" s="1039"/>
      <c r="B2277" s="1039"/>
      <c r="C2277" s="1039"/>
      <c r="D2277" s="1040"/>
      <c r="E2277" s="1041"/>
      <c r="F2277" s="1040"/>
      <c r="G2277" s="1041"/>
      <c r="H2277" s="1083"/>
      <c r="I2277" s="1083"/>
      <c r="J2277" s="1083"/>
    </row>
    <row r="2278" spans="1:10" x14ac:dyDescent="0.25">
      <c r="A2278" s="1039"/>
      <c r="B2278" s="1039"/>
      <c r="C2278" s="1039"/>
      <c r="D2278" s="1040"/>
      <c r="E2278" s="1041"/>
      <c r="F2278" s="1040"/>
      <c r="G2278" s="1041"/>
      <c r="H2278" s="1083"/>
      <c r="I2278" s="1083"/>
      <c r="J2278" s="1083"/>
    </row>
    <row r="2279" spans="1:10" x14ac:dyDescent="0.25">
      <c r="A2279" s="1039"/>
      <c r="B2279" s="1039"/>
      <c r="C2279" s="1039"/>
      <c r="D2279" s="1040"/>
      <c r="E2279" s="1041"/>
      <c r="F2279" s="1040"/>
      <c r="G2279" s="1041"/>
      <c r="H2279" s="1083"/>
      <c r="I2279" s="1083"/>
      <c r="J2279" s="1083"/>
    </row>
    <row r="2280" spans="1:10" x14ac:dyDescent="0.25">
      <c r="A2280" s="1039"/>
      <c r="B2280" s="1039"/>
      <c r="C2280" s="1039"/>
      <c r="D2280" s="1040"/>
      <c r="E2280" s="1041"/>
      <c r="F2280" s="1040"/>
      <c r="G2280" s="1041"/>
      <c r="H2280" s="1083"/>
      <c r="I2280" s="1083"/>
      <c r="J2280" s="1083"/>
    </row>
    <row r="2281" spans="1:10" x14ac:dyDescent="0.25">
      <c r="A2281" s="1039"/>
      <c r="B2281" s="1039"/>
      <c r="C2281" s="1039"/>
      <c r="D2281" s="1040"/>
      <c r="E2281" s="1041"/>
      <c r="F2281" s="1040"/>
      <c r="G2281" s="1041"/>
      <c r="H2281" s="1083"/>
      <c r="I2281" s="1083"/>
      <c r="J2281" s="1083"/>
    </row>
    <row r="2282" spans="1:10" x14ac:dyDescent="0.25">
      <c r="A2282" s="1039"/>
      <c r="B2282" s="1039"/>
      <c r="C2282" s="1039"/>
      <c r="D2282" s="1040"/>
      <c r="E2282" s="1041"/>
      <c r="F2282" s="1040"/>
      <c r="G2282" s="1041"/>
      <c r="H2282" s="1083"/>
      <c r="I2282" s="1083"/>
      <c r="J2282" s="1083"/>
    </row>
    <row r="2283" spans="1:10" x14ac:dyDescent="0.25">
      <c r="A2283" s="1039"/>
      <c r="B2283" s="1039"/>
      <c r="C2283" s="1039"/>
      <c r="D2283" s="1040"/>
      <c r="E2283" s="1041"/>
      <c r="F2283" s="1040"/>
      <c r="G2283" s="1041"/>
      <c r="H2283" s="1083"/>
      <c r="I2283" s="1083"/>
      <c r="J2283" s="1083"/>
    </row>
    <row r="2284" spans="1:10" x14ac:dyDescent="0.25">
      <c r="A2284" s="1039"/>
      <c r="B2284" s="1039"/>
      <c r="C2284" s="1039"/>
      <c r="D2284" s="1040"/>
      <c r="E2284" s="1041"/>
      <c r="F2284" s="1040"/>
      <c r="G2284" s="1041"/>
      <c r="H2284" s="1083"/>
      <c r="I2284" s="1083"/>
      <c r="J2284" s="1083"/>
    </row>
    <row r="2285" spans="1:10" x14ac:dyDescent="0.25">
      <c r="A2285" s="1039"/>
      <c r="B2285" s="1039"/>
      <c r="C2285" s="1039"/>
      <c r="D2285" s="1040"/>
      <c r="E2285" s="1041"/>
      <c r="F2285" s="1040"/>
      <c r="G2285" s="1041"/>
      <c r="H2285" s="1083"/>
      <c r="I2285" s="1083"/>
      <c r="J2285" s="1083"/>
    </row>
    <row r="2286" spans="1:10" x14ac:dyDescent="0.25">
      <c r="A2286" s="1039"/>
      <c r="B2286" s="1039"/>
      <c r="C2286" s="1039"/>
      <c r="D2286" s="1040"/>
      <c r="E2286" s="1041"/>
      <c r="F2286" s="1040"/>
      <c r="G2286" s="1041"/>
      <c r="H2286" s="1083"/>
      <c r="I2286" s="1083"/>
      <c r="J2286" s="1083"/>
    </row>
    <row r="2287" spans="1:10" x14ac:dyDescent="0.25">
      <c r="A2287" s="1039"/>
      <c r="B2287" s="1039"/>
      <c r="C2287" s="1039"/>
      <c r="D2287" s="1040"/>
      <c r="E2287" s="1041"/>
      <c r="F2287" s="1040"/>
      <c r="G2287" s="1041"/>
      <c r="H2287" s="1083"/>
      <c r="I2287" s="1083"/>
      <c r="J2287" s="1083"/>
    </row>
    <row r="2288" spans="1:10" x14ac:dyDescent="0.25">
      <c r="A2288" s="1039"/>
      <c r="B2288" s="1039"/>
      <c r="C2288" s="1039"/>
      <c r="D2288" s="1040"/>
      <c r="E2288" s="1041"/>
      <c r="F2288" s="1040"/>
      <c r="G2288" s="1041"/>
      <c r="H2288" s="1083"/>
      <c r="I2288" s="1083"/>
      <c r="J2288" s="1083"/>
    </row>
    <row r="2289" spans="1:10" x14ac:dyDescent="0.25">
      <c r="A2289" s="1039"/>
      <c r="B2289" s="1039"/>
      <c r="C2289" s="1039"/>
      <c r="D2289" s="1040"/>
      <c r="E2289" s="1041"/>
      <c r="F2289" s="1040"/>
      <c r="G2289" s="1041"/>
      <c r="H2289" s="1083"/>
      <c r="I2289" s="1083"/>
      <c r="J2289" s="1083"/>
    </row>
    <row r="2290" spans="1:10" x14ac:dyDescent="0.25">
      <c r="A2290" s="1039"/>
      <c r="B2290" s="1039"/>
      <c r="C2290" s="1039"/>
      <c r="D2290" s="1040"/>
      <c r="E2290" s="1041"/>
      <c r="F2290" s="1040"/>
      <c r="G2290" s="1041"/>
      <c r="H2290" s="1083"/>
      <c r="I2290" s="1083"/>
      <c r="J2290" s="1083"/>
    </row>
    <row r="2291" spans="1:10" x14ac:dyDescent="0.25">
      <c r="A2291" s="1039"/>
      <c r="B2291" s="1039"/>
      <c r="C2291" s="1039"/>
      <c r="D2291" s="1040"/>
      <c r="E2291" s="1041"/>
      <c r="F2291" s="1040"/>
      <c r="G2291" s="1041"/>
      <c r="H2291" s="1083"/>
      <c r="I2291" s="1083"/>
      <c r="J2291" s="1083"/>
    </row>
    <row r="2292" spans="1:10" x14ac:dyDescent="0.25">
      <c r="A2292" s="1039"/>
      <c r="B2292" s="1039"/>
      <c r="C2292" s="1039"/>
      <c r="D2292" s="1040"/>
      <c r="E2292" s="1041"/>
      <c r="F2292" s="1040"/>
      <c r="G2292" s="1041"/>
      <c r="H2292" s="1083"/>
      <c r="I2292" s="1083"/>
      <c r="J2292" s="1083"/>
    </row>
    <row r="2293" spans="1:10" x14ac:dyDescent="0.25">
      <c r="A2293" s="1039"/>
      <c r="B2293" s="1039"/>
      <c r="C2293" s="1039"/>
      <c r="D2293" s="1040"/>
      <c r="E2293" s="1041"/>
      <c r="F2293" s="1040"/>
      <c r="G2293" s="1041"/>
      <c r="H2293" s="1083"/>
      <c r="I2293" s="1083"/>
      <c r="J2293" s="1083"/>
    </row>
    <row r="2294" spans="1:10" x14ac:dyDescent="0.25">
      <c r="A2294" s="1039"/>
      <c r="B2294" s="1039"/>
      <c r="C2294" s="1039"/>
      <c r="D2294" s="1040"/>
      <c r="E2294" s="1041"/>
      <c r="F2294" s="1040"/>
      <c r="G2294" s="1041"/>
      <c r="H2294" s="1083"/>
      <c r="I2294" s="1083"/>
      <c r="J2294" s="1083"/>
    </row>
    <row r="2295" spans="1:10" x14ac:dyDescent="0.25">
      <c r="A2295" s="1039"/>
      <c r="B2295" s="1039"/>
      <c r="C2295" s="1039"/>
      <c r="D2295" s="1040"/>
      <c r="E2295" s="1041"/>
      <c r="F2295" s="1040"/>
      <c r="G2295" s="1041"/>
      <c r="H2295" s="1083"/>
      <c r="I2295" s="1083"/>
      <c r="J2295" s="1083"/>
    </row>
    <row r="2296" spans="1:10" x14ac:dyDescent="0.25">
      <c r="A2296" s="1039"/>
      <c r="B2296" s="1039"/>
      <c r="C2296" s="1039"/>
      <c r="D2296" s="1040"/>
      <c r="E2296" s="1041"/>
      <c r="F2296" s="1040"/>
      <c r="G2296" s="1041"/>
      <c r="H2296" s="1083"/>
      <c r="I2296" s="1083"/>
      <c r="J2296" s="1083"/>
    </row>
    <row r="2297" spans="1:10" x14ac:dyDescent="0.25">
      <c r="A2297" s="1039"/>
      <c r="B2297" s="1039"/>
      <c r="C2297" s="1039"/>
      <c r="D2297" s="1040"/>
      <c r="E2297" s="1041"/>
      <c r="F2297" s="1040"/>
      <c r="G2297" s="1041"/>
      <c r="H2297" s="1083"/>
      <c r="I2297" s="1083"/>
      <c r="J2297" s="1083"/>
    </row>
    <row r="2298" spans="1:10" x14ac:dyDescent="0.25">
      <c r="A2298" s="1039"/>
      <c r="B2298" s="1039"/>
      <c r="C2298" s="1039"/>
      <c r="D2298" s="1040"/>
      <c r="E2298" s="1041"/>
      <c r="F2298" s="1040"/>
      <c r="G2298" s="1041"/>
      <c r="H2298" s="1083"/>
      <c r="I2298" s="1083"/>
      <c r="J2298" s="1083"/>
    </row>
    <row r="2299" spans="1:10" x14ac:dyDescent="0.25">
      <c r="A2299" s="1039"/>
      <c r="B2299" s="1039"/>
      <c r="C2299" s="1039"/>
      <c r="D2299" s="1040"/>
      <c r="E2299" s="1041"/>
      <c r="F2299" s="1040"/>
      <c r="G2299" s="1041"/>
      <c r="H2299" s="1083"/>
      <c r="I2299" s="1083"/>
      <c r="J2299" s="1083"/>
    </row>
    <row r="2300" spans="1:10" x14ac:dyDescent="0.25">
      <c r="A2300" s="1039"/>
      <c r="B2300" s="1039"/>
      <c r="C2300" s="1039"/>
      <c r="D2300" s="1040"/>
      <c r="E2300" s="1041"/>
      <c r="F2300" s="1040"/>
      <c r="G2300" s="1041"/>
      <c r="H2300" s="1083"/>
      <c r="I2300" s="1083"/>
      <c r="J2300" s="1083"/>
    </row>
    <row r="2301" spans="1:10" x14ac:dyDescent="0.25">
      <c r="A2301" s="1039"/>
      <c r="B2301" s="1039"/>
      <c r="C2301" s="1039"/>
      <c r="D2301" s="1040"/>
      <c r="E2301" s="1041"/>
      <c r="F2301" s="1040"/>
      <c r="G2301" s="1041"/>
      <c r="H2301" s="1083"/>
      <c r="I2301" s="1083"/>
      <c r="J2301" s="1083"/>
    </row>
    <row r="2302" spans="1:10" x14ac:dyDescent="0.25">
      <c r="A2302" s="1039"/>
      <c r="B2302" s="1039"/>
      <c r="C2302" s="1039"/>
      <c r="D2302" s="1040"/>
      <c r="E2302" s="1041"/>
      <c r="F2302" s="1040"/>
      <c r="G2302" s="1041"/>
      <c r="H2302" s="1083"/>
      <c r="I2302" s="1083"/>
      <c r="J2302" s="1083"/>
    </row>
    <row r="2303" spans="1:10" x14ac:dyDescent="0.25">
      <c r="A2303" s="1039"/>
      <c r="B2303" s="1039"/>
      <c r="C2303" s="1039"/>
      <c r="D2303" s="1040"/>
      <c r="E2303" s="1041"/>
      <c r="F2303" s="1040"/>
      <c r="G2303" s="1041"/>
      <c r="H2303" s="1083"/>
      <c r="I2303" s="1083"/>
      <c r="J2303" s="1083"/>
    </row>
    <row r="2304" spans="1:10" x14ac:dyDescent="0.25">
      <c r="A2304" s="1039"/>
      <c r="B2304" s="1039"/>
      <c r="C2304" s="1039"/>
      <c r="D2304" s="1040"/>
      <c r="E2304" s="1041"/>
      <c r="F2304" s="1040"/>
      <c r="G2304" s="1041"/>
      <c r="H2304" s="1083"/>
      <c r="I2304" s="1083"/>
      <c r="J2304" s="1083"/>
    </row>
    <row r="2305" spans="1:10" x14ac:dyDescent="0.25">
      <c r="A2305" s="1039"/>
      <c r="B2305" s="1039"/>
      <c r="C2305" s="1039"/>
      <c r="D2305" s="1040"/>
      <c r="E2305" s="1041"/>
      <c r="F2305" s="1040"/>
      <c r="G2305" s="1041"/>
      <c r="H2305" s="1083"/>
      <c r="I2305" s="1083"/>
      <c r="J2305" s="1083"/>
    </row>
    <row r="2306" spans="1:10" x14ac:dyDescent="0.25">
      <c r="A2306" s="1039"/>
      <c r="B2306" s="1039"/>
      <c r="C2306" s="1039"/>
      <c r="D2306" s="1040"/>
      <c r="E2306" s="1041"/>
      <c r="F2306" s="1040"/>
      <c r="G2306" s="1041"/>
      <c r="H2306" s="1083"/>
      <c r="I2306" s="1083"/>
      <c r="J2306" s="1083"/>
    </row>
    <row r="2307" spans="1:10" x14ac:dyDescent="0.25">
      <c r="A2307" s="1039"/>
      <c r="B2307" s="1039"/>
      <c r="C2307" s="1039"/>
      <c r="D2307" s="1040"/>
      <c r="E2307" s="1041"/>
      <c r="F2307" s="1040"/>
      <c r="G2307" s="1041"/>
      <c r="H2307" s="1083"/>
      <c r="I2307" s="1083"/>
      <c r="J2307" s="1083"/>
    </row>
    <row r="2308" spans="1:10" x14ac:dyDescent="0.25">
      <c r="A2308" s="1039"/>
      <c r="B2308" s="1039"/>
      <c r="C2308" s="1039"/>
      <c r="D2308" s="1040"/>
      <c r="E2308" s="1041"/>
      <c r="F2308" s="1040"/>
      <c r="G2308" s="1041"/>
      <c r="H2308" s="1083"/>
      <c r="I2308" s="1083"/>
      <c r="J2308" s="1083"/>
    </row>
    <row r="2309" spans="1:10" x14ac:dyDescent="0.25">
      <c r="A2309" s="1039"/>
      <c r="B2309" s="1039"/>
      <c r="C2309" s="1039"/>
      <c r="D2309" s="1040"/>
      <c r="E2309" s="1041"/>
      <c r="F2309" s="1040"/>
      <c r="G2309" s="1041"/>
      <c r="H2309" s="1083"/>
      <c r="I2309" s="1083"/>
      <c r="J2309" s="1083"/>
    </row>
    <row r="2310" spans="1:10" x14ac:dyDescent="0.25">
      <c r="A2310" s="1039"/>
      <c r="B2310" s="1039"/>
      <c r="C2310" s="1039"/>
      <c r="D2310" s="1040"/>
      <c r="E2310" s="1041"/>
      <c r="F2310" s="1040"/>
      <c r="G2310" s="1041"/>
      <c r="H2310" s="1083"/>
      <c r="I2310" s="1083"/>
      <c r="J2310" s="1083"/>
    </row>
    <row r="2311" spans="1:10" x14ac:dyDescent="0.25">
      <c r="A2311" s="1039"/>
      <c r="B2311" s="1039"/>
      <c r="C2311" s="1039"/>
      <c r="D2311" s="1040"/>
      <c r="E2311" s="1041"/>
      <c r="F2311" s="1040"/>
      <c r="G2311" s="1041"/>
      <c r="H2311" s="1083"/>
      <c r="I2311" s="1083"/>
      <c r="J2311" s="1083"/>
    </row>
    <row r="2312" spans="1:10" x14ac:dyDescent="0.25">
      <c r="A2312" s="1039"/>
      <c r="B2312" s="1039"/>
      <c r="C2312" s="1039"/>
      <c r="D2312" s="1040"/>
      <c r="E2312" s="1041"/>
      <c r="F2312" s="1040"/>
      <c r="G2312" s="1041"/>
      <c r="H2312" s="1083"/>
      <c r="I2312" s="1083"/>
      <c r="J2312" s="1083"/>
    </row>
    <row r="2313" spans="1:10" x14ac:dyDescent="0.25">
      <c r="A2313" s="1039"/>
      <c r="B2313" s="1039"/>
      <c r="C2313" s="1039"/>
      <c r="D2313" s="1040"/>
      <c r="E2313" s="1041"/>
      <c r="F2313" s="1040"/>
      <c r="G2313" s="1041"/>
      <c r="H2313" s="1083"/>
      <c r="I2313" s="1083"/>
      <c r="J2313" s="1083"/>
    </row>
    <row r="2314" spans="1:10" x14ac:dyDescent="0.25">
      <c r="A2314" s="1039"/>
      <c r="B2314" s="1039"/>
      <c r="C2314" s="1039"/>
      <c r="D2314" s="1040"/>
      <c r="E2314" s="1041"/>
      <c r="F2314" s="1040"/>
      <c r="G2314" s="1041"/>
      <c r="H2314" s="1083"/>
      <c r="I2314" s="1083"/>
      <c r="J2314" s="1083"/>
    </row>
    <row r="2315" spans="1:10" x14ac:dyDescent="0.25">
      <c r="A2315" s="1039"/>
      <c r="B2315" s="1039"/>
      <c r="C2315" s="1039"/>
      <c r="D2315" s="1040"/>
      <c r="E2315" s="1041"/>
      <c r="F2315" s="1040"/>
      <c r="G2315" s="1041"/>
      <c r="H2315" s="1083"/>
      <c r="I2315" s="1083"/>
      <c r="J2315" s="1083"/>
    </row>
    <row r="2316" spans="1:10" x14ac:dyDescent="0.25">
      <c r="A2316" s="1039"/>
      <c r="B2316" s="1039"/>
      <c r="C2316" s="1039"/>
      <c r="D2316" s="1040"/>
      <c r="E2316" s="1041"/>
      <c r="F2316" s="1040"/>
      <c r="G2316" s="1041"/>
      <c r="H2316" s="1083"/>
      <c r="I2316" s="1083"/>
      <c r="J2316" s="1083"/>
    </row>
    <row r="2317" spans="1:10" x14ac:dyDescent="0.25">
      <c r="A2317" s="1039"/>
      <c r="B2317" s="1039"/>
      <c r="C2317" s="1039"/>
      <c r="D2317" s="1040"/>
      <c r="E2317" s="1041"/>
      <c r="F2317" s="1040"/>
      <c r="G2317" s="1041"/>
      <c r="H2317" s="1083"/>
      <c r="I2317" s="1083"/>
      <c r="J2317" s="1083"/>
    </row>
    <row r="2318" spans="1:10" x14ac:dyDescent="0.25">
      <c r="A2318" s="1039"/>
      <c r="B2318" s="1039"/>
      <c r="C2318" s="1039"/>
      <c r="D2318" s="1040"/>
      <c r="E2318" s="1041"/>
      <c r="F2318" s="1040"/>
      <c r="G2318" s="1041"/>
      <c r="H2318" s="1083"/>
      <c r="I2318" s="1083"/>
      <c r="J2318" s="1083"/>
    </row>
    <row r="2319" spans="1:10" x14ac:dyDescent="0.25">
      <c r="A2319" s="1039"/>
      <c r="B2319" s="1039"/>
      <c r="C2319" s="1039"/>
      <c r="D2319" s="1040"/>
      <c r="E2319" s="1041"/>
      <c r="F2319" s="1040"/>
      <c r="G2319" s="1041"/>
      <c r="H2319" s="1083"/>
      <c r="I2319" s="1083"/>
      <c r="J2319" s="1083"/>
    </row>
    <row r="2320" spans="1:10" x14ac:dyDescent="0.25">
      <c r="A2320" s="1039"/>
      <c r="B2320" s="1039"/>
      <c r="C2320" s="1039"/>
      <c r="D2320" s="1040"/>
      <c r="E2320" s="1041"/>
      <c r="F2320" s="1040"/>
      <c r="G2320" s="1041"/>
      <c r="H2320" s="1083"/>
      <c r="I2320" s="1083"/>
      <c r="J2320" s="1083"/>
    </row>
    <row r="2321" spans="1:10" x14ac:dyDescent="0.25">
      <c r="A2321" s="1039"/>
      <c r="B2321" s="1039"/>
      <c r="C2321" s="1039"/>
      <c r="D2321" s="1040"/>
      <c r="E2321" s="1041"/>
      <c r="F2321" s="1040"/>
      <c r="G2321" s="1041"/>
      <c r="H2321" s="1083"/>
      <c r="I2321" s="1083"/>
      <c r="J2321" s="1083"/>
    </row>
    <row r="2322" spans="1:10" x14ac:dyDescent="0.25">
      <c r="A2322" s="1039"/>
      <c r="B2322" s="1039"/>
      <c r="C2322" s="1039"/>
      <c r="D2322" s="1040"/>
      <c r="E2322" s="1041"/>
      <c r="F2322" s="1040"/>
      <c r="G2322" s="1041"/>
      <c r="H2322" s="1083"/>
      <c r="I2322" s="1083"/>
      <c r="J2322" s="1083"/>
    </row>
    <row r="2323" spans="1:10" x14ac:dyDescent="0.25">
      <c r="A2323" s="1039"/>
      <c r="B2323" s="1039"/>
      <c r="C2323" s="1039"/>
      <c r="D2323" s="1040"/>
      <c r="E2323" s="1041"/>
      <c r="F2323" s="1040"/>
      <c r="G2323" s="1041"/>
      <c r="H2323" s="1083"/>
      <c r="I2323" s="1083"/>
      <c r="J2323" s="1083"/>
    </row>
    <row r="2324" spans="1:10" x14ac:dyDescent="0.25">
      <c r="A2324" s="1039"/>
      <c r="B2324" s="1039"/>
      <c r="C2324" s="1039"/>
      <c r="D2324" s="1040"/>
      <c r="E2324" s="1041"/>
      <c r="F2324" s="1040"/>
      <c r="G2324" s="1041"/>
      <c r="H2324" s="1083"/>
      <c r="I2324" s="1083"/>
      <c r="J2324" s="1083"/>
    </row>
    <row r="2325" spans="1:10" x14ac:dyDescent="0.25">
      <c r="A2325" s="1039"/>
      <c r="B2325" s="1039"/>
      <c r="C2325" s="1039"/>
      <c r="D2325" s="1040"/>
      <c r="E2325" s="1041"/>
      <c r="F2325" s="1040"/>
      <c r="G2325" s="1041"/>
      <c r="H2325" s="1083"/>
      <c r="I2325" s="1083"/>
      <c r="J2325" s="1083"/>
    </row>
    <row r="2326" spans="1:10" x14ac:dyDescent="0.25">
      <c r="A2326" s="1039"/>
      <c r="B2326" s="1039"/>
      <c r="C2326" s="1039"/>
      <c r="D2326" s="1040"/>
      <c r="E2326" s="1041"/>
      <c r="F2326" s="1040"/>
      <c r="G2326" s="1041"/>
      <c r="H2326" s="1083"/>
      <c r="I2326" s="1083"/>
      <c r="J2326" s="1083"/>
    </row>
    <row r="2327" spans="1:10" x14ac:dyDescent="0.25">
      <c r="A2327" s="1039"/>
      <c r="B2327" s="1039"/>
      <c r="C2327" s="1039"/>
      <c r="D2327" s="1040"/>
      <c r="E2327" s="1041"/>
      <c r="F2327" s="1040"/>
      <c r="G2327" s="1041"/>
      <c r="H2327" s="1083"/>
      <c r="I2327" s="1083"/>
      <c r="J2327" s="1083"/>
    </row>
    <row r="2328" spans="1:10" x14ac:dyDescent="0.25">
      <c r="A2328" s="1039"/>
      <c r="B2328" s="1039"/>
      <c r="C2328" s="1039"/>
      <c r="D2328" s="1040"/>
      <c r="E2328" s="1041"/>
      <c r="F2328" s="1040"/>
      <c r="G2328" s="1041"/>
      <c r="H2328" s="1083"/>
      <c r="I2328" s="1083"/>
      <c r="J2328" s="1083"/>
    </row>
    <row r="2329" spans="1:10" x14ac:dyDescent="0.25">
      <c r="A2329" s="1039"/>
      <c r="B2329" s="1039"/>
      <c r="C2329" s="1039"/>
      <c r="D2329" s="1040"/>
      <c r="E2329" s="1041"/>
      <c r="F2329" s="1040"/>
      <c r="G2329" s="1041"/>
      <c r="H2329" s="1083"/>
      <c r="I2329" s="1083"/>
      <c r="J2329" s="1083"/>
    </row>
    <row r="2330" spans="1:10" x14ac:dyDescent="0.25">
      <c r="A2330" s="1039"/>
      <c r="B2330" s="1039"/>
      <c r="C2330" s="1039"/>
      <c r="D2330" s="1040"/>
      <c r="E2330" s="1041"/>
      <c r="F2330" s="1040"/>
      <c r="G2330" s="1041"/>
      <c r="H2330" s="1083"/>
      <c r="I2330" s="1083"/>
      <c r="J2330" s="1083"/>
    </row>
    <row r="2331" spans="1:10" x14ac:dyDescent="0.25">
      <c r="A2331" s="1039"/>
      <c r="B2331" s="1039"/>
      <c r="C2331" s="1039"/>
      <c r="D2331" s="1040"/>
      <c r="E2331" s="1041"/>
      <c r="F2331" s="1040"/>
      <c r="G2331" s="1041"/>
      <c r="H2331" s="1083"/>
      <c r="I2331" s="1083"/>
      <c r="J2331" s="1083"/>
    </row>
    <row r="2332" spans="1:10" x14ac:dyDescent="0.25">
      <c r="A2332" s="1039"/>
      <c r="B2332" s="1039"/>
      <c r="C2332" s="1039"/>
      <c r="D2332" s="1040"/>
      <c r="E2332" s="1041"/>
      <c r="F2332" s="1040"/>
      <c r="G2332" s="1041"/>
      <c r="H2332" s="1083"/>
      <c r="I2332" s="1083"/>
      <c r="J2332" s="1083"/>
    </row>
    <row r="2333" spans="1:10" x14ac:dyDescent="0.25">
      <c r="A2333" s="1039"/>
      <c r="B2333" s="1039"/>
      <c r="C2333" s="1039"/>
      <c r="D2333" s="1040"/>
      <c r="E2333" s="1041"/>
      <c r="F2333" s="1040"/>
      <c r="G2333" s="1041"/>
      <c r="H2333" s="1083"/>
      <c r="I2333" s="1083"/>
      <c r="J2333" s="1083"/>
    </row>
    <row r="2334" spans="1:10" x14ac:dyDescent="0.25">
      <c r="A2334" s="1039"/>
      <c r="B2334" s="1039"/>
      <c r="C2334" s="1039"/>
      <c r="D2334" s="1040"/>
      <c r="E2334" s="1041"/>
      <c r="F2334" s="1040"/>
      <c r="G2334" s="1041"/>
      <c r="H2334" s="1083"/>
      <c r="I2334" s="1083"/>
      <c r="J2334" s="1083"/>
    </row>
    <row r="2335" spans="1:10" x14ac:dyDescent="0.25">
      <c r="A2335" s="1039"/>
      <c r="B2335" s="1039"/>
      <c r="C2335" s="1039"/>
      <c r="D2335" s="1040"/>
      <c r="E2335" s="1041"/>
      <c r="F2335" s="1040"/>
      <c r="G2335" s="1041"/>
      <c r="H2335" s="1083"/>
      <c r="I2335" s="1083"/>
      <c r="J2335" s="1083"/>
    </row>
    <row r="2336" spans="1:10" x14ac:dyDescent="0.25">
      <c r="A2336" s="1039"/>
      <c r="B2336" s="1039"/>
      <c r="C2336" s="1039"/>
      <c r="D2336" s="1040"/>
      <c r="E2336" s="1041"/>
      <c r="F2336" s="1040"/>
      <c r="G2336" s="1041"/>
      <c r="H2336" s="1083"/>
      <c r="I2336" s="1083"/>
      <c r="J2336" s="1083"/>
    </row>
    <row r="2337" spans="1:10" x14ac:dyDescent="0.25">
      <c r="A2337" s="1039"/>
      <c r="B2337" s="1039"/>
      <c r="C2337" s="1039"/>
      <c r="D2337" s="1040"/>
      <c r="E2337" s="1041"/>
      <c r="F2337" s="1040"/>
      <c r="G2337" s="1041"/>
      <c r="H2337" s="1083"/>
      <c r="I2337" s="1083"/>
      <c r="J2337" s="1083"/>
    </row>
    <row r="2338" spans="1:10" x14ac:dyDescent="0.25">
      <c r="A2338" s="1039"/>
      <c r="B2338" s="1039"/>
      <c r="C2338" s="1039"/>
      <c r="D2338" s="1040"/>
      <c r="E2338" s="1041"/>
      <c r="F2338" s="1040"/>
      <c r="G2338" s="1041"/>
      <c r="H2338" s="1083"/>
      <c r="I2338" s="1083"/>
      <c r="J2338" s="1083"/>
    </row>
    <row r="2339" spans="1:10" x14ac:dyDescent="0.25">
      <c r="A2339" s="1039"/>
      <c r="B2339" s="1039"/>
      <c r="C2339" s="1039"/>
      <c r="D2339" s="1040"/>
      <c r="E2339" s="1041"/>
      <c r="F2339" s="1040"/>
      <c r="G2339" s="1041"/>
      <c r="H2339" s="1083"/>
      <c r="I2339" s="1083"/>
      <c r="J2339" s="1083"/>
    </row>
    <row r="2340" spans="1:10" x14ac:dyDescent="0.25">
      <c r="A2340" s="1039"/>
      <c r="B2340" s="1039"/>
      <c r="C2340" s="1039"/>
      <c r="D2340" s="1040"/>
      <c r="E2340" s="1041"/>
      <c r="F2340" s="1040"/>
      <c r="G2340" s="1041"/>
      <c r="H2340" s="1083"/>
      <c r="I2340" s="1083"/>
      <c r="J2340" s="1083"/>
    </row>
    <row r="2341" spans="1:10" x14ac:dyDescent="0.25">
      <c r="A2341" s="1039"/>
      <c r="B2341" s="1039"/>
      <c r="C2341" s="1039"/>
      <c r="D2341" s="1040"/>
      <c r="E2341" s="1041"/>
      <c r="F2341" s="1040"/>
      <c r="G2341" s="1041"/>
      <c r="H2341" s="1083"/>
      <c r="I2341" s="1083"/>
      <c r="J2341" s="1083"/>
    </row>
    <row r="2342" spans="1:10" x14ac:dyDescent="0.25">
      <c r="A2342" s="1039"/>
      <c r="B2342" s="1039"/>
      <c r="C2342" s="1039"/>
      <c r="D2342" s="1040"/>
      <c r="E2342" s="1041"/>
      <c r="F2342" s="1040"/>
      <c r="G2342" s="1041"/>
      <c r="H2342" s="1083"/>
      <c r="I2342" s="1083"/>
      <c r="J2342" s="1083"/>
    </row>
    <row r="2343" spans="1:10" x14ac:dyDescent="0.25">
      <c r="A2343" s="1039"/>
      <c r="B2343" s="1039"/>
      <c r="C2343" s="1039"/>
      <c r="D2343" s="1040"/>
      <c r="E2343" s="1041"/>
      <c r="F2343" s="1040"/>
      <c r="G2343" s="1041"/>
      <c r="H2343" s="1083"/>
      <c r="I2343" s="1083"/>
      <c r="J2343" s="1083"/>
    </row>
    <row r="2344" spans="1:10" x14ac:dyDescent="0.25">
      <c r="A2344" s="1039"/>
      <c r="B2344" s="1039"/>
      <c r="C2344" s="1039"/>
      <c r="D2344" s="1040"/>
      <c r="E2344" s="1041"/>
      <c r="F2344" s="1040"/>
      <c r="G2344" s="1041"/>
      <c r="H2344" s="1083"/>
      <c r="I2344" s="1083"/>
      <c r="J2344" s="1083"/>
    </row>
    <row r="2345" spans="1:10" x14ac:dyDescent="0.25">
      <c r="A2345" s="1039"/>
      <c r="B2345" s="1039"/>
      <c r="C2345" s="1039"/>
      <c r="D2345" s="1040"/>
      <c r="E2345" s="1041"/>
      <c r="F2345" s="1040"/>
      <c r="G2345" s="1041"/>
      <c r="H2345" s="1083"/>
      <c r="I2345" s="1083"/>
      <c r="J2345" s="1083"/>
    </row>
    <row r="2346" spans="1:10" x14ac:dyDescent="0.25">
      <c r="A2346" s="1039"/>
      <c r="B2346" s="1039"/>
      <c r="C2346" s="1039"/>
      <c r="D2346" s="1040"/>
      <c r="E2346" s="1041"/>
      <c r="F2346" s="1040"/>
      <c r="G2346" s="1041"/>
      <c r="H2346" s="1083"/>
      <c r="I2346" s="1083"/>
      <c r="J2346" s="1083"/>
    </row>
    <row r="2347" spans="1:10" x14ac:dyDescent="0.25">
      <c r="A2347" s="1039"/>
      <c r="B2347" s="1039"/>
      <c r="C2347" s="1039"/>
      <c r="D2347" s="1040"/>
      <c r="E2347" s="1041"/>
      <c r="F2347" s="1040"/>
      <c r="G2347" s="1041"/>
      <c r="H2347" s="1083"/>
      <c r="I2347" s="1083"/>
      <c r="J2347" s="1083"/>
    </row>
    <row r="2348" spans="1:10" x14ac:dyDescent="0.25">
      <c r="A2348" s="1039"/>
      <c r="B2348" s="1039"/>
      <c r="C2348" s="1039"/>
      <c r="D2348" s="1040"/>
      <c r="E2348" s="1041"/>
      <c r="F2348" s="1040"/>
      <c r="G2348" s="1041"/>
      <c r="H2348" s="1083"/>
      <c r="I2348" s="1083"/>
      <c r="J2348" s="1083"/>
    </row>
    <row r="2349" spans="1:10" x14ac:dyDescent="0.25">
      <c r="A2349" s="1039"/>
      <c r="B2349" s="1039"/>
      <c r="C2349" s="1039"/>
      <c r="D2349" s="1040"/>
      <c r="E2349" s="1041"/>
      <c r="F2349" s="1040"/>
      <c r="G2349" s="1041"/>
      <c r="H2349" s="1083"/>
      <c r="I2349" s="1083"/>
      <c r="J2349" s="1083"/>
    </row>
    <row r="2350" spans="1:10" x14ac:dyDescent="0.25">
      <c r="A2350" s="1039"/>
      <c r="B2350" s="1039"/>
      <c r="C2350" s="1039"/>
      <c r="D2350" s="1040"/>
      <c r="E2350" s="1041"/>
      <c r="F2350" s="1040"/>
      <c r="G2350" s="1041"/>
      <c r="H2350" s="1083"/>
      <c r="I2350" s="1083"/>
      <c r="J2350" s="1083"/>
    </row>
    <row r="2351" spans="1:10" x14ac:dyDescent="0.25">
      <c r="A2351" s="1039"/>
      <c r="B2351" s="1039"/>
      <c r="C2351" s="1039"/>
      <c r="D2351" s="1040"/>
      <c r="E2351" s="1041"/>
      <c r="F2351" s="1040"/>
      <c r="G2351" s="1041"/>
      <c r="H2351" s="1083"/>
      <c r="I2351" s="1083"/>
      <c r="J2351" s="1083"/>
    </row>
    <row r="2352" spans="1:10" x14ac:dyDescent="0.25">
      <c r="A2352" s="1039"/>
      <c r="B2352" s="1039"/>
      <c r="C2352" s="1039"/>
      <c r="D2352" s="1040"/>
      <c r="E2352" s="1041"/>
      <c r="F2352" s="1040"/>
      <c r="G2352" s="1041"/>
      <c r="H2352" s="1083"/>
      <c r="I2352" s="1083"/>
      <c r="J2352" s="1083"/>
    </row>
    <row r="2353" spans="1:10" x14ac:dyDescent="0.25">
      <c r="A2353" s="1039"/>
      <c r="B2353" s="1039"/>
      <c r="C2353" s="1039"/>
      <c r="D2353" s="1040"/>
      <c r="E2353" s="1041"/>
      <c r="F2353" s="1040"/>
      <c r="G2353" s="1041"/>
      <c r="H2353" s="1083"/>
      <c r="I2353" s="1083"/>
      <c r="J2353" s="1083"/>
    </row>
    <row r="2354" spans="1:10" x14ac:dyDescent="0.25">
      <c r="A2354" s="1039"/>
      <c r="B2354" s="1039"/>
      <c r="C2354" s="1039"/>
      <c r="D2354" s="1040"/>
      <c r="E2354" s="1041"/>
      <c r="F2354" s="1040"/>
      <c r="G2354" s="1041"/>
      <c r="H2354" s="1083"/>
      <c r="I2354" s="1083"/>
      <c r="J2354" s="1083"/>
    </row>
    <row r="2355" spans="1:10" x14ac:dyDescent="0.25">
      <c r="A2355" s="1039"/>
      <c r="B2355" s="1039"/>
      <c r="C2355" s="1039"/>
      <c r="D2355" s="1040"/>
      <c r="E2355" s="1041"/>
      <c r="F2355" s="1040"/>
      <c r="G2355" s="1041"/>
      <c r="H2355" s="1083"/>
      <c r="I2355" s="1083"/>
      <c r="J2355" s="1083"/>
    </row>
    <row r="2356" spans="1:10" x14ac:dyDescent="0.25">
      <c r="A2356" s="1039"/>
      <c r="B2356" s="1039"/>
      <c r="C2356" s="1039"/>
      <c r="D2356" s="1040"/>
      <c r="E2356" s="1041"/>
      <c r="F2356" s="1040"/>
      <c r="G2356" s="1041"/>
      <c r="H2356" s="1083"/>
      <c r="I2356" s="1083"/>
      <c r="J2356" s="1083"/>
    </row>
    <row r="2357" spans="1:10" x14ac:dyDescent="0.25">
      <c r="A2357" s="1039"/>
      <c r="B2357" s="1039"/>
      <c r="C2357" s="1039"/>
      <c r="D2357" s="1040"/>
      <c r="E2357" s="1041"/>
      <c r="F2357" s="1040"/>
      <c r="G2357" s="1041"/>
      <c r="H2357" s="1083"/>
      <c r="I2357" s="1083"/>
      <c r="J2357" s="1083"/>
    </row>
    <row r="2358" spans="1:10" x14ac:dyDescent="0.25">
      <c r="A2358" s="1039"/>
      <c r="B2358" s="1039"/>
      <c r="C2358" s="1039"/>
      <c r="D2358" s="1040"/>
      <c r="E2358" s="1041"/>
      <c r="F2358" s="1040"/>
      <c r="G2358" s="1041"/>
      <c r="H2358" s="1083"/>
      <c r="I2358" s="1083"/>
      <c r="J2358" s="1083"/>
    </row>
    <row r="2359" spans="1:10" x14ac:dyDescent="0.25">
      <c r="A2359" s="1039"/>
      <c r="B2359" s="1039"/>
      <c r="C2359" s="1039"/>
      <c r="D2359" s="1040"/>
      <c r="E2359" s="1041"/>
      <c r="F2359" s="1040"/>
      <c r="G2359" s="1041"/>
      <c r="H2359" s="1083"/>
      <c r="I2359" s="1083"/>
      <c r="J2359" s="1083"/>
    </row>
    <row r="2360" spans="1:10" x14ac:dyDescent="0.25">
      <c r="A2360" s="1039"/>
      <c r="B2360" s="1039"/>
      <c r="C2360" s="1039"/>
      <c r="D2360" s="1040"/>
      <c r="E2360" s="1041"/>
      <c r="F2360" s="1040"/>
      <c r="G2360" s="1041"/>
      <c r="H2360" s="1083"/>
      <c r="I2360" s="1083"/>
      <c r="J2360" s="1083"/>
    </row>
    <row r="2361" spans="1:10" x14ac:dyDescent="0.25">
      <c r="A2361" s="1039"/>
      <c r="B2361" s="1039"/>
      <c r="C2361" s="1039"/>
      <c r="D2361" s="1040"/>
      <c r="E2361" s="1041"/>
      <c r="F2361" s="1040"/>
      <c r="G2361" s="1041"/>
      <c r="H2361" s="1083"/>
      <c r="I2361" s="1083"/>
      <c r="J2361" s="1083"/>
    </row>
    <row r="2362" spans="1:10" x14ac:dyDescent="0.25">
      <c r="A2362" s="1039"/>
      <c r="B2362" s="1039"/>
      <c r="C2362" s="1039"/>
      <c r="D2362" s="1040"/>
      <c r="E2362" s="1041"/>
      <c r="F2362" s="1040"/>
      <c r="G2362" s="1041"/>
      <c r="H2362" s="1083"/>
      <c r="I2362" s="1083"/>
      <c r="J2362" s="1083"/>
    </row>
    <row r="2363" spans="1:10" x14ac:dyDescent="0.25">
      <c r="A2363" s="1039"/>
      <c r="B2363" s="1039"/>
      <c r="C2363" s="1039"/>
      <c r="D2363" s="1040"/>
      <c r="E2363" s="1041"/>
      <c r="F2363" s="1040"/>
      <c r="G2363" s="1041"/>
      <c r="H2363" s="1083"/>
      <c r="I2363" s="1083"/>
      <c r="J2363" s="1083"/>
    </row>
    <row r="2364" spans="1:10" x14ac:dyDescent="0.25">
      <c r="A2364" s="1039"/>
      <c r="B2364" s="1039"/>
      <c r="C2364" s="1039"/>
      <c r="D2364" s="1040"/>
      <c r="E2364" s="1041"/>
      <c r="F2364" s="1040"/>
      <c r="G2364" s="1041"/>
      <c r="H2364" s="1083"/>
      <c r="I2364" s="1083"/>
      <c r="J2364" s="1083"/>
    </row>
    <row r="2365" spans="1:10" x14ac:dyDescent="0.25">
      <c r="A2365" s="1039"/>
      <c r="B2365" s="1039"/>
      <c r="C2365" s="1039"/>
      <c r="D2365" s="1040"/>
      <c r="E2365" s="1041"/>
      <c r="F2365" s="1040"/>
      <c r="G2365" s="1041"/>
      <c r="H2365" s="1083"/>
      <c r="I2365" s="1083"/>
      <c r="J2365" s="1083"/>
    </row>
    <row r="2366" spans="1:10" x14ac:dyDescent="0.25">
      <c r="A2366" s="1039"/>
      <c r="B2366" s="1039"/>
      <c r="C2366" s="1039"/>
      <c r="D2366" s="1040"/>
      <c r="E2366" s="1041"/>
      <c r="F2366" s="1040"/>
      <c r="G2366" s="1041"/>
      <c r="H2366" s="1083"/>
      <c r="I2366" s="1083"/>
      <c r="J2366" s="1083"/>
    </row>
    <row r="2367" spans="1:10" x14ac:dyDescent="0.25">
      <c r="A2367" s="1039"/>
      <c r="B2367" s="1039"/>
      <c r="C2367" s="1039"/>
      <c r="D2367" s="1040"/>
      <c r="E2367" s="1041"/>
      <c r="F2367" s="1040"/>
      <c r="G2367" s="1041"/>
      <c r="H2367" s="1083"/>
      <c r="I2367" s="1083"/>
      <c r="J2367" s="1083"/>
    </row>
    <row r="2368" spans="1:10" x14ac:dyDescent="0.25">
      <c r="A2368" s="1039"/>
      <c r="B2368" s="1039"/>
      <c r="C2368" s="1039"/>
      <c r="D2368" s="1040"/>
      <c r="E2368" s="1041"/>
      <c r="F2368" s="1040"/>
      <c r="G2368" s="1041"/>
      <c r="H2368" s="1083"/>
      <c r="I2368" s="1083"/>
      <c r="J2368" s="1083"/>
    </row>
    <row r="2369" spans="1:10" x14ac:dyDescent="0.25">
      <c r="A2369" s="1039"/>
      <c r="B2369" s="1039"/>
      <c r="C2369" s="1039"/>
      <c r="D2369" s="1040"/>
      <c r="E2369" s="1041"/>
      <c r="F2369" s="1040"/>
      <c r="G2369" s="1041"/>
      <c r="H2369" s="1083"/>
      <c r="I2369" s="1083"/>
      <c r="J2369" s="1083"/>
    </row>
    <row r="2370" spans="1:10" x14ac:dyDescent="0.25">
      <c r="A2370" s="1039"/>
      <c r="B2370" s="1039"/>
      <c r="C2370" s="1039"/>
      <c r="D2370" s="1040"/>
      <c r="E2370" s="1041"/>
      <c r="F2370" s="1040"/>
      <c r="G2370" s="1041"/>
      <c r="H2370" s="1083"/>
      <c r="I2370" s="1083"/>
      <c r="J2370" s="1083"/>
    </row>
    <row r="2371" spans="1:10" x14ac:dyDescent="0.25">
      <c r="A2371" s="1039"/>
      <c r="B2371" s="1039"/>
      <c r="C2371" s="1039"/>
      <c r="D2371" s="1040"/>
      <c r="E2371" s="1041"/>
      <c r="F2371" s="1040"/>
      <c r="G2371" s="1041"/>
      <c r="H2371" s="1083"/>
      <c r="I2371" s="1083"/>
      <c r="J2371" s="1083"/>
    </row>
    <row r="2372" spans="1:10" x14ac:dyDescent="0.25">
      <c r="A2372" s="1039"/>
      <c r="B2372" s="1039"/>
      <c r="C2372" s="1039"/>
      <c r="D2372" s="1040"/>
      <c r="E2372" s="1041"/>
      <c r="F2372" s="1040"/>
      <c r="G2372" s="1041"/>
      <c r="H2372" s="1083"/>
      <c r="I2372" s="1083"/>
      <c r="J2372" s="1083"/>
    </row>
    <row r="2373" spans="1:10" x14ac:dyDescent="0.25">
      <c r="A2373" s="1039"/>
      <c r="B2373" s="1039"/>
      <c r="C2373" s="1039"/>
      <c r="D2373" s="1040"/>
      <c r="E2373" s="1041"/>
      <c r="F2373" s="1040"/>
      <c r="G2373" s="1041"/>
      <c r="H2373" s="1083"/>
      <c r="I2373" s="1083"/>
      <c r="J2373" s="1083"/>
    </row>
    <row r="2374" spans="1:10" x14ac:dyDescent="0.25">
      <c r="A2374" s="1039"/>
      <c r="B2374" s="1039"/>
      <c r="C2374" s="1039"/>
      <c r="D2374" s="1040"/>
      <c r="E2374" s="1041"/>
      <c r="F2374" s="1040"/>
      <c r="G2374" s="1041"/>
      <c r="H2374" s="1083"/>
      <c r="I2374" s="1083"/>
      <c r="J2374" s="1083"/>
    </row>
    <row r="2375" spans="1:10" x14ac:dyDescent="0.25">
      <c r="A2375" s="1039"/>
      <c r="B2375" s="1039"/>
      <c r="C2375" s="1039"/>
      <c r="D2375" s="1040"/>
      <c r="E2375" s="1041"/>
      <c r="F2375" s="1040"/>
      <c r="G2375" s="1041"/>
      <c r="H2375" s="1083"/>
      <c r="I2375" s="1083"/>
      <c r="J2375" s="1083"/>
    </row>
    <row r="2376" spans="1:10" x14ac:dyDescent="0.25">
      <c r="A2376" s="1039"/>
      <c r="B2376" s="1039"/>
      <c r="C2376" s="1039"/>
      <c r="D2376" s="1040"/>
      <c r="E2376" s="1041"/>
      <c r="F2376" s="1040"/>
      <c r="G2376" s="1041"/>
      <c r="H2376" s="1083"/>
      <c r="I2376" s="1083"/>
      <c r="J2376" s="1083"/>
    </row>
    <row r="2377" spans="1:10" x14ac:dyDescent="0.25">
      <c r="A2377" s="1039"/>
      <c r="B2377" s="1039"/>
      <c r="C2377" s="1039"/>
      <c r="D2377" s="1040"/>
      <c r="E2377" s="1041"/>
      <c r="F2377" s="1040"/>
      <c r="G2377" s="1041"/>
      <c r="H2377" s="1083"/>
      <c r="I2377" s="1083"/>
      <c r="J2377" s="1083"/>
    </row>
    <row r="2378" spans="1:10" x14ac:dyDescent="0.25">
      <c r="A2378" s="1039"/>
      <c r="B2378" s="1039"/>
      <c r="C2378" s="1039"/>
      <c r="D2378" s="1040"/>
      <c r="E2378" s="1041"/>
      <c r="F2378" s="1040"/>
      <c r="G2378" s="1041"/>
      <c r="H2378" s="1083"/>
      <c r="I2378" s="1083"/>
      <c r="J2378" s="1083"/>
    </row>
    <row r="2379" spans="1:10" x14ac:dyDescent="0.25">
      <c r="A2379" s="1039"/>
      <c r="B2379" s="1039"/>
      <c r="C2379" s="1039"/>
      <c r="D2379" s="1040"/>
      <c r="E2379" s="1041"/>
      <c r="F2379" s="1040"/>
      <c r="G2379" s="1041"/>
      <c r="H2379" s="1083"/>
      <c r="I2379" s="1083"/>
      <c r="J2379" s="1083"/>
    </row>
    <row r="2380" spans="1:10" x14ac:dyDescent="0.25">
      <c r="A2380" s="1039"/>
      <c r="B2380" s="1039"/>
      <c r="C2380" s="1039"/>
      <c r="D2380" s="1040"/>
      <c r="E2380" s="1041"/>
      <c r="F2380" s="1040"/>
      <c r="G2380" s="1041"/>
      <c r="H2380" s="1083"/>
      <c r="I2380" s="1083"/>
      <c r="J2380" s="1083"/>
    </row>
    <row r="2381" spans="1:10" x14ac:dyDescent="0.25">
      <c r="A2381" s="1039"/>
      <c r="B2381" s="1039"/>
      <c r="C2381" s="1039"/>
      <c r="D2381" s="1040"/>
      <c r="E2381" s="1041"/>
      <c r="F2381" s="1040"/>
      <c r="G2381" s="1041"/>
      <c r="H2381" s="1083"/>
      <c r="I2381" s="1083"/>
      <c r="J2381" s="1083"/>
    </row>
    <row r="2382" spans="1:10" x14ac:dyDescent="0.25">
      <c r="A2382" s="1039"/>
      <c r="B2382" s="1039"/>
      <c r="C2382" s="1039"/>
      <c r="D2382" s="1040"/>
      <c r="E2382" s="1041"/>
      <c r="F2382" s="1040"/>
      <c r="G2382" s="1041"/>
      <c r="H2382" s="1083"/>
      <c r="I2382" s="1083"/>
      <c r="J2382" s="1083"/>
    </row>
    <row r="2383" spans="1:10" x14ac:dyDescent="0.25">
      <c r="A2383" s="1039"/>
      <c r="B2383" s="1039"/>
      <c r="C2383" s="1039"/>
      <c r="D2383" s="1040"/>
      <c r="E2383" s="1041"/>
      <c r="F2383" s="1040"/>
      <c r="G2383" s="1041"/>
      <c r="H2383" s="1083"/>
      <c r="I2383" s="1083"/>
      <c r="J2383" s="1083"/>
    </row>
    <row r="2384" spans="1:10" x14ac:dyDescent="0.25">
      <c r="A2384" s="1039"/>
      <c r="B2384" s="1039"/>
      <c r="C2384" s="1039"/>
      <c r="D2384" s="1040"/>
      <c r="E2384" s="1041"/>
      <c r="F2384" s="1040"/>
      <c r="G2384" s="1041"/>
      <c r="H2384" s="1083"/>
      <c r="I2384" s="1083"/>
      <c r="J2384" s="1083"/>
    </row>
    <row r="2385" spans="1:10" x14ac:dyDescent="0.25">
      <c r="A2385" s="1039"/>
      <c r="B2385" s="1039"/>
      <c r="C2385" s="1039"/>
      <c r="D2385" s="1040"/>
      <c r="E2385" s="1041"/>
      <c r="F2385" s="1040"/>
      <c r="G2385" s="1041"/>
      <c r="H2385" s="1083"/>
      <c r="I2385" s="1083"/>
      <c r="J2385" s="1083"/>
    </row>
    <row r="2386" spans="1:10" x14ac:dyDescent="0.25">
      <c r="A2386" s="1039"/>
      <c r="B2386" s="1039"/>
      <c r="C2386" s="1039"/>
      <c r="D2386" s="1040"/>
      <c r="E2386" s="1041"/>
      <c r="F2386" s="1040"/>
      <c r="G2386" s="1041"/>
      <c r="H2386" s="1083"/>
      <c r="I2386" s="1083"/>
      <c r="J2386" s="1083"/>
    </row>
    <row r="2387" spans="1:10" x14ac:dyDescent="0.25">
      <c r="A2387" s="1039"/>
      <c r="B2387" s="1039"/>
      <c r="C2387" s="1039"/>
      <c r="D2387" s="1040"/>
      <c r="E2387" s="1041"/>
      <c r="F2387" s="1040"/>
      <c r="G2387" s="1041"/>
      <c r="H2387" s="1083"/>
      <c r="I2387" s="1083"/>
      <c r="J2387" s="1083"/>
    </row>
    <row r="2388" spans="1:10" x14ac:dyDescent="0.25">
      <c r="A2388" s="1039"/>
      <c r="B2388" s="1039"/>
      <c r="C2388" s="1039"/>
      <c r="D2388" s="1040"/>
      <c r="E2388" s="1041"/>
      <c r="F2388" s="1040"/>
      <c r="G2388" s="1041"/>
      <c r="H2388" s="1083"/>
      <c r="I2388" s="1083"/>
      <c r="J2388" s="1083"/>
    </row>
    <row r="2389" spans="1:10" x14ac:dyDescent="0.25">
      <c r="A2389" s="1039"/>
      <c r="B2389" s="1039"/>
      <c r="C2389" s="1039"/>
      <c r="D2389" s="1040"/>
      <c r="E2389" s="1041"/>
      <c r="F2389" s="1040"/>
      <c r="G2389" s="1041"/>
      <c r="H2389" s="1083"/>
      <c r="I2389" s="1083"/>
      <c r="J2389" s="1083"/>
    </row>
    <row r="2390" spans="1:10" x14ac:dyDescent="0.25">
      <c r="A2390" s="1039"/>
      <c r="B2390" s="1039"/>
      <c r="C2390" s="1039"/>
      <c r="D2390" s="1040"/>
      <c r="E2390" s="1041"/>
      <c r="F2390" s="1040"/>
      <c r="G2390" s="1041"/>
      <c r="H2390" s="1083"/>
      <c r="I2390" s="1083"/>
      <c r="J2390" s="1083"/>
    </row>
    <row r="2391" spans="1:10" x14ac:dyDescent="0.25">
      <c r="A2391" s="1039"/>
      <c r="B2391" s="1039"/>
      <c r="C2391" s="1039"/>
      <c r="D2391" s="1040"/>
      <c r="E2391" s="1041"/>
      <c r="F2391" s="1040"/>
      <c r="G2391" s="1041"/>
      <c r="H2391" s="1083"/>
      <c r="I2391" s="1083"/>
      <c r="J2391" s="1083"/>
    </row>
    <row r="2392" spans="1:10" x14ac:dyDescent="0.25">
      <c r="A2392" s="1039"/>
      <c r="B2392" s="1039"/>
      <c r="C2392" s="1039"/>
      <c r="D2392" s="1040"/>
      <c r="E2392" s="1041"/>
      <c r="F2392" s="1040"/>
      <c r="G2392" s="1041"/>
      <c r="H2392" s="1083"/>
      <c r="I2392" s="1083"/>
      <c r="J2392" s="1083"/>
    </row>
    <row r="2393" spans="1:10" x14ac:dyDescent="0.25">
      <c r="A2393" s="1039"/>
      <c r="B2393" s="1039"/>
      <c r="C2393" s="1039"/>
      <c r="D2393" s="1040"/>
      <c r="E2393" s="1041"/>
      <c r="F2393" s="1040"/>
      <c r="G2393" s="1041"/>
      <c r="H2393" s="1083"/>
      <c r="I2393" s="1083"/>
      <c r="J2393" s="1083"/>
    </row>
    <row r="2394" spans="1:10" x14ac:dyDescent="0.25">
      <c r="A2394" s="1039"/>
      <c r="B2394" s="1039"/>
      <c r="C2394" s="1039"/>
      <c r="D2394" s="1040"/>
      <c r="E2394" s="1041"/>
      <c r="F2394" s="1040"/>
      <c r="G2394" s="1041"/>
      <c r="H2394" s="1083"/>
      <c r="I2394" s="1083"/>
      <c r="J2394" s="1083"/>
    </row>
    <row r="2395" spans="1:10" x14ac:dyDescent="0.25">
      <c r="A2395" s="1039"/>
      <c r="B2395" s="1039"/>
      <c r="C2395" s="1039"/>
      <c r="D2395" s="1040"/>
      <c r="E2395" s="1041"/>
      <c r="F2395" s="1040"/>
      <c r="G2395" s="1041"/>
      <c r="H2395" s="1083"/>
      <c r="I2395" s="1083"/>
      <c r="J2395" s="1083"/>
    </row>
    <row r="2396" spans="1:10" x14ac:dyDescent="0.25">
      <c r="A2396" s="1039"/>
      <c r="B2396" s="1039"/>
      <c r="C2396" s="1039"/>
      <c r="D2396" s="1040"/>
      <c r="E2396" s="1041"/>
      <c r="F2396" s="1040"/>
      <c r="G2396" s="1041"/>
      <c r="H2396" s="1083"/>
      <c r="I2396" s="1083"/>
      <c r="J2396" s="1083"/>
    </row>
    <row r="2397" spans="1:10" x14ac:dyDescent="0.25">
      <c r="A2397" s="1039"/>
      <c r="B2397" s="1039"/>
      <c r="C2397" s="1039"/>
      <c r="D2397" s="1040"/>
      <c r="E2397" s="1041"/>
      <c r="F2397" s="1040"/>
      <c r="G2397" s="1041"/>
      <c r="H2397" s="1083"/>
      <c r="I2397" s="1083"/>
      <c r="J2397" s="1083"/>
    </row>
    <row r="2398" spans="1:10" x14ac:dyDescent="0.25">
      <c r="A2398" s="1039"/>
      <c r="B2398" s="1039"/>
      <c r="C2398" s="1039"/>
      <c r="D2398" s="1040"/>
      <c r="E2398" s="1041"/>
      <c r="F2398" s="1040"/>
      <c r="G2398" s="1041"/>
      <c r="H2398" s="1083"/>
      <c r="I2398" s="1083"/>
      <c r="J2398" s="1083"/>
    </row>
    <row r="2399" spans="1:10" x14ac:dyDescent="0.25">
      <c r="A2399" s="1039"/>
      <c r="B2399" s="1039"/>
      <c r="C2399" s="1039"/>
      <c r="D2399" s="1040"/>
      <c r="E2399" s="1041"/>
      <c r="F2399" s="1040"/>
      <c r="G2399" s="1041"/>
      <c r="H2399" s="1083"/>
      <c r="I2399" s="1083"/>
      <c r="J2399" s="1083"/>
    </row>
    <row r="2400" spans="1:10" x14ac:dyDescent="0.25">
      <c r="A2400" s="1039"/>
      <c r="B2400" s="1039"/>
      <c r="C2400" s="1039"/>
      <c r="D2400" s="1040"/>
      <c r="E2400" s="1041"/>
      <c r="F2400" s="1040"/>
      <c r="G2400" s="1041"/>
      <c r="H2400" s="1083"/>
      <c r="I2400" s="1083"/>
      <c r="J2400" s="1083"/>
    </row>
    <row r="2401" spans="1:10" x14ac:dyDescent="0.25">
      <c r="A2401" s="1039"/>
      <c r="B2401" s="1039"/>
      <c r="C2401" s="1039"/>
      <c r="D2401" s="1040"/>
      <c r="E2401" s="1041"/>
      <c r="F2401" s="1040"/>
      <c r="G2401" s="1041"/>
      <c r="H2401" s="1083"/>
      <c r="I2401" s="1083"/>
      <c r="J2401" s="1083"/>
    </row>
    <row r="2402" spans="1:10" x14ac:dyDescent="0.25">
      <c r="A2402" s="1039"/>
      <c r="B2402" s="1039"/>
      <c r="C2402" s="1039"/>
      <c r="D2402" s="1040"/>
      <c r="E2402" s="1041"/>
      <c r="F2402" s="1040"/>
      <c r="G2402" s="1041"/>
      <c r="H2402" s="1083"/>
      <c r="I2402" s="1083"/>
      <c r="J2402" s="1083"/>
    </row>
    <row r="2403" spans="1:10" x14ac:dyDescent="0.25">
      <c r="A2403" s="1039"/>
      <c r="B2403" s="1039"/>
      <c r="C2403" s="1039"/>
      <c r="D2403" s="1040"/>
      <c r="E2403" s="1041"/>
      <c r="F2403" s="1040"/>
      <c r="G2403" s="1041"/>
      <c r="H2403" s="1083"/>
      <c r="I2403" s="1083"/>
      <c r="J2403" s="1083"/>
    </row>
    <row r="2404" spans="1:10" x14ac:dyDescent="0.25">
      <c r="A2404" s="1039"/>
      <c r="B2404" s="1039"/>
      <c r="C2404" s="1039"/>
      <c r="D2404" s="1040"/>
      <c r="E2404" s="1041"/>
      <c r="F2404" s="1040"/>
      <c r="G2404" s="1041"/>
      <c r="H2404" s="1083"/>
      <c r="I2404" s="1083"/>
      <c r="J2404" s="1083"/>
    </row>
    <row r="2405" spans="1:10" x14ac:dyDescent="0.25">
      <c r="A2405" s="1039"/>
      <c r="B2405" s="1039"/>
      <c r="C2405" s="1039"/>
      <c r="D2405" s="1040"/>
      <c r="E2405" s="1041"/>
      <c r="F2405" s="1040"/>
      <c r="G2405" s="1041"/>
      <c r="H2405" s="1083"/>
      <c r="I2405" s="1083"/>
      <c r="J2405" s="1083"/>
    </row>
    <row r="2406" spans="1:10" x14ac:dyDescent="0.25">
      <c r="A2406" s="1039"/>
      <c r="B2406" s="1039"/>
      <c r="C2406" s="1039"/>
      <c r="D2406" s="1040"/>
      <c r="E2406" s="1041"/>
      <c r="F2406" s="1040"/>
      <c r="G2406" s="1041"/>
      <c r="H2406" s="1083"/>
      <c r="I2406" s="1083"/>
      <c r="J2406" s="1083"/>
    </row>
    <row r="2407" spans="1:10" x14ac:dyDescent="0.25">
      <c r="A2407" s="1039"/>
      <c r="B2407" s="1039"/>
      <c r="C2407" s="1039"/>
      <c r="D2407" s="1040"/>
      <c r="E2407" s="1041"/>
      <c r="F2407" s="1040"/>
      <c r="G2407" s="1041"/>
      <c r="H2407" s="1083"/>
      <c r="I2407" s="1083"/>
      <c r="J2407" s="1083"/>
    </row>
    <row r="2408" spans="1:10" x14ac:dyDescent="0.25">
      <c r="A2408" s="1039"/>
      <c r="B2408" s="1039"/>
      <c r="C2408" s="1039"/>
      <c r="D2408" s="1040"/>
      <c r="E2408" s="1041"/>
      <c r="F2408" s="1040"/>
      <c r="G2408" s="1041"/>
      <c r="H2408" s="1083"/>
      <c r="I2408" s="1083"/>
      <c r="J2408" s="1083"/>
    </row>
    <row r="2409" spans="1:10" x14ac:dyDescent="0.25">
      <c r="A2409" s="1039"/>
      <c r="B2409" s="1039"/>
      <c r="C2409" s="1039"/>
      <c r="D2409" s="1040"/>
      <c r="E2409" s="1041"/>
      <c r="F2409" s="1040"/>
      <c r="G2409" s="1041"/>
      <c r="H2409" s="1083"/>
      <c r="I2409" s="1083"/>
      <c r="J2409" s="1083"/>
    </row>
    <row r="2410" spans="1:10" x14ac:dyDescent="0.25">
      <c r="A2410" s="1039"/>
      <c r="B2410" s="1039"/>
      <c r="C2410" s="1039"/>
      <c r="D2410" s="1040"/>
      <c r="E2410" s="1041"/>
      <c r="F2410" s="1040"/>
      <c r="G2410" s="1041"/>
      <c r="H2410" s="1083"/>
      <c r="I2410" s="1083"/>
      <c r="J2410" s="1083"/>
    </row>
    <row r="2411" spans="1:10" x14ac:dyDescent="0.25">
      <c r="A2411" s="1039"/>
      <c r="B2411" s="1039"/>
      <c r="C2411" s="1039"/>
      <c r="D2411" s="1040"/>
      <c r="E2411" s="1041"/>
      <c r="F2411" s="1040"/>
      <c r="G2411" s="1041"/>
      <c r="H2411" s="1083"/>
      <c r="I2411" s="1083"/>
      <c r="J2411" s="1083"/>
    </row>
    <row r="2412" spans="1:10" x14ac:dyDescent="0.25">
      <c r="A2412" s="1039"/>
      <c r="B2412" s="1039"/>
      <c r="C2412" s="1039"/>
      <c r="D2412" s="1040"/>
      <c r="E2412" s="1041"/>
      <c r="F2412" s="1040"/>
      <c r="G2412" s="1041"/>
      <c r="H2412" s="1083"/>
      <c r="I2412" s="1083"/>
      <c r="J2412" s="1083"/>
    </row>
    <row r="2413" spans="1:10" x14ac:dyDescent="0.25">
      <c r="A2413" s="1039"/>
      <c r="B2413" s="1039"/>
      <c r="C2413" s="1039"/>
      <c r="D2413" s="1040"/>
      <c r="E2413" s="1041"/>
      <c r="F2413" s="1040"/>
      <c r="G2413" s="1041"/>
      <c r="H2413" s="1083"/>
      <c r="I2413" s="1083"/>
      <c r="J2413" s="1083"/>
    </row>
    <row r="2414" spans="1:10" x14ac:dyDescent="0.25">
      <c r="A2414" s="1039"/>
      <c r="B2414" s="1039"/>
      <c r="C2414" s="1039"/>
      <c r="D2414" s="1040"/>
      <c r="E2414" s="1041"/>
      <c r="F2414" s="1040"/>
      <c r="G2414" s="1041"/>
      <c r="H2414" s="1083"/>
      <c r="I2414" s="1083"/>
      <c r="J2414" s="1083"/>
    </row>
    <row r="2415" spans="1:10" x14ac:dyDescent="0.25">
      <c r="A2415" s="1039"/>
      <c r="B2415" s="1039"/>
      <c r="C2415" s="1039"/>
      <c r="D2415" s="1040"/>
      <c r="E2415" s="1041"/>
      <c r="F2415" s="1040"/>
      <c r="G2415" s="1041"/>
      <c r="H2415" s="1083"/>
      <c r="I2415" s="1083"/>
      <c r="J2415" s="1083"/>
    </row>
    <row r="2416" spans="1:10" x14ac:dyDescent="0.25">
      <c r="A2416" s="1039"/>
      <c r="B2416" s="1039"/>
      <c r="C2416" s="1039"/>
      <c r="D2416" s="1040"/>
      <c r="E2416" s="1041"/>
      <c r="F2416" s="1040"/>
      <c r="G2416" s="1041"/>
      <c r="H2416" s="1083"/>
      <c r="I2416" s="1083"/>
      <c r="J2416" s="1083"/>
    </row>
    <row r="2417" spans="1:10" x14ac:dyDescent="0.25">
      <c r="A2417" s="1039"/>
      <c r="B2417" s="1039"/>
      <c r="C2417" s="1039"/>
      <c r="D2417" s="1040"/>
      <c r="E2417" s="1041"/>
      <c r="F2417" s="1040"/>
      <c r="G2417" s="1041"/>
      <c r="H2417" s="1083"/>
      <c r="I2417" s="1083"/>
      <c r="J2417" s="1083"/>
    </row>
    <row r="2418" spans="1:10" x14ac:dyDescent="0.25">
      <c r="A2418" s="1039"/>
      <c r="B2418" s="1039"/>
      <c r="C2418" s="1039"/>
      <c r="D2418" s="1040"/>
      <c r="E2418" s="1041"/>
      <c r="F2418" s="1040"/>
      <c r="G2418" s="1041"/>
      <c r="H2418" s="1083"/>
      <c r="I2418" s="1083"/>
      <c r="J2418" s="1083"/>
    </row>
    <row r="2419" spans="1:10" x14ac:dyDescent="0.25">
      <c r="A2419" s="1039"/>
      <c r="B2419" s="1039"/>
      <c r="C2419" s="1039"/>
      <c r="D2419" s="1040"/>
      <c r="E2419" s="1041"/>
      <c r="F2419" s="1040"/>
      <c r="G2419" s="1041"/>
      <c r="H2419" s="1083"/>
      <c r="I2419" s="1083"/>
      <c r="J2419" s="1083"/>
    </row>
    <row r="2420" spans="1:10" x14ac:dyDescent="0.25">
      <c r="A2420" s="1039"/>
      <c r="B2420" s="1039"/>
      <c r="C2420" s="1039"/>
      <c r="D2420" s="1040"/>
      <c r="E2420" s="1041"/>
      <c r="F2420" s="1040"/>
      <c r="G2420" s="1041"/>
      <c r="H2420" s="1083"/>
      <c r="I2420" s="1083"/>
      <c r="J2420" s="1083"/>
    </row>
    <row r="2421" spans="1:10" x14ac:dyDescent="0.25">
      <c r="A2421" s="1039"/>
      <c r="B2421" s="1039"/>
      <c r="C2421" s="1039"/>
      <c r="D2421" s="1040"/>
      <c r="E2421" s="1041"/>
      <c r="F2421" s="1040"/>
      <c r="G2421" s="1041"/>
      <c r="H2421" s="1083"/>
      <c r="I2421" s="1083"/>
      <c r="J2421" s="1083"/>
    </row>
    <row r="2422" spans="1:10" x14ac:dyDescent="0.25">
      <c r="A2422" s="1039"/>
      <c r="B2422" s="1039"/>
      <c r="C2422" s="1039"/>
      <c r="D2422" s="1040"/>
      <c r="E2422" s="1041"/>
      <c r="F2422" s="1040"/>
      <c r="G2422" s="1041"/>
      <c r="H2422" s="1083"/>
      <c r="I2422" s="1083"/>
      <c r="J2422" s="1083"/>
    </row>
    <row r="2423" spans="1:10" x14ac:dyDescent="0.25">
      <c r="A2423" s="1039"/>
      <c r="B2423" s="1039"/>
      <c r="C2423" s="1039"/>
      <c r="D2423" s="1040"/>
      <c r="E2423" s="1041"/>
      <c r="F2423" s="1040"/>
      <c r="G2423" s="1041"/>
      <c r="H2423" s="1083"/>
      <c r="I2423" s="1083"/>
      <c r="J2423" s="1083"/>
    </row>
    <row r="2424" spans="1:10" x14ac:dyDescent="0.25">
      <c r="A2424" s="1039"/>
      <c r="B2424" s="1039"/>
      <c r="C2424" s="1039"/>
      <c r="D2424" s="1040"/>
      <c r="E2424" s="1041"/>
      <c r="F2424" s="1040"/>
      <c r="G2424" s="1041"/>
      <c r="H2424" s="1083"/>
      <c r="I2424" s="1083"/>
      <c r="J2424" s="1083"/>
    </row>
    <row r="2425" spans="1:10" x14ac:dyDescent="0.25">
      <c r="A2425" s="1039"/>
      <c r="B2425" s="1039"/>
      <c r="C2425" s="1039"/>
      <c r="D2425" s="1040"/>
      <c r="E2425" s="1041"/>
      <c r="F2425" s="1040"/>
      <c r="G2425" s="1041"/>
      <c r="H2425" s="1083"/>
      <c r="I2425" s="1083"/>
      <c r="J2425" s="1083"/>
    </row>
    <row r="2426" spans="1:10" x14ac:dyDescent="0.25">
      <c r="A2426" s="1039"/>
      <c r="B2426" s="1039"/>
      <c r="C2426" s="1039"/>
      <c r="D2426" s="1040"/>
      <c r="E2426" s="1041"/>
      <c r="F2426" s="1040"/>
      <c r="G2426" s="1041"/>
      <c r="H2426" s="1083"/>
      <c r="I2426" s="1083"/>
      <c r="J2426" s="1083"/>
    </row>
    <row r="2427" spans="1:10" x14ac:dyDescent="0.25">
      <c r="A2427" s="1039"/>
      <c r="B2427" s="1039"/>
      <c r="C2427" s="1039"/>
      <c r="D2427" s="1040"/>
      <c r="E2427" s="1041"/>
      <c r="F2427" s="1040"/>
      <c r="G2427" s="1041"/>
      <c r="H2427" s="1083"/>
      <c r="I2427" s="1083"/>
      <c r="J2427" s="1083"/>
    </row>
    <row r="2428" spans="1:10" x14ac:dyDescent="0.25">
      <c r="A2428" s="1039"/>
      <c r="B2428" s="1039"/>
      <c r="C2428" s="1039"/>
      <c r="D2428" s="1040"/>
      <c r="E2428" s="1041"/>
      <c r="F2428" s="1040"/>
      <c r="G2428" s="1041"/>
      <c r="H2428" s="1083"/>
      <c r="I2428" s="1083"/>
      <c r="J2428" s="1083"/>
    </row>
    <row r="2429" spans="1:10" x14ac:dyDescent="0.25">
      <c r="A2429" s="1039"/>
      <c r="B2429" s="1039"/>
      <c r="C2429" s="1039"/>
      <c r="D2429" s="1040"/>
      <c r="E2429" s="1041"/>
      <c r="F2429" s="1040"/>
      <c r="G2429" s="1041"/>
      <c r="H2429" s="1083"/>
      <c r="I2429" s="1083"/>
      <c r="J2429" s="1083"/>
    </row>
    <row r="2430" spans="1:10" x14ac:dyDescent="0.25">
      <c r="A2430" s="1039"/>
      <c r="B2430" s="1039"/>
      <c r="C2430" s="1039"/>
      <c r="D2430" s="1040"/>
      <c r="E2430" s="1041"/>
      <c r="F2430" s="1040"/>
      <c r="G2430" s="1041"/>
      <c r="H2430" s="1083"/>
      <c r="I2430" s="1083"/>
      <c r="J2430" s="1083"/>
    </row>
    <row r="2431" spans="1:10" x14ac:dyDescent="0.25">
      <c r="A2431" s="1039"/>
      <c r="B2431" s="1039"/>
      <c r="C2431" s="1039"/>
      <c r="D2431" s="1040"/>
      <c r="E2431" s="1041"/>
      <c r="F2431" s="1040"/>
      <c r="G2431" s="1041"/>
      <c r="H2431" s="1083"/>
      <c r="I2431" s="1083"/>
      <c r="J2431" s="1083"/>
    </row>
    <row r="2432" spans="1:10" x14ac:dyDescent="0.25">
      <c r="A2432" s="1039"/>
      <c r="B2432" s="1039"/>
      <c r="C2432" s="1039"/>
      <c r="D2432" s="1040"/>
      <c r="E2432" s="1041"/>
      <c r="F2432" s="1040"/>
      <c r="G2432" s="1041"/>
      <c r="H2432" s="1083"/>
      <c r="I2432" s="1083"/>
      <c r="J2432" s="1083"/>
    </row>
    <row r="2433" spans="1:10" x14ac:dyDescent="0.25">
      <c r="A2433" s="1039"/>
      <c r="B2433" s="1039"/>
      <c r="C2433" s="1039"/>
      <c r="D2433" s="1040"/>
      <c r="E2433" s="1041"/>
      <c r="F2433" s="1040"/>
      <c r="G2433" s="1041"/>
      <c r="H2433" s="1083"/>
      <c r="I2433" s="1083"/>
      <c r="J2433" s="1083"/>
    </row>
    <row r="2434" spans="1:10" x14ac:dyDescent="0.25">
      <c r="A2434" s="1039"/>
      <c r="B2434" s="1039"/>
      <c r="C2434" s="1039"/>
      <c r="D2434" s="1040"/>
      <c r="E2434" s="1041"/>
      <c r="F2434" s="1040"/>
      <c r="G2434" s="1041"/>
      <c r="H2434" s="1083"/>
      <c r="I2434" s="1083"/>
      <c r="J2434" s="1083"/>
    </row>
    <row r="2435" spans="1:10" x14ac:dyDescent="0.25">
      <c r="A2435" s="1039"/>
      <c r="B2435" s="1039"/>
      <c r="C2435" s="1039"/>
      <c r="D2435" s="1040"/>
      <c r="E2435" s="1041"/>
      <c r="F2435" s="1040"/>
      <c r="G2435" s="1041"/>
      <c r="H2435" s="1083"/>
      <c r="I2435" s="1083"/>
      <c r="J2435" s="1083"/>
    </row>
    <row r="2436" spans="1:10" x14ac:dyDescent="0.25">
      <c r="A2436" s="1039"/>
      <c r="B2436" s="1039"/>
      <c r="C2436" s="1039"/>
      <c r="D2436" s="1040"/>
      <c r="E2436" s="1041"/>
      <c r="F2436" s="1040"/>
      <c r="G2436" s="1041"/>
      <c r="H2436" s="1083"/>
      <c r="I2436" s="1083"/>
      <c r="J2436" s="1083"/>
    </row>
    <row r="2437" spans="1:10" x14ac:dyDescent="0.25">
      <c r="A2437" s="1039"/>
      <c r="B2437" s="1039"/>
      <c r="C2437" s="1039"/>
      <c r="D2437" s="1040"/>
      <c r="E2437" s="1041"/>
      <c r="F2437" s="1040"/>
      <c r="G2437" s="1041"/>
      <c r="H2437" s="1083"/>
      <c r="I2437" s="1083"/>
      <c r="J2437" s="1083"/>
    </row>
    <row r="2438" spans="1:10" x14ac:dyDescent="0.25">
      <c r="A2438" s="1039"/>
      <c r="B2438" s="1039"/>
      <c r="C2438" s="1039"/>
      <c r="D2438" s="1040"/>
      <c r="E2438" s="1041"/>
      <c r="F2438" s="1040"/>
      <c r="G2438" s="1041"/>
      <c r="H2438" s="1083"/>
      <c r="I2438" s="1083"/>
      <c r="J2438" s="1083"/>
    </row>
    <row r="2439" spans="1:10" x14ac:dyDescent="0.25">
      <c r="A2439" s="1039"/>
      <c r="B2439" s="1039"/>
      <c r="C2439" s="1039"/>
      <c r="D2439" s="1040"/>
      <c r="E2439" s="1041"/>
      <c r="F2439" s="1040"/>
      <c r="G2439" s="1041"/>
      <c r="H2439" s="1083"/>
      <c r="I2439" s="1083"/>
      <c r="J2439" s="1083"/>
    </row>
    <row r="2440" spans="1:10" x14ac:dyDescent="0.25">
      <c r="A2440" s="1039"/>
      <c r="B2440" s="1039"/>
      <c r="C2440" s="1039"/>
      <c r="D2440" s="1040"/>
      <c r="E2440" s="1041"/>
      <c r="F2440" s="1040"/>
      <c r="G2440" s="1041"/>
      <c r="H2440" s="1083"/>
      <c r="I2440" s="1083"/>
      <c r="J2440" s="1083"/>
    </row>
    <row r="2441" spans="1:10" x14ac:dyDescent="0.25">
      <c r="A2441" s="1039"/>
      <c r="B2441" s="1039"/>
      <c r="C2441" s="1039"/>
      <c r="D2441" s="1040"/>
      <c r="E2441" s="1041"/>
      <c r="F2441" s="1040"/>
      <c r="G2441" s="1041"/>
      <c r="H2441" s="1083"/>
      <c r="I2441" s="1083"/>
      <c r="J2441" s="1083"/>
    </row>
    <row r="2442" spans="1:10" x14ac:dyDescent="0.25">
      <c r="A2442" s="1039"/>
      <c r="B2442" s="1039"/>
      <c r="C2442" s="1039"/>
      <c r="D2442" s="1040"/>
      <c r="E2442" s="1041"/>
      <c r="F2442" s="1040"/>
      <c r="G2442" s="1041"/>
      <c r="H2442" s="1083"/>
      <c r="I2442" s="1083"/>
      <c r="J2442" s="1083"/>
    </row>
    <row r="2443" spans="1:10" x14ac:dyDescent="0.25">
      <c r="A2443" s="1039"/>
      <c r="B2443" s="1039"/>
      <c r="C2443" s="1039"/>
      <c r="D2443" s="1040"/>
      <c r="E2443" s="1041"/>
      <c r="F2443" s="1040"/>
      <c r="G2443" s="1041"/>
      <c r="H2443" s="1083"/>
      <c r="I2443" s="1083"/>
      <c r="J2443" s="1083"/>
    </row>
    <row r="2444" spans="1:10" x14ac:dyDescent="0.25">
      <c r="A2444" s="1039"/>
      <c r="B2444" s="1039"/>
      <c r="C2444" s="1039"/>
      <c r="D2444" s="1040"/>
      <c r="E2444" s="1041"/>
      <c r="F2444" s="1040"/>
      <c r="G2444" s="1041"/>
      <c r="H2444" s="1083"/>
      <c r="I2444" s="1083"/>
      <c r="J2444" s="1083"/>
    </row>
    <row r="2445" spans="1:10" x14ac:dyDescent="0.25">
      <c r="A2445" s="1039"/>
      <c r="B2445" s="1039"/>
      <c r="C2445" s="1039"/>
      <c r="D2445" s="1040"/>
      <c r="E2445" s="1041"/>
      <c r="F2445" s="1040"/>
      <c r="G2445" s="1041"/>
      <c r="H2445" s="1083"/>
      <c r="I2445" s="1083"/>
      <c r="J2445" s="1083"/>
    </row>
    <row r="2446" spans="1:10" x14ac:dyDescent="0.25">
      <c r="A2446" s="1039"/>
      <c r="B2446" s="1039"/>
      <c r="C2446" s="1039"/>
      <c r="D2446" s="1040"/>
      <c r="E2446" s="1041"/>
      <c r="F2446" s="1040"/>
      <c r="G2446" s="1041"/>
      <c r="H2446" s="1083"/>
      <c r="I2446" s="1083"/>
      <c r="J2446" s="1083"/>
    </row>
    <row r="2447" spans="1:10" x14ac:dyDescent="0.25">
      <c r="A2447" s="1039"/>
      <c r="B2447" s="1039"/>
      <c r="C2447" s="1039"/>
      <c r="D2447" s="1040"/>
      <c r="E2447" s="1041"/>
      <c r="F2447" s="1040"/>
      <c r="G2447" s="1041"/>
      <c r="H2447" s="1083"/>
      <c r="I2447" s="1083"/>
      <c r="J2447" s="1083"/>
    </row>
    <row r="2448" spans="1:10" x14ac:dyDescent="0.25">
      <c r="A2448" s="1039"/>
      <c r="B2448" s="1039"/>
      <c r="C2448" s="1039"/>
      <c r="D2448" s="1040"/>
      <c r="E2448" s="1041"/>
      <c r="F2448" s="1040"/>
      <c r="G2448" s="1041"/>
      <c r="H2448" s="1083"/>
      <c r="I2448" s="1083"/>
      <c r="J2448" s="1083"/>
    </row>
    <row r="2449" spans="1:10" x14ac:dyDescent="0.25">
      <c r="A2449" s="1039"/>
      <c r="B2449" s="1039"/>
      <c r="C2449" s="1039"/>
      <c r="D2449" s="1040"/>
      <c r="E2449" s="1041"/>
      <c r="F2449" s="1040"/>
      <c r="G2449" s="1041"/>
      <c r="H2449" s="1083"/>
      <c r="I2449" s="1083"/>
      <c r="J2449" s="1083"/>
    </row>
    <row r="2450" spans="1:10" x14ac:dyDescent="0.25">
      <c r="A2450" s="1039"/>
      <c r="B2450" s="1039"/>
      <c r="C2450" s="1039"/>
      <c r="D2450" s="1040"/>
      <c r="E2450" s="1041"/>
      <c r="F2450" s="1040"/>
      <c r="G2450" s="1041"/>
      <c r="H2450" s="1083"/>
      <c r="I2450" s="1083"/>
      <c r="J2450" s="1083"/>
    </row>
    <row r="2451" spans="1:10" x14ac:dyDescent="0.25">
      <c r="A2451" s="1039"/>
      <c r="B2451" s="1039"/>
      <c r="C2451" s="1039"/>
      <c r="D2451" s="1040"/>
      <c r="E2451" s="1041"/>
      <c r="F2451" s="1040"/>
      <c r="G2451" s="1041"/>
      <c r="H2451" s="1083"/>
      <c r="I2451" s="1083"/>
      <c r="J2451" s="1083"/>
    </row>
    <row r="2452" spans="1:10" x14ac:dyDescent="0.25">
      <c r="A2452" s="1039"/>
      <c r="B2452" s="1039"/>
      <c r="C2452" s="1039"/>
      <c r="D2452" s="1040"/>
      <c r="E2452" s="1041"/>
      <c r="F2452" s="1040"/>
      <c r="G2452" s="1041"/>
      <c r="H2452" s="1083"/>
      <c r="I2452" s="1083"/>
      <c r="J2452" s="1083"/>
    </row>
    <row r="2453" spans="1:10" x14ac:dyDescent="0.25">
      <c r="A2453" s="1039"/>
      <c r="B2453" s="1039"/>
      <c r="C2453" s="1039"/>
      <c r="D2453" s="1040"/>
      <c r="E2453" s="1041"/>
      <c r="F2453" s="1040"/>
      <c r="G2453" s="1041"/>
      <c r="H2453" s="1083"/>
      <c r="I2453" s="1083"/>
      <c r="J2453" s="1083"/>
    </row>
    <row r="2454" spans="1:10" x14ac:dyDescent="0.25">
      <c r="A2454" s="1039"/>
      <c r="B2454" s="1039"/>
      <c r="C2454" s="1039"/>
      <c r="D2454" s="1040"/>
      <c r="E2454" s="1041"/>
      <c r="F2454" s="1040"/>
      <c r="G2454" s="1041"/>
      <c r="H2454" s="1083"/>
      <c r="I2454" s="1083"/>
      <c r="J2454" s="1083"/>
    </row>
    <row r="2455" spans="1:10" x14ac:dyDescent="0.25">
      <c r="A2455" s="1039"/>
      <c r="B2455" s="1039"/>
      <c r="C2455" s="1039"/>
      <c r="D2455" s="1040"/>
      <c r="E2455" s="1041"/>
      <c r="F2455" s="1040"/>
      <c r="G2455" s="1041"/>
      <c r="H2455" s="1083"/>
      <c r="I2455" s="1083"/>
      <c r="J2455" s="1083"/>
    </row>
    <row r="2456" spans="1:10" x14ac:dyDescent="0.25">
      <c r="A2456" s="1039"/>
      <c r="B2456" s="1039"/>
      <c r="C2456" s="1039"/>
      <c r="D2456" s="1040"/>
      <c r="E2456" s="1041"/>
      <c r="F2456" s="1040"/>
      <c r="G2456" s="1041"/>
      <c r="H2456" s="1083"/>
      <c r="I2456" s="1083"/>
      <c r="J2456" s="1083"/>
    </row>
    <row r="2457" spans="1:10" x14ac:dyDescent="0.25">
      <c r="A2457" s="1039"/>
      <c r="B2457" s="1039"/>
      <c r="C2457" s="1039"/>
      <c r="D2457" s="1040"/>
      <c r="E2457" s="1041"/>
      <c r="F2457" s="1040"/>
      <c r="G2457" s="1041"/>
      <c r="H2457" s="1083"/>
      <c r="I2457" s="1083"/>
      <c r="J2457" s="1083"/>
    </row>
    <row r="2458" spans="1:10" x14ac:dyDescent="0.25">
      <c r="A2458" s="1039"/>
      <c r="B2458" s="1039"/>
      <c r="C2458" s="1039"/>
      <c r="D2458" s="1040"/>
      <c r="E2458" s="1041"/>
      <c r="F2458" s="1040"/>
      <c r="G2458" s="1041"/>
      <c r="H2458" s="1083"/>
      <c r="I2458" s="1083"/>
      <c r="J2458" s="1083"/>
    </row>
    <row r="2459" spans="1:10" x14ac:dyDescent="0.25">
      <c r="A2459" s="1039"/>
      <c r="B2459" s="1039"/>
      <c r="C2459" s="1039"/>
      <c r="D2459" s="1040"/>
      <c r="E2459" s="1041"/>
      <c r="F2459" s="1040"/>
      <c r="G2459" s="1041"/>
      <c r="H2459" s="1083"/>
      <c r="I2459" s="1083"/>
      <c r="J2459" s="1083"/>
    </row>
    <row r="2460" spans="1:10" x14ac:dyDescent="0.25">
      <c r="A2460" s="1039"/>
      <c r="B2460" s="1039"/>
      <c r="C2460" s="1039"/>
      <c r="D2460" s="1040"/>
      <c r="E2460" s="1041"/>
      <c r="F2460" s="1040"/>
      <c r="G2460" s="1041"/>
      <c r="H2460" s="1083"/>
      <c r="I2460" s="1083"/>
      <c r="J2460" s="1083"/>
    </row>
    <row r="2461" spans="1:10" x14ac:dyDescent="0.25">
      <c r="A2461" s="1039"/>
      <c r="B2461" s="1039"/>
      <c r="C2461" s="1039"/>
      <c r="D2461" s="1040"/>
      <c r="E2461" s="1041"/>
      <c r="F2461" s="1040"/>
      <c r="G2461" s="1041"/>
      <c r="H2461" s="1083"/>
      <c r="I2461" s="1083"/>
      <c r="J2461" s="1083"/>
    </row>
    <row r="2462" spans="1:10" x14ac:dyDescent="0.25">
      <c r="A2462" s="1039"/>
      <c r="B2462" s="1039"/>
      <c r="C2462" s="1039"/>
      <c r="D2462" s="1040"/>
      <c r="E2462" s="1041"/>
      <c r="F2462" s="1040"/>
      <c r="G2462" s="1041"/>
      <c r="H2462" s="1083"/>
      <c r="I2462" s="1083"/>
      <c r="J2462" s="1083"/>
    </row>
    <row r="2463" spans="1:10" x14ac:dyDescent="0.25">
      <c r="A2463" s="1039"/>
      <c r="B2463" s="1039"/>
      <c r="C2463" s="1039"/>
      <c r="D2463" s="1040"/>
      <c r="E2463" s="1041"/>
      <c r="F2463" s="1040"/>
      <c r="G2463" s="1041"/>
      <c r="H2463" s="1083"/>
      <c r="I2463" s="1083"/>
      <c r="J2463" s="1083"/>
    </row>
    <row r="2464" spans="1:10" x14ac:dyDescent="0.25">
      <c r="A2464" s="1039"/>
      <c r="B2464" s="1039"/>
      <c r="C2464" s="1039"/>
      <c r="D2464" s="1040"/>
      <c r="E2464" s="1041"/>
      <c r="F2464" s="1040"/>
      <c r="G2464" s="1041"/>
      <c r="H2464" s="1083"/>
      <c r="I2464" s="1083"/>
      <c r="J2464" s="1083"/>
    </row>
    <row r="2465" spans="1:10" x14ac:dyDescent="0.25">
      <c r="A2465" s="1039"/>
      <c r="B2465" s="1039"/>
      <c r="C2465" s="1039"/>
      <c r="D2465" s="1040"/>
      <c r="E2465" s="1041"/>
      <c r="F2465" s="1040"/>
      <c r="G2465" s="1041"/>
      <c r="H2465" s="1083"/>
      <c r="I2465" s="1083"/>
      <c r="J2465" s="1083"/>
    </row>
    <row r="2466" spans="1:10" x14ac:dyDescent="0.25">
      <c r="A2466" s="1039"/>
      <c r="B2466" s="1039"/>
      <c r="C2466" s="1039"/>
      <c r="D2466" s="1040"/>
      <c r="E2466" s="1041"/>
      <c r="F2466" s="1040"/>
      <c r="G2466" s="1041"/>
      <c r="H2466" s="1083"/>
      <c r="I2466" s="1083"/>
      <c r="J2466" s="1083"/>
    </row>
    <row r="2467" spans="1:10" x14ac:dyDescent="0.25">
      <c r="A2467" s="1039"/>
      <c r="B2467" s="1039"/>
      <c r="C2467" s="1039"/>
      <c r="D2467" s="1040"/>
      <c r="E2467" s="1041"/>
      <c r="F2467" s="1040"/>
      <c r="G2467" s="1041"/>
      <c r="H2467" s="1083"/>
      <c r="I2467" s="1083"/>
      <c r="J2467" s="1083"/>
    </row>
    <row r="2468" spans="1:10" x14ac:dyDescent="0.25">
      <c r="A2468" s="1039"/>
      <c r="B2468" s="1039"/>
      <c r="C2468" s="1039"/>
      <c r="D2468" s="1040"/>
      <c r="E2468" s="1041"/>
      <c r="F2468" s="1040"/>
      <c r="G2468" s="1041"/>
      <c r="H2468" s="1083"/>
      <c r="I2468" s="1083"/>
      <c r="J2468" s="1083"/>
    </row>
    <row r="2469" spans="1:10" x14ac:dyDescent="0.25">
      <c r="A2469" s="1039"/>
      <c r="B2469" s="1039"/>
      <c r="C2469" s="1039"/>
      <c r="D2469" s="1040"/>
      <c r="E2469" s="1041"/>
      <c r="F2469" s="1040"/>
      <c r="G2469" s="1041"/>
      <c r="H2469" s="1083"/>
      <c r="I2469" s="1083"/>
      <c r="J2469" s="1083"/>
    </row>
    <row r="2470" spans="1:10" x14ac:dyDescent="0.25">
      <c r="A2470" s="1039"/>
      <c r="B2470" s="1039"/>
      <c r="C2470" s="1039"/>
      <c r="D2470" s="1040"/>
      <c r="E2470" s="1041"/>
      <c r="F2470" s="1040"/>
      <c r="G2470" s="1041"/>
      <c r="H2470" s="1083"/>
      <c r="I2470" s="1083"/>
      <c r="J2470" s="1083"/>
    </row>
    <row r="2471" spans="1:10" x14ac:dyDescent="0.25">
      <c r="A2471" s="1039"/>
      <c r="B2471" s="1039"/>
      <c r="C2471" s="1039"/>
      <c r="D2471" s="1040"/>
      <c r="E2471" s="1041"/>
      <c r="F2471" s="1040"/>
      <c r="G2471" s="1041"/>
      <c r="H2471" s="1083"/>
      <c r="I2471" s="1083"/>
      <c r="J2471" s="1083"/>
    </row>
    <row r="2472" spans="1:10" x14ac:dyDescent="0.25">
      <c r="A2472" s="1039"/>
      <c r="B2472" s="1039"/>
      <c r="C2472" s="1039"/>
      <c r="D2472" s="1040"/>
      <c r="E2472" s="1041"/>
      <c r="F2472" s="1040"/>
      <c r="G2472" s="1041"/>
      <c r="H2472" s="1083"/>
      <c r="I2472" s="1083"/>
      <c r="J2472" s="1083"/>
    </row>
    <row r="2473" spans="1:10" x14ac:dyDescent="0.25">
      <c r="A2473" s="1039"/>
      <c r="B2473" s="1039"/>
      <c r="C2473" s="1039"/>
      <c r="D2473" s="1040"/>
      <c r="E2473" s="1041"/>
      <c r="F2473" s="1040"/>
      <c r="G2473" s="1041"/>
      <c r="H2473" s="1083"/>
      <c r="I2473" s="1083"/>
      <c r="J2473" s="1083"/>
    </row>
    <row r="2474" spans="1:10" x14ac:dyDescent="0.25">
      <c r="A2474" s="1039"/>
      <c r="B2474" s="1039"/>
      <c r="C2474" s="1039"/>
      <c r="D2474" s="1040"/>
      <c r="E2474" s="1041"/>
      <c r="F2474" s="1040"/>
      <c r="G2474" s="1041"/>
      <c r="H2474" s="1083"/>
      <c r="I2474" s="1083"/>
      <c r="J2474" s="1083"/>
    </row>
    <row r="2475" spans="1:10" x14ac:dyDescent="0.25">
      <c r="A2475" s="1039"/>
      <c r="B2475" s="1039"/>
      <c r="C2475" s="1039"/>
      <c r="D2475" s="1040"/>
      <c r="E2475" s="1041"/>
      <c r="F2475" s="1040"/>
      <c r="G2475" s="1041"/>
      <c r="H2475" s="1083"/>
      <c r="I2475" s="1083"/>
      <c r="J2475" s="1083"/>
    </row>
    <row r="2476" spans="1:10" x14ac:dyDescent="0.25">
      <c r="A2476" s="1039"/>
      <c r="B2476" s="1039"/>
      <c r="C2476" s="1039"/>
      <c r="D2476" s="1040"/>
      <c r="E2476" s="1041"/>
      <c r="F2476" s="1040"/>
      <c r="G2476" s="1041"/>
      <c r="H2476" s="1083"/>
      <c r="I2476" s="1083"/>
      <c r="J2476" s="1083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1316"/>
  <sheetViews>
    <sheetView zoomScale="85" zoomScaleNormal="85" workbookViewId="0">
      <pane xSplit="5" ySplit="1" topLeftCell="F691" activePane="bottomRight" state="frozen"/>
      <selection pane="topRight"/>
      <selection pane="bottomLeft"/>
      <selection pane="bottomRight" activeCell="D691" sqref="D691"/>
    </sheetView>
  </sheetViews>
  <sheetFormatPr defaultColWidth="9.140625" defaultRowHeight="15" x14ac:dyDescent="0.25"/>
  <cols>
    <col min="1" max="1" width="5.140625" style="758" customWidth="1"/>
    <col min="2" max="2" width="11" style="847" customWidth="1"/>
    <col min="3" max="3" width="24.42578125" style="758" customWidth="1"/>
    <col min="4" max="4" width="8.28515625" style="759" customWidth="1"/>
    <col min="5" max="5" width="8.7109375" style="848" customWidth="1"/>
    <col min="6" max="6" width="9.140625" style="758"/>
    <col min="7" max="7" width="11.42578125" style="758" customWidth="1"/>
    <col min="8" max="8" width="11" style="758" customWidth="1"/>
    <col min="9" max="9" width="13.5703125" style="758" customWidth="1"/>
    <col min="10" max="10" width="8" style="758" customWidth="1"/>
    <col min="11" max="11" width="11.85546875" style="758" customWidth="1"/>
    <col min="12" max="12" width="13" style="758" customWidth="1"/>
    <col min="13" max="13" width="9.140625" style="758" customWidth="1"/>
    <col min="14" max="14" width="32.5703125" style="758" customWidth="1"/>
    <col min="15" max="15" width="10.140625" style="758" customWidth="1"/>
    <col min="16" max="16" width="29.140625" style="758" customWidth="1"/>
    <col min="17" max="16384" width="9.140625" style="758"/>
  </cols>
  <sheetData>
    <row r="1" spans="1:16" s="846" customFormat="1" ht="33.75" customHeight="1" x14ac:dyDescent="0.25">
      <c r="A1" s="846" t="s">
        <v>0</v>
      </c>
      <c r="B1" s="849" t="s">
        <v>1</v>
      </c>
      <c r="C1" s="846" t="s">
        <v>3365</v>
      </c>
      <c r="D1" s="846" t="s">
        <v>3366</v>
      </c>
      <c r="E1" s="850" t="s">
        <v>22</v>
      </c>
      <c r="F1" s="846" t="s">
        <v>3367</v>
      </c>
      <c r="H1" s="846" t="s">
        <v>3368</v>
      </c>
      <c r="I1" s="846" t="s">
        <v>3369</v>
      </c>
      <c r="J1" s="846" t="s">
        <v>3370</v>
      </c>
      <c r="K1" s="846" t="s">
        <v>3371</v>
      </c>
      <c r="L1" s="846" t="s">
        <v>3372</v>
      </c>
      <c r="M1" s="846" t="s">
        <v>3373</v>
      </c>
      <c r="N1" s="846" t="s">
        <v>3</v>
      </c>
      <c r="O1" s="846" t="s">
        <v>3374</v>
      </c>
      <c r="P1" s="846" t="s">
        <v>3375</v>
      </c>
    </row>
    <row r="2" spans="1:16" x14ac:dyDescent="0.25">
      <c r="A2" s="758">
        <v>1</v>
      </c>
      <c r="B2" s="847">
        <v>84089090</v>
      </c>
      <c r="C2" s="758" t="s">
        <v>140</v>
      </c>
      <c r="D2" s="759" t="s">
        <v>32</v>
      </c>
      <c r="E2" s="848">
        <v>40544</v>
      </c>
      <c r="F2" s="848" t="str">
        <f t="shared" ref="F2:F65" si="0">IFERROR(VLOOKUP(B2,Tlus,3,FALSE),"   ")</f>
        <v xml:space="preserve">   </v>
      </c>
    </row>
    <row r="3" spans="1:16" x14ac:dyDescent="0.25">
      <c r="A3" s="758">
        <v>2</v>
      </c>
      <c r="B3" s="847">
        <v>84089096</v>
      </c>
      <c r="C3" s="758" t="s">
        <v>3376</v>
      </c>
      <c r="D3" s="759" t="s">
        <v>32</v>
      </c>
      <c r="E3" s="848">
        <v>40544</v>
      </c>
      <c r="F3" s="848" t="str">
        <f t="shared" si="0"/>
        <v xml:space="preserve">   </v>
      </c>
    </row>
    <row r="4" spans="1:16" x14ac:dyDescent="0.25">
      <c r="A4" s="758">
        <v>3</v>
      </c>
      <c r="B4" s="847">
        <v>84089091</v>
      </c>
      <c r="C4" s="758" t="s">
        <v>141</v>
      </c>
      <c r="D4" s="759" t="s">
        <v>32</v>
      </c>
      <c r="E4" s="848">
        <v>40544</v>
      </c>
      <c r="F4" s="848" t="str">
        <f t="shared" si="0"/>
        <v xml:space="preserve">   </v>
      </c>
    </row>
    <row r="5" spans="1:16" x14ac:dyDescent="0.25">
      <c r="A5" s="758">
        <v>4</v>
      </c>
      <c r="B5" s="847">
        <v>84089002</v>
      </c>
      <c r="C5" s="758" t="s">
        <v>3377</v>
      </c>
      <c r="D5" s="759" t="s">
        <v>32</v>
      </c>
      <c r="E5" s="848">
        <v>40544</v>
      </c>
      <c r="F5" s="848" t="str">
        <f t="shared" si="0"/>
        <v xml:space="preserve">   </v>
      </c>
    </row>
    <row r="6" spans="1:16" x14ac:dyDescent="0.25">
      <c r="A6" s="758">
        <v>5</v>
      </c>
      <c r="B6" s="847">
        <v>84089084</v>
      </c>
      <c r="C6" s="758" t="s">
        <v>131</v>
      </c>
      <c r="D6" s="759" t="s">
        <v>32</v>
      </c>
      <c r="E6" s="848">
        <v>40544</v>
      </c>
      <c r="F6" s="848" t="str">
        <f t="shared" si="0"/>
        <v xml:space="preserve">   </v>
      </c>
    </row>
    <row r="7" spans="1:16" x14ac:dyDescent="0.25">
      <c r="A7" s="758">
        <v>6</v>
      </c>
      <c r="B7" s="847">
        <v>84089022</v>
      </c>
      <c r="C7" s="758" t="s">
        <v>3378</v>
      </c>
      <c r="D7" s="759" t="s">
        <v>32</v>
      </c>
      <c r="E7" s="848">
        <v>40544</v>
      </c>
      <c r="F7" s="848" t="str">
        <f t="shared" si="0"/>
        <v xml:space="preserve">   </v>
      </c>
    </row>
    <row r="8" spans="1:16" x14ac:dyDescent="0.25">
      <c r="A8" s="758">
        <v>7</v>
      </c>
      <c r="B8" s="847">
        <v>84089011</v>
      </c>
      <c r="C8" s="758" t="s">
        <v>2505</v>
      </c>
      <c r="D8" s="759" t="s">
        <v>32</v>
      </c>
      <c r="E8" s="848">
        <v>40544</v>
      </c>
      <c r="F8" s="848" t="str">
        <f t="shared" si="0"/>
        <v xml:space="preserve">   </v>
      </c>
    </row>
    <row r="9" spans="1:16" x14ac:dyDescent="0.25">
      <c r="A9" s="758">
        <v>8</v>
      </c>
      <c r="B9" s="847">
        <v>84089045</v>
      </c>
      <c r="C9" s="758" t="s">
        <v>3379</v>
      </c>
      <c r="D9" s="759" t="s">
        <v>32</v>
      </c>
      <c r="E9" s="848">
        <v>40544</v>
      </c>
      <c r="F9" s="848" t="str">
        <f t="shared" si="0"/>
        <v xml:space="preserve">   </v>
      </c>
    </row>
    <row r="10" spans="1:16" x14ac:dyDescent="0.25">
      <c r="A10" s="758">
        <v>9</v>
      </c>
      <c r="B10" s="847">
        <v>84089071</v>
      </c>
      <c r="C10" s="758" t="s">
        <v>111</v>
      </c>
      <c r="D10" s="759" t="s">
        <v>32</v>
      </c>
      <c r="E10" s="848">
        <v>40544</v>
      </c>
      <c r="F10" s="848" t="str">
        <f t="shared" si="0"/>
        <v xml:space="preserve">   </v>
      </c>
    </row>
    <row r="11" spans="1:16" x14ac:dyDescent="0.25">
      <c r="A11" s="758">
        <v>10</v>
      </c>
      <c r="B11" s="847">
        <v>84089089</v>
      </c>
      <c r="C11" s="758" t="s">
        <v>139</v>
      </c>
      <c r="D11" s="759" t="s">
        <v>32</v>
      </c>
      <c r="E11" s="848">
        <v>40544</v>
      </c>
      <c r="F11" s="848" t="str">
        <f t="shared" si="0"/>
        <v xml:space="preserve">   </v>
      </c>
    </row>
    <row r="12" spans="1:16" x14ac:dyDescent="0.25">
      <c r="A12" s="758">
        <v>11</v>
      </c>
      <c r="B12" s="847">
        <v>84089043</v>
      </c>
      <c r="C12" s="758" t="s">
        <v>3380</v>
      </c>
      <c r="D12" s="759" t="s">
        <v>32</v>
      </c>
      <c r="E12" s="848">
        <v>40544</v>
      </c>
      <c r="F12" s="848" t="str">
        <f t="shared" si="0"/>
        <v xml:space="preserve">   </v>
      </c>
    </row>
    <row r="13" spans="1:16" x14ac:dyDescent="0.25">
      <c r="A13" s="758">
        <v>12</v>
      </c>
      <c r="B13" s="847">
        <v>84089097</v>
      </c>
      <c r="C13" s="758" t="s">
        <v>3381</v>
      </c>
      <c r="D13" s="759" t="s">
        <v>32</v>
      </c>
      <c r="E13" s="848">
        <v>40544</v>
      </c>
      <c r="F13" s="848" t="str">
        <f t="shared" si="0"/>
        <v xml:space="preserve">   </v>
      </c>
    </row>
    <row r="14" spans="1:16" x14ac:dyDescent="0.25">
      <c r="A14" s="758">
        <v>13</v>
      </c>
      <c r="B14" s="847">
        <v>84099016</v>
      </c>
      <c r="C14" s="758" t="s">
        <v>177</v>
      </c>
      <c r="D14" s="759" t="s">
        <v>32</v>
      </c>
      <c r="E14" s="848">
        <v>40544</v>
      </c>
      <c r="F14" s="848" t="str">
        <f t="shared" si="0"/>
        <v xml:space="preserve">   </v>
      </c>
    </row>
    <row r="15" spans="1:16" x14ac:dyDescent="0.25">
      <c r="A15" s="758">
        <v>14</v>
      </c>
      <c r="B15" s="847">
        <v>84089095</v>
      </c>
      <c r="C15" s="758" t="s">
        <v>147</v>
      </c>
      <c r="D15" s="759" t="s">
        <v>32</v>
      </c>
      <c r="E15" s="848">
        <v>40544</v>
      </c>
      <c r="F15" s="848" t="str">
        <f t="shared" si="0"/>
        <v xml:space="preserve">   </v>
      </c>
    </row>
    <row r="16" spans="1:16" x14ac:dyDescent="0.25">
      <c r="A16" s="758">
        <v>15</v>
      </c>
      <c r="B16" s="847">
        <v>84089088</v>
      </c>
      <c r="C16" s="758" t="s">
        <v>138</v>
      </c>
      <c r="D16" s="759" t="s">
        <v>32</v>
      </c>
      <c r="E16" s="848">
        <v>40544</v>
      </c>
      <c r="F16" s="848" t="str">
        <f t="shared" si="0"/>
        <v xml:space="preserve">   </v>
      </c>
    </row>
    <row r="17" spans="1:6" x14ac:dyDescent="0.25">
      <c r="A17" s="758">
        <v>16</v>
      </c>
      <c r="B17" s="847">
        <v>84089092</v>
      </c>
      <c r="C17" s="758" t="s">
        <v>143</v>
      </c>
      <c r="D17" s="759" t="s">
        <v>32</v>
      </c>
      <c r="E17" s="848">
        <v>40544</v>
      </c>
      <c r="F17" s="848" t="str">
        <f t="shared" si="0"/>
        <v xml:space="preserve">   </v>
      </c>
    </row>
    <row r="18" spans="1:6" x14ac:dyDescent="0.25">
      <c r="A18" s="758">
        <v>17</v>
      </c>
      <c r="B18" s="847">
        <v>84089083</v>
      </c>
      <c r="C18" s="758" t="s">
        <v>129</v>
      </c>
      <c r="D18" s="759" t="s">
        <v>32</v>
      </c>
      <c r="E18" s="848">
        <v>40544</v>
      </c>
      <c r="F18" s="848" t="str">
        <f t="shared" si="0"/>
        <v xml:space="preserve">   </v>
      </c>
    </row>
    <row r="19" spans="1:6" x14ac:dyDescent="0.25">
      <c r="A19" s="758">
        <v>18</v>
      </c>
      <c r="B19" s="847">
        <v>8409903</v>
      </c>
      <c r="C19" s="758" t="s">
        <v>210</v>
      </c>
      <c r="D19" s="759" t="s">
        <v>32</v>
      </c>
      <c r="E19" s="848">
        <v>40544</v>
      </c>
      <c r="F19" s="848" t="str">
        <f t="shared" si="0"/>
        <v xml:space="preserve">   </v>
      </c>
    </row>
    <row r="20" spans="1:6" x14ac:dyDescent="0.25">
      <c r="A20" s="758">
        <v>19</v>
      </c>
      <c r="B20" s="847">
        <v>84089078</v>
      </c>
      <c r="C20" s="758" t="s">
        <v>3382</v>
      </c>
      <c r="D20" s="759" t="s">
        <v>32</v>
      </c>
      <c r="E20" s="848">
        <v>40544</v>
      </c>
      <c r="F20" s="848" t="str">
        <f t="shared" si="0"/>
        <v xml:space="preserve">   </v>
      </c>
    </row>
    <row r="21" spans="1:6" x14ac:dyDescent="0.25">
      <c r="A21" s="758">
        <v>20</v>
      </c>
      <c r="B21" s="847">
        <v>84099007</v>
      </c>
      <c r="C21" s="758" t="s">
        <v>166</v>
      </c>
      <c r="D21" s="759" t="s">
        <v>32</v>
      </c>
      <c r="E21" s="848">
        <v>40544</v>
      </c>
      <c r="F21" s="848" t="str">
        <f t="shared" si="0"/>
        <v xml:space="preserve">   </v>
      </c>
    </row>
    <row r="22" spans="1:6" x14ac:dyDescent="0.25">
      <c r="A22" s="758">
        <v>21</v>
      </c>
      <c r="B22" s="847">
        <v>84099011</v>
      </c>
      <c r="C22" s="758" t="s">
        <v>3383</v>
      </c>
      <c r="D22" s="759" t="s">
        <v>32</v>
      </c>
      <c r="E22" s="848">
        <v>40544</v>
      </c>
      <c r="F22" s="848" t="str">
        <f t="shared" si="0"/>
        <v xml:space="preserve">   </v>
      </c>
    </row>
    <row r="23" spans="1:6" x14ac:dyDescent="0.25">
      <c r="A23" s="758">
        <v>22</v>
      </c>
      <c r="B23" s="847">
        <v>84089073</v>
      </c>
      <c r="C23" s="758" t="s">
        <v>113</v>
      </c>
      <c r="D23" s="759" t="s">
        <v>32</v>
      </c>
      <c r="E23" s="848">
        <v>40544</v>
      </c>
      <c r="F23" s="848" t="str">
        <f t="shared" si="0"/>
        <v xml:space="preserve">   </v>
      </c>
    </row>
    <row r="24" spans="1:6" x14ac:dyDescent="0.25">
      <c r="A24" s="758">
        <v>23</v>
      </c>
      <c r="B24" s="847">
        <v>84089072</v>
      </c>
      <c r="C24" s="758" t="s">
        <v>3384</v>
      </c>
      <c r="D24" s="759" t="s">
        <v>32</v>
      </c>
      <c r="E24" s="848">
        <v>40544</v>
      </c>
      <c r="F24" s="848" t="str">
        <f t="shared" si="0"/>
        <v xml:space="preserve">   </v>
      </c>
    </row>
    <row r="25" spans="1:6" x14ac:dyDescent="0.25">
      <c r="A25" s="758">
        <v>24</v>
      </c>
      <c r="B25" s="847">
        <v>84089004</v>
      </c>
      <c r="C25" s="758" t="s">
        <v>3385</v>
      </c>
      <c r="D25" s="759" t="s">
        <v>32</v>
      </c>
      <c r="E25" s="848">
        <v>40544</v>
      </c>
      <c r="F25" s="848" t="str">
        <f t="shared" si="0"/>
        <v xml:space="preserve">   </v>
      </c>
    </row>
    <row r="26" spans="1:6" x14ac:dyDescent="0.25">
      <c r="A26" s="758">
        <v>25</v>
      </c>
      <c r="B26" s="847">
        <v>84089003</v>
      </c>
      <c r="C26" s="758" t="s">
        <v>3386</v>
      </c>
      <c r="D26" s="759" t="s">
        <v>32</v>
      </c>
      <c r="E26" s="848">
        <v>40544</v>
      </c>
      <c r="F26" s="848" t="str">
        <f t="shared" si="0"/>
        <v xml:space="preserve">   </v>
      </c>
    </row>
    <row r="27" spans="1:6" x14ac:dyDescent="0.25">
      <c r="A27" s="758">
        <v>26</v>
      </c>
      <c r="B27" s="847">
        <v>84089074</v>
      </c>
      <c r="C27" s="758" t="s">
        <v>114</v>
      </c>
      <c r="D27" s="759" t="s">
        <v>32</v>
      </c>
      <c r="E27" s="848">
        <v>40544</v>
      </c>
      <c r="F27" s="848" t="str">
        <f t="shared" si="0"/>
        <v xml:space="preserve">   </v>
      </c>
    </row>
    <row r="28" spans="1:6" x14ac:dyDescent="0.25">
      <c r="A28" s="758">
        <v>27</v>
      </c>
      <c r="B28" s="847">
        <v>84089038</v>
      </c>
      <c r="C28" s="758" t="s">
        <v>3387</v>
      </c>
      <c r="D28" s="759" t="s">
        <v>32</v>
      </c>
      <c r="E28" s="848">
        <v>40544</v>
      </c>
      <c r="F28" s="848" t="str">
        <f t="shared" si="0"/>
        <v xml:space="preserve">   </v>
      </c>
    </row>
    <row r="29" spans="1:6" x14ac:dyDescent="0.25">
      <c r="A29" s="758">
        <v>28</v>
      </c>
      <c r="B29" s="847">
        <v>84089076</v>
      </c>
      <c r="C29" s="758" t="s">
        <v>3388</v>
      </c>
      <c r="D29" s="759" t="s">
        <v>32</v>
      </c>
      <c r="E29" s="848">
        <v>40544</v>
      </c>
      <c r="F29" s="848" t="str">
        <f t="shared" si="0"/>
        <v xml:space="preserve">   </v>
      </c>
    </row>
    <row r="30" spans="1:6" x14ac:dyDescent="0.25">
      <c r="A30" s="758">
        <v>29</v>
      </c>
      <c r="B30" s="847">
        <v>84099014</v>
      </c>
      <c r="C30" s="758" t="s">
        <v>3389</v>
      </c>
      <c r="D30" s="759" t="s">
        <v>32</v>
      </c>
      <c r="E30" s="848">
        <v>40544</v>
      </c>
      <c r="F30" s="848" t="str">
        <f t="shared" si="0"/>
        <v xml:space="preserve">   </v>
      </c>
    </row>
    <row r="31" spans="1:6" x14ac:dyDescent="0.25">
      <c r="A31" s="758">
        <v>30</v>
      </c>
      <c r="B31" s="847">
        <v>84099825</v>
      </c>
      <c r="C31" s="758" t="s">
        <v>191</v>
      </c>
      <c r="D31" s="759" t="s">
        <v>32</v>
      </c>
      <c r="E31" s="848">
        <v>40544</v>
      </c>
      <c r="F31" s="848" t="str">
        <f t="shared" si="0"/>
        <v xml:space="preserve">   </v>
      </c>
    </row>
    <row r="32" spans="1:6" x14ac:dyDescent="0.25">
      <c r="A32" s="758">
        <v>31</v>
      </c>
      <c r="B32" s="847">
        <v>84099006</v>
      </c>
      <c r="C32" s="758" t="s">
        <v>163</v>
      </c>
      <c r="D32" s="759" t="s">
        <v>32</v>
      </c>
      <c r="E32" s="848">
        <v>40544</v>
      </c>
      <c r="F32" s="848" t="str">
        <f t="shared" si="0"/>
        <v xml:space="preserve">   </v>
      </c>
    </row>
    <row r="33" spans="1:6" x14ac:dyDescent="0.25">
      <c r="A33" s="758">
        <v>32</v>
      </c>
      <c r="B33" s="847">
        <v>84089086</v>
      </c>
      <c r="C33" s="758" t="s">
        <v>135</v>
      </c>
      <c r="D33" s="759" t="s">
        <v>32</v>
      </c>
      <c r="E33" s="848">
        <v>40544</v>
      </c>
      <c r="F33" s="848" t="str">
        <f t="shared" si="0"/>
        <v xml:space="preserve">   </v>
      </c>
    </row>
    <row r="34" spans="1:6" x14ac:dyDescent="0.25">
      <c r="A34" s="758">
        <v>33</v>
      </c>
      <c r="B34" s="847">
        <v>84089093</v>
      </c>
      <c r="C34" s="758" t="s">
        <v>153</v>
      </c>
      <c r="D34" s="759" t="s">
        <v>32</v>
      </c>
      <c r="E34" s="848">
        <v>40544</v>
      </c>
      <c r="F34" s="848" t="str">
        <f t="shared" si="0"/>
        <v xml:space="preserve">   </v>
      </c>
    </row>
    <row r="35" spans="1:6" x14ac:dyDescent="0.25">
      <c r="A35" s="758">
        <v>34</v>
      </c>
      <c r="B35" s="847">
        <v>84089019</v>
      </c>
      <c r="C35" s="758" t="s">
        <v>3390</v>
      </c>
      <c r="D35" s="759" t="s">
        <v>32</v>
      </c>
      <c r="E35" s="848">
        <v>40544</v>
      </c>
      <c r="F35" s="848" t="str">
        <f t="shared" si="0"/>
        <v xml:space="preserve">   </v>
      </c>
    </row>
    <row r="36" spans="1:6" x14ac:dyDescent="0.25">
      <c r="A36" s="758">
        <v>35</v>
      </c>
      <c r="B36" s="847">
        <v>84099046</v>
      </c>
      <c r="C36" s="758" t="s">
        <v>1489</v>
      </c>
      <c r="D36" s="759" t="s">
        <v>32</v>
      </c>
      <c r="E36" s="848">
        <v>40544</v>
      </c>
      <c r="F36" s="848" t="str">
        <f t="shared" si="0"/>
        <v xml:space="preserve">   </v>
      </c>
    </row>
    <row r="37" spans="1:6" x14ac:dyDescent="0.25">
      <c r="A37" s="758">
        <v>36</v>
      </c>
      <c r="B37" s="847">
        <v>84099005</v>
      </c>
      <c r="C37" s="758" t="s">
        <v>162</v>
      </c>
      <c r="D37" s="759" t="s">
        <v>32</v>
      </c>
      <c r="E37" s="848">
        <v>40544</v>
      </c>
      <c r="F37" s="848" t="str">
        <f t="shared" si="0"/>
        <v xml:space="preserve">   </v>
      </c>
    </row>
    <row r="38" spans="1:6" x14ac:dyDescent="0.25">
      <c r="A38" s="758">
        <v>37</v>
      </c>
      <c r="B38" s="847">
        <v>84089036</v>
      </c>
      <c r="C38" s="758" t="s">
        <v>3391</v>
      </c>
      <c r="D38" s="759" t="s">
        <v>32</v>
      </c>
      <c r="E38" s="848">
        <v>40544</v>
      </c>
      <c r="F38" s="848" t="str">
        <f t="shared" si="0"/>
        <v xml:space="preserve">   </v>
      </c>
    </row>
    <row r="39" spans="1:6" x14ac:dyDescent="0.25">
      <c r="A39" s="758">
        <v>38</v>
      </c>
      <c r="B39" s="847">
        <v>84089042</v>
      </c>
      <c r="C39" s="758" t="s">
        <v>3392</v>
      </c>
      <c r="D39" s="759" t="s">
        <v>32</v>
      </c>
      <c r="E39" s="848">
        <v>40544</v>
      </c>
      <c r="F39" s="848" t="str">
        <f t="shared" si="0"/>
        <v xml:space="preserve">   </v>
      </c>
    </row>
    <row r="40" spans="1:6" x14ac:dyDescent="0.25">
      <c r="A40" s="758">
        <v>39</v>
      </c>
      <c r="B40" s="847">
        <v>84089031</v>
      </c>
      <c r="C40" s="758" t="s">
        <v>3393</v>
      </c>
      <c r="D40" s="759" t="s">
        <v>32</v>
      </c>
      <c r="E40" s="848">
        <v>40544</v>
      </c>
      <c r="F40" s="848" t="str">
        <f t="shared" si="0"/>
        <v xml:space="preserve">   </v>
      </c>
    </row>
    <row r="41" spans="1:6" x14ac:dyDescent="0.25">
      <c r="A41" s="758">
        <v>40</v>
      </c>
      <c r="B41" s="847">
        <v>84099034</v>
      </c>
      <c r="C41" s="758" t="s">
        <v>3394</v>
      </c>
      <c r="D41" s="759" t="s">
        <v>32</v>
      </c>
      <c r="E41" s="848">
        <v>40544</v>
      </c>
      <c r="F41" s="848" t="str">
        <f t="shared" si="0"/>
        <v xml:space="preserve">   </v>
      </c>
    </row>
    <row r="42" spans="1:6" x14ac:dyDescent="0.25">
      <c r="A42" s="758">
        <v>41</v>
      </c>
      <c r="B42" s="847">
        <v>84089020</v>
      </c>
      <c r="C42" s="758" t="s">
        <v>3395</v>
      </c>
      <c r="D42" s="759" t="s">
        <v>32</v>
      </c>
      <c r="E42" s="848">
        <v>40544</v>
      </c>
      <c r="F42" s="848" t="str">
        <f t="shared" si="0"/>
        <v xml:space="preserve">   </v>
      </c>
    </row>
    <row r="43" spans="1:6" x14ac:dyDescent="0.25">
      <c r="F43" s="848" t="str">
        <f t="shared" si="0"/>
        <v xml:space="preserve">   </v>
      </c>
    </row>
    <row r="44" spans="1:6" x14ac:dyDescent="0.25">
      <c r="A44" s="758">
        <v>1</v>
      </c>
      <c r="B44" s="847">
        <v>849110084</v>
      </c>
      <c r="C44" s="758" t="s">
        <v>3396</v>
      </c>
      <c r="D44" s="759" t="s">
        <v>527</v>
      </c>
      <c r="E44" s="848">
        <v>41275</v>
      </c>
      <c r="F44" s="848" t="str">
        <f t="shared" si="0"/>
        <v xml:space="preserve">   </v>
      </c>
    </row>
    <row r="45" spans="1:6" x14ac:dyDescent="0.25">
      <c r="A45" s="758">
        <v>2</v>
      </c>
      <c r="B45" s="847">
        <v>84099026</v>
      </c>
      <c r="C45" s="758" t="s">
        <v>192</v>
      </c>
      <c r="D45" s="759" t="s">
        <v>527</v>
      </c>
      <c r="E45" s="848">
        <v>41275</v>
      </c>
      <c r="F45" s="848" t="str">
        <f t="shared" si="0"/>
        <v xml:space="preserve">   </v>
      </c>
    </row>
    <row r="46" spans="1:6" x14ac:dyDescent="0.25">
      <c r="A46" s="758">
        <v>3</v>
      </c>
      <c r="B46" s="847">
        <v>849110118</v>
      </c>
      <c r="C46" s="758" t="s">
        <v>201</v>
      </c>
      <c r="D46" s="759" t="s">
        <v>527</v>
      </c>
      <c r="E46" s="848">
        <v>41275</v>
      </c>
      <c r="F46" s="848" t="str">
        <f t="shared" si="0"/>
        <v xml:space="preserve">   </v>
      </c>
    </row>
    <row r="47" spans="1:6" x14ac:dyDescent="0.25">
      <c r="A47" s="758">
        <v>4</v>
      </c>
      <c r="B47" s="847">
        <v>849110042</v>
      </c>
      <c r="C47" s="758" t="s">
        <v>1687</v>
      </c>
      <c r="D47" s="759" t="s">
        <v>527</v>
      </c>
      <c r="E47" s="848">
        <v>41275</v>
      </c>
      <c r="F47" s="848" t="str">
        <f t="shared" si="0"/>
        <v xml:space="preserve">   </v>
      </c>
    </row>
    <row r="48" spans="1:6" x14ac:dyDescent="0.25">
      <c r="A48" s="758">
        <v>5</v>
      </c>
      <c r="B48" s="847">
        <v>849110105</v>
      </c>
      <c r="C48" s="758" t="s">
        <v>3397</v>
      </c>
      <c r="D48" s="759" t="s">
        <v>527</v>
      </c>
      <c r="E48" s="848">
        <v>41275</v>
      </c>
      <c r="F48" s="848" t="str">
        <f t="shared" si="0"/>
        <v xml:space="preserve">   </v>
      </c>
    </row>
    <row r="49" spans="1:6" x14ac:dyDescent="0.25">
      <c r="A49" s="758">
        <v>6</v>
      </c>
      <c r="B49" s="847">
        <v>849110061</v>
      </c>
      <c r="C49" s="758" t="s">
        <v>3398</v>
      </c>
      <c r="D49" s="759" t="s">
        <v>527</v>
      </c>
      <c r="E49" s="848">
        <v>41275</v>
      </c>
      <c r="F49" s="848" t="str">
        <f t="shared" si="0"/>
        <v xml:space="preserve">   </v>
      </c>
    </row>
    <row r="50" spans="1:6" x14ac:dyDescent="0.25">
      <c r="A50" s="758">
        <v>7</v>
      </c>
      <c r="B50" s="847">
        <v>84089082</v>
      </c>
      <c r="C50" s="758" t="s">
        <v>126</v>
      </c>
      <c r="D50" s="759" t="s">
        <v>527</v>
      </c>
      <c r="E50" s="848">
        <v>41275</v>
      </c>
      <c r="F50" s="848" t="str">
        <f t="shared" si="0"/>
        <v xml:space="preserve">   </v>
      </c>
    </row>
    <row r="51" spans="1:6" x14ac:dyDescent="0.25">
      <c r="A51" s="758">
        <v>8</v>
      </c>
      <c r="B51" s="847">
        <v>849199058</v>
      </c>
      <c r="C51" s="758" t="s">
        <v>3399</v>
      </c>
      <c r="D51" s="759" t="s">
        <v>527</v>
      </c>
      <c r="E51" s="848">
        <v>41275</v>
      </c>
      <c r="F51" s="848" t="str">
        <f t="shared" si="0"/>
        <v xml:space="preserve">   </v>
      </c>
    </row>
    <row r="52" spans="1:6" x14ac:dyDescent="0.25">
      <c r="A52" s="758">
        <v>9</v>
      </c>
      <c r="B52" s="847">
        <v>849110044</v>
      </c>
      <c r="C52" s="758" t="s">
        <v>3400</v>
      </c>
      <c r="D52" s="759" t="s">
        <v>527</v>
      </c>
      <c r="E52" s="848">
        <v>41275</v>
      </c>
      <c r="F52" s="848" t="str">
        <f t="shared" si="0"/>
        <v xml:space="preserve">   </v>
      </c>
    </row>
    <row r="53" spans="1:6" x14ac:dyDescent="0.25">
      <c r="A53" s="758">
        <v>10</v>
      </c>
      <c r="B53" s="847">
        <v>849110022</v>
      </c>
      <c r="C53" s="758" t="s">
        <v>3401</v>
      </c>
      <c r="D53" s="759" t="s">
        <v>527</v>
      </c>
      <c r="E53" s="848">
        <v>41275</v>
      </c>
      <c r="F53" s="848" t="str">
        <f t="shared" si="0"/>
        <v xml:space="preserve">   </v>
      </c>
    </row>
    <row r="54" spans="1:6" x14ac:dyDescent="0.25">
      <c r="A54" s="758">
        <v>11</v>
      </c>
      <c r="B54" s="847">
        <v>849110088</v>
      </c>
      <c r="C54" s="758" t="s">
        <v>3402</v>
      </c>
      <c r="D54" s="759" t="s">
        <v>527</v>
      </c>
      <c r="E54" s="848">
        <v>41275</v>
      </c>
      <c r="F54" s="848" t="str">
        <f t="shared" si="0"/>
        <v xml:space="preserve">   </v>
      </c>
    </row>
    <row r="55" spans="1:6" x14ac:dyDescent="0.25">
      <c r="A55" s="758">
        <v>12</v>
      </c>
      <c r="B55" s="847">
        <v>849110034</v>
      </c>
      <c r="C55" s="758" t="s">
        <v>3403</v>
      </c>
      <c r="D55" s="759" t="s">
        <v>527</v>
      </c>
      <c r="E55" s="848">
        <v>41275</v>
      </c>
      <c r="F55" s="848" t="str">
        <f t="shared" si="0"/>
        <v xml:space="preserve">   </v>
      </c>
    </row>
    <row r="56" spans="1:6" x14ac:dyDescent="0.25">
      <c r="A56" s="758">
        <v>13</v>
      </c>
      <c r="B56" s="847">
        <v>849110006</v>
      </c>
      <c r="C56" s="758" t="s">
        <v>3404</v>
      </c>
      <c r="D56" s="759" t="s">
        <v>527</v>
      </c>
      <c r="E56" s="848">
        <v>41275</v>
      </c>
      <c r="F56" s="848" t="str">
        <f t="shared" si="0"/>
        <v xml:space="preserve">   </v>
      </c>
    </row>
    <row r="57" spans="1:6" x14ac:dyDescent="0.25">
      <c r="A57" s="758">
        <v>14</v>
      </c>
      <c r="B57" s="847">
        <v>849110108</v>
      </c>
      <c r="C57" s="758" t="s">
        <v>3405</v>
      </c>
      <c r="D57" s="759" t="s">
        <v>527</v>
      </c>
      <c r="E57" s="848">
        <v>41275</v>
      </c>
      <c r="F57" s="848" t="str">
        <f t="shared" si="0"/>
        <v xml:space="preserve">   </v>
      </c>
    </row>
    <row r="58" spans="1:6" x14ac:dyDescent="0.25">
      <c r="A58" s="758">
        <v>15</v>
      </c>
      <c r="B58" s="847">
        <v>849110081</v>
      </c>
      <c r="C58" s="758" t="s">
        <v>1520</v>
      </c>
      <c r="D58" s="759" t="s">
        <v>527</v>
      </c>
      <c r="E58" s="848">
        <v>41275</v>
      </c>
      <c r="F58" s="848" t="str">
        <f t="shared" si="0"/>
        <v xml:space="preserve">   </v>
      </c>
    </row>
    <row r="59" spans="1:6" x14ac:dyDescent="0.25">
      <c r="A59" s="758">
        <v>16</v>
      </c>
      <c r="B59" s="847">
        <v>849110085</v>
      </c>
      <c r="C59" s="758" t="s">
        <v>3406</v>
      </c>
      <c r="D59" s="759" t="s">
        <v>527</v>
      </c>
      <c r="E59" s="848">
        <v>41275</v>
      </c>
      <c r="F59" s="848" t="str">
        <f t="shared" si="0"/>
        <v xml:space="preserve">   </v>
      </c>
    </row>
    <row r="60" spans="1:6" x14ac:dyDescent="0.25">
      <c r="A60" s="758">
        <v>17</v>
      </c>
      <c r="B60" s="847">
        <v>849110090</v>
      </c>
      <c r="C60" s="758" t="s">
        <v>3407</v>
      </c>
      <c r="D60" s="759" t="s">
        <v>527</v>
      </c>
      <c r="E60" s="848">
        <v>41275</v>
      </c>
      <c r="F60" s="848" t="str">
        <f t="shared" si="0"/>
        <v xml:space="preserve">   </v>
      </c>
    </row>
    <row r="61" spans="1:6" x14ac:dyDescent="0.25">
      <c r="A61" s="758">
        <v>18</v>
      </c>
      <c r="B61" s="847">
        <v>849110170</v>
      </c>
      <c r="C61" s="758" t="s">
        <v>3408</v>
      </c>
      <c r="D61" s="759" t="s">
        <v>527</v>
      </c>
      <c r="E61" s="848">
        <v>41275</v>
      </c>
      <c r="F61" s="848" t="str">
        <f t="shared" si="0"/>
        <v xml:space="preserve">   </v>
      </c>
    </row>
    <row r="62" spans="1:6" x14ac:dyDescent="0.25">
      <c r="A62" s="758">
        <v>19</v>
      </c>
      <c r="B62" s="847">
        <v>849110158</v>
      </c>
      <c r="C62" s="758" t="s">
        <v>2529</v>
      </c>
      <c r="D62" s="759" t="s">
        <v>527</v>
      </c>
      <c r="E62" s="848">
        <v>41275</v>
      </c>
      <c r="F62" s="848" t="str">
        <f t="shared" si="0"/>
        <v xml:space="preserve">   </v>
      </c>
    </row>
    <row r="63" spans="1:6" x14ac:dyDescent="0.25">
      <c r="A63" s="758">
        <v>20</v>
      </c>
      <c r="B63" s="847">
        <v>849110154</v>
      </c>
      <c r="C63" s="758" t="s">
        <v>3409</v>
      </c>
      <c r="D63" s="759" t="s">
        <v>527</v>
      </c>
      <c r="E63" s="848">
        <v>41275</v>
      </c>
      <c r="F63" s="848" t="str">
        <f t="shared" si="0"/>
        <v xml:space="preserve">   </v>
      </c>
    </row>
    <row r="64" spans="1:6" x14ac:dyDescent="0.25">
      <c r="A64" s="758">
        <v>21</v>
      </c>
      <c r="B64" s="847">
        <v>849110182</v>
      </c>
      <c r="C64" s="758" t="s">
        <v>3410</v>
      </c>
      <c r="D64" s="759" t="s">
        <v>527</v>
      </c>
      <c r="E64" s="848">
        <v>41275</v>
      </c>
      <c r="F64" s="848" t="str">
        <f t="shared" si="0"/>
        <v xml:space="preserve">   </v>
      </c>
    </row>
    <row r="65" spans="1:6" x14ac:dyDescent="0.25">
      <c r="A65" s="758">
        <v>22</v>
      </c>
      <c r="B65" s="847">
        <v>849110163</v>
      </c>
      <c r="C65" s="758" t="s">
        <v>3411</v>
      </c>
      <c r="D65" s="759" t="s">
        <v>527</v>
      </c>
      <c r="E65" s="848">
        <v>41275</v>
      </c>
      <c r="F65" s="848" t="str">
        <f t="shared" si="0"/>
        <v xml:space="preserve">   </v>
      </c>
    </row>
    <row r="66" spans="1:6" x14ac:dyDescent="0.25">
      <c r="A66" s="758">
        <v>23</v>
      </c>
      <c r="B66" s="847">
        <v>849110153</v>
      </c>
      <c r="C66" s="758" t="s">
        <v>3412</v>
      </c>
      <c r="D66" s="759" t="s">
        <v>527</v>
      </c>
      <c r="E66" s="848">
        <v>41275</v>
      </c>
      <c r="F66" s="848" t="str">
        <f t="shared" ref="F66:F129" si="1">IFERROR(VLOOKUP(B66,Tlus,3,FALSE),"   ")</f>
        <v xml:space="preserve">   </v>
      </c>
    </row>
    <row r="67" spans="1:6" x14ac:dyDescent="0.25">
      <c r="A67" s="758">
        <v>24</v>
      </c>
      <c r="B67" s="847">
        <v>849110164</v>
      </c>
      <c r="C67" s="758" t="s">
        <v>3413</v>
      </c>
      <c r="D67" s="759" t="s">
        <v>527</v>
      </c>
      <c r="E67" s="848">
        <v>41275</v>
      </c>
      <c r="F67" s="848" t="str">
        <f t="shared" si="1"/>
        <v xml:space="preserve">   </v>
      </c>
    </row>
    <row r="68" spans="1:6" x14ac:dyDescent="0.25">
      <c r="A68" s="758">
        <v>25</v>
      </c>
      <c r="B68" s="847">
        <v>849110155</v>
      </c>
      <c r="C68" s="758" t="s">
        <v>3414</v>
      </c>
      <c r="D68" s="759" t="s">
        <v>527</v>
      </c>
      <c r="E68" s="848">
        <v>41275</v>
      </c>
      <c r="F68" s="848" t="str">
        <f t="shared" si="1"/>
        <v xml:space="preserve">   </v>
      </c>
    </row>
    <row r="69" spans="1:6" x14ac:dyDescent="0.25">
      <c r="A69" s="758">
        <v>26</v>
      </c>
      <c r="B69" s="847">
        <v>849110173</v>
      </c>
      <c r="C69" s="758" t="s">
        <v>3415</v>
      </c>
      <c r="D69" s="759" t="s">
        <v>527</v>
      </c>
      <c r="E69" s="848">
        <v>41275</v>
      </c>
      <c r="F69" s="848" t="str">
        <f t="shared" si="1"/>
        <v xml:space="preserve">   </v>
      </c>
    </row>
    <row r="70" spans="1:6" x14ac:dyDescent="0.25">
      <c r="A70" s="758">
        <v>27</v>
      </c>
      <c r="B70" s="847">
        <v>849110172</v>
      </c>
      <c r="C70" s="758" t="s">
        <v>2878</v>
      </c>
      <c r="D70" s="759" t="s">
        <v>527</v>
      </c>
      <c r="E70" s="848">
        <v>41275</v>
      </c>
      <c r="F70" s="848" t="str">
        <f t="shared" si="1"/>
        <v xml:space="preserve">   </v>
      </c>
    </row>
    <row r="71" spans="1:6" x14ac:dyDescent="0.25">
      <c r="A71" s="758">
        <v>28</v>
      </c>
      <c r="B71" s="847">
        <v>849110185</v>
      </c>
      <c r="C71" s="758" t="s">
        <v>3416</v>
      </c>
      <c r="D71" s="759" t="s">
        <v>527</v>
      </c>
      <c r="E71" s="848">
        <v>41275</v>
      </c>
      <c r="F71" s="848" t="str">
        <f t="shared" si="1"/>
        <v xml:space="preserve">   </v>
      </c>
    </row>
    <row r="72" spans="1:6" x14ac:dyDescent="0.25">
      <c r="A72" s="758">
        <v>29</v>
      </c>
      <c r="B72" s="847">
        <v>849110169</v>
      </c>
      <c r="C72" s="758" t="s">
        <v>3417</v>
      </c>
      <c r="D72" s="759" t="s">
        <v>527</v>
      </c>
      <c r="E72" s="848">
        <v>41275</v>
      </c>
      <c r="F72" s="848" t="str">
        <f t="shared" si="1"/>
        <v xml:space="preserve">   </v>
      </c>
    </row>
    <row r="73" spans="1:6" x14ac:dyDescent="0.25">
      <c r="A73" s="758">
        <v>30</v>
      </c>
      <c r="B73" s="847">
        <v>849110126</v>
      </c>
      <c r="C73" s="758" t="s">
        <v>2521</v>
      </c>
      <c r="D73" s="759" t="s">
        <v>527</v>
      </c>
      <c r="E73" s="848">
        <v>41275</v>
      </c>
      <c r="F73" s="848" t="str">
        <f t="shared" si="1"/>
        <v xml:space="preserve">   </v>
      </c>
    </row>
    <row r="74" spans="1:6" x14ac:dyDescent="0.25">
      <c r="A74" s="758">
        <v>31</v>
      </c>
      <c r="B74" s="847">
        <v>849110161</v>
      </c>
      <c r="C74" s="758" t="s">
        <v>3418</v>
      </c>
      <c r="D74" s="759" t="s">
        <v>527</v>
      </c>
      <c r="E74" s="848">
        <v>41275</v>
      </c>
      <c r="F74" s="848" t="str">
        <f t="shared" si="1"/>
        <v xml:space="preserve">   </v>
      </c>
    </row>
    <row r="75" spans="1:6" x14ac:dyDescent="0.25">
      <c r="A75" s="758">
        <v>32</v>
      </c>
      <c r="B75" s="847">
        <v>849110096</v>
      </c>
      <c r="C75" s="758" t="s">
        <v>3419</v>
      </c>
      <c r="D75" s="759" t="s">
        <v>527</v>
      </c>
      <c r="E75" s="848">
        <v>41275</v>
      </c>
      <c r="F75" s="848" t="str">
        <f t="shared" si="1"/>
        <v xml:space="preserve">   </v>
      </c>
    </row>
    <row r="76" spans="1:6" x14ac:dyDescent="0.25">
      <c r="A76" s="758">
        <v>33</v>
      </c>
      <c r="B76" s="847">
        <v>849110074</v>
      </c>
      <c r="C76" s="758" t="s">
        <v>3420</v>
      </c>
      <c r="D76" s="759" t="s">
        <v>527</v>
      </c>
      <c r="E76" s="848">
        <v>41275</v>
      </c>
      <c r="F76" s="848" t="str">
        <f t="shared" si="1"/>
        <v xml:space="preserve">   </v>
      </c>
    </row>
    <row r="77" spans="1:6" x14ac:dyDescent="0.25">
      <c r="A77" s="758">
        <v>34</v>
      </c>
      <c r="B77" s="847">
        <v>849110204</v>
      </c>
      <c r="C77" s="758" t="s">
        <v>3421</v>
      </c>
      <c r="D77" s="759" t="s">
        <v>527</v>
      </c>
      <c r="E77" s="848">
        <v>41275</v>
      </c>
      <c r="F77" s="848" t="str">
        <f t="shared" si="1"/>
        <v xml:space="preserve">   </v>
      </c>
    </row>
    <row r="78" spans="1:6" x14ac:dyDescent="0.25">
      <c r="A78" s="758">
        <v>35</v>
      </c>
      <c r="B78" s="847">
        <v>849110113</v>
      </c>
      <c r="C78" s="758" t="s">
        <v>3422</v>
      </c>
      <c r="D78" s="759" t="s">
        <v>527</v>
      </c>
      <c r="E78" s="848">
        <v>41275</v>
      </c>
      <c r="F78" s="848" t="str">
        <f t="shared" si="1"/>
        <v xml:space="preserve">   </v>
      </c>
    </row>
    <row r="79" spans="1:6" x14ac:dyDescent="0.25">
      <c r="A79" s="758">
        <v>36</v>
      </c>
      <c r="B79" s="847">
        <v>849110181</v>
      </c>
      <c r="C79" s="758" t="s">
        <v>3423</v>
      </c>
      <c r="D79" s="759" t="s">
        <v>527</v>
      </c>
      <c r="E79" s="848">
        <v>41275</v>
      </c>
      <c r="F79" s="848" t="str">
        <f t="shared" si="1"/>
        <v xml:space="preserve">   </v>
      </c>
    </row>
    <row r="80" spans="1:6" x14ac:dyDescent="0.25">
      <c r="A80" s="758">
        <v>37</v>
      </c>
      <c r="B80" s="847">
        <v>849110076</v>
      </c>
      <c r="C80" s="758" t="s">
        <v>3424</v>
      </c>
      <c r="D80" s="759" t="s">
        <v>527</v>
      </c>
      <c r="E80" s="848">
        <v>41275</v>
      </c>
      <c r="F80" s="848" t="str">
        <f t="shared" si="1"/>
        <v xml:space="preserve">   </v>
      </c>
    </row>
    <row r="81" spans="1:6" x14ac:dyDescent="0.25">
      <c r="A81" s="758">
        <v>38</v>
      </c>
      <c r="B81" s="847">
        <v>849110197</v>
      </c>
      <c r="C81" s="758" t="s">
        <v>3425</v>
      </c>
      <c r="D81" s="759" t="s">
        <v>527</v>
      </c>
      <c r="E81" s="848">
        <v>41275</v>
      </c>
      <c r="F81" s="848" t="str">
        <f t="shared" si="1"/>
        <v xml:space="preserve">   </v>
      </c>
    </row>
    <row r="82" spans="1:6" x14ac:dyDescent="0.25">
      <c r="A82" s="758">
        <v>39</v>
      </c>
      <c r="B82" s="847">
        <v>849110151</v>
      </c>
      <c r="C82" s="758" t="s">
        <v>3426</v>
      </c>
      <c r="D82" s="759" t="s">
        <v>527</v>
      </c>
      <c r="E82" s="848">
        <v>41275</v>
      </c>
      <c r="F82" s="848" t="str">
        <f t="shared" si="1"/>
        <v xml:space="preserve">   </v>
      </c>
    </row>
    <row r="83" spans="1:6" x14ac:dyDescent="0.25">
      <c r="A83" s="758">
        <v>40</v>
      </c>
      <c r="B83" s="847">
        <v>849110167</v>
      </c>
      <c r="C83" s="758" t="s">
        <v>3427</v>
      </c>
      <c r="D83" s="759" t="s">
        <v>527</v>
      </c>
      <c r="E83" s="848">
        <v>41275</v>
      </c>
      <c r="F83" s="848" t="str">
        <f t="shared" si="1"/>
        <v xml:space="preserve">   </v>
      </c>
    </row>
    <row r="84" spans="1:6" x14ac:dyDescent="0.25">
      <c r="A84" s="758">
        <v>41</v>
      </c>
      <c r="B84" s="847">
        <v>849110303</v>
      </c>
      <c r="C84" s="758" t="s">
        <v>3428</v>
      </c>
      <c r="D84" s="759" t="s">
        <v>527</v>
      </c>
      <c r="E84" s="848">
        <v>41275</v>
      </c>
      <c r="F84" s="848" t="str">
        <f t="shared" si="1"/>
        <v xml:space="preserve">   </v>
      </c>
    </row>
    <row r="85" spans="1:6" x14ac:dyDescent="0.25">
      <c r="A85" s="758">
        <v>42</v>
      </c>
      <c r="B85" s="847">
        <v>849110179</v>
      </c>
      <c r="C85" s="758" t="s">
        <v>3429</v>
      </c>
      <c r="D85" s="759" t="s">
        <v>527</v>
      </c>
      <c r="E85" s="848">
        <v>41275</v>
      </c>
      <c r="F85" s="848" t="str">
        <f t="shared" si="1"/>
        <v xml:space="preserve">   </v>
      </c>
    </row>
    <row r="86" spans="1:6" x14ac:dyDescent="0.25">
      <c r="A86" s="758">
        <v>43</v>
      </c>
      <c r="B86" s="847">
        <v>849110251</v>
      </c>
      <c r="C86" s="758" t="s">
        <v>3430</v>
      </c>
      <c r="D86" s="759" t="s">
        <v>527</v>
      </c>
      <c r="E86" s="848">
        <v>41275</v>
      </c>
      <c r="F86" s="848" t="str">
        <f t="shared" si="1"/>
        <v xml:space="preserve">   </v>
      </c>
    </row>
    <row r="87" spans="1:6" x14ac:dyDescent="0.25">
      <c r="A87" s="758">
        <v>44</v>
      </c>
      <c r="B87" s="847">
        <v>849110222</v>
      </c>
      <c r="C87" s="758" t="s">
        <v>3431</v>
      </c>
      <c r="D87" s="759" t="s">
        <v>527</v>
      </c>
      <c r="E87" s="848">
        <v>41275</v>
      </c>
      <c r="F87" s="848" t="str">
        <f t="shared" si="1"/>
        <v xml:space="preserve">   </v>
      </c>
    </row>
    <row r="88" spans="1:6" x14ac:dyDescent="0.25">
      <c r="A88" s="758">
        <v>45</v>
      </c>
      <c r="B88" s="847">
        <v>84089047</v>
      </c>
      <c r="C88" s="758" t="s">
        <v>3432</v>
      </c>
      <c r="D88" s="759" t="s">
        <v>527</v>
      </c>
      <c r="E88" s="848">
        <v>41275</v>
      </c>
      <c r="F88" s="848" t="str">
        <f t="shared" si="1"/>
        <v xml:space="preserve">   </v>
      </c>
    </row>
    <row r="89" spans="1:6" x14ac:dyDescent="0.25">
      <c r="A89" s="758">
        <v>46</v>
      </c>
      <c r="B89" s="847">
        <v>849110015</v>
      </c>
      <c r="C89" s="758" t="s">
        <v>3433</v>
      </c>
      <c r="D89" s="759" t="s">
        <v>527</v>
      </c>
      <c r="E89" s="848">
        <v>41275</v>
      </c>
      <c r="F89" s="848" t="str">
        <f t="shared" si="1"/>
        <v xml:space="preserve">   </v>
      </c>
    </row>
    <row r="90" spans="1:6" x14ac:dyDescent="0.25">
      <c r="A90" s="758">
        <v>47</v>
      </c>
      <c r="B90" s="847">
        <v>849110111</v>
      </c>
      <c r="C90" s="758" t="s">
        <v>3434</v>
      </c>
      <c r="D90" s="759" t="s">
        <v>527</v>
      </c>
      <c r="E90" s="848">
        <v>41275</v>
      </c>
      <c r="F90" s="848" t="str">
        <f t="shared" si="1"/>
        <v xml:space="preserve">   </v>
      </c>
    </row>
    <row r="91" spans="1:6" x14ac:dyDescent="0.25">
      <c r="A91" s="758">
        <v>48</v>
      </c>
      <c r="B91" s="847">
        <v>84089085</v>
      </c>
      <c r="C91" s="758" t="s">
        <v>132</v>
      </c>
      <c r="D91" s="759" t="s">
        <v>527</v>
      </c>
      <c r="E91" s="848">
        <v>41275</v>
      </c>
      <c r="F91" s="848" t="str">
        <f t="shared" si="1"/>
        <v xml:space="preserve">   </v>
      </c>
    </row>
    <row r="92" spans="1:6" x14ac:dyDescent="0.25">
      <c r="A92" s="758">
        <v>49</v>
      </c>
      <c r="B92" s="847">
        <v>849110119</v>
      </c>
      <c r="C92" s="758" t="s">
        <v>1512</v>
      </c>
      <c r="D92" s="759" t="s">
        <v>527</v>
      </c>
      <c r="E92" s="848">
        <v>41275</v>
      </c>
      <c r="F92" s="848" t="str">
        <f t="shared" si="1"/>
        <v xml:space="preserve">   </v>
      </c>
    </row>
    <row r="93" spans="1:6" x14ac:dyDescent="0.25">
      <c r="A93" s="758">
        <v>50</v>
      </c>
      <c r="B93" s="847">
        <v>849110078</v>
      </c>
      <c r="C93" s="758" t="s">
        <v>3435</v>
      </c>
      <c r="D93" s="759" t="s">
        <v>527</v>
      </c>
      <c r="E93" s="848">
        <v>41275</v>
      </c>
      <c r="F93" s="848" t="str">
        <f t="shared" si="1"/>
        <v xml:space="preserve">   </v>
      </c>
    </row>
    <row r="94" spans="1:6" x14ac:dyDescent="0.25">
      <c r="A94" s="758">
        <v>51</v>
      </c>
      <c r="B94" s="847">
        <v>849199043</v>
      </c>
      <c r="C94" s="758" t="s">
        <v>3436</v>
      </c>
      <c r="D94" s="759" t="s">
        <v>527</v>
      </c>
      <c r="E94" s="848">
        <v>41275</v>
      </c>
      <c r="F94" s="848" t="str">
        <f t="shared" si="1"/>
        <v xml:space="preserve">   </v>
      </c>
    </row>
    <row r="95" spans="1:6" x14ac:dyDescent="0.25">
      <c r="A95" s="758">
        <v>52</v>
      </c>
      <c r="B95" s="847">
        <v>849110115</v>
      </c>
      <c r="C95" s="758" t="s">
        <v>3437</v>
      </c>
      <c r="D95" s="759" t="s">
        <v>527</v>
      </c>
      <c r="E95" s="848">
        <v>41275</v>
      </c>
      <c r="F95" s="848" t="str">
        <f t="shared" si="1"/>
        <v xml:space="preserve">   </v>
      </c>
    </row>
    <row r="96" spans="1:6" x14ac:dyDescent="0.25">
      <c r="A96" s="758">
        <v>53</v>
      </c>
      <c r="B96" s="847">
        <v>849110068</v>
      </c>
      <c r="C96" s="758" t="s">
        <v>3438</v>
      </c>
      <c r="D96" s="759" t="s">
        <v>527</v>
      </c>
      <c r="E96" s="848">
        <v>41275</v>
      </c>
      <c r="F96" s="848" t="str">
        <f t="shared" si="1"/>
        <v xml:space="preserve">   </v>
      </c>
    </row>
    <row r="97" spans="1:6" x14ac:dyDescent="0.25">
      <c r="A97" s="758">
        <v>54</v>
      </c>
      <c r="B97" s="847">
        <v>849110094</v>
      </c>
      <c r="C97" s="758" t="s">
        <v>3439</v>
      </c>
      <c r="D97" s="759" t="s">
        <v>527</v>
      </c>
      <c r="E97" s="848">
        <v>41275</v>
      </c>
      <c r="F97" s="848" t="str">
        <f t="shared" si="1"/>
        <v xml:space="preserve">   </v>
      </c>
    </row>
    <row r="98" spans="1:6" x14ac:dyDescent="0.25">
      <c r="A98" s="758">
        <v>55</v>
      </c>
      <c r="B98" s="847">
        <v>849110103</v>
      </c>
      <c r="C98" s="758" t="s">
        <v>3440</v>
      </c>
      <c r="D98" s="759" t="s">
        <v>527</v>
      </c>
      <c r="E98" s="848">
        <v>41275</v>
      </c>
      <c r="F98" s="848" t="str">
        <f t="shared" si="1"/>
        <v xml:space="preserve">   </v>
      </c>
    </row>
    <row r="99" spans="1:6" x14ac:dyDescent="0.25">
      <c r="A99" s="758">
        <v>56</v>
      </c>
      <c r="B99" s="847">
        <v>849110067</v>
      </c>
      <c r="C99" s="758" t="s">
        <v>3441</v>
      </c>
      <c r="D99" s="759" t="s">
        <v>527</v>
      </c>
      <c r="E99" s="848">
        <v>41275</v>
      </c>
      <c r="F99" s="848" t="str">
        <f t="shared" si="1"/>
        <v xml:space="preserve">   </v>
      </c>
    </row>
    <row r="100" spans="1:6" x14ac:dyDescent="0.25">
      <c r="A100" s="758">
        <v>57</v>
      </c>
      <c r="B100" s="847">
        <v>849110093</v>
      </c>
      <c r="C100" s="758" t="s">
        <v>3442</v>
      </c>
      <c r="D100" s="759" t="s">
        <v>527</v>
      </c>
      <c r="E100" s="848">
        <v>41275</v>
      </c>
      <c r="F100" s="848" t="str">
        <f t="shared" si="1"/>
        <v xml:space="preserve">   </v>
      </c>
    </row>
    <row r="101" spans="1:6" x14ac:dyDescent="0.25">
      <c r="A101" s="758">
        <v>58</v>
      </c>
      <c r="B101" s="847">
        <v>849110122</v>
      </c>
      <c r="C101" s="758" t="s">
        <v>3443</v>
      </c>
      <c r="D101" s="759" t="s">
        <v>527</v>
      </c>
      <c r="E101" s="848">
        <v>41275</v>
      </c>
      <c r="F101" s="848" t="str">
        <f t="shared" si="1"/>
        <v xml:space="preserve">   </v>
      </c>
    </row>
    <row r="102" spans="1:6" x14ac:dyDescent="0.25">
      <c r="A102" s="758">
        <v>59</v>
      </c>
      <c r="B102" s="847">
        <v>849110092</v>
      </c>
      <c r="C102" s="758" t="s">
        <v>3444</v>
      </c>
      <c r="D102" s="759" t="s">
        <v>527</v>
      </c>
      <c r="E102" s="848">
        <v>41275</v>
      </c>
      <c r="F102" s="848" t="str">
        <f t="shared" si="1"/>
        <v xml:space="preserve">   </v>
      </c>
    </row>
    <row r="103" spans="1:6" x14ac:dyDescent="0.25">
      <c r="A103" s="758">
        <v>60</v>
      </c>
      <c r="B103" s="847">
        <v>849110140</v>
      </c>
      <c r="C103" s="758" t="s">
        <v>3445</v>
      </c>
      <c r="D103" s="759" t="s">
        <v>527</v>
      </c>
      <c r="E103" s="848">
        <v>41275</v>
      </c>
      <c r="F103" s="848" t="str">
        <f t="shared" si="1"/>
        <v xml:space="preserve">   </v>
      </c>
    </row>
    <row r="104" spans="1:6" x14ac:dyDescent="0.25">
      <c r="A104" s="758">
        <v>61</v>
      </c>
      <c r="B104" s="847">
        <v>849110130</v>
      </c>
      <c r="C104" s="758" t="s">
        <v>3446</v>
      </c>
      <c r="D104" s="759" t="s">
        <v>527</v>
      </c>
      <c r="E104" s="848">
        <v>41275</v>
      </c>
      <c r="F104" s="848" t="str">
        <f t="shared" si="1"/>
        <v xml:space="preserve">   </v>
      </c>
    </row>
    <row r="105" spans="1:6" x14ac:dyDescent="0.25">
      <c r="A105" s="758">
        <v>62</v>
      </c>
      <c r="B105" s="847">
        <v>849110157</v>
      </c>
      <c r="C105" s="758" t="s">
        <v>3447</v>
      </c>
      <c r="D105" s="759" t="s">
        <v>527</v>
      </c>
      <c r="E105" s="848">
        <v>41275</v>
      </c>
      <c r="F105" s="848" t="str">
        <f t="shared" si="1"/>
        <v xml:space="preserve">   </v>
      </c>
    </row>
    <row r="106" spans="1:6" x14ac:dyDescent="0.25">
      <c r="A106" s="758">
        <v>63</v>
      </c>
      <c r="B106" s="847">
        <v>849110159</v>
      </c>
      <c r="C106" s="758" t="s">
        <v>3448</v>
      </c>
      <c r="D106" s="759" t="s">
        <v>527</v>
      </c>
      <c r="E106" s="848">
        <v>41275</v>
      </c>
      <c r="F106" s="848" t="str">
        <f t="shared" si="1"/>
        <v xml:space="preserve">   </v>
      </c>
    </row>
    <row r="107" spans="1:6" x14ac:dyDescent="0.25">
      <c r="A107" s="758">
        <v>64</v>
      </c>
      <c r="B107" s="847">
        <v>849110196</v>
      </c>
      <c r="C107" s="758" t="s">
        <v>3449</v>
      </c>
      <c r="D107" s="759" t="s">
        <v>527</v>
      </c>
      <c r="E107" s="848">
        <v>41275</v>
      </c>
      <c r="F107" s="848" t="str">
        <f t="shared" si="1"/>
        <v xml:space="preserve">   </v>
      </c>
    </row>
    <row r="108" spans="1:6" x14ac:dyDescent="0.25">
      <c r="A108" s="758">
        <v>65</v>
      </c>
      <c r="B108" s="847">
        <v>849110171</v>
      </c>
      <c r="C108" s="758" t="s">
        <v>3450</v>
      </c>
      <c r="D108" s="759" t="s">
        <v>527</v>
      </c>
      <c r="E108" s="848">
        <v>41275</v>
      </c>
      <c r="F108" s="848" t="str">
        <f t="shared" si="1"/>
        <v xml:space="preserve">   </v>
      </c>
    </row>
    <row r="109" spans="1:6" x14ac:dyDescent="0.25">
      <c r="A109" s="758">
        <v>66</v>
      </c>
      <c r="B109" s="847">
        <v>849110160</v>
      </c>
      <c r="C109" s="758" t="s">
        <v>3451</v>
      </c>
      <c r="D109" s="759" t="s">
        <v>527</v>
      </c>
      <c r="E109" s="848">
        <v>41275</v>
      </c>
      <c r="F109" s="848" t="str">
        <f t="shared" si="1"/>
        <v xml:space="preserve">   </v>
      </c>
    </row>
    <row r="110" spans="1:6" x14ac:dyDescent="0.25">
      <c r="A110" s="758">
        <v>67</v>
      </c>
      <c r="B110" s="847">
        <v>849110168</v>
      </c>
      <c r="C110" s="758" t="s">
        <v>3452</v>
      </c>
      <c r="D110" s="759" t="s">
        <v>527</v>
      </c>
      <c r="E110" s="848">
        <v>41275</v>
      </c>
      <c r="F110" s="848" t="str">
        <f t="shared" si="1"/>
        <v xml:space="preserve">   </v>
      </c>
    </row>
    <row r="111" spans="1:6" x14ac:dyDescent="0.25">
      <c r="A111" s="758">
        <v>68</v>
      </c>
      <c r="B111" s="847">
        <v>849110194</v>
      </c>
      <c r="C111" s="758" t="s">
        <v>3453</v>
      </c>
      <c r="D111" s="759" t="s">
        <v>527</v>
      </c>
      <c r="E111" s="848">
        <v>41275</v>
      </c>
      <c r="F111" s="848" t="str">
        <f t="shared" si="1"/>
        <v xml:space="preserve">   </v>
      </c>
    </row>
    <row r="112" spans="1:6" x14ac:dyDescent="0.25">
      <c r="A112" s="758">
        <v>69</v>
      </c>
      <c r="B112" s="847">
        <v>849110195</v>
      </c>
      <c r="C112" s="758" t="s">
        <v>3454</v>
      </c>
      <c r="D112" s="759" t="s">
        <v>527</v>
      </c>
      <c r="E112" s="848">
        <v>41275</v>
      </c>
      <c r="F112" s="848" t="str">
        <f t="shared" si="1"/>
        <v xml:space="preserve">   </v>
      </c>
    </row>
    <row r="113" spans="1:6" x14ac:dyDescent="0.25">
      <c r="A113" s="758">
        <v>70</v>
      </c>
      <c r="B113" s="847">
        <v>849110143</v>
      </c>
      <c r="C113" s="758" t="s">
        <v>3455</v>
      </c>
      <c r="D113" s="759" t="s">
        <v>527</v>
      </c>
      <c r="E113" s="848">
        <v>41275</v>
      </c>
      <c r="F113" s="848" t="str">
        <f t="shared" si="1"/>
        <v xml:space="preserve">   </v>
      </c>
    </row>
    <row r="114" spans="1:6" x14ac:dyDescent="0.25">
      <c r="A114" s="758">
        <v>71</v>
      </c>
      <c r="B114" s="847">
        <v>849110101</v>
      </c>
      <c r="C114" s="758" t="s">
        <v>3456</v>
      </c>
      <c r="D114" s="759" t="s">
        <v>527</v>
      </c>
      <c r="E114" s="848">
        <v>41275</v>
      </c>
      <c r="F114" s="848" t="str">
        <f t="shared" si="1"/>
        <v xml:space="preserve">   </v>
      </c>
    </row>
    <row r="115" spans="1:6" x14ac:dyDescent="0.25">
      <c r="A115" s="758">
        <v>72</v>
      </c>
      <c r="B115" s="847">
        <v>849110180</v>
      </c>
      <c r="C115" s="758" t="s">
        <v>2533</v>
      </c>
      <c r="D115" s="759" t="s">
        <v>527</v>
      </c>
      <c r="E115" s="848">
        <v>41275</v>
      </c>
      <c r="F115" s="848" t="str">
        <f t="shared" si="1"/>
        <v xml:space="preserve">   </v>
      </c>
    </row>
    <row r="116" spans="1:6" x14ac:dyDescent="0.25">
      <c r="A116" s="758">
        <v>73</v>
      </c>
      <c r="B116" s="847">
        <v>849099019</v>
      </c>
      <c r="C116" s="758" t="s">
        <v>180</v>
      </c>
      <c r="D116" s="759" t="s">
        <v>527</v>
      </c>
      <c r="E116" s="848">
        <v>41275</v>
      </c>
      <c r="F116" s="848" t="str">
        <f t="shared" si="1"/>
        <v xml:space="preserve">   </v>
      </c>
    </row>
    <row r="117" spans="1:6" x14ac:dyDescent="0.25">
      <c r="A117" s="758">
        <v>74</v>
      </c>
      <c r="B117" s="847">
        <v>849110188</v>
      </c>
      <c r="C117" s="758" t="s">
        <v>3457</v>
      </c>
      <c r="D117" s="759" t="s">
        <v>527</v>
      </c>
      <c r="E117" s="848">
        <v>41275</v>
      </c>
      <c r="F117" s="848" t="str">
        <f t="shared" si="1"/>
        <v xml:space="preserve">   </v>
      </c>
    </row>
    <row r="118" spans="1:6" x14ac:dyDescent="0.25">
      <c r="A118" s="758">
        <v>75</v>
      </c>
      <c r="B118" s="847">
        <v>849110265</v>
      </c>
      <c r="C118" s="758" t="s">
        <v>3458</v>
      </c>
      <c r="D118" s="759" t="s">
        <v>527</v>
      </c>
      <c r="E118" s="848">
        <v>41275</v>
      </c>
      <c r="F118" s="848" t="str">
        <f t="shared" si="1"/>
        <v xml:space="preserve">   </v>
      </c>
    </row>
    <row r="119" spans="1:6" x14ac:dyDescent="0.25">
      <c r="A119" s="758">
        <v>76</v>
      </c>
      <c r="B119" s="847">
        <v>849110263</v>
      </c>
      <c r="C119" s="758" t="s">
        <v>3459</v>
      </c>
      <c r="D119" s="759" t="s">
        <v>527</v>
      </c>
      <c r="E119" s="848">
        <v>41275</v>
      </c>
      <c r="F119" s="848" t="str">
        <f t="shared" si="1"/>
        <v xml:space="preserve">   </v>
      </c>
    </row>
    <row r="120" spans="1:6" x14ac:dyDescent="0.25">
      <c r="A120" s="758">
        <v>77</v>
      </c>
      <c r="B120" s="847">
        <v>849110246</v>
      </c>
      <c r="C120" s="758" t="s">
        <v>3460</v>
      </c>
      <c r="D120" s="759" t="s">
        <v>527</v>
      </c>
      <c r="E120" s="848">
        <v>41275</v>
      </c>
      <c r="F120" s="848" t="str">
        <f t="shared" si="1"/>
        <v xml:space="preserve">   </v>
      </c>
    </row>
    <row r="121" spans="1:6" x14ac:dyDescent="0.25">
      <c r="A121" s="758">
        <v>78</v>
      </c>
      <c r="B121" s="847">
        <v>849110201</v>
      </c>
      <c r="C121" s="758" t="s">
        <v>3461</v>
      </c>
      <c r="D121" s="759" t="s">
        <v>527</v>
      </c>
      <c r="E121" s="848">
        <v>41275</v>
      </c>
      <c r="F121" s="848" t="str">
        <f t="shared" si="1"/>
        <v xml:space="preserve">   </v>
      </c>
    </row>
    <row r="122" spans="1:6" x14ac:dyDescent="0.25">
      <c r="A122" s="758">
        <v>79</v>
      </c>
      <c r="B122" s="847">
        <v>849110174</v>
      </c>
      <c r="C122" s="758" t="s">
        <v>3462</v>
      </c>
      <c r="D122" s="759" t="s">
        <v>527</v>
      </c>
      <c r="E122" s="848">
        <v>41275</v>
      </c>
      <c r="F122" s="848" t="str">
        <f t="shared" si="1"/>
        <v xml:space="preserve">   </v>
      </c>
    </row>
    <row r="123" spans="1:6" x14ac:dyDescent="0.25">
      <c r="F123" s="848" t="str">
        <f t="shared" si="1"/>
        <v xml:space="preserve">   </v>
      </c>
    </row>
    <row r="124" spans="1:6" x14ac:dyDescent="0.25">
      <c r="A124" s="758">
        <v>1</v>
      </c>
      <c r="B124" s="847">
        <v>849110274</v>
      </c>
      <c r="C124" s="758" t="s">
        <v>784</v>
      </c>
      <c r="D124" s="759" t="s">
        <v>527</v>
      </c>
      <c r="E124" s="851">
        <v>41640</v>
      </c>
      <c r="F124" s="848" t="str">
        <f t="shared" si="1"/>
        <v xml:space="preserve">   </v>
      </c>
    </row>
    <row r="125" spans="1:6" x14ac:dyDescent="0.25">
      <c r="A125" s="758">
        <v>2</v>
      </c>
      <c r="B125" s="847">
        <v>849110228</v>
      </c>
      <c r="C125" s="758" t="s">
        <v>696</v>
      </c>
      <c r="D125" s="759" t="s">
        <v>527</v>
      </c>
      <c r="E125" s="851">
        <v>41640</v>
      </c>
      <c r="F125" s="848" t="str">
        <f t="shared" si="1"/>
        <v xml:space="preserve">   </v>
      </c>
    </row>
    <row r="126" spans="1:6" x14ac:dyDescent="0.25">
      <c r="A126" s="758">
        <v>3</v>
      </c>
      <c r="B126" s="847">
        <v>849110223</v>
      </c>
      <c r="C126" s="758" t="s">
        <v>686</v>
      </c>
      <c r="D126" s="759" t="s">
        <v>527</v>
      </c>
      <c r="E126" s="851">
        <v>41640</v>
      </c>
      <c r="F126" s="848" t="str">
        <f t="shared" si="1"/>
        <v xml:space="preserve">   </v>
      </c>
    </row>
    <row r="127" spans="1:6" x14ac:dyDescent="0.25">
      <c r="A127" s="758">
        <v>4</v>
      </c>
      <c r="B127" s="847">
        <v>849110190</v>
      </c>
      <c r="C127" s="758" t="s">
        <v>649</v>
      </c>
      <c r="D127" s="759" t="s">
        <v>527</v>
      </c>
      <c r="E127" s="851">
        <v>41640</v>
      </c>
      <c r="F127" s="848" t="str">
        <f t="shared" si="1"/>
        <v xml:space="preserve">   </v>
      </c>
    </row>
    <row r="128" spans="1:6" x14ac:dyDescent="0.25">
      <c r="A128" s="758">
        <v>5</v>
      </c>
      <c r="B128" s="847">
        <v>849110136</v>
      </c>
      <c r="C128" s="758" t="s">
        <v>549</v>
      </c>
      <c r="D128" s="759" t="s">
        <v>527</v>
      </c>
      <c r="E128" s="851">
        <v>41640</v>
      </c>
      <c r="F128" s="848" t="str">
        <f t="shared" si="1"/>
        <v xml:space="preserve">   </v>
      </c>
    </row>
    <row r="129" spans="1:6" x14ac:dyDescent="0.25">
      <c r="A129" s="758">
        <v>6</v>
      </c>
      <c r="B129" s="847">
        <v>849110106</v>
      </c>
      <c r="C129" s="758" t="s">
        <v>501</v>
      </c>
      <c r="D129" s="759" t="s">
        <v>527</v>
      </c>
      <c r="E129" s="851">
        <v>41640</v>
      </c>
      <c r="F129" s="848" t="str">
        <f t="shared" si="1"/>
        <v xml:space="preserve">   </v>
      </c>
    </row>
    <row r="130" spans="1:6" x14ac:dyDescent="0.25">
      <c r="A130" s="758">
        <v>7</v>
      </c>
      <c r="B130" s="847">
        <v>849110124</v>
      </c>
      <c r="C130" s="758" t="s">
        <v>540</v>
      </c>
      <c r="D130" s="759" t="s">
        <v>527</v>
      </c>
      <c r="E130" s="851">
        <v>41640</v>
      </c>
      <c r="F130" s="848" t="str">
        <f t="shared" ref="F130:F193" si="2">IFERROR(VLOOKUP(B130,Tlus,3,FALSE),"   ")</f>
        <v xml:space="preserve">   </v>
      </c>
    </row>
    <row r="131" spans="1:6" x14ac:dyDescent="0.25">
      <c r="A131" s="758">
        <v>8</v>
      </c>
      <c r="B131" s="847">
        <v>849110305</v>
      </c>
      <c r="C131" s="758" t="s">
        <v>3463</v>
      </c>
      <c r="D131" s="759" t="s">
        <v>527</v>
      </c>
      <c r="E131" s="851">
        <v>41640</v>
      </c>
      <c r="F131" s="848" t="str">
        <f t="shared" si="2"/>
        <v xml:space="preserve">   </v>
      </c>
    </row>
    <row r="132" spans="1:6" x14ac:dyDescent="0.25">
      <c r="A132" s="758">
        <v>9</v>
      </c>
      <c r="B132" s="847">
        <v>849110280</v>
      </c>
      <c r="C132" s="758" t="s">
        <v>797</v>
      </c>
      <c r="D132" s="759" t="s">
        <v>527</v>
      </c>
      <c r="E132" s="851">
        <v>41640</v>
      </c>
      <c r="F132" s="848" t="str">
        <f t="shared" si="2"/>
        <v xml:space="preserve">   </v>
      </c>
    </row>
    <row r="133" spans="1:6" x14ac:dyDescent="0.25">
      <c r="A133" s="758">
        <v>10</v>
      </c>
      <c r="B133" s="847">
        <v>849110304</v>
      </c>
      <c r="C133" s="758" t="s">
        <v>542</v>
      </c>
      <c r="D133" s="759" t="s">
        <v>527</v>
      </c>
      <c r="E133" s="851">
        <v>41640</v>
      </c>
      <c r="F133" s="848" t="str">
        <f t="shared" si="2"/>
        <v xml:space="preserve">   </v>
      </c>
    </row>
    <row r="134" spans="1:6" x14ac:dyDescent="0.25">
      <c r="A134" s="758">
        <v>11</v>
      </c>
      <c r="B134" s="847">
        <v>849110206</v>
      </c>
      <c r="C134" s="758" t="s">
        <v>670</v>
      </c>
      <c r="D134" s="759" t="s">
        <v>527</v>
      </c>
      <c r="E134" s="851">
        <v>41640</v>
      </c>
      <c r="F134" s="848" t="str">
        <f t="shared" si="2"/>
        <v xml:space="preserve">   </v>
      </c>
    </row>
    <row r="135" spans="1:6" x14ac:dyDescent="0.25">
      <c r="A135" s="758">
        <v>12</v>
      </c>
      <c r="B135" s="847">
        <v>849110080</v>
      </c>
      <c r="C135" s="758" t="s">
        <v>3464</v>
      </c>
      <c r="D135" s="759" t="s">
        <v>527</v>
      </c>
      <c r="E135" s="851">
        <v>41640</v>
      </c>
      <c r="F135" s="848" t="str">
        <f t="shared" si="2"/>
        <v xml:space="preserve">   </v>
      </c>
    </row>
    <row r="136" spans="1:6" x14ac:dyDescent="0.25">
      <c r="A136" s="758">
        <v>13</v>
      </c>
      <c r="B136" s="847">
        <v>849110268</v>
      </c>
      <c r="C136" s="758" t="s">
        <v>773</v>
      </c>
      <c r="D136" s="759" t="s">
        <v>527</v>
      </c>
      <c r="E136" s="851">
        <v>41640</v>
      </c>
      <c r="F136" s="848" t="str">
        <f t="shared" si="2"/>
        <v xml:space="preserve">   </v>
      </c>
    </row>
    <row r="137" spans="1:6" x14ac:dyDescent="0.25">
      <c r="A137" s="758">
        <v>14</v>
      </c>
      <c r="B137" s="847">
        <v>849110259</v>
      </c>
      <c r="C137" s="758" t="s">
        <v>760</v>
      </c>
      <c r="D137" s="759" t="s">
        <v>527</v>
      </c>
      <c r="E137" s="851">
        <v>41640</v>
      </c>
      <c r="F137" s="848" t="str">
        <f t="shared" si="2"/>
        <v xml:space="preserve">   </v>
      </c>
    </row>
    <row r="138" spans="1:6" x14ac:dyDescent="0.25">
      <c r="A138" s="758">
        <v>15</v>
      </c>
      <c r="B138" s="847">
        <v>849110229</v>
      </c>
      <c r="C138" s="758" t="s">
        <v>698</v>
      </c>
      <c r="D138" s="759" t="s">
        <v>527</v>
      </c>
      <c r="E138" s="851">
        <v>41640</v>
      </c>
      <c r="F138" s="848" t="str">
        <f t="shared" si="2"/>
        <v xml:space="preserve">   </v>
      </c>
    </row>
    <row r="139" spans="1:6" x14ac:dyDescent="0.25">
      <c r="A139" s="758">
        <v>16</v>
      </c>
      <c r="B139" s="847">
        <v>849110224</v>
      </c>
      <c r="C139" s="758" t="s">
        <v>687</v>
      </c>
      <c r="D139" s="759" t="s">
        <v>527</v>
      </c>
      <c r="E139" s="851">
        <v>41640</v>
      </c>
      <c r="F139" s="848" t="str">
        <f t="shared" si="2"/>
        <v xml:space="preserve">   </v>
      </c>
    </row>
    <row r="140" spans="1:6" x14ac:dyDescent="0.25">
      <c r="A140" s="758">
        <v>17</v>
      </c>
      <c r="B140" s="847">
        <v>849110128</v>
      </c>
      <c r="C140" s="758" t="s">
        <v>556</v>
      </c>
      <c r="D140" s="759" t="s">
        <v>527</v>
      </c>
      <c r="E140" s="851">
        <v>41640</v>
      </c>
      <c r="F140" s="848" t="str">
        <f t="shared" si="2"/>
        <v xml:space="preserve">   </v>
      </c>
    </row>
    <row r="141" spans="1:6" x14ac:dyDescent="0.25">
      <c r="A141" s="758">
        <v>18</v>
      </c>
      <c r="B141" s="847">
        <v>849110149</v>
      </c>
      <c r="C141" s="758" t="s">
        <v>552</v>
      </c>
      <c r="D141" s="759" t="s">
        <v>527</v>
      </c>
      <c r="E141" s="851">
        <v>41640</v>
      </c>
      <c r="F141" s="848" t="str">
        <f t="shared" si="2"/>
        <v xml:space="preserve">   </v>
      </c>
    </row>
    <row r="142" spans="1:6" x14ac:dyDescent="0.25">
      <c r="A142" s="758">
        <v>19</v>
      </c>
      <c r="B142" s="847">
        <v>849110283</v>
      </c>
      <c r="C142" s="758" t="s">
        <v>801</v>
      </c>
      <c r="D142" s="759" t="s">
        <v>527</v>
      </c>
      <c r="E142" s="851">
        <v>41640</v>
      </c>
      <c r="F142" s="848" t="str">
        <f t="shared" si="2"/>
        <v xml:space="preserve">   </v>
      </c>
    </row>
    <row r="143" spans="1:6" x14ac:dyDescent="0.25">
      <c r="A143" s="758">
        <v>20</v>
      </c>
      <c r="B143" s="847">
        <v>849110300</v>
      </c>
      <c r="C143" s="758" t="s">
        <v>788</v>
      </c>
      <c r="D143" s="759" t="s">
        <v>527</v>
      </c>
      <c r="E143" s="851">
        <v>41640</v>
      </c>
      <c r="F143" s="848" t="str">
        <f t="shared" si="2"/>
        <v xml:space="preserve">   </v>
      </c>
    </row>
    <row r="144" spans="1:6" x14ac:dyDescent="0.25">
      <c r="A144" s="758">
        <v>21</v>
      </c>
      <c r="B144" s="847">
        <v>849110291</v>
      </c>
      <c r="C144" s="758" t="s">
        <v>3465</v>
      </c>
      <c r="D144" s="759" t="s">
        <v>527</v>
      </c>
      <c r="E144" s="851">
        <v>41640</v>
      </c>
      <c r="F144" s="848" t="str">
        <f t="shared" si="2"/>
        <v xml:space="preserve">   </v>
      </c>
    </row>
    <row r="145" spans="1:6" x14ac:dyDescent="0.25">
      <c r="A145" s="758">
        <v>22</v>
      </c>
      <c r="B145" s="847">
        <v>849110285</v>
      </c>
      <c r="C145" s="758" t="s">
        <v>804</v>
      </c>
      <c r="D145" s="759" t="s">
        <v>527</v>
      </c>
      <c r="E145" s="851">
        <v>41640</v>
      </c>
      <c r="F145" s="848" t="str">
        <f t="shared" si="2"/>
        <v xml:space="preserve">   </v>
      </c>
    </row>
    <row r="146" spans="1:6" x14ac:dyDescent="0.25">
      <c r="A146" s="758">
        <v>23</v>
      </c>
      <c r="B146" s="847">
        <v>849110226</v>
      </c>
      <c r="C146" s="758" t="s">
        <v>3466</v>
      </c>
      <c r="D146" s="759" t="s">
        <v>527</v>
      </c>
      <c r="E146" s="851">
        <v>41640</v>
      </c>
      <c r="F146" s="848" t="str">
        <f t="shared" si="2"/>
        <v xml:space="preserve">   </v>
      </c>
    </row>
    <row r="147" spans="1:6" x14ac:dyDescent="0.25">
      <c r="A147" s="758">
        <v>24</v>
      </c>
      <c r="B147" s="847">
        <v>849110231</v>
      </c>
      <c r="C147" s="758" t="s">
        <v>3467</v>
      </c>
      <c r="D147" s="759" t="s">
        <v>527</v>
      </c>
      <c r="E147" s="851">
        <v>41640</v>
      </c>
      <c r="F147" s="848" t="str">
        <f t="shared" si="2"/>
        <v xml:space="preserve">   </v>
      </c>
    </row>
    <row r="148" spans="1:6" x14ac:dyDescent="0.25">
      <c r="A148" s="758">
        <v>25</v>
      </c>
      <c r="B148" s="847">
        <v>849110026</v>
      </c>
      <c r="C148" s="758" t="s">
        <v>3468</v>
      </c>
      <c r="D148" s="759" t="s">
        <v>527</v>
      </c>
      <c r="E148" s="851">
        <v>41640</v>
      </c>
      <c r="F148" s="848" t="str">
        <f t="shared" si="2"/>
        <v xml:space="preserve">   </v>
      </c>
    </row>
    <row r="149" spans="1:6" x14ac:dyDescent="0.25">
      <c r="A149" s="758">
        <v>26</v>
      </c>
      <c r="B149" s="847">
        <v>849110273</v>
      </c>
      <c r="C149" s="758" t="s">
        <v>782</v>
      </c>
      <c r="D149" s="759" t="s">
        <v>527</v>
      </c>
      <c r="E149" s="851">
        <v>41640</v>
      </c>
      <c r="F149" s="848" t="str">
        <f t="shared" si="2"/>
        <v xml:space="preserve">   </v>
      </c>
    </row>
    <row r="150" spans="1:6" x14ac:dyDescent="0.25">
      <c r="A150" s="758">
        <v>27</v>
      </c>
      <c r="B150" s="847">
        <v>849110225</v>
      </c>
      <c r="C150" s="758" t="s">
        <v>688</v>
      </c>
      <c r="D150" s="759" t="s">
        <v>527</v>
      </c>
      <c r="E150" s="851">
        <v>41640</v>
      </c>
      <c r="F150" s="848" t="str">
        <f t="shared" si="2"/>
        <v xml:space="preserve">   </v>
      </c>
    </row>
    <row r="151" spans="1:6" x14ac:dyDescent="0.25">
      <c r="A151" s="758">
        <v>28</v>
      </c>
      <c r="B151" s="847">
        <v>849120038</v>
      </c>
      <c r="C151" s="758" t="s">
        <v>3469</v>
      </c>
      <c r="D151" s="759" t="s">
        <v>527</v>
      </c>
      <c r="E151" s="851">
        <v>41640</v>
      </c>
      <c r="F151" s="848" t="str">
        <f t="shared" si="2"/>
        <v xml:space="preserve">   </v>
      </c>
    </row>
    <row r="152" spans="1:6" x14ac:dyDescent="0.25">
      <c r="A152" s="758">
        <v>29</v>
      </c>
      <c r="B152" s="847">
        <v>849110266</v>
      </c>
      <c r="C152" s="758" t="s">
        <v>3470</v>
      </c>
      <c r="D152" s="759" t="s">
        <v>527</v>
      </c>
      <c r="E152" s="851">
        <v>41640</v>
      </c>
      <c r="F152" s="848" t="str">
        <f t="shared" si="2"/>
        <v xml:space="preserve">   </v>
      </c>
    </row>
    <row r="153" spans="1:6" x14ac:dyDescent="0.25">
      <c r="A153" s="758">
        <v>30</v>
      </c>
      <c r="B153" s="847">
        <v>849110267</v>
      </c>
      <c r="C153" s="758" t="s">
        <v>770</v>
      </c>
      <c r="D153" s="759" t="s">
        <v>527</v>
      </c>
      <c r="E153" s="851">
        <v>41640</v>
      </c>
      <c r="F153" s="848" t="str">
        <f t="shared" si="2"/>
        <v xml:space="preserve">   </v>
      </c>
    </row>
    <row r="154" spans="1:6" x14ac:dyDescent="0.25">
      <c r="A154" s="758">
        <v>31</v>
      </c>
      <c r="B154" s="847">
        <v>849120040</v>
      </c>
      <c r="C154" s="758" t="s">
        <v>3471</v>
      </c>
      <c r="D154" s="759" t="s">
        <v>527</v>
      </c>
      <c r="E154" s="851">
        <v>41640</v>
      </c>
      <c r="F154" s="848" t="str">
        <f t="shared" si="2"/>
        <v xml:space="preserve">   </v>
      </c>
    </row>
    <row r="155" spans="1:6" x14ac:dyDescent="0.25">
      <c r="A155" s="758">
        <v>32</v>
      </c>
      <c r="B155" s="847">
        <v>849120019</v>
      </c>
      <c r="C155" s="758" t="s">
        <v>3472</v>
      </c>
      <c r="D155" s="759" t="s">
        <v>527</v>
      </c>
      <c r="E155" s="851">
        <v>41640</v>
      </c>
      <c r="F155" s="848" t="str">
        <f t="shared" si="2"/>
        <v xml:space="preserve">   </v>
      </c>
    </row>
    <row r="156" spans="1:6" x14ac:dyDescent="0.25">
      <c r="A156" s="758">
        <v>33</v>
      </c>
      <c r="B156" s="847">
        <v>849120031</v>
      </c>
      <c r="C156" s="758" t="s">
        <v>931</v>
      </c>
      <c r="D156" s="759" t="s">
        <v>527</v>
      </c>
      <c r="E156" s="851">
        <v>41640</v>
      </c>
      <c r="F156" s="848" t="str">
        <f t="shared" si="2"/>
        <v xml:space="preserve">   </v>
      </c>
    </row>
    <row r="157" spans="1:6" x14ac:dyDescent="0.25">
      <c r="A157" s="758">
        <v>34</v>
      </c>
      <c r="B157" s="847">
        <v>849110241</v>
      </c>
      <c r="C157" s="758" t="s">
        <v>3473</v>
      </c>
      <c r="D157" s="759" t="s">
        <v>527</v>
      </c>
      <c r="E157" s="851">
        <v>41640</v>
      </c>
      <c r="F157" s="848" t="str">
        <f t="shared" si="2"/>
        <v xml:space="preserve">   </v>
      </c>
    </row>
    <row r="158" spans="1:6" x14ac:dyDescent="0.25">
      <c r="A158" s="758">
        <v>35</v>
      </c>
      <c r="B158" s="847">
        <v>849110177</v>
      </c>
      <c r="C158" s="758" t="s">
        <v>660</v>
      </c>
      <c r="D158" s="759" t="s">
        <v>527</v>
      </c>
      <c r="E158" s="851">
        <v>41640</v>
      </c>
      <c r="F158" s="848" t="str">
        <f t="shared" si="2"/>
        <v xml:space="preserve">   </v>
      </c>
    </row>
    <row r="159" spans="1:6" x14ac:dyDescent="0.25">
      <c r="A159" s="758">
        <v>36</v>
      </c>
      <c r="B159" s="847">
        <v>849110183</v>
      </c>
      <c r="C159" s="758" t="s">
        <v>587</v>
      </c>
      <c r="D159" s="759" t="s">
        <v>527</v>
      </c>
      <c r="E159" s="851">
        <v>41640</v>
      </c>
      <c r="F159" s="848" t="str">
        <f t="shared" si="2"/>
        <v xml:space="preserve">   </v>
      </c>
    </row>
    <row r="160" spans="1:6" x14ac:dyDescent="0.25">
      <c r="A160" s="758">
        <v>37</v>
      </c>
      <c r="B160" s="847">
        <v>849110245</v>
      </c>
      <c r="C160" s="758" t="s">
        <v>730</v>
      </c>
      <c r="D160" s="759" t="s">
        <v>527</v>
      </c>
      <c r="E160" s="851">
        <v>41640</v>
      </c>
      <c r="F160" s="848" t="str">
        <f t="shared" si="2"/>
        <v xml:space="preserve">   </v>
      </c>
    </row>
    <row r="161" spans="1:6" x14ac:dyDescent="0.25">
      <c r="A161" s="758">
        <v>38</v>
      </c>
      <c r="B161" s="847">
        <v>849110219</v>
      </c>
      <c r="C161" s="758" t="s">
        <v>667</v>
      </c>
      <c r="D161" s="759" t="s">
        <v>527</v>
      </c>
      <c r="E161" s="851">
        <v>41640</v>
      </c>
      <c r="F161" s="848" t="str">
        <f t="shared" si="2"/>
        <v xml:space="preserve">   </v>
      </c>
    </row>
    <row r="162" spans="1:6" x14ac:dyDescent="0.25">
      <c r="A162" s="758">
        <v>39</v>
      </c>
      <c r="B162" s="847">
        <v>849110232</v>
      </c>
      <c r="C162" s="758" t="s">
        <v>3474</v>
      </c>
      <c r="D162" s="759" t="s">
        <v>527</v>
      </c>
      <c r="E162" s="851">
        <v>41640</v>
      </c>
      <c r="F162" s="848" t="str">
        <f t="shared" si="2"/>
        <v xml:space="preserve">   </v>
      </c>
    </row>
    <row r="163" spans="1:6" x14ac:dyDescent="0.25">
      <c r="A163" s="758">
        <v>40</v>
      </c>
      <c r="B163" s="847">
        <v>849110287</v>
      </c>
      <c r="C163" s="758" t="s">
        <v>806</v>
      </c>
      <c r="D163" s="759" t="s">
        <v>527</v>
      </c>
      <c r="E163" s="851">
        <v>41640</v>
      </c>
      <c r="F163" s="848" t="str">
        <f t="shared" si="2"/>
        <v xml:space="preserve">   </v>
      </c>
    </row>
    <row r="164" spans="1:6" x14ac:dyDescent="0.25">
      <c r="A164" s="758">
        <v>41</v>
      </c>
      <c r="B164" s="847">
        <v>849120006</v>
      </c>
      <c r="C164" s="758" t="s">
        <v>890</v>
      </c>
      <c r="D164" s="759" t="s">
        <v>527</v>
      </c>
      <c r="E164" s="851">
        <v>41640</v>
      </c>
      <c r="F164" s="848" t="str">
        <f t="shared" si="2"/>
        <v xml:space="preserve">   </v>
      </c>
    </row>
    <row r="165" spans="1:6" x14ac:dyDescent="0.25">
      <c r="A165" s="758">
        <v>42</v>
      </c>
      <c r="B165" s="847">
        <v>849110244</v>
      </c>
      <c r="C165" s="758" t="s">
        <v>727</v>
      </c>
      <c r="D165" s="759" t="s">
        <v>527</v>
      </c>
      <c r="E165" s="851">
        <v>41640</v>
      </c>
      <c r="F165" s="848" t="str">
        <f t="shared" si="2"/>
        <v xml:space="preserve">   </v>
      </c>
    </row>
    <row r="166" spans="1:6" x14ac:dyDescent="0.25">
      <c r="A166" s="758">
        <v>43</v>
      </c>
      <c r="B166" s="847">
        <v>849120037</v>
      </c>
      <c r="C166" s="758" t="s">
        <v>937</v>
      </c>
      <c r="D166" s="759" t="s">
        <v>527</v>
      </c>
      <c r="E166" s="851">
        <v>41640</v>
      </c>
      <c r="F166" s="848" t="str">
        <f t="shared" si="2"/>
        <v xml:space="preserve">   </v>
      </c>
    </row>
    <row r="167" spans="1:6" x14ac:dyDescent="0.25">
      <c r="A167" s="758">
        <v>44</v>
      </c>
      <c r="B167" s="847">
        <v>849120022</v>
      </c>
      <c r="C167" s="758" t="s">
        <v>920</v>
      </c>
      <c r="D167" s="759" t="s">
        <v>527</v>
      </c>
      <c r="E167" s="851">
        <v>41640</v>
      </c>
      <c r="F167" s="848" t="str">
        <f t="shared" si="2"/>
        <v xml:space="preserve">   </v>
      </c>
    </row>
    <row r="168" spans="1:6" x14ac:dyDescent="0.25">
      <c r="A168" s="758">
        <v>45</v>
      </c>
      <c r="B168" s="847">
        <v>849110199</v>
      </c>
      <c r="C168" s="758" t="s">
        <v>606</v>
      </c>
      <c r="D168" s="759" t="s">
        <v>527</v>
      </c>
      <c r="E168" s="851">
        <v>41640</v>
      </c>
      <c r="F168" s="848" t="str">
        <f t="shared" si="2"/>
        <v xml:space="preserve">   </v>
      </c>
    </row>
    <row r="169" spans="1:6" x14ac:dyDescent="0.25">
      <c r="A169" s="758">
        <v>46</v>
      </c>
      <c r="B169" s="847">
        <v>849110233</v>
      </c>
      <c r="C169" s="758" t="s">
        <v>703</v>
      </c>
      <c r="D169" s="759" t="s">
        <v>527</v>
      </c>
      <c r="E169" s="851">
        <v>41640</v>
      </c>
      <c r="F169" s="848" t="str">
        <f t="shared" si="2"/>
        <v xml:space="preserve">   </v>
      </c>
    </row>
    <row r="170" spans="1:6" x14ac:dyDescent="0.25">
      <c r="A170" s="758">
        <v>47</v>
      </c>
      <c r="B170" s="847">
        <v>849110097</v>
      </c>
      <c r="C170" s="758" t="s">
        <v>464</v>
      </c>
      <c r="D170" s="759" t="s">
        <v>527</v>
      </c>
      <c r="E170" s="851">
        <v>41640</v>
      </c>
      <c r="F170" s="848" t="str">
        <f t="shared" si="2"/>
        <v xml:space="preserve">   </v>
      </c>
    </row>
    <row r="171" spans="1:6" x14ac:dyDescent="0.25">
      <c r="A171" s="758">
        <v>48</v>
      </c>
      <c r="B171" s="847">
        <v>849110255</v>
      </c>
      <c r="C171" s="758" t="s">
        <v>747</v>
      </c>
      <c r="D171" s="759" t="s">
        <v>527</v>
      </c>
      <c r="E171" s="851">
        <v>41640</v>
      </c>
      <c r="F171" s="848" t="str">
        <f t="shared" si="2"/>
        <v xml:space="preserve">   </v>
      </c>
    </row>
    <row r="172" spans="1:6" x14ac:dyDescent="0.25">
      <c r="A172" s="758">
        <v>49</v>
      </c>
      <c r="B172" s="847">
        <v>849120024</v>
      </c>
      <c r="C172" s="758" t="s">
        <v>923</v>
      </c>
      <c r="D172" s="759" t="s">
        <v>527</v>
      </c>
      <c r="E172" s="851">
        <v>41640</v>
      </c>
      <c r="F172" s="848" t="str">
        <f t="shared" si="2"/>
        <v xml:space="preserve">   </v>
      </c>
    </row>
    <row r="173" spans="1:6" x14ac:dyDescent="0.25">
      <c r="A173" s="758">
        <v>50</v>
      </c>
      <c r="B173" s="847">
        <v>849110045</v>
      </c>
      <c r="C173" s="758" t="s">
        <v>3475</v>
      </c>
      <c r="D173" s="759" t="s">
        <v>527</v>
      </c>
      <c r="E173" s="851">
        <v>41640</v>
      </c>
      <c r="F173" s="848" t="str">
        <f t="shared" si="2"/>
        <v xml:space="preserve">   </v>
      </c>
    </row>
    <row r="174" spans="1:6" x14ac:dyDescent="0.25">
      <c r="A174" s="758">
        <v>51</v>
      </c>
      <c r="B174" s="847">
        <v>849120005</v>
      </c>
      <c r="C174" s="758" t="s">
        <v>887</v>
      </c>
      <c r="D174" s="759" t="s">
        <v>527</v>
      </c>
      <c r="E174" s="851">
        <v>41640</v>
      </c>
      <c r="F174" s="848" t="str">
        <f t="shared" si="2"/>
        <v xml:space="preserve">   </v>
      </c>
    </row>
    <row r="175" spans="1:6" x14ac:dyDescent="0.25">
      <c r="A175" s="758">
        <v>52</v>
      </c>
      <c r="B175" s="847">
        <v>849120020</v>
      </c>
      <c r="C175" s="758" t="s">
        <v>917</v>
      </c>
      <c r="D175" s="759" t="s">
        <v>527</v>
      </c>
      <c r="E175" s="851">
        <v>41640</v>
      </c>
      <c r="F175" s="848" t="str">
        <f t="shared" si="2"/>
        <v xml:space="preserve">   </v>
      </c>
    </row>
    <row r="176" spans="1:6" x14ac:dyDescent="0.25">
      <c r="A176" s="758">
        <v>53</v>
      </c>
      <c r="B176" s="847">
        <v>849120079</v>
      </c>
      <c r="C176" s="758" t="s">
        <v>1007</v>
      </c>
      <c r="D176" s="759" t="s">
        <v>527</v>
      </c>
      <c r="E176" s="851">
        <v>41640</v>
      </c>
      <c r="F176" s="848" t="str">
        <f t="shared" si="2"/>
        <v xml:space="preserve">   </v>
      </c>
    </row>
    <row r="177" spans="1:6" x14ac:dyDescent="0.25">
      <c r="A177" s="758">
        <v>54</v>
      </c>
      <c r="B177" s="847">
        <v>849110242</v>
      </c>
      <c r="C177" s="758" t="s">
        <v>3476</v>
      </c>
      <c r="D177" s="759" t="s">
        <v>527</v>
      </c>
      <c r="E177" s="851">
        <v>41640</v>
      </c>
      <c r="F177" s="848" t="str">
        <f t="shared" si="2"/>
        <v xml:space="preserve">   </v>
      </c>
    </row>
    <row r="178" spans="1:6" x14ac:dyDescent="0.25">
      <c r="A178" s="758">
        <v>55</v>
      </c>
      <c r="B178" s="847">
        <v>849110002</v>
      </c>
      <c r="C178" s="758" t="s">
        <v>3477</v>
      </c>
      <c r="D178" s="759" t="s">
        <v>527</v>
      </c>
      <c r="E178" s="851">
        <v>41640</v>
      </c>
      <c r="F178" s="848" t="str">
        <f t="shared" si="2"/>
        <v xml:space="preserve">   </v>
      </c>
    </row>
    <row r="179" spans="1:6" x14ac:dyDescent="0.25">
      <c r="A179" s="758">
        <v>56</v>
      </c>
      <c r="B179" s="847">
        <v>849120086</v>
      </c>
      <c r="C179" s="758" t="s">
        <v>859</v>
      </c>
      <c r="D179" s="759" t="s">
        <v>527</v>
      </c>
      <c r="E179" s="851">
        <v>41640</v>
      </c>
      <c r="F179" s="848" t="str">
        <f t="shared" si="2"/>
        <v xml:space="preserve">   </v>
      </c>
    </row>
    <row r="180" spans="1:6" x14ac:dyDescent="0.25">
      <c r="A180" s="758">
        <v>57</v>
      </c>
      <c r="B180" s="847">
        <v>849110187</v>
      </c>
      <c r="C180" s="758" t="s">
        <v>676</v>
      </c>
      <c r="D180" s="759" t="s">
        <v>527</v>
      </c>
      <c r="E180" s="851">
        <v>41640</v>
      </c>
      <c r="F180" s="848" t="str">
        <f t="shared" si="2"/>
        <v xml:space="preserve">   </v>
      </c>
    </row>
    <row r="181" spans="1:6" x14ac:dyDescent="0.25">
      <c r="A181" s="758">
        <v>58</v>
      </c>
      <c r="B181" s="847">
        <v>849120028</v>
      </c>
      <c r="C181" s="758" t="s">
        <v>3478</v>
      </c>
      <c r="D181" s="759" t="s">
        <v>527</v>
      </c>
      <c r="E181" s="851">
        <v>41640</v>
      </c>
      <c r="F181" s="848" t="str">
        <f t="shared" si="2"/>
        <v xml:space="preserve">   </v>
      </c>
    </row>
    <row r="182" spans="1:6" x14ac:dyDescent="0.25">
      <c r="A182" s="758">
        <v>59</v>
      </c>
      <c r="B182" s="847">
        <v>849110202</v>
      </c>
      <c r="C182" s="758" t="s">
        <v>658</v>
      </c>
      <c r="D182" s="759" t="s">
        <v>527</v>
      </c>
      <c r="E182" s="851">
        <v>41640</v>
      </c>
      <c r="F182" s="848" t="str">
        <f t="shared" si="2"/>
        <v xml:space="preserve">   </v>
      </c>
    </row>
    <row r="183" spans="1:6" x14ac:dyDescent="0.25">
      <c r="A183" s="758">
        <v>60</v>
      </c>
      <c r="B183" s="847">
        <v>849120091</v>
      </c>
      <c r="C183" s="758" t="s">
        <v>3479</v>
      </c>
      <c r="D183" s="759" t="s">
        <v>527</v>
      </c>
      <c r="E183" s="851">
        <v>41640</v>
      </c>
      <c r="F183" s="848" t="str">
        <f t="shared" si="2"/>
        <v xml:space="preserve">   </v>
      </c>
    </row>
    <row r="184" spans="1:6" x14ac:dyDescent="0.25">
      <c r="A184" s="758">
        <v>61</v>
      </c>
      <c r="B184" s="847">
        <v>849110248</v>
      </c>
      <c r="C184" s="758" t="s">
        <v>735</v>
      </c>
      <c r="D184" s="759" t="s">
        <v>527</v>
      </c>
      <c r="E184" s="851">
        <v>41640</v>
      </c>
      <c r="F184" s="848" t="str">
        <f t="shared" si="2"/>
        <v xml:space="preserve">   </v>
      </c>
    </row>
    <row r="185" spans="1:6" x14ac:dyDescent="0.25">
      <c r="A185" s="758">
        <v>62</v>
      </c>
      <c r="B185" s="847">
        <v>849120011</v>
      </c>
      <c r="C185" s="758" t="s">
        <v>899</v>
      </c>
      <c r="D185" s="759" t="s">
        <v>527</v>
      </c>
      <c r="E185" s="851">
        <v>41640</v>
      </c>
      <c r="F185" s="848" t="str">
        <f t="shared" si="2"/>
        <v xml:space="preserve">   </v>
      </c>
    </row>
    <row r="186" spans="1:6" x14ac:dyDescent="0.25">
      <c r="A186" s="758">
        <v>63</v>
      </c>
      <c r="B186" s="847">
        <v>849120099</v>
      </c>
      <c r="C186" s="758" t="s">
        <v>3480</v>
      </c>
      <c r="D186" s="759" t="s">
        <v>527</v>
      </c>
      <c r="E186" s="851">
        <v>41640</v>
      </c>
      <c r="F186" s="848" t="str">
        <f t="shared" si="2"/>
        <v xml:space="preserve">   </v>
      </c>
    </row>
    <row r="187" spans="1:6" x14ac:dyDescent="0.25">
      <c r="A187" s="758">
        <v>64</v>
      </c>
      <c r="B187" s="847">
        <v>849120065</v>
      </c>
      <c r="C187" s="758" t="s">
        <v>978</v>
      </c>
      <c r="D187" s="759" t="s">
        <v>527</v>
      </c>
      <c r="E187" s="851">
        <v>41640</v>
      </c>
      <c r="F187" s="848" t="str">
        <f t="shared" si="2"/>
        <v xml:space="preserve">   </v>
      </c>
    </row>
    <row r="188" spans="1:6" x14ac:dyDescent="0.25">
      <c r="A188" s="758">
        <v>65</v>
      </c>
      <c r="B188" s="847">
        <v>849120064</v>
      </c>
      <c r="C188" s="758" t="s">
        <v>986</v>
      </c>
      <c r="D188" s="759" t="s">
        <v>527</v>
      </c>
      <c r="E188" s="851">
        <v>41640</v>
      </c>
      <c r="F188" s="848" t="str">
        <f t="shared" si="2"/>
        <v xml:space="preserve">   </v>
      </c>
    </row>
    <row r="189" spans="1:6" x14ac:dyDescent="0.25">
      <c r="A189" s="758">
        <v>66</v>
      </c>
      <c r="B189" s="847">
        <v>849120062</v>
      </c>
      <c r="C189" s="758" t="s">
        <v>633</v>
      </c>
      <c r="D189" s="759" t="s">
        <v>527</v>
      </c>
      <c r="E189" s="851">
        <v>41640</v>
      </c>
      <c r="F189" s="848" t="str">
        <f t="shared" si="2"/>
        <v xml:space="preserve">   </v>
      </c>
    </row>
    <row r="190" spans="1:6" x14ac:dyDescent="0.25">
      <c r="A190" s="758">
        <v>67</v>
      </c>
      <c r="B190" s="847">
        <v>849120049</v>
      </c>
      <c r="C190" s="758" t="s">
        <v>994</v>
      </c>
      <c r="D190" s="759" t="s">
        <v>527</v>
      </c>
      <c r="E190" s="851">
        <v>41640</v>
      </c>
      <c r="F190" s="848" t="str">
        <f t="shared" si="2"/>
        <v xml:space="preserve">   </v>
      </c>
    </row>
    <row r="191" spans="1:6" x14ac:dyDescent="0.25">
      <c r="A191" s="758">
        <v>68</v>
      </c>
      <c r="B191" s="847">
        <v>849110203</v>
      </c>
      <c r="C191" s="758" t="s">
        <v>679</v>
      </c>
      <c r="D191" s="759" t="s">
        <v>527</v>
      </c>
      <c r="E191" s="851">
        <v>41640</v>
      </c>
      <c r="F191" s="848" t="str">
        <f t="shared" si="2"/>
        <v xml:space="preserve">   </v>
      </c>
    </row>
    <row r="192" spans="1:6" x14ac:dyDescent="0.25">
      <c r="A192" s="758">
        <v>69</v>
      </c>
      <c r="B192" s="847">
        <v>849120082</v>
      </c>
      <c r="C192" s="758" t="s">
        <v>1041</v>
      </c>
      <c r="D192" s="759" t="s">
        <v>527</v>
      </c>
      <c r="E192" s="851">
        <v>41640</v>
      </c>
      <c r="F192" s="848" t="str">
        <f t="shared" si="2"/>
        <v xml:space="preserve">   </v>
      </c>
    </row>
    <row r="193" spans="1:6" x14ac:dyDescent="0.25">
      <c r="A193" s="758">
        <v>70</v>
      </c>
      <c r="B193" s="847">
        <v>849120083</v>
      </c>
      <c r="C193" s="758" t="s">
        <v>3481</v>
      </c>
      <c r="D193" s="759" t="s">
        <v>527</v>
      </c>
      <c r="E193" s="851">
        <v>41640</v>
      </c>
      <c r="F193" s="848" t="str">
        <f t="shared" si="2"/>
        <v xml:space="preserve">   </v>
      </c>
    </row>
    <row r="194" spans="1:6" x14ac:dyDescent="0.25">
      <c r="A194" s="758">
        <v>71</v>
      </c>
      <c r="B194" s="847">
        <v>849120063</v>
      </c>
      <c r="C194" s="758" t="s">
        <v>993</v>
      </c>
      <c r="D194" s="759" t="s">
        <v>527</v>
      </c>
      <c r="E194" s="851">
        <v>41640</v>
      </c>
      <c r="F194" s="848" t="str">
        <f t="shared" ref="F194:F257" si="3">IFERROR(VLOOKUP(B194,Tlus,3,FALSE),"   ")</f>
        <v xml:space="preserve">   </v>
      </c>
    </row>
    <row r="195" spans="1:6" x14ac:dyDescent="0.25">
      <c r="A195" s="758">
        <v>72</v>
      </c>
      <c r="B195" s="847">
        <v>849120075</v>
      </c>
      <c r="C195" s="758" t="s">
        <v>3482</v>
      </c>
      <c r="D195" s="759" t="s">
        <v>527</v>
      </c>
      <c r="E195" s="851">
        <v>41640</v>
      </c>
      <c r="F195" s="848" t="str">
        <f t="shared" si="3"/>
        <v xml:space="preserve">   </v>
      </c>
    </row>
    <row r="196" spans="1:6" x14ac:dyDescent="0.25">
      <c r="A196" s="758">
        <v>73</v>
      </c>
      <c r="B196" s="847">
        <v>849120061</v>
      </c>
      <c r="C196" s="758" t="s">
        <v>3483</v>
      </c>
      <c r="D196" s="759" t="s">
        <v>527</v>
      </c>
      <c r="E196" s="851">
        <v>41640</v>
      </c>
      <c r="F196" s="848" t="str">
        <f t="shared" si="3"/>
        <v xml:space="preserve">   </v>
      </c>
    </row>
    <row r="197" spans="1:6" x14ac:dyDescent="0.25">
      <c r="A197" s="758">
        <v>74</v>
      </c>
      <c r="B197" s="847">
        <v>849120084</v>
      </c>
      <c r="C197" s="758" t="s">
        <v>1024</v>
      </c>
      <c r="D197" s="759" t="s">
        <v>527</v>
      </c>
      <c r="E197" s="851">
        <v>41640</v>
      </c>
      <c r="F197" s="848" t="str">
        <f t="shared" si="3"/>
        <v xml:space="preserve">   </v>
      </c>
    </row>
    <row r="198" spans="1:6" x14ac:dyDescent="0.25">
      <c r="A198" s="758">
        <v>75</v>
      </c>
      <c r="B198" s="847">
        <v>849110292</v>
      </c>
      <c r="C198" s="758" t="s">
        <v>3484</v>
      </c>
      <c r="D198" s="759" t="s">
        <v>527</v>
      </c>
      <c r="E198" s="851">
        <v>41640</v>
      </c>
      <c r="F198" s="848" t="str">
        <f t="shared" si="3"/>
        <v xml:space="preserve">   </v>
      </c>
    </row>
    <row r="199" spans="1:6" x14ac:dyDescent="0.25">
      <c r="A199" s="758">
        <v>76</v>
      </c>
      <c r="B199" s="847">
        <v>849120073</v>
      </c>
      <c r="C199" s="758" t="s">
        <v>3485</v>
      </c>
      <c r="D199" s="759" t="s">
        <v>527</v>
      </c>
      <c r="E199" s="851">
        <v>41640</v>
      </c>
      <c r="F199" s="848" t="str">
        <f t="shared" si="3"/>
        <v xml:space="preserve">   </v>
      </c>
    </row>
    <row r="200" spans="1:6" x14ac:dyDescent="0.25">
      <c r="A200" s="758">
        <v>77</v>
      </c>
      <c r="B200" s="847">
        <v>849110254</v>
      </c>
      <c r="C200" s="758" t="s">
        <v>745</v>
      </c>
      <c r="D200" s="759" t="s">
        <v>527</v>
      </c>
      <c r="E200" s="851">
        <v>41640</v>
      </c>
      <c r="F200" s="848" t="str">
        <f t="shared" si="3"/>
        <v xml:space="preserve">   </v>
      </c>
    </row>
    <row r="201" spans="1:6" x14ac:dyDescent="0.25">
      <c r="A201" s="758">
        <v>78</v>
      </c>
      <c r="B201" s="847">
        <v>849120080</v>
      </c>
      <c r="C201" s="758" t="s">
        <v>3486</v>
      </c>
      <c r="D201" s="759" t="s">
        <v>527</v>
      </c>
      <c r="E201" s="851">
        <v>41640</v>
      </c>
      <c r="F201" s="848" t="str">
        <f t="shared" si="3"/>
        <v xml:space="preserve">   </v>
      </c>
    </row>
    <row r="202" spans="1:6" x14ac:dyDescent="0.25">
      <c r="A202" s="758">
        <v>79</v>
      </c>
      <c r="B202" s="847">
        <v>849120047</v>
      </c>
      <c r="C202" s="758" t="s">
        <v>948</v>
      </c>
      <c r="D202" s="759" t="s">
        <v>527</v>
      </c>
      <c r="E202" s="851">
        <v>41640</v>
      </c>
      <c r="F202" s="848" t="str">
        <f t="shared" si="3"/>
        <v xml:space="preserve">   </v>
      </c>
    </row>
    <row r="203" spans="1:6" x14ac:dyDescent="0.25">
      <c r="A203" s="758">
        <v>80</v>
      </c>
      <c r="B203" s="847">
        <v>849120056</v>
      </c>
      <c r="C203" s="758" t="s">
        <v>3487</v>
      </c>
      <c r="D203" s="759" t="s">
        <v>527</v>
      </c>
      <c r="E203" s="851">
        <v>41640</v>
      </c>
      <c r="F203" s="848" t="str">
        <f t="shared" si="3"/>
        <v xml:space="preserve">   </v>
      </c>
    </row>
    <row r="204" spans="1:6" x14ac:dyDescent="0.25">
      <c r="A204" s="758">
        <v>81</v>
      </c>
      <c r="B204" s="847">
        <v>849110306</v>
      </c>
      <c r="C204" s="758" t="s">
        <v>758</v>
      </c>
      <c r="D204" s="759" t="s">
        <v>527</v>
      </c>
      <c r="E204" s="851">
        <v>41640</v>
      </c>
      <c r="F204" s="848" t="str">
        <f t="shared" si="3"/>
        <v xml:space="preserve">   </v>
      </c>
    </row>
    <row r="205" spans="1:6" x14ac:dyDescent="0.25">
      <c r="A205" s="758">
        <v>82</v>
      </c>
      <c r="B205" s="847">
        <v>849120044</v>
      </c>
      <c r="C205" s="758" t="s">
        <v>649</v>
      </c>
      <c r="D205" s="759" t="s">
        <v>527</v>
      </c>
      <c r="E205" s="851">
        <v>41640</v>
      </c>
      <c r="F205" s="848" t="str">
        <f t="shared" si="3"/>
        <v xml:space="preserve">   </v>
      </c>
    </row>
    <row r="206" spans="1:6" x14ac:dyDescent="0.25">
      <c r="A206" s="758">
        <v>83</v>
      </c>
      <c r="B206" s="847">
        <v>849120098</v>
      </c>
      <c r="C206" s="758" t="s">
        <v>3488</v>
      </c>
      <c r="D206" s="759" t="s">
        <v>527</v>
      </c>
      <c r="E206" s="851">
        <v>41640</v>
      </c>
      <c r="F206" s="848" t="str">
        <f t="shared" si="3"/>
        <v xml:space="preserve">   </v>
      </c>
    </row>
    <row r="207" spans="1:6" x14ac:dyDescent="0.25">
      <c r="A207" s="758">
        <v>84</v>
      </c>
      <c r="B207" s="847">
        <v>849110089</v>
      </c>
      <c r="C207" s="758" t="s">
        <v>3489</v>
      </c>
      <c r="D207" s="759" t="s">
        <v>527</v>
      </c>
      <c r="E207" s="851">
        <v>41640</v>
      </c>
      <c r="F207" s="848" t="str">
        <f t="shared" si="3"/>
        <v xml:space="preserve">   </v>
      </c>
    </row>
    <row r="208" spans="1:6" x14ac:dyDescent="0.25">
      <c r="A208" s="758">
        <v>85</v>
      </c>
      <c r="B208" s="847">
        <v>849120048</v>
      </c>
      <c r="C208" s="758" t="s">
        <v>976</v>
      </c>
      <c r="D208" s="759" t="s">
        <v>527</v>
      </c>
      <c r="E208" s="851">
        <v>41640</v>
      </c>
      <c r="F208" s="848" t="str">
        <f t="shared" si="3"/>
        <v xml:space="preserve">   </v>
      </c>
    </row>
    <row r="209" spans="1:6" x14ac:dyDescent="0.25">
      <c r="A209" s="758">
        <v>86</v>
      </c>
      <c r="B209" s="847">
        <v>849120026</v>
      </c>
      <c r="C209" s="758" t="s">
        <v>925</v>
      </c>
      <c r="D209" s="759" t="s">
        <v>527</v>
      </c>
      <c r="E209" s="851">
        <v>41640</v>
      </c>
      <c r="F209" s="848" t="str">
        <f t="shared" si="3"/>
        <v xml:space="preserve">   </v>
      </c>
    </row>
    <row r="210" spans="1:6" x14ac:dyDescent="0.25">
      <c r="A210" s="758">
        <v>87</v>
      </c>
      <c r="B210" s="847">
        <v>849120009</v>
      </c>
      <c r="C210" s="758" t="s">
        <v>3490</v>
      </c>
      <c r="D210" s="759" t="s">
        <v>527</v>
      </c>
      <c r="E210" s="851">
        <v>41640</v>
      </c>
      <c r="F210" s="848" t="str">
        <f t="shared" si="3"/>
        <v xml:space="preserve">   </v>
      </c>
    </row>
    <row r="211" spans="1:6" x14ac:dyDescent="0.25">
      <c r="A211" s="758">
        <v>88</v>
      </c>
      <c r="B211" s="847">
        <v>849110298</v>
      </c>
      <c r="C211" s="758" t="s">
        <v>827</v>
      </c>
      <c r="D211" s="759" t="s">
        <v>527</v>
      </c>
      <c r="E211" s="851">
        <v>41640</v>
      </c>
      <c r="F211" s="848" t="str">
        <f t="shared" si="3"/>
        <v xml:space="preserve">   </v>
      </c>
    </row>
    <row r="212" spans="1:6" x14ac:dyDescent="0.25">
      <c r="A212" s="758">
        <v>89</v>
      </c>
      <c r="B212" s="847">
        <v>849110193</v>
      </c>
      <c r="C212" s="758" t="s">
        <v>622</v>
      </c>
      <c r="D212" s="759" t="s">
        <v>527</v>
      </c>
      <c r="E212" s="851">
        <v>41640</v>
      </c>
      <c r="F212" s="848" t="str">
        <f t="shared" si="3"/>
        <v xml:space="preserve">   </v>
      </c>
    </row>
    <row r="213" spans="1:6" x14ac:dyDescent="0.25">
      <c r="A213" s="758">
        <v>90</v>
      </c>
      <c r="B213" s="847">
        <v>849110191</v>
      </c>
      <c r="C213" s="758" t="s">
        <v>619</v>
      </c>
      <c r="D213" s="759" t="s">
        <v>527</v>
      </c>
      <c r="E213" s="851">
        <v>41640</v>
      </c>
      <c r="F213" s="848" t="str">
        <f t="shared" si="3"/>
        <v xml:space="preserve">   </v>
      </c>
    </row>
    <row r="214" spans="1:6" x14ac:dyDescent="0.25">
      <c r="A214" s="758">
        <v>91</v>
      </c>
      <c r="B214" s="847">
        <v>849110252</v>
      </c>
      <c r="C214" s="758" t="s">
        <v>742</v>
      </c>
      <c r="D214" s="759" t="s">
        <v>527</v>
      </c>
      <c r="E214" s="851">
        <v>41640</v>
      </c>
      <c r="F214" s="848" t="str">
        <f t="shared" si="3"/>
        <v xml:space="preserve">   </v>
      </c>
    </row>
    <row r="215" spans="1:6" x14ac:dyDescent="0.25">
      <c r="A215" s="758">
        <v>92</v>
      </c>
      <c r="B215" s="847">
        <v>849110192</v>
      </c>
      <c r="C215" s="758" t="s">
        <v>397</v>
      </c>
      <c r="D215" s="759" t="s">
        <v>527</v>
      </c>
      <c r="E215" s="851">
        <v>41640</v>
      </c>
      <c r="F215" s="848" t="str">
        <f t="shared" si="3"/>
        <v xml:space="preserve">   </v>
      </c>
    </row>
    <row r="216" spans="1:6" x14ac:dyDescent="0.25">
      <c r="A216" s="758">
        <v>93</v>
      </c>
      <c r="B216" s="847">
        <v>849110257</v>
      </c>
      <c r="C216" s="758" t="s">
        <v>751</v>
      </c>
      <c r="D216" s="759" t="s">
        <v>527</v>
      </c>
      <c r="E216" s="851">
        <v>41640</v>
      </c>
      <c r="F216" s="848" t="str">
        <f t="shared" si="3"/>
        <v xml:space="preserve">   </v>
      </c>
    </row>
    <row r="217" spans="1:6" x14ac:dyDescent="0.25">
      <c r="A217" s="758">
        <v>94</v>
      </c>
      <c r="B217" s="847">
        <v>84089079</v>
      </c>
      <c r="C217" s="758" t="s">
        <v>3491</v>
      </c>
      <c r="D217" s="759" t="s">
        <v>527</v>
      </c>
      <c r="E217" s="851">
        <v>41640</v>
      </c>
      <c r="F217" s="848" t="str">
        <f t="shared" si="3"/>
        <v xml:space="preserve">   </v>
      </c>
    </row>
    <row r="218" spans="1:6" x14ac:dyDescent="0.25">
      <c r="A218" s="758">
        <v>95</v>
      </c>
      <c r="B218" s="847">
        <v>849110237</v>
      </c>
      <c r="C218" s="758" t="s">
        <v>711</v>
      </c>
      <c r="D218" s="759" t="s">
        <v>527</v>
      </c>
      <c r="E218" s="851">
        <v>41640</v>
      </c>
      <c r="F218" s="848" t="str">
        <f t="shared" si="3"/>
        <v xml:space="preserve">   </v>
      </c>
    </row>
    <row r="219" spans="1:6" x14ac:dyDescent="0.25">
      <c r="A219" s="758">
        <v>96</v>
      </c>
      <c r="B219" s="847">
        <v>849110150</v>
      </c>
      <c r="C219" s="758" t="s">
        <v>561</v>
      </c>
      <c r="D219" s="759" t="s">
        <v>527</v>
      </c>
      <c r="E219" s="851">
        <v>41640</v>
      </c>
      <c r="F219" s="848" t="str">
        <f t="shared" si="3"/>
        <v xml:space="preserve">   </v>
      </c>
    </row>
    <row r="220" spans="1:6" x14ac:dyDescent="0.25">
      <c r="A220" s="758">
        <v>97</v>
      </c>
      <c r="B220" s="847">
        <v>849110296</v>
      </c>
      <c r="C220" s="758" t="s">
        <v>3492</v>
      </c>
      <c r="D220" s="759" t="s">
        <v>527</v>
      </c>
      <c r="E220" s="851">
        <v>41640</v>
      </c>
      <c r="F220" s="848" t="str">
        <f t="shared" si="3"/>
        <v xml:space="preserve">   </v>
      </c>
    </row>
    <row r="221" spans="1:6" x14ac:dyDescent="0.25">
      <c r="A221" s="758">
        <v>98</v>
      </c>
      <c r="B221" s="847">
        <v>849110293</v>
      </c>
      <c r="C221" s="758" t="s">
        <v>820</v>
      </c>
      <c r="D221" s="759" t="s">
        <v>527</v>
      </c>
      <c r="E221" s="851">
        <v>41640</v>
      </c>
      <c r="F221" s="848" t="str">
        <f t="shared" si="3"/>
        <v xml:space="preserve">   </v>
      </c>
    </row>
    <row r="222" spans="1:6" x14ac:dyDescent="0.25">
      <c r="A222" s="758">
        <v>99</v>
      </c>
      <c r="B222" s="847">
        <v>849110256</v>
      </c>
      <c r="C222" s="758" t="s">
        <v>3493</v>
      </c>
      <c r="D222" s="759" t="s">
        <v>527</v>
      </c>
      <c r="E222" s="851">
        <v>41640</v>
      </c>
      <c r="F222" s="848" t="str">
        <f t="shared" si="3"/>
        <v xml:space="preserve">   </v>
      </c>
    </row>
    <row r="223" spans="1:6" x14ac:dyDescent="0.25">
      <c r="A223" s="758">
        <v>100</v>
      </c>
      <c r="B223" s="847">
        <v>849110198</v>
      </c>
      <c r="C223" s="758" t="s">
        <v>643</v>
      </c>
      <c r="D223" s="759" t="s">
        <v>527</v>
      </c>
      <c r="E223" s="851">
        <v>41640</v>
      </c>
      <c r="F223" s="848" t="str">
        <f t="shared" si="3"/>
        <v xml:space="preserve">   </v>
      </c>
    </row>
    <row r="224" spans="1:6" x14ac:dyDescent="0.25">
      <c r="A224" s="758">
        <v>101</v>
      </c>
      <c r="B224" s="847">
        <v>849110277</v>
      </c>
      <c r="C224" s="758" t="s">
        <v>3494</v>
      </c>
      <c r="D224" s="759" t="s">
        <v>527</v>
      </c>
      <c r="E224" s="851">
        <v>41640</v>
      </c>
      <c r="F224" s="848" t="str">
        <f t="shared" si="3"/>
        <v xml:space="preserve">   </v>
      </c>
    </row>
    <row r="225" spans="1:6" x14ac:dyDescent="0.25">
      <c r="A225" s="758">
        <v>102</v>
      </c>
      <c r="B225" s="847">
        <v>849120032</v>
      </c>
      <c r="C225" s="758" t="s">
        <v>932</v>
      </c>
      <c r="D225" s="759" t="s">
        <v>527</v>
      </c>
      <c r="E225" s="851">
        <v>41640</v>
      </c>
      <c r="F225" s="848" t="str">
        <f t="shared" si="3"/>
        <v xml:space="preserve">   </v>
      </c>
    </row>
    <row r="226" spans="1:6" x14ac:dyDescent="0.25">
      <c r="A226" s="758">
        <v>103</v>
      </c>
      <c r="B226" s="847">
        <v>849120057</v>
      </c>
      <c r="C226" s="758" t="s">
        <v>3495</v>
      </c>
      <c r="D226" s="759" t="s">
        <v>527</v>
      </c>
      <c r="E226" s="851">
        <v>41640</v>
      </c>
      <c r="F226" s="848" t="str">
        <f t="shared" si="3"/>
        <v xml:space="preserve">   </v>
      </c>
    </row>
    <row r="227" spans="1:6" x14ac:dyDescent="0.25">
      <c r="A227" s="758">
        <v>104</v>
      </c>
      <c r="B227" s="847">
        <v>849110123</v>
      </c>
      <c r="C227" s="758" t="s">
        <v>3496</v>
      </c>
      <c r="D227" s="759" t="s">
        <v>527</v>
      </c>
      <c r="E227" s="851">
        <v>41640</v>
      </c>
      <c r="F227" s="848" t="str">
        <f t="shared" si="3"/>
        <v xml:space="preserve">   </v>
      </c>
    </row>
    <row r="228" spans="1:6" x14ac:dyDescent="0.25">
      <c r="A228" s="758">
        <v>105</v>
      </c>
      <c r="B228" s="847">
        <v>849120045</v>
      </c>
      <c r="C228" s="758" t="s">
        <v>3497</v>
      </c>
      <c r="D228" s="759" t="s">
        <v>527</v>
      </c>
      <c r="E228" s="851">
        <v>41640</v>
      </c>
      <c r="F228" s="848" t="str">
        <f t="shared" si="3"/>
        <v xml:space="preserve">   </v>
      </c>
    </row>
    <row r="229" spans="1:6" x14ac:dyDescent="0.25">
      <c r="A229" s="758">
        <v>106</v>
      </c>
      <c r="B229" s="847">
        <v>849120033</v>
      </c>
      <c r="C229" s="758" t="s">
        <v>933</v>
      </c>
      <c r="D229" s="759" t="s">
        <v>527</v>
      </c>
      <c r="E229" s="851">
        <v>41640</v>
      </c>
      <c r="F229" s="848" t="str">
        <f t="shared" si="3"/>
        <v xml:space="preserve">   </v>
      </c>
    </row>
    <row r="230" spans="1:6" x14ac:dyDescent="0.25">
      <c r="A230" s="758">
        <v>107</v>
      </c>
      <c r="B230" s="847">
        <v>849120036</v>
      </c>
      <c r="C230" s="758" t="s">
        <v>935</v>
      </c>
      <c r="D230" s="759" t="s">
        <v>527</v>
      </c>
      <c r="E230" s="851">
        <v>41640</v>
      </c>
      <c r="F230" s="848" t="str">
        <f t="shared" si="3"/>
        <v xml:space="preserve">   </v>
      </c>
    </row>
    <row r="231" spans="1:6" x14ac:dyDescent="0.25">
      <c r="A231" s="758">
        <v>108</v>
      </c>
      <c r="B231" s="847">
        <v>849110238</v>
      </c>
      <c r="C231" s="758" t="s">
        <v>3498</v>
      </c>
      <c r="D231" s="759" t="s">
        <v>527</v>
      </c>
      <c r="E231" s="851">
        <v>41640</v>
      </c>
      <c r="F231" s="848" t="str">
        <f t="shared" si="3"/>
        <v xml:space="preserve">   </v>
      </c>
    </row>
    <row r="232" spans="1:6" x14ac:dyDescent="0.25">
      <c r="A232" s="758">
        <v>109</v>
      </c>
      <c r="B232" s="847">
        <v>849120066</v>
      </c>
      <c r="C232" s="758" t="s">
        <v>3499</v>
      </c>
      <c r="D232" s="759" t="s">
        <v>527</v>
      </c>
      <c r="E232" s="851">
        <v>41640</v>
      </c>
      <c r="F232" s="848" t="str">
        <f t="shared" si="3"/>
        <v xml:space="preserve">   </v>
      </c>
    </row>
    <row r="233" spans="1:6" x14ac:dyDescent="0.25">
      <c r="A233" s="758">
        <v>110</v>
      </c>
      <c r="B233" s="847">
        <v>849110220</v>
      </c>
      <c r="C233" s="758" t="s">
        <v>672</v>
      </c>
      <c r="D233" s="759" t="s">
        <v>527</v>
      </c>
      <c r="E233" s="851">
        <v>41640</v>
      </c>
      <c r="F233" s="848" t="str">
        <f t="shared" si="3"/>
        <v xml:space="preserve">   </v>
      </c>
    </row>
    <row r="234" spans="1:6" x14ac:dyDescent="0.25">
      <c r="A234" s="758">
        <v>111</v>
      </c>
      <c r="B234" s="847">
        <v>849110046</v>
      </c>
      <c r="C234" s="758" t="s">
        <v>3500</v>
      </c>
      <c r="D234" s="759" t="s">
        <v>527</v>
      </c>
      <c r="E234" s="851">
        <v>41640</v>
      </c>
      <c r="F234" s="848" t="str">
        <f t="shared" si="3"/>
        <v xml:space="preserve">   </v>
      </c>
    </row>
    <row r="235" spans="1:6" x14ac:dyDescent="0.25">
      <c r="A235" s="758">
        <v>112</v>
      </c>
      <c r="B235" s="847">
        <v>849120092</v>
      </c>
      <c r="C235" s="758" t="s">
        <v>1019</v>
      </c>
      <c r="D235" s="759" t="s">
        <v>527</v>
      </c>
      <c r="E235" s="851">
        <v>41640</v>
      </c>
      <c r="F235" s="848" t="str">
        <f t="shared" si="3"/>
        <v xml:space="preserve">   </v>
      </c>
    </row>
    <row r="236" spans="1:6" x14ac:dyDescent="0.25">
      <c r="A236" s="758">
        <v>113</v>
      </c>
      <c r="B236" s="847">
        <v>849120089</v>
      </c>
      <c r="C236" s="758" t="s">
        <v>1014</v>
      </c>
      <c r="D236" s="759" t="s">
        <v>527</v>
      </c>
      <c r="E236" s="851">
        <v>41640</v>
      </c>
      <c r="F236" s="848" t="str">
        <f t="shared" si="3"/>
        <v xml:space="preserve">   </v>
      </c>
    </row>
    <row r="237" spans="1:6" x14ac:dyDescent="0.25">
      <c r="A237" s="758">
        <v>114</v>
      </c>
      <c r="B237" s="847">
        <v>849120090</v>
      </c>
      <c r="C237" s="758" t="s">
        <v>1028</v>
      </c>
      <c r="D237" s="759" t="s">
        <v>527</v>
      </c>
      <c r="E237" s="851">
        <v>41640</v>
      </c>
      <c r="F237" s="848" t="str">
        <f t="shared" si="3"/>
        <v xml:space="preserve">   </v>
      </c>
    </row>
    <row r="238" spans="1:6" x14ac:dyDescent="0.25">
      <c r="A238" s="758">
        <v>115</v>
      </c>
      <c r="B238" s="847">
        <v>849110302</v>
      </c>
      <c r="C238" s="758" t="s">
        <v>791</v>
      </c>
      <c r="D238" s="759" t="s">
        <v>527</v>
      </c>
      <c r="E238" s="851">
        <v>41640</v>
      </c>
      <c r="F238" s="848" t="str">
        <f t="shared" si="3"/>
        <v xml:space="preserve">   </v>
      </c>
    </row>
    <row r="239" spans="1:6" x14ac:dyDescent="0.25">
      <c r="A239" s="758">
        <v>116</v>
      </c>
      <c r="B239" s="847">
        <v>849110249</v>
      </c>
      <c r="C239" s="758" t="s">
        <v>736</v>
      </c>
      <c r="D239" s="759" t="s">
        <v>527</v>
      </c>
      <c r="E239" s="851">
        <v>41640</v>
      </c>
      <c r="F239" s="848" t="str">
        <f t="shared" si="3"/>
        <v xml:space="preserve">   </v>
      </c>
    </row>
    <row r="240" spans="1:6" x14ac:dyDescent="0.25">
      <c r="A240" s="758">
        <v>117</v>
      </c>
      <c r="B240" s="847">
        <v>849120023</v>
      </c>
      <c r="C240" s="758" t="s">
        <v>921</v>
      </c>
      <c r="D240" s="759" t="s">
        <v>527</v>
      </c>
      <c r="E240" s="851">
        <v>41640</v>
      </c>
      <c r="F240" s="848" t="str">
        <f t="shared" si="3"/>
        <v xml:space="preserve">   </v>
      </c>
    </row>
    <row r="241" spans="1:6" x14ac:dyDescent="0.25">
      <c r="A241" s="758">
        <v>118</v>
      </c>
      <c r="B241" s="847">
        <v>849110230</v>
      </c>
      <c r="C241" s="758" t="s">
        <v>699</v>
      </c>
      <c r="D241" s="759" t="s">
        <v>527</v>
      </c>
      <c r="E241" s="851">
        <v>41640</v>
      </c>
      <c r="F241" s="848" t="str">
        <f t="shared" si="3"/>
        <v xml:space="preserve">   </v>
      </c>
    </row>
    <row r="242" spans="1:6" x14ac:dyDescent="0.25">
      <c r="A242" s="758">
        <v>119</v>
      </c>
      <c r="B242" s="847">
        <v>849120058</v>
      </c>
      <c r="C242" s="758" t="s">
        <v>972</v>
      </c>
      <c r="D242" s="759" t="s">
        <v>527</v>
      </c>
      <c r="E242" s="851">
        <v>41640</v>
      </c>
      <c r="F242" s="848" t="str">
        <f t="shared" si="3"/>
        <v xml:space="preserve">   </v>
      </c>
    </row>
    <row r="243" spans="1:6" x14ac:dyDescent="0.25">
      <c r="A243" s="758">
        <v>120</v>
      </c>
      <c r="B243" s="847">
        <v>849120059</v>
      </c>
      <c r="C243" s="758" t="s">
        <v>981</v>
      </c>
      <c r="D243" s="759" t="s">
        <v>527</v>
      </c>
      <c r="E243" s="851">
        <v>41640</v>
      </c>
      <c r="F243" s="848" t="str">
        <f t="shared" si="3"/>
        <v xml:space="preserve">   </v>
      </c>
    </row>
    <row r="244" spans="1:6" x14ac:dyDescent="0.25">
      <c r="A244" s="758">
        <v>121</v>
      </c>
      <c r="B244" s="847">
        <v>849120069</v>
      </c>
      <c r="C244" s="758" t="s">
        <v>998</v>
      </c>
      <c r="D244" s="759" t="s">
        <v>527</v>
      </c>
      <c r="E244" s="851">
        <v>41640</v>
      </c>
      <c r="F244" s="848" t="str">
        <f t="shared" si="3"/>
        <v xml:space="preserve">   </v>
      </c>
    </row>
    <row r="245" spans="1:6" x14ac:dyDescent="0.25">
      <c r="A245" s="758">
        <v>122</v>
      </c>
      <c r="B245" s="847">
        <v>849120055</v>
      </c>
      <c r="C245" s="758" t="s">
        <v>974</v>
      </c>
      <c r="D245" s="759" t="s">
        <v>527</v>
      </c>
      <c r="E245" s="851">
        <v>41640</v>
      </c>
      <c r="F245" s="848" t="str">
        <f t="shared" si="3"/>
        <v xml:space="preserve">   </v>
      </c>
    </row>
    <row r="246" spans="1:6" x14ac:dyDescent="0.25">
      <c r="A246" s="758">
        <v>123</v>
      </c>
      <c r="B246" s="847">
        <v>849120087</v>
      </c>
      <c r="C246" s="758" t="s">
        <v>1002</v>
      </c>
      <c r="D246" s="759" t="s">
        <v>527</v>
      </c>
      <c r="E246" s="851">
        <v>41640</v>
      </c>
      <c r="F246" s="848" t="str">
        <f t="shared" si="3"/>
        <v xml:space="preserve">   </v>
      </c>
    </row>
    <row r="247" spans="1:6" x14ac:dyDescent="0.25">
      <c r="A247" s="758">
        <v>124</v>
      </c>
      <c r="B247" s="847">
        <v>849110010</v>
      </c>
      <c r="C247" s="758" t="s">
        <v>3501</v>
      </c>
      <c r="D247" s="759" t="s">
        <v>527</v>
      </c>
      <c r="E247" s="851">
        <v>41640</v>
      </c>
      <c r="F247" s="848" t="str">
        <f t="shared" si="3"/>
        <v xml:space="preserve">   </v>
      </c>
    </row>
    <row r="248" spans="1:6" x14ac:dyDescent="0.25">
      <c r="A248" s="758">
        <v>125</v>
      </c>
      <c r="B248" s="847">
        <v>849120018</v>
      </c>
      <c r="C248" s="758" t="s">
        <v>915</v>
      </c>
      <c r="D248" s="759" t="s">
        <v>527</v>
      </c>
      <c r="E248" s="851">
        <v>41640</v>
      </c>
      <c r="F248" s="848" t="str">
        <f t="shared" si="3"/>
        <v xml:space="preserve">   </v>
      </c>
    </row>
    <row r="249" spans="1:6" x14ac:dyDescent="0.25">
      <c r="A249" s="758">
        <v>126</v>
      </c>
      <c r="B249" s="847">
        <v>849120060</v>
      </c>
      <c r="C249" s="758" t="s">
        <v>968</v>
      </c>
      <c r="D249" s="759" t="s">
        <v>527</v>
      </c>
      <c r="E249" s="851">
        <v>41640</v>
      </c>
      <c r="F249" s="848" t="str">
        <f t="shared" si="3"/>
        <v xml:space="preserve">   </v>
      </c>
    </row>
    <row r="250" spans="1:6" x14ac:dyDescent="0.25">
      <c r="A250" s="758">
        <v>127</v>
      </c>
      <c r="B250" s="847">
        <v>849120052</v>
      </c>
      <c r="C250" s="758" t="s">
        <v>3502</v>
      </c>
      <c r="D250" s="759" t="s">
        <v>527</v>
      </c>
      <c r="E250" s="851">
        <v>41640</v>
      </c>
      <c r="F250" s="848" t="str">
        <f t="shared" si="3"/>
        <v xml:space="preserve">   </v>
      </c>
    </row>
    <row r="251" spans="1:6" x14ac:dyDescent="0.25">
      <c r="A251" s="758">
        <v>128</v>
      </c>
      <c r="B251" s="847">
        <v>849120050</v>
      </c>
      <c r="C251" s="758" t="s">
        <v>3503</v>
      </c>
      <c r="D251" s="759" t="s">
        <v>527</v>
      </c>
      <c r="E251" s="851">
        <v>41640</v>
      </c>
      <c r="F251" s="848" t="str">
        <f t="shared" si="3"/>
        <v xml:space="preserve">   </v>
      </c>
    </row>
    <row r="252" spans="1:6" x14ac:dyDescent="0.25">
      <c r="A252" s="758">
        <v>129</v>
      </c>
      <c r="B252" s="847">
        <v>849120051</v>
      </c>
      <c r="C252" s="758" t="s">
        <v>3504</v>
      </c>
      <c r="D252" s="759" t="s">
        <v>527</v>
      </c>
      <c r="E252" s="851">
        <v>41640</v>
      </c>
      <c r="F252" s="848" t="str">
        <f t="shared" si="3"/>
        <v xml:space="preserve">   </v>
      </c>
    </row>
    <row r="253" spans="1:6" x14ac:dyDescent="0.25">
      <c r="A253" s="758">
        <v>130</v>
      </c>
      <c r="B253" s="847">
        <v>849120053</v>
      </c>
      <c r="C253" s="758" t="s">
        <v>3505</v>
      </c>
      <c r="D253" s="759" t="s">
        <v>527</v>
      </c>
      <c r="E253" s="851">
        <v>41640</v>
      </c>
      <c r="F253" s="848" t="str">
        <f t="shared" si="3"/>
        <v xml:space="preserve">   </v>
      </c>
    </row>
    <row r="254" spans="1:6" x14ac:dyDescent="0.25">
      <c r="A254" s="758">
        <v>131</v>
      </c>
      <c r="B254" s="847">
        <v>849120054</v>
      </c>
      <c r="C254" s="758" t="s">
        <v>990</v>
      </c>
      <c r="D254" s="759" t="s">
        <v>527</v>
      </c>
      <c r="E254" s="851">
        <v>41640</v>
      </c>
      <c r="F254" s="848" t="str">
        <f t="shared" si="3"/>
        <v xml:space="preserve">   </v>
      </c>
    </row>
    <row r="255" spans="1:6" x14ac:dyDescent="0.25">
      <c r="A255" s="758">
        <v>132</v>
      </c>
      <c r="B255" s="847">
        <v>849120067</v>
      </c>
      <c r="C255" s="758" t="s">
        <v>3506</v>
      </c>
      <c r="D255" s="759" t="s">
        <v>527</v>
      </c>
      <c r="E255" s="851">
        <v>41640</v>
      </c>
      <c r="F255" s="848" t="str">
        <f t="shared" si="3"/>
        <v xml:space="preserve">   </v>
      </c>
    </row>
    <row r="256" spans="1:6" x14ac:dyDescent="0.25">
      <c r="A256" s="758">
        <v>133</v>
      </c>
      <c r="B256" s="847">
        <v>849120094</v>
      </c>
      <c r="C256" s="758" t="s">
        <v>3507</v>
      </c>
      <c r="D256" s="759" t="s">
        <v>527</v>
      </c>
      <c r="E256" s="851">
        <v>41640</v>
      </c>
      <c r="F256" s="848" t="str">
        <f t="shared" si="3"/>
        <v xml:space="preserve">   </v>
      </c>
    </row>
    <row r="257" spans="1:6" x14ac:dyDescent="0.25">
      <c r="A257" s="758">
        <v>134</v>
      </c>
      <c r="B257" s="847">
        <v>849120025</v>
      </c>
      <c r="C257" s="758" t="s">
        <v>924</v>
      </c>
      <c r="D257" s="759" t="s">
        <v>527</v>
      </c>
      <c r="E257" s="851">
        <v>41640</v>
      </c>
      <c r="F257" s="848" t="str">
        <f t="shared" si="3"/>
        <v xml:space="preserve">   </v>
      </c>
    </row>
    <row r="258" spans="1:6" x14ac:dyDescent="0.25">
      <c r="A258" s="758">
        <v>135</v>
      </c>
      <c r="B258" s="847">
        <v>849120068</v>
      </c>
      <c r="C258" s="758" t="s">
        <v>3508</v>
      </c>
      <c r="D258" s="759" t="s">
        <v>527</v>
      </c>
      <c r="E258" s="851">
        <v>41640</v>
      </c>
      <c r="F258" s="848" t="str">
        <f t="shared" ref="F258:F321" si="4">IFERROR(VLOOKUP(B258,Tlus,3,FALSE),"   ")</f>
        <v xml:space="preserve">   </v>
      </c>
    </row>
    <row r="259" spans="1:6" x14ac:dyDescent="0.25">
      <c r="A259" s="758">
        <v>136</v>
      </c>
      <c r="B259" s="847">
        <v>849110247</v>
      </c>
      <c r="C259" s="758" t="s">
        <v>734</v>
      </c>
      <c r="D259" s="759" t="s">
        <v>527</v>
      </c>
      <c r="E259" s="851">
        <v>41640</v>
      </c>
      <c r="F259" s="848" t="str">
        <f t="shared" si="4"/>
        <v xml:space="preserve">   </v>
      </c>
    </row>
    <row r="260" spans="1:6" x14ac:dyDescent="0.25">
      <c r="A260" s="758">
        <v>137</v>
      </c>
      <c r="B260" s="847">
        <v>83911011</v>
      </c>
      <c r="C260" s="758" t="s">
        <v>856</v>
      </c>
      <c r="D260" s="759" t="s">
        <v>848</v>
      </c>
      <c r="E260" s="851">
        <v>41640</v>
      </c>
      <c r="F260" s="848" t="str">
        <f t="shared" si="4"/>
        <v xml:space="preserve">   </v>
      </c>
    </row>
    <row r="261" spans="1:6" x14ac:dyDescent="0.25">
      <c r="A261" s="758">
        <v>138</v>
      </c>
      <c r="B261" s="847">
        <v>83911015</v>
      </c>
      <c r="C261" s="758" t="s">
        <v>3509</v>
      </c>
      <c r="D261" s="759" t="s">
        <v>848</v>
      </c>
      <c r="E261" s="851">
        <v>41640</v>
      </c>
      <c r="F261" s="848" t="str">
        <f t="shared" si="4"/>
        <v xml:space="preserve">   </v>
      </c>
    </row>
    <row r="262" spans="1:6" x14ac:dyDescent="0.25">
      <c r="A262" s="758">
        <v>139</v>
      </c>
      <c r="B262" s="847">
        <v>83911014</v>
      </c>
      <c r="C262" s="758" t="s">
        <v>858</v>
      </c>
      <c r="D262" s="759" t="s">
        <v>848</v>
      </c>
      <c r="E262" s="851">
        <v>41640</v>
      </c>
      <c r="F262" s="848" t="str">
        <f t="shared" si="4"/>
        <v xml:space="preserve">   </v>
      </c>
    </row>
    <row r="263" spans="1:6" x14ac:dyDescent="0.25">
      <c r="A263" s="758">
        <v>140</v>
      </c>
      <c r="B263" s="847">
        <v>83911012</v>
      </c>
      <c r="C263" s="758" t="s">
        <v>868</v>
      </c>
      <c r="D263" s="759" t="s">
        <v>848</v>
      </c>
      <c r="E263" s="851">
        <v>41640</v>
      </c>
      <c r="F263" s="848" t="str">
        <f t="shared" si="4"/>
        <v xml:space="preserve">   </v>
      </c>
    </row>
    <row r="264" spans="1:6" x14ac:dyDescent="0.25">
      <c r="A264" s="758">
        <v>141</v>
      </c>
      <c r="B264" s="847">
        <v>83911008</v>
      </c>
      <c r="C264" s="758" t="s">
        <v>3510</v>
      </c>
      <c r="D264" s="759" t="s">
        <v>848</v>
      </c>
      <c r="E264" s="851">
        <v>41640</v>
      </c>
      <c r="F264" s="848" t="str">
        <f t="shared" si="4"/>
        <v xml:space="preserve">   </v>
      </c>
    </row>
    <row r="265" spans="1:6" x14ac:dyDescent="0.25">
      <c r="A265" s="758">
        <v>142</v>
      </c>
      <c r="B265" s="847">
        <v>83911016</v>
      </c>
      <c r="C265" s="758" t="s">
        <v>587</v>
      </c>
      <c r="D265" s="759" t="s">
        <v>848</v>
      </c>
      <c r="E265" s="851">
        <v>41640</v>
      </c>
      <c r="F265" s="848" t="str">
        <f t="shared" si="4"/>
        <v xml:space="preserve">   </v>
      </c>
    </row>
    <row r="266" spans="1:6" x14ac:dyDescent="0.25">
      <c r="A266" s="758">
        <v>143</v>
      </c>
      <c r="B266" s="847">
        <v>83911010</v>
      </c>
      <c r="C266" s="758" t="s">
        <v>830</v>
      </c>
      <c r="D266" s="759" t="s">
        <v>848</v>
      </c>
      <c r="E266" s="851">
        <v>41640</v>
      </c>
      <c r="F266" s="848" t="str">
        <f t="shared" si="4"/>
        <v xml:space="preserve">   </v>
      </c>
    </row>
    <row r="267" spans="1:6" x14ac:dyDescent="0.25">
      <c r="A267" s="758">
        <v>144</v>
      </c>
      <c r="B267" s="847">
        <v>83911007</v>
      </c>
      <c r="C267" s="758" t="s">
        <v>3511</v>
      </c>
      <c r="D267" s="759" t="s">
        <v>848</v>
      </c>
      <c r="E267" s="851">
        <v>41640</v>
      </c>
      <c r="F267" s="848" t="str">
        <f t="shared" si="4"/>
        <v xml:space="preserve">   </v>
      </c>
    </row>
    <row r="268" spans="1:6" x14ac:dyDescent="0.25">
      <c r="A268" s="758">
        <v>145</v>
      </c>
      <c r="B268" s="847">
        <v>83911029</v>
      </c>
      <c r="C268" s="758" t="s">
        <v>857</v>
      </c>
      <c r="D268" s="759" t="s">
        <v>848</v>
      </c>
      <c r="E268" s="851">
        <v>41640</v>
      </c>
      <c r="F268" s="848" t="str">
        <f t="shared" si="4"/>
        <v xml:space="preserve">   </v>
      </c>
    </row>
    <row r="269" spans="1:6" x14ac:dyDescent="0.25">
      <c r="A269" s="758">
        <v>146</v>
      </c>
      <c r="B269" s="847">
        <v>83911006</v>
      </c>
      <c r="C269" s="758" t="s">
        <v>3512</v>
      </c>
      <c r="D269" s="759" t="s">
        <v>848</v>
      </c>
      <c r="E269" s="851">
        <v>41640</v>
      </c>
      <c r="F269" s="848" t="str">
        <f t="shared" si="4"/>
        <v xml:space="preserve">   </v>
      </c>
    </row>
    <row r="270" spans="1:6" x14ac:dyDescent="0.25">
      <c r="A270" s="758">
        <v>147</v>
      </c>
      <c r="B270" s="847">
        <v>83911028</v>
      </c>
      <c r="C270" s="758" t="s">
        <v>859</v>
      </c>
      <c r="D270" s="759" t="s">
        <v>848</v>
      </c>
      <c r="E270" s="851">
        <v>41640</v>
      </c>
      <c r="F270" s="848" t="str">
        <f t="shared" si="4"/>
        <v xml:space="preserve">   </v>
      </c>
    </row>
    <row r="271" spans="1:6" x14ac:dyDescent="0.25">
      <c r="A271" s="758">
        <v>148</v>
      </c>
      <c r="B271" s="847">
        <v>83911020</v>
      </c>
      <c r="C271" s="758" t="s">
        <v>3513</v>
      </c>
      <c r="D271" s="759" t="s">
        <v>848</v>
      </c>
      <c r="E271" s="851">
        <v>41640</v>
      </c>
      <c r="F271" s="848" t="str">
        <f t="shared" si="4"/>
        <v xml:space="preserve">   </v>
      </c>
    </row>
    <row r="272" spans="1:6" x14ac:dyDescent="0.25">
      <c r="A272" s="758">
        <v>149</v>
      </c>
      <c r="B272" s="847">
        <v>83911003</v>
      </c>
      <c r="C272" s="758" t="s">
        <v>872</v>
      </c>
      <c r="D272" s="759" t="s">
        <v>848</v>
      </c>
      <c r="E272" s="851">
        <v>41640</v>
      </c>
      <c r="F272" s="848" t="str">
        <f t="shared" si="4"/>
        <v xml:space="preserve">   </v>
      </c>
    </row>
    <row r="273" spans="1:6" x14ac:dyDescent="0.25">
      <c r="A273" s="758">
        <v>150</v>
      </c>
      <c r="B273" s="847">
        <v>83911019</v>
      </c>
      <c r="C273" s="758" t="s">
        <v>873</v>
      </c>
      <c r="D273" s="759" t="s">
        <v>848</v>
      </c>
      <c r="E273" s="851">
        <v>41640</v>
      </c>
      <c r="F273" s="848" t="str">
        <f t="shared" si="4"/>
        <v xml:space="preserve">   </v>
      </c>
    </row>
    <row r="274" spans="1:6" x14ac:dyDescent="0.25">
      <c r="A274" s="758">
        <v>151</v>
      </c>
      <c r="B274" s="847">
        <v>83911005</v>
      </c>
      <c r="C274" s="758" t="s">
        <v>835</v>
      </c>
      <c r="D274" s="759" t="s">
        <v>848</v>
      </c>
      <c r="E274" s="851">
        <v>41640</v>
      </c>
      <c r="F274" s="848" t="str">
        <f t="shared" si="4"/>
        <v xml:space="preserve">   </v>
      </c>
    </row>
    <row r="275" spans="1:6" x14ac:dyDescent="0.25">
      <c r="A275" s="758">
        <v>152</v>
      </c>
      <c r="B275" s="847">
        <v>83911004</v>
      </c>
      <c r="C275" s="758" t="s">
        <v>867</v>
      </c>
      <c r="D275" s="759" t="s">
        <v>848</v>
      </c>
      <c r="E275" s="851">
        <v>41640</v>
      </c>
      <c r="F275" s="848" t="str">
        <f t="shared" si="4"/>
        <v xml:space="preserve">   </v>
      </c>
    </row>
    <row r="276" spans="1:6" x14ac:dyDescent="0.25">
      <c r="A276" s="758">
        <v>153</v>
      </c>
      <c r="B276" s="847">
        <v>83911021</v>
      </c>
      <c r="C276" s="758" t="s">
        <v>3514</v>
      </c>
      <c r="D276" s="759" t="s">
        <v>848</v>
      </c>
      <c r="E276" s="851">
        <v>41640</v>
      </c>
      <c r="F276" s="848" t="str">
        <f t="shared" si="4"/>
        <v xml:space="preserve">   </v>
      </c>
    </row>
    <row r="277" spans="1:6" x14ac:dyDescent="0.25">
      <c r="A277" s="758">
        <v>154</v>
      </c>
      <c r="B277" s="847">
        <v>83911023</v>
      </c>
      <c r="C277" s="758" t="s">
        <v>869</v>
      </c>
      <c r="D277" s="759" t="s">
        <v>848</v>
      </c>
      <c r="E277" s="851">
        <v>41640</v>
      </c>
      <c r="F277" s="848" t="str">
        <f t="shared" si="4"/>
        <v xml:space="preserve">   </v>
      </c>
    </row>
    <row r="278" spans="1:6" x14ac:dyDescent="0.25">
      <c r="A278" s="758">
        <v>155</v>
      </c>
      <c r="B278" s="847">
        <v>83911018</v>
      </c>
      <c r="C278" s="758" t="s">
        <v>3515</v>
      </c>
      <c r="D278" s="759" t="s">
        <v>848</v>
      </c>
      <c r="E278" s="851">
        <v>41640</v>
      </c>
      <c r="F278" s="848" t="str">
        <f t="shared" si="4"/>
        <v xml:space="preserve">   </v>
      </c>
    </row>
    <row r="279" spans="1:6" x14ac:dyDescent="0.25">
      <c r="A279" s="758">
        <v>156</v>
      </c>
      <c r="B279" s="847">
        <v>83911026</v>
      </c>
      <c r="C279" s="758" t="s">
        <v>865</v>
      </c>
      <c r="D279" s="759" t="s">
        <v>848</v>
      </c>
      <c r="E279" s="851">
        <v>41640</v>
      </c>
      <c r="F279" s="848" t="str">
        <f t="shared" si="4"/>
        <v xml:space="preserve">   </v>
      </c>
    </row>
    <row r="280" spans="1:6" x14ac:dyDescent="0.25">
      <c r="F280" s="848" t="str">
        <f t="shared" si="4"/>
        <v xml:space="preserve">   </v>
      </c>
    </row>
    <row r="281" spans="1:6" x14ac:dyDescent="0.25">
      <c r="A281" s="758">
        <v>1</v>
      </c>
      <c r="B281" s="758">
        <v>839120002</v>
      </c>
      <c r="C281" s="758" t="s">
        <v>3406</v>
      </c>
      <c r="D281" s="759" t="s">
        <v>848</v>
      </c>
      <c r="E281" s="848">
        <v>42143</v>
      </c>
      <c r="F281" s="848" t="str">
        <f t="shared" si="4"/>
        <v xml:space="preserve">   </v>
      </c>
    </row>
    <row r="282" spans="1:6" x14ac:dyDescent="0.25">
      <c r="A282" s="758">
        <v>2</v>
      </c>
      <c r="B282" s="847">
        <v>849110110</v>
      </c>
      <c r="C282" s="758" t="s">
        <v>1727</v>
      </c>
      <c r="D282" s="759" t="s">
        <v>527</v>
      </c>
      <c r="E282" s="848">
        <v>42143</v>
      </c>
      <c r="F282" s="848" t="str">
        <f t="shared" si="4"/>
        <v xml:space="preserve">   </v>
      </c>
    </row>
    <row r="283" spans="1:6" x14ac:dyDescent="0.25">
      <c r="A283" s="758">
        <v>3</v>
      </c>
      <c r="B283" s="847">
        <v>849110129</v>
      </c>
      <c r="C283" s="758" t="s">
        <v>3516</v>
      </c>
      <c r="D283" s="759" t="s">
        <v>527</v>
      </c>
      <c r="E283" s="848">
        <v>42143</v>
      </c>
      <c r="F283" s="848" t="str">
        <f t="shared" si="4"/>
        <v xml:space="preserve">   </v>
      </c>
    </row>
    <row r="284" spans="1:6" x14ac:dyDescent="0.25">
      <c r="A284" s="758">
        <v>4</v>
      </c>
      <c r="B284" s="847">
        <v>849110144</v>
      </c>
      <c r="C284" s="758" t="s">
        <v>3517</v>
      </c>
      <c r="D284" s="759" t="s">
        <v>527</v>
      </c>
      <c r="E284" s="848">
        <v>42143</v>
      </c>
      <c r="F284" s="848" t="str">
        <f t="shared" si="4"/>
        <v xml:space="preserve">   </v>
      </c>
    </row>
    <row r="285" spans="1:6" x14ac:dyDescent="0.25">
      <c r="A285" s="758">
        <v>5</v>
      </c>
      <c r="B285" s="847">
        <v>849110279</v>
      </c>
      <c r="C285" s="758" t="s">
        <v>3518</v>
      </c>
      <c r="D285" s="759" t="s">
        <v>527</v>
      </c>
      <c r="E285" s="848">
        <v>42143</v>
      </c>
      <c r="F285" s="848" t="str">
        <f t="shared" si="4"/>
        <v xml:space="preserve">   </v>
      </c>
    </row>
    <row r="286" spans="1:6" x14ac:dyDescent="0.25">
      <c r="A286" s="758">
        <v>6</v>
      </c>
      <c r="B286" s="847">
        <v>849112030</v>
      </c>
      <c r="C286" s="758" t="s">
        <v>3519</v>
      </c>
      <c r="D286" s="759" t="s">
        <v>527</v>
      </c>
      <c r="E286" s="848">
        <v>42143</v>
      </c>
      <c r="F286" s="848" t="str">
        <f t="shared" si="4"/>
        <v xml:space="preserve">   </v>
      </c>
    </row>
    <row r="287" spans="1:6" x14ac:dyDescent="0.25">
      <c r="A287" s="758">
        <v>7</v>
      </c>
      <c r="B287" s="847">
        <v>849120013</v>
      </c>
      <c r="C287" s="758" t="s">
        <v>3520</v>
      </c>
      <c r="D287" s="759" t="s">
        <v>527</v>
      </c>
      <c r="E287" s="848">
        <v>42143</v>
      </c>
      <c r="F287" s="848" t="str">
        <f t="shared" si="4"/>
        <v xml:space="preserve">   </v>
      </c>
    </row>
    <row r="288" spans="1:6" x14ac:dyDescent="0.25">
      <c r="A288" s="758">
        <v>8</v>
      </c>
      <c r="B288" s="847">
        <v>849120071</v>
      </c>
      <c r="C288" s="758" t="s">
        <v>3521</v>
      </c>
      <c r="D288" s="759" t="s">
        <v>527</v>
      </c>
      <c r="E288" s="848">
        <v>42143</v>
      </c>
      <c r="F288" s="848" t="str">
        <f t="shared" si="4"/>
        <v xml:space="preserve">   </v>
      </c>
    </row>
    <row r="289" spans="1:6" x14ac:dyDescent="0.25">
      <c r="A289" s="758">
        <v>9</v>
      </c>
      <c r="B289" s="847">
        <v>849120078</v>
      </c>
      <c r="C289" s="758" t="s">
        <v>3522</v>
      </c>
      <c r="D289" s="759" t="s">
        <v>527</v>
      </c>
      <c r="E289" s="848">
        <v>42143</v>
      </c>
      <c r="F289" s="848" t="str">
        <f t="shared" si="4"/>
        <v xml:space="preserve">   </v>
      </c>
    </row>
    <row r="290" spans="1:6" x14ac:dyDescent="0.25">
      <c r="A290" s="758">
        <v>10</v>
      </c>
      <c r="B290" s="847">
        <v>849120088</v>
      </c>
      <c r="C290" s="758" t="s">
        <v>3523</v>
      </c>
      <c r="D290" s="759" t="s">
        <v>527</v>
      </c>
      <c r="E290" s="848">
        <v>42143</v>
      </c>
      <c r="F290" s="848" t="str">
        <f t="shared" si="4"/>
        <v xml:space="preserve">   </v>
      </c>
    </row>
    <row r="291" spans="1:6" x14ac:dyDescent="0.25">
      <c r="A291" s="758">
        <v>11</v>
      </c>
      <c r="B291" s="847">
        <v>849120093</v>
      </c>
      <c r="C291" s="758" t="s">
        <v>3524</v>
      </c>
      <c r="D291" s="759" t="s">
        <v>527</v>
      </c>
      <c r="E291" s="848">
        <v>42143</v>
      </c>
      <c r="F291" s="848" t="str">
        <f t="shared" si="4"/>
        <v xml:space="preserve">   </v>
      </c>
    </row>
    <row r="292" spans="1:6" x14ac:dyDescent="0.25">
      <c r="A292" s="758">
        <v>12</v>
      </c>
      <c r="B292" s="847">
        <v>849199061</v>
      </c>
      <c r="C292" s="758" t="s">
        <v>3525</v>
      </c>
      <c r="D292" s="759" t="s">
        <v>527</v>
      </c>
      <c r="E292" s="848">
        <v>42143</v>
      </c>
      <c r="F292" s="848" t="str">
        <f t="shared" si="4"/>
        <v xml:space="preserve">   </v>
      </c>
    </row>
    <row r="293" spans="1:6" ht="14.25" customHeight="1" x14ac:dyDescent="0.25">
      <c r="B293" s="760"/>
      <c r="F293" s="848" t="str">
        <f t="shared" si="4"/>
        <v xml:space="preserve">   </v>
      </c>
    </row>
    <row r="294" spans="1:6" x14ac:dyDescent="0.25">
      <c r="A294" s="758">
        <v>1</v>
      </c>
      <c r="B294" s="760">
        <v>83911017</v>
      </c>
      <c r="C294" s="758" t="s">
        <v>839</v>
      </c>
      <c r="D294" s="759" t="s">
        <v>848</v>
      </c>
      <c r="E294" s="848">
        <v>42329</v>
      </c>
      <c r="F294" s="848" t="str">
        <f t="shared" si="4"/>
        <v xml:space="preserve">   </v>
      </c>
    </row>
    <row r="295" spans="1:6" x14ac:dyDescent="0.25">
      <c r="A295" s="758">
        <v>2</v>
      </c>
      <c r="B295" s="760">
        <v>83911030</v>
      </c>
      <c r="C295" s="758" t="s">
        <v>3526</v>
      </c>
      <c r="D295" s="759" t="s">
        <v>848</v>
      </c>
      <c r="E295" s="848">
        <v>42329</v>
      </c>
      <c r="F295" s="848" t="str">
        <f t="shared" si="4"/>
        <v xml:space="preserve">   </v>
      </c>
    </row>
    <row r="296" spans="1:6" x14ac:dyDescent="0.25">
      <c r="A296" s="758">
        <v>3</v>
      </c>
      <c r="B296" s="760">
        <v>849213004</v>
      </c>
      <c r="C296" s="758" t="s">
        <v>1114</v>
      </c>
      <c r="D296" s="759" t="s">
        <v>1110</v>
      </c>
      <c r="E296" s="848">
        <v>42329</v>
      </c>
      <c r="F296" s="848" t="str">
        <f t="shared" si="4"/>
        <v xml:space="preserve">   </v>
      </c>
    </row>
    <row r="297" spans="1:6" x14ac:dyDescent="0.25">
      <c r="A297" s="758">
        <v>4</v>
      </c>
      <c r="B297" s="760">
        <v>849110001</v>
      </c>
      <c r="C297" s="758" t="s">
        <v>288</v>
      </c>
      <c r="D297" s="759" t="s">
        <v>527</v>
      </c>
      <c r="E297" s="848">
        <v>42329</v>
      </c>
      <c r="F297" s="848" t="str">
        <f t="shared" si="4"/>
        <v xml:space="preserve">   </v>
      </c>
    </row>
    <row r="298" spans="1:6" x14ac:dyDescent="0.25">
      <c r="A298" s="758">
        <v>5</v>
      </c>
      <c r="B298" s="760">
        <v>849110048</v>
      </c>
      <c r="C298" s="758" t="s">
        <v>3527</v>
      </c>
      <c r="D298" s="759" t="s">
        <v>527</v>
      </c>
      <c r="E298" s="848">
        <v>42329</v>
      </c>
      <c r="F298" s="848" t="str">
        <f t="shared" si="4"/>
        <v xml:space="preserve">   </v>
      </c>
    </row>
    <row r="299" spans="1:6" x14ac:dyDescent="0.25">
      <c r="A299" s="758">
        <v>6</v>
      </c>
      <c r="B299" s="760">
        <v>849110117</v>
      </c>
      <c r="C299" s="758" t="s">
        <v>3528</v>
      </c>
      <c r="D299" s="759" t="s">
        <v>527</v>
      </c>
      <c r="E299" s="848">
        <v>42329</v>
      </c>
      <c r="F299" s="848" t="str">
        <f t="shared" si="4"/>
        <v xml:space="preserve">   </v>
      </c>
    </row>
    <row r="300" spans="1:6" x14ac:dyDescent="0.25">
      <c r="A300" s="758">
        <v>7</v>
      </c>
      <c r="B300" s="760">
        <v>849110131</v>
      </c>
      <c r="C300" s="758" t="s">
        <v>3529</v>
      </c>
      <c r="D300" s="759" t="s">
        <v>527</v>
      </c>
      <c r="E300" s="848">
        <v>42329</v>
      </c>
      <c r="F300" s="848" t="str">
        <f t="shared" si="4"/>
        <v xml:space="preserve">   </v>
      </c>
    </row>
    <row r="301" spans="1:6" x14ac:dyDescent="0.25">
      <c r="A301" s="758">
        <v>8</v>
      </c>
      <c r="B301" s="760">
        <v>849110142</v>
      </c>
      <c r="C301" s="758" t="s">
        <v>3530</v>
      </c>
      <c r="D301" s="759" t="s">
        <v>527</v>
      </c>
      <c r="E301" s="848">
        <v>42329</v>
      </c>
      <c r="F301" s="848" t="str">
        <f t="shared" si="4"/>
        <v xml:space="preserve">   </v>
      </c>
    </row>
    <row r="302" spans="1:6" x14ac:dyDescent="0.25">
      <c r="A302" s="758">
        <v>9</v>
      </c>
      <c r="B302" s="760">
        <v>849110213</v>
      </c>
      <c r="C302" s="758" t="s">
        <v>3531</v>
      </c>
      <c r="D302" s="759" t="s">
        <v>527</v>
      </c>
      <c r="E302" s="848">
        <v>42329</v>
      </c>
      <c r="F302" s="848" t="str">
        <f t="shared" si="4"/>
        <v xml:space="preserve">   </v>
      </c>
    </row>
    <row r="303" spans="1:6" x14ac:dyDescent="0.25">
      <c r="A303" s="758">
        <v>10</v>
      </c>
      <c r="B303" s="760">
        <v>849110214</v>
      </c>
      <c r="C303" s="758" t="s">
        <v>3532</v>
      </c>
      <c r="D303" s="759" t="s">
        <v>527</v>
      </c>
      <c r="E303" s="848">
        <v>42329</v>
      </c>
      <c r="F303" s="848" t="str">
        <f t="shared" si="4"/>
        <v xml:space="preserve">   </v>
      </c>
    </row>
    <row r="304" spans="1:6" x14ac:dyDescent="0.25">
      <c r="A304" s="758">
        <v>11</v>
      </c>
      <c r="B304" s="760">
        <v>849110289</v>
      </c>
      <c r="C304" s="758" t="s">
        <v>3533</v>
      </c>
      <c r="D304" s="759" t="s">
        <v>527</v>
      </c>
      <c r="E304" s="848">
        <v>42329</v>
      </c>
      <c r="F304" s="848" t="str">
        <f t="shared" si="4"/>
        <v xml:space="preserve">   </v>
      </c>
    </row>
    <row r="305" spans="1:6" x14ac:dyDescent="0.25">
      <c r="A305" s="758">
        <v>12</v>
      </c>
      <c r="B305" s="760">
        <v>849113001</v>
      </c>
      <c r="C305" s="758" t="s">
        <v>3534</v>
      </c>
      <c r="D305" s="759" t="s">
        <v>527</v>
      </c>
      <c r="E305" s="848">
        <v>42329</v>
      </c>
      <c r="F305" s="848" t="str">
        <f t="shared" si="4"/>
        <v xml:space="preserve">   </v>
      </c>
    </row>
    <row r="306" spans="1:6" x14ac:dyDescent="0.25">
      <c r="A306" s="758">
        <v>13</v>
      </c>
      <c r="B306" s="760">
        <v>849113002</v>
      </c>
      <c r="C306" s="758" t="s">
        <v>3535</v>
      </c>
      <c r="D306" s="759" t="s">
        <v>527</v>
      </c>
      <c r="E306" s="848">
        <v>42329</v>
      </c>
      <c r="F306" s="848" t="str">
        <f t="shared" si="4"/>
        <v xml:space="preserve">   </v>
      </c>
    </row>
    <row r="307" spans="1:6" x14ac:dyDescent="0.25">
      <c r="A307" s="758">
        <v>14</v>
      </c>
      <c r="B307" s="760">
        <v>849113003</v>
      </c>
      <c r="C307" s="758" t="s">
        <v>3536</v>
      </c>
      <c r="D307" s="759" t="s">
        <v>527</v>
      </c>
      <c r="E307" s="848">
        <v>42329</v>
      </c>
      <c r="F307" s="848" t="str">
        <f t="shared" si="4"/>
        <v xml:space="preserve">   </v>
      </c>
    </row>
    <row r="308" spans="1:6" x14ac:dyDescent="0.25">
      <c r="A308" s="758">
        <v>15</v>
      </c>
      <c r="B308" s="760">
        <v>849113004</v>
      </c>
      <c r="C308" s="758" t="s">
        <v>3537</v>
      </c>
      <c r="D308" s="759" t="s">
        <v>527</v>
      </c>
      <c r="E308" s="848">
        <v>42329</v>
      </c>
      <c r="F308" s="848" t="str">
        <f t="shared" si="4"/>
        <v xml:space="preserve">   </v>
      </c>
    </row>
    <row r="309" spans="1:6" x14ac:dyDescent="0.25">
      <c r="A309" s="758">
        <v>16</v>
      </c>
      <c r="B309" s="760">
        <v>849113005</v>
      </c>
      <c r="C309" s="758" t="s">
        <v>3538</v>
      </c>
      <c r="D309" s="759" t="s">
        <v>527</v>
      </c>
      <c r="E309" s="848">
        <v>42329</v>
      </c>
      <c r="F309" s="848">
        <f t="shared" si="4"/>
        <v>42326</v>
      </c>
    </row>
    <row r="310" spans="1:6" x14ac:dyDescent="0.25">
      <c r="A310" s="758">
        <v>17</v>
      </c>
      <c r="B310" s="760">
        <v>849113006</v>
      </c>
      <c r="C310" s="758" t="s">
        <v>3539</v>
      </c>
      <c r="D310" s="759" t="s">
        <v>527</v>
      </c>
      <c r="E310" s="848">
        <v>42329</v>
      </c>
      <c r="F310" s="848" t="str">
        <f t="shared" si="4"/>
        <v xml:space="preserve">   </v>
      </c>
    </row>
    <row r="311" spans="1:6" x14ac:dyDescent="0.25">
      <c r="A311" s="758">
        <v>18</v>
      </c>
      <c r="B311" s="760">
        <v>849113011</v>
      </c>
      <c r="C311" s="758" t="s">
        <v>3540</v>
      </c>
      <c r="D311" s="759" t="s">
        <v>527</v>
      </c>
      <c r="E311" s="848">
        <v>42329</v>
      </c>
      <c r="F311" s="848" t="str">
        <f t="shared" si="4"/>
        <v xml:space="preserve">   </v>
      </c>
    </row>
    <row r="312" spans="1:6" x14ac:dyDescent="0.25">
      <c r="A312" s="758">
        <v>19</v>
      </c>
      <c r="B312" s="760">
        <v>849113012</v>
      </c>
      <c r="C312" s="758" t="s">
        <v>3541</v>
      </c>
      <c r="D312" s="759" t="s">
        <v>527</v>
      </c>
      <c r="E312" s="848">
        <v>42329</v>
      </c>
      <c r="F312" s="848" t="str">
        <f t="shared" si="4"/>
        <v xml:space="preserve">   </v>
      </c>
    </row>
    <row r="313" spans="1:6" x14ac:dyDescent="0.25">
      <c r="A313" s="758">
        <v>20</v>
      </c>
      <c r="B313" s="760">
        <v>849113013</v>
      </c>
      <c r="C313" s="758" t="s">
        <v>1092</v>
      </c>
      <c r="D313" s="759" t="s">
        <v>527</v>
      </c>
      <c r="E313" s="848">
        <v>42329</v>
      </c>
      <c r="F313" s="848" t="str">
        <f t="shared" si="4"/>
        <v xml:space="preserve">   </v>
      </c>
    </row>
    <row r="314" spans="1:6" x14ac:dyDescent="0.25">
      <c r="A314" s="758">
        <v>21</v>
      </c>
      <c r="B314" s="760">
        <v>849113014</v>
      </c>
      <c r="C314" s="758" t="s">
        <v>3542</v>
      </c>
      <c r="D314" s="759" t="s">
        <v>527</v>
      </c>
      <c r="E314" s="848">
        <v>42329</v>
      </c>
      <c r="F314" s="848" t="str">
        <f t="shared" si="4"/>
        <v xml:space="preserve">   </v>
      </c>
    </row>
    <row r="315" spans="1:6" x14ac:dyDescent="0.25">
      <c r="A315" s="758">
        <v>22</v>
      </c>
      <c r="B315" s="760">
        <v>849113018</v>
      </c>
      <c r="C315" s="758" t="s">
        <v>3543</v>
      </c>
      <c r="D315" s="759" t="s">
        <v>527</v>
      </c>
      <c r="E315" s="848">
        <v>42329</v>
      </c>
      <c r="F315" s="848" t="str">
        <f t="shared" si="4"/>
        <v xml:space="preserve">   </v>
      </c>
    </row>
    <row r="316" spans="1:6" x14ac:dyDescent="0.25">
      <c r="A316" s="758">
        <v>23</v>
      </c>
      <c r="B316" s="760">
        <v>849113020</v>
      </c>
      <c r="C316" s="758" t="s">
        <v>3544</v>
      </c>
      <c r="D316" s="759" t="s">
        <v>527</v>
      </c>
      <c r="E316" s="848">
        <v>42329</v>
      </c>
      <c r="F316" s="848" t="str">
        <f t="shared" si="4"/>
        <v xml:space="preserve">   </v>
      </c>
    </row>
    <row r="317" spans="1:6" x14ac:dyDescent="0.25">
      <c r="A317" s="758">
        <v>24</v>
      </c>
      <c r="B317" s="760">
        <v>849113022</v>
      </c>
      <c r="C317" s="758" t="s">
        <v>3545</v>
      </c>
      <c r="D317" s="759" t="s">
        <v>527</v>
      </c>
      <c r="E317" s="848">
        <v>42329</v>
      </c>
      <c r="F317" s="848" t="str">
        <f t="shared" si="4"/>
        <v xml:space="preserve">   </v>
      </c>
    </row>
    <row r="318" spans="1:6" x14ac:dyDescent="0.25">
      <c r="A318" s="758">
        <v>25</v>
      </c>
      <c r="B318" s="760">
        <v>849113025</v>
      </c>
      <c r="C318" s="758" t="s">
        <v>3546</v>
      </c>
      <c r="D318" s="759" t="s">
        <v>527</v>
      </c>
      <c r="E318" s="848">
        <v>42329</v>
      </c>
      <c r="F318" s="848" t="str">
        <f t="shared" si="4"/>
        <v xml:space="preserve">   </v>
      </c>
    </row>
    <row r="319" spans="1:6" x14ac:dyDescent="0.25">
      <c r="A319" s="758">
        <v>26</v>
      </c>
      <c r="B319" s="760">
        <v>849113029</v>
      </c>
      <c r="C319" s="758" t="s">
        <v>3547</v>
      </c>
      <c r="D319" s="759" t="s">
        <v>527</v>
      </c>
      <c r="E319" s="848">
        <v>42329</v>
      </c>
      <c r="F319" s="848" t="str">
        <f t="shared" si="4"/>
        <v xml:space="preserve">   </v>
      </c>
    </row>
    <row r="320" spans="1:6" x14ac:dyDescent="0.25">
      <c r="A320" s="758">
        <v>27</v>
      </c>
      <c r="B320" s="760">
        <v>849113030</v>
      </c>
      <c r="C320" s="758" t="s">
        <v>3548</v>
      </c>
      <c r="D320" s="759" t="s">
        <v>527</v>
      </c>
      <c r="E320" s="848">
        <v>42329</v>
      </c>
      <c r="F320" s="848" t="str">
        <f t="shared" si="4"/>
        <v xml:space="preserve">   </v>
      </c>
    </row>
    <row r="321" spans="1:6" x14ac:dyDescent="0.25">
      <c r="A321" s="758">
        <v>28</v>
      </c>
      <c r="B321" s="760">
        <v>849113032</v>
      </c>
      <c r="C321" s="758" t="s">
        <v>3549</v>
      </c>
      <c r="D321" s="759" t="s">
        <v>527</v>
      </c>
      <c r="E321" s="848">
        <v>42329</v>
      </c>
      <c r="F321" s="848" t="str">
        <f t="shared" si="4"/>
        <v xml:space="preserve">   </v>
      </c>
    </row>
    <row r="322" spans="1:6" x14ac:dyDescent="0.25">
      <c r="A322" s="758">
        <v>29</v>
      </c>
      <c r="B322" s="760">
        <v>849113035</v>
      </c>
      <c r="C322" s="758" t="s">
        <v>1074</v>
      </c>
      <c r="D322" s="759" t="s">
        <v>527</v>
      </c>
      <c r="E322" s="848">
        <v>42329</v>
      </c>
      <c r="F322" s="848" t="str">
        <f t="shared" ref="F322:F385" si="5">IFERROR(VLOOKUP(B322,Tlus,3,FALSE),"   ")</f>
        <v xml:space="preserve">   </v>
      </c>
    </row>
    <row r="323" spans="1:6" x14ac:dyDescent="0.25">
      <c r="A323" s="758">
        <v>30</v>
      </c>
      <c r="B323" s="760">
        <v>849113039</v>
      </c>
      <c r="C323" s="758" t="s">
        <v>3550</v>
      </c>
      <c r="D323" s="759" t="s">
        <v>527</v>
      </c>
      <c r="E323" s="848">
        <v>42329</v>
      </c>
      <c r="F323" s="848" t="str">
        <f t="shared" si="5"/>
        <v xml:space="preserve">   </v>
      </c>
    </row>
    <row r="324" spans="1:6" x14ac:dyDescent="0.25">
      <c r="A324" s="758">
        <v>31</v>
      </c>
      <c r="B324" s="760">
        <v>849113041</v>
      </c>
      <c r="C324" s="758" t="s">
        <v>3551</v>
      </c>
      <c r="D324" s="759" t="s">
        <v>527</v>
      </c>
      <c r="E324" s="848">
        <v>42329</v>
      </c>
      <c r="F324" s="848" t="str">
        <f t="shared" si="5"/>
        <v xml:space="preserve">   </v>
      </c>
    </row>
    <row r="325" spans="1:6" x14ac:dyDescent="0.25">
      <c r="A325" s="758">
        <v>32</v>
      </c>
      <c r="B325" s="760">
        <v>849113042</v>
      </c>
      <c r="C325" s="758" t="s">
        <v>3552</v>
      </c>
      <c r="D325" s="759" t="s">
        <v>527</v>
      </c>
      <c r="E325" s="848">
        <v>42329</v>
      </c>
      <c r="F325" s="848" t="str">
        <f t="shared" si="5"/>
        <v xml:space="preserve">   </v>
      </c>
    </row>
    <row r="326" spans="1:6" x14ac:dyDescent="0.25">
      <c r="A326" s="758">
        <v>33</v>
      </c>
      <c r="B326" s="760">
        <v>849113043</v>
      </c>
      <c r="C326" s="758" t="s">
        <v>3553</v>
      </c>
      <c r="D326" s="759" t="s">
        <v>527</v>
      </c>
      <c r="E326" s="848">
        <v>42329</v>
      </c>
      <c r="F326" s="848" t="str">
        <f t="shared" si="5"/>
        <v xml:space="preserve">   </v>
      </c>
    </row>
    <row r="327" spans="1:6" x14ac:dyDescent="0.25">
      <c r="A327" s="758">
        <v>34</v>
      </c>
      <c r="B327" s="760">
        <v>849199059</v>
      </c>
      <c r="C327" s="758" t="s">
        <v>3554</v>
      </c>
      <c r="D327" s="759" t="s">
        <v>527</v>
      </c>
      <c r="E327" s="848">
        <v>42329</v>
      </c>
      <c r="F327" s="848" t="str">
        <f t="shared" si="5"/>
        <v xml:space="preserve">   </v>
      </c>
    </row>
    <row r="328" spans="1:6" x14ac:dyDescent="0.25">
      <c r="A328" s="758">
        <v>35</v>
      </c>
      <c r="B328" s="760">
        <v>849199067</v>
      </c>
      <c r="C328" s="758" t="s">
        <v>3555</v>
      </c>
      <c r="D328" s="759" t="s">
        <v>527</v>
      </c>
      <c r="E328" s="848">
        <v>42329</v>
      </c>
      <c r="F328" s="848" t="str">
        <f t="shared" si="5"/>
        <v xml:space="preserve">   </v>
      </c>
    </row>
    <row r="329" spans="1:6" x14ac:dyDescent="0.25">
      <c r="A329" s="758">
        <v>36</v>
      </c>
      <c r="B329" s="760">
        <v>849199069</v>
      </c>
      <c r="C329" s="758" t="s">
        <v>3556</v>
      </c>
      <c r="D329" s="759" t="s">
        <v>527</v>
      </c>
      <c r="E329" s="848">
        <v>42329</v>
      </c>
      <c r="F329" s="848" t="str">
        <f t="shared" si="5"/>
        <v xml:space="preserve">   </v>
      </c>
    </row>
    <row r="330" spans="1:6" x14ac:dyDescent="0.25">
      <c r="A330" s="758">
        <v>37</v>
      </c>
      <c r="B330" s="760">
        <v>849199070</v>
      </c>
      <c r="C330" s="758" t="s">
        <v>3557</v>
      </c>
      <c r="D330" s="759" t="s">
        <v>527</v>
      </c>
      <c r="E330" s="848">
        <v>42329</v>
      </c>
      <c r="F330" s="848" t="str">
        <f t="shared" si="5"/>
        <v xml:space="preserve">   </v>
      </c>
    </row>
    <row r="331" spans="1:6" x14ac:dyDescent="0.25">
      <c r="A331" s="758">
        <v>38</v>
      </c>
      <c r="B331" s="760">
        <v>849213001</v>
      </c>
      <c r="C331" s="758" t="s">
        <v>3558</v>
      </c>
      <c r="D331" s="759" t="s">
        <v>1110</v>
      </c>
      <c r="E331" s="848">
        <v>42329</v>
      </c>
      <c r="F331" s="848" t="str">
        <f t="shared" si="5"/>
        <v xml:space="preserve">   </v>
      </c>
    </row>
    <row r="332" spans="1:6" x14ac:dyDescent="0.25">
      <c r="A332" s="758">
        <v>39</v>
      </c>
      <c r="B332" s="760">
        <v>849213003</v>
      </c>
      <c r="C332" s="758" t="s">
        <v>3559</v>
      </c>
      <c r="D332" s="759" t="s">
        <v>1110</v>
      </c>
      <c r="E332" s="848">
        <v>42329</v>
      </c>
      <c r="F332" s="848" t="str">
        <f t="shared" si="5"/>
        <v xml:space="preserve">   </v>
      </c>
    </row>
    <row r="333" spans="1:6" x14ac:dyDescent="0.25">
      <c r="A333" s="758">
        <v>40</v>
      </c>
      <c r="B333" s="760">
        <v>849213010</v>
      </c>
      <c r="C333" s="758" t="s">
        <v>1119</v>
      </c>
      <c r="D333" s="759" t="s">
        <v>1110</v>
      </c>
      <c r="E333" s="848">
        <v>42329</v>
      </c>
      <c r="F333" s="848" t="str">
        <f t="shared" si="5"/>
        <v xml:space="preserve">   </v>
      </c>
    </row>
    <row r="334" spans="1:6" x14ac:dyDescent="0.25">
      <c r="A334" s="758">
        <v>41</v>
      </c>
      <c r="B334" s="760">
        <v>849113038</v>
      </c>
      <c r="C334" s="758" t="s">
        <v>3560</v>
      </c>
      <c r="D334" s="759" t="s">
        <v>527</v>
      </c>
      <c r="E334" s="848">
        <v>42329</v>
      </c>
      <c r="F334" s="848" t="str">
        <f t="shared" si="5"/>
        <v xml:space="preserve">   </v>
      </c>
    </row>
    <row r="335" spans="1:6" x14ac:dyDescent="0.25">
      <c r="F335" s="848" t="str">
        <f t="shared" si="5"/>
        <v xml:space="preserve">   </v>
      </c>
    </row>
    <row r="336" spans="1:6" x14ac:dyDescent="0.25">
      <c r="A336" s="758">
        <v>1</v>
      </c>
      <c r="B336" s="760">
        <v>83911013</v>
      </c>
      <c r="C336" s="758" t="s">
        <v>2833</v>
      </c>
      <c r="D336" s="759" t="s">
        <v>848</v>
      </c>
      <c r="E336" s="848">
        <v>42504</v>
      </c>
      <c r="F336" s="848" t="str">
        <f t="shared" si="5"/>
        <v xml:space="preserve">   </v>
      </c>
    </row>
    <row r="337" spans="1:6" x14ac:dyDescent="0.25">
      <c r="A337" s="758">
        <v>2</v>
      </c>
      <c r="B337" s="760">
        <v>84099001</v>
      </c>
      <c r="C337" s="758" t="s">
        <v>2830</v>
      </c>
      <c r="D337" s="759" t="s">
        <v>527</v>
      </c>
      <c r="E337" s="848">
        <v>42504</v>
      </c>
      <c r="F337" s="848" t="str">
        <f t="shared" si="5"/>
        <v xml:space="preserve">   </v>
      </c>
    </row>
    <row r="338" spans="1:6" x14ac:dyDescent="0.25">
      <c r="A338" s="758">
        <v>3</v>
      </c>
      <c r="B338" s="760">
        <v>839130007</v>
      </c>
      <c r="C338" s="758" t="s">
        <v>3561</v>
      </c>
      <c r="D338" s="759" t="s">
        <v>848</v>
      </c>
      <c r="E338" s="848">
        <v>42504</v>
      </c>
      <c r="F338" s="848" t="str">
        <f t="shared" si="5"/>
        <v xml:space="preserve">   </v>
      </c>
    </row>
    <row r="339" spans="1:6" x14ac:dyDescent="0.25">
      <c r="A339" s="758">
        <v>4</v>
      </c>
      <c r="B339" s="760">
        <v>839114007</v>
      </c>
      <c r="C339" s="758" t="s">
        <v>3562</v>
      </c>
      <c r="D339" s="759" t="s">
        <v>848</v>
      </c>
      <c r="E339" s="848">
        <v>42504</v>
      </c>
      <c r="F339" s="848" t="str">
        <f t="shared" si="5"/>
        <v xml:space="preserve">   </v>
      </c>
    </row>
    <row r="340" spans="1:6" x14ac:dyDescent="0.25">
      <c r="A340" s="758">
        <v>5</v>
      </c>
      <c r="B340" s="760">
        <v>839130009</v>
      </c>
      <c r="C340" s="758" t="s">
        <v>2822</v>
      </c>
      <c r="D340" s="759" t="s">
        <v>848</v>
      </c>
      <c r="E340" s="848">
        <v>42504</v>
      </c>
      <c r="F340" s="848" t="str">
        <f t="shared" si="5"/>
        <v xml:space="preserve">   </v>
      </c>
    </row>
    <row r="341" spans="1:6" x14ac:dyDescent="0.25">
      <c r="A341" s="758">
        <v>6</v>
      </c>
      <c r="B341" s="760">
        <v>839131002</v>
      </c>
      <c r="C341" s="758" t="s">
        <v>3563</v>
      </c>
      <c r="D341" s="759" t="s">
        <v>848</v>
      </c>
      <c r="E341" s="848">
        <v>42504</v>
      </c>
      <c r="F341" s="848" t="str">
        <f t="shared" si="5"/>
        <v xml:space="preserve">   </v>
      </c>
    </row>
    <row r="342" spans="1:6" x14ac:dyDescent="0.25">
      <c r="A342" s="758">
        <v>7</v>
      </c>
      <c r="B342" s="760">
        <v>839131006</v>
      </c>
      <c r="C342" s="758" t="s">
        <v>3564</v>
      </c>
      <c r="D342" s="759" t="s">
        <v>848</v>
      </c>
      <c r="E342" s="848">
        <v>42504</v>
      </c>
      <c r="F342" s="848" t="str">
        <f t="shared" si="5"/>
        <v xml:space="preserve">   </v>
      </c>
    </row>
    <row r="343" spans="1:6" x14ac:dyDescent="0.25">
      <c r="A343" s="758">
        <v>8</v>
      </c>
      <c r="B343" s="760">
        <v>839131009</v>
      </c>
      <c r="C343" s="758" t="s">
        <v>2819</v>
      </c>
      <c r="D343" s="759" t="s">
        <v>848</v>
      </c>
      <c r="E343" s="848">
        <v>42504</v>
      </c>
      <c r="F343" s="848" t="str">
        <f t="shared" si="5"/>
        <v xml:space="preserve">   </v>
      </c>
    </row>
    <row r="344" spans="1:6" x14ac:dyDescent="0.25">
      <c r="A344" s="758">
        <v>9</v>
      </c>
      <c r="B344" s="760">
        <v>839131011</v>
      </c>
      <c r="C344" s="758" t="s">
        <v>2485</v>
      </c>
      <c r="D344" s="759" t="s">
        <v>848</v>
      </c>
      <c r="E344" s="848">
        <v>42504</v>
      </c>
      <c r="F344" s="848" t="str">
        <f t="shared" si="5"/>
        <v xml:space="preserve">   </v>
      </c>
    </row>
    <row r="345" spans="1:6" x14ac:dyDescent="0.25">
      <c r="A345" s="758">
        <v>10</v>
      </c>
      <c r="B345" s="760">
        <v>839134001</v>
      </c>
      <c r="C345" s="758" t="s">
        <v>2817</v>
      </c>
      <c r="D345" s="759" t="s">
        <v>1195</v>
      </c>
      <c r="E345" s="848">
        <v>42504</v>
      </c>
      <c r="F345" s="848" t="str">
        <f t="shared" si="5"/>
        <v xml:space="preserve">   </v>
      </c>
    </row>
    <row r="346" spans="1:6" x14ac:dyDescent="0.25">
      <c r="A346" s="758">
        <v>11</v>
      </c>
      <c r="B346" s="760">
        <v>839134002</v>
      </c>
      <c r="C346" s="758" t="s">
        <v>2814</v>
      </c>
      <c r="D346" s="759" t="s">
        <v>1195</v>
      </c>
      <c r="E346" s="848">
        <v>42504</v>
      </c>
      <c r="F346" s="848" t="str">
        <f t="shared" si="5"/>
        <v xml:space="preserve">   </v>
      </c>
    </row>
    <row r="347" spans="1:6" x14ac:dyDescent="0.25">
      <c r="A347" s="758">
        <v>12</v>
      </c>
      <c r="B347" s="760">
        <v>839134006</v>
      </c>
      <c r="C347" s="758" t="s">
        <v>2818</v>
      </c>
      <c r="D347" s="759" t="s">
        <v>1195</v>
      </c>
      <c r="E347" s="848">
        <v>42504</v>
      </c>
      <c r="F347" s="848" t="str">
        <f t="shared" si="5"/>
        <v xml:space="preserve">   </v>
      </c>
    </row>
    <row r="348" spans="1:6" x14ac:dyDescent="0.25">
      <c r="A348" s="758">
        <v>13</v>
      </c>
      <c r="B348" s="760">
        <v>839134011</v>
      </c>
      <c r="C348" s="758" t="s">
        <v>3565</v>
      </c>
      <c r="D348" s="759" t="s">
        <v>1195</v>
      </c>
      <c r="E348" s="848">
        <v>42504</v>
      </c>
      <c r="F348" s="848" t="str">
        <f t="shared" si="5"/>
        <v xml:space="preserve">   </v>
      </c>
    </row>
    <row r="349" spans="1:6" x14ac:dyDescent="0.25">
      <c r="A349" s="758">
        <v>14</v>
      </c>
      <c r="B349" s="760">
        <v>839134013</v>
      </c>
      <c r="C349" s="758" t="s">
        <v>2829</v>
      </c>
      <c r="D349" s="759" t="s">
        <v>1195</v>
      </c>
      <c r="E349" s="848">
        <v>42504</v>
      </c>
      <c r="F349" s="848" t="str">
        <f t="shared" si="5"/>
        <v xml:space="preserve">   </v>
      </c>
    </row>
    <row r="350" spans="1:6" x14ac:dyDescent="0.25">
      <c r="A350" s="758">
        <v>15</v>
      </c>
      <c r="B350" s="760">
        <v>839134015</v>
      </c>
      <c r="C350" s="758" t="s">
        <v>2824</v>
      </c>
      <c r="D350" s="759" t="s">
        <v>1195</v>
      </c>
      <c r="E350" s="848">
        <v>42504</v>
      </c>
      <c r="F350" s="848" t="str">
        <f t="shared" si="5"/>
        <v xml:space="preserve">   </v>
      </c>
    </row>
    <row r="351" spans="1:6" x14ac:dyDescent="0.25">
      <c r="A351" s="758">
        <v>16</v>
      </c>
      <c r="B351" s="760">
        <v>839134017</v>
      </c>
      <c r="C351" s="758" t="s">
        <v>2815</v>
      </c>
      <c r="D351" s="759" t="s">
        <v>1195</v>
      </c>
      <c r="E351" s="848">
        <v>42504</v>
      </c>
      <c r="F351" s="848" t="str">
        <f t="shared" si="5"/>
        <v xml:space="preserve">   </v>
      </c>
    </row>
    <row r="352" spans="1:6" x14ac:dyDescent="0.25">
      <c r="A352" s="758">
        <v>17</v>
      </c>
      <c r="B352" s="760">
        <v>839134018</v>
      </c>
      <c r="C352" s="758" t="s">
        <v>2825</v>
      </c>
      <c r="D352" s="759" t="s">
        <v>1195</v>
      </c>
      <c r="E352" s="848">
        <v>42504</v>
      </c>
      <c r="F352" s="848" t="str">
        <f t="shared" si="5"/>
        <v xml:space="preserve">   </v>
      </c>
    </row>
    <row r="353" spans="1:6" x14ac:dyDescent="0.25">
      <c r="A353" s="758">
        <v>18</v>
      </c>
      <c r="B353" s="760">
        <v>849110072</v>
      </c>
      <c r="C353" s="758" t="s">
        <v>3566</v>
      </c>
      <c r="D353" s="759" t="s">
        <v>527</v>
      </c>
      <c r="E353" s="848">
        <v>42504</v>
      </c>
      <c r="F353" s="848" t="str">
        <f t="shared" si="5"/>
        <v xml:space="preserve">   </v>
      </c>
    </row>
    <row r="354" spans="1:6" x14ac:dyDescent="0.25">
      <c r="A354" s="758">
        <v>19</v>
      </c>
      <c r="B354" s="760">
        <v>849110120</v>
      </c>
      <c r="C354" s="758" t="s">
        <v>2832</v>
      </c>
      <c r="D354" s="759" t="s">
        <v>527</v>
      </c>
      <c r="E354" s="848">
        <v>42504</v>
      </c>
      <c r="F354" s="848" t="str">
        <f t="shared" si="5"/>
        <v xml:space="preserve">   </v>
      </c>
    </row>
    <row r="355" spans="1:6" x14ac:dyDescent="0.25">
      <c r="A355" s="758">
        <v>20</v>
      </c>
      <c r="B355" s="760">
        <v>849110186</v>
      </c>
      <c r="C355" s="758" t="s">
        <v>2831</v>
      </c>
      <c r="D355" s="759" t="s">
        <v>527</v>
      </c>
      <c r="E355" s="848">
        <v>42504</v>
      </c>
      <c r="F355" s="848" t="str">
        <f t="shared" si="5"/>
        <v xml:space="preserve">   </v>
      </c>
    </row>
    <row r="356" spans="1:6" x14ac:dyDescent="0.25">
      <c r="A356" s="758">
        <v>21</v>
      </c>
      <c r="B356" s="760">
        <v>849113009</v>
      </c>
      <c r="C356" s="758" t="s">
        <v>1749</v>
      </c>
      <c r="D356" s="759" t="s">
        <v>527</v>
      </c>
      <c r="E356" s="848">
        <v>42504</v>
      </c>
      <c r="F356" s="848" t="str">
        <f t="shared" si="5"/>
        <v xml:space="preserve">   </v>
      </c>
    </row>
    <row r="357" spans="1:6" x14ac:dyDescent="0.25">
      <c r="A357" s="758">
        <v>22</v>
      </c>
      <c r="B357" s="760">
        <v>849113017</v>
      </c>
      <c r="C357" s="758" t="s">
        <v>2823</v>
      </c>
      <c r="D357" s="759" t="s">
        <v>527</v>
      </c>
      <c r="E357" s="848">
        <v>42504</v>
      </c>
      <c r="F357" s="848" t="str">
        <f t="shared" si="5"/>
        <v xml:space="preserve">   </v>
      </c>
    </row>
    <row r="358" spans="1:6" x14ac:dyDescent="0.25">
      <c r="A358" s="758">
        <v>23</v>
      </c>
      <c r="B358" s="760">
        <v>849113021</v>
      </c>
      <c r="C358" s="758" t="s">
        <v>3567</v>
      </c>
      <c r="D358" s="759" t="s">
        <v>527</v>
      </c>
      <c r="E358" s="848">
        <v>42504</v>
      </c>
      <c r="F358" s="848" t="str">
        <f t="shared" si="5"/>
        <v xml:space="preserve">   </v>
      </c>
    </row>
    <row r="359" spans="1:6" x14ac:dyDescent="0.25">
      <c r="A359" s="758">
        <v>24</v>
      </c>
      <c r="B359" s="760">
        <v>849113027</v>
      </c>
      <c r="C359" s="758" t="s">
        <v>2816</v>
      </c>
      <c r="D359" s="759" t="s">
        <v>527</v>
      </c>
      <c r="E359" s="848">
        <v>42504</v>
      </c>
      <c r="F359" s="848" t="str">
        <f t="shared" si="5"/>
        <v xml:space="preserve">   </v>
      </c>
    </row>
    <row r="360" spans="1:6" x14ac:dyDescent="0.25">
      <c r="A360" s="758">
        <v>25</v>
      </c>
      <c r="B360" s="760">
        <v>849113028</v>
      </c>
      <c r="C360" s="758" t="s">
        <v>2504</v>
      </c>
      <c r="D360" s="759" t="s">
        <v>527</v>
      </c>
      <c r="E360" s="848">
        <v>42504</v>
      </c>
      <c r="F360" s="848" t="str">
        <f t="shared" si="5"/>
        <v xml:space="preserve">   </v>
      </c>
    </row>
    <row r="361" spans="1:6" x14ac:dyDescent="0.25">
      <c r="A361" s="758">
        <v>26</v>
      </c>
      <c r="B361" s="760">
        <v>849113052</v>
      </c>
      <c r="C361" s="758" t="s">
        <v>2821</v>
      </c>
      <c r="D361" s="759" t="s">
        <v>527</v>
      </c>
      <c r="E361" s="848">
        <v>42504</v>
      </c>
      <c r="F361" s="848" t="str">
        <f t="shared" si="5"/>
        <v xml:space="preserve">   </v>
      </c>
    </row>
    <row r="362" spans="1:6" x14ac:dyDescent="0.25">
      <c r="A362" s="758">
        <v>27</v>
      </c>
      <c r="B362" s="760">
        <v>849113080</v>
      </c>
      <c r="C362" s="758" t="s">
        <v>2820</v>
      </c>
      <c r="D362" s="759" t="s">
        <v>527</v>
      </c>
      <c r="E362" s="848">
        <v>42504</v>
      </c>
      <c r="F362" s="848" t="str">
        <f t="shared" si="5"/>
        <v xml:space="preserve">   </v>
      </c>
    </row>
    <row r="363" spans="1:6" x14ac:dyDescent="0.25">
      <c r="A363" s="758">
        <v>28</v>
      </c>
      <c r="B363" s="760">
        <v>849120017</v>
      </c>
      <c r="C363" s="758" t="s">
        <v>2827</v>
      </c>
      <c r="D363" s="759" t="s">
        <v>527</v>
      </c>
      <c r="E363" s="848">
        <v>42504</v>
      </c>
      <c r="F363" s="848" t="str">
        <f t="shared" si="5"/>
        <v xml:space="preserve">   </v>
      </c>
    </row>
    <row r="364" spans="1:6" x14ac:dyDescent="0.25">
      <c r="A364" s="758">
        <v>29</v>
      </c>
      <c r="B364" s="760">
        <v>849120076</v>
      </c>
      <c r="C364" s="758" t="s">
        <v>1009</v>
      </c>
      <c r="D364" s="759" t="s">
        <v>527</v>
      </c>
      <c r="E364" s="848">
        <v>42504</v>
      </c>
      <c r="F364" s="848" t="str">
        <f t="shared" si="5"/>
        <v xml:space="preserve">   </v>
      </c>
    </row>
    <row r="365" spans="1:6" x14ac:dyDescent="0.25">
      <c r="A365" s="758">
        <v>30</v>
      </c>
      <c r="B365" s="760">
        <v>849199066</v>
      </c>
      <c r="C365" s="758" t="s">
        <v>2826</v>
      </c>
      <c r="D365" s="759" t="s">
        <v>527</v>
      </c>
      <c r="E365" s="848">
        <v>42504</v>
      </c>
      <c r="F365" s="848" t="str">
        <f t="shared" si="5"/>
        <v xml:space="preserve">   </v>
      </c>
    </row>
    <row r="366" spans="1:6" x14ac:dyDescent="0.25">
      <c r="F366" s="848" t="str">
        <f t="shared" si="5"/>
        <v xml:space="preserve">   </v>
      </c>
    </row>
    <row r="367" spans="1:6" x14ac:dyDescent="0.25">
      <c r="A367" s="758">
        <v>1</v>
      </c>
      <c r="B367" s="760">
        <v>83911022</v>
      </c>
      <c r="C367" s="758" t="s">
        <v>2858</v>
      </c>
      <c r="D367" s="759" t="s">
        <v>848</v>
      </c>
      <c r="E367" s="848">
        <v>42693</v>
      </c>
      <c r="F367" s="848">
        <f t="shared" si="5"/>
        <v>42693</v>
      </c>
    </row>
    <row r="368" spans="1:6" x14ac:dyDescent="0.25">
      <c r="A368" s="758">
        <v>2</v>
      </c>
      <c r="B368" s="760">
        <v>839131013</v>
      </c>
      <c r="C368" s="758" t="s">
        <v>2860</v>
      </c>
      <c r="D368" s="759" t="s">
        <v>848</v>
      </c>
      <c r="E368" s="848">
        <v>42693</v>
      </c>
      <c r="F368" s="848">
        <f t="shared" si="5"/>
        <v>42693</v>
      </c>
    </row>
    <row r="369" spans="1:6" x14ac:dyDescent="0.25">
      <c r="A369" s="758">
        <v>3</v>
      </c>
      <c r="B369" s="760">
        <v>839134007</v>
      </c>
      <c r="C369" s="758" t="s">
        <v>2837</v>
      </c>
      <c r="D369" s="759" t="s">
        <v>1195</v>
      </c>
      <c r="E369" s="848">
        <v>42693</v>
      </c>
      <c r="F369" s="848">
        <f t="shared" si="5"/>
        <v>42693</v>
      </c>
    </row>
    <row r="370" spans="1:6" x14ac:dyDescent="0.25">
      <c r="A370" s="758">
        <v>4</v>
      </c>
      <c r="B370" s="760">
        <v>839134014</v>
      </c>
      <c r="C370" s="758" t="s">
        <v>2854</v>
      </c>
      <c r="D370" s="759" t="s">
        <v>1195</v>
      </c>
      <c r="E370" s="848">
        <v>42693</v>
      </c>
      <c r="F370" s="848">
        <f t="shared" si="5"/>
        <v>42693</v>
      </c>
    </row>
    <row r="371" spans="1:6" x14ac:dyDescent="0.25">
      <c r="A371" s="758">
        <v>5</v>
      </c>
      <c r="B371" s="760">
        <v>839134019</v>
      </c>
      <c r="C371" s="758" t="s">
        <v>2844</v>
      </c>
      <c r="D371" s="759" t="s">
        <v>1195</v>
      </c>
      <c r="E371" s="848">
        <v>42693</v>
      </c>
      <c r="F371" s="848">
        <f t="shared" si="5"/>
        <v>42693</v>
      </c>
    </row>
    <row r="372" spans="1:6" x14ac:dyDescent="0.25">
      <c r="A372" s="758">
        <v>6</v>
      </c>
      <c r="B372" s="760">
        <v>839214004</v>
      </c>
      <c r="C372" s="758" t="s">
        <v>2856</v>
      </c>
      <c r="D372" s="759" t="s">
        <v>1195</v>
      </c>
      <c r="E372" s="848">
        <v>42693</v>
      </c>
      <c r="F372" s="848">
        <f t="shared" si="5"/>
        <v>42693</v>
      </c>
    </row>
    <row r="373" spans="1:6" x14ac:dyDescent="0.25">
      <c r="A373" s="758">
        <v>7</v>
      </c>
      <c r="B373" s="760">
        <v>839214008</v>
      </c>
      <c r="C373" s="758" t="s">
        <v>2855</v>
      </c>
      <c r="D373" s="759" t="s">
        <v>1195</v>
      </c>
      <c r="E373" s="848">
        <v>42693</v>
      </c>
      <c r="F373" s="848">
        <f t="shared" si="5"/>
        <v>42693</v>
      </c>
    </row>
    <row r="374" spans="1:6" x14ac:dyDescent="0.25">
      <c r="A374" s="758">
        <v>8</v>
      </c>
      <c r="B374" s="760">
        <v>839214014</v>
      </c>
      <c r="C374" s="758" t="s">
        <v>2838</v>
      </c>
      <c r="D374" s="759" t="s">
        <v>1195</v>
      </c>
      <c r="E374" s="848">
        <v>42693</v>
      </c>
      <c r="F374" s="848">
        <f t="shared" si="5"/>
        <v>42693</v>
      </c>
    </row>
    <row r="375" spans="1:6" x14ac:dyDescent="0.25">
      <c r="A375" s="758">
        <v>9</v>
      </c>
      <c r="B375" s="760">
        <v>839214015</v>
      </c>
      <c r="C375" s="758" t="s">
        <v>2857</v>
      </c>
      <c r="D375" s="759" t="s">
        <v>1195</v>
      </c>
      <c r="E375" s="848">
        <v>42693</v>
      </c>
      <c r="F375" s="848">
        <f t="shared" si="5"/>
        <v>42693</v>
      </c>
    </row>
    <row r="376" spans="1:6" x14ac:dyDescent="0.25">
      <c r="A376" s="758">
        <v>10</v>
      </c>
      <c r="B376" s="760">
        <v>849110250</v>
      </c>
      <c r="C376" s="758" t="s">
        <v>2842</v>
      </c>
      <c r="D376" s="759" t="s">
        <v>527</v>
      </c>
      <c r="E376" s="848">
        <v>42693</v>
      </c>
      <c r="F376" s="848">
        <f t="shared" si="5"/>
        <v>42693</v>
      </c>
    </row>
    <row r="377" spans="1:6" x14ac:dyDescent="0.25">
      <c r="A377" s="758">
        <v>11</v>
      </c>
      <c r="B377" s="760">
        <v>849110299</v>
      </c>
      <c r="C377" s="758" t="s">
        <v>2865</v>
      </c>
      <c r="D377" s="759" t="s">
        <v>527</v>
      </c>
      <c r="E377" s="848">
        <v>42693</v>
      </c>
      <c r="F377" s="848">
        <f t="shared" si="5"/>
        <v>42693</v>
      </c>
    </row>
    <row r="378" spans="1:6" x14ac:dyDescent="0.25">
      <c r="A378" s="758">
        <v>12</v>
      </c>
      <c r="B378" s="760">
        <v>849113024</v>
      </c>
      <c r="C378" s="758" t="s">
        <v>2836</v>
      </c>
      <c r="D378" s="759" t="s">
        <v>527</v>
      </c>
      <c r="E378" s="848">
        <v>42693</v>
      </c>
      <c r="F378" s="848">
        <f t="shared" si="5"/>
        <v>42693</v>
      </c>
    </row>
    <row r="379" spans="1:6" x14ac:dyDescent="0.25">
      <c r="A379" s="758">
        <v>13</v>
      </c>
      <c r="B379" s="760">
        <v>849113046</v>
      </c>
      <c r="C379" s="758" t="s">
        <v>2851</v>
      </c>
      <c r="D379" s="759" t="s">
        <v>527</v>
      </c>
      <c r="E379" s="848">
        <v>42693</v>
      </c>
      <c r="F379" s="848">
        <f t="shared" si="5"/>
        <v>42693</v>
      </c>
    </row>
    <row r="380" spans="1:6" x14ac:dyDescent="0.25">
      <c r="A380" s="758">
        <v>14</v>
      </c>
      <c r="B380" s="760">
        <v>849113048</v>
      </c>
      <c r="C380" s="758" t="s">
        <v>1984</v>
      </c>
      <c r="D380" s="759" t="s">
        <v>527</v>
      </c>
      <c r="E380" s="848">
        <v>42693</v>
      </c>
      <c r="F380" s="848">
        <f t="shared" si="5"/>
        <v>42693</v>
      </c>
    </row>
    <row r="381" spans="1:6" x14ac:dyDescent="0.25">
      <c r="A381" s="758">
        <v>15</v>
      </c>
      <c r="B381" s="760">
        <v>849113053</v>
      </c>
      <c r="C381" s="758" t="s">
        <v>2850</v>
      </c>
      <c r="D381" s="759" t="s">
        <v>527</v>
      </c>
      <c r="E381" s="848">
        <v>42693</v>
      </c>
      <c r="F381" s="848">
        <f t="shared" si="5"/>
        <v>42693</v>
      </c>
    </row>
    <row r="382" spans="1:6" x14ac:dyDescent="0.25">
      <c r="A382" s="758">
        <v>16</v>
      </c>
      <c r="B382" s="760">
        <v>849113055</v>
      </c>
      <c r="C382" s="758" t="s">
        <v>2839</v>
      </c>
      <c r="D382" s="759" t="s">
        <v>527</v>
      </c>
      <c r="E382" s="848">
        <v>42693</v>
      </c>
      <c r="F382" s="848">
        <f t="shared" si="5"/>
        <v>42693</v>
      </c>
    </row>
    <row r="383" spans="1:6" x14ac:dyDescent="0.25">
      <c r="A383" s="758">
        <v>17</v>
      </c>
      <c r="B383" s="760">
        <v>849113056</v>
      </c>
      <c r="C383" s="758" t="s">
        <v>2840</v>
      </c>
      <c r="D383" s="759" t="s">
        <v>527</v>
      </c>
      <c r="E383" s="848">
        <v>42693</v>
      </c>
      <c r="F383" s="848">
        <f t="shared" si="5"/>
        <v>42693</v>
      </c>
    </row>
    <row r="384" spans="1:6" x14ac:dyDescent="0.25">
      <c r="A384" s="758">
        <v>18</v>
      </c>
      <c r="B384" s="760">
        <v>849113057</v>
      </c>
      <c r="C384" s="758" t="s">
        <v>2852</v>
      </c>
      <c r="D384" s="759" t="s">
        <v>527</v>
      </c>
      <c r="E384" s="848">
        <v>42693</v>
      </c>
      <c r="F384" s="848">
        <f t="shared" si="5"/>
        <v>42693</v>
      </c>
    </row>
    <row r="385" spans="1:6" x14ac:dyDescent="0.25">
      <c r="A385" s="758">
        <v>19</v>
      </c>
      <c r="B385" s="760">
        <v>849113059</v>
      </c>
      <c r="C385" s="758" t="s">
        <v>2853</v>
      </c>
      <c r="D385" s="759" t="s">
        <v>527</v>
      </c>
      <c r="E385" s="848">
        <v>42693</v>
      </c>
      <c r="F385" s="848">
        <f t="shared" si="5"/>
        <v>42693</v>
      </c>
    </row>
    <row r="386" spans="1:6" x14ac:dyDescent="0.25">
      <c r="A386" s="758">
        <v>20</v>
      </c>
      <c r="B386" s="760">
        <v>849113066</v>
      </c>
      <c r="C386" s="758" t="s">
        <v>2862</v>
      </c>
      <c r="D386" s="759" t="s">
        <v>527</v>
      </c>
      <c r="E386" s="848">
        <v>42693</v>
      </c>
      <c r="F386" s="848">
        <f t="shared" ref="F386:F469" si="6">IFERROR(VLOOKUP(B386,Tlus,3,FALSE),"   ")</f>
        <v>42693</v>
      </c>
    </row>
    <row r="387" spans="1:6" x14ac:dyDescent="0.25">
      <c r="A387" s="758">
        <v>21</v>
      </c>
      <c r="B387" s="760">
        <v>849113067</v>
      </c>
      <c r="C387" s="758" t="s">
        <v>2843</v>
      </c>
      <c r="D387" s="759" t="s">
        <v>527</v>
      </c>
      <c r="E387" s="848">
        <v>42693</v>
      </c>
      <c r="F387" s="848">
        <f t="shared" si="6"/>
        <v>42693</v>
      </c>
    </row>
    <row r="388" spans="1:6" x14ac:dyDescent="0.25">
      <c r="A388" s="758">
        <v>22</v>
      </c>
      <c r="B388" s="760">
        <v>849113074</v>
      </c>
      <c r="C388" s="758" t="s">
        <v>2866</v>
      </c>
      <c r="D388" s="759" t="s">
        <v>527</v>
      </c>
      <c r="E388" s="848">
        <v>42693</v>
      </c>
      <c r="F388" s="848">
        <f t="shared" si="6"/>
        <v>42693</v>
      </c>
    </row>
    <row r="389" spans="1:6" x14ac:dyDescent="0.25">
      <c r="A389" s="758">
        <v>23</v>
      </c>
      <c r="B389" s="760">
        <v>849113081</v>
      </c>
      <c r="C389" s="758" t="s">
        <v>2859</v>
      </c>
      <c r="D389" s="759" t="s">
        <v>527</v>
      </c>
      <c r="E389" s="848">
        <v>42693</v>
      </c>
      <c r="F389" s="848">
        <f t="shared" si="6"/>
        <v>42693</v>
      </c>
    </row>
    <row r="390" spans="1:6" x14ac:dyDescent="0.25">
      <c r="A390" s="758">
        <v>24</v>
      </c>
      <c r="B390" s="760">
        <v>849113082</v>
      </c>
      <c r="C390" s="758" t="s">
        <v>2846</v>
      </c>
      <c r="D390" s="759" t="s">
        <v>527</v>
      </c>
      <c r="E390" s="848">
        <v>42693</v>
      </c>
      <c r="F390" s="848">
        <f t="shared" si="6"/>
        <v>42693</v>
      </c>
    </row>
    <row r="391" spans="1:6" x14ac:dyDescent="0.25">
      <c r="A391" s="758">
        <v>25</v>
      </c>
      <c r="B391" s="760">
        <v>849113083</v>
      </c>
      <c r="C391" s="758" t="s">
        <v>2841</v>
      </c>
      <c r="D391" s="759" t="s">
        <v>527</v>
      </c>
      <c r="E391" s="848">
        <v>42693</v>
      </c>
      <c r="F391" s="848">
        <f t="shared" si="6"/>
        <v>42693</v>
      </c>
    </row>
    <row r="392" spans="1:6" x14ac:dyDescent="0.25">
      <c r="A392" s="758">
        <v>26</v>
      </c>
      <c r="B392" s="760">
        <v>849113085</v>
      </c>
      <c r="C392" s="758" t="s">
        <v>2847</v>
      </c>
      <c r="D392" s="759" t="s">
        <v>527</v>
      </c>
      <c r="E392" s="848">
        <v>42693</v>
      </c>
      <c r="F392" s="848">
        <f t="shared" si="6"/>
        <v>42693</v>
      </c>
    </row>
    <row r="393" spans="1:6" x14ac:dyDescent="0.25">
      <c r="A393" s="758">
        <v>27</v>
      </c>
      <c r="B393" s="760">
        <v>849113087</v>
      </c>
      <c r="C393" s="758" t="s">
        <v>2864</v>
      </c>
      <c r="D393" s="759" t="s">
        <v>527</v>
      </c>
      <c r="E393" s="848">
        <v>42693</v>
      </c>
      <c r="F393" s="848">
        <f t="shared" si="6"/>
        <v>42693</v>
      </c>
    </row>
    <row r="394" spans="1:6" x14ac:dyDescent="0.25">
      <c r="A394" s="758">
        <v>28</v>
      </c>
      <c r="B394" s="760">
        <v>849113090</v>
      </c>
      <c r="C394" s="758" t="s">
        <v>2863</v>
      </c>
      <c r="D394" s="759" t="s">
        <v>527</v>
      </c>
      <c r="E394" s="848">
        <v>42693</v>
      </c>
      <c r="F394" s="848">
        <f t="shared" si="6"/>
        <v>42693</v>
      </c>
    </row>
    <row r="395" spans="1:6" x14ac:dyDescent="0.25">
      <c r="A395" s="758">
        <v>29</v>
      </c>
      <c r="B395" s="760">
        <v>849114001</v>
      </c>
      <c r="C395" s="758" t="s">
        <v>189</v>
      </c>
      <c r="D395" s="759" t="s">
        <v>527</v>
      </c>
      <c r="E395" s="848">
        <v>42693</v>
      </c>
      <c r="F395" s="848">
        <f t="shared" si="6"/>
        <v>42693</v>
      </c>
    </row>
    <row r="396" spans="1:6" x14ac:dyDescent="0.25">
      <c r="A396" s="758">
        <v>30</v>
      </c>
      <c r="B396" s="760">
        <v>849114010</v>
      </c>
      <c r="C396" s="758" t="s">
        <v>2835</v>
      </c>
      <c r="D396" s="759" t="s">
        <v>527</v>
      </c>
      <c r="E396" s="848">
        <v>42693</v>
      </c>
      <c r="F396" s="848">
        <f t="shared" si="6"/>
        <v>42693</v>
      </c>
    </row>
    <row r="397" spans="1:6" x14ac:dyDescent="0.25">
      <c r="A397" s="758">
        <v>31</v>
      </c>
      <c r="B397" s="760">
        <v>849114011</v>
      </c>
      <c r="C397" s="758" t="s">
        <v>2009</v>
      </c>
      <c r="D397" s="759" t="s">
        <v>527</v>
      </c>
      <c r="E397" s="848">
        <v>42693</v>
      </c>
      <c r="F397" s="848">
        <f t="shared" si="6"/>
        <v>42693</v>
      </c>
    </row>
    <row r="398" spans="1:6" x14ac:dyDescent="0.25">
      <c r="A398" s="758">
        <v>32</v>
      </c>
      <c r="B398" s="760">
        <v>849114030</v>
      </c>
      <c r="C398" s="758" t="s">
        <v>2861</v>
      </c>
      <c r="D398" s="759" t="s">
        <v>527</v>
      </c>
      <c r="E398" s="848">
        <v>42693</v>
      </c>
      <c r="F398" s="848">
        <f t="shared" si="6"/>
        <v>42693</v>
      </c>
    </row>
    <row r="399" spans="1:6" x14ac:dyDescent="0.25">
      <c r="A399" s="758">
        <v>33</v>
      </c>
      <c r="B399" s="760">
        <v>849214002</v>
      </c>
      <c r="C399" s="758" t="s">
        <v>2845</v>
      </c>
      <c r="D399" s="759" t="s">
        <v>1110</v>
      </c>
      <c r="E399" s="848">
        <v>42693</v>
      </c>
      <c r="F399" s="848">
        <f t="shared" si="6"/>
        <v>42693</v>
      </c>
    </row>
    <row r="400" spans="1:6" x14ac:dyDescent="0.25">
      <c r="A400" s="758">
        <v>34</v>
      </c>
      <c r="B400" s="760">
        <v>849214003</v>
      </c>
      <c r="C400" s="758" t="s">
        <v>2848</v>
      </c>
      <c r="D400" s="759" t="s">
        <v>1110</v>
      </c>
      <c r="E400" s="848">
        <v>42693</v>
      </c>
      <c r="F400" s="848">
        <f t="shared" si="6"/>
        <v>42693</v>
      </c>
    </row>
    <row r="401" spans="1:16" x14ac:dyDescent="0.25">
      <c r="A401" s="758">
        <v>35</v>
      </c>
      <c r="B401" s="760">
        <v>849214007</v>
      </c>
      <c r="C401" s="758" t="s">
        <v>2849</v>
      </c>
      <c r="D401" s="759" t="s">
        <v>1110</v>
      </c>
      <c r="E401" s="848">
        <v>42693</v>
      </c>
      <c r="F401" s="848">
        <f t="shared" si="6"/>
        <v>42693</v>
      </c>
    </row>
    <row r="402" spans="1:16" ht="14.25" customHeight="1" x14ac:dyDescent="0.25">
      <c r="B402" s="760"/>
      <c r="F402" s="848" t="str">
        <f t="shared" si="6"/>
        <v xml:space="preserve">   </v>
      </c>
    </row>
    <row r="403" spans="1:16" x14ac:dyDescent="0.25">
      <c r="A403" s="758">
        <v>1</v>
      </c>
      <c r="B403" s="760">
        <v>849113076</v>
      </c>
      <c r="C403" s="758" t="s">
        <v>2870</v>
      </c>
      <c r="D403" s="759" t="s">
        <v>527</v>
      </c>
      <c r="E403" s="848">
        <v>42861</v>
      </c>
      <c r="F403" s="848">
        <f t="shared" si="6"/>
        <v>42663</v>
      </c>
      <c r="I403" s="758" t="s">
        <v>3568</v>
      </c>
      <c r="J403" s="758" t="s">
        <v>3569</v>
      </c>
      <c r="K403" s="758" t="s">
        <v>3570</v>
      </c>
      <c r="L403" s="758" t="s">
        <v>3571</v>
      </c>
      <c r="M403" s="848">
        <v>31908</v>
      </c>
      <c r="N403" s="758" t="s">
        <v>527</v>
      </c>
      <c r="O403" s="848">
        <v>42663</v>
      </c>
      <c r="P403" s="758" t="s">
        <v>3572</v>
      </c>
    </row>
    <row r="404" spans="1:16" x14ac:dyDescent="0.25">
      <c r="A404" s="758">
        <v>2</v>
      </c>
      <c r="B404" s="760">
        <v>849113061</v>
      </c>
      <c r="C404" s="758" t="s">
        <v>2872</v>
      </c>
      <c r="D404" s="759" t="s">
        <v>527</v>
      </c>
      <c r="E404" s="848">
        <v>42861</v>
      </c>
      <c r="F404" s="848">
        <f t="shared" si="6"/>
        <v>42684</v>
      </c>
      <c r="I404" s="758" t="s">
        <v>3573</v>
      </c>
      <c r="J404" s="758" t="s">
        <v>3574</v>
      </c>
      <c r="K404" s="758" t="s">
        <v>3575</v>
      </c>
      <c r="L404" s="758" t="s">
        <v>3576</v>
      </c>
      <c r="M404" s="848">
        <v>28989</v>
      </c>
      <c r="N404" s="758" t="s">
        <v>527</v>
      </c>
      <c r="O404" s="848">
        <v>42684</v>
      </c>
      <c r="P404" s="758" t="s">
        <v>3572</v>
      </c>
    </row>
    <row r="405" spans="1:16" x14ac:dyDescent="0.25">
      <c r="A405" s="758">
        <v>3</v>
      </c>
      <c r="B405" s="760">
        <v>849114018</v>
      </c>
      <c r="C405" s="758" t="s">
        <v>2873</v>
      </c>
      <c r="D405" s="759" t="s">
        <v>527</v>
      </c>
      <c r="E405" s="848">
        <v>42861</v>
      </c>
      <c r="F405" s="848">
        <f t="shared" si="6"/>
        <v>42690</v>
      </c>
      <c r="I405" s="758" t="s">
        <v>3577</v>
      </c>
      <c r="J405" s="758" t="s">
        <v>3578</v>
      </c>
      <c r="K405" s="758" t="s">
        <v>3579</v>
      </c>
      <c r="L405" s="758" t="s">
        <v>3576</v>
      </c>
      <c r="M405" s="848">
        <v>31536</v>
      </c>
      <c r="N405" s="758" t="s">
        <v>527</v>
      </c>
      <c r="O405" s="848">
        <v>42690</v>
      </c>
      <c r="P405" s="758" t="s">
        <v>3572</v>
      </c>
    </row>
    <row r="406" spans="1:16" x14ac:dyDescent="0.25">
      <c r="A406" s="758">
        <v>4</v>
      </c>
      <c r="B406" s="760">
        <v>849120014</v>
      </c>
      <c r="C406" s="758" t="s">
        <v>2874</v>
      </c>
      <c r="D406" s="759" t="s">
        <v>527</v>
      </c>
      <c r="E406" s="848">
        <v>42861</v>
      </c>
      <c r="F406" s="848">
        <f t="shared" si="6"/>
        <v>42691</v>
      </c>
      <c r="I406" s="758" t="s">
        <v>3580</v>
      </c>
      <c r="J406" s="758" t="s">
        <v>3581</v>
      </c>
      <c r="K406" s="758" t="s">
        <v>3582</v>
      </c>
      <c r="L406" s="758" t="s">
        <v>3571</v>
      </c>
      <c r="M406" s="848">
        <v>30841</v>
      </c>
      <c r="N406" s="758" t="s">
        <v>527</v>
      </c>
      <c r="O406" s="848">
        <v>42691</v>
      </c>
      <c r="P406" s="758" t="s">
        <v>3572</v>
      </c>
    </row>
    <row r="407" spans="1:16" x14ac:dyDescent="0.25">
      <c r="A407" s="758">
        <v>5</v>
      </c>
      <c r="B407" s="760">
        <v>849114008</v>
      </c>
      <c r="C407" s="758" t="s">
        <v>2875</v>
      </c>
      <c r="D407" s="759" t="s">
        <v>527</v>
      </c>
      <c r="E407" s="848">
        <v>42861</v>
      </c>
      <c r="F407" s="848">
        <f t="shared" si="6"/>
        <v>42692</v>
      </c>
      <c r="I407" s="758" t="s">
        <v>3583</v>
      </c>
      <c r="J407" s="758" t="s">
        <v>3584</v>
      </c>
      <c r="K407" s="758" t="s">
        <v>3585</v>
      </c>
      <c r="L407" s="758" t="s">
        <v>3571</v>
      </c>
      <c r="M407" s="848">
        <v>29374</v>
      </c>
      <c r="N407" s="758" t="s">
        <v>527</v>
      </c>
      <c r="O407" s="848">
        <v>42692</v>
      </c>
      <c r="P407" s="758" t="s">
        <v>3572</v>
      </c>
    </row>
    <row r="408" spans="1:16" x14ac:dyDescent="0.25">
      <c r="A408" s="758">
        <v>6</v>
      </c>
      <c r="B408" s="760">
        <v>849114007</v>
      </c>
      <c r="C408" s="758" t="s">
        <v>2876</v>
      </c>
      <c r="D408" s="759" t="s">
        <v>527</v>
      </c>
      <c r="E408" s="848">
        <v>42861</v>
      </c>
      <c r="F408" s="848">
        <f t="shared" si="6"/>
        <v>42698</v>
      </c>
      <c r="I408" s="758" t="s">
        <v>3586</v>
      </c>
      <c r="J408" s="758" t="s">
        <v>3587</v>
      </c>
      <c r="K408" s="758" t="s">
        <v>3588</v>
      </c>
      <c r="L408" s="758" t="s">
        <v>3589</v>
      </c>
      <c r="M408" s="848">
        <v>33332</v>
      </c>
      <c r="N408" s="758" t="s">
        <v>527</v>
      </c>
      <c r="O408" s="848">
        <v>42698</v>
      </c>
      <c r="P408" s="758" t="s">
        <v>3572</v>
      </c>
    </row>
    <row r="409" spans="1:16" x14ac:dyDescent="0.25">
      <c r="A409" s="758">
        <v>7</v>
      </c>
      <c r="B409" s="760">
        <v>849114040</v>
      </c>
      <c r="C409" s="758" t="s">
        <v>2877</v>
      </c>
      <c r="D409" s="759" t="s">
        <v>527</v>
      </c>
      <c r="E409" s="848">
        <v>42861</v>
      </c>
      <c r="F409" s="848">
        <f t="shared" si="6"/>
        <v>42725</v>
      </c>
      <c r="I409" s="758" t="s">
        <v>3590</v>
      </c>
      <c r="J409" s="758" t="s">
        <v>3591</v>
      </c>
      <c r="K409" s="758" t="s">
        <v>3592</v>
      </c>
      <c r="L409" s="758" t="s">
        <v>3593</v>
      </c>
      <c r="M409" s="848">
        <v>32547</v>
      </c>
      <c r="N409" s="758" t="s">
        <v>527</v>
      </c>
      <c r="O409" s="848">
        <v>42725</v>
      </c>
      <c r="P409" s="758" t="s">
        <v>3572</v>
      </c>
    </row>
    <row r="410" spans="1:16" x14ac:dyDescent="0.25">
      <c r="A410" s="758">
        <v>8</v>
      </c>
      <c r="B410" s="760">
        <v>849113040</v>
      </c>
      <c r="C410" s="758" t="s">
        <v>2879</v>
      </c>
      <c r="D410" s="759" t="s">
        <v>527</v>
      </c>
      <c r="E410" s="848">
        <v>42861</v>
      </c>
      <c r="F410" s="848">
        <f t="shared" si="6"/>
        <v>42732</v>
      </c>
      <c r="I410" s="758" t="s">
        <v>3594</v>
      </c>
      <c r="J410" s="758" t="s">
        <v>3595</v>
      </c>
      <c r="K410" s="758" t="s">
        <v>3596</v>
      </c>
      <c r="L410" s="758" t="s">
        <v>3571</v>
      </c>
      <c r="M410" s="848">
        <v>32237</v>
      </c>
      <c r="N410" s="758" t="s">
        <v>527</v>
      </c>
      <c r="O410" s="848">
        <v>42732</v>
      </c>
      <c r="P410" s="758" t="s">
        <v>3572</v>
      </c>
    </row>
    <row r="411" spans="1:16" x14ac:dyDescent="0.25">
      <c r="A411" s="758">
        <v>9</v>
      </c>
      <c r="B411" s="760">
        <v>849113077</v>
      </c>
      <c r="C411" s="758" t="s">
        <v>1708</v>
      </c>
      <c r="D411" s="759" t="s">
        <v>527</v>
      </c>
      <c r="E411" s="848">
        <v>42861</v>
      </c>
      <c r="F411" s="848">
        <f t="shared" si="6"/>
        <v>42767</v>
      </c>
      <c r="I411" s="758" t="s">
        <v>3597</v>
      </c>
      <c r="J411" s="758" t="s">
        <v>3598</v>
      </c>
      <c r="K411" s="758" t="s">
        <v>3599</v>
      </c>
      <c r="L411" s="758" t="s">
        <v>3571</v>
      </c>
      <c r="M411" s="848">
        <v>32795</v>
      </c>
      <c r="N411" s="758" t="s">
        <v>527</v>
      </c>
      <c r="O411" s="848">
        <v>42753</v>
      </c>
      <c r="P411" s="758" t="s">
        <v>3572</v>
      </c>
    </row>
    <row r="412" spans="1:16" x14ac:dyDescent="0.25">
      <c r="A412" s="758">
        <v>10</v>
      </c>
      <c r="B412" s="760">
        <v>849114006</v>
      </c>
      <c r="C412" s="758" t="s">
        <v>2509</v>
      </c>
      <c r="D412" s="759" t="s">
        <v>527</v>
      </c>
      <c r="E412" s="848">
        <v>42861</v>
      </c>
      <c r="F412" s="848">
        <f t="shared" si="6"/>
        <v>42755</v>
      </c>
      <c r="I412" s="758" t="s">
        <v>3600</v>
      </c>
      <c r="J412" s="758" t="s">
        <v>3601</v>
      </c>
      <c r="K412" s="758" t="s">
        <v>3602</v>
      </c>
      <c r="L412" s="758" t="s">
        <v>3589</v>
      </c>
      <c r="M412" s="848">
        <v>33134</v>
      </c>
      <c r="N412" s="758" t="s">
        <v>527</v>
      </c>
      <c r="O412" s="848">
        <v>42755</v>
      </c>
      <c r="P412" s="758" t="s">
        <v>3572</v>
      </c>
    </row>
    <row r="413" spans="1:16" x14ac:dyDescent="0.25">
      <c r="A413" s="758">
        <v>11</v>
      </c>
      <c r="B413" s="760">
        <v>849114012</v>
      </c>
      <c r="C413" s="758" t="s">
        <v>2884</v>
      </c>
      <c r="D413" s="759" t="s">
        <v>527</v>
      </c>
      <c r="E413" s="848">
        <v>42861</v>
      </c>
      <c r="F413" s="848">
        <f t="shared" si="6"/>
        <v>42755</v>
      </c>
      <c r="I413" s="758" t="s">
        <v>3603</v>
      </c>
      <c r="J413" s="758" t="s">
        <v>3604</v>
      </c>
      <c r="K413" s="758" t="s">
        <v>3605</v>
      </c>
      <c r="L413" s="758" t="s">
        <v>3571</v>
      </c>
      <c r="M413" s="848">
        <v>33822</v>
      </c>
      <c r="N413" s="758" t="s">
        <v>527</v>
      </c>
      <c r="O413" s="848">
        <v>42755</v>
      </c>
      <c r="P413" s="758" t="s">
        <v>3572</v>
      </c>
    </row>
    <row r="414" spans="1:16" x14ac:dyDescent="0.25">
      <c r="A414" s="758">
        <v>12</v>
      </c>
      <c r="B414" s="760">
        <v>849114031</v>
      </c>
      <c r="C414" s="758" t="s">
        <v>2885</v>
      </c>
      <c r="D414" s="759" t="s">
        <v>527</v>
      </c>
      <c r="E414" s="848">
        <v>42861</v>
      </c>
      <c r="F414" s="848">
        <f t="shared" si="6"/>
        <v>42759</v>
      </c>
      <c r="I414" s="758" t="s">
        <v>3606</v>
      </c>
      <c r="J414" s="758" t="s">
        <v>3607</v>
      </c>
      <c r="K414" s="758" t="s">
        <v>3608</v>
      </c>
      <c r="L414" s="758" t="s">
        <v>3571</v>
      </c>
      <c r="M414" s="848">
        <v>33640</v>
      </c>
      <c r="N414" s="758" t="s">
        <v>527</v>
      </c>
      <c r="O414" s="848">
        <v>42759</v>
      </c>
      <c r="P414" s="758" t="s">
        <v>3572</v>
      </c>
    </row>
    <row r="415" spans="1:16" x14ac:dyDescent="0.25">
      <c r="A415" s="758">
        <v>13</v>
      </c>
      <c r="B415" s="760">
        <v>849112015</v>
      </c>
      <c r="C415" s="758" t="s">
        <v>2009</v>
      </c>
      <c r="D415" s="759" t="s">
        <v>527</v>
      </c>
      <c r="E415" s="848">
        <v>42861</v>
      </c>
      <c r="F415" s="848" t="str">
        <f t="shared" si="6"/>
        <v xml:space="preserve">   </v>
      </c>
      <c r="I415" s="758" t="s">
        <v>3609</v>
      </c>
      <c r="J415" s="758" t="s">
        <v>3610</v>
      </c>
      <c r="K415" s="758" t="s">
        <v>3611</v>
      </c>
      <c r="L415" s="758" t="s">
        <v>3571</v>
      </c>
      <c r="M415" s="848">
        <v>24946</v>
      </c>
      <c r="N415" s="758" t="s">
        <v>527</v>
      </c>
      <c r="O415" s="848">
        <v>42803</v>
      </c>
      <c r="P415" s="758" t="s">
        <v>3572</v>
      </c>
    </row>
    <row r="416" spans="1:16" x14ac:dyDescent="0.25">
      <c r="A416" s="758">
        <v>14</v>
      </c>
      <c r="B416" s="760">
        <v>849110269</v>
      </c>
      <c r="C416" s="758" t="s">
        <v>2897</v>
      </c>
      <c r="D416" s="759" t="s">
        <v>527</v>
      </c>
      <c r="E416" s="848">
        <v>42861</v>
      </c>
      <c r="F416" s="848">
        <f t="shared" si="6"/>
        <v>42499</v>
      </c>
      <c r="I416" s="758" t="s">
        <v>3612</v>
      </c>
      <c r="J416" s="758" t="s">
        <v>3613</v>
      </c>
      <c r="K416" s="758" t="s">
        <v>3614</v>
      </c>
      <c r="L416" s="758" t="s">
        <v>3571</v>
      </c>
      <c r="M416" s="848">
        <v>32699</v>
      </c>
      <c r="N416" s="758" t="s">
        <v>527</v>
      </c>
      <c r="O416" s="848">
        <v>42499</v>
      </c>
      <c r="P416" s="758" t="s">
        <v>3572</v>
      </c>
    </row>
    <row r="417" spans="1:16" x14ac:dyDescent="0.25">
      <c r="A417" s="758">
        <v>15</v>
      </c>
      <c r="B417" s="760">
        <v>849114015</v>
      </c>
      <c r="C417" s="758" t="s">
        <v>2898</v>
      </c>
      <c r="D417" s="759" t="s">
        <v>527</v>
      </c>
      <c r="E417" s="848">
        <v>42861</v>
      </c>
      <c r="F417" s="848">
        <f t="shared" si="6"/>
        <v>42817</v>
      </c>
      <c r="I417" s="758" t="s">
        <v>3615</v>
      </c>
      <c r="J417" s="758" t="s">
        <v>3616</v>
      </c>
      <c r="K417" s="758" t="s">
        <v>3617</v>
      </c>
      <c r="L417" s="758" t="s">
        <v>3571</v>
      </c>
      <c r="M417" s="848">
        <v>33561</v>
      </c>
      <c r="N417" s="758" t="s">
        <v>527</v>
      </c>
      <c r="O417" s="848">
        <v>42817</v>
      </c>
      <c r="P417" s="758" t="s">
        <v>3572</v>
      </c>
    </row>
    <row r="418" spans="1:16" x14ac:dyDescent="0.25">
      <c r="A418" s="758">
        <v>16</v>
      </c>
      <c r="B418" s="760">
        <v>839114014</v>
      </c>
      <c r="C418" s="758" t="s">
        <v>2878</v>
      </c>
      <c r="D418" s="759" t="s">
        <v>848</v>
      </c>
      <c r="E418" s="848">
        <v>42861</v>
      </c>
      <c r="F418" s="848">
        <f t="shared" si="6"/>
        <v>42732</v>
      </c>
      <c r="I418" s="758" t="s">
        <v>3618</v>
      </c>
      <c r="J418" s="758" t="s">
        <v>3619</v>
      </c>
      <c r="K418" s="758" t="s">
        <v>3620</v>
      </c>
      <c r="L418" s="758" t="s">
        <v>3621</v>
      </c>
      <c r="M418" s="848">
        <v>33547</v>
      </c>
      <c r="N418" s="758" t="s">
        <v>848</v>
      </c>
      <c r="O418" s="848">
        <v>42732</v>
      </c>
      <c r="P418" s="758" t="s">
        <v>3622</v>
      </c>
    </row>
    <row r="419" spans="1:16" x14ac:dyDescent="0.25">
      <c r="A419" s="758">
        <v>17</v>
      </c>
      <c r="B419" s="760">
        <v>839114013</v>
      </c>
      <c r="C419" s="758" t="s">
        <v>2946</v>
      </c>
      <c r="D419" s="759" t="s">
        <v>848</v>
      </c>
      <c r="E419" s="848">
        <v>42861</v>
      </c>
      <c r="F419" s="848">
        <f t="shared" si="6"/>
        <v>42733</v>
      </c>
      <c r="I419" s="758" t="s">
        <v>3623</v>
      </c>
      <c r="J419" s="758" t="s">
        <v>3624</v>
      </c>
      <c r="K419" s="758" t="s">
        <v>3625</v>
      </c>
      <c r="L419" s="758" t="s">
        <v>3576</v>
      </c>
      <c r="M419" s="848">
        <v>33724</v>
      </c>
      <c r="N419" s="758" t="s">
        <v>848</v>
      </c>
      <c r="O419" s="848">
        <v>42733</v>
      </c>
      <c r="P419" s="758" t="s">
        <v>3622</v>
      </c>
    </row>
    <row r="420" spans="1:16" x14ac:dyDescent="0.25">
      <c r="A420" s="758">
        <v>18</v>
      </c>
      <c r="B420" s="760">
        <v>839131012</v>
      </c>
      <c r="C420" s="758" t="s">
        <v>2886</v>
      </c>
      <c r="D420" s="759" t="s">
        <v>848</v>
      </c>
      <c r="E420" s="848">
        <v>42861</v>
      </c>
      <c r="F420" s="848">
        <f t="shared" si="6"/>
        <v>42767</v>
      </c>
      <c r="I420" s="758" t="s">
        <v>3626</v>
      </c>
      <c r="J420" s="758" t="s">
        <v>3627</v>
      </c>
      <c r="K420" s="758" t="s">
        <v>3628</v>
      </c>
      <c r="L420" s="758" t="s">
        <v>3571</v>
      </c>
      <c r="M420" s="848">
        <v>24266</v>
      </c>
      <c r="N420" s="758" t="s">
        <v>848</v>
      </c>
      <c r="O420" s="848">
        <v>42767</v>
      </c>
      <c r="P420" s="758" t="s">
        <v>3622</v>
      </c>
    </row>
    <row r="421" spans="1:16" x14ac:dyDescent="0.25">
      <c r="A421" s="758">
        <v>19</v>
      </c>
      <c r="B421" s="760">
        <v>839111024</v>
      </c>
      <c r="C421" s="758" t="s">
        <v>847</v>
      </c>
      <c r="D421" s="759" t="s">
        <v>848</v>
      </c>
      <c r="E421" s="848">
        <v>42861</v>
      </c>
      <c r="F421" s="848" t="str">
        <f t="shared" si="6"/>
        <v xml:space="preserve">   </v>
      </c>
      <c r="I421" s="758" t="s">
        <v>3629</v>
      </c>
      <c r="J421" s="758" t="s">
        <v>3630</v>
      </c>
      <c r="K421" s="758" t="s">
        <v>3631</v>
      </c>
      <c r="L421" s="758" t="s">
        <v>3589</v>
      </c>
      <c r="M421" s="848">
        <v>31685</v>
      </c>
      <c r="N421" s="758" t="s">
        <v>848</v>
      </c>
      <c r="O421" s="848">
        <v>42782</v>
      </c>
      <c r="P421" s="758" t="s">
        <v>3622</v>
      </c>
    </row>
    <row r="422" spans="1:16" x14ac:dyDescent="0.25">
      <c r="A422" s="758">
        <v>20</v>
      </c>
      <c r="B422" s="760">
        <v>839120006</v>
      </c>
      <c r="C422" s="758" t="s">
        <v>946</v>
      </c>
      <c r="D422" s="759" t="s">
        <v>848</v>
      </c>
      <c r="E422" s="848">
        <v>42861</v>
      </c>
      <c r="F422" s="848">
        <f t="shared" si="6"/>
        <v>42782</v>
      </c>
      <c r="I422" s="758" t="s">
        <v>3632</v>
      </c>
      <c r="J422" s="758" t="s">
        <v>3633</v>
      </c>
      <c r="K422" s="758" t="s">
        <v>3634</v>
      </c>
      <c r="L422" s="758" t="s">
        <v>3571</v>
      </c>
      <c r="M422" s="848">
        <v>30185</v>
      </c>
      <c r="N422" s="758" t="s">
        <v>848</v>
      </c>
      <c r="O422" s="848">
        <v>42782</v>
      </c>
      <c r="P422" s="758" t="s">
        <v>3622</v>
      </c>
    </row>
    <row r="423" spans="1:16" x14ac:dyDescent="0.25">
      <c r="A423" s="758">
        <v>21</v>
      </c>
      <c r="B423" s="760">
        <v>839115004</v>
      </c>
      <c r="C423" s="758" t="s">
        <v>2892</v>
      </c>
      <c r="D423" s="759" t="s">
        <v>848</v>
      </c>
      <c r="E423" s="848">
        <v>42861</v>
      </c>
      <c r="F423" s="848">
        <f t="shared" si="6"/>
        <v>42811</v>
      </c>
      <c r="I423" s="758" t="s">
        <v>3635</v>
      </c>
      <c r="J423" s="758" t="s">
        <v>3636</v>
      </c>
      <c r="K423" s="758" t="s">
        <v>3637</v>
      </c>
      <c r="L423" s="758" t="s">
        <v>3571</v>
      </c>
      <c r="M423" s="848">
        <v>33027</v>
      </c>
      <c r="N423" s="758" t="s">
        <v>848</v>
      </c>
      <c r="O423" s="848">
        <v>42811</v>
      </c>
      <c r="P423" s="758" t="s">
        <v>3622</v>
      </c>
    </row>
    <row r="424" spans="1:16" x14ac:dyDescent="0.25">
      <c r="A424" s="758">
        <v>22</v>
      </c>
      <c r="B424" s="760">
        <v>839214007</v>
      </c>
      <c r="C424" s="758" t="s">
        <v>2868</v>
      </c>
      <c r="D424" s="759" t="s">
        <v>1195</v>
      </c>
      <c r="E424" s="848">
        <v>42861</v>
      </c>
      <c r="F424" s="848">
        <f t="shared" si="6"/>
        <v>42661</v>
      </c>
      <c r="I424" s="758" t="s">
        <v>3638</v>
      </c>
      <c r="J424" s="758" t="s">
        <v>3639</v>
      </c>
      <c r="K424" s="758" t="s">
        <v>3640</v>
      </c>
      <c r="L424" s="758" t="s">
        <v>3641</v>
      </c>
      <c r="M424" s="848">
        <v>31988</v>
      </c>
      <c r="N424" s="758" t="s">
        <v>1195</v>
      </c>
      <c r="O424" s="848">
        <v>42661</v>
      </c>
      <c r="P424" s="758" t="s">
        <v>3642</v>
      </c>
    </row>
    <row r="425" spans="1:16" x14ac:dyDescent="0.25">
      <c r="A425" s="758">
        <v>23</v>
      </c>
      <c r="B425" s="760">
        <v>839214011</v>
      </c>
      <c r="C425" s="758" t="s">
        <v>2869</v>
      </c>
      <c r="D425" s="759" t="s">
        <v>1195</v>
      </c>
      <c r="E425" s="848">
        <v>42861</v>
      </c>
      <c r="F425" s="848">
        <f t="shared" si="6"/>
        <v>42661</v>
      </c>
      <c r="I425" s="758" t="s">
        <v>3643</v>
      </c>
      <c r="J425" s="758" t="s">
        <v>3644</v>
      </c>
      <c r="K425" s="758" t="s">
        <v>3645</v>
      </c>
      <c r="L425" s="758" t="s">
        <v>3641</v>
      </c>
      <c r="M425" s="848">
        <v>29316</v>
      </c>
      <c r="N425" s="758" t="s">
        <v>1195</v>
      </c>
      <c r="O425" s="848">
        <v>42661</v>
      </c>
      <c r="P425" s="758" t="s">
        <v>3642</v>
      </c>
    </row>
    <row r="426" spans="1:16" x14ac:dyDescent="0.25">
      <c r="A426" s="758">
        <v>24</v>
      </c>
      <c r="B426" s="760">
        <v>839214003</v>
      </c>
      <c r="C426" s="758" t="s">
        <v>2871</v>
      </c>
      <c r="D426" s="759" t="s">
        <v>1195</v>
      </c>
      <c r="E426" s="848">
        <v>42861</v>
      </c>
      <c r="F426" s="848">
        <f t="shared" si="6"/>
        <v>42663</v>
      </c>
      <c r="I426" s="758" t="s">
        <v>3646</v>
      </c>
      <c r="J426" s="758" t="s">
        <v>3647</v>
      </c>
      <c r="K426" s="758" t="s">
        <v>3648</v>
      </c>
      <c r="L426" s="758" t="s">
        <v>3649</v>
      </c>
      <c r="M426" s="848">
        <v>33325</v>
      </c>
      <c r="N426" s="758" t="s">
        <v>1195</v>
      </c>
      <c r="O426" s="848">
        <v>42663</v>
      </c>
      <c r="P426" s="758" t="s">
        <v>3642</v>
      </c>
    </row>
    <row r="427" spans="1:16" x14ac:dyDescent="0.25">
      <c r="A427" s="758">
        <v>25</v>
      </c>
      <c r="B427" s="760">
        <v>839215005</v>
      </c>
      <c r="C427" s="758" t="s">
        <v>2887</v>
      </c>
      <c r="D427" s="759" t="s">
        <v>1195</v>
      </c>
      <c r="E427" s="848">
        <v>42861</v>
      </c>
      <c r="F427" s="848">
        <f t="shared" si="6"/>
        <v>42768</v>
      </c>
      <c r="I427" s="758" t="s">
        <v>3650</v>
      </c>
      <c r="J427" s="758" t="s">
        <v>3651</v>
      </c>
      <c r="K427" s="758" t="s">
        <v>3652</v>
      </c>
      <c r="L427" s="758" t="s">
        <v>3641</v>
      </c>
      <c r="M427" s="848">
        <v>29398</v>
      </c>
      <c r="N427" s="758" t="s">
        <v>1195</v>
      </c>
      <c r="O427" s="848">
        <v>42768</v>
      </c>
      <c r="P427" s="758" t="s">
        <v>3642</v>
      </c>
    </row>
    <row r="428" spans="1:16" x14ac:dyDescent="0.25">
      <c r="A428" s="758">
        <v>26</v>
      </c>
      <c r="B428" s="760">
        <v>839134010</v>
      </c>
      <c r="C428" s="758" t="s">
        <v>2888</v>
      </c>
      <c r="D428" s="759" t="s">
        <v>1195</v>
      </c>
      <c r="E428" s="848">
        <v>42861</v>
      </c>
      <c r="F428" s="848">
        <f t="shared" si="6"/>
        <v>42768</v>
      </c>
      <c r="I428" s="758" t="s">
        <v>3653</v>
      </c>
      <c r="J428" s="758" t="s">
        <v>3654</v>
      </c>
      <c r="K428" s="758" t="s">
        <v>3655</v>
      </c>
      <c r="L428" s="758" t="s">
        <v>3589</v>
      </c>
      <c r="M428" s="848">
        <v>28740</v>
      </c>
      <c r="N428" s="758" t="s">
        <v>1195</v>
      </c>
      <c r="O428" s="848">
        <v>42768</v>
      </c>
      <c r="P428" s="758" t="s">
        <v>3642</v>
      </c>
    </row>
    <row r="429" spans="1:16" x14ac:dyDescent="0.25">
      <c r="A429" s="758">
        <v>27</v>
      </c>
      <c r="B429" s="760">
        <v>839215007</v>
      </c>
      <c r="C429" s="758" t="s">
        <v>2891</v>
      </c>
      <c r="D429" s="759" t="s">
        <v>1195</v>
      </c>
      <c r="E429" s="848">
        <v>42861</v>
      </c>
      <c r="F429" s="848">
        <f t="shared" si="6"/>
        <v>42421</v>
      </c>
      <c r="I429" s="758" t="s">
        <v>3656</v>
      </c>
      <c r="J429" s="758" t="s">
        <v>3657</v>
      </c>
      <c r="K429" s="758" t="s">
        <v>3658</v>
      </c>
      <c r="L429" s="758" t="s">
        <v>3571</v>
      </c>
      <c r="M429" s="848">
        <v>32299</v>
      </c>
      <c r="N429" s="758" t="s">
        <v>1195</v>
      </c>
      <c r="O429" s="848">
        <v>42787</v>
      </c>
      <c r="P429" s="758" t="s">
        <v>3642</v>
      </c>
    </row>
    <row r="430" spans="1:16" x14ac:dyDescent="0.25">
      <c r="A430" s="758">
        <v>28</v>
      </c>
      <c r="B430" s="760">
        <v>839215013</v>
      </c>
      <c r="C430" s="758" t="s">
        <v>2893</v>
      </c>
      <c r="D430" s="759" t="s">
        <v>1195</v>
      </c>
      <c r="E430" s="848">
        <v>42861</v>
      </c>
      <c r="F430" s="848">
        <f t="shared" si="6"/>
        <v>42815</v>
      </c>
      <c r="I430" s="758" t="s">
        <v>3659</v>
      </c>
      <c r="J430" s="758" t="s">
        <v>3660</v>
      </c>
      <c r="K430" s="758" t="s">
        <v>3661</v>
      </c>
      <c r="L430" s="758" t="s">
        <v>3571</v>
      </c>
      <c r="M430" s="848">
        <v>34013</v>
      </c>
      <c r="N430" s="758" t="s">
        <v>1195</v>
      </c>
      <c r="O430" s="848">
        <v>42815</v>
      </c>
      <c r="P430" s="758" t="s">
        <v>3642</v>
      </c>
    </row>
    <row r="431" spans="1:16" x14ac:dyDescent="0.25">
      <c r="A431" s="758">
        <v>29</v>
      </c>
      <c r="B431" s="760">
        <v>839214010</v>
      </c>
      <c r="C431" s="758" t="s">
        <v>2894</v>
      </c>
      <c r="D431" s="759" t="s">
        <v>1195</v>
      </c>
      <c r="E431" s="848">
        <v>42861</v>
      </c>
      <c r="F431" s="848">
        <f t="shared" si="6"/>
        <v>42824</v>
      </c>
      <c r="I431" s="758" t="s">
        <v>3662</v>
      </c>
      <c r="J431" s="758" t="s">
        <v>3663</v>
      </c>
      <c r="K431" s="758" t="s">
        <v>3664</v>
      </c>
      <c r="L431" s="758" t="s">
        <v>3641</v>
      </c>
      <c r="M431" s="848">
        <v>33381</v>
      </c>
      <c r="N431" s="758" t="s">
        <v>1195</v>
      </c>
      <c r="O431" s="848">
        <v>42824</v>
      </c>
      <c r="P431" s="758" t="s">
        <v>3642</v>
      </c>
    </row>
    <row r="432" spans="1:16" x14ac:dyDescent="0.25">
      <c r="A432" s="758">
        <v>30</v>
      </c>
      <c r="B432" s="760">
        <v>839214002</v>
      </c>
      <c r="C432" s="758" t="s">
        <v>2895</v>
      </c>
      <c r="D432" s="759" t="s">
        <v>1195</v>
      </c>
      <c r="E432" s="848">
        <v>42861</v>
      </c>
      <c r="F432" s="848">
        <f t="shared" si="6"/>
        <v>42824</v>
      </c>
      <c r="I432" s="758" t="s">
        <v>3665</v>
      </c>
      <c r="J432" s="758" t="s">
        <v>3666</v>
      </c>
      <c r="K432" s="758" t="s">
        <v>3667</v>
      </c>
      <c r="L432" s="758" t="s">
        <v>3668</v>
      </c>
      <c r="M432" s="848">
        <v>32855</v>
      </c>
      <c r="N432" s="758" t="s">
        <v>1195</v>
      </c>
      <c r="O432" s="848">
        <v>42824</v>
      </c>
      <c r="P432" s="758" t="s">
        <v>3642</v>
      </c>
    </row>
    <row r="433" spans="1:16" x14ac:dyDescent="0.25">
      <c r="A433" s="758">
        <v>31</v>
      </c>
      <c r="B433" s="760">
        <v>839214006</v>
      </c>
      <c r="C433" s="758" t="s">
        <v>2896</v>
      </c>
      <c r="D433" s="759" t="s">
        <v>1195</v>
      </c>
      <c r="E433" s="848">
        <v>42861</v>
      </c>
      <c r="F433" s="848">
        <f t="shared" si="6"/>
        <v>42829</v>
      </c>
      <c r="I433" s="758" t="s">
        <v>3669</v>
      </c>
      <c r="J433" s="758" t="s">
        <v>3670</v>
      </c>
      <c r="K433" s="758" t="s">
        <v>3671</v>
      </c>
      <c r="L433" s="758" t="s">
        <v>3576</v>
      </c>
      <c r="M433" s="848">
        <v>30847</v>
      </c>
      <c r="N433" s="758" t="s">
        <v>1195</v>
      </c>
      <c r="O433" s="848">
        <v>42829</v>
      </c>
      <c r="P433" s="758" t="s">
        <v>3642</v>
      </c>
    </row>
    <row r="434" spans="1:16" x14ac:dyDescent="0.25">
      <c r="A434" s="758">
        <v>32</v>
      </c>
      <c r="B434" s="760">
        <v>849214010</v>
      </c>
      <c r="C434" s="758" t="s">
        <v>2881</v>
      </c>
      <c r="D434" s="759" t="s">
        <v>1110</v>
      </c>
      <c r="E434" s="848">
        <v>42861</v>
      </c>
      <c r="F434" s="848">
        <f t="shared" si="6"/>
        <v>42753</v>
      </c>
      <c r="I434" s="758" t="s">
        <v>3672</v>
      </c>
      <c r="J434" s="758" t="s">
        <v>3673</v>
      </c>
      <c r="K434" s="758" t="s">
        <v>3674</v>
      </c>
      <c r="L434" s="758" t="s">
        <v>3589</v>
      </c>
      <c r="M434" s="848">
        <v>23785</v>
      </c>
      <c r="N434" s="758" t="s">
        <v>1110</v>
      </c>
      <c r="O434" s="848">
        <v>42753</v>
      </c>
      <c r="P434" s="758" t="s">
        <v>3572</v>
      </c>
    </row>
    <row r="435" spans="1:16" x14ac:dyDescent="0.25">
      <c r="A435" s="758">
        <v>33</v>
      </c>
      <c r="B435" s="760">
        <v>849214014</v>
      </c>
      <c r="C435" s="758" t="s">
        <v>2882</v>
      </c>
      <c r="D435" s="759" t="s">
        <v>1110</v>
      </c>
      <c r="E435" s="848">
        <v>42861</v>
      </c>
      <c r="F435" s="848">
        <f t="shared" si="6"/>
        <v>42753</v>
      </c>
      <c r="I435" s="758" t="s">
        <v>3675</v>
      </c>
      <c r="J435" s="758" t="s">
        <v>3676</v>
      </c>
      <c r="K435" s="758" t="s">
        <v>3677</v>
      </c>
      <c r="L435" s="758" t="s">
        <v>3571</v>
      </c>
      <c r="M435" s="848">
        <v>28145</v>
      </c>
      <c r="N435" s="758" t="s">
        <v>1110</v>
      </c>
      <c r="O435" s="848">
        <v>42753</v>
      </c>
      <c r="P435" s="758" t="s">
        <v>3572</v>
      </c>
    </row>
    <row r="436" spans="1:16" x14ac:dyDescent="0.25">
      <c r="A436" s="758">
        <v>34</v>
      </c>
      <c r="B436" s="760">
        <v>849214011</v>
      </c>
      <c r="C436" s="758" t="s">
        <v>1263</v>
      </c>
      <c r="D436" s="759" t="s">
        <v>1110</v>
      </c>
      <c r="E436" s="848">
        <v>42861</v>
      </c>
      <c r="F436" s="848">
        <f t="shared" si="6"/>
        <v>42814</v>
      </c>
      <c r="I436" s="758" t="s">
        <v>3678</v>
      </c>
      <c r="J436" s="758" t="s">
        <v>3679</v>
      </c>
      <c r="K436" s="758" t="s">
        <v>3680</v>
      </c>
      <c r="L436" s="758" t="s">
        <v>3641</v>
      </c>
      <c r="M436" s="848">
        <v>27843</v>
      </c>
      <c r="N436" s="758" t="s">
        <v>1110</v>
      </c>
      <c r="O436" s="848">
        <v>42816</v>
      </c>
      <c r="P436" s="758" t="s">
        <v>3572</v>
      </c>
    </row>
    <row r="437" spans="1:16" x14ac:dyDescent="0.25">
      <c r="F437" s="848" t="str">
        <f t="shared" si="6"/>
        <v xml:space="preserve">   </v>
      </c>
    </row>
    <row r="438" spans="1:16" x14ac:dyDescent="0.25">
      <c r="A438" s="758">
        <v>1</v>
      </c>
      <c r="B438" s="760">
        <v>849114039</v>
      </c>
      <c r="C438" s="758" t="s">
        <v>2899</v>
      </c>
      <c r="D438" s="759" t="s">
        <v>527</v>
      </c>
      <c r="E438" s="848">
        <v>43064</v>
      </c>
      <c r="F438" s="848">
        <f t="shared" si="6"/>
        <v>42831</v>
      </c>
      <c r="I438" s="758" t="s">
        <v>3681</v>
      </c>
      <c r="J438" s="758" t="s">
        <v>3682</v>
      </c>
      <c r="K438" s="758" t="s">
        <v>3683</v>
      </c>
      <c r="L438" s="758" t="s">
        <v>3589</v>
      </c>
      <c r="M438" s="848">
        <v>25463</v>
      </c>
      <c r="N438" s="758" t="s">
        <v>527</v>
      </c>
      <c r="O438" s="848">
        <v>42831</v>
      </c>
      <c r="P438" s="758" t="s">
        <v>3572</v>
      </c>
    </row>
    <row r="439" spans="1:16" x14ac:dyDescent="0.25">
      <c r="A439" s="758">
        <v>2</v>
      </c>
      <c r="B439" s="760">
        <v>849114002</v>
      </c>
      <c r="C439" s="758" t="s">
        <v>2902</v>
      </c>
      <c r="D439" s="759" t="s">
        <v>527</v>
      </c>
      <c r="E439" s="848">
        <v>43064</v>
      </c>
      <c r="F439" s="848">
        <f t="shared" si="6"/>
        <v>42864</v>
      </c>
      <c r="I439" s="758" t="s">
        <v>3684</v>
      </c>
      <c r="J439" s="758" t="s">
        <v>3685</v>
      </c>
      <c r="K439" s="758" t="s">
        <v>3686</v>
      </c>
      <c r="L439" s="758" t="s">
        <v>3641</v>
      </c>
      <c r="M439" s="848">
        <v>32820</v>
      </c>
      <c r="N439" s="758" t="s">
        <v>527</v>
      </c>
      <c r="O439" s="848">
        <v>42864</v>
      </c>
      <c r="P439" s="758" t="s">
        <v>3572</v>
      </c>
    </row>
    <row r="440" spans="1:16" x14ac:dyDescent="0.25">
      <c r="A440" s="758">
        <v>3</v>
      </c>
      <c r="B440" s="760">
        <v>849120077</v>
      </c>
      <c r="C440" s="758" t="s">
        <v>2903</v>
      </c>
      <c r="D440" s="759" t="s">
        <v>527</v>
      </c>
      <c r="E440" s="848">
        <v>43064</v>
      </c>
      <c r="F440" s="848">
        <f t="shared" si="6"/>
        <v>42873</v>
      </c>
      <c r="I440" s="758" t="s">
        <v>3687</v>
      </c>
      <c r="J440" s="758" t="s">
        <v>3688</v>
      </c>
      <c r="K440" s="758" t="s">
        <v>3689</v>
      </c>
      <c r="L440" s="758" t="s">
        <v>3576</v>
      </c>
      <c r="M440" s="848">
        <v>28484</v>
      </c>
      <c r="N440" s="758" t="s">
        <v>527</v>
      </c>
      <c r="O440" s="848">
        <v>42873</v>
      </c>
      <c r="P440" s="758" t="s">
        <v>3572</v>
      </c>
    </row>
    <row r="441" spans="1:16" x14ac:dyDescent="0.25">
      <c r="A441" s="758">
        <v>4</v>
      </c>
      <c r="B441" s="760">
        <v>849113092</v>
      </c>
      <c r="C441" s="758" t="s">
        <v>2904</v>
      </c>
      <c r="D441" s="759" t="s">
        <v>527</v>
      </c>
      <c r="E441" s="848">
        <v>43064</v>
      </c>
      <c r="F441" s="848">
        <f t="shared" ref="F441:F461" si="7">IFERROR(VLOOKUP(B441,Tlus,3,FALSE),"   ")</f>
        <v>42874</v>
      </c>
      <c r="I441" s="758" t="s">
        <v>3690</v>
      </c>
      <c r="J441" s="758" t="s">
        <v>3691</v>
      </c>
      <c r="K441" s="758" t="s">
        <v>3692</v>
      </c>
      <c r="L441" s="758" t="s">
        <v>3576</v>
      </c>
      <c r="M441" s="848">
        <v>29835</v>
      </c>
      <c r="N441" s="758" t="s">
        <v>527</v>
      </c>
      <c r="O441" s="848">
        <v>42873</v>
      </c>
      <c r="P441" s="758" t="s">
        <v>3572</v>
      </c>
    </row>
    <row r="442" spans="1:16" x14ac:dyDescent="0.25">
      <c r="A442" s="758">
        <v>5</v>
      </c>
      <c r="B442" s="760">
        <v>849113019</v>
      </c>
      <c r="C442" s="758" t="s">
        <v>3693</v>
      </c>
      <c r="D442" s="759" t="s">
        <v>527</v>
      </c>
      <c r="E442" s="848">
        <v>43064</v>
      </c>
      <c r="F442" s="848">
        <f t="shared" si="7"/>
        <v>42898</v>
      </c>
      <c r="I442" s="758" t="s">
        <v>3694</v>
      </c>
      <c r="J442" s="758" t="s">
        <v>3695</v>
      </c>
      <c r="K442" s="758" t="s">
        <v>3696</v>
      </c>
      <c r="L442" s="758" t="s">
        <v>3571</v>
      </c>
      <c r="M442" s="848">
        <v>31500</v>
      </c>
      <c r="N442" s="758" t="s">
        <v>527</v>
      </c>
      <c r="O442" s="848">
        <v>42898</v>
      </c>
      <c r="P442" s="758" t="s">
        <v>3572</v>
      </c>
    </row>
    <row r="443" spans="1:16" x14ac:dyDescent="0.25">
      <c r="A443" s="758">
        <v>6</v>
      </c>
      <c r="B443" s="760">
        <v>849120001</v>
      </c>
      <c r="C443" s="758" t="s">
        <v>2907</v>
      </c>
      <c r="D443" s="759" t="s">
        <v>527</v>
      </c>
      <c r="E443" s="848">
        <v>43064</v>
      </c>
      <c r="F443" s="848">
        <f t="shared" si="7"/>
        <v>42900</v>
      </c>
      <c r="I443" s="758" t="s">
        <v>3697</v>
      </c>
      <c r="J443" s="758" t="s">
        <v>3698</v>
      </c>
      <c r="K443" s="758" t="s">
        <v>3699</v>
      </c>
      <c r="L443" s="758" t="s">
        <v>3571</v>
      </c>
      <c r="M443" s="848">
        <v>29119</v>
      </c>
      <c r="N443" s="758" t="s">
        <v>527</v>
      </c>
      <c r="O443" s="848">
        <v>42900</v>
      </c>
      <c r="P443" s="758" t="s">
        <v>3572</v>
      </c>
    </row>
    <row r="444" spans="1:16" x14ac:dyDescent="0.25">
      <c r="A444" s="758">
        <v>7</v>
      </c>
      <c r="B444" s="760">
        <v>849120039</v>
      </c>
      <c r="C444" s="758" t="s">
        <v>2920</v>
      </c>
      <c r="D444" s="759" t="s">
        <v>527</v>
      </c>
      <c r="E444" s="848">
        <v>43064</v>
      </c>
      <c r="F444" s="848">
        <f t="shared" si="7"/>
        <v>42985</v>
      </c>
      <c r="I444" s="758" t="s">
        <v>3700</v>
      </c>
      <c r="J444" s="758" t="s">
        <v>3701</v>
      </c>
      <c r="K444" s="758" t="s">
        <v>3702</v>
      </c>
      <c r="L444" s="758" t="s">
        <v>3571</v>
      </c>
      <c r="M444" s="848">
        <v>29884</v>
      </c>
      <c r="N444" s="758" t="s">
        <v>527</v>
      </c>
      <c r="O444" s="848">
        <v>42985</v>
      </c>
      <c r="P444" s="758" t="s">
        <v>3572</v>
      </c>
    </row>
    <row r="445" spans="1:16" x14ac:dyDescent="0.25">
      <c r="A445" s="758">
        <v>8</v>
      </c>
      <c r="B445" s="760">
        <v>849115017</v>
      </c>
      <c r="C445" s="758" t="s">
        <v>2922</v>
      </c>
      <c r="D445" s="759" t="s">
        <v>527</v>
      </c>
      <c r="E445" s="848">
        <v>43064</v>
      </c>
      <c r="F445" s="848">
        <f t="shared" si="7"/>
        <v>43020</v>
      </c>
      <c r="I445" s="758" t="s">
        <v>3703</v>
      </c>
      <c r="J445" s="758" t="s">
        <v>3704</v>
      </c>
      <c r="K445" s="758" t="s">
        <v>3705</v>
      </c>
      <c r="L445" s="758" t="s">
        <v>3706</v>
      </c>
      <c r="M445" s="848">
        <v>34092</v>
      </c>
      <c r="N445" s="758" t="s">
        <v>527</v>
      </c>
      <c r="O445" s="848">
        <v>43020</v>
      </c>
      <c r="P445" s="758" t="s">
        <v>3572</v>
      </c>
    </row>
    <row r="446" spans="1:16" x14ac:dyDescent="0.25">
      <c r="A446" s="758">
        <v>9</v>
      </c>
      <c r="B446" s="760">
        <v>849114032</v>
      </c>
      <c r="C446" s="758" t="s">
        <v>2923</v>
      </c>
      <c r="D446" s="759" t="s">
        <v>527</v>
      </c>
      <c r="E446" s="848">
        <v>43064</v>
      </c>
      <c r="F446" s="848">
        <f t="shared" si="7"/>
        <v>43020</v>
      </c>
      <c r="I446" s="758" t="s">
        <v>3707</v>
      </c>
      <c r="J446" s="758" t="s">
        <v>3708</v>
      </c>
      <c r="K446" s="758" t="s">
        <v>3709</v>
      </c>
      <c r="L446" s="758" t="s">
        <v>3589</v>
      </c>
      <c r="M446" s="848">
        <v>33797</v>
      </c>
      <c r="N446" s="758" t="s">
        <v>527</v>
      </c>
      <c r="O446" s="848">
        <v>43020</v>
      </c>
      <c r="P446" s="758" t="s">
        <v>3572</v>
      </c>
    </row>
    <row r="447" spans="1:16" x14ac:dyDescent="0.25">
      <c r="A447" s="758">
        <v>10</v>
      </c>
      <c r="B447" s="760">
        <v>849115003</v>
      </c>
      <c r="C447" s="758" t="s">
        <v>2930</v>
      </c>
      <c r="D447" s="759" t="s">
        <v>527</v>
      </c>
      <c r="E447" s="848">
        <v>43064</v>
      </c>
      <c r="F447" s="848">
        <f t="shared" si="7"/>
        <v>43034</v>
      </c>
      <c r="I447" s="758" t="s">
        <v>3710</v>
      </c>
      <c r="J447" s="758" t="s">
        <v>3711</v>
      </c>
      <c r="K447" s="758" t="s">
        <v>3712</v>
      </c>
      <c r="L447" s="758" t="s">
        <v>3571</v>
      </c>
      <c r="M447" s="848">
        <v>31619</v>
      </c>
      <c r="N447" s="758" t="s">
        <v>527</v>
      </c>
      <c r="O447" s="848">
        <v>43034</v>
      </c>
      <c r="P447" s="758" t="s">
        <v>3572</v>
      </c>
    </row>
    <row r="448" spans="1:16" x14ac:dyDescent="0.25">
      <c r="A448" s="758">
        <v>11</v>
      </c>
      <c r="B448" s="760">
        <v>849214012</v>
      </c>
      <c r="C448" s="758" t="s">
        <v>2900</v>
      </c>
      <c r="D448" s="759" t="s">
        <v>1110</v>
      </c>
      <c r="E448" s="848">
        <v>43064</v>
      </c>
      <c r="F448" s="848">
        <f t="shared" si="7"/>
        <v>42835</v>
      </c>
      <c r="I448" s="758" t="s">
        <v>3713</v>
      </c>
      <c r="J448" s="758" t="s">
        <v>3714</v>
      </c>
      <c r="K448" s="758" t="s">
        <v>3715</v>
      </c>
      <c r="L448" s="758" t="s">
        <v>3571</v>
      </c>
      <c r="M448" s="848">
        <v>25517</v>
      </c>
      <c r="N448" s="758" t="s">
        <v>1110</v>
      </c>
      <c r="O448" s="848">
        <v>42836</v>
      </c>
      <c r="P448" s="758" t="s">
        <v>3572</v>
      </c>
    </row>
    <row r="449" spans="1:16" x14ac:dyDescent="0.25">
      <c r="A449" s="758">
        <v>12</v>
      </c>
      <c r="B449" s="760">
        <v>849214013</v>
      </c>
      <c r="C449" s="758" t="s">
        <v>2901</v>
      </c>
      <c r="D449" s="759" t="s">
        <v>1110</v>
      </c>
      <c r="E449" s="848">
        <v>43064</v>
      </c>
      <c r="F449" s="848">
        <f t="shared" si="7"/>
        <v>42852</v>
      </c>
      <c r="I449" s="758" t="s">
        <v>3716</v>
      </c>
      <c r="J449" s="758" t="s">
        <v>3717</v>
      </c>
      <c r="K449" s="758" t="s">
        <v>3718</v>
      </c>
      <c r="L449" s="758" t="s">
        <v>3706</v>
      </c>
      <c r="M449" s="848">
        <v>32725</v>
      </c>
      <c r="N449" s="758" t="s">
        <v>1110</v>
      </c>
      <c r="O449" s="848">
        <v>42852</v>
      </c>
      <c r="P449" s="758" t="s">
        <v>3572</v>
      </c>
    </row>
    <row r="450" spans="1:16" x14ac:dyDescent="0.25">
      <c r="A450" s="758">
        <v>13</v>
      </c>
      <c r="B450" s="760">
        <v>849214008</v>
      </c>
      <c r="C450" s="758" t="s">
        <v>1259</v>
      </c>
      <c r="D450" s="759" t="s">
        <v>1110</v>
      </c>
      <c r="E450" s="848">
        <v>43064</v>
      </c>
      <c r="F450" s="848">
        <f t="shared" si="7"/>
        <v>42884</v>
      </c>
      <c r="I450" s="758" t="s">
        <v>3719</v>
      </c>
      <c r="J450" s="758" t="s">
        <v>3720</v>
      </c>
      <c r="K450" s="758" t="s">
        <v>3721</v>
      </c>
      <c r="L450" s="758" t="s">
        <v>3641</v>
      </c>
      <c r="M450" s="848">
        <v>31952</v>
      </c>
      <c r="N450" s="758" t="s">
        <v>1110</v>
      </c>
      <c r="O450" s="848">
        <v>42884</v>
      </c>
      <c r="P450" s="758" t="s">
        <v>3572</v>
      </c>
    </row>
    <row r="451" spans="1:16" x14ac:dyDescent="0.25">
      <c r="A451" s="758">
        <v>14</v>
      </c>
      <c r="B451" s="760">
        <v>849213009</v>
      </c>
      <c r="C451" s="758" t="s">
        <v>2909</v>
      </c>
      <c r="D451" s="759" t="s">
        <v>1110</v>
      </c>
      <c r="E451" s="848">
        <v>43064</v>
      </c>
      <c r="F451" s="848">
        <f t="shared" si="7"/>
        <v>42936</v>
      </c>
      <c r="I451" s="758" t="s">
        <v>3722</v>
      </c>
      <c r="J451" s="758" t="s">
        <v>3723</v>
      </c>
      <c r="K451" s="758" t="s">
        <v>3724</v>
      </c>
      <c r="L451" s="758" t="s">
        <v>3571</v>
      </c>
      <c r="M451" s="848">
        <v>32337</v>
      </c>
      <c r="N451" s="758" t="s">
        <v>1110</v>
      </c>
      <c r="O451" s="848">
        <v>42936</v>
      </c>
      <c r="P451" s="758" t="s">
        <v>3572</v>
      </c>
    </row>
    <row r="452" spans="1:16" x14ac:dyDescent="0.25">
      <c r="A452" s="758">
        <v>15</v>
      </c>
      <c r="B452" s="760">
        <v>849213007</v>
      </c>
      <c r="C452" s="758" t="s">
        <v>2926</v>
      </c>
      <c r="D452" s="759" t="s">
        <v>1110</v>
      </c>
      <c r="E452" s="848">
        <v>43064</v>
      </c>
      <c r="F452" s="848">
        <f t="shared" si="7"/>
        <v>43026</v>
      </c>
      <c r="I452" s="758" t="s">
        <v>3725</v>
      </c>
      <c r="J452" s="758" t="s">
        <v>3726</v>
      </c>
      <c r="K452" s="758" t="s">
        <v>3727</v>
      </c>
      <c r="L452" s="758" t="s">
        <v>3571</v>
      </c>
      <c r="M452" s="848">
        <v>33077</v>
      </c>
      <c r="N452" s="758" t="s">
        <v>1110</v>
      </c>
      <c r="O452" s="848">
        <v>43026</v>
      </c>
      <c r="P452" s="758" t="s">
        <v>3572</v>
      </c>
    </row>
    <row r="453" spans="1:16" x14ac:dyDescent="0.25">
      <c r="A453" s="758">
        <v>16</v>
      </c>
      <c r="B453" s="760">
        <v>849214005</v>
      </c>
      <c r="C453" s="758" t="s">
        <v>2927</v>
      </c>
      <c r="D453" s="759" t="s">
        <v>1110</v>
      </c>
      <c r="E453" s="848">
        <v>43064</v>
      </c>
      <c r="F453" s="848">
        <f t="shared" si="7"/>
        <v>43027</v>
      </c>
      <c r="I453" s="758" t="s">
        <v>3728</v>
      </c>
      <c r="J453" s="758" t="s">
        <v>3729</v>
      </c>
      <c r="K453" s="758" t="s">
        <v>3730</v>
      </c>
      <c r="L453" s="758" t="s">
        <v>3571</v>
      </c>
      <c r="M453" s="848">
        <v>31713</v>
      </c>
      <c r="N453" s="758" t="s">
        <v>1110</v>
      </c>
      <c r="O453" s="848">
        <v>43027</v>
      </c>
      <c r="P453" s="758" t="s">
        <v>3572</v>
      </c>
    </row>
    <row r="454" spans="1:16" x14ac:dyDescent="0.25">
      <c r="A454" s="758">
        <v>17</v>
      </c>
      <c r="B454" s="760">
        <v>849315018</v>
      </c>
      <c r="C454" s="758" t="s">
        <v>2913</v>
      </c>
      <c r="D454" s="759" t="s">
        <v>1328</v>
      </c>
      <c r="E454" s="848">
        <v>43064</v>
      </c>
      <c r="F454" s="848">
        <f t="shared" si="7"/>
        <v>42943</v>
      </c>
      <c r="I454" s="758" t="s">
        <v>3731</v>
      </c>
      <c r="J454" s="758" t="s">
        <v>3732</v>
      </c>
      <c r="K454" s="758" t="s">
        <v>3733</v>
      </c>
      <c r="L454" s="758" t="s">
        <v>3734</v>
      </c>
      <c r="M454" s="848">
        <v>33930</v>
      </c>
      <c r="N454" s="758" t="s">
        <v>1328</v>
      </c>
      <c r="O454" s="848">
        <v>42943</v>
      </c>
      <c r="P454" s="758" t="s">
        <v>3572</v>
      </c>
    </row>
    <row r="455" spans="1:16" x14ac:dyDescent="0.25">
      <c r="A455" s="758">
        <v>18</v>
      </c>
      <c r="B455" s="760">
        <v>849315007</v>
      </c>
      <c r="C455" s="758" t="s">
        <v>2914</v>
      </c>
      <c r="D455" s="759" t="s">
        <v>1328</v>
      </c>
      <c r="E455" s="848">
        <v>43064</v>
      </c>
      <c r="F455" s="848">
        <f t="shared" si="7"/>
        <v>42943</v>
      </c>
      <c r="I455" s="758" t="s">
        <v>3735</v>
      </c>
      <c r="J455" s="758" t="s">
        <v>3736</v>
      </c>
      <c r="K455" s="758" t="s">
        <v>3737</v>
      </c>
      <c r="L455" s="758" t="s">
        <v>3641</v>
      </c>
      <c r="M455" s="848">
        <v>33640</v>
      </c>
      <c r="N455" s="758" t="s">
        <v>1328</v>
      </c>
      <c r="O455" s="848">
        <v>42943</v>
      </c>
      <c r="P455" s="758" t="s">
        <v>3572</v>
      </c>
    </row>
    <row r="456" spans="1:16" x14ac:dyDescent="0.25">
      <c r="A456" s="758">
        <v>19</v>
      </c>
      <c r="B456" s="760">
        <v>849315021</v>
      </c>
      <c r="C456" s="758" t="s">
        <v>1708</v>
      </c>
      <c r="D456" s="759" t="s">
        <v>1328</v>
      </c>
      <c r="E456" s="848">
        <v>43064</v>
      </c>
      <c r="F456" s="848">
        <f t="shared" si="7"/>
        <v>43024</v>
      </c>
      <c r="I456" s="758" t="s">
        <v>3738</v>
      </c>
      <c r="J456" s="758" t="s">
        <v>3739</v>
      </c>
      <c r="K456" s="758" t="s">
        <v>3740</v>
      </c>
      <c r="L456" s="758" t="s">
        <v>3706</v>
      </c>
      <c r="M456" s="848">
        <v>33282</v>
      </c>
      <c r="N456" s="758" t="s">
        <v>1328</v>
      </c>
      <c r="O456" s="848">
        <v>43024</v>
      </c>
      <c r="P456" s="758" t="s">
        <v>3572</v>
      </c>
    </row>
    <row r="457" spans="1:16" x14ac:dyDescent="0.25">
      <c r="A457" s="758">
        <v>20</v>
      </c>
      <c r="B457" s="760">
        <v>849315024</v>
      </c>
      <c r="C457" s="758" t="s">
        <v>2925</v>
      </c>
      <c r="D457" s="759" t="s">
        <v>1328</v>
      </c>
      <c r="E457" s="848">
        <v>43064</v>
      </c>
      <c r="F457" s="848">
        <f t="shared" si="7"/>
        <v>43024</v>
      </c>
      <c r="I457" s="758" t="s">
        <v>3741</v>
      </c>
      <c r="J457" s="758" t="s">
        <v>3742</v>
      </c>
      <c r="K457" s="758" t="s">
        <v>3743</v>
      </c>
      <c r="L457" s="758" t="s">
        <v>3571</v>
      </c>
      <c r="M457" s="848">
        <v>33561</v>
      </c>
      <c r="N457" s="758" t="s">
        <v>1328</v>
      </c>
      <c r="O457" s="848">
        <v>43024</v>
      </c>
      <c r="P457" s="758" t="s">
        <v>3572</v>
      </c>
    </row>
    <row r="458" spans="1:16" x14ac:dyDescent="0.25">
      <c r="A458" s="758">
        <v>21</v>
      </c>
      <c r="B458" s="760">
        <v>849315003</v>
      </c>
      <c r="C458" s="758" t="s">
        <v>2928</v>
      </c>
      <c r="D458" s="759" t="s">
        <v>1328</v>
      </c>
      <c r="E458" s="848">
        <v>43064</v>
      </c>
      <c r="F458" s="848">
        <f t="shared" si="7"/>
        <v>43031</v>
      </c>
      <c r="I458" s="758" t="s">
        <v>3744</v>
      </c>
      <c r="J458" s="758" t="s">
        <v>3745</v>
      </c>
      <c r="K458" s="758" t="s">
        <v>3746</v>
      </c>
      <c r="L458" s="758" t="s">
        <v>3589</v>
      </c>
      <c r="M458" s="848">
        <v>34267</v>
      </c>
      <c r="N458" s="758" t="s">
        <v>1328</v>
      </c>
      <c r="O458" s="848">
        <v>43031</v>
      </c>
      <c r="P458" s="758" t="s">
        <v>3572</v>
      </c>
    </row>
    <row r="459" spans="1:16" x14ac:dyDescent="0.25">
      <c r="A459" s="758">
        <v>22</v>
      </c>
      <c r="B459" s="760">
        <v>849315020</v>
      </c>
      <c r="C459" s="758" t="s">
        <v>2929</v>
      </c>
      <c r="D459" s="759" t="s">
        <v>1328</v>
      </c>
      <c r="E459" s="848">
        <v>43064</v>
      </c>
      <c r="F459" s="848">
        <f t="shared" si="7"/>
        <v>43034</v>
      </c>
      <c r="I459" s="758" t="s">
        <v>3747</v>
      </c>
      <c r="J459" s="758" t="s">
        <v>3748</v>
      </c>
      <c r="K459" s="758" t="s">
        <v>3749</v>
      </c>
      <c r="L459" s="758" t="s">
        <v>3571</v>
      </c>
      <c r="M459" s="848">
        <v>31714</v>
      </c>
      <c r="N459" s="758" t="s">
        <v>1328</v>
      </c>
      <c r="O459" s="848">
        <v>43034</v>
      </c>
      <c r="P459" s="758" t="s">
        <v>3572</v>
      </c>
    </row>
    <row r="460" spans="1:16" x14ac:dyDescent="0.25">
      <c r="A460" s="758">
        <v>23</v>
      </c>
      <c r="B460" s="760">
        <v>849415004</v>
      </c>
      <c r="C460" s="758" t="s">
        <v>3750</v>
      </c>
      <c r="D460" s="759" t="s">
        <v>1665</v>
      </c>
      <c r="E460" s="848">
        <v>43064</v>
      </c>
      <c r="F460" s="848">
        <f t="shared" si="7"/>
        <v>43006</v>
      </c>
      <c r="I460" s="758" t="s">
        <v>3751</v>
      </c>
      <c r="J460" s="758" t="s">
        <v>3752</v>
      </c>
      <c r="K460" s="758" t="s">
        <v>3753</v>
      </c>
      <c r="L460" s="758" t="s">
        <v>3571</v>
      </c>
      <c r="M460" s="848">
        <v>31400</v>
      </c>
      <c r="N460" s="758" t="s">
        <v>1665</v>
      </c>
      <c r="O460" s="848">
        <v>43006</v>
      </c>
      <c r="P460" s="758" t="s">
        <v>3572</v>
      </c>
    </row>
    <row r="461" spans="1:16" x14ac:dyDescent="0.25">
      <c r="A461" s="758">
        <v>24</v>
      </c>
      <c r="B461" s="760">
        <v>839115010</v>
      </c>
      <c r="C461" s="758" t="s">
        <v>2908</v>
      </c>
      <c r="D461" s="759" t="s">
        <v>848</v>
      </c>
      <c r="E461" s="848">
        <v>43064</v>
      </c>
      <c r="F461" s="848">
        <f t="shared" si="7"/>
        <v>42935</v>
      </c>
      <c r="I461" s="758" t="s">
        <v>3754</v>
      </c>
      <c r="J461" s="758" t="s">
        <v>3755</v>
      </c>
      <c r="K461" s="758" t="s">
        <v>3756</v>
      </c>
      <c r="L461" s="758" t="s">
        <v>3571</v>
      </c>
      <c r="M461" s="848">
        <v>33657</v>
      </c>
      <c r="N461" s="758" t="s">
        <v>848</v>
      </c>
      <c r="O461" s="848">
        <v>42935</v>
      </c>
      <c r="P461" s="758" t="s">
        <v>3622</v>
      </c>
    </row>
    <row r="462" spans="1:16" x14ac:dyDescent="0.25">
      <c r="A462" s="758">
        <v>25</v>
      </c>
      <c r="B462" s="760">
        <v>839115001</v>
      </c>
      <c r="C462" s="758" t="s">
        <v>2911</v>
      </c>
      <c r="D462" s="759" t="s">
        <v>848</v>
      </c>
      <c r="E462" s="848">
        <v>43064</v>
      </c>
      <c r="F462" s="848">
        <f t="shared" si="6"/>
        <v>42943</v>
      </c>
      <c r="I462" s="758" t="s">
        <v>3757</v>
      </c>
      <c r="J462" s="758" t="s">
        <v>3758</v>
      </c>
      <c r="K462" s="758" t="s">
        <v>3759</v>
      </c>
      <c r="L462" s="758" t="s">
        <v>3589</v>
      </c>
      <c r="M462" s="848">
        <v>33508</v>
      </c>
      <c r="N462" s="758" t="s">
        <v>848</v>
      </c>
      <c r="O462" s="848">
        <v>42943</v>
      </c>
      <c r="P462" s="758" t="s">
        <v>3622</v>
      </c>
    </row>
    <row r="463" spans="1:16" x14ac:dyDescent="0.25">
      <c r="A463" s="758">
        <v>26</v>
      </c>
      <c r="B463" s="760">
        <v>839115012</v>
      </c>
      <c r="C463" s="758" t="s">
        <v>2912</v>
      </c>
      <c r="D463" s="759" t="s">
        <v>848</v>
      </c>
      <c r="E463" s="848">
        <v>43064</v>
      </c>
      <c r="F463" s="848">
        <f>IFERROR(VLOOKUP(B463,Tlus,3,FALSE),"   ")</f>
        <v>42943</v>
      </c>
      <c r="I463" s="758" t="s">
        <v>3760</v>
      </c>
      <c r="J463" s="758" t="s">
        <v>3761</v>
      </c>
      <c r="K463" s="758" t="s">
        <v>3762</v>
      </c>
      <c r="L463" s="758" t="s">
        <v>3763</v>
      </c>
      <c r="M463" s="848">
        <v>27190</v>
      </c>
      <c r="N463" s="758" t="s">
        <v>848</v>
      </c>
      <c r="O463" s="848">
        <v>42943</v>
      </c>
      <c r="P463" s="758" t="s">
        <v>3622</v>
      </c>
    </row>
    <row r="464" spans="1:16" x14ac:dyDescent="0.25">
      <c r="A464" s="758">
        <v>27</v>
      </c>
      <c r="B464" s="760">
        <v>839115005</v>
      </c>
      <c r="C464" s="758" t="s">
        <v>2915</v>
      </c>
      <c r="D464" s="759" t="s">
        <v>848</v>
      </c>
      <c r="E464" s="848">
        <v>43064</v>
      </c>
      <c r="F464" s="848">
        <f t="shared" si="6"/>
        <v>42949</v>
      </c>
      <c r="I464" s="758" t="s">
        <v>3764</v>
      </c>
      <c r="J464" s="758" t="s">
        <v>3765</v>
      </c>
      <c r="K464" s="758" t="s">
        <v>3766</v>
      </c>
      <c r="L464" s="758" t="s">
        <v>3571</v>
      </c>
      <c r="M464" s="848">
        <v>33777</v>
      </c>
      <c r="N464" s="758" t="s">
        <v>848</v>
      </c>
      <c r="O464" s="848">
        <v>42949</v>
      </c>
      <c r="P464" s="758" t="s">
        <v>3622</v>
      </c>
    </row>
    <row r="465" spans="1:16" x14ac:dyDescent="0.25">
      <c r="A465" s="758">
        <v>28</v>
      </c>
      <c r="B465" s="760">
        <v>839115008</v>
      </c>
      <c r="C465" s="758" t="s">
        <v>3767</v>
      </c>
      <c r="D465" s="759" t="s">
        <v>848</v>
      </c>
      <c r="E465" s="848">
        <v>43064</v>
      </c>
      <c r="F465" s="848">
        <f t="shared" si="6"/>
        <v>42984</v>
      </c>
      <c r="I465" s="758" t="s">
        <v>3768</v>
      </c>
      <c r="J465" s="758" t="s">
        <v>3769</v>
      </c>
      <c r="K465" s="758" t="s">
        <v>3770</v>
      </c>
      <c r="L465" s="758" t="s">
        <v>3641</v>
      </c>
      <c r="M465" s="848">
        <v>33644</v>
      </c>
      <c r="N465" s="758" t="s">
        <v>848</v>
      </c>
      <c r="O465" s="848">
        <v>42984</v>
      </c>
      <c r="P465" s="758" t="s">
        <v>3622</v>
      </c>
    </row>
    <row r="466" spans="1:16" x14ac:dyDescent="0.25">
      <c r="A466" s="758">
        <v>29</v>
      </c>
      <c r="B466" s="760">
        <v>839215004</v>
      </c>
      <c r="C466" s="758" t="s">
        <v>2910</v>
      </c>
      <c r="D466" s="759" t="s">
        <v>1195</v>
      </c>
      <c r="E466" s="848">
        <v>43064</v>
      </c>
      <c r="F466" s="848">
        <f>IFERROR(VLOOKUP(B466,Tlus,3,FALSE),"   ")</f>
        <v>42940</v>
      </c>
      <c r="I466" s="758" t="s">
        <v>3771</v>
      </c>
      <c r="J466" s="758" t="s">
        <v>3772</v>
      </c>
      <c r="K466" s="758" t="s">
        <v>3773</v>
      </c>
      <c r="L466" s="758" t="s">
        <v>3589</v>
      </c>
      <c r="M466" s="848">
        <v>33338</v>
      </c>
      <c r="N466" s="758" t="s">
        <v>1195</v>
      </c>
      <c r="O466" s="848">
        <v>42940</v>
      </c>
      <c r="P466" s="758" t="s">
        <v>3642</v>
      </c>
    </row>
    <row r="467" spans="1:16" x14ac:dyDescent="0.25">
      <c r="A467" s="758">
        <v>30</v>
      </c>
      <c r="B467" s="760">
        <v>839134009</v>
      </c>
      <c r="C467" s="758" t="s">
        <v>2916</v>
      </c>
      <c r="D467" s="759" t="s">
        <v>1195</v>
      </c>
      <c r="E467" s="848">
        <v>43064</v>
      </c>
      <c r="F467" s="848">
        <f t="shared" si="6"/>
        <v>42970</v>
      </c>
      <c r="I467" s="758" t="s">
        <v>3774</v>
      </c>
      <c r="J467" s="758" t="s">
        <v>3775</v>
      </c>
      <c r="K467" s="758" t="s">
        <v>3776</v>
      </c>
      <c r="L467" s="758" t="s">
        <v>3777</v>
      </c>
      <c r="M467" s="848">
        <v>29769</v>
      </c>
      <c r="N467" s="758" t="s">
        <v>1195</v>
      </c>
      <c r="O467" s="848">
        <v>42970</v>
      </c>
      <c r="P467" s="758" t="s">
        <v>3642</v>
      </c>
    </row>
    <row r="468" spans="1:16" x14ac:dyDescent="0.25">
      <c r="A468" s="758">
        <v>31</v>
      </c>
      <c r="B468" s="760">
        <v>839215001</v>
      </c>
      <c r="C468" s="758" t="s">
        <v>2917</v>
      </c>
      <c r="D468" s="759" t="s">
        <v>1195</v>
      </c>
      <c r="E468" s="848">
        <v>43064</v>
      </c>
      <c r="F468" s="848">
        <f>IFERROR(VLOOKUP(B468,Tlus,3,FALSE),"   ")</f>
        <v>42978</v>
      </c>
      <c r="I468" s="758" t="s">
        <v>3778</v>
      </c>
      <c r="J468" s="758" t="s">
        <v>3779</v>
      </c>
      <c r="K468" s="758" t="s">
        <v>3780</v>
      </c>
      <c r="L468" s="758" t="s">
        <v>3589</v>
      </c>
      <c r="M468" s="848">
        <v>33861</v>
      </c>
      <c r="N468" s="758" t="s">
        <v>1195</v>
      </c>
      <c r="O468" s="848">
        <v>42978</v>
      </c>
      <c r="P468" s="758" t="s">
        <v>3642</v>
      </c>
    </row>
    <row r="469" spans="1:16" x14ac:dyDescent="0.25">
      <c r="A469" s="758">
        <v>32</v>
      </c>
      <c r="B469" s="760">
        <v>839134016</v>
      </c>
      <c r="C469" s="758" t="s">
        <v>2919</v>
      </c>
      <c r="D469" s="759" t="s">
        <v>1195</v>
      </c>
      <c r="E469" s="848">
        <v>43064</v>
      </c>
      <c r="F469" s="848">
        <f t="shared" si="6"/>
        <v>42984</v>
      </c>
      <c r="I469" s="758" t="s">
        <v>3781</v>
      </c>
      <c r="J469" s="758" t="s">
        <v>3782</v>
      </c>
      <c r="K469" s="758" t="s">
        <v>3783</v>
      </c>
      <c r="L469" s="758" t="s">
        <v>3571</v>
      </c>
      <c r="M469" s="848">
        <v>31805</v>
      </c>
      <c r="N469" s="758" t="s">
        <v>1195</v>
      </c>
      <c r="O469" s="848">
        <v>42984</v>
      </c>
      <c r="P469" s="758" t="s">
        <v>3642</v>
      </c>
    </row>
    <row r="470" spans="1:16" x14ac:dyDescent="0.25">
      <c r="A470" s="758">
        <v>33</v>
      </c>
      <c r="B470" s="760">
        <v>839215006</v>
      </c>
      <c r="C470" s="758" t="s">
        <v>2924</v>
      </c>
      <c r="D470" s="759" t="s">
        <v>1195</v>
      </c>
      <c r="E470" s="848">
        <v>43064</v>
      </c>
      <c r="F470" s="848">
        <f>IFERROR(VLOOKUP(B470,Tlus,3,FALSE),"   ")</f>
        <v>43020</v>
      </c>
      <c r="I470" s="758" t="s">
        <v>3784</v>
      </c>
      <c r="J470" s="758" t="s">
        <v>3785</v>
      </c>
      <c r="K470" s="758" t="s">
        <v>3786</v>
      </c>
      <c r="L470" s="758" t="s">
        <v>3641</v>
      </c>
      <c r="M470" s="848">
        <v>32967</v>
      </c>
      <c r="N470" s="758" t="s">
        <v>1195</v>
      </c>
      <c r="O470" s="848">
        <v>43020</v>
      </c>
      <c r="P470" s="758" t="s">
        <v>3642</v>
      </c>
    </row>
    <row r="471" spans="1:16" x14ac:dyDescent="0.25">
      <c r="B471" s="760"/>
      <c r="F471" s="848"/>
    </row>
    <row r="472" spans="1:16" x14ac:dyDescent="0.25">
      <c r="F472" s="848" t="str">
        <f t="shared" ref="F472:F499" si="8">IFERROR(VLOOKUP(B472,Tlus,3,FALSE),"   ")</f>
        <v xml:space="preserve">   </v>
      </c>
    </row>
    <row r="473" spans="1:16" x14ac:dyDescent="0.25">
      <c r="A473" s="758">
        <v>1</v>
      </c>
      <c r="B473" s="760">
        <v>849114036</v>
      </c>
      <c r="C473" s="758" t="s">
        <v>3787</v>
      </c>
      <c r="D473" s="759" t="s">
        <v>527</v>
      </c>
      <c r="E473" s="848">
        <v>43218</v>
      </c>
      <c r="F473" s="848">
        <f t="shared" ref="F473:F497" si="9">IFERROR(VLOOKUP(B473,Tlus,3,FALSE),"   ")</f>
        <v>43042</v>
      </c>
      <c r="I473" s="758" t="s">
        <v>3788</v>
      </c>
      <c r="J473" s="758" t="s">
        <v>3789</v>
      </c>
      <c r="K473" s="758" t="s">
        <v>3790</v>
      </c>
      <c r="L473" s="758" t="s">
        <v>3571</v>
      </c>
      <c r="M473" s="848">
        <v>29153</v>
      </c>
      <c r="N473" s="758" t="s">
        <v>527</v>
      </c>
      <c r="O473" s="848">
        <v>43042</v>
      </c>
      <c r="P473" s="758" t="s">
        <v>3572</v>
      </c>
    </row>
    <row r="474" spans="1:16" x14ac:dyDescent="0.25">
      <c r="A474" s="758">
        <v>2</v>
      </c>
      <c r="B474" s="760">
        <v>849113071</v>
      </c>
      <c r="C474" s="758" t="s">
        <v>3791</v>
      </c>
      <c r="D474" s="759" t="s">
        <v>527</v>
      </c>
      <c r="E474" s="848">
        <v>43218</v>
      </c>
      <c r="F474" s="848">
        <f t="shared" si="9"/>
        <v>43055</v>
      </c>
      <c r="I474" s="758" t="s">
        <v>3792</v>
      </c>
      <c r="J474" s="758" t="s">
        <v>3793</v>
      </c>
      <c r="K474" s="758" t="s">
        <v>3794</v>
      </c>
      <c r="L474" s="758" t="s">
        <v>3641</v>
      </c>
      <c r="M474" s="848">
        <v>30160</v>
      </c>
      <c r="N474" s="758" t="s">
        <v>527</v>
      </c>
      <c r="O474" s="848">
        <v>43055</v>
      </c>
      <c r="P474" s="758" t="s">
        <v>3572</v>
      </c>
    </row>
    <row r="475" spans="1:16" x14ac:dyDescent="0.25">
      <c r="A475" s="758">
        <v>3</v>
      </c>
      <c r="B475" s="760">
        <v>849115018</v>
      </c>
      <c r="C475" s="758" t="s">
        <v>1496</v>
      </c>
      <c r="D475" s="759" t="s">
        <v>527</v>
      </c>
      <c r="E475" s="848">
        <v>43218</v>
      </c>
      <c r="F475" s="848">
        <f t="shared" si="9"/>
        <v>43062</v>
      </c>
      <c r="I475" s="758" t="s">
        <v>3795</v>
      </c>
      <c r="J475" s="758" t="s">
        <v>3796</v>
      </c>
      <c r="K475" s="758" t="s">
        <v>3797</v>
      </c>
      <c r="L475" s="758" t="s">
        <v>3571</v>
      </c>
      <c r="M475" s="848">
        <v>27142</v>
      </c>
      <c r="N475" s="758" t="s">
        <v>527</v>
      </c>
      <c r="O475" s="848">
        <v>43062</v>
      </c>
      <c r="P475" s="758" t="s">
        <v>3572</v>
      </c>
    </row>
    <row r="476" spans="1:16" x14ac:dyDescent="0.25">
      <c r="A476" s="758">
        <v>4</v>
      </c>
      <c r="B476" s="760">
        <v>849114037</v>
      </c>
      <c r="C476" s="758" t="s">
        <v>3798</v>
      </c>
      <c r="D476" s="759" t="s">
        <v>527</v>
      </c>
      <c r="E476" s="848">
        <v>43218</v>
      </c>
      <c r="F476" s="848">
        <f t="shared" si="9"/>
        <v>43076</v>
      </c>
      <c r="I476" s="758" t="s">
        <v>3799</v>
      </c>
      <c r="J476" s="758" t="s">
        <v>3800</v>
      </c>
      <c r="K476" s="758" t="s">
        <v>3801</v>
      </c>
      <c r="L476" s="758" t="s">
        <v>3576</v>
      </c>
      <c r="M476" s="848">
        <v>31583</v>
      </c>
      <c r="N476" s="758" t="s">
        <v>527</v>
      </c>
      <c r="O476" s="848">
        <v>43076</v>
      </c>
      <c r="P476" s="758" t="s">
        <v>3572</v>
      </c>
    </row>
    <row r="477" spans="1:16" x14ac:dyDescent="0.25">
      <c r="A477" s="758">
        <v>5</v>
      </c>
      <c r="B477" s="760">
        <v>849115009</v>
      </c>
      <c r="C477" s="758" t="s">
        <v>3802</v>
      </c>
      <c r="D477" s="759" t="s">
        <v>527</v>
      </c>
      <c r="E477" s="848">
        <v>43218</v>
      </c>
      <c r="F477" s="848">
        <f t="shared" si="9"/>
        <v>43076</v>
      </c>
      <c r="I477" s="758" t="s">
        <v>3803</v>
      </c>
      <c r="J477" s="758" t="s">
        <v>3804</v>
      </c>
      <c r="K477" s="758" t="s">
        <v>3805</v>
      </c>
      <c r="L477" s="758" t="s">
        <v>3806</v>
      </c>
      <c r="M477" s="848">
        <v>31821</v>
      </c>
      <c r="N477" s="758" t="s">
        <v>527</v>
      </c>
      <c r="O477" s="848">
        <v>43076</v>
      </c>
      <c r="P477" s="758" t="s">
        <v>3572</v>
      </c>
    </row>
    <row r="478" spans="1:16" x14ac:dyDescent="0.25">
      <c r="A478" s="758">
        <v>6</v>
      </c>
      <c r="B478" s="760">
        <v>849115002</v>
      </c>
      <c r="C478" s="758" t="s">
        <v>3807</v>
      </c>
      <c r="D478" s="759" t="s">
        <v>527</v>
      </c>
      <c r="E478" s="848">
        <v>43218</v>
      </c>
      <c r="F478" s="848">
        <f t="shared" si="9"/>
        <v>43084</v>
      </c>
      <c r="I478" s="758" t="s">
        <v>3808</v>
      </c>
      <c r="J478" s="758" t="s">
        <v>3809</v>
      </c>
      <c r="K478" s="758" t="s">
        <v>3810</v>
      </c>
      <c r="L478" s="758" t="s">
        <v>3641</v>
      </c>
      <c r="M478" s="848">
        <v>32704</v>
      </c>
      <c r="N478" s="758" t="s">
        <v>527</v>
      </c>
      <c r="O478" s="848">
        <v>43084</v>
      </c>
      <c r="P478" s="758" t="s">
        <v>3572</v>
      </c>
    </row>
    <row r="479" spans="1:16" x14ac:dyDescent="0.25">
      <c r="A479" s="758">
        <v>7</v>
      </c>
      <c r="B479" s="760">
        <v>849114038</v>
      </c>
      <c r="C479" s="758" t="s">
        <v>2997</v>
      </c>
      <c r="D479" s="759" t="s">
        <v>527</v>
      </c>
      <c r="E479" s="848">
        <v>43218</v>
      </c>
      <c r="F479" s="848">
        <f t="shared" si="9"/>
        <v>43090</v>
      </c>
      <c r="I479" s="758" t="s">
        <v>3811</v>
      </c>
      <c r="J479" s="758" t="s">
        <v>3812</v>
      </c>
      <c r="K479" s="758" t="s">
        <v>3813</v>
      </c>
      <c r="L479" s="758" t="s">
        <v>3571</v>
      </c>
      <c r="M479" s="848">
        <v>27290</v>
      </c>
      <c r="N479" s="758" t="s">
        <v>527</v>
      </c>
      <c r="O479" s="848">
        <v>43090</v>
      </c>
      <c r="P479" s="758" t="s">
        <v>3572</v>
      </c>
    </row>
    <row r="480" spans="1:16" x14ac:dyDescent="0.25">
      <c r="A480" s="758">
        <v>8</v>
      </c>
      <c r="B480" s="760">
        <v>849115006</v>
      </c>
      <c r="C480" s="758" t="s">
        <v>3167</v>
      </c>
      <c r="D480" s="759" t="s">
        <v>527</v>
      </c>
      <c r="E480" s="848">
        <v>43218</v>
      </c>
      <c r="F480" s="848">
        <f t="shared" si="9"/>
        <v>43104</v>
      </c>
      <c r="I480" s="758" t="s">
        <v>3814</v>
      </c>
      <c r="J480" s="758" t="s">
        <v>3815</v>
      </c>
      <c r="K480" s="758" t="s">
        <v>3816</v>
      </c>
      <c r="L480" s="758" t="s">
        <v>3641</v>
      </c>
      <c r="M480" s="848">
        <v>33658</v>
      </c>
      <c r="N480" s="758" t="s">
        <v>527</v>
      </c>
      <c r="O480" s="848">
        <v>43104</v>
      </c>
      <c r="P480" s="758" t="s">
        <v>3572</v>
      </c>
    </row>
    <row r="481" spans="1:16" x14ac:dyDescent="0.25">
      <c r="A481" s="758">
        <v>9</v>
      </c>
      <c r="B481" s="760">
        <v>849115005</v>
      </c>
      <c r="C481" s="758" t="s">
        <v>3817</v>
      </c>
      <c r="D481" s="759" t="s">
        <v>527</v>
      </c>
      <c r="E481" s="848">
        <v>43218</v>
      </c>
      <c r="F481" s="848">
        <f t="shared" si="9"/>
        <v>43103</v>
      </c>
      <c r="I481" s="758" t="s">
        <v>3818</v>
      </c>
      <c r="J481" s="758" t="s">
        <v>3819</v>
      </c>
      <c r="K481" s="758" t="s">
        <v>3820</v>
      </c>
      <c r="L481" s="758" t="s">
        <v>3571</v>
      </c>
      <c r="M481" s="848">
        <v>33329</v>
      </c>
      <c r="N481" s="758" t="s">
        <v>527</v>
      </c>
      <c r="O481" s="848">
        <v>43110</v>
      </c>
      <c r="P481" s="758" t="s">
        <v>3572</v>
      </c>
    </row>
    <row r="482" spans="1:16" x14ac:dyDescent="0.25">
      <c r="A482" s="758">
        <v>10</v>
      </c>
      <c r="B482" s="760">
        <v>849315028</v>
      </c>
      <c r="C482" s="758" t="s">
        <v>3168</v>
      </c>
      <c r="D482" s="759" t="s">
        <v>1328</v>
      </c>
      <c r="E482" s="848">
        <v>43218</v>
      </c>
      <c r="F482" s="848">
        <f t="shared" si="9"/>
        <v>43034</v>
      </c>
      <c r="I482" s="758" t="s">
        <v>3821</v>
      </c>
      <c r="J482" s="758" t="s">
        <v>3822</v>
      </c>
      <c r="K482" s="758" t="s">
        <v>3823</v>
      </c>
      <c r="L482" s="758" t="s">
        <v>3571</v>
      </c>
      <c r="M482" s="848">
        <v>33762</v>
      </c>
      <c r="N482" s="758" t="s">
        <v>1328</v>
      </c>
      <c r="O482" s="848">
        <v>43034</v>
      </c>
      <c r="P482" s="758" t="s">
        <v>3572</v>
      </c>
    </row>
    <row r="483" spans="1:16" x14ac:dyDescent="0.25">
      <c r="A483" s="758">
        <v>11</v>
      </c>
      <c r="B483" s="760">
        <v>849315004</v>
      </c>
      <c r="C483" s="758" t="s">
        <v>3824</v>
      </c>
      <c r="D483" s="759" t="s">
        <v>1328</v>
      </c>
      <c r="E483" s="848">
        <v>43218</v>
      </c>
      <c r="F483" s="848">
        <f t="shared" si="9"/>
        <v>43076</v>
      </c>
      <c r="I483" s="758" t="s">
        <v>3825</v>
      </c>
      <c r="J483" s="758" t="s">
        <v>3826</v>
      </c>
      <c r="K483" s="758" t="s">
        <v>3827</v>
      </c>
      <c r="L483" s="758" t="s">
        <v>3828</v>
      </c>
      <c r="M483" s="848">
        <v>33871</v>
      </c>
      <c r="N483" s="758" t="s">
        <v>1328</v>
      </c>
      <c r="O483" s="848">
        <v>43076</v>
      </c>
      <c r="P483" s="758" t="s">
        <v>3572</v>
      </c>
    </row>
    <row r="484" spans="1:16" x14ac:dyDescent="0.25">
      <c r="A484" s="758">
        <v>12</v>
      </c>
      <c r="B484" s="760">
        <v>849315013</v>
      </c>
      <c r="C484" s="758" t="s">
        <v>1342</v>
      </c>
      <c r="D484" s="759" t="s">
        <v>1328</v>
      </c>
      <c r="E484" s="848">
        <v>43218</v>
      </c>
      <c r="F484" s="848">
        <f t="shared" si="9"/>
        <v>43087</v>
      </c>
      <c r="I484" s="758" t="s">
        <v>3829</v>
      </c>
      <c r="J484" s="758" t="s">
        <v>3830</v>
      </c>
      <c r="K484" s="758" t="s">
        <v>3831</v>
      </c>
      <c r="L484" s="758" t="s">
        <v>3641</v>
      </c>
      <c r="M484" s="848">
        <v>33780</v>
      </c>
      <c r="N484" s="758" t="s">
        <v>1328</v>
      </c>
      <c r="O484" s="848">
        <v>43087</v>
      </c>
      <c r="P484" s="758" t="s">
        <v>3572</v>
      </c>
    </row>
    <row r="485" spans="1:16" x14ac:dyDescent="0.25">
      <c r="A485" s="758">
        <v>13</v>
      </c>
      <c r="B485" s="760">
        <v>849315001</v>
      </c>
      <c r="C485" s="758" t="s">
        <v>3832</v>
      </c>
      <c r="D485" s="759" t="s">
        <v>1328</v>
      </c>
      <c r="E485" s="848">
        <v>43218</v>
      </c>
      <c r="F485" s="848">
        <f t="shared" si="9"/>
        <v>43098</v>
      </c>
      <c r="I485" s="758" t="s">
        <v>3833</v>
      </c>
      <c r="J485" s="758" t="s">
        <v>3834</v>
      </c>
      <c r="K485" s="758" t="s">
        <v>3835</v>
      </c>
      <c r="L485" s="758" t="s">
        <v>3571</v>
      </c>
      <c r="M485" s="848">
        <v>31214</v>
      </c>
      <c r="N485" s="758" t="s">
        <v>1328</v>
      </c>
      <c r="O485" s="848">
        <v>43098</v>
      </c>
      <c r="P485" s="758" t="s">
        <v>3572</v>
      </c>
    </row>
    <row r="486" spans="1:16" x14ac:dyDescent="0.25">
      <c r="A486" s="758">
        <v>14</v>
      </c>
      <c r="B486" s="760">
        <v>849315019</v>
      </c>
      <c r="C486" s="758" t="s">
        <v>3836</v>
      </c>
      <c r="D486" s="759" t="s">
        <v>1328</v>
      </c>
      <c r="E486" s="848">
        <v>43218</v>
      </c>
      <c r="F486" s="848">
        <f t="shared" si="9"/>
        <v>43103</v>
      </c>
      <c r="I486" s="758" t="s">
        <v>3837</v>
      </c>
      <c r="J486" s="758" t="s">
        <v>3838</v>
      </c>
      <c r="K486" s="758" t="s">
        <v>3839</v>
      </c>
      <c r="L486" s="758" t="s">
        <v>3571</v>
      </c>
      <c r="M486" s="848">
        <v>33032</v>
      </c>
      <c r="N486" s="758" t="s">
        <v>1328</v>
      </c>
      <c r="O486" s="848">
        <v>43103</v>
      </c>
      <c r="P486" s="758" t="s">
        <v>3572</v>
      </c>
    </row>
    <row r="487" spans="1:16" x14ac:dyDescent="0.25">
      <c r="A487" s="758">
        <v>15</v>
      </c>
      <c r="B487" s="760">
        <v>849315008</v>
      </c>
      <c r="C487" s="758" t="s">
        <v>3840</v>
      </c>
      <c r="D487" s="759" t="s">
        <v>1328</v>
      </c>
      <c r="E487" s="848">
        <v>43218</v>
      </c>
      <c r="F487" s="848">
        <f t="shared" si="9"/>
        <v>43104</v>
      </c>
      <c r="I487" s="758" t="s">
        <v>3841</v>
      </c>
      <c r="J487" s="758" t="s">
        <v>3842</v>
      </c>
      <c r="K487" s="758" t="s">
        <v>3843</v>
      </c>
      <c r="L487" s="758" t="s">
        <v>3571</v>
      </c>
      <c r="M487" s="848">
        <v>33724</v>
      </c>
      <c r="N487" s="758" t="s">
        <v>1328</v>
      </c>
      <c r="O487" s="848">
        <v>43104</v>
      </c>
      <c r="P487" s="758" t="s">
        <v>3572</v>
      </c>
    </row>
    <row r="488" spans="1:16" x14ac:dyDescent="0.25">
      <c r="A488" s="758">
        <v>16</v>
      </c>
      <c r="B488" s="760">
        <v>849315010</v>
      </c>
      <c r="C488" s="758" t="s">
        <v>3844</v>
      </c>
      <c r="D488" s="759" t="s">
        <v>1328</v>
      </c>
      <c r="E488" s="848">
        <v>43218</v>
      </c>
      <c r="F488" s="848">
        <f t="shared" si="9"/>
        <v>43104</v>
      </c>
      <c r="I488" s="758" t="s">
        <v>3845</v>
      </c>
      <c r="J488" s="758" t="s">
        <v>3846</v>
      </c>
      <c r="K488" s="758" t="s">
        <v>3847</v>
      </c>
      <c r="L488" s="758" t="s">
        <v>3641</v>
      </c>
      <c r="M488" s="848">
        <v>32551</v>
      </c>
      <c r="N488" s="758" t="s">
        <v>1328</v>
      </c>
      <c r="O488" s="848">
        <v>43104</v>
      </c>
      <c r="P488" s="758" t="s">
        <v>3572</v>
      </c>
    </row>
    <row r="489" spans="1:16" x14ac:dyDescent="0.25">
      <c r="A489" s="758">
        <v>17</v>
      </c>
      <c r="B489" s="760">
        <v>849315034</v>
      </c>
      <c r="C489" s="758" t="s">
        <v>3169</v>
      </c>
      <c r="D489" s="759" t="s">
        <v>1328</v>
      </c>
      <c r="E489" s="848">
        <v>43218</v>
      </c>
      <c r="F489" s="848">
        <f t="shared" si="9"/>
        <v>43110</v>
      </c>
      <c r="I489" s="758" t="s">
        <v>3848</v>
      </c>
      <c r="J489" s="758" t="s">
        <v>3849</v>
      </c>
      <c r="K489" s="758" t="s">
        <v>3850</v>
      </c>
      <c r="L489" s="758" t="s">
        <v>3571</v>
      </c>
      <c r="M489" s="848">
        <v>33846</v>
      </c>
      <c r="N489" s="758" t="s">
        <v>1328</v>
      </c>
      <c r="O489" s="848">
        <v>43110</v>
      </c>
      <c r="P489" s="758" t="s">
        <v>3572</v>
      </c>
    </row>
    <row r="490" spans="1:16" x14ac:dyDescent="0.25">
      <c r="A490" s="758">
        <v>18</v>
      </c>
      <c r="B490" s="760">
        <v>849315006</v>
      </c>
      <c r="C490" s="758" t="s">
        <v>3170</v>
      </c>
      <c r="D490" s="759" t="s">
        <v>1328</v>
      </c>
      <c r="E490" s="848">
        <v>43218</v>
      </c>
      <c r="F490" s="848">
        <f t="shared" si="9"/>
        <v>43117</v>
      </c>
      <c r="I490" s="758" t="s">
        <v>3851</v>
      </c>
      <c r="J490" s="758" t="s">
        <v>3852</v>
      </c>
      <c r="K490" s="758" t="s">
        <v>3853</v>
      </c>
      <c r="L490" s="758" t="s">
        <v>3571</v>
      </c>
      <c r="M490" s="848">
        <v>30783</v>
      </c>
      <c r="N490" s="758" t="s">
        <v>1328</v>
      </c>
      <c r="O490" s="848">
        <v>43117</v>
      </c>
      <c r="P490" s="758" t="s">
        <v>3572</v>
      </c>
    </row>
    <row r="491" spans="1:16" ht="14.25" customHeight="1" x14ac:dyDescent="0.25">
      <c r="A491" s="758">
        <v>19</v>
      </c>
      <c r="B491" s="760">
        <v>849415005</v>
      </c>
      <c r="C491" s="758" t="s">
        <v>3854</v>
      </c>
      <c r="D491" s="759" t="s">
        <v>1665</v>
      </c>
      <c r="E491" s="848">
        <v>43218</v>
      </c>
      <c r="F491" s="848">
        <f t="shared" si="9"/>
        <v>43073</v>
      </c>
      <c r="I491" s="758" t="s">
        <v>3855</v>
      </c>
      <c r="J491" s="758" t="s">
        <v>3856</v>
      </c>
      <c r="K491" s="758" t="s">
        <v>3857</v>
      </c>
      <c r="L491" s="758" t="s">
        <v>3571</v>
      </c>
      <c r="M491" s="848">
        <v>29447</v>
      </c>
      <c r="N491" s="758" t="s">
        <v>1665</v>
      </c>
      <c r="O491" s="848">
        <v>43073</v>
      </c>
      <c r="P491" s="758" t="s">
        <v>3572</v>
      </c>
    </row>
    <row r="492" spans="1:16" x14ac:dyDescent="0.25">
      <c r="A492" s="758">
        <v>20</v>
      </c>
      <c r="B492" s="760">
        <v>839131003</v>
      </c>
      <c r="C492" s="758" t="s">
        <v>3858</v>
      </c>
      <c r="D492" s="759" t="s">
        <v>848</v>
      </c>
      <c r="E492" s="848">
        <v>43218</v>
      </c>
      <c r="F492" s="848">
        <f t="shared" si="9"/>
        <v>43034</v>
      </c>
      <c r="I492" s="758" t="s">
        <v>3859</v>
      </c>
      <c r="J492" s="758" t="s">
        <v>3860</v>
      </c>
      <c r="K492" s="758" t="s">
        <v>3861</v>
      </c>
      <c r="L492" s="758" t="s">
        <v>3862</v>
      </c>
      <c r="M492" s="848">
        <v>31926</v>
      </c>
      <c r="N492" s="758" t="s">
        <v>848</v>
      </c>
      <c r="O492" s="848">
        <v>43034</v>
      </c>
      <c r="P492" s="758" t="s">
        <v>3622</v>
      </c>
    </row>
    <row r="493" spans="1:16" x14ac:dyDescent="0.25">
      <c r="A493" s="758">
        <v>21</v>
      </c>
      <c r="B493" s="760">
        <v>839115002</v>
      </c>
      <c r="C493" s="758" t="s">
        <v>3863</v>
      </c>
      <c r="D493" s="759" t="s">
        <v>848</v>
      </c>
      <c r="E493" s="848">
        <v>43218</v>
      </c>
      <c r="F493" s="848">
        <f t="shared" si="9"/>
        <v>43061</v>
      </c>
      <c r="I493" s="758" t="s">
        <v>3864</v>
      </c>
      <c r="J493" s="758" t="s">
        <v>3865</v>
      </c>
      <c r="K493" s="758" t="s">
        <v>3866</v>
      </c>
      <c r="L493" s="758" t="s">
        <v>3571</v>
      </c>
      <c r="M493" s="848">
        <v>33214</v>
      </c>
      <c r="N493" s="758" t="s">
        <v>848</v>
      </c>
      <c r="O493" s="848">
        <v>43061</v>
      </c>
      <c r="P493" s="758" t="s">
        <v>3622</v>
      </c>
    </row>
    <row r="494" spans="1:16" x14ac:dyDescent="0.25">
      <c r="A494" s="758">
        <v>22</v>
      </c>
      <c r="B494" s="760">
        <v>839115009</v>
      </c>
      <c r="C494" s="758" t="s">
        <v>3867</v>
      </c>
      <c r="D494" s="759" t="s">
        <v>848</v>
      </c>
      <c r="E494" s="848">
        <v>43218</v>
      </c>
      <c r="F494" s="848">
        <f t="shared" si="9"/>
        <v>43109</v>
      </c>
      <c r="I494" s="758" t="s">
        <v>3868</v>
      </c>
      <c r="J494" s="758" t="s">
        <v>3869</v>
      </c>
      <c r="K494" s="758" t="s">
        <v>3870</v>
      </c>
      <c r="L494" s="758" t="s">
        <v>3571</v>
      </c>
      <c r="M494" s="848">
        <v>31276</v>
      </c>
      <c r="N494" s="758" t="s">
        <v>848</v>
      </c>
      <c r="O494" s="848">
        <v>43109</v>
      </c>
      <c r="P494" s="758" t="s">
        <v>3622</v>
      </c>
    </row>
    <row r="495" spans="1:16" x14ac:dyDescent="0.25">
      <c r="A495" s="758">
        <v>23</v>
      </c>
      <c r="B495" s="760">
        <v>839215003</v>
      </c>
      <c r="C495" s="758" t="s">
        <v>3871</v>
      </c>
      <c r="D495" s="759" t="s">
        <v>1195</v>
      </c>
      <c r="E495" s="848">
        <v>43218</v>
      </c>
      <c r="F495" s="848">
        <f t="shared" si="9"/>
        <v>43047</v>
      </c>
      <c r="I495" s="758" t="s">
        <v>3872</v>
      </c>
      <c r="J495" s="758" t="s">
        <v>3873</v>
      </c>
      <c r="K495" s="758" t="s">
        <v>3874</v>
      </c>
      <c r="L495" s="758" t="s">
        <v>3641</v>
      </c>
      <c r="M495" s="848">
        <v>33642</v>
      </c>
      <c r="N495" s="758" t="s">
        <v>1195</v>
      </c>
      <c r="O495" s="848">
        <v>42787</v>
      </c>
      <c r="P495" s="758" t="s">
        <v>3642</v>
      </c>
    </row>
    <row r="496" spans="1:16" x14ac:dyDescent="0.25">
      <c r="A496" s="758">
        <v>24</v>
      </c>
      <c r="B496" s="760">
        <v>839215011</v>
      </c>
      <c r="C496" s="758" t="s">
        <v>3875</v>
      </c>
      <c r="D496" s="759" t="s">
        <v>1195</v>
      </c>
      <c r="E496" s="848">
        <v>43218</v>
      </c>
      <c r="F496" s="848">
        <f t="shared" si="9"/>
        <v>43047</v>
      </c>
      <c r="I496" s="758" t="s">
        <v>3876</v>
      </c>
      <c r="J496" s="758" t="s">
        <v>3877</v>
      </c>
      <c r="K496" s="758" t="s">
        <v>3878</v>
      </c>
      <c r="L496" s="758" t="s">
        <v>3571</v>
      </c>
      <c r="M496" s="848">
        <v>33928</v>
      </c>
      <c r="N496" s="758" t="s">
        <v>1195</v>
      </c>
      <c r="O496" s="848">
        <v>43047</v>
      </c>
      <c r="P496" s="758" t="s">
        <v>3642</v>
      </c>
    </row>
    <row r="497" spans="1:16" x14ac:dyDescent="0.25">
      <c r="A497" s="758">
        <v>25</v>
      </c>
      <c r="B497" s="760">
        <v>839216020</v>
      </c>
      <c r="C497" s="758" t="s">
        <v>1567</v>
      </c>
      <c r="D497" s="759" t="s">
        <v>1195</v>
      </c>
      <c r="E497" s="848">
        <v>43218</v>
      </c>
      <c r="F497" s="848">
        <f t="shared" si="9"/>
        <v>43175</v>
      </c>
      <c r="I497" s="758" t="s">
        <v>3879</v>
      </c>
      <c r="J497" s="758" t="s">
        <v>3880</v>
      </c>
      <c r="K497" s="758" t="s">
        <v>3881</v>
      </c>
      <c r="L497" s="758" t="s">
        <v>3571</v>
      </c>
      <c r="M497" s="848">
        <v>30291</v>
      </c>
      <c r="N497" s="758" t="s">
        <v>1195</v>
      </c>
      <c r="O497" s="848">
        <v>43175</v>
      </c>
      <c r="P497" s="758" t="s">
        <v>3642</v>
      </c>
    </row>
    <row r="498" spans="1:16" x14ac:dyDescent="0.25">
      <c r="A498" s="758">
        <v>26</v>
      </c>
      <c r="B498" s="760">
        <v>829115003</v>
      </c>
      <c r="C498" s="758" t="s">
        <v>3882</v>
      </c>
      <c r="D498" s="759" t="s">
        <v>1441</v>
      </c>
      <c r="E498" s="848">
        <v>43218</v>
      </c>
      <c r="F498" s="848">
        <f t="shared" si="8"/>
        <v>43104</v>
      </c>
      <c r="I498" s="758" t="s">
        <v>3883</v>
      </c>
      <c r="J498" s="758" t="s">
        <v>3884</v>
      </c>
      <c r="K498" s="758" t="s">
        <v>3885</v>
      </c>
      <c r="L498" s="758" t="s">
        <v>3886</v>
      </c>
      <c r="M498" s="848">
        <v>31790</v>
      </c>
      <c r="N498" s="758" t="s">
        <v>1441</v>
      </c>
      <c r="O498" s="848">
        <v>43104</v>
      </c>
      <c r="P498" s="758" t="s">
        <v>3887</v>
      </c>
    </row>
    <row r="499" spans="1:16" x14ac:dyDescent="0.25">
      <c r="B499" s="760"/>
      <c r="F499" s="848" t="str">
        <f t="shared" si="8"/>
        <v xml:space="preserve">   </v>
      </c>
    </row>
    <row r="500" spans="1:16" x14ac:dyDescent="0.25">
      <c r="A500" s="758">
        <v>1</v>
      </c>
      <c r="B500" s="760">
        <v>849116001</v>
      </c>
      <c r="C500" s="758" t="s">
        <v>1681</v>
      </c>
      <c r="D500" s="759" t="s">
        <v>527</v>
      </c>
      <c r="E500" s="848">
        <v>43351</v>
      </c>
      <c r="F500" s="848">
        <f t="shared" ref="F500:F509" si="10">IFERROR(VLOOKUP(B500,Tlus,3,FALSE),"   ")</f>
        <v>43286</v>
      </c>
      <c r="I500" s="758" t="s">
        <v>3888</v>
      </c>
      <c r="J500" s="758" t="s">
        <v>3889</v>
      </c>
      <c r="K500" s="758" t="s">
        <v>3890</v>
      </c>
      <c r="L500" s="758" t="s">
        <v>3621</v>
      </c>
      <c r="M500" s="848">
        <v>33778</v>
      </c>
      <c r="N500" s="758" t="s">
        <v>527</v>
      </c>
      <c r="O500" s="848">
        <v>43286</v>
      </c>
      <c r="P500" s="758" t="s">
        <v>3572</v>
      </c>
    </row>
    <row r="501" spans="1:16" x14ac:dyDescent="0.25">
      <c r="A501" s="758">
        <v>2</v>
      </c>
      <c r="B501" s="760">
        <v>849116021</v>
      </c>
      <c r="C501" s="758" t="s">
        <v>1702</v>
      </c>
      <c r="D501" s="759" t="s">
        <v>527</v>
      </c>
      <c r="E501" s="848">
        <v>43351</v>
      </c>
      <c r="F501" s="848">
        <f t="shared" si="10"/>
        <v>43300</v>
      </c>
      <c r="I501" s="758" t="s">
        <v>3891</v>
      </c>
      <c r="J501" s="758" t="s">
        <v>3892</v>
      </c>
      <c r="K501" s="758" t="s">
        <v>3893</v>
      </c>
      <c r="L501" s="758" t="s">
        <v>3571</v>
      </c>
      <c r="M501" s="848">
        <v>33553</v>
      </c>
      <c r="N501" s="758" t="s">
        <v>527</v>
      </c>
      <c r="O501" s="848">
        <v>43299</v>
      </c>
      <c r="P501" s="758" t="s">
        <v>3572</v>
      </c>
    </row>
    <row r="502" spans="1:16" x14ac:dyDescent="0.25">
      <c r="A502" s="758">
        <v>3</v>
      </c>
      <c r="B502" s="760">
        <v>849216003</v>
      </c>
      <c r="C502" s="758" t="s">
        <v>3894</v>
      </c>
      <c r="D502" s="759" t="s">
        <v>1110</v>
      </c>
      <c r="E502" s="848">
        <v>43351</v>
      </c>
      <c r="F502" s="848">
        <f t="shared" si="10"/>
        <v>43251</v>
      </c>
      <c r="I502" s="758" t="s">
        <v>3895</v>
      </c>
      <c r="J502" s="758" t="s">
        <v>3896</v>
      </c>
      <c r="K502" s="758" t="s">
        <v>3897</v>
      </c>
      <c r="L502" s="758" t="s">
        <v>3576</v>
      </c>
      <c r="M502" s="848">
        <v>34071</v>
      </c>
      <c r="N502" s="758" t="s">
        <v>1110</v>
      </c>
      <c r="O502" s="848">
        <v>43251</v>
      </c>
      <c r="P502" s="758" t="s">
        <v>3572</v>
      </c>
    </row>
    <row r="503" spans="1:16" x14ac:dyDescent="0.25">
      <c r="A503" s="758">
        <v>4</v>
      </c>
      <c r="B503" s="760">
        <v>849216006</v>
      </c>
      <c r="C503" s="758" t="s">
        <v>3898</v>
      </c>
      <c r="D503" s="759" t="s">
        <v>1110</v>
      </c>
      <c r="E503" s="848">
        <v>43351</v>
      </c>
      <c r="F503" s="848">
        <f t="shared" si="10"/>
        <v>43285</v>
      </c>
      <c r="I503" s="758" t="s">
        <v>3899</v>
      </c>
      <c r="J503" s="758" t="s">
        <v>3900</v>
      </c>
      <c r="K503" s="758" t="s">
        <v>3901</v>
      </c>
      <c r="L503" s="758" t="s">
        <v>3593</v>
      </c>
      <c r="M503" s="848">
        <v>32020</v>
      </c>
      <c r="N503" s="758" t="s">
        <v>1110</v>
      </c>
      <c r="O503" s="848">
        <v>43285</v>
      </c>
      <c r="P503" s="758" t="s">
        <v>3572</v>
      </c>
    </row>
    <row r="504" spans="1:16" x14ac:dyDescent="0.25">
      <c r="A504" s="758">
        <v>5</v>
      </c>
      <c r="B504" s="760">
        <v>849216002</v>
      </c>
      <c r="C504" s="758" t="s">
        <v>1526</v>
      </c>
      <c r="D504" s="759" t="s">
        <v>1110</v>
      </c>
      <c r="E504" s="848">
        <v>43351</v>
      </c>
      <c r="F504" s="848">
        <f t="shared" si="10"/>
        <v>43290</v>
      </c>
      <c r="I504" s="758" t="s">
        <v>3902</v>
      </c>
      <c r="J504" s="758" t="s">
        <v>3903</v>
      </c>
      <c r="K504" s="758" t="s">
        <v>3904</v>
      </c>
      <c r="L504" s="758" t="s">
        <v>3571</v>
      </c>
      <c r="M504" s="848">
        <v>33366</v>
      </c>
      <c r="N504" s="758" t="s">
        <v>1110</v>
      </c>
      <c r="O504" s="848">
        <v>43290</v>
      </c>
      <c r="P504" s="758" t="s">
        <v>3572</v>
      </c>
    </row>
    <row r="505" spans="1:16" x14ac:dyDescent="0.25">
      <c r="A505" s="758">
        <v>6</v>
      </c>
      <c r="B505" s="760">
        <v>849316014</v>
      </c>
      <c r="C505" s="758" t="s">
        <v>1624</v>
      </c>
      <c r="D505" s="759" t="s">
        <v>1328</v>
      </c>
      <c r="E505" s="848">
        <v>43351</v>
      </c>
      <c r="F505" s="848">
        <f t="shared" si="10"/>
        <v>43236</v>
      </c>
      <c r="I505" s="758" t="s">
        <v>3905</v>
      </c>
      <c r="J505" s="758" t="s">
        <v>3906</v>
      </c>
      <c r="K505" s="758" t="s">
        <v>3907</v>
      </c>
      <c r="L505" s="758" t="s">
        <v>3908</v>
      </c>
      <c r="M505" s="848">
        <v>32359</v>
      </c>
      <c r="N505" s="758" t="s">
        <v>1328</v>
      </c>
      <c r="O505" s="848">
        <v>43236</v>
      </c>
      <c r="P505" s="758" t="s">
        <v>3572</v>
      </c>
    </row>
    <row r="506" spans="1:16" x14ac:dyDescent="0.25">
      <c r="A506" s="758">
        <v>7</v>
      </c>
      <c r="B506" s="760">
        <v>849316047</v>
      </c>
      <c r="C506" s="758" t="s">
        <v>3909</v>
      </c>
      <c r="D506" s="759" t="s">
        <v>1328</v>
      </c>
      <c r="E506" s="848">
        <v>43351</v>
      </c>
      <c r="F506" s="848">
        <f t="shared" si="10"/>
        <v>43285</v>
      </c>
      <c r="I506" s="758" t="s">
        <v>3910</v>
      </c>
      <c r="J506" s="758" t="s">
        <v>3911</v>
      </c>
      <c r="K506" s="758" t="s">
        <v>3912</v>
      </c>
      <c r="L506" s="758" t="s">
        <v>3571</v>
      </c>
      <c r="M506" s="848">
        <v>30940</v>
      </c>
      <c r="N506" s="758" t="s">
        <v>1328</v>
      </c>
      <c r="O506" s="848">
        <v>43285</v>
      </c>
      <c r="P506" s="758" t="s">
        <v>3572</v>
      </c>
    </row>
    <row r="507" spans="1:16" x14ac:dyDescent="0.25">
      <c r="A507" s="758">
        <v>8</v>
      </c>
      <c r="B507" s="760">
        <v>849315025</v>
      </c>
      <c r="C507" s="758" t="s">
        <v>3913</v>
      </c>
      <c r="D507" s="759" t="s">
        <v>1328</v>
      </c>
      <c r="E507" s="848">
        <v>43351</v>
      </c>
      <c r="F507" s="848">
        <f t="shared" si="10"/>
        <v>43287</v>
      </c>
      <c r="I507" s="758" t="s">
        <v>3914</v>
      </c>
      <c r="J507" s="758" t="s">
        <v>3915</v>
      </c>
      <c r="K507" s="758" t="s">
        <v>3916</v>
      </c>
      <c r="L507" s="758" t="s">
        <v>3589</v>
      </c>
      <c r="M507" s="848">
        <v>33074</v>
      </c>
      <c r="N507" s="758" t="s">
        <v>1328</v>
      </c>
      <c r="O507" s="848">
        <v>43287</v>
      </c>
      <c r="P507" s="758" t="s">
        <v>3572</v>
      </c>
    </row>
    <row r="508" spans="1:16" x14ac:dyDescent="0.25">
      <c r="A508" s="758">
        <v>9</v>
      </c>
      <c r="B508" s="760">
        <v>849316001</v>
      </c>
      <c r="C508" s="758" t="s">
        <v>1611</v>
      </c>
      <c r="D508" s="759" t="s">
        <v>1328</v>
      </c>
      <c r="E508" s="848">
        <v>43351</v>
      </c>
      <c r="F508" s="848">
        <f t="shared" si="10"/>
        <v>43292</v>
      </c>
      <c r="I508" s="758" t="s">
        <v>3917</v>
      </c>
      <c r="J508" s="758" t="s">
        <v>3918</v>
      </c>
      <c r="K508" s="758" t="s">
        <v>3919</v>
      </c>
      <c r="L508" s="758" t="s">
        <v>3641</v>
      </c>
      <c r="M508" s="848">
        <v>33989</v>
      </c>
      <c r="N508" s="758" t="s">
        <v>1328</v>
      </c>
      <c r="O508" s="848">
        <v>43292</v>
      </c>
      <c r="P508" s="758" t="s">
        <v>3572</v>
      </c>
    </row>
    <row r="509" spans="1:16" x14ac:dyDescent="0.25">
      <c r="A509" s="758">
        <v>10</v>
      </c>
      <c r="B509" s="847">
        <v>839116002</v>
      </c>
      <c r="C509" s="758" t="s">
        <v>1577</v>
      </c>
      <c r="D509" s="759" t="s">
        <v>848</v>
      </c>
      <c r="E509" s="848">
        <v>43351</v>
      </c>
      <c r="F509" s="848">
        <f t="shared" si="10"/>
        <v>43245</v>
      </c>
      <c r="I509" s="758" t="s">
        <v>3920</v>
      </c>
      <c r="J509" s="758" t="s">
        <v>3921</v>
      </c>
      <c r="K509" s="758" t="s">
        <v>3922</v>
      </c>
      <c r="L509" s="758" t="s">
        <v>3571</v>
      </c>
      <c r="M509" s="848">
        <v>33767</v>
      </c>
      <c r="N509" s="758" t="s">
        <v>848</v>
      </c>
      <c r="O509" s="848">
        <v>43245</v>
      </c>
      <c r="P509" s="758" t="s">
        <v>3622</v>
      </c>
    </row>
    <row r="510" spans="1:16" x14ac:dyDescent="0.25">
      <c r="A510" s="758">
        <v>11</v>
      </c>
      <c r="B510" s="847">
        <v>839115006</v>
      </c>
      <c r="C510" s="758" t="s">
        <v>3923</v>
      </c>
      <c r="D510" s="759" t="s">
        <v>848</v>
      </c>
      <c r="E510" s="848">
        <v>43351</v>
      </c>
      <c r="F510" s="848">
        <f t="shared" ref="F510:F566" si="11">IFERROR(VLOOKUP(B510,Tlus,3,FALSE),"   ")</f>
        <v>43251</v>
      </c>
      <c r="I510" s="758" t="s">
        <v>3924</v>
      </c>
      <c r="J510" s="758" t="s">
        <v>3925</v>
      </c>
      <c r="K510" s="758" t="s">
        <v>3926</v>
      </c>
      <c r="L510" s="758" t="s">
        <v>3571</v>
      </c>
      <c r="M510" s="848">
        <v>30203</v>
      </c>
      <c r="N510" s="758" t="s">
        <v>848</v>
      </c>
      <c r="O510" s="848">
        <v>43251</v>
      </c>
      <c r="P510" s="758" t="s">
        <v>3622</v>
      </c>
    </row>
    <row r="511" spans="1:16" x14ac:dyDescent="0.25">
      <c r="A511" s="758">
        <v>12</v>
      </c>
      <c r="B511" s="847">
        <v>839214001</v>
      </c>
      <c r="C511" s="758" t="s">
        <v>3927</v>
      </c>
      <c r="D511" s="759" t="s">
        <v>1195</v>
      </c>
      <c r="E511" s="848">
        <v>43351</v>
      </c>
      <c r="F511" s="848">
        <f t="shared" ref="F511:F516" si="12">IFERROR(VLOOKUP(B511,Tlus,3,FALSE),"   ")</f>
        <v>43201</v>
      </c>
      <c r="I511" s="758" t="s">
        <v>3928</v>
      </c>
      <c r="J511" s="758" t="s">
        <v>3929</v>
      </c>
      <c r="K511" s="758" t="s">
        <v>3930</v>
      </c>
      <c r="L511" s="758" t="s">
        <v>3571</v>
      </c>
      <c r="M511" s="848">
        <v>33313</v>
      </c>
      <c r="N511" s="758" t="s">
        <v>1195</v>
      </c>
      <c r="O511" s="848">
        <v>43201</v>
      </c>
      <c r="P511" s="758" t="s">
        <v>3642</v>
      </c>
    </row>
    <row r="512" spans="1:16" x14ac:dyDescent="0.25">
      <c r="A512" s="758">
        <v>13</v>
      </c>
      <c r="B512" s="760">
        <v>839216013</v>
      </c>
      <c r="C512" s="758" t="s">
        <v>1559</v>
      </c>
      <c r="D512" s="759" t="s">
        <v>1195</v>
      </c>
      <c r="E512" s="848">
        <v>43351</v>
      </c>
      <c r="F512" s="848">
        <f t="shared" si="12"/>
        <v>43285</v>
      </c>
      <c r="I512" s="758" t="s">
        <v>3931</v>
      </c>
      <c r="J512" s="758" t="s">
        <v>3932</v>
      </c>
      <c r="K512" s="758" t="s">
        <v>3933</v>
      </c>
      <c r="L512" s="758" t="s">
        <v>3589</v>
      </c>
      <c r="M512" s="848">
        <v>34235</v>
      </c>
      <c r="N512" s="758" t="s">
        <v>1195</v>
      </c>
      <c r="O512" s="848">
        <v>43285</v>
      </c>
      <c r="P512" s="758" t="s">
        <v>3642</v>
      </c>
    </row>
    <row r="513" spans="1:16" x14ac:dyDescent="0.25">
      <c r="A513" s="758">
        <v>14</v>
      </c>
      <c r="B513" s="847">
        <v>839215009</v>
      </c>
      <c r="C513" s="758" t="s">
        <v>3934</v>
      </c>
      <c r="D513" s="759" t="s">
        <v>1195</v>
      </c>
      <c r="E513" s="848">
        <v>43351</v>
      </c>
      <c r="F513" s="848">
        <f t="shared" si="12"/>
        <v>43291</v>
      </c>
      <c r="I513" s="758" t="s">
        <v>3935</v>
      </c>
      <c r="J513" s="758" t="s">
        <v>3936</v>
      </c>
      <c r="K513" s="758" t="s">
        <v>3937</v>
      </c>
      <c r="L513" s="758" t="s">
        <v>3589</v>
      </c>
      <c r="M513" s="848">
        <v>33307</v>
      </c>
      <c r="N513" s="758" t="s">
        <v>1195</v>
      </c>
      <c r="O513" s="848">
        <v>43291</v>
      </c>
      <c r="P513" s="758" t="s">
        <v>3642</v>
      </c>
    </row>
    <row r="514" spans="1:16" x14ac:dyDescent="0.25">
      <c r="A514" s="758">
        <v>15</v>
      </c>
      <c r="B514" s="760">
        <v>839216016</v>
      </c>
      <c r="C514" s="758" t="s">
        <v>1562</v>
      </c>
      <c r="D514" s="759" t="s">
        <v>1195</v>
      </c>
      <c r="E514" s="848">
        <v>43351</v>
      </c>
      <c r="F514" s="848">
        <f t="shared" si="12"/>
        <v>43291</v>
      </c>
      <c r="I514" s="758" t="s">
        <v>3938</v>
      </c>
      <c r="J514" s="758" t="s">
        <v>3939</v>
      </c>
      <c r="K514" s="758" t="s">
        <v>3940</v>
      </c>
      <c r="L514" s="758" t="s">
        <v>3571</v>
      </c>
      <c r="M514" s="848">
        <v>34525</v>
      </c>
      <c r="N514" s="758" t="s">
        <v>1195</v>
      </c>
      <c r="O514" s="848">
        <v>43291</v>
      </c>
      <c r="P514" s="758" t="s">
        <v>3642</v>
      </c>
    </row>
    <row r="515" spans="1:16" x14ac:dyDescent="0.25">
      <c r="A515" s="758">
        <v>16</v>
      </c>
      <c r="B515" s="847">
        <v>839214012</v>
      </c>
      <c r="C515" s="758" t="s">
        <v>3941</v>
      </c>
      <c r="D515" s="759" t="s">
        <v>1195</v>
      </c>
      <c r="E515" s="848">
        <v>43351</v>
      </c>
      <c r="F515" s="848">
        <f t="shared" si="12"/>
        <v>43299</v>
      </c>
      <c r="I515" s="758" t="s">
        <v>3942</v>
      </c>
      <c r="J515" s="758" t="s">
        <v>3943</v>
      </c>
      <c r="K515" s="758" t="s">
        <v>3944</v>
      </c>
      <c r="L515" s="758" t="s">
        <v>3945</v>
      </c>
      <c r="M515" s="848">
        <v>25690</v>
      </c>
      <c r="N515" s="758" t="s">
        <v>1195</v>
      </c>
      <c r="O515" s="848">
        <v>43299</v>
      </c>
      <c r="P515" s="758" t="s">
        <v>3642</v>
      </c>
    </row>
    <row r="516" spans="1:16" x14ac:dyDescent="0.25">
      <c r="B516" s="760"/>
      <c r="F516" s="848" t="str">
        <f t="shared" si="12"/>
        <v xml:space="preserve">   </v>
      </c>
    </row>
    <row r="517" spans="1:16" x14ac:dyDescent="0.25">
      <c r="A517" s="758">
        <v>1</v>
      </c>
      <c r="B517" s="760">
        <v>849115007</v>
      </c>
      <c r="C517" s="758" t="s">
        <v>2316</v>
      </c>
      <c r="D517" s="759" t="s">
        <v>527</v>
      </c>
      <c r="E517" s="848">
        <v>43440</v>
      </c>
      <c r="F517" s="848">
        <f t="shared" ref="F517:F528" si="13">IFERROR(VLOOKUP(B517,Tlus,3,FALSE),"   ")</f>
        <v>43248</v>
      </c>
      <c r="I517" s="758" t="s">
        <v>3946</v>
      </c>
      <c r="J517" s="758" t="s">
        <v>3947</v>
      </c>
      <c r="K517" s="758" t="s">
        <v>3948</v>
      </c>
      <c r="L517" s="758" t="s">
        <v>3576</v>
      </c>
      <c r="M517" s="848">
        <v>31277</v>
      </c>
      <c r="N517" s="758" t="s">
        <v>527</v>
      </c>
      <c r="O517" s="848">
        <v>43248</v>
      </c>
      <c r="P517" s="758" t="s">
        <v>3572</v>
      </c>
    </row>
    <row r="518" spans="1:16" x14ac:dyDescent="0.25">
      <c r="A518" s="758">
        <v>2</v>
      </c>
      <c r="B518" s="760">
        <v>849115021</v>
      </c>
      <c r="C518" s="758" t="s">
        <v>3005</v>
      </c>
      <c r="D518" s="759" t="s">
        <v>527</v>
      </c>
      <c r="E518" s="848">
        <v>43440</v>
      </c>
      <c r="F518" s="848">
        <f t="shared" si="13"/>
        <v>43248</v>
      </c>
      <c r="I518" s="758" t="s">
        <v>3949</v>
      </c>
      <c r="J518" s="758" t="s">
        <v>3950</v>
      </c>
      <c r="K518" s="758" t="s">
        <v>3951</v>
      </c>
      <c r="L518" s="758" t="s">
        <v>3571</v>
      </c>
      <c r="M518" s="848">
        <v>33614</v>
      </c>
      <c r="N518" s="758" t="s">
        <v>527</v>
      </c>
      <c r="O518" s="848">
        <v>43243</v>
      </c>
      <c r="P518" s="758" t="s">
        <v>3572</v>
      </c>
    </row>
    <row r="519" spans="1:16" x14ac:dyDescent="0.25">
      <c r="A519" s="758">
        <v>3</v>
      </c>
      <c r="B519" s="760">
        <v>849114041</v>
      </c>
      <c r="C519" s="758" t="s">
        <v>3171</v>
      </c>
      <c r="D519" s="759" t="s">
        <v>527</v>
      </c>
      <c r="E519" s="848">
        <v>43440</v>
      </c>
      <c r="F519" s="848">
        <f t="shared" si="13"/>
        <v>43222</v>
      </c>
      <c r="I519" s="758" t="s">
        <v>3952</v>
      </c>
      <c r="J519" s="758" t="s">
        <v>3953</v>
      </c>
      <c r="K519" s="758" t="s">
        <v>3954</v>
      </c>
      <c r="L519" s="758" t="s">
        <v>3777</v>
      </c>
      <c r="M519" s="848">
        <v>23810</v>
      </c>
      <c r="N519" s="758" t="s">
        <v>527</v>
      </c>
      <c r="O519" s="848">
        <v>43222</v>
      </c>
      <c r="P519" s="758" t="s">
        <v>3572</v>
      </c>
    </row>
    <row r="520" spans="1:16" x14ac:dyDescent="0.25">
      <c r="A520" s="758">
        <v>4</v>
      </c>
      <c r="B520" s="760">
        <v>849114013</v>
      </c>
      <c r="C520" s="758" t="s">
        <v>3955</v>
      </c>
      <c r="D520" s="759" t="s">
        <v>527</v>
      </c>
      <c r="E520" s="848">
        <v>43440</v>
      </c>
      <c r="F520" s="848">
        <f t="shared" si="13"/>
        <v>43371</v>
      </c>
      <c r="I520" s="758" t="s">
        <v>3956</v>
      </c>
      <c r="J520" s="758" t="s">
        <v>3957</v>
      </c>
      <c r="K520" s="758" t="s">
        <v>3958</v>
      </c>
      <c r="L520" s="758" t="s">
        <v>3706</v>
      </c>
      <c r="M520" s="848">
        <v>33018</v>
      </c>
      <c r="N520" s="758" t="s">
        <v>527</v>
      </c>
      <c r="O520" s="848">
        <v>43371</v>
      </c>
      <c r="P520" s="758" t="s">
        <v>3572</v>
      </c>
    </row>
    <row r="521" spans="1:16" x14ac:dyDescent="0.25">
      <c r="A521" s="758">
        <v>5</v>
      </c>
      <c r="B521" s="760">
        <v>849114035</v>
      </c>
      <c r="C521" s="758" t="s">
        <v>3959</v>
      </c>
      <c r="D521" s="759" t="s">
        <v>527</v>
      </c>
      <c r="E521" s="848">
        <v>43440</v>
      </c>
      <c r="F521" s="848">
        <f t="shared" si="13"/>
        <v>42998</v>
      </c>
      <c r="I521" s="758" t="s">
        <v>3960</v>
      </c>
      <c r="J521" s="758" t="s">
        <v>3961</v>
      </c>
      <c r="K521" s="758" t="s">
        <v>3962</v>
      </c>
      <c r="L521" s="758" t="s">
        <v>3589</v>
      </c>
      <c r="M521" s="848">
        <v>31924</v>
      </c>
      <c r="N521" s="758" t="s">
        <v>527</v>
      </c>
      <c r="O521" s="848">
        <v>42998</v>
      </c>
      <c r="P521" s="758" t="s">
        <v>3572</v>
      </c>
    </row>
    <row r="522" spans="1:16" x14ac:dyDescent="0.25">
      <c r="A522" s="758">
        <v>6</v>
      </c>
      <c r="B522" s="760">
        <v>849116002</v>
      </c>
      <c r="C522" s="758" t="s">
        <v>1682</v>
      </c>
      <c r="D522" s="759" t="s">
        <v>527</v>
      </c>
      <c r="E522" s="848">
        <v>43440</v>
      </c>
      <c r="F522" s="848">
        <f t="shared" si="13"/>
        <v>43391</v>
      </c>
      <c r="I522" s="758" t="s">
        <v>3963</v>
      </c>
      <c r="J522" s="758" t="s">
        <v>3964</v>
      </c>
      <c r="K522" s="758" t="s">
        <v>3965</v>
      </c>
      <c r="L522" s="758" t="s">
        <v>3571</v>
      </c>
      <c r="M522" s="848">
        <v>33880</v>
      </c>
      <c r="N522" s="758" t="s">
        <v>527</v>
      </c>
      <c r="O522" s="848">
        <v>43391</v>
      </c>
      <c r="P522" s="758" t="s">
        <v>3572</v>
      </c>
    </row>
    <row r="523" spans="1:16" x14ac:dyDescent="0.25">
      <c r="A523" s="758">
        <v>7</v>
      </c>
      <c r="B523" s="760">
        <v>849116004</v>
      </c>
      <c r="C523" s="758" t="s">
        <v>1684</v>
      </c>
      <c r="D523" s="759" t="s">
        <v>527</v>
      </c>
      <c r="E523" s="848">
        <v>43440</v>
      </c>
      <c r="F523" s="848">
        <f t="shared" si="13"/>
        <v>43391</v>
      </c>
      <c r="I523" s="758" t="s">
        <v>3966</v>
      </c>
      <c r="J523" s="758" t="s">
        <v>3967</v>
      </c>
      <c r="K523" s="758" t="s">
        <v>3968</v>
      </c>
      <c r="L523" s="758" t="s">
        <v>3706</v>
      </c>
      <c r="M523" s="848">
        <v>33827</v>
      </c>
      <c r="N523" s="758" t="s">
        <v>527</v>
      </c>
      <c r="O523" s="848">
        <v>43391</v>
      </c>
      <c r="P523" s="758" t="s">
        <v>3572</v>
      </c>
    </row>
    <row r="524" spans="1:16" x14ac:dyDescent="0.25">
      <c r="A524" s="758">
        <v>8</v>
      </c>
      <c r="B524" s="760">
        <v>849116008</v>
      </c>
      <c r="C524" s="758" t="s">
        <v>1688</v>
      </c>
      <c r="D524" s="759" t="s">
        <v>527</v>
      </c>
      <c r="E524" s="848">
        <v>43440</v>
      </c>
      <c r="F524" s="848">
        <f t="shared" si="13"/>
        <v>43391</v>
      </c>
      <c r="I524" s="758" t="s">
        <v>3969</v>
      </c>
      <c r="J524" s="758" t="s">
        <v>3970</v>
      </c>
      <c r="K524" s="758" t="s">
        <v>3971</v>
      </c>
      <c r="L524" s="758" t="s">
        <v>3972</v>
      </c>
      <c r="M524" s="848">
        <v>34140</v>
      </c>
      <c r="N524" s="758" t="s">
        <v>527</v>
      </c>
      <c r="O524" s="848">
        <v>43391</v>
      </c>
      <c r="P524" s="758" t="s">
        <v>3572</v>
      </c>
    </row>
    <row r="525" spans="1:16" x14ac:dyDescent="0.25">
      <c r="A525" s="758">
        <v>9</v>
      </c>
      <c r="B525" s="760">
        <v>849114005</v>
      </c>
      <c r="C525" s="758" t="s">
        <v>3973</v>
      </c>
      <c r="D525" s="759" t="s">
        <v>527</v>
      </c>
      <c r="E525" s="848">
        <v>43440</v>
      </c>
      <c r="F525" s="848">
        <f t="shared" si="13"/>
        <v>43283</v>
      </c>
      <c r="I525" s="758" t="s">
        <v>3974</v>
      </c>
      <c r="J525" s="758" t="s">
        <v>3975</v>
      </c>
      <c r="K525" s="758" t="s">
        <v>3976</v>
      </c>
      <c r="L525" s="758" t="s">
        <v>3576</v>
      </c>
      <c r="M525" s="848">
        <v>29948</v>
      </c>
      <c r="N525" s="758" t="s">
        <v>527</v>
      </c>
      <c r="O525" s="848">
        <v>43283</v>
      </c>
      <c r="P525" s="758" t="s">
        <v>3572</v>
      </c>
    </row>
    <row r="526" spans="1:16" x14ac:dyDescent="0.25">
      <c r="A526" s="758">
        <v>10</v>
      </c>
      <c r="B526" s="760">
        <v>849115024</v>
      </c>
      <c r="C526" s="758" t="s">
        <v>3977</v>
      </c>
      <c r="D526" s="759" t="s">
        <v>527</v>
      </c>
      <c r="E526" s="848">
        <v>43440</v>
      </c>
      <c r="F526" s="848">
        <f t="shared" si="13"/>
        <v>43398</v>
      </c>
      <c r="I526" s="758" t="s">
        <v>3978</v>
      </c>
      <c r="J526" s="758" t="s">
        <v>3979</v>
      </c>
      <c r="K526" s="758" t="s">
        <v>3980</v>
      </c>
      <c r="L526" s="758" t="s">
        <v>3706</v>
      </c>
      <c r="M526" s="848">
        <v>33478</v>
      </c>
      <c r="N526" s="758" t="s">
        <v>527</v>
      </c>
      <c r="O526" s="848">
        <v>43398</v>
      </c>
      <c r="P526" s="758" t="s">
        <v>3572</v>
      </c>
    </row>
    <row r="527" spans="1:16" x14ac:dyDescent="0.25">
      <c r="A527" s="758">
        <v>11</v>
      </c>
      <c r="B527" s="760">
        <v>849115008</v>
      </c>
      <c r="C527" s="758" t="s">
        <v>3981</v>
      </c>
      <c r="D527" s="759" t="s">
        <v>527</v>
      </c>
      <c r="E527" s="848">
        <v>43440</v>
      </c>
      <c r="F527" s="848">
        <f t="shared" si="13"/>
        <v>43388</v>
      </c>
      <c r="I527" s="758" t="s">
        <v>3982</v>
      </c>
      <c r="J527" s="758" t="s">
        <v>3983</v>
      </c>
      <c r="K527" s="758" t="s">
        <v>3984</v>
      </c>
      <c r="L527" s="758" t="s">
        <v>3641</v>
      </c>
      <c r="M527" s="848">
        <v>33605</v>
      </c>
      <c r="N527" s="758" t="s">
        <v>527</v>
      </c>
      <c r="O527" s="848">
        <v>43388</v>
      </c>
      <c r="P527" s="758" t="s">
        <v>3572</v>
      </c>
    </row>
    <row r="528" spans="1:16" x14ac:dyDescent="0.25">
      <c r="A528" s="758">
        <v>12</v>
      </c>
      <c r="B528" s="760">
        <v>849114003</v>
      </c>
      <c r="C528" s="758" t="s">
        <v>3985</v>
      </c>
      <c r="D528" s="759" t="s">
        <v>527</v>
      </c>
      <c r="E528" s="848">
        <v>43440</v>
      </c>
      <c r="F528" s="848">
        <f t="shared" si="13"/>
        <v>43327</v>
      </c>
      <c r="I528" s="758" t="s">
        <v>3986</v>
      </c>
      <c r="J528" s="758" t="s">
        <v>3987</v>
      </c>
      <c r="K528" s="758" t="s">
        <v>3988</v>
      </c>
      <c r="L528" s="758" t="s">
        <v>3641</v>
      </c>
      <c r="M528" s="848">
        <v>29553</v>
      </c>
      <c r="N528" s="758" t="s">
        <v>527</v>
      </c>
      <c r="O528" s="848">
        <v>43327</v>
      </c>
      <c r="P528" s="758" t="s">
        <v>3572</v>
      </c>
    </row>
    <row r="529" spans="1:16" x14ac:dyDescent="0.25">
      <c r="A529" s="758">
        <v>13</v>
      </c>
      <c r="B529" s="760">
        <v>849114033</v>
      </c>
      <c r="C529" s="758" t="s">
        <v>3989</v>
      </c>
      <c r="D529" s="759" t="s">
        <v>527</v>
      </c>
      <c r="E529" s="848">
        <v>43440</v>
      </c>
      <c r="F529" s="848"/>
      <c r="I529" s="758" t="s">
        <v>3990</v>
      </c>
      <c r="J529" s="758" t="s">
        <v>3991</v>
      </c>
      <c r="K529" s="758" t="s">
        <v>3992</v>
      </c>
      <c r="L529" s="758" t="s">
        <v>3571</v>
      </c>
      <c r="M529" s="848">
        <v>33446</v>
      </c>
      <c r="N529" s="758" t="s">
        <v>527</v>
      </c>
      <c r="O529" s="848">
        <v>43285</v>
      </c>
      <c r="P529" s="758" t="s">
        <v>3572</v>
      </c>
    </row>
    <row r="530" spans="1:16" x14ac:dyDescent="0.25">
      <c r="A530" s="758">
        <v>14</v>
      </c>
      <c r="B530" s="758">
        <v>849116036</v>
      </c>
      <c r="C530" s="758" t="s">
        <v>1716</v>
      </c>
      <c r="E530" s="848">
        <v>43440</v>
      </c>
      <c r="F530" s="848">
        <f t="shared" ref="F530:F565" si="14">IFERROR(VLOOKUP(B530,Tlus,3,FALSE),"   ")</f>
        <v>43398</v>
      </c>
      <c r="I530" s="758" t="s">
        <v>3993</v>
      </c>
      <c r="J530" s="758" t="s">
        <v>3994</v>
      </c>
      <c r="K530" s="758" t="s">
        <v>3995</v>
      </c>
      <c r="L530" s="758" t="s">
        <v>3571</v>
      </c>
      <c r="M530" s="848">
        <v>29509</v>
      </c>
      <c r="N530" s="758" t="s">
        <v>527</v>
      </c>
      <c r="O530" s="848">
        <v>43398</v>
      </c>
      <c r="P530" s="758" t="s">
        <v>3572</v>
      </c>
    </row>
    <row r="531" spans="1:16" x14ac:dyDescent="0.25">
      <c r="A531" s="758">
        <v>15</v>
      </c>
      <c r="B531" s="760">
        <v>849216009</v>
      </c>
      <c r="C531" s="758" t="s">
        <v>1532</v>
      </c>
      <c r="D531" s="759" t="s">
        <v>1110</v>
      </c>
      <c r="E531" s="848">
        <v>43440</v>
      </c>
      <c r="F531" s="848">
        <f t="shared" si="14"/>
        <v>43294</v>
      </c>
      <c r="I531" s="758" t="s">
        <v>3996</v>
      </c>
      <c r="J531" s="758" t="s">
        <v>3997</v>
      </c>
      <c r="K531" s="758" t="s">
        <v>3998</v>
      </c>
      <c r="L531" s="758" t="s">
        <v>3706</v>
      </c>
      <c r="M531" s="848">
        <v>33643</v>
      </c>
      <c r="N531" s="758" t="s">
        <v>1110</v>
      </c>
      <c r="O531" s="848">
        <v>43294</v>
      </c>
      <c r="P531" s="758" t="s">
        <v>3572</v>
      </c>
    </row>
    <row r="532" spans="1:16" x14ac:dyDescent="0.25">
      <c r="A532" s="758">
        <v>16</v>
      </c>
      <c r="B532" s="760">
        <v>849213006</v>
      </c>
      <c r="C532" s="758" t="s">
        <v>3999</v>
      </c>
      <c r="D532" s="759" t="s">
        <v>1110</v>
      </c>
      <c r="E532" s="848">
        <v>43440</v>
      </c>
      <c r="F532" s="848">
        <f t="shared" si="14"/>
        <v>43301</v>
      </c>
      <c r="I532" s="758" t="s">
        <v>4000</v>
      </c>
      <c r="J532" s="758" t="s">
        <v>4001</v>
      </c>
      <c r="K532" s="758" t="s">
        <v>4002</v>
      </c>
      <c r="L532" s="758" t="s">
        <v>3641</v>
      </c>
      <c r="M532" s="848">
        <v>31467</v>
      </c>
      <c r="N532" s="758" t="s">
        <v>1110</v>
      </c>
      <c r="O532" s="848">
        <v>43301</v>
      </c>
      <c r="P532" s="758" t="s">
        <v>3572</v>
      </c>
    </row>
    <row r="533" spans="1:16" x14ac:dyDescent="0.25">
      <c r="A533" s="758">
        <v>17</v>
      </c>
      <c r="B533" s="760">
        <v>849215003</v>
      </c>
      <c r="C533" s="758" t="s">
        <v>3172</v>
      </c>
      <c r="D533" s="759" t="s">
        <v>1110</v>
      </c>
      <c r="E533" s="848">
        <v>43440</v>
      </c>
      <c r="F533" s="848">
        <f t="shared" si="14"/>
        <v>43244</v>
      </c>
      <c r="I533" s="758" t="s">
        <v>4003</v>
      </c>
      <c r="J533" s="758" t="s">
        <v>4004</v>
      </c>
      <c r="K533" s="758" t="s">
        <v>4005</v>
      </c>
      <c r="L533" s="758" t="s">
        <v>3641</v>
      </c>
      <c r="M533" s="848">
        <v>33412</v>
      </c>
      <c r="N533" s="758" t="s">
        <v>1110</v>
      </c>
      <c r="O533" s="848">
        <v>43244</v>
      </c>
      <c r="P533" s="758" t="s">
        <v>3572</v>
      </c>
    </row>
    <row r="534" spans="1:16" x14ac:dyDescent="0.25">
      <c r="A534" s="758">
        <v>18</v>
      </c>
      <c r="B534" s="760">
        <v>849216004</v>
      </c>
      <c r="C534" s="758" t="s">
        <v>4006</v>
      </c>
      <c r="D534" s="759" t="s">
        <v>1110</v>
      </c>
      <c r="E534" s="848">
        <v>43440</v>
      </c>
      <c r="F534" s="848">
        <f t="shared" si="14"/>
        <v>43286</v>
      </c>
      <c r="I534" s="758" t="s">
        <v>4007</v>
      </c>
      <c r="J534" s="758" t="s">
        <v>4008</v>
      </c>
      <c r="K534" s="758" t="s">
        <v>4009</v>
      </c>
      <c r="L534" s="758" t="s">
        <v>3571</v>
      </c>
      <c r="M534" s="848">
        <v>34056</v>
      </c>
      <c r="N534" s="758" t="s">
        <v>1110</v>
      </c>
      <c r="O534" s="848">
        <v>43312</v>
      </c>
      <c r="P534" s="758" t="s">
        <v>3572</v>
      </c>
    </row>
    <row r="535" spans="1:16" x14ac:dyDescent="0.25">
      <c r="A535" s="758">
        <v>19</v>
      </c>
      <c r="B535" s="760">
        <v>849215005</v>
      </c>
      <c r="C535" s="758" t="s">
        <v>4010</v>
      </c>
      <c r="D535" s="759" t="s">
        <v>1110</v>
      </c>
      <c r="E535" s="848">
        <v>43440</v>
      </c>
      <c r="F535" s="848">
        <f t="shared" si="14"/>
        <v>43082</v>
      </c>
      <c r="I535" s="758" t="s">
        <v>4011</v>
      </c>
      <c r="J535" s="758" t="s">
        <v>4012</v>
      </c>
      <c r="K535" s="758" t="s">
        <v>4013</v>
      </c>
      <c r="L535" s="758" t="s">
        <v>3908</v>
      </c>
      <c r="M535" s="848">
        <v>32771</v>
      </c>
      <c r="N535" s="758" t="s">
        <v>1110</v>
      </c>
      <c r="O535" s="848">
        <v>43082</v>
      </c>
      <c r="P535" s="758" t="s">
        <v>3572</v>
      </c>
    </row>
    <row r="536" spans="1:16" x14ac:dyDescent="0.25">
      <c r="A536" s="758">
        <v>20</v>
      </c>
      <c r="B536" s="760">
        <v>849216008</v>
      </c>
      <c r="C536" s="758" t="s">
        <v>1531</v>
      </c>
      <c r="D536" s="759" t="s">
        <v>1110</v>
      </c>
      <c r="E536" s="848">
        <v>43440</v>
      </c>
      <c r="F536" s="848">
        <f t="shared" si="14"/>
        <v>43308</v>
      </c>
      <c r="I536" s="758" t="s">
        <v>4014</v>
      </c>
      <c r="J536" s="758" t="s">
        <v>4015</v>
      </c>
      <c r="K536" s="758" t="s">
        <v>4016</v>
      </c>
      <c r="L536" s="758" t="s">
        <v>3571</v>
      </c>
      <c r="M536" s="848">
        <v>32222</v>
      </c>
      <c r="N536" s="758" t="s">
        <v>1110</v>
      </c>
      <c r="O536" s="848">
        <v>43308</v>
      </c>
      <c r="P536" s="758" t="s">
        <v>3572</v>
      </c>
    </row>
    <row r="537" spans="1:16" x14ac:dyDescent="0.25">
      <c r="A537" s="758">
        <v>21</v>
      </c>
      <c r="B537" s="760">
        <v>849216020</v>
      </c>
      <c r="C537" s="758" t="s">
        <v>1545</v>
      </c>
      <c r="D537" s="759" t="s">
        <v>1110</v>
      </c>
      <c r="E537" s="848">
        <v>43440</v>
      </c>
      <c r="F537" s="848">
        <f t="shared" si="14"/>
        <v>43259</v>
      </c>
      <c r="I537" s="758" t="s">
        <v>4017</v>
      </c>
      <c r="J537" s="758" t="s">
        <v>4018</v>
      </c>
      <c r="K537" s="758" t="s">
        <v>4019</v>
      </c>
      <c r="L537" s="758" t="s">
        <v>3571</v>
      </c>
      <c r="M537" s="848">
        <v>34228</v>
      </c>
      <c r="N537" s="758" t="s">
        <v>1110</v>
      </c>
      <c r="O537" s="848">
        <v>43259</v>
      </c>
      <c r="P537" s="758" t="s">
        <v>3572</v>
      </c>
    </row>
    <row r="538" spans="1:16" x14ac:dyDescent="0.25">
      <c r="A538" s="758">
        <v>22</v>
      </c>
      <c r="B538" s="760">
        <v>849214006</v>
      </c>
      <c r="C538" s="758" t="s">
        <v>4020</v>
      </c>
      <c r="D538" s="759" t="s">
        <v>1110</v>
      </c>
      <c r="E538" s="848">
        <v>43440</v>
      </c>
      <c r="F538" s="848">
        <f t="shared" si="14"/>
        <v>43377</v>
      </c>
      <c r="I538" s="758" t="s">
        <v>4021</v>
      </c>
      <c r="J538" s="758" t="s">
        <v>4022</v>
      </c>
      <c r="K538" s="758" t="s">
        <v>4023</v>
      </c>
      <c r="L538" s="758" t="s">
        <v>4024</v>
      </c>
      <c r="M538" s="848">
        <v>33388</v>
      </c>
      <c r="N538" s="758" t="s">
        <v>1110</v>
      </c>
      <c r="O538" s="848">
        <v>43377</v>
      </c>
      <c r="P538" s="758" t="s">
        <v>3572</v>
      </c>
    </row>
    <row r="539" spans="1:16" x14ac:dyDescent="0.25">
      <c r="A539" s="758">
        <v>23</v>
      </c>
      <c r="B539" s="760">
        <v>849213002</v>
      </c>
      <c r="C539" s="758" t="s">
        <v>4025</v>
      </c>
      <c r="D539" s="759" t="s">
        <v>1110</v>
      </c>
      <c r="E539" s="848">
        <v>43440</v>
      </c>
      <c r="F539" s="848">
        <f t="shared" si="14"/>
        <v>43370</v>
      </c>
      <c r="I539" s="758" t="s">
        <v>4026</v>
      </c>
      <c r="J539" s="758" t="s">
        <v>4027</v>
      </c>
      <c r="K539" s="758" t="s">
        <v>4028</v>
      </c>
      <c r="L539" s="758" t="s">
        <v>3641</v>
      </c>
      <c r="M539" s="848">
        <v>32198</v>
      </c>
      <c r="N539" s="758" t="s">
        <v>1110</v>
      </c>
      <c r="O539" s="848">
        <v>43370</v>
      </c>
      <c r="P539" s="758" t="s">
        <v>3572</v>
      </c>
    </row>
    <row r="540" spans="1:16" x14ac:dyDescent="0.25">
      <c r="A540" s="758">
        <v>24</v>
      </c>
      <c r="B540" s="760">
        <v>849216015</v>
      </c>
      <c r="C540" s="758" t="s">
        <v>1537</v>
      </c>
      <c r="D540" s="759" t="s">
        <v>1110</v>
      </c>
      <c r="E540" s="848">
        <v>43440</v>
      </c>
      <c r="F540" s="848">
        <f t="shared" si="14"/>
        <v>43369</v>
      </c>
      <c r="I540" s="758" t="s">
        <v>4029</v>
      </c>
      <c r="J540" s="758" t="s">
        <v>4030</v>
      </c>
      <c r="K540" s="758" t="s">
        <v>4031</v>
      </c>
      <c r="L540" s="758" t="s">
        <v>4032</v>
      </c>
      <c r="M540" s="848">
        <v>30842</v>
      </c>
      <c r="N540" s="758" t="s">
        <v>1110</v>
      </c>
      <c r="O540" s="848">
        <v>43369</v>
      </c>
      <c r="P540" s="758" t="s">
        <v>3572</v>
      </c>
    </row>
    <row r="541" spans="1:16" x14ac:dyDescent="0.25">
      <c r="A541" s="758">
        <v>25</v>
      </c>
      <c r="B541" s="760">
        <v>849315032</v>
      </c>
      <c r="C541" s="758" t="s">
        <v>1348</v>
      </c>
      <c r="D541" s="759" t="s">
        <v>1328</v>
      </c>
      <c r="E541" s="848">
        <v>43440</v>
      </c>
      <c r="F541" s="848">
        <f t="shared" si="14"/>
        <v>43258</v>
      </c>
      <c r="I541" s="758" t="s">
        <v>4033</v>
      </c>
      <c r="J541" s="758" t="s">
        <v>4034</v>
      </c>
      <c r="K541" s="758" t="s">
        <v>4035</v>
      </c>
      <c r="L541" s="758" t="s">
        <v>3571</v>
      </c>
      <c r="M541" s="848">
        <v>33604</v>
      </c>
      <c r="N541" s="758" t="s">
        <v>1328</v>
      </c>
      <c r="O541" s="848">
        <v>43258</v>
      </c>
      <c r="P541" s="758" t="s">
        <v>3572</v>
      </c>
    </row>
    <row r="542" spans="1:16" x14ac:dyDescent="0.25">
      <c r="A542" s="758">
        <v>26</v>
      </c>
      <c r="B542" s="760">
        <v>849316042</v>
      </c>
      <c r="C542" s="758" t="s">
        <v>1654</v>
      </c>
      <c r="D542" s="759" t="s">
        <v>1328</v>
      </c>
      <c r="E542" s="848">
        <v>43440</v>
      </c>
      <c r="F542" s="848">
        <f t="shared" si="14"/>
        <v>43312</v>
      </c>
      <c r="I542" s="758" t="s">
        <v>4036</v>
      </c>
      <c r="J542" s="758" t="s">
        <v>4037</v>
      </c>
      <c r="K542" s="758" t="s">
        <v>4038</v>
      </c>
      <c r="L542" s="758" t="s">
        <v>3641</v>
      </c>
      <c r="M542" s="848">
        <v>32805</v>
      </c>
      <c r="N542" s="758" t="s">
        <v>1328</v>
      </c>
      <c r="O542" s="848">
        <v>43312</v>
      </c>
      <c r="P542" s="758" t="s">
        <v>3572</v>
      </c>
    </row>
    <row r="543" spans="1:16" x14ac:dyDescent="0.25">
      <c r="A543" s="758">
        <v>27</v>
      </c>
      <c r="B543" s="760">
        <v>849315036</v>
      </c>
      <c r="C543" s="758" t="s">
        <v>4039</v>
      </c>
      <c r="D543" s="759" t="s">
        <v>1328</v>
      </c>
      <c r="E543" s="848">
        <v>43440</v>
      </c>
      <c r="F543" s="848">
        <f t="shared" si="14"/>
        <v>43312</v>
      </c>
      <c r="I543" s="758" t="s">
        <v>4040</v>
      </c>
      <c r="J543" s="758" t="s">
        <v>4041</v>
      </c>
      <c r="K543" s="758" t="s">
        <v>4042</v>
      </c>
      <c r="L543" s="758" t="s">
        <v>4043</v>
      </c>
      <c r="M543" s="848">
        <v>32747</v>
      </c>
      <c r="N543" s="758" t="s">
        <v>1328</v>
      </c>
      <c r="O543" s="848">
        <v>43312</v>
      </c>
      <c r="P543" s="758" t="s">
        <v>3572</v>
      </c>
    </row>
    <row r="544" spans="1:16" x14ac:dyDescent="0.25">
      <c r="A544" s="758">
        <v>28</v>
      </c>
      <c r="B544" s="760">
        <v>849316019</v>
      </c>
      <c r="C544" s="758" t="s">
        <v>1629</v>
      </c>
      <c r="D544" s="759" t="s">
        <v>1328</v>
      </c>
      <c r="E544" s="848">
        <v>43440</v>
      </c>
      <c r="F544" s="848">
        <f t="shared" si="14"/>
        <v>43313</v>
      </c>
      <c r="I544" s="758" t="s">
        <v>4044</v>
      </c>
      <c r="J544" s="758" t="s">
        <v>4045</v>
      </c>
      <c r="K544" s="758" t="s">
        <v>4046</v>
      </c>
      <c r="L544" s="758" t="s">
        <v>4047</v>
      </c>
      <c r="M544" s="848">
        <v>32925</v>
      </c>
      <c r="N544" s="758" t="s">
        <v>1328</v>
      </c>
      <c r="O544" s="848">
        <v>43313</v>
      </c>
      <c r="P544" s="758" t="s">
        <v>3572</v>
      </c>
    </row>
    <row r="545" spans="1:16" x14ac:dyDescent="0.25">
      <c r="A545" s="758">
        <v>29</v>
      </c>
      <c r="B545" s="760">
        <v>849315011</v>
      </c>
      <c r="C545" s="758" t="s">
        <v>3173</v>
      </c>
      <c r="D545" s="759" t="s">
        <v>1328</v>
      </c>
      <c r="E545" s="848">
        <v>43440</v>
      </c>
      <c r="F545" s="848">
        <f t="shared" si="14"/>
        <v>43202</v>
      </c>
      <c r="I545" s="758" t="s">
        <v>4048</v>
      </c>
      <c r="J545" s="758" t="s">
        <v>4049</v>
      </c>
      <c r="K545" s="758" t="s">
        <v>4050</v>
      </c>
      <c r="L545" s="758" t="s">
        <v>3571</v>
      </c>
      <c r="M545" s="848">
        <v>30426</v>
      </c>
      <c r="N545" s="758" t="s">
        <v>1328</v>
      </c>
      <c r="O545" s="848">
        <v>43202</v>
      </c>
      <c r="P545" s="758" t="s">
        <v>3572</v>
      </c>
    </row>
    <row r="546" spans="1:16" x14ac:dyDescent="0.25">
      <c r="A546" s="758">
        <v>30</v>
      </c>
      <c r="B546" s="760">
        <v>849315029</v>
      </c>
      <c r="C546" s="758" t="s">
        <v>3174</v>
      </c>
      <c r="D546" s="759" t="s">
        <v>1328</v>
      </c>
      <c r="E546" s="848">
        <v>43440</v>
      </c>
      <c r="F546" s="848">
        <f t="shared" si="14"/>
        <v>43203</v>
      </c>
      <c r="I546" s="758" t="s">
        <v>4051</v>
      </c>
      <c r="J546" s="758" t="s">
        <v>4052</v>
      </c>
      <c r="K546" s="758" t="s">
        <v>4053</v>
      </c>
      <c r="L546" s="758" t="s">
        <v>3576</v>
      </c>
      <c r="M546" s="848">
        <v>33296</v>
      </c>
      <c r="N546" s="758" t="s">
        <v>1328</v>
      </c>
      <c r="O546" s="848">
        <v>43203</v>
      </c>
      <c r="P546" s="758" t="s">
        <v>3572</v>
      </c>
    </row>
    <row r="547" spans="1:16" x14ac:dyDescent="0.25">
      <c r="A547" s="758">
        <v>31</v>
      </c>
      <c r="B547" s="760">
        <v>849316006</v>
      </c>
      <c r="C547" s="758" t="s">
        <v>1616</v>
      </c>
      <c r="D547" s="759" t="s">
        <v>1328</v>
      </c>
      <c r="E547" s="848">
        <v>43440</v>
      </c>
      <c r="F547" s="848">
        <f t="shared" si="14"/>
        <v>43307</v>
      </c>
      <c r="I547" s="758" t="s">
        <v>4054</v>
      </c>
      <c r="J547" s="758" t="s">
        <v>4055</v>
      </c>
      <c r="K547" s="758" t="s">
        <v>4056</v>
      </c>
      <c r="L547" s="758" t="s">
        <v>3908</v>
      </c>
      <c r="M547" s="848">
        <v>34276</v>
      </c>
      <c r="N547" s="758" t="s">
        <v>1328</v>
      </c>
      <c r="O547" s="848">
        <v>43307</v>
      </c>
      <c r="P547" s="758" t="s">
        <v>3572</v>
      </c>
    </row>
    <row r="548" spans="1:16" x14ac:dyDescent="0.25">
      <c r="A548" s="758">
        <v>32</v>
      </c>
      <c r="B548" s="760">
        <v>849316009</v>
      </c>
      <c r="C548" s="758" t="s">
        <v>1619</v>
      </c>
      <c r="D548" s="759" t="s">
        <v>1328</v>
      </c>
      <c r="E548" s="848">
        <v>43440</v>
      </c>
      <c r="F548" s="848">
        <f t="shared" si="14"/>
        <v>43307</v>
      </c>
      <c r="I548" s="758" t="s">
        <v>4057</v>
      </c>
      <c r="J548" s="758" t="s">
        <v>4058</v>
      </c>
      <c r="K548" s="758" t="s">
        <v>4059</v>
      </c>
      <c r="L548" s="758" t="s">
        <v>3641</v>
      </c>
      <c r="M548" s="848">
        <v>33928</v>
      </c>
      <c r="N548" s="758" t="s">
        <v>1328</v>
      </c>
      <c r="O548" s="848">
        <v>43307</v>
      </c>
      <c r="P548" s="758" t="s">
        <v>3572</v>
      </c>
    </row>
    <row r="549" spans="1:16" x14ac:dyDescent="0.25">
      <c r="A549" s="758">
        <v>33</v>
      </c>
      <c r="B549" s="760">
        <v>849315016</v>
      </c>
      <c r="C549" s="760" t="s">
        <v>4060</v>
      </c>
      <c r="D549" s="759" t="s">
        <v>1328</v>
      </c>
      <c r="E549" s="848">
        <v>43440</v>
      </c>
      <c r="F549" s="848">
        <f t="shared" si="14"/>
        <v>43291</v>
      </c>
      <c r="I549" s="758" t="s">
        <v>4061</v>
      </c>
      <c r="J549" s="758" t="s">
        <v>4062</v>
      </c>
      <c r="K549" s="758" t="s">
        <v>4063</v>
      </c>
      <c r="L549" s="758" t="s">
        <v>3571</v>
      </c>
      <c r="M549" s="848">
        <v>32214</v>
      </c>
      <c r="N549" s="758" t="s">
        <v>1328</v>
      </c>
      <c r="O549" s="848">
        <v>43291</v>
      </c>
      <c r="P549" s="758" t="s">
        <v>3572</v>
      </c>
    </row>
    <row r="550" spans="1:16" x14ac:dyDescent="0.25">
      <c r="A550" s="758">
        <v>34</v>
      </c>
      <c r="B550" s="760">
        <v>849315027</v>
      </c>
      <c r="C550" s="758" t="s">
        <v>4064</v>
      </c>
      <c r="D550" s="759" t="s">
        <v>1328</v>
      </c>
      <c r="E550" s="848">
        <v>43440</v>
      </c>
      <c r="F550" s="848">
        <f t="shared" si="14"/>
        <v>43369</v>
      </c>
      <c r="I550" s="758" t="s">
        <v>4065</v>
      </c>
      <c r="J550" s="758" t="s">
        <v>4066</v>
      </c>
      <c r="K550" s="758" t="s">
        <v>4067</v>
      </c>
      <c r="L550" s="758" t="s">
        <v>3641</v>
      </c>
      <c r="M550" s="848">
        <v>32391</v>
      </c>
      <c r="N550" s="758" t="s">
        <v>1328</v>
      </c>
      <c r="O550" s="848">
        <v>43369</v>
      </c>
      <c r="P550" s="758" t="s">
        <v>3572</v>
      </c>
    </row>
    <row r="551" spans="1:16" x14ac:dyDescent="0.25">
      <c r="A551" s="758">
        <v>35</v>
      </c>
      <c r="B551" s="760">
        <v>849416006</v>
      </c>
      <c r="C551" s="758" t="s">
        <v>1670</v>
      </c>
      <c r="D551" s="759" t="s">
        <v>1665</v>
      </c>
      <c r="E551" s="848">
        <v>43440</v>
      </c>
      <c r="F551" s="848">
        <f t="shared" si="14"/>
        <v>43327</v>
      </c>
      <c r="I551" s="758" t="s">
        <v>4068</v>
      </c>
      <c r="J551" s="758" t="s">
        <v>4069</v>
      </c>
      <c r="K551" s="758" t="s">
        <v>4070</v>
      </c>
      <c r="L551" s="758" t="s">
        <v>4071</v>
      </c>
      <c r="M551" s="848">
        <v>30804</v>
      </c>
      <c r="N551" s="758" t="s">
        <v>1665</v>
      </c>
      <c r="O551" s="848">
        <v>43327</v>
      </c>
      <c r="P551" s="758" t="s">
        <v>3572</v>
      </c>
    </row>
    <row r="552" spans="1:16" x14ac:dyDescent="0.25">
      <c r="A552" s="758">
        <v>36</v>
      </c>
      <c r="B552" s="760">
        <v>849416001</v>
      </c>
      <c r="C552" s="758" t="s">
        <v>1664</v>
      </c>
      <c r="D552" s="759" t="s">
        <v>1665</v>
      </c>
      <c r="E552" s="848">
        <v>43440</v>
      </c>
      <c r="F552" s="848">
        <f t="shared" si="14"/>
        <v>43255</v>
      </c>
      <c r="I552" s="758" t="s">
        <v>4072</v>
      </c>
      <c r="J552" s="758" t="s">
        <v>4073</v>
      </c>
      <c r="K552" s="758" t="s">
        <v>4074</v>
      </c>
      <c r="L552" s="758" t="s">
        <v>3571</v>
      </c>
      <c r="M552" s="848">
        <v>30176</v>
      </c>
      <c r="N552" s="758" t="s">
        <v>1665</v>
      </c>
      <c r="O552" s="848">
        <v>43255</v>
      </c>
      <c r="P552" s="758" t="s">
        <v>3572</v>
      </c>
    </row>
    <row r="553" spans="1:16" x14ac:dyDescent="0.25">
      <c r="A553" s="758">
        <v>37</v>
      </c>
      <c r="B553" s="760">
        <v>849416003</v>
      </c>
      <c r="C553" s="758" t="s">
        <v>4075</v>
      </c>
      <c r="D553" s="759" t="s">
        <v>1665</v>
      </c>
      <c r="E553" s="848">
        <v>43440</v>
      </c>
      <c r="F553" s="848">
        <f t="shared" si="14"/>
        <v>43328</v>
      </c>
      <c r="I553" s="758" t="s">
        <v>4076</v>
      </c>
      <c r="J553" s="758" t="s">
        <v>4077</v>
      </c>
      <c r="K553" s="758" t="s">
        <v>4078</v>
      </c>
      <c r="L553" s="758" t="s">
        <v>3641</v>
      </c>
      <c r="M553" s="848">
        <v>34209</v>
      </c>
      <c r="N553" s="758" t="s">
        <v>1665</v>
      </c>
      <c r="O553" s="848">
        <v>43328</v>
      </c>
      <c r="P553" s="758" t="s">
        <v>3572</v>
      </c>
    </row>
    <row r="554" spans="1:16" x14ac:dyDescent="0.25">
      <c r="A554" s="758">
        <v>38</v>
      </c>
      <c r="B554" s="760">
        <v>849415003</v>
      </c>
      <c r="C554" s="758" t="s">
        <v>2538</v>
      </c>
      <c r="D554" s="759" t="s">
        <v>1665</v>
      </c>
      <c r="E554" s="848">
        <v>43440</v>
      </c>
      <c r="F554" s="848">
        <f t="shared" si="14"/>
        <v>43306</v>
      </c>
      <c r="I554" s="758" t="s">
        <v>4079</v>
      </c>
      <c r="J554" s="758" t="s">
        <v>4080</v>
      </c>
      <c r="K554" s="758" t="s">
        <v>4081</v>
      </c>
      <c r="L554" s="758" t="s">
        <v>3571</v>
      </c>
      <c r="M554" s="848">
        <v>33960</v>
      </c>
      <c r="N554" s="758" t="s">
        <v>1665</v>
      </c>
      <c r="O554" s="848">
        <v>43306</v>
      </c>
      <c r="P554" s="758" t="s">
        <v>3572</v>
      </c>
    </row>
    <row r="555" spans="1:16" x14ac:dyDescent="0.25">
      <c r="A555" s="758">
        <v>39</v>
      </c>
      <c r="B555" s="760">
        <v>839116017</v>
      </c>
      <c r="C555" s="758" t="s">
        <v>1593</v>
      </c>
      <c r="D555" s="759" t="s">
        <v>848</v>
      </c>
      <c r="E555" s="848">
        <v>43440</v>
      </c>
      <c r="F555" s="848">
        <f t="shared" si="14"/>
        <v>43307</v>
      </c>
      <c r="I555" s="758" t="s">
        <v>4082</v>
      </c>
      <c r="J555" s="758" t="s">
        <v>4083</v>
      </c>
      <c r="K555" s="758" t="s">
        <v>4084</v>
      </c>
      <c r="L555" s="758" t="s">
        <v>3571</v>
      </c>
      <c r="M555" s="848">
        <v>32656</v>
      </c>
      <c r="N555" s="758" t="s">
        <v>848</v>
      </c>
      <c r="O555" s="848">
        <v>43307</v>
      </c>
      <c r="P555" s="758" t="s">
        <v>3622</v>
      </c>
    </row>
    <row r="556" spans="1:16" x14ac:dyDescent="0.25">
      <c r="A556" s="758">
        <v>40</v>
      </c>
      <c r="B556" s="760">
        <v>839116018</v>
      </c>
      <c r="C556" s="758" t="s">
        <v>1594</v>
      </c>
      <c r="D556" s="759" t="s">
        <v>848</v>
      </c>
      <c r="E556" s="848">
        <v>43440</v>
      </c>
      <c r="F556" s="848">
        <f>IFERROR(VLOOKUP(B556,Tlus,3,FALSE),"   ")</f>
        <v>43314</v>
      </c>
      <c r="I556" s="758" t="s">
        <v>4085</v>
      </c>
      <c r="J556" s="758" t="s">
        <v>4086</v>
      </c>
      <c r="K556" s="758" t="s">
        <v>4087</v>
      </c>
      <c r="L556" s="758" t="s">
        <v>3571</v>
      </c>
      <c r="M556" s="848">
        <v>32514</v>
      </c>
      <c r="N556" s="758" t="s">
        <v>848</v>
      </c>
      <c r="O556" s="848">
        <v>43314</v>
      </c>
      <c r="P556" s="758" t="s">
        <v>3622</v>
      </c>
    </row>
    <row r="557" spans="1:16" x14ac:dyDescent="0.25">
      <c r="A557" s="758">
        <v>41</v>
      </c>
      <c r="B557" s="760">
        <v>839114006</v>
      </c>
      <c r="C557" s="758" t="s">
        <v>4088</v>
      </c>
      <c r="D557" s="759" t="s">
        <v>848</v>
      </c>
      <c r="E557" s="848">
        <v>43440</v>
      </c>
      <c r="F557" s="848">
        <f t="shared" si="14"/>
        <v>42900</v>
      </c>
      <c r="I557" s="758" t="s">
        <v>4089</v>
      </c>
      <c r="J557" s="758" t="s">
        <v>4090</v>
      </c>
      <c r="K557" s="758" t="s">
        <v>4091</v>
      </c>
      <c r="L557" s="758" t="s">
        <v>3641</v>
      </c>
      <c r="M557" s="848">
        <v>28690</v>
      </c>
      <c r="N557" s="758" t="s">
        <v>848</v>
      </c>
      <c r="O557" s="848">
        <v>42900</v>
      </c>
      <c r="P557" s="758" t="s">
        <v>3622</v>
      </c>
    </row>
    <row r="558" spans="1:16" x14ac:dyDescent="0.25">
      <c r="A558" s="758">
        <v>42</v>
      </c>
      <c r="B558" s="760">
        <v>839130002</v>
      </c>
      <c r="C558" s="758" t="s">
        <v>4092</v>
      </c>
      <c r="D558" s="759" t="s">
        <v>848</v>
      </c>
      <c r="E558" s="848">
        <v>43440</v>
      </c>
      <c r="F558" s="848">
        <f t="shared" si="14"/>
        <v>43300</v>
      </c>
      <c r="I558" s="758" t="s">
        <v>4093</v>
      </c>
      <c r="J558" s="758" t="s">
        <v>4094</v>
      </c>
      <c r="K558" s="758" t="s">
        <v>4095</v>
      </c>
      <c r="L558" s="758" t="s">
        <v>3571</v>
      </c>
      <c r="M558" s="848">
        <v>30991</v>
      </c>
      <c r="N558" s="758" t="s">
        <v>848</v>
      </c>
      <c r="O558" s="848">
        <v>43319</v>
      </c>
      <c r="P558" s="758" t="s">
        <v>3622</v>
      </c>
    </row>
    <row r="559" spans="1:16" x14ac:dyDescent="0.25">
      <c r="A559" s="758">
        <v>43</v>
      </c>
      <c r="B559" s="760">
        <v>839114008</v>
      </c>
      <c r="C559" s="758" t="s">
        <v>4096</v>
      </c>
      <c r="D559" s="759" t="s">
        <v>1110</v>
      </c>
      <c r="E559" s="848">
        <v>43440</v>
      </c>
      <c r="F559" s="848">
        <f t="shared" si="14"/>
        <v>43314</v>
      </c>
      <c r="I559" s="758" t="s">
        <v>4097</v>
      </c>
      <c r="J559" s="758" t="s">
        <v>4098</v>
      </c>
      <c r="K559" s="758" t="s">
        <v>4099</v>
      </c>
      <c r="L559" s="758" t="s">
        <v>4100</v>
      </c>
      <c r="M559" s="848">
        <v>29239</v>
      </c>
      <c r="N559" s="758" t="s">
        <v>848</v>
      </c>
      <c r="O559" s="848">
        <v>43314</v>
      </c>
      <c r="P559" s="758" t="s">
        <v>3622</v>
      </c>
    </row>
    <row r="560" spans="1:16" x14ac:dyDescent="0.25">
      <c r="A560" s="758">
        <v>44</v>
      </c>
      <c r="B560" s="760">
        <v>839216003</v>
      </c>
      <c r="C560" s="758" t="s">
        <v>4101</v>
      </c>
      <c r="D560" s="759" t="s">
        <v>1195</v>
      </c>
      <c r="E560" s="848">
        <v>43440</v>
      </c>
      <c r="F560" s="848">
        <f t="shared" si="14"/>
        <v>43361</v>
      </c>
      <c r="I560" s="758" t="s">
        <v>4102</v>
      </c>
      <c r="J560" s="758" t="s">
        <v>4103</v>
      </c>
      <c r="K560" s="758" t="s">
        <v>4104</v>
      </c>
      <c r="L560" s="758" t="s">
        <v>3571</v>
      </c>
      <c r="M560" s="848">
        <v>33270</v>
      </c>
      <c r="N560" s="758" t="s">
        <v>1195</v>
      </c>
      <c r="O560" s="848">
        <v>43361</v>
      </c>
      <c r="P560" s="758" t="s">
        <v>3642</v>
      </c>
    </row>
    <row r="561" spans="1:16" x14ac:dyDescent="0.25">
      <c r="A561" s="758">
        <v>45</v>
      </c>
      <c r="B561" s="760">
        <v>839216001</v>
      </c>
      <c r="C561" s="758" t="s">
        <v>4105</v>
      </c>
      <c r="D561" s="759" t="s">
        <v>1195</v>
      </c>
      <c r="E561" s="848">
        <v>43440</v>
      </c>
      <c r="F561" s="848">
        <f t="shared" si="14"/>
        <v>43336</v>
      </c>
      <c r="I561" s="758" t="s">
        <v>4106</v>
      </c>
      <c r="J561" s="758" t="s">
        <v>4107</v>
      </c>
      <c r="K561" s="758" t="s">
        <v>4108</v>
      </c>
      <c r="L561" s="758" t="s">
        <v>3571</v>
      </c>
      <c r="M561" s="848">
        <v>33979</v>
      </c>
      <c r="N561" s="758" t="s">
        <v>1195</v>
      </c>
      <c r="O561" s="848">
        <v>43336</v>
      </c>
      <c r="P561" s="758" t="s">
        <v>3642</v>
      </c>
    </row>
    <row r="562" spans="1:16" x14ac:dyDescent="0.25">
      <c r="A562" s="758">
        <v>46</v>
      </c>
      <c r="B562" s="760">
        <v>839216025</v>
      </c>
      <c r="C562" s="758" t="s">
        <v>1572</v>
      </c>
      <c r="D562" s="759" t="s">
        <v>1195</v>
      </c>
      <c r="E562" s="848">
        <v>43440</v>
      </c>
      <c r="F562" s="848">
        <f t="shared" si="14"/>
        <v>43375</v>
      </c>
      <c r="I562" s="758" t="s">
        <v>4109</v>
      </c>
      <c r="J562" s="758" t="s">
        <v>4110</v>
      </c>
      <c r="K562" s="758" t="s">
        <v>4111</v>
      </c>
      <c r="L562" s="758" t="s">
        <v>3908</v>
      </c>
      <c r="M562" s="848">
        <v>34113</v>
      </c>
      <c r="N562" s="758" t="s">
        <v>1195</v>
      </c>
      <c r="O562" s="848">
        <v>43375</v>
      </c>
      <c r="P562" s="758" t="s">
        <v>3642</v>
      </c>
    </row>
    <row r="563" spans="1:16" x14ac:dyDescent="0.25">
      <c r="A563" s="758">
        <v>47</v>
      </c>
      <c r="B563" s="760">
        <v>839216015</v>
      </c>
      <c r="C563" s="758" t="s">
        <v>4112</v>
      </c>
      <c r="D563" s="759" t="s">
        <v>1195</v>
      </c>
      <c r="E563" s="848">
        <v>43440</v>
      </c>
      <c r="F563" s="848">
        <f t="shared" si="14"/>
        <v>43410</v>
      </c>
      <c r="I563" s="758" t="s">
        <v>4113</v>
      </c>
      <c r="J563" s="758" t="s">
        <v>4114</v>
      </c>
      <c r="K563" s="758" t="s">
        <v>4115</v>
      </c>
      <c r="L563" s="758" t="s">
        <v>3571</v>
      </c>
      <c r="M563" s="848">
        <v>34141</v>
      </c>
      <c r="N563" s="758" t="s">
        <v>1195</v>
      </c>
      <c r="O563" s="848">
        <v>43410</v>
      </c>
      <c r="P563" s="758" t="s">
        <v>3642</v>
      </c>
    </row>
    <row r="564" spans="1:16" x14ac:dyDescent="0.25">
      <c r="A564" s="758">
        <v>48</v>
      </c>
      <c r="B564" s="760">
        <v>839216011</v>
      </c>
      <c r="C564" s="758" t="s">
        <v>1557</v>
      </c>
      <c r="D564" s="759" t="s">
        <v>1195</v>
      </c>
      <c r="E564" s="848">
        <v>43440</v>
      </c>
      <c r="F564" s="848">
        <f t="shared" si="14"/>
        <v>43361</v>
      </c>
      <c r="I564" s="758" t="s">
        <v>4116</v>
      </c>
      <c r="J564" s="758" t="s">
        <v>4117</v>
      </c>
      <c r="K564" s="758" t="s">
        <v>4118</v>
      </c>
      <c r="L564" s="758" t="s">
        <v>3571</v>
      </c>
      <c r="M564" s="848">
        <v>30866</v>
      </c>
      <c r="N564" s="758" t="s">
        <v>1195</v>
      </c>
      <c r="O564" s="848">
        <v>43361</v>
      </c>
      <c r="P564" s="758" t="s">
        <v>3642</v>
      </c>
    </row>
    <row r="565" spans="1:16" x14ac:dyDescent="0.25">
      <c r="A565" s="758">
        <v>49</v>
      </c>
      <c r="B565" s="760">
        <v>839216017</v>
      </c>
      <c r="C565" s="758" t="s">
        <v>1564</v>
      </c>
      <c r="D565" s="759" t="s">
        <v>1195</v>
      </c>
      <c r="E565" s="848">
        <v>43440</v>
      </c>
      <c r="F565" s="848">
        <f t="shared" si="14"/>
        <v>43342</v>
      </c>
      <c r="I565" s="758" t="s">
        <v>4119</v>
      </c>
      <c r="J565" s="758" t="s">
        <v>4120</v>
      </c>
      <c r="K565" s="758" t="s">
        <v>4121</v>
      </c>
      <c r="L565" s="758" t="s">
        <v>3571</v>
      </c>
      <c r="M565" s="848">
        <v>31280</v>
      </c>
      <c r="N565" s="758" t="s">
        <v>1195</v>
      </c>
      <c r="O565" s="848">
        <v>43342</v>
      </c>
      <c r="P565" s="758" t="s">
        <v>3642</v>
      </c>
    </row>
    <row r="566" spans="1:16" x14ac:dyDescent="0.25">
      <c r="B566" s="760"/>
      <c r="F566" s="848" t="str">
        <f t="shared" si="11"/>
        <v xml:space="preserve">   </v>
      </c>
    </row>
    <row r="567" spans="1:16" x14ac:dyDescent="0.25">
      <c r="A567" s="758">
        <v>1</v>
      </c>
      <c r="B567" s="760">
        <v>849116033</v>
      </c>
      <c r="C567" s="758" t="s">
        <v>1713</v>
      </c>
      <c r="D567" s="759" t="s">
        <v>527</v>
      </c>
      <c r="E567" s="848">
        <v>43587</v>
      </c>
      <c r="F567" s="848">
        <f t="shared" ref="F567:F599" si="15">IFERROR(VLOOKUP(B567,Tlus,3,FALSE),"   ")</f>
        <v>43116</v>
      </c>
      <c r="I567" s="758" t="s">
        <v>4122</v>
      </c>
      <c r="J567" s="758" t="s">
        <v>4123</v>
      </c>
      <c r="K567" s="758" t="s">
        <v>4124</v>
      </c>
      <c r="L567" s="758" t="s">
        <v>4125</v>
      </c>
      <c r="M567" s="848">
        <v>34262</v>
      </c>
      <c r="N567" s="758" t="s">
        <v>527</v>
      </c>
      <c r="O567" s="848">
        <v>43481</v>
      </c>
      <c r="P567" s="758" t="s">
        <v>3572</v>
      </c>
    </row>
    <row r="568" spans="1:16" x14ac:dyDescent="0.25">
      <c r="A568" s="758">
        <v>2</v>
      </c>
      <c r="B568" s="760">
        <v>849116034</v>
      </c>
      <c r="C568" s="758" t="s">
        <v>1714</v>
      </c>
      <c r="D568" s="759" t="s">
        <v>527</v>
      </c>
      <c r="E568" s="848">
        <v>43587</v>
      </c>
      <c r="F568" s="848">
        <f t="shared" si="15"/>
        <v>43475</v>
      </c>
      <c r="I568" s="758" t="s">
        <v>4126</v>
      </c>
      <c r="J568" s="758" t="s">
        <v>4127</v>
      </c>
      <c r="K568" s="758" t="s">
        <v>4128</v>
      </c>
      <c r="L568" s="758" t="s">
        <v>3576</v>
      </c>
      <c r="M568" s="848">
        <v>30752</v>
      </c>
      <c r="N568" s="758" t="s">
        <v>527</v>
      </c>
      <c r="O568" s="848">
        <v>43475</v>
      </c>
      <c r="P568" s="758" t="s">
        <v>3572</v>
      </c>
    </row>
    <row r="569" spans="1:16" x14ac:dyDescent="0.25">
      <c r="A569" s="758">
        <v>3</v>
      </c>
      <c r="B569" s="760">
        <v>849114022</v>
      </c>
      <c r="C569" s="758" t="s">
        <v>4129</v>
      </c>
      <c r="D569" s="759" t="s">
        <v>527</v>
      </c>
      <c r="E569" s="848">
        <v>43587</v>
      </c>
      <c r="F569" s="848">
        <f t="shared" si="15"/>
        <v>43460</v>
      </c>
      <c r="I569" s="758" t="s">
        <v>4130</v>
      </c>
      <c r="J569" s="758" t="s">
        <v>4131</v>
      </c>
      <c r="K569" s="758" t="s">
        <v>4132</v>
      </c>
      <c r="L569" s="758" t="s">
        <v>3571</v>
      </c>
      <c r="M569" s="848">
        <v>33817</v>
      </c>
      <c r="N569" s="758" t="s">
        <v>527</v>
      </c>
      <c r="O569" s="848">
        <v>43460</v>
      </c>
      <c r="P569" s="758" t="s">
        <v>3572</v>
      </c>
    </row>
    <row r="570" spans="1:16" x14ac:dyDescent="0.25">
      <c r="A570" s="758">
        <v>4</v>
      </c>
      <c r="B570" s="760">
        <v>849115001</v>
      </c>
      <c r="C570" s="758" t="s">
        <v>4133</v>
      </c>
      <c r="D570" s="759" t="s">
        <v>527</v>
      </c>
      <c r="E570" s="848">
        <v>43587</v>
      </c>
      <c r="F570" s="848">
        <f t="shared" si="15"/>
        <v>43405</v>
      </c>
      <c r="I570" s="758" t="s">
        <v>4134</v>
      </c>
      <c r="J570" s="758" t="s">
        <v>4135</v>
      </c>
      <c r="K570" s="758" t="s">
        <v>4136</v>
      </c>
      <c r="L570" s="758" t="s">
        <v>4137</v>
      </c>
      <c r="M570" s="848">
        <v>32065</v>
      </c>
      <c r="N570" s="758" t="s">
        <v>527</v>
      </c>
      <c r="O570" s="848">
        <v>43405</v>
      </c>
      <c r="P570" s="758" t="s">
        <v>3572</v>
      </c>
    </row>
    <row r="571" spans="1:16" x14ac:dyDescent="0.25">
      <c r="A571" s="758">
        <v>5</v>
      </c>
      <c r="B571" s="760">
        <v>849116024</v>
      </c>
      <c r="C571" s="758" t="s">
        <v>1705</v>
      </c>
      <c r="D571" s="759" t="s">
        <v>527</v>
      </c>
      <c r="E571" s="848">
        <v>43587</v>
      </c>
      <c r="F571" s="848">
        <f t="shared" si="15"/>
        <v>43489</v>
      </c>
      <c r="I571" s="758" t="s">
        <v>4138</v>
      </c>
      <c r="J571" s="758" t="s">
        <v>4139</v>
      </c>
      <c r="K571" s="758" t="s">
        <v>4140</v>
      </c>
      <c r="L571" s="758" t="s">
        <v>3571</v>
      </c>
      <c r="M571" s="848">
        <v>28086</v>
      </c>
      <c r="N571" s="758" t="s">
        <v>527</v>
      </c>
      <c r="O571" s="848">
        <v>43489</v>
      </c>
      <c r="P571" s="758" t="s">
        <v>3572</v>
      </c>
    </row>
    <row r="572" spans="1:16" x14ac:dyDescent="0.25">
      <c r="A572" s="758">
        <v>6</v>
      </c>
      <c r="B572" s="760">
        <v>849116006</v>
      </c>
      <c r="C572" s="758" t="s">
        <v>1686</v>
      </c>
      <c r="D572" s="759" t="s">
        <v>527</v>
      </c>
      <c r="E572" s="848">
        <v>43587</v>
      </c>
      <c r="F572" s="848">
        <f t="shared" si="15"/>
        <v>43489</v>
      </c>
      <c r="I572" s="758" t="s">
        <v>4141</v>
      </c>
      <c r="J572" s="758" t="s">
        <v>4142</v>
      </c>
      <c r="K572" s="758" t="s">
        <v>4143</v>
      </c>
      <c r="L572" s="758" t="s">
        <v>4144</v>
      </c>
      <c r="M572" s="848">
        <v>33724</v>
      </c>
      <c r="N572" s="758" t="s">
        <v>527</v>
      </c>
      <c r="O572" s="848">
        <v>43489</v>
      </c>
      <c r="P572" s="758" t="s">
        <v>3572</v>
      </c>
    </row>
    <row r="573" spans="1:16" x14ac:dyDescent="0.25">
      <c r="A573" s="758">
        <v>7</v>
      </c>
      <c r="B573" s="760">
        <v>849115015</v>
      </c>
      <c r="C573" s="758" t="s">
        <v>3003</v>
      </c>
      <c r="D573" s="759" t="s">
        <v>527</v>
      </c>
      <c r="E573" s="848">
        <v>43587</v>
      </c>
      <c r="F573" s="848">
        <f t="shared" si="15"/>
        <v>43480</v>
      </c>
      <c r="I573" s="758" t="s">
        <v>4145</v>
      </c>
      <c r="J573" s="758" t="s">
        <v>4146</v>
      </c>
      <c r="K573" s="758" t="s">
        <v>4147</v>
      </c>
      <c r="L573" s="758" t="s">
        <v>3571</v>
      </c>
      <c r="M573" s="848">
        <v>32306</v>
      </c>
      <c r="N573" s="758" t="s">
        <v>527</v>
      </c>
      <c r="O573" s="848">
        <v>43480</v>
      </c>
      <c r="P573" s="758" t="s">
        <v>3572</v>
      </c>
    </row>
    <row r="574" spans="1:16" x14ac:dyDescent="0.25">
      <c r="A574" s="758">
        <v>8</v>
      </c>
      <c r="B574" s="760">
        <v>849113069</v>
      </c>
      <c r="C574" s="758" t="s">
        <v>2989</v>
      </c>
      <c r="D574" s="759" t="s">
        <v>527</v>
      </c>
      <c r="E574" s="848">
        <v>43587</v>
      </c>
      <c r="F574" s="848">
        <f t="shared" si="15"/>
        <v>43467</v>
      </c>
      <c r="I574" s="758" t="s">
        <v>4148</v>
      </c>
      <c r="J574" s="758" t="s">
        <v>4149</v>
      </c>
      <c r="K574" s="758" t="s">
        <v>4150</v>
      </c>
      <c r="L574" s="758" t="s">
        <v>3571</v>
      </c>
      <c r="M574" s="848">
        <v>32615</v>
      </c>
      <c r="N574" s="758" t="s">
        <v>527</v>
      </c>
      <c r="O574" s="848">
        <v>43467</v>
      </c>
      <c r="P574" s="758" t="s">
        <v>3572</v>
      </c>
    </row>
    <row r="575" spans="1:16" x14ac:dyDescent="0.25">
      <c r="A575" s="758">
        <v>9</v>
      </c>
      <c r="B575" s="760">
        <v>849115014</v>
      </c>
      <c r="C575" s="758" t="s">
        <v>3002</v>
      </c>
      <c r="D575" s="759" t="s">
        <v>527</v>
      </c>
      <c r="E575" s="848">
        <v>43587</v>
      </c>
      <c r="F575" s="848">
        <f t="shared" si="15"/>
        <v>43482</v>
      </c>
      <c r="I575" s="758" t="s">
        <v>4151</v>
      </c>
      <c r="J575" s="758" t="s">
        <v>4152</v>
      </c>
      <c r="K575" s="758" t="s">
        <v>4153</v>
      </c>
      <c r="L575" s="758" t="s">
        <v>3641</v>
      </c>
      <c r="M575" s="848" t="s">
        <v>4154</v>
      </c>
      <c r="N575" s="758" t="s">
        <v>527</v>
      </c>
      <c r="O575" s="848">
        <v>43482</v>
      </c>
      <c r="P575" s="758" t="s">
        <v>3572</v>
      </c>
    </row>
    <row r="576" spans="1:16" x14ac:dyDescent="0.25">
      <c r="A576" s="758">
        <v>10</v>
      </c>
      <c r="B576" s="760">
        <v>849116020</v>
      </c>
      <c r="C576" s="758" t="s">
        <v>1700</v>
      </c>
      <c r="D576" s="759" t="s">
        <v>527</v>
      </c>
      <c r="E576" s="848">
        <v>43587</v>
      </c>
      <c r="F576" s="848">
        <f t="shared" si="15"/>
        <v>43481</v>
      </c>
      <c r="I576" s="758" t="s">
        <v>4155</v>
      </c>
      <c r="J576" s="758" t="s">
        <v>4156</v>
      </c>
      <c r="K576" s="758" t="s">
        <v>4157</v>
      </c>
      <c r="L576" s="758" t="s">
        <v>3571</v>
      </c>
      <c r="M576" s="848">
        <v>30502</v>
      </c>
      <c r="N576" s="758" t="s">
        <v>527</v>
      </c>
      <c r="O576" s="848">
        <v>43481</v>
      </c>
      <c r="P576" s="758" t="s">
        <v>3572</v>
      </c>
    </row>
    <row r="577" spans="1:16" x14ac:dyDescent="0.25">
      <c r="A577" s="758">
        <v>11</v>
      </c>
      <c r="B577" s="760">
        <v>849116016</v>
      </c>
      <c r="C577" s="758" t="s">
        <v>1696</v>
      </c>
      <c r="D577" s="759" t="s">
        <v>527</v>
      </c>
      <c r="E577" s="848">
        <v>43587</v>
      </c>
      <c r="F577" s="848">
        <f t="shared" si="15"/>
        <v>43563</v>
      </c>
      <c r="I577" s="758" t="s">
        <v>4158</v>
      </c>
      <c r="J577" s="758" t="s">
        <v>4159</v>
      </c>
      <c r="K577" s="758" t="s">
        <v>4160</v>
      </c>
      <c r="L577" s="758" t="s">
        <v>3706</v>
      </c>
      <c r="M577" s="848">
        <v>29124</v>
      </c>
      <c r="N577" s="758" t="s">
        <v>527</v>
      </c>
      <c r="O577" s="848">
        <v>43563</v>
      </c>
      <c r="P577" s="758" t="s">
        <v>3572</v>
      </c>
    </row>
    <row r="578" spans="1:16" x14ac:dyDescent="0.25">
      <c r="A578" s="758">
        <v>12</v>
      </c>
      <c r="B578" s="760">
        <v>849116019</v>
      </c>
      <c r="C578" s="758" t="s">
        <v>3012</v>
      </c>
      <c r="D578" s="759" t="s">
        <v>527</v>
      </c>
      <c r="E578" s="848">
        <v>43587</v>
      </c>
      <c r="F578" s="848">
        <f t="shared" si="15"/>
        <v>43482</v>
      </c>
      <c r="I578" s="758" t="s">
        <v>4161</v>
      </c>
      <c r="J578" s="758" t="s">
        <v>4162</v>
      </c>
      <c r="K578" s="758" t="s">
        <v>4163</v>
      </c>
      <c r="L578" s="758" t="s">
        <v>4164</v>
      </c>
      <c r="M578" s="848">
        <v>33395</v>
      </c>
      <c r="N578" s="758" t="s">
        <v>527</v>
      </c>
      <c r="O578" s="848">
        <v>43482</v>
      </c>
      <c r="P578" s="758" t="s">
        <v>3572</v>
      </c>
    </row>
    <row r="579" spans="1:16" x14ac:dyDescent="0.25">
      <c r="A579" s="758">
        <v>13</v>
      </c>
      <c r="B579" s="760">
        <v>849114025</v>
      </c>
      <c r="C579" s="758" t="s">
        <v>4165</v>
      </c>
      <c r="D579" s="759" t="s">
        <v>527</v>
      </c>
      <c r="E579" s="848">
        <v>43587</v>
      </c>
      <c r="F579" s="848">
        <f t="shared" si="15"/>
        <v>43454</v>
      </c>
      <c r="I579" s="758" t="s">
        <v>4166</v>
      </c>
      <c r="J579" s="758" t="s">
        <v>4167</v>
      </c>
      <c r="K579" s="758" t="s">
        <v>4168</v>
      </c>
      <c r="L579" s="758" t="s">
        <v>4169</v>
      </c>
      <c r="M579" s="848">
        <v>33243</v>
      </c>
      <c r="N579" s="758" t="s">
        <v>527</v>
      </c>
      <c r="O579" s="848">
        <v>43454</v>
      </c>
      <c r="P579" s="758" t="s">
        <v>3572</v>
      </c>
    </row>
    <row r="580" spans="1:16" x14ac:dyDescent="0.25">
      <c r="A580" s="758">
        <v>14</v>
      </c>
      <c r="B580" s="760">
        <v>849113008</v>
      </c>
      <c r="C580" s="758" t="s">
        <v>4170</v>
      </c>
      <c r="D580" s="759" t="s">
        <v>527</v>
      </c>
      <c r="E580" s="848">
        <v>43587</v>
      </c>
      <c r="F580" s="848">
        <f t="shared" si="15"/>
        <v>43370</v>
      </c>
      <c r="I580" s="758" t="s">
        <v>4171</v>
      </c>
      <c r="J580" s="758" t="s">
        <v>4172</v>
      </c>
      <c r="K580" s="758" t="s">
        <v>4173</v>
      </c>
      <c r="L580" s="758" t="s">
        <v>3571</v>
      </c>
      <c r="M580" s="848">
        <v>32029</v>
      </c>
      <c r="N580" s="758" t="s">
        <v>527</v>
      </c>
      <c r="O580" s="848">
        <v>43370</v>
      </c>
      <c r="P580" s="758" t="s">
        <v>3572</v>
      </c>
    </row>
    <row r="581" spans="1:16" x14ac:dyDescent="0.25">
      <c r="A581" s="758">
        <v>15</v>
      </c>
      <c r="B581" s="760">
        <v>849216001</v>
      </c>
      <c r="C581" s="758" t="s">
        <v>1525</v>
      </c>
      <c r="D581" s="759" t="s">
        <v>1110</v>
      </c>
      <c r="E581" s="848">
        <v>43587</v>
      </c>
      <c r="F581" s="848">
        <f t="shared" si="15"/>
        <v>43502</v>
      </c>
      <c r="I581" s="758" t="s">
        <v>4174</v>
      </c>
      <c r="J581" s="758" t="s">
        <v>4175</v>
      </c>
      <c r="K581" s="758" t="s">
        <v>4176</v>
      </c>
      <c r="L581" s="758" t="s">
        <v>3908</v>
      </c>
      <c r="M581" s="848">
        <v>33798</v>
      </c>
      <c r="N581" s="758" t="s">
        <v>1110</v>
      </c>
      <c r="O581" s="848">
        <v>43502</v>
      </c>
      <c r="P581" s="758" t="s">
        <v>3572</v>
      </c>
    </row>
    <row r="582" spans="1:16" x14ac:dyDescent="0.25">
      <c r="A582" s="758">
        <v>16</v>
      </c>
      <c r="B582" s="760">
        <v>849216012</v>
      </c>
      <c r="C582" s="758" t="s">
        <v>1535</v>
      </c>
      <c r="D582" s="759" t="s">
        <v>1110</v>
      </c>
      <c r="E582" s="848">
        <v>43587</v>
      </c>
      <c r="F582" s="848">
        <f t="shared" si="15"/>
        <v>43467</v>
      </c>
      <c r="I582" s="758" t="s">
        <v>4177</v>
      </c>
      <c r="J582" s="758" t="s">
        <v>4178</v>
      </c>
      <c r="K582" s="758" t="s">
        <v>4179</v>
      </c>
      <c r="L582" s="758" t="s">
        <v>3571</v>
      </c>
      <c r="M582" s="848">
        <v>34213</v>
      </c>
      <c r="N582" s="758" t="s">
        <v>1110</v>
      </c>
      <c r="O582" s="848">
        <v>43467</v>
      </c>
      <c r="P582" s="758" t="s">
        <v>3572</v>
      </c>
    </row>
    <row r="583" spans="1:16" x14ac:dyDescent="0.25">
      <c r="A583" s="758">
        <v>33</v>
      </c>
      <c r="B583" s="760">
        <v>849216010</v>
      </c>
      <c r="C583" s="758" t="s">
        <v>1533</v>
      </c>
      <c r="D583" s="759" t="s">
        <v>1110</v>
      </c>
      <c r="E583" s="848">
        <v>43587</v>
      </c>
      <c r="F583" s="848">
        <f>IFERROR(VLOOKUP(B583,Tlus,3,FALSE),"   ")</f>
        <v>43480</v>
      </c>
      <c r="I583" s="758" t="s">
        <v>4180</v>
      </c>
      <c r="J583" s="758" t="s">
        <v>4181</v>
      </c>
      <c r="K583" s="758" t="s">
        <v>4182</v>
      </c>
      <c r="L583" s="758" t="s">
        <v>3571</v>
      </c>
      <c r="M583" s="848">
        <v>33790</v>
      </c>
      <c r="N583" s="758" t="s">
        <v>1110</v>
      </c>
      <c r="O583" s="848">
        <v>43480</v>
      </c>
      <c r="P583" s="758" t="s">
        <v>3572</v>
      </c>
    </row>
    <row r="584" spans="1:16" x14ac:dyDescent="0.25">
      <c r="A584" s="758">
        <v>17</v>
      </c>
      <c r="B584" s="760">
        <v>849315009</v>
      </c>
      <c r="C584" s="758" t="s">
        <v>4183</v>
      </c>
      <c r="D584" s="759" t="s">
        <v>1328</v>
      </c>
      <c r="E584" s="848">
        <v>43587</v>
      </c>
      <c r="F584" s="848">
        <f t="shared" si="15"/>
        <v>43454</v>
      </c>
      <c r="I584" s="758" t="s">
        <v>4184</v>
      </c>
      <c r="J584" s="758" t="s">
        <v>4185</v>
      </c>
      <c r="K584" s="758" t="s">
        <v>4186</v>
      </c>
      <c r="L584" s="758" t="s">
        <v>3571</v>
      </c>
      <c r="M584" s="848">
        <v>34121</v>
      </c>
      <c r="N584" s="758" t="s">
        <v>1328</v>
      </c>
      <c r="O584" s="848">
        <v>43454</v>
      </c>
      <c r="P584" s="758" t="s">
        <v>3572</v>
      </c>
    </row>
    <row r="585" spans="1:16" x14ac:dyDescent="0.25">
      <c r="A585" s="758">
        <v>18</v>
      </c>
      <c r="B585" s="760">
        <v>849316013</v>
      </c>
      <c r="C585" s="758" t="s">
        <v>2513</v>
      </c>
      <c r="D585" s="759" t="s">
        <v>1328</v>
      </c>
      <c r="E585" s="848">
        <v>43587</v>
      </c>
      <c r="F585" s="848">
        <f t="shared" si="15"/>
        <v>43497</v>
      </c>
      <c r="I585" s="758" t="s">
        <v>4187</v>
      </c>
      <c r="J585" s="758" t="s">
        <v>4188</v>
      </c>
      <c r="K585" s="758" t="s">
        <v>4189</v>
      </c>
      <c r="L585" s="758" t="s">
        <v>3571</v>
      </c>
      <c r="M585" s="848">
        <v>33999</v>
      </c>
      <c r="N585" s="758" t="s">
        <v>1328</v>
      </c>
      <c r="O585" s="848">
        <v>43497</v>
      </c>
      <c r="P585" s="758" t="s">
        <v>3572</v>
      </c>
    </row>
    <row r="586" spans="1:16" x14ac:dyDescent="0.25">
      <c r="A586" s="758">
        <v>19</v>
      </c>
      <c r="B586" s="760">
        <v>849317023</v>
      </c>
      <c r="C586" s="758" t="s">
        <v>1777</v>
      </c>
      <c r="D586" s="759" t="s">
        <v>1328</v>
      </c>
      <c r="E586" s="848">
        <v>43587</v>
      </c>
      <c r="F586" s="848">
        <f t="shared" si="15"/>
        <v>43530</v>
      </c>
      <c r="I586" s="758" t="s">
        <v>4190</v>
      </c>
      <c r="J586" s="758" t="s">
        <v>4191</v>
      </c>
      <c r="K586" s="758" t="s">
        <v>4192</v>
      </c>
      <c r="L586" s="758" t="s">
        <v>3571</v>
      </c>
      <c r="M586" s="848">
        <v>34500</v>
      </c>
      <c r="N586" s="758" t="s">
        <v>1328</v>
      </c>
      <c r="O586" s="848">
        <v>43530</v>
      </c>
      <c r="P586" s="758" t="s">
        <v>3572</v>
      </c>
    </row>
    <row r="587" spans="1:16" x14ac:dyDescent="0.25">
      <c r="A587" s="758">
        <v>20</v>
      </c>
      <c r="B587" s="760">
        <v>849316022</v>
      </c>
      <c r="C587" s="758" t="s">
        <v>1633</v>
      </c>
      <c r="D587" s="759" t="s">
        <v>1328</v>
      </c>
      <c r="E587" s="848">
        <v>43587</v>
      </c>
      <c r="F587" s="848">
        <f t="shared" si="15"/>
        <v>43481</v>
      </c>
      <c r="I587" s="758" t="s">
        <v>4193</v>
      </c>
      <c r="J587" s="758" t="s">
        <v>4194</v>
      </c>
      <c r="K587" s="758" t="s">
        <v>4195</v>
      </c>
      <c r="L587" s="758" t="s">
        <v>3571</v>
      </c>
      <c r="M587" s="848">
        <v>30539</v>
      </c>
      <c r="N587" s="758" t="s">
        <v>1328</v>
      </c>
      <c r="O587" s="848">
        <v>43481</v>
      </c>
      <c r="P587" s="758" t="s">
        <v>3572</v>
      </c>
    </row>
    <row r="588" spans="1:16" x14ac:dyDescent="0.25">
      <c r="A588" s="758">
        <v>21</v>
      </c>
      <c r="B588" s="760">
        <v>849316032</v>
      </c>
      <c r="C588" s="758" t="s">
        <v>1643</v>
      </c>
      <c r="D588" s="759" t="s">
        <v>1328</v>
      </c>
      <c r="E588" s="848">
        <v>43587</v>
      </c>
      <c r="F588" s="848">
        <f t="shared" si="15"/>
        <v>43306</v>
      </c>
      <c r="I588" s="758" t="s">
        <v>4196</v>
      </c>
      <c r="J588" s="758" t="s">
        <v>4197</v>
      </c>
      <c r="K588" s="758" t="s">
        <v>4198</v>
      </c>
      <c r="L588" s="758" t="s">
        <v>3571</v>
      </c>
      <c r="M588" s="848">
        <v>34083</v>
      </c>
      <c r="N588" s="758" t="s">
        <v>1328</v>
      </c>
      <c r="O588" s="848">
        <v>43306</v>
      </c>
      <c r="P588" s="758" t="s">
        <v>3572</v>
      </c>
    </row>
    <row r="589" spans="1:16" x14ac:dyDescent="0.25">
      <c r="A589" s="758">
        <v>22</v>
      </c>
      <c r="B589" s="760">
        <v>849317041</v>
      </c>
      <c r="C589" s="758" t="s">
        <v>1796</v>
      </c>
      <c r="D589" s="759" t="s">
        <v>1328</v>
      </c>
      <c r="E589" s="848">
        <v>43587</v>
      </c>
      <c r="F589" s="848">
        <f t="shared" si="15"/>
        <v>43550</v>
      </c>
      <c r="I589" s="758" t="s">
        <v>4199</v>
      </c>
      <c r="J589" s="758" t="s">
        <v>4200</v>
      </c>
      <c r="K589" s="758" t="s">
        <v>4201</v>
      </c>
      <c r="L589" s="758" t="s">
        <v>3589</v>
      </c>
      <c r="M589" s="848">
        <v>31492</v>
      </c>
      <c r="N589" s="758" t="s">
        <v>1328</v>
      </c>
      <c r="O589" s="848">
        <v>43550</v>
      </c>
      <c r="P589" s="758" t="s">
        <v>3572</v>
      </c>
    </row>
    <row r="590" spans="1:16" x14ac:dyDescent="0.25">
      <c r="A590" s="758">
        <v>23</v>
      </c>
      <c r="B590" s="760">
        <v>849316008</v>
      </c>
      <c r="C590" s="758" t="s">
        <v>3059</v>
      </c>
      <c r="D590" s="759" t="s">
        <v>1328</v>
      </c>
      <c r="E590" s="848">
        <v>43587</v>
      </c>
      <c r="F590" s="848">
        <f t="shared" si="15"/>
        <v>43511</v>
      </c>
      <c r="I590" s="758" t="s">
        <v>4202</v>
      </c>
      <c r="J590" s="758" t="s">
        <v>4203</v>
      </c>
      <c r="K590" s="758" t="s">
        <v>4204</v>
      </c>
      <c r="L590" s="758" t="s">
        <v>3641</v>
      </c>
      <c r="M590" s="848">
        <v>34155</v>
      </c>
      <c r="N590" s="758" t="s">
        <v>1328</v>
      </c>
      <c r="O590" s="848">
        <v>43511</v>
      </c>
      <c r="P590" s="758" t="s">
        <v>3572</v>
      </c>
    </row>
    <row r="591" spans="1:16" x14ac:dyDescent="0.25">
      <c r="A591" s="758">
        <v>24</v>
      </c>
      <c r="B591" s="760">
        <v>849415002</v>
      </c>
      <c r="C591" s="758" t="s">
        <v>3081</v>
      </c>
      <c r="D591" s="759" t="s">
        <v>1665</v>
      </c>
      <c r="E591" s="848">
        <v>43587</v>
      </c>
      <c r="F591" s="848">
        <f t="shared" si="15"/>
        <v>43483</v>
      </c>
      <c r="I591" s="758" t="s">
        <v>4205</v>
      </c>
      <c r="J591" s="758" t="s">
        <v>4206</v>
      </c>
      <c r="K591" s="758" t="s">
        <v>4207</v>
      </c>
      <c r="L591" s="758" t="s">
        <v>3641</v>
      </c>
      <c r="M591" s="848">
        <v>33775</v>
      </c>
      <c r="N591" s="758" t="s">
        <v>1665</v>
      </c>
      <c r="O591" s="848">
        <v>43483</v>
      </c>
      <c r="P591" s="758" t="s">
        <v>3572</v>
      </c>
    </row>
    <row r="592" spans="1:16" x14ac:dyDescent="0.25">
      <c r="A592" s="758">
        <v>25</v>
      </c>
      <c r="B592" s="760">
        <v>849416004</v>
      </c>
      <c r="C592" s="758" t="s">
        <v>1668</v>
      </c>
      <c r="D592" s="759" t="s">
        <v>1665</v>
      </c>
      <c r="E592" s="848">
        <v>43587</v>
      </c>
      <c r="F592" s="848">
        <f t="shared" si="15"/>
        <v>43423</v>
      </c>
      <c r="I592" s="758" t="s">
        <v>4208</v>
      </c>
      <c r="J592" s="758" t="s">
        <v>4209</v>
      </c>
      <c r="K592" s="758" t="s">
        <v>4210</v>
      </c>
      <c r="L592" s="758" t="s">
        <v>3571</v>
      </c>
      <c r="M592" s="848">
        <v>34065</v>
      </c>
      <c r="N592" s="758" t="s">
        <v>1665</v>
      </c>
      <c r="O592" s="848">
        <v>43423</v>
      </c>
      <c r="P592" s="758" t="s">
        <v>3572</v>
      </c>
    </row>
    <row r="593" spans="1:16" x14ac:dyDescent="0.25">
      <c r="A593" s="758">
        <v>26</v>
      </c>
      <c r="B593" s="760">
        <v>839217027</v>
      </c>
      <c r="C593" s="758" t="s">
        <v>1889</v>
      </c>
      <c r="D593" s="759" t="s">
        <v>1195</v>
      </c>
      <c r="E593" s="848">
        <v>43587</v>
      </c>
      <c r="F593" s="848">
        <f t="shared" si="15"/>
        <v>43498</v>
      </c>
      <c r="I593" s="758" t="s">
        <v>4211</v>
      </c>
      <c r="J593" s="758" t="s">
        <v>4212</v>
      </c>
      <c r="K593" s="758" t="s">
        <v>4213</v>
      </c>
      <c r="L593" s="758" t="s">
        <v>3571</v>
      </c>
      <c r="M593" s="848">
        <v>34552</v>
      </c>
      <c r="N593" s="758" t="s">
        <v>1195</v>
      </c>
      <c r="O593" s="848">
        <v>43517</v>
      </c>
      <c r="P593" s="758" t="s">
        <v>3642</v>
      </c>
    </row>
    <row r="594" spans="1:16" x14ac:dyDescent="0.25">
      <c r="A594" s="758">
        <v>32</v>
      </c>
      <c r="B594" s="760">
        <v>839216019</v>
      </c>
      <c r="C594" s="758" t="s">
        <v>4214</v>
      </c>
      <c r="D594" s="759" t="s">
        <v>1195</v>
      </c>
      <c r="E594" s="848">
        <v>43587</v>
      </c>
      <c r="F594" s="848">
        <f>IFERROR(VLOOKUP(B594,Tlus,3,FALSE),"   ")</f>
        <v>43389</v>
      </c>
      <c r="I594" s="758" t="s">
        <v>4215</v>
      </c>
      <c r="J594" s="758" t="s">
        <v>4216</v>
      </c>
      <c r="K594" s="758" t="s">
        <v>4217</v>
      </c>
      <c r="L594" s="758" t="s">
        <v>3571</v>
      </c>
      <c r="M594" s="848">
        <v>33125</v>
      </c>
      <c r="N594" s="758" t="s">
        <v>1195</v>
      </c>
      <c r="O594" s="848">
        <v>43389</v>
      </c>
      <c r="P594" s="758" t="s">
        <v>3642</v>
      </c>
    </row>
    <row r="595" spans="1:16" x14ac:dyDescent="0.25">
      <c r="A595" s="758">
        <v>27</v>
      </c>
      <c r="B595" s="760">
        <v>839134012</v>
      </c>
      <c r="C595" s="758" t="s">
        <v>4218</v>
      </c>
      <c r="D595" s="759" t="s">
        <v>1195</v>
      </c>
      <c r="E595" s="848">
        <v>43587</v>
      </c>
      <c r="F595" s="848">
        <f t="shared" si="15"/>
        <v>43488</v>
      </c>
      <c r="I595" s="758" t="s">
        <v>4219</v>
      </c>
      <c r="J595" s="758" t="s">
        <v>4220</v>
      </c>
      <c r="K595" s="758" t="s">
        <v>4221</v>
      </c>
      <c r="L595" s="758" t="s">
        <v>3571</v>
      </c>
      <c r="M595" s="848">
        <v>33573</v>
      </c>
      <c r="N595" s="758" t="s">
        <v>1195</v>
      </c>
      <c r="O595" s="848">
        <v>43488</v>
      </c>
      <c r="P595" s="758" t="s">
        <v>3642</v>
      </c>
    </row>
    <row r="596" spans="1:16" x14ac:dyDescent="0.25">
      <c r="A596" s="758">
        <v>28</v>
      </c>
      <c r="B596" s="760">
        <v>829116001</v>
      </c>
      <c r="C596" s="758" t="s">
        <v>1600</v>
      </c>
      <c r="D596" s="759" t="s">
        <v>1441</v>
      </c>
      <c r="E596" s="848">
        <v>43587</v>
      </c>
      <c r="F596" s="848">
        <f t="shared" si="15"/>
        <v>43294</v>
      </c>
      <c r="I596" s="758" t="s">
        <v>4222</v>
      </c>
      <c r="J596" s="758" t="s">
        <v>4223</v>
      </c>
      <c r="K596" s="758" t="s">
        <v>4224</v>
      </c>
      <c r="L596" s="758" t="s">
        <v>4225</v>
      </c>
      <c r="M596" s="848">
        <v>34299</v>
      </c>
      <c r="N596" s="758" t="s">
        <v>1441</v>
      </c>
      <c r="O596" s="848">
        <v>43294</v>
      </c>
      <c r="P596" s="758" t="s">
        <v>3887</v>
      </c>
    </row>
    <row r="597" spans="1:16" x14ac:dyDescent="0.25">
      <c r="A597" s="758">
        <v>29</v>
      </c>
      <c r="B597" s="760">
        <v>841915031</v>
      </c>
      <c r="C597" s="758" t="s">
        <v>1505</v>
      </c>
      <c r="D597" s="759" t="s">
        <v>4226</v>
      </c>
      <c r="E597" s="848">
        <v>43587</v>
      </c>
      <c r="F597" s="848">
        <f t="shared" si="15"/>
        <v>43516</v>
      </c>
      <c r="I597" s="758" t="s">
        <v>4227</v>
      </c>
      <c r="J597" s="758" t="s">
        <v>4228</v>
      </c>
      <c r="K597" s="758" t="s">
        <v>4229</v>
      </c>
      <c r="L597" s="758" t="s">
        <v>3589</v>
      </c>
      <c r="M597" s="848">
        <v>26059</v>
      </c>
      <c r="N597" s="758" t="s">
        <v>4226</v>
      </c>
      <c r="O597" s="848">
        <v>43521</v>
      </c>
      <c r="P597" s="758" t="s">
        <v>4230</v>
      </c>
    </row>
    <row r="598" spans="1:16" x14ac:dyDescent="0.25">
      <c r="A598" s="758">
        <v>30</v>
      </c>
      <c r="B598" s="760">
        <v>841915035</v>
      </c>
      <c r="C598" s="758" t="s">
        <v>4231</v>
      </c>
      <c r="D598" s="759" t="s">
        <v>4226</v>
      </c>
      <c r="E598" s="848">
        <v>43587</v>
      </c>
      <c r="F598" s="848">
        <f t="shared" si="15"/>
        <v>43516</v>
      </c>
      <c r="I598" s="758" t="s">
        <v>4232</v>
      </c>
      <c r="J598" s="758" t="s">
        <v>4233</v>
      </c>
      <c r="K598" s="758" t="s">
        <v>4234</v>
      </c>
      <c r="L598" s="758" t="s">
        <v>3908</v>
      </c>
      <c r="M598" s="848">
        <v>27946</v>
      </c>
      <c r="N598" s="758" t="s">
        <v>4226</v>
      </c>
      <c r="O598" s="848">
        <v>43521</v>
      </c>
      <c r="P598" s="758" t="s">
        <v>4230</v>
      </c>
    </row>
    <row r="599" spans="1:16" x14ac:dyDescent="0.25">
      <c r="A599" s="758">
        <v>31</v>
      </c>
      <c r="B599" s="760">
        <v>841915009</v>
      </c>
      <c r="C599" s="758" t="s">
        <v>1486</v>
      </c>
      <c r="D599" s="759" t="s">
        <v>4226</v>
      </c>
      <c r="E599" s="848">
        <v>43587</v>
      </c>
      <c r="F599" s="848">
        <f t="shared" si="15"/>
        <v>43543</v>
      </c>
      <c r="I599" s="758" t="s">
        <v>4235</v>
      </c>
      <c r="J599" s="758" t="s">
        <v>4236</v>
      </c>
      <c r="K599" s="758" t="s">
        <v>4237</v>
      </c>
      <c r="L599" s="758" t="s">
        <v>4238</v>
      </c>
      <c r="M599" s="848">
        <v>26669</v>
      </c>
      <c r="N599" s="758" t="s">
        <v>4226</v>
      </c>
      <c r="O599" s="848">
        <v>43543</v>
      </c>
      <c r="P599" s="758" t="s">
        <v>4230</v>
      </c>
    </row>
    <row r="600" spans="1:16" x14ac:dyDescent="0.25">
      <c r="F600" s="848" t="str">
        <f t="shared" ref="F600:F664" si="16">IFERROR(VLOOKUP(B600,Tlus,3,FALSE),"   ")</f>
        <v xml:space="preserve">   </v>
      </c>
    </row>
    <row r="601" spans="1:16" x14ac:dyDescent="0.25">
      <c r="A601" s="758">
        <v>1</v>
      </c>
      <c r="B601" s="760">
        <v>849116012</v>
      </c>
      <c r="C601" s="758" t="s">
        <v>1692</v>
      </c>
      <c r="E601" s="848">
        <v>43705</v>
      </c>
      <c r="F601" s="848">
        <f>IFERROR(VLOOKUP(B601,Tlus,3,FALSE),"   ")</f>
        <v>43635</v>
      </c>
      <c r="I601" s="758" t="s">
        <v>4239</v>
      </c>
      <c r="J601" s="758" t="s">
        <v>4240</v>
      </c>
      <c r="K601" s="758" t="s">
        <v>4241</v>
      </c>
      <c r="L601" s="758" t="s">
        <v>3576</v>
      </c>
      <c r="M601" s="848">
        <v>32309</v>
      </c>
      <c r="N601" s="758" t="s">
        <v>527</v>
      </c>
      <c r="O601" s="848">
        <v>43635</v>
      </c>
      <c r="P601" s="758" t="s">
        <v>3572</v>
      </c>
    </row>
    <row r="602" spans="1:16" x14ac:dyDescent="0.25">
      <c r="A602" s="758">
        <v>2</v>
      </c>
      <c r="B602" s="760">
        <v>849116032</v>
      </c>
      <c r="C602" s="758" t="s">
        <v>1712</v>
      </c>
      <c r="E602" s="848">
        <v>43705</v>
      </c>
      <c r="F602" s="848">
        <f>IFERROR(VLOOKUP(B602,Tlus,3,FALSE),"   ")</f>
        <v>43635</v>
      </c>
      <c r="I602" s="758" t="s">
        <v>4242</v>
      </c>
      <c r="J602" s="758" t="s">
        <v>4243</v>
      </c>
      <c r="K602" s="758" t="s">
        <v>4244</v>
      </c>
      <c r="L602" s="758" t="s">
        <v>4245</v>
      </c>
      <c r="M602" s="848">
        <v>33921</v>
      </c>
      <c r="N602" s="758" t="s">
        <v>527</v>
      </c>
      <c r="O602" s="848">
        <v>43635</v>
      </c>
      <c r="P602" s="758" t="s">
        <v>3572</v>
      </c>
    </row>
    <row r="603" spans="1:16" x14ac:dyDescent="0.25">
      <c r="A603" s="758">
        <v>3</v>
      </c>
      <c r="B603" s="847">
        <v>849116010</v>
      </c>
      <c r="C603" s="758" t="s">
        <v>4246</v>
      </c>
      <c r="D603" s="759" t="s">
        <v>527</v>
      </c>
      <c r="E603" s="848">
        <v>43705</v>
      </c>
      <c r="F603" s="848">
        <f t="shared" si="16"/>
        <v>43635</v>
      </c>
      <c r="I603" s="758" t="s">
        <v>4247</v>
      </c>
      <c r="J603" s="758" t="s">
        <v>4248</v>
      </c>
      <c r="K603" s="758" t="s">
        <v>4249</v>
      </c>
      <c r="L603" s="758" t="s">
        <v>3571</v>
      </c>
      <c r="M603" s="848">
        <v>33404</v>
      </c>
      <c r="N603" s="758" t="s">
        <v>527</v>
      </c>
      <c r="O603" s="848">
        <v>43635</v>
      </c>
      <c r="P603" s="758" t="s">
        <v>3572</v>
      </c>
    </row>
    <row r="604" spans="1:16" x14ac:dyDescent="0.25">
      <c r="A604" s="758">
        <v>4</v>
      </c>
      <c r="B604" s="760">
        <v>849117046</v>
      </c>
      <c r="C604" s="758" t="s">
        <v>1860</v>
      </c>
      <c r="E604" s="848">
        <v>43705</v>
      </c>
      <c r="F604" s="848">
        <f t="shared" ref="F604:F620" si="17">IFERROR(VLOOKUP(B604,Tlus,3,FALSE),"   ")</f>
        <v>43594</v>
      </c>
      <c r="I604" s="758" t="s">
        <v>4250</v>
      </c>
      <c r="J604" s="758" t="s">
        <v>4251</v>
      </c>
      <c r="K604" s="758" t="s">
        <v>4252</v>
      </c>
      <c r="L604" s="758" t="s">
        <v>3571</v>
      </c>
      <c r="M604" s="848">
        <v>33905</v>
      </c>
      <c r="N604" s="758" t="s">
        <v>527</v>
      </c>
      <c r="O604" s="848">
        <v>43594</v>
      </c>
      <c r="P604" s="758" t="s">
        <v>3572</v>
      </c>
    </row>
    <row r="605" spans="1:16" x14ac:dyDescent="0.25">
      <c r="A605" s="758">
        <v>5</v>
      </c>
      <c r="B605" s="760">
        <v>849117016</v>
      </c>
      <c r="C605" s="758" t="s">
        <v>1827</v>
      </c>
      <c r="E605" s="848">
        <v>43705</v>
      </c>
      <c r="F605" s="848">
        <f t="shared" si="17"/>
        <v>43592</v>
      </c>
      <c r="I605" s="758" t="s">
        <v>4253</v>
      </c>
      <c r="J605" s="758" t="s">
        <v>4254</v>
      </c>
      <c r="K605" s="758" t="s">
        <v>4255</v>
      </c>
      <c r="L605" s="758" t="s">
        <v>3571</v>
      </c>
      <c r="M605" s="848">
        <v>33064</v>
      </c>
      <c r="N605" s="758" t="s">
        <v>527</v>
      </c>
      <c r="O605" s="848">
        <v>43592</v>
      </c>
      <c r="P605" s="758" t="s">
        <v>3572</v>
      </c>
    </row>
    <row r="606" spans="1:16" x14ac:dyDescent="0.25">
      <c r="A606" s="758">
        <v>6</v>
      </c>
      <c r="B606" s="760">
        <v>849117005</v>
      </c>
      <c r="C606" s="758" t="s">
        <v>1815</v>
      </c>
      <c r="E606" s="848">
        <v>43705</v>
      </c>
      <c r="F606" s="848">
        <f t="shared" si="17"/>
        <v>43594</v>
      </c>
      <c r="I606" s="758" t="s">
        <v>4256</v>
      </c>
      <c r="J606" s="758" t="s">
        <v>4257</v>
      </c>
      <c r="K606" s="758" t="s">
        <v>4258</v>
      </c>
      <c r="L606" s="758" t="s">
        <v>3908</v>
      </c>
      <c r="M606" s="848">
        <v>34078</v>
      </c>
      <c r="N606" s="758" t="s">
        <v>527</v>
      </c>
      <c r="O606" s="848">
        <v>43594</v>
      </c>
      <c r="P606" s="758" t="s">
        <v>3572</v>
      </c>
    </row>
    <row r="607" spans="1:16" x14ac:dyDescent="0.25">
      <c r="A607" s="758">
        <v>7</v>
      </c>
      <c r="B607" s="760">
        <v>849117002</v>
      </c>
      <c r="C607" s="758" t="s">
        <v>3016</v>
      </c>
      <c r="E607" s="848">
        <v>43705</v>
      </c>
      <c r="F607" s="848">
        <f t="shared" si="17"/>
        <v>43593</v>
      </c>
      <c r="I607" s="758" t="s">
        <v>4259</v>
      </c>
      <c r="J607" s="758" t="s">
        <v>4260</v>
      </c>
      <c r="K607" s="758" t="s">
        <v>4261</v>
      </c>
      <c r="L607" s="758" t="s">
        <v>3908</v>
      </c>
      <c r="M607" s="848">
        <v>31562</v>
      </c>
      <c r="N607" s="758" t="s">
        <v>527</v>
      </c>
      <c r="O607" s="848">
        <v>43593</v>
      </c>
      <c r="P607" s="758" t="s">
        <v>3572</v>
      </c>
    </row>
    <row r="608" spans="1:16" x14ac:dyDescent="0.25">
      <c r="A608" s="758">
        <v>8</v>
      </c>
      <c r="B608" s="760">
        <v>849215007</v>
      </c>
      <c r="C608" s="758" t="s">
        <v>4262</v>
      </c>
      <c r="E608" s="848">
        <v>43705</v>
      </c>
      <c r="F608" s="848">
        <f t="shared" si="17"/>
        <v>43613</v>
      </c>
      <c r="I608" s="758" t="s">
        <v>4263</v>
      </c>
      <c r="J608" s="758" t="s">
        <v>4264</v>
      </c>
      <c r="K608" s="758" t="s">
        <v>4265</v>
      </c>
      <c r="L608" s="758" t="s">
        <v>3571</v>
      </c>
      <c r="M608" s="848">
        <v>33379</v>
      </c>
      <c r="N608" s="758" t="s">
        <v>1110</v>
      </c>
      <c r="O608" s="848">
        <v>43613</v>
      </c>
      <c r="P608" s="758" t="s">
        <v>3572</v>
      </c>
    </row>
    <row r="609" spans="1:16" x14ac:dyDescent="0.25">
      <c r="A609" s="758">
        <v>9</v>
      </c>
      <c r="B609" s="760">
        <v>849215008</v>
      </c>
      <c r="C609" s="758" t="s">
        <v>4266</v>
      </c>
      <c r="E609" s="848">
        <v>43705</v>
      </c>
      <c r="F609" s="848">
        <f t="shared" si="17"/>
        <v>43481</v>
      </c>
      <c r="I609" s="758" t="s">
        <v>4267</v>
      </c>
      <c r="J609" s="758" t="s">
        <v>4268</v>
      </c>
      <c r="K609" s="758" t="s">
        <v>4269</v>
      </c>
      <c r="L609" s="758" t="s">
        <v>3571</v>
      </c>
      <c r="M609" s="848">
        <v>32826</v>
      </c>
      <c r="N609" s="758" t="s">
        <v>1110</v>
      </c>
      <c r="O609" s="848">
        <v>43481</v>
      </c>
      <c r="P609" s="758" t="s">
        <v>3572</v>
      </c>
    </row>
    <row r="610" spans="1:16" x14ac:dyDescent="0.25">
      <c r="A610" s="758">
        <v>10</v>
      </c>
      <c r="B610" s="847">
        <v>849316005</v>
      </c>
      <c r="C610" s="758" t="s">
        <v>4270</v>
      </c>
      <c r="D610" s="759" t="s">
        <v>1328</v>
      </c>
      <c r="E610" s="848">
        <v>43705</v>
      </c>
      <c r="F610" s="848">
        <f t="shared" si="17"/>
        <v>43651</v>
      </c>
      <c r="I610" s="758" t="s">
        <v>4271</v>
      </c>
      <c r="J610" s="758" t="s">
        <v>4272</v>
      </c>
      <c r="K610" s="758" t="s">
        <v>4273</v>
      </c>
      <c r="L610" s="758" t="s">
        <v>3571</v>
      </c>
      <c r="M610" s="848">
        <v>34159</v>
      </c>
      <c r="N610" s="758" t="s">
        <v>1328</v>
      </c>
      <c r="O610" s="848">
        <v>43651</v>
      </c>
      <c r="P610" s="758" t="s">
        <v>3572</v>
      </c>
    </row>
    <row r="611" spans="1:16" x14ac:dyDescent="0.25">
      <c r="A611" s="758">
        <v>11</v>
      </c>
      <c r="B611" s="760">
        <v>849315037</v>
      </c>
      <c r="C611" s="758" t="s">
        <v>3055</v>
      </c>
      <c r="E611" s="848">
        <v>43705</v>
      </c>
      <c r="F611" s="848">
        <f t="shared" si="17"/>
        <v>43612</v>
      </c>
      <c r="I611" s="758" t="s">
        <v>4274</v>
      </c>
      <c r="J611" s="758" t="s">
        <v>4275</v>
      </c>
      <c r="K611" s="758" t="s">
        <v>4276</v>
      </c>
      <c r="L611" s="758" t="s">
        <v>3571</v>
      </c>
      <c r="M611" s="848">
        <v>27380</v>
      </c>
      <c r="N611" s="758" t="s">
        <v>1328</v>
      </c>
      <c r="O611" s="848">
        <v>43612</v>
      </c>
      <c r="P611" s="758" t="s">
        <v>3572</v>
      </c>
    </row>
    <row r="612" spans="1:16" x14ac:dyDescent="0.25">
      <c r="A612" s="758">
        <v>12</v>
      </c>
      <c r="B612" s="760">
        <v>849317005</v>
      </c>
      <c r="C612" s="758" t="s">
        <v>1759</v>
      </c>
      <c r="E612" s="848">
        <v>43705</v>
      </c>
      <c r="F612" s="848">
        <f t="shared" si="17"/>
        <v>43613</v>
      </c>
      <c r="I612" s="758" t="s">
        <v>4277</v>
      </c>
      <c r="J612" s="758" t="s">
        <v>4278</v>
      </c>
      <c r="K612" s="758" t="s">
        <v>4279</v>
      </c>
      <c r="L612" s="758" t="s">
        <v>3576</v>
      </c>
      <c r="M612" s="848">
        <v>34254</v>
      </c>
      <c r="N612" s="758" t="s">
        <v>1328</v>
      </c>
      <c r="O612" s="848">
        <v>43613</v>
      </c>
      <c r="P612" s="758" t="s">
        <v>3572</v>
      </c>
    </row>
    <row r="613" spans="1:16" x14ac:dyDescent="0.25">
      <c r="A613" s="758">
        <v>13</v>
      </c>
      <c r="B613" s="760">
        <v>849317032</v>
      </c>
      <c r="C613" s="758" t="s">
        <v>1787</v>
      </c>
      <c r="E613" s="848">
        <v>43705</v>
      </c>
      <c r="F613" s="848">
        <f t="shared" si="17"/>
        <v>43612</v>
      </c>
      <c r="I613" s="758" t="s">
        <v>4280</v>
      </c>
      <c r="J613" s="758" t="s">
        <v>4281</v>
      </c>
      <c r="K613" s="758" t="s">
        <v>4282</v>
      </c>
      <c r="L613" s="758" t="s">
        <v>3571</v>
      </c>
      <c r="M613" s="848">
        <v>33400</v>
      </c>
      <c r="N613" s="758" t="s">
        <v>1328</v>
      </c>
      <c r="O613" s="848">
        <v>43612</v>
      </c>
      <c r="P613" s="758" t="s">
        <v>3572</v>
      </c>
    </row>
    <row r="614" spans="1:16" x14ac:dyDescent="0.25">
      <c r="A614" s="758">
        <v>14</v>
      </c>
      <c r="B614" s="760">
        <v>849417007</v>
      </c>
      <c r="C614" s="758" t="s">
        <v>1908</v>
      </c>
      <c r="E614" s="848">
        <v>43705</v>
      </c>
      <c r="F614" s="848">
        <f t="shared" si="17"/>
        <v>43633</v>
      </c>
      <c r="I614" s="758" t="s">
        <v>4283</v>
      </c>
      <c r="J614" s="758" t="s">
        <v>4284</v>
      </c>
      <c r="K614" s="758" t="s">
        <v>4285</v>
      </c>
      <c r="L614" s="758" t="s">
        <v>3571</v>
      </c>
      <c r="M614" s="848">
        <v>31694</v>
      </c>
      <c r="N614" s="758" t="s">
        <v>1665</v>
      </c>
      <c r="O614" s="848">
        <v>43633</v>
      </c>
      <c r="P614" s="758" t="s">
        <v>3572</v>
      </c>
    </row>
    <row r="615" spans="1:16" x14ac:dyDescent="0.25">
      <c r="A615" s="758">
        <v>15</v>
      </c>
      <c r="B615" s="847">
        <v>849416002</v>
      </c>
      <c r="C615" s="758" t="s">
        <v>4286</v>
      </c>
      <c r="D615" s="759" t="s">
        <v>1665</v>
      </c>
      <c r="E615" s="848">
        <v>43705</v>
      </c>
      <c r="F615" s="848">
        <f t="shared" si="17"/>
        <v>43633</v>
      </c>
      <c r="I615" s="758" t="s">
        <v>4287</v>
      </c>
      <c r="J615" s="758" t="s">
        <v>4288</v>
      </c>
      <c r="K615" s="758" t="s">
        <v>4289</v>
      </c>
      <c r="L615" s="758" t="s">
        <v>3576</v>
      </c>
      <c r="M615" s="848">
        <v>32925</v>
      </c>
      <c r="N615" s="758" t="s">
        <v>1665</v>
      </c>
      <c r="O615" s="848">
        <v>43633</v>
      </c>
      <c r="P615" s="758" t="s">
        <v>3572</v>
      </c>
    </row>
    <row r="616" spans="1:16" x14ac:dyDescent="0.25">
      <c r="A616" s="758">
        <v>16</v>
      </c>
      <c r="B616" s="760">
        <v>849416010</v>
      </c>
      <c r="C616" s="758" t="s">
        <v>1674</v>
      </c>
      <c r="E616" s="848">
        <v>43705</v>
      </c>
      <c r="F616" s="848">
        <f t="shared" si="17"/>
        <v>43607</v>
      </c>
      <c r="I616" s="758" t="s">
        <v>4290</v>
      </c>
      <c r="J616" s="758" t="s">
        <v>4291</v>
      </c>
      <c r="K616" s="758" t="s">
        <v>4292</v>
      </c>
      <c r="L616" s="758" t="s">
        <v>3571</v>
      </c>
      <c r="M616" s="848">
        <v>31931</v>
      </c>
      <c r="N616" s="758" t="s">
        <v>1665</v>
      </c>
      <c r="O616" s="848">
        <v>43607</v>
      </c>
      <c r="P616" s="758" t="s">
        <v>3572</v>
      </c>
    </row>
    <row r="617" spans="1:16" x14ac:dyDescent="0.25">
      <c r="A617" s="758">
        <v>17</v>
      </c>
      <c r="B617" s="760">
        <v>849417008</v>
      </c>
      <c r="C617" s="758" t="s">
        <v>1909</v>
      </c>
      <c r="E617" s="848">
        <v>43705</v>
      </c>
      <c r="F617" s="848">
        <f>IFERROR(VLOOKUP(B617,Tlus,3,FALSE),"   ")</f>
        <v>43633</v>
      </c>
      <c r="I617" s="758" t="s">
        <v>4293</v>
      </c>
      <c r="J617" s="758" t="s">
        <v>4294</v>
      </c>
      <c r="K617" s="758" t="s">
        <v>4295</v>
      </c>
      <c r="L617" s="758" t="s">
        <v>3571</v>
      </c>
      <c r="M617" s="848">
        <v>31331</v>
      </c>
      <c r="N617" s="758" t="s">
        <v>1665</v>
      </c>
      <c r="O617" s="848">
        <v>43633</v>
      </c>
      <c r="P617" s="758" t="s">
        <v>3572</v>
      </c>
    </row>
    <row r="618" spans="1:16" x14ac:dyDescent="0.25">
      <c r="A618" s="758">
        <v>18</v>
      </c>
      <c r="B618" s="847">
        <v>839116006</v>
      </c>
      <c r="C618" s="758" t="s">
        <v>1582</v>
      </c>
      <c r="D618" s="759" t="s">
        <v>848</v>
      </c>
      <c r="E618" s="848">
        <v>43705</v>
      </c>
      <c r="F618" s="848">
        <f t="shared" si="17"/>
        <v>43412</v>
      </c>
      <c r="I618" s="758" t="s">
        <v>4296</v>
      </c>
      <c r="J618" s="758" t="s">
        <v>4297</v>
      </c>
      <c r="K618" s="758" t="s">
        <v>4298</v>
      </c>
      <c r="L618" s="758" t="s">
        <v>4299</v>
      </c>
      <c r="M618" s="848">
        <v>32351</v>
      </c>
      <c r="N618" s="758" t="s">
        <v>848</v>
      </c>
      <c r="O618" s="848">
        <v>43412</v>
      </c>
      <c r="P618" s="758" t="s">
        <v>3622</v>
      </c>
    </row>
    <row r="619" spans="1:16" x14ac:dyDescent="0.25">
      <c r="A619" s="758">
        <v>19</v>
      </c>
      <c r="B619" s="760">
        <v>839116009</v>
      </c>
      <c r="C619" s="758" t="s">
        <v>1585</v>
      </c>
      <c r="E619" s="848">
        <v>43705</v>
      </c>
      <c r="F619" s="848">
        <f>IFERROR(VLOOKUP(B619,Tlus,3,FALSE),"   ")</f>
        <v>43656</v>
      </c>
      <c r="I619" s="758" t="s">
        <v>4300</v>
      </c>
      <c r="J619" s="758" t="s">
        <v>4301</v>
      </c>
      <c r="K619" s="758" t="s">
        <v>4302</v>
      </c>
      <c r="L619" s="758" t="s">
        <v>3571</v>
      </c>
      <c r="M619" s="848">
        <v>33741</v>
      </c>
      <c r="N619" s="758" t="s">
        <v>848</v>
      </c>
      <c r="O619" s="848">
        <v>43656</v>
      </c>
      <c r="P619" s="758" t="s">
        <v>3622</v>
      </c>
    </row>
    <row r="620" spans="1:16" x14ac:dyDescent="0.25">
      <c r="A620" s="758">
        <v>20</v>
      </c>
      <c r="B620" s="760">
        <v>839217015</v>
      </c>
      <c r="C620" s="758" t="s">
        <v>1876</v>
      </c>
      <c r="E620" s="848">
        <v>43705</v>
      </c>
      <c r="F620" s="848">
        <f t="shared" si="17"/>
        <v>43635</v>
      </c>
      <c r="I620" s="758" t="s">
        <v>4303</v>
      </c>
      <c r="J620" s="758" t="s">
        <v>4304</v>
      </c>
      <c r="K620" s="758" t="s">
        <v>4305</v>
      </c>
      <c r="L620" s="758" t="s">
        <v>3571</v>
      </c>
      <c r="M620" s="848">
        <v>33972</v>
      </c>
      <c r="N620" s="758" t="s">
        <v>1195</v>
      </c>
      <c r="O620" s="848">
        <v>43635</v>
      </c>
      <c r="P620" s="758" t="s">
        <v>3642</v>
      </c>
    </row>
    <row r="621" spans="1:16" x14ac:dyDescent="0.25">
      <c r="A621" s="758">
        <v>21</v>
      </c>
      <c r="B621" s="847">
        <v>839217030</v>
      </c>
      <c r="C621" s="758" t="s">
        <v>1892</v>
      </c>
      <c r="D621" s="759" t="s">
        <v>1195</v>
      </c>
      <c r="E621" s="848">
        <v>43705</v>
      </c>
      <c r="F621" s="848">
        <f t="shared" si="16"/>
        <v>43635</v>
      </c>
      <c r="I621" s="758" t="s">
        <v>4306</v>
      </c>
      <c r="J621" s="758" t="s">
        <v>4307</v>
      </c>
      <c r="K621" s="758" t="s">
        <v>4308</v>
      </c>
      <c r="L621" s="758" t="s">
        <v>3571</v>
      </c>
      <c r="M621" s="848">
        <v>34265</v>
      </c>
      <c r="N621" s="758" t="s">
        <v>1195</v>
      </c>
      <c r="O621" s="848">
        <v>43635</v>
      </c>
      <c r="P621" s="758" t="s">
        <v>3642</v>
      </c>
    </row>
    <row r="622" spans="1:16" x14ac:dyDescent="0.25">
      <c r="A622" s="758">
        <v>22</v>
      </c>
      <c r="B622" s="760">
        <v>839217029</v>
      </c>
      <c r="C622" s="758" t="s">
        <v>1891</v>
      </c>
      <c r="E622" s="848">
        <v>43705</v>
      </c>
      <c r="F622" s="848">
        <f>IFERROR(VLOOKUP(B622,Tlus,3,FALSE),"   ")</f>
        <v>43636</v>
      </c>
      <c r="I622" s="758" t="s">
        <v>4309</v>
      </c>
      <c r="J622" s="758" t="s">
        <v>4310</v>
      </c>
      <c r="K622" s="758" t="s">
        <v>4311</v>
      </c>
      <c r="L622" s="758" t="s">
        <v>3571</v>
      </c>
      <c r="M622" s="848">
        <v>34880</v>
      </c>
      <c r="N622" s="758" t="s">
        <v>1195</v>
      </c>
      <c r="O622" s="848">
        <v>43636</v>
      </c>
      <c r="P622" s="758" t="s">
        <v>3642</v>
      </c>
    </row>
    <row r="623" spans="1:16" x14ac:dyDescent="0.25">
      <c r="A623" s="758">
        <v>23</v>
      </c>
      <c r="B623" s="760">
        <v>829117012</v>
      </c>
      <c r="C623" s="758" t="s">
        <v>4312</v>
      </c>
      <c r="D623" s="759" t="s">
        <v>1441</v>
      </c>
      <c r="E623" s="848">
        <v>43705</v>
      </c>
      <c r="F623" s="848">
        <f t="shared" si="16"/>
        <v>43580</v>
      </c>
      <c r="I623" s="758" t="s">
        <v>4313</v>
      </c>
      <c r="J623" s="758" t="s">
        <v>4314</v>
      </c>
      <c r="K623" s="758" t="s">
        <v>4315</v>
      </c>
      <c r="L623" s="758" t="s">
        <v>3806</v>
      </c>
      <c r="M623" s="848">
        <v>26475</v>
      </c>
      <c r="N623" s="758" t="s">
        <v>1441</v>
      </c>
      <c r="O623" s="848">
        <v>43580</v>
      </c>
      <c r="P623" s="758" t="s">
        <v>3887</v>
      </c>
    </row>
    <row r="624" spans="1:16" x14ac:dyDescent="0.25">
      <c r="B624" s="760"/>
      <c r="F624" s="848"/>
    </row>
    <row r="625" spans="1:16" x14ac:dyDescent="0.25">
      <c r="A625" s="758">
        <v>26</v>
      </c>
      <c r="B625" s="760">
        <v>841915001</v>
      </c>
      <c r="C625" s="758" t="s">
        <v>1476</v>
      </c>
      <c r="E625" s="848">
        <v>43705</v>
      </c>
      <c r="F625" s="848">
        <f t="shared" si="16"/>
        <v>43603</v>
      </c>
    </row>
    <row r="626" spans="1:16" x14ac:dyDescent="0.25">
      <c r="A626" s="758">
        <v>27</v>
      </c>
      <c r="B626" s="758">
        <v>83913002</v>
      </c>
      <c r="C626" s="758" t="s">
        <v>4316</v>
      </c>
      <c r="E626" s="848">
        <v>43705</v>
      </c>
      <c r="F626" s="848" t="str">
        <f t="shared" si="16"/>
        <v xml:space="preserve">   </v>
      </c>
    </row>
    <row r="627" spans="1:16" x14ac:dyDescent="0.25">
      <c r="A627" s="758">
        <v>28</v>
      </c>
      <c r="B627" s="758">
        <v>849115025</v>
      </c>
      <c r="C627" s="758" t="s">
        <v>3006</v>
      </c>
      <c r="E627" s="848">
        <v>43705</v>
      </c>
      <c r="F627" s="848" t="str">
        <f t="shared" si="16"/>
        <v xml:space="preserve">   </v>
      </c>
    </row>
    <row r="628" spans="1:16" x14ac:dyDescent="0.25">
      <c r="F628" s="848" t="str">
        <f t="shared" si="16"/>
        <v xml:space="preserve">   </v>
      </c>
    </row>
    <row r="629" spans="1:16" x14ac:dyDescent="0.25">
      <c r="A629" s="758">
        <v>1</v>
      </c>
      <c r="B629" s="760">
        <v>849117033</v>
      </c>
      <c r="C629" s="758" t="s">
        <v>1847</v>
      </c>
      <c r="D629" s="759" t="s">
        <v>1070</v>
      </c>
      <c r="E629" s="848">
        <v>43750</v>
      </c>
      <c r="F629" s="848">
        <f t="shared" ref="F629:F656" si="18">IFERROR(VLOOKUP(B629,Tlus,3,FALSE),"   ")</f>
        <v>43641</v>
      </c>
      <c r="I629" s="758" t="s">
        <v>4317</v>
      </c>
      <c r="J629" s="758" t="s">
        <v>4318</v>
      </c>
      <c r="K629" s="758" t="s">
        <v>4319</v>
      </c>
      <c r="L629" s="758" t="s">
        <v>3641</v>
      </c>
      <c r="M629" s="848">
        <v>33461</v>
      </c>
      <c r="N629" s="758" t="s">
        <v>527</v>
      </c>
      <c r="O629" s="848">
        <v>43642</v>
      </c>
      <c r="P629" s="758" t="s">
        <v>3572</v>
      </c>
    </row>
    <row r="630" spans="1:16" x14ac:dyDescent="0.25">
      <c r="A630" s="758">
        <v>2</v>
      </c>
      <c r="B630" s="760">
        <v>849117042</v>
      </c>
      <c r="C630" s="758" t="s">
        <v>1856</v>
      </c>
      <c r="D630" s="759" t="s">
        <v>1070</v>
      </c>
      <c r="E630" s="848">
        <v>43750</v>
      </c>
      <c r="F630" s="848">
        <f t="shared" si="18"/>
        <v>43678</v>
      </c>
      <c r="I630" s="758" t="s">
        <v>4320</v>
      </c>
      <c r="J630" s="758" t="s">
        <v>4321</v>
      </c>
      <c r="K630" s="758" t="s">
        <v>4322</v>
      </c>
      <c r="L630" s="758" t="s">
        <v>3641</v>
      </c>
      <c r="M630" s="848">
        <v>29865</v>
      </c>
      <c r="N630" s="758" t="s">
        <v>527</v>
      </c>
      <c r="O630" s="848">
        <v>43678</v>
      </c>
      <c r="P630" s="758" t="s">
        <v>3572</v>
      </c>
    </row>
    <row r="631" spans="1:16" x14ac:dyDescent="0.25">
      <c r="A631" s="758">
        <v>3</v>
      </c>
      <c r="B631" s="760">
        <v>849117040</v>
      </c>
      <c r="C631" s="758" t="s">
        <v>1854</v>
      </c>
      <c r="D631" s="759" t="s">
        <v>1070</v>
      </c>
      <c r="E631" s="848">
        <v>43750</v>
      </c>
      <c r="F631" s="848">
        <f t="shared" si="18"/>
        <v>43649</v>
      </c>
      <c r="I631" s="758" t="s">
        <v>4323</v>
      </c>
      <c r="J631" s="758" t="s">
        <v>4324</v>
      </c>
      <c r="K631" s="758" t="s">
        <v>4325</v>
      </c>
      <c r="L631" s="758" t="s">
        <v>3571</v>
      </c>
      <c r="M631" s="848">
        <v>34565</v>
      </c>
      <c r="N631" s="758" t="s">
        <v>527</v>
      </c>
      <c r="O631" s="848">
        <v>43649</v>
      </c>
      <c r="P631" s="758" t="s">
        <v>3572</v>
      </c>
    </row>
    <row r="632" spans="1:16" x14ac:dyDescent="0.25">
      <c r="A632" s="758">
        <v>4</v>
      </c>
      <c r="B632" s="760">
        <v>849115010</v>
      </c>
      <c r="C632" s="758" t="s">
        <v>4326</v>
      </c>
      <c r="D632" s="759" t="s">
        <v>1070</v>
      </c>
      <c r="E632" s="848">
        <v>43750</v>
      </c>
      <c r="F632" s="848">
        <f t="shared" si="18"/>
        <v>43675</v>
      </c>
      <c r="I632" s="758" t="s">
        <v>4327</v>
      </c>
      <c r="J632" s="758" t="s">
        <v>4328</v>
      </c>
      <c r="K632" s="758" t="s">
        <v>4329</v>
      </c>
      <c r="L632" s="758" t="s">
        <v>3571</v>
      </c>
      <c r="M632" s="848">
        <v>27831</v>
      </c>
      <c r="N632" s="758" t="s">
        <v>527</v>
      </c>
      <c r="O632" s="848">
        <v>43675</v>
      </c>
      <c r="P632" s="758" t="s">
        <v>3572</v>
      </c>
    </row>
    <row r="633" spans="1:16" x14ac:dyDescent="0.25">
      <c r="A633" s="758">
        <v>5</v>
      </c>
      <c r="B633" s="760">
        <v>849113036</v>
      </c>
      <c r="C633" s="758" t="s">
        <v>4330</v>
      </c>
      <c r="D633" s="759" t="s">
        <v>1070</v>
      </c>
      <c r="E633" s="848">
        <v>43750</v>
      </c>
      <c r="F633" s="848">
        <f t="shared" si="18"/>
        <v>42838</v>
      </c>
      <c r="I633" s="758" t="s">
        <v>4331</v>
      </c>
      <c r="J633" s="758" t="s">
        <v>4332</v>
      </c>
      <c r="K633" s="758" t="s">
        <v>4333</v>
      </c>
      <c r="L633" s="758" t="s">
        <v>3706</v>
      </c>
      <c r="M633" s="848">
        <v>29109</v>
      </c>
      <c r="N633" s="758" t="s">
        <v>527</v>
      </c>
      <c r="O633" s="848">
        <v>42838</v>
      </c>
      <c r="P633" s="758" t="s">
        <v>3572</v>
      </c>
    </row>
    <row r="634" spans="1:16" x14ac:dyDescent="0.25">
      <c r="A634" s="758">
        <v>6</v>
      </c>
      <c r="B634" s="760">
        <v>849217020</v>
      </c>
      <c r="C634" s="758" t="s">
        <v>1944</v>
      </c>
      <c r="D634" s="759" t="s">
        <v>1110</v>
      </c>
      <c r="E634" s="848">
        <v>43750</v>
      </c>
      <c r="F634" s="848">
        <f t="shared" si="18"/>
        <v>43571</v>
      </c>
      <c r="I634" s="758" t="s">
        <v>4334</v>
      </c>
      <c r="J634" s="758" t="s">
        <v>4335</v>
      </c>
      <c r="K634" s="758" t="s">
        <v>4336</v>
      </c>
      <c r="L634" s="758" t="s">
        <v>3571</v>
      </c>
      <c r="M634" s="848">
        <v>31902</v>
      </c>
      <c r="N634" s="758" t="s">
        <v>1110</v>
      </c>
      <c r="O634" s="848">
        <v>43571</v>
      </c>
      <c r="P634" s="758" t="s">
        <v>3572</v>
      </c>
    </row>
    <row r="635" spans="1:16" x14ac:dyDescent="0.25">
      <c r="A635" s="758">
        <v>7</v>
      </c>
      <c r="B635" s="760">
        <v>849215001</v>
      </c>
      <c r="C635" s="758" t="s">
        <v>4337</v>
      </c>
      <c r="D635" s="759" t="s">
        <v>1110</v>
      </c>
      <c r="E635" s="848">
        <v>43750</v>
      </c>
      <c r="F635" s="848">
        <f t="shared" si="18"/>
        <v>43650</v>
      </c>
      <c r="I635" s="758" t="s">
        <v>4338</v>
      </c>
      <c r="J635" s="758" t="s">
        <v>4339</v>
      </c>
      <c r="K635" s="758" t="s">
        <v>4340</v>
      </c>
      <c r="L635" s="758" t="s">
        <v>3641</v>
      </c>
      <c r="M635" s="848">
        <v>33126</v>
      </c>
      <c r="N635" s="758" t="s">
        <v>1110</v>
      </c>
      <c r="O635" s="848">
        <v>43650</v>
      </c>
      <c r="P635" s="758" t="s">
        <v>3572</v>
      </c>
    </row>
    <row r="636" spans="1:16" x14ac:dyDescent="0.25">
      <c r="A636" s="758">
        <v>8</v>
      </c>
      <c r="B636" s="760">
        <v>849217008</v>
      </c>
      <c r="C636" s="758" t="s">
        <v>1931</v>
      </c>
      <c r="D636" s="759" t="s">
        <v>1110</v>
      </c>
      <c r="E636" s="848">
        <v>43750</v>
      </c>
      <c r="F636" s="848">
        <f t="shared" si="18"/>
        <v>43650</v>
      </c>
      <c r="I636" s="758" t="s">
        <v>4341</v>
      </c>
      <c r="J636" s="758" t="s">
        <v>4342</v>
      </c>
      <c r="K636" s="758" t="s">
        <v>4343</v>
      </c>
      <c r="L636" s="758" t="s">
        <v>3571</v>
      </c>
      <c r="M636" s="848">
        <v>33381</v>
      </c>
      <c r="N636" s="758" t="s">
        <v>1110</v>
      </c>
      <c r="O636" s="848">
        <v>43650</v>
      </c>
      <c r="P636" s="758" t="s">
        <v>3572</v>
      </c>
    </row>
    <row r="637" spans="1:16" x14ac:dyDescent="0.25">
      <c r="A637" s="758">
        <v>9</v>
      </c>
      <c r="B637" s="760">
        <v>849216007</v>
      </c>
      <c r="C637" s="758" t="s">
        <v>1530</v>
      </c>
      <c r="D637" s="759" t="s">
        <v>1110</v>
      </c>
      <c r="E637" s="848">
        <v>43750</v>
      </c>
      <c r="F637" s="848">
        <f t="shared" si="18"/>
        <v>43651</v>
      </c>
      <c r="I637" s="758" t="s">
        <v>4344</v>
      </c>
      <c r="J637" s="758" t="s">
        <v>4345</v>
      </c>
      <c r="K637" s="758" t="s">
        <v>4346</v>
      </c>
      <c r="L637" s="758" t="s">
        <v>3571</v>
      </c>
      <c r="M637" s="848">
        <v>34150</v>
      </c>
      <c r="N637" s="758" t="s">
        <v>1110</v>
      </c>
      <c r="O637" s="848">
        <v>43651</v>
      </c>
      <c r="P637" s="758" t="s">
        <v>3572</v>
      </c>
    </row>
    <row r="638" spans="1:16" x14ac:dyDescent="0.25">
      <c r="A638" s="758">
        <v>10</v>
      </c>
      <c r="B638" s="760">
        <v>849217005</v>
      </c>
      <c r="C638" s="758" t="s">
        <v>1928</v>
      </c>
      <c r="D638" s="759" t="s">
        <v>1110</v>
      </c>
      <c r="E638" s="848">
        <v>43750</v>
      </c>
      <c r="F638" s="848">
        <f t="shared" si="18"/>
        <v>43654</v>
      </c>
      <c r="I638" s="758" t="s">
        <v>4347</v>
      </c>
      <c r="J638" s="758" t="s">
        <v>4348</v>
      </c>
      <c r="K638" s="758" t="s">
        <v>4349</v>
      </c>
      <c r="L638" s="758" t="s">
        <v>3641</v>
      </c>
      <c r="M638" s="848">
        <v>34376</v>
      </c>
      <c r="N638" s="758" t="s">
        <v>1110</v>
      </c>
      <c r="O638" s="848">
        <v>43654</v>
      </c>
      <c r="P638" s="758" t="s">
        <v>3572</v>
      </c>
    </row>
    <row r="639" spans="1:16" x14ac:dyDescent="0.25">
      <c r="A639" s="758">
        <v>11</v>
      </c>
      <c r="B639" s="760">
        <v>849317047</v>
      </c>
      <c r="C639" s="758" t="s">
        <v>1803</v>
      </c>
      <c r="D639" s="759" t="s">
        <v>1328</v>
      </c>
      <c r="E639" s="848">
        <v>43750</v>
      </c>
      <c r="F639" s="848">
        <f t="shared" si="18"/>
        <v>43656</v>
      </c>
      <c r="I639" s="758" t="s">
        <v>4350</v>
      </c>
      <c r="J639" s="758" t="s">
        <v>4351</v>
      </c>
      <c r="K639" s="758" t="s">
        <v>4352</v>
      </c>
      <c r="L639" s="758" t="s">
        <v>4169</v>
      </c>
      <c r="M639" s="848">
        <v>31662</v>
      </c>
      <c r="N639" s="758" t="s">
        <v>1328</v>
      </c>
      <c r="O639" s="848">
        <v>43656</v>
      </c>
      <c r="P639" s="758" t="s">
        <v>3572</v>
      </c>
    </row>
    <row r="640" spans="1:16" x14ac:dyDescent="0.25">
      <c r="A640" s="758">
        <v>12</v>
      </c>
      <c r="B640" s="760">
        <v>849317036</v>
      </c>
      <c r="C640" s="758" t="s">
        <v>1791</v>
      </c>
      <c r="D640" s="759" t="s">
        <v>1328</v>
      </c>
      <c r="E640" s="848">
        <v>43750</v>
      </c>
      <c r="F640" s="848">
        <f t="shared" si="18"/>
        <v>43649</v>
      </c>
      <c r="I640" s="758" t="s">
        <v>4353</v>
      </c>
      <c r="J640" s="758" t="s">
        <v>4354</v>
      </c>
      <c r="K640" s="758" t="s">
        <v>4355</v>
      </c>
      <c r="L640" s="758" t="s">
        <v>3571</v>
      </c>
      <c r="M640" s="848">
        <v>34799</v>
      </c>
      <c r="N640" s="758" t="s">
        <v>1328</v>
      </c>
      <c r="O640" s="848">
        <v>43649</v>
      </c>
      <c r="P640" s="758" t="s">
        <v>3572</v>
      </c>
    </row>
    <row r="641" spans="1:16" x14ac:dyDescent="0.25">
      <c r="A641" s="758">
        <v>13</v>
      </c>
      <c r="B641" s="760">
        <v>849316012</v>
      </c>
      <c r="C641" s="758" t="s">
        <v>1622</v>
      </c>
      <c r="D641" s="759" t="s">
        <v>1328</v>
      </c>
      <c r="E641" s="848">
        <v>43750</v>
      </c>
      <c r="F641" s="848">
        <f t="shared" si="18"/>
        <v>43649</v>
      </c>
      <c r="I641" s="758" t="s">
        <v>4356</v>
      </c>
      <c r="J641" s="758" t="s">
        <v>4357</v>
      </c>
      <c r="K641" s="758" t="s">
        <v>4358</v>
      </c>
      <c r="L641" s="758" t="s">
        <v>3576</v>
      </c>
      <c r="M641" s="848">
        <v>34408</v>
      </c>
      <c r="N641" s="758" t="s">
        <v>1328</v>
      </c>
      <c r="O641" s="848">
        <v>43649</v>
      </c>
      <c r="P641" s="758" t="s">
        <v>3572</v>
      </c>
    </row>
    <row r="642" spans="1:16" x14ac:dyDescent="0.25">
      <c r="A642" s="758">
        <v>14</v>
      </c>
      <c r="B642" s="760">
        <v>849316046</v>
      </c>
      <c r="C642" s="758" t="s">
        <v>1658</v>
      </c>
      <c r="D642" s="759" t="s">
        <v>1328</v>
      </c>
      <c r="E642" s="848">
        <v>43750</v>
      </c>
      <c r="F642" s="848">
        <f t="shared" si="18"/>
        <v>43244</v>
      </c>
      <c r="I642" s="758" t="s">
        <v>4359</v>
      </c>
      <c r="J642" s="758" t="s">
        <v>4360</v>
      </c>
      <c r="K642" s="758" t="s">
        <v>4361</v>
      </c>
      <c r="L642" s="758" t="s">
        <v>3576</v>
      </c>
      <c r="M642" s="848">
        <v>33801</v>
      </c>
      <c r="N642" s="758" t="s">
        <v>1328</v>
      </c>
      <c r="O642" s="848">
        <v>43244</v>
      </c>
      <c r="P642" s="758" t="s">
        <v>3572</v>
      </c>
    </row>
    <row r="643" spans="1:16" x14ac:dyDescent="0.25">
      <c r="A643" s="758">
        <v>15</v>
      </c>
      <c r="B643" s="760">
        <v>849316023</v>
      </c>
      <c r="C643" s="758" t="s">
        <v>1634</v>
      </c>
      <c r="D643" s="759" t="s">
        <v>1328</v>
      </c>
      <c r="E643" s="848">
        <v>43750</v>
      </c>
      <c r="F643" s="848">
        <f t="shared" si="18"/>
        <v>43489</v>
      </c>
      <c r="I643" s="758" t="s">
        <v>4362</v>
      </c>
      <c r="J643" s="758" t="s">
        <v>4363</v>
      </c>
      <c r="K643" s="758" t="s">
        <v>4364</v>
      </c>
      <c r="L643" s="758" t="s">
        <v>3908</v>
      </c>
      <c r="M643" s="848">
        <v>34275</v>
      </c>
      <c r="N643" s="758" t="s">
        <v>1328</v>
      </c>
      <c r="O643" s="848">
        <v>43489</v>
      </c>
      <c r="P643" s="758" t="s">
        <v>3572</v>
      </c>
    </row>
    <row r="644" spans="1:16" x14ac:dyDescent="0.25">
      <c r="A644" s="758">
        <v>16</v>
      </c>
      <c r="B644" s="760">
        <v>849317044</v>
      </c>
      <c r="C644" s="758" t="s">
        <v>1799</v>
      </c>
      <c r="D644" s="759" t="s">
        <v>1328</v>
      </c>
      <c r="E644" s="848">
        <v>43750</v>
      </c>
      <c r="F644" s="848">
        <f t="shared" si="18"/>
        <v>43650</v>
      </c>
      <c r="I644" s="758" t="s">
        <v>4365</v>
      </c>
      <c r="J644" s="758" t="s">
        <v>4366</v>
      </c>
      <c r="K644" s="758" t="s">
        <v>4367</v>
      </c>
      <c r="L644" s="758" t="s">
        <v>3571</v>
      </c>
      <c r="M644" s="848">
        <v>34825</v>
      </c>
      <c r="N644" s="758" t="s">
        <v>1328</v>
      </c>
      <c r="O644" s="848">
        <v>43650</v>
      </c>
      <c r="P644" s="758" t="s">
        <v>3572</v>
      </c>
    </row>
    <row r="645" spans="1:16" x14ac:dyDescent="0.25">
      <c r="A645" s="758">
        <v>17</v>
      </c>
      <c r="B645" s="760">
        <v>849316010</v>
      </c>
      <c r="C645" s="758" t="s">
        <v>1620</v>
      </c>
      <c r="D645" s="759" t="s">
        <v>1328</v>
      </c>
      <c r="E645" s="848">
        <v>43750</v>
      </c>
      <c r="F645" s="848">
        <f t="shared" si="18"/>
        <v>43657</v>
      </c>
      <c r="I645" s="758" t="s">
        <v>4368</v>
      </c>
      <c r="J645" s="758" t="s">
        <v>4369</v>
      </c>
      <c r="K645" s="758" t="s">
        <v>4370</v>
      </c>
      <c r="L645" s="758" t="s">
        <v>3571</v>
      </c>
      <c r="M645" s="848">
        <v>32578</v>
      </c>
      <c r="N645" s="758" t="s">
        <v>1328</v>
      </c>
      <c r="O645" s="848">
        <v>43657</v>
      </c>
      <c r="P645" s="758" t="s">
        <v>3572</v>
      </c>
    </row>
    <row r="646" spans="1:16" x14ac:dyDescent="0.25">
      <c r="A646" s="758">
        <v>18</v>
      </c>
      <c r="B646" s="760">
        <v>849316036</v>
      </c>
      <c r="C646" s="758" t="s">
        <v>4371</v>
      </c>
      <c r="D646" s="759" t="s">
        <v>1328</v>
      </c>
      <c r="E646" s="848">
        <v>43750</v>
      </c>
      <c r="F646" s="848">
        <f t="shared" si="18"/>
        <v>43650</v>
      </c>
      <c r="I646" s="758" t="s">
        <v>4372</v>
      </c>
      <c r="J646" s="758" t="s">
        <v>4373</v>
      </c>
      <c r="K646" s="758" t="s">
        <v>4374</v>
      </c>
      <c r="L646" s="758" t="s">
        <v>3571</v>
      </c>
      <c r="M646" s="848">
        <v>32913</v>
      </c>
      <c r="N646" s="758" t="s">
        <v>1328</v>
      </c>
      <c r="O646" s="848">
        <v>43650</v>
      </c>
      <c r="P646" s="758" t="s">
        <v>3572</v>
      </c>
    </row>
    <row r="647" spans="1:16" x14ac:dyDescent="0.25">
      <c r="A647" s="758">
        <v>19</v>
      </c>
      <c r="B647" s="760">
        <v>849315014</v>
      </c>
      <c r="C647" s="758" t="s">
        <v>2669</v>
      </c>
      <c r="D647" s="759" t="s">
        <v>1328</v>
      </c>
      <c r="E647" s="848">
        <v>43750</v>
      </c>
      <c r="F647" s="848">
        <f t="shared" si="18"/>
        <v>43686</v>
      </c>
      <c r="I647" s="758" t="s">
        <v>4375</v>
      </c>
      <c r="J647" s="758" t="s">
        <v>4376</v>
      </c>
      <c r="K647" s="758" t="s">
        <v>4377</v>
      </c>
      <c r="L647" s="758" t="s">
        <v>3641</v>
      </c>
      <c r="M647" s="848">
        <v>32198</v>
      </c>
      <c r="N647" s="758" t="s">
        <v>1328</v>
      </c>
      <c r="O647" s="848">
        <v>43686</v>
      </c>
      <c r="P647" s="758" t="s">
        <v>3572</v>
      </c>
    </row>
    <row r="648" spans="1:16" x14ac:dyDescent="0.25">
      <c r="A648" s="758">
        <v>20</v>
      </c>
      <c r="B648" s="760">
        <v>849316028</v>
      </c>
      <c r="C648" s="758" t="s">
        <v>2791</v>
      </c>
      <c r="D648" s="759" t="s">
        <v>1328</v>
      </c>
      <c r="E648" s="848">
        <v>43750</v>
      </c>
      <c r="F648" s="848">
        <f t="shared" si="18"/>
        <v>43305</v>
      </c>
      <c r="I648" s="758" t="s">
        <v>4378</v>
      </c>
      <c r="J648" s="758" t="s">
        <v>4379</v>
      </c>
      <c r="K648" s="758" t="s">
        <v>4380</v>
      </c>
      <c r="L648" s="758" t="s">
        <v>4381</v>
      </c>
      <c r="M648" s="848">
        <v>33749</v>
      </c>
      <c r="N648" s="758" t="s">
        <v>1328</v>
      </c>
      <c r="O648" s="848">
        <v>43305</v>
      </c>
      <c r="P648" s="758" t="s">
        <v>3572</v>
      </c>
    </row>
    <row r="649" spans="1:16" x14ac:dyDescent="0.25">
      <c r="A649" s="758">
        <v>21</v>
      </c>
      <c r="B649" s="760">
        <v>849315033</v>
      </c>
      <c r="C649" s="758" t="s">
        <v>4382</v>
      </c>
      <c r="D649" s="759" t="s">
        <v>1328</v>
      </c>
      <c r="E649" s="848">
        <v>43750</v>
      </c>
      <c r="F649" s="848">
        <f t="shared" si="18"/>
        <v>43650</v>
      </c>
      <c r="I649" s="758" t="s">
        <v>4383</v>
      </c>
      <c r="J649" s="758" t="s">
        <v>4384</v>
      </c>
      <c r="K649" s="758" t="s">
        <v>4385</v>
      </c>
      <c r="L649" s="758" t="s">
        <v>3576</v>
      </c>
      <c r="M649" s="848">
        <v>33718</v>
      </c>
      <c r="N649" s="758" t="s">
        <v>1328</v>
      </c>
      <c r="O649" s="848">
        <v>43650</v>
      </c>
      <c r="P649" s="758" t="s">
        <v>3572</v>
      </c>
    </row>
    <row r="650" spans="1:16" x14ac:dyDescent="0.25">
      <c r="A650" s="758">
        <v>22</v>
      </c>
      <c r="B650" s="760">
        <v>849315023</v>
      </c>
      <c r="C650" s="758" t="s">
        <v>3050</v>
      </c>
      <c r="D650" s="759" t="s">
        <v>1328</v>
      </c>
      <c r="E650" s="848">
        <v>43750</v>
      </c>
      <c r="F650" s="848">
        <f t="shared" si="18"/>
        <v>43651</v>
      </c>
      <c r="I650" s="758" t="s">
        <v>4386</v>
      </c>
      <c r="J650" s="758" t="s">
        <v>4387</v>
      </c>
      <c r="K650" s="758" t="s">
        <v>4388</v>
      </c>
      <c r="L650" s="758" t="s">
        <v>4389</v>
      </c>
      <c r="M650" s="848">
        <v>32047</v>
      </c>
      <c r="N650" s="758" t="s">
        <v>1328</v>
      </c>
      <c r="O650" s="848">
        <v>43651</v>
      </c>
      <c r="P650" s="758" t="s">
        <v>3572</v>
      </c>
    </row>
    <row r="651" spans="1:16" x14ac:dyDescent="0.25">
      <c r="A651" s="758">
        <v>23</v>
      </c>
      <c r="B651" s="760">
        <v>849315035</v>
      </c>
      <c r="C651" s="758" t="s">
        <v>4390</v>
      </c>
      <c r="D651" s="759" t="s">
        <v>1328</v>
      </c>
      <c r="E651" s="848">
        <v>43750</v>
      </c>
      <c r="F651" s="848">
        <f t="shared" si="18"/>
        <v>43550</v>
      </c>
      <c r="I651" s="758" t="s">
        <v>4391</v>
      </c>
      <c r="J651" s="758" t="s">
        <v>4392</v>
      </c>
      <c r="K651" s="758" t="s">
        <v>4393</v>
      </c>
      <c r="L651" s="758" t="s">
        <v>3589</v>
      </c>
      <c r="M651" s="848">
        <v>34159</v>
      </c>
      <c r="N651" s="758" t="s">
        <v>1328</v>
      </c>
      <c r="O651" s="848">
        <v>43550</v>
      </c>
      <c r="P651" s="758" t="s">
        <v>3572</v>
      </c>
    </row>
    <row r="652" spans="1:16" x14ac:dyDescent="0.25">
      <c r="A652" s="758">
        <v>24</v>
      </c>
      <c r="B652" s="760">
        <v>849417006</v>
      </c>
      <c r="C652" s="758" t="s">
        <v>1907</v>
      </c>
      <c r="D652" s="759" t="s">
        <v>1665</v>
      </c>
      <c r="E652" s="848">
        <v>43750</v>
      </c>
      <c r="F652" s="848">
        <f t="shared" si="18"/>
        <v>43658</v>
      </c>
      <c r="I652" s="758" t="s">
        <v>4394</v>
      </c>
      <c r="J652" s="758" t="s">
        <v>4395</v>
      </c>
      <c r="K652" s="758" t="s">
        <v>4396</v>
      </c>
      <c r="L652" s="758" t="s">
        <v>3641</v>
      </c>
      <c r="M652" s="848">
        <v>31756</v>
      </c>
      <c r="N652" s="758" t="s">
        <v>1665</v>
      </c>
      <c r="O652" s="848">
        <v>43658</v>
      </c>
      <c r="P652" s="758" t="s">
        <v>3572</v>
      </c>
    </row>
    <row r="653" spans="1:16" x14ac:dyDescent="0.25">
      <c r="A653" s="758">
        <v>25</v>
      </c>
      <c r="B653" s="760">
        <v>849417018</v>
      </c>
      <c r="C653" s="758" t="s">
        <v>1919</v>
      </c>
      <c r="D653" s="759" t="s">
        <v>1665</v>
      </c>
      <c r="E653" s="848">
        <v>43750</v>
      </c>
      <c r="F653" s="848">
        <f t="shared" si="18"/>
        <v>43649</v>
      </c>
      <c r="I653" s="758" t="s">
        <v>4397</v>
      </c>
      <c r="J653" s="758" t="s">
        <v>4398</v>
      </c>
      <c r="K653" s="758" t="s">
        <v>4399</v>
      </c>
      <c r="L653" s="758" t="s">
        <v>3576</v>
      </c>
      <c r="M653" s="848">
        <v>31132</v>
      </c>
      <c r="N653" s="758" t="s">
        <v>1665</v>
      </c>
      <c r="O653" s="848">
        <v>43649</v>
      </c>
      <c r="P653" s="758" t="s">
        <v>3572</v>
      </c>
    </row>
    <row r="654" spans="1:16" x14ac:dyDescent="0.25">
      <c r="A654" s="758">
        <v>26</v>
      </c>
      <c r="B654" s="760">
        <v>849416008</v>
      </c>
      <c r="C654" s="758" t="s">
        <v>1672</v>
      </c>
      <c r="D654" s="759" t="s">
        <v>1665</v>
      </c>
      <c r="E654" s="848">
        <v>43750</v>
      </c>
      <c r="F654" s="848">
        <f t="shared" si="18"/>
        <v>43649</v>
      </c>
      <c r="I654" s="758" t="s">
        <v>4400</v>
      </c>
      <c r="J654" s="758" t="s">
        <v>4401</v>
      </c>
      <c r="K654" s="758" t="s">
        <v>4402</v>
      </c>
      <c r="L654" s="758" t="s">
        <v>3571</v>
      </c>
      <c r="M654" s="848">
        <v>34517</v>
      </c>
      <c r="N654" s="758" t="s">
        <v>1665</v>
      </c>
      <c r="O654" s="848">
        <v>43649</v>
      </c>
      <c r="P654" s="758" t="s">
        <v>3572</v>
      </c>
    </row>
    <row r="655" spans="1:16" x14ac:dyDescent="0.25">
      <c r="A655" s="758">
        <v>27</v>
      </c>
      <c r="B655" s="760">
        <v>849415001</v>
      </c>
      <c r="C655" s="758" t="s">
        <v>4403</v>
      </c>
      <c r="D655" s="759" t="s">
        <v>1665</v>
      </c>
      <c r="E655" s="848">
        <v>43750</v>
      </c>
      <c r="F655" s="848">
        <f t="shared" si="18"/>
        <v>43678</v>
      </c>
      <c r="I655" s="758" t="s">
        <v>4404</v>
      </c>
      <c r="J655" s="758" t="s">
        <v>4405</v>
      </c>
      <c r="K655" s="758" t="s">
        <v>4406</v>
      </c>
      <c r="L655" s="758" t="s">
        <v>3571</v>
      </c>
      <c r="M655" s="848">
        <v>33651</v>
      </c>
      <c r="N655" s="758" t="s">
        <v>1665</v>
      </c>
      <c r="O655" s="848">
        <v>43678</v>
      </c>
      <c r="P655" s="758" t="s">
        <v>3572</v>
      </c>
    </row>
    <row r="656" spans="1:16" x14ac:dyDescent="0.25">
      <c r="A656" s="758">
        <v>28</v>
      </c>
      <c r="B656" s="760">
        <v>849417015</v>
      </c>
      <c r="C656" s="758" t="s">
        <v>1916</v>
      </c>
      <c r="D656" s="759" t="s">
        <v>1665</v>
      </c>
      <c r="E656" s="848">
        <v>43750</v>
      </c>
      <c r="F656" s="848">
        <f t="shared" si="18"/>
        <v>43684</v>
      </c>
      <c r="I656" s="758" t="s">
        <v>4407</v>
      </c>
      <c r="J656" s="758" t="s">
        <v>4408</v>
      </c>
      <c r="K656" s="758" t="s">
        <v>4409</v>
      </c>
      <c r="L656" s="758" t="s">
        <v>3589</v>
      </c>
      <c r="M656" s="848">
        <v>27691</v>
      </c>
      <c r="N656" s="758" t="s">
        <v>1665</v>
      </c>
      <c r="O656" s="848">
        <v>43684</v>
      </c>
      <c r="P656" s="758" t="s">
        <v>3572</v>
      </c>
    </row>
    <row r="657" spans="1:16" x14ac:dyDescent="0.25">
      <c r="A657" s="758">
        <v>29</v>
      </c>
      <c r="B657" s="760">
        <v>839116007</v>
      </c>
      <c r="C657" s="758" t="s">
        <v>4410</v>
      </c>
      <c r="D657" s="759" t="s">
        <v>848</v>
      </c>
      <c r="E657" s="848">
        <v>43750</v>
      </c>
      <c r="F657" s="848">
        <f t="shared" si="16"/>
        <v>43670</v>
      </c>
      <c r="I657" s="758" t="s">
        <v>4411</v>
      </c>
      <c r="J657" s="758" t="s">
        <v>4412</v>
      </c>
      <c r="K657" s="758" t="s">
        <v>4413</v>
      </c>
      <c r="L657" s="758" t="s">
        <v>3641</v>
      </c>
      <c r="M657" s="848">
        <v>32760</v>
      </c>
      <c r="N657" s="758" t="s">
        <v>848</v>
      </c>
      <c r="O657" s="848">
        <v>43670</v>
      </c>
      <c r="P657" s="758" t="s">
        <v>3622</v>
      </c>
    </row>
    <row r="658" spans="1:16" x14ac:dyDescent="0.25">
      <c r="A658" s="758">
        <v>30</v>
      </c>
      <c r="B658" s="760">
        <v>839116020</v>
      </c>
      <c r="C658" s="758" t="s">
        <v>1596</v>
      </c>
      <c r="D658" s="759" t="s">
        <v>848</v>
      </c>
      <c r="E658" s="848">
        <v>43750</v>
      </c>
      <c r="F658" s="848">
        <f t="shared" si="16"/>
        <v>43670</v>
      </c>
      <c r="I658" s="758" t="s">
        <v>4414</v>
      </c>
      <c r="J658" s="758" t="s">
        <v>4415</v>
      </c>
      <c r="K658" s="758" t="s">
        <v>4416</v>
      </c>
      <c r="L658" s="758" t="s">
        <v>4417</v>
      </c>
      <c r="M658" s="848">
        <v>33975</v>
      </c>
      <c r="N658" s="758" t="s">
        <v>848</v>
      </c>
      <c r="O658" s="848">
        <v>43670</v>
      </c>
      <c r="P658" s="758" t="s">
        <v>3622</v>
      </c>
    </row>
    <row r="659" spans="1:16" x14ac:dyDescent="0.25">
      <c r="A659" s="758">
        <v>31</v>
      </c>
      <c r="B659" s="760">
        <v>839116012</v>
      </c>
      <c r="C659" s="758" t="s">
        <v>1588</v>
      </c>
      <c r="D659" s="759" t="s">
        <v>848</v>
      </c>
      <c r="E659" s="848">
        <v>43750</v>
      </c>
      <c r="F659" s="848">
        <f t="shared" si="16"/>
        <v>43405</v>
      </c>
      <c r="I659" s="758" t="s">
        <v>4418</v>
      </c>
      <c r="J659" s="758" t="s">
        <v>4419</v>
      </c>
      <c r="K659" s="758" t="s">
        <v>4420</v>
      </c>
      <c r="L659" s="758" t="s">
        <v>3576</v>
      </c>
      <c r="M659" s="848">
        <v>32850</v>
      </c>
      <c r="N659" s="758" t="s">
        <v>848</v>
      </c>
      <c r="O659" s="848">
        <v>43406</v>
      </c>
      <c r="P659" s="758" t="s">
        <v>3622</v>
      </c>
    </row>
    <row r="660" spans="1:16" x14ac:dyDescent="0.25">
      <c r="A660" s="758">
        <v>32</v>
      </c>
      <c r="B660" s="760">
        <v>839117011</v>
      </c>
      <c r="C660" s="758" t="s">
        <v>1957</v>
      </c>
      <c r="D660" s="759" t="s">
        <v>848</v>
      </c>
      <c r="E660" s="848">
        <v>43750</v>
      </c>
      <c r="F660" s="848">
        <f>IFERROR(VLOOKUP(B660,Tlus,3,FALSE),"   ")</f>
        <v>43670</v>
      </c>
      <c r="I660" s="758" t="s">
        <v>4421</v>
      </c>
      <c r="J660" s="758" t="s">
        <v>4422</v>
      </c>
      <c r="K660" s="758" t="s">
        <v>4423</v>
      </c>
      <c r="L660" s="758" t="s">
        <v>3641</v>
      </c>
      <c r="M660" s="848">
        <v>34247</v>
      </c>
      <c r="N660" s="758" t="s">
        <v>848</v>
      </c>
      <c r="O660" s="848">
        <v>43670</v>
      </c>
      <c r="P660" s="758" t="s">
        <v>3622</v>
      </c>
    </row>
    <row r="661" spans="1:16" x14ac:dyDescent="0.25">
      <c r="A661" s="758">
        <v>33</v>
      </c>
      <c r="B661" s="760">
        <v>839117002</v>
      </c>
      <c r="C661" s="758" t="s">
        <v>1947</v>
      </c>
      <c r="D661" s="759" t="s">
        <v>848</v>
      </c>
      <c r="E661" s="848">
        <v>43750</v>
      </c>
      <c r="F661" s="848">
        <f>IFERROR(VLOOKUP(B661,Tlus,3,FALSE),"   ")</f>
        <v>43670</v>
      </c>
      <c r="I661" s="758" t="s">
        <v>4424</v>
      </c>
      <c r="J661" s="758" t="s">
        <v>4425</v>
      </c>
      <c r="K661" s="758" t="s">
        <v>4426</v>
      </c>
      <c r="L661" s="758" t="s">
        <v>3908</v>
      </c>
      <c r="M661" s="848">
        <v>33356</v>
      </c>
      <c r="N661" s="758" t="s">
        <v>848</v>
      </c>
      <c r="O661" s="848">
        <v>43670</v>
      </c>
      <c r="P661" s="758" t="s">
        <v>3622</v>
      </c>
    </row>
    <row r="662" spans="1:16" x14ac:dyDescent="0.25">
      <c r="A662" s="758">
        <v>34</v>
      </c>
      <c r="B662" s="760">
        <v>839115007</v>
      </c>
      <c r="C662" s="758" t="s">
        <v>4427</v>
      </c>
      <c r="D662" s="759" t="s">
        <v>848</v>
      </c>
      <c r="E662" s="848">
        <v>43750</v>
      </c>
      <c r="F662" s="848">
        <f>IFERROR(VLOOKUP(B662,Tlus,3,FALSE),"   ")</f>
        <v>43672</v>
      </c>
      <c r="I662" s="758" t="s">
        <v>4428</v>
      </c>
      <c r="J662" s="758" t="s">
        <v>4429</v>
      </c>
      <c r="K662" s="758" t="s">
        <v>4430</v>
      </c>
      <c r="L662" s="758" t="s">
        <v>3571</v>
      </c>
      <c r="M662" s="848">
        <v>33749</v>
      </c>
      <c r="N662" s="758" t="s">
        <v>848</v>
      </c>
      <c r="O662" s="848">
        <v>43672</v>
      </c>
      <c r="P662" s="758" t="s">
        <v>3622</v>
      </c>
    </row>
    <row r="663" spans="1:16" x14ac:dyDescent="0.25">
      <c r="A663" s="758">
        <v>35</v>
      </c>
      <c r="B663" s="760">
        <v>839117005</v>
      </c>
      <c r="C663" s="758" t="s">
        <v>4431</v>
      </c>
      <c r="D663" s="759" t="s">
        <v>848</v>
      </c>
      <c r="E663" s="848">
        <v>43750</v>
      </c>
      <c r="F663" s="848">
        <f>IFERROR(VLOOKUP(B663,Tlus,3,FALSE),"   ")</f>
        <v>43692</v>
      </c>
      <c r="I663" s="758" t="s">
        <v>4432</v>
      </c>
      <c r="J663" s="758" t="s">
        <v>4433</v>
      </c>
      <c r="K663" s="758" t="s">
        <v>4434</v>
      </c>
      <c r="L663" s="758" t="s">
        <v>3576</v>
      </c>
      <c r="M663" s="848">
        <v>34681</v>
      </c>
      <c r="N663" s="758" t="s">
        <v>848</v>
      </c>
      <c r="O663" s="848">
        <v>43692</v>
      </c>
      <c r="P663" s="758" t="s">
        <v>3622</v>
      </c>
    </row>
    <row r="664" spans="1:16" x14ac:dyDescent="0.25">
      <c r="A664" s="758">
        <v>36</v>
      </c>
      <c r="B664" s="760">
        <v>839217018</v>
      </c>
      <c r="C664" s="758" t="s">
        <v>1879</v>
      </c>
      <c r="D664" s="759" t="s">
        <v>1195</v>
      </c>
      <c r="E664" s="848">
        <v>43750</v>
      </c>
      <c r="F664" s="848">
        <f t="shared" si="16"/>
        <v>43648</v>
      </c>
      <c r="I664" s="758" t="s">
        <v>4435</v>
      </c>
      <c r="J664" s="758" t="s">
        <v>4436</v>
      </c>
      <c r="K664" s="758" t="s">
        <v>4437</v>
      </c>
      <c r="L664" s="758" t="s">
        <v>4438</v>
      </c>
      <c r="M664" s="848">
        <v>34429</v>
      </c>
      <c r="N664" s="758" t="s">
        <v>1195</v>
      </c>
      <c r="O664" s="848">
        <v>43648</v>
      </c>
      <c r="P664" s="758" t="s">
        <v>3642</v>
      </c>
    </row>
    <row r="665" spans="1:16" x14ac:dyDescent="0.25">
      <c r="A665" s="758">
        <v>37</v>
      </c>
      <c r="B665" s="760">
        <v>839216002</v>
      </c>
      <c r="C665" s="758" t="s">
        <v>1548</v>
      </c>
      <c r="D665" s="759" t="s">
        <v>1195</v>
      </c>
      <c r="E665" s="848">
        <v>43750</v>
      </c>
      <c r="F665" s="848">
        <f t="shared" ref="F665:F728" si="19">IFERROR(VLOOKUP(B665,Tlus,3,FALSE),"   ")</f>
        <v>43609</v>
      </c>
      <c r="I665" s="758" t="s">
        <v>4439</v>
      </c>
      <c r="J665" s="758" t="s">
        <v>4440</v>
      </c>
      <c r="K665" s="758" t="s">
        <v>4441</v>
      </c>
      <c r="L665" s="758" t="s">
        <v>3763</v>
      </c>
      <c r="M665" s="848">
        <v>31404</v>
      </c>
      <c r="N665" s="758" t="s">
        <v>1195</v>
      </c>
      <c r="O665" s="848">
        <v>43609</v>
      </c>
      <c r="P665" s="758" t="s">
        <v>3642</v>
      </c>
    </row>
    <row r="666" spans="1:16" x14ac:dyDescent="0.25">
      <c r="A666" s="758">
        <v>38</v>
      </c>
      <c r="B666" s="760">
        <v>839217007</v>
      </c>
      <c r="C666" s="758" t="s">
        <v>1868</v>
      </c>
      <c r="D666" s="759" t="s">
        <v>1195</v>
      </c>
      <c r="E666" s="848">
        <v>43750</v>
      </c>
      <c r="F666" s="848">
        <f>IFERROR(VLOOKUP(B666,Tlus,3,FALSE),"   ")</f>
        <v>43655</v>
      </c>
      <c r="I666" s="758" t="s">
        <v>4442</v>
      </c>
      <c r="J666" s="758" t="s">
        <v>4443</v>
      </c>
      <c r="K666" s="758" t="s">
        <v>4444</v>
      </c>
      <c r="L666" s="758" t="s">
        <v>4445</v>
      </c>
      <c r="M666" s="848">
        <v>30936</v>
      </c>
      <c r="N666" s="758" t="s">
        <v>1195</v>
      </c>
      <c r="O666" s="848">
        <v>43655</v>
      </c>
      <c r="P666" s="758" t="s">
        <v>3642</v>
      </c>
    </row>
    <row r="667" spans="1:16" x14ac:dyDescent="0.25">
      <c r="A667" s="758">
        <v>39</v>
      </c>
      <c r="B667" s="760">
        <v>839216021</v>
      </c>
      <c r="C667" s="758" t="s">
        <v>1568</v>
      </c>
      <c r="D667" s="759" t="s">
        <v>1195</v>
      </c>
      <c r="E667" s="848">
        <v>43750</v>
      </c>
      <c r="F667" s="848">
        <f>IFERROR(VLOOKUP(B667,Tlus,3,FALSE),"   ")</f>
        <v>43648</v>
      </c>
      <c r="I667" s="758" t="s">
        <v>4446</v>
      </c>
      <c r="J667" s="758" t="s">
        <v>4447</v>
      </c>
      <c r="K667" s="758" t="s">
        <v>4448</v>
      </c>
      <c r="L667" s="758" t="s">
        <v>4169</v>
      </c>
      <c r="M667" s="848">
        <v>31562</v>
      </c>
      <c r="N667" s="758" t="s">
        <v>1195</v>
      </c>
      <c r="O667" s="848">
        <v>43648</v>
      </c>
      <c r="P667" s="758" t="s">
        <v>3642</v>
      </c>
    </row>
    <row r="668" spans="1:16" x14ac:dyDescent="0.25">
      <c r="A668" s="758">
        <v>40</v>
      </c>
      <c r="B668" s="760">
        <v>841915040</v>
      </c>
      <c r="C668" s="758" t="s">
        <v>1518</v>
      </c>
      <c r="D668" s="759" t="s">
        <v>1477</v>
      </c>
      <c r="E668" s="848">
        <v>43750</v>
      </c>
      <c r="F668" s="848">
        <f t="shared" si="19"/>
        <v>43602</v>
      </c>
    </row>
    <row r="669" spans="1:16" x14ac:dyDescent="0.25">
      <c r="A669" s="758">
        <v>41</v>
      </c>
      <c r="B669" s="760">
        <v>841915005</v>
      </c>
      <c r="C669" s="758" t="s">
        <v>1481</v>
      </c>
      <c r="D669" s="759" t="s">
        <v>1477</v>
      </c>
      <c r="E669" s="848">
        <v>43750</v>
      </c>
      <c r="F669" s="848">
        <f t="shared" si="19"/>
        <v>43602</v>
      </c>
    </row>
    <row r="670" spans="1:16" x14ac:dyDescent="0.25">
      <c r="F670" s="848" t="str">
        <f t="shared" si="19"/>
        <v xml:space="preserve">   </v>
      </c>
    </row>
    <row r="671" spans="1:16" x14ac:dyDescent="0.25">
      <c r="A671" s="758">
        <v>1</v>
      </c>
      <c r="B671" s="760">
        <v>849115019</v>
      </c>
      <c r="C671" s="758" t="s">
        <v>4449</v>
      </c>
      <c r="D671" s="759" t="s">
        <v>1070</v>
      </c>
      <c r="E671" s="848">
        <v>43818</v>
      </c>
      <c r="F671" s="848">
        <f>IFERROR(VLOOKUP(B671,Tlus,3,FALSE),"   ")</f>
        <v>43643</v>
      </c>
      <c r="G671" s="848"/>
      <c r="I671" s="758" t="s">
        <v>4450</v>
      </c>
      <c r="J671" s="758" t="s">
        <v>4451</v>
      </c>
      <c r="K671" s="758" t="s">
        <v>4452</v>
      </c>
      <c r="L671" s="758" t="s">
        <v>3641</v>
      </c>
      <c r="M671" s="848">
        <v>29122</v>
      </c>
      <c r="N671" s="758" t="s">
        <v>527</v>
      </c>
      <c r="O671" s="848">
        <v>43643</v>
      </c>
      <c r="P671" s="758" t="s">
        <v>3572</v>
      </c>
    </row>
    <row r="672" spans="1:16" x14ac:dyDescent="0.25">
      <c r="A672" s="758">
        <v>2</v>
      </c>
      <c r="B672" s="759">
        <v>849117044</v>
      </c>
      <c r="C672" s="758" t="s">
        <v>3020</v>
      </c>
      <c r="D672" s="759" t="s">
        <v>1070</v>
      </c>
      <c r="E672" s="848">
        <v>43818</v>
      </c>
      <c r="F672" s="848">
        <f>IFERROR(VLOOKUP(B672,Tlus,3,FALSE),"   ")</f>
        <v>43797</v>
      </c>
      <c r="G672" s="848"/>
      <c r="I672" s="758" t="s">
        <v>4453</v>
      </c>
      <c r="J672" s="758" t="s">
        <v>4454</v>
      </c>
      <c r="K672" s="758" t="s">
        <v>4455</v>
      </c>
      <c r="L672" s="758" t="s">
        <v>3571</v>
      </c>
      <c r="M672" s="848">
        <v>28985</v>
      </c>
      <c r="N672" s="758" t="s">
        <v>527</v>
      </c>
      <c r="O672" s="848">
        <v>43797</v>
      </c>
      <c r="P672" s="758" t="s">
        <v>3572</v>
      </c>
    </row>
    <row r="673" spans="1:16" x14ac:dyDescent="0.25">
      <c r="A673" s="758">
        <v>3</v>
      </c>
      <c r="B673" s="760">
        <v>849216017</v>
      </c>
      <c r="C673" s="758" t="s">
        <v>1539</v>
      </c>
      <c r="D673" s="759" t="s">
        <v>1110</v>
      </c>
      <c r="E673" s="848">
        <v>43818</v>
      </c>
      <c r="F673" s="848">
        <f>IFERROR(VLOOKUP(B673,Tlus,3,FALSE),"   ")</f>
        <v>43654</v>
      </c>
      <c r="G673" s="848"/>
      <c r="I673" s="758" t="s">
        <v>4456</v>
      </c>
      <c r="J673" s="758" t="s">
        <v>4457</v>
      </c>
      <c r="K673" s="758" t="s">
        <v>4458</v>
      </c>
      <c r="L673" s="758" t="s">
        <v>3576</v>
      </c>
      <c r="M673" s="848">
        <v>34274</v>
      </c>
      <c r="N673" s="758" t="s">
        <v>1110</v>
      </c>
      <c r="O673" s="848">
        <v>43654</v>
      </c>
      <c r="P673" s="758" t="s">
        <v>3572</v>
      </c>
    </row>
    <row r="674" spans="1:16" x14ac:dyDescent="0.25">
      <c r="A674" s="758">
        <v>4</v>
      </c>
      <c r="B674" s="847">
        <v>849317037</v>
      </c>
      <c r="C674" s="758" t="s">
        <v>1792</v>
      </c>
      <c r="D674" s="759" t="s">
        <v>1328</v>
      </c>
      <c r="E674" s="848">
        <v>43818</v>
      </c>
      <c r="F674" s="848">
        <f t="shared" si="19"/>
        <v>43755</v>
      </c>
      <c r="G674" s="848"/>
      <c r="I674" s="758" t="s">
        <v>4459</v>
      </c>
      <c r="J674" s="758" t="s">
        <v>4460</v>
      </c>
      <c r="K674" s="758" t="s">
        <v>4461</v>
      </c>
      <c r="L674" s="758" t="s">
        <v>3576</v>
      </c>
      <c r="M674" s="848">
        <v>33834</v>
      </c>
      <c r="N674" s="758" t="s">
        <v>1328</v>
      </c>
      <c r="O674" s="848">
        <v>43755</v>
      </c>
      <c r="P674" s="758" t="s">
        <v>3572</v>
      </c>
    </row>
    <row r="675" spans="1:16" x14ac:dyDescent="0.25">
      <c r="A675" s="758">
        <v>5</v>
      </c>
      <c r="B675" s="847">
        <v>849317027</v>
      </c>
      <c r="C675" s="758" t="s">
        <v>1782</v>
      </c>
      <c r="D675" s="759" t="s">
        <v>1328</v>
      </c>
      <c r="E675" s="848">
        <v>43818</v>
      </c>
      <c r="F675" s="848">
        <f t="shared" si="19"/>
        <v>43770</v>
      </c>
      <c r="G675" s="848"/>
      <c r="I675" s="758" t="s">
        <v>4462</v>
      </c>
      <c r="J675" s="758" t="s">
        <v>4463</v>
      </c>
      <c r="K675" s="758" t="s">
        <v>4464</v>
      </c>
      <c r="L675" s="758" t="s">
        <v>3571</v>
      </c>
      <c r="M675" s="848">
        <v>33350</v>
      </c>
      <c r="N675" s="758" t="s">
        <v>1328</v>
      </c>
      <c r="O675" s="848">
        <v>43770</v>
      </c>
      <c r="P675" s="758" t="s">
        <v>3572</v>
      </c>
    </row>
    <row r="676" spans="1:16" x14ac:dyDescent="0.25">
      <c r="A676" s="758">
        <v>6</v>
      </c>
      <c r="B676" s="847">
        <v>849316034</v>
      </c>
      <c r="C676" s="758" t="s">
        <v>1646</v>
      </c>
      <c r="D676" s="759" t="s">
        <v>1328</v>
      </c>
      <c r="E676" s="848">
        <v>43818</v>
      </c>
      <c r="F676" s="848">
        <f>IFERROR(VLOOKUP(B676,Tlus,3,FALSE),"   ")</f>
        <v>43719</v>
      </c>
      <c r="G676" s="848"/>
      <c r="I676" s="758" t="s">
        <v>4465</v>
      </c>
      <c r="J676" s="758" t="s">
        <v>4466</v>
      </c>
      <c r="K676" s="758" t="s">
        <v>4467</v>
      </c>
      <c r="L676" s="758" t="s">
        <v>3571</v>
      </c>
      <c r="M676" s="848">
        <v>29812</v>
      </c>
      <c r="N676" s="758" t="s">
        <v>1328</v>
      </c>
      <c r="O676" s="848">
        <v>43719</v>
      </c>
      <c r="P676" s="758" t="s">
        <v>3572</v>
      </c>
    </row>
    <row r="677" spans="1:16" x14ac:dyDescent="0.25">
      <c r="A677" s="758">
        <v>7</v>
      </c>
      <c r="B677" s="760">
        <v>849316016</v>
      </c>
      <c r="C677" s="758" t="s">
        <v>1626</v>
      </c>
      <c r="D677" s="759" t="s">
        <v>1328</v>
      </c>
      <c r="E677" s="848">
        <v>43818</v>
      </c>
      <c r="F677" s="848">
        <f>IFERROR(VLOOKUP(B677,Tlus,3,FALSE),"   ")</f>
        <v>43735</v>
      </c>
      <c r="G677" s="848"/>
      <c r="I677" s="758" t="s">
        <v>4468</v>
      </c>
      <c r="J677" s="758" t="s">
        <v>4469</v>
      </c>
      <c r="K677" s="758" t="s">
        <v>4470</v>
      </c>
      <c r="L677" s="758" t="s">
        <v>3571</v>
      </c>
      <c r="M677" s="848">
        <v>33834</v>
      </c>
      <c r="N677" s="758" t="s">
        <v>1328</v>
      </c>
      <c r="O677" s="848">
        <v>43735</v>
      </c>
      <c r="P677" s="758" t="s">
        <v>3572</v>
      </c>
    </row>
    <row r="678" spans="1:16" x14ac:dyDescent="0.25">
      <c r="A678" s="758">
        <v>8</v>
      </c>
      <c r="B678" s="847">
        <v>849417010</v>
      </c>
      <c r="C678" s="758" t="s">
        <v>1911</v>
      </c>
      <c r="D678" s="759" t="s">
        <v>1665</v>
      </c>
      <c r="E678" s="848">
        <v>43818</v>
      </c>
      <c r="F678" s="848">
        <f t="shared" si="19"/>
        <v>43745</v>
      </c>
      <c r="G678" s="848"/>
      <c r="I678" s="758" t="s">
        <v>4471</v>
      </c>
      <c r="J678" s="758" t="s">
        <v>4472</v>
      </c>
      <c r="K678" s="758" t="s">
        <v>4473</v>
      </c>
      <c r="L678" s="758" t="s">
        <v>3571</v>
      </c>
      <c r="M678" s="848">
        <v>25735</v>
      </c>
      <c r="N678" s="758" t="s">
        <v>1665</v>
      </c>
      <c r="O678" s="848">
        <v>43745</v>
      </c>
      <c r="P678" s="758" t="s">
        <v>3572</v>
      </c>
    </row>
    <row r="679" spans="1:16" x14ac:dyDescent="0.25">
      <c r="A679" s="758">
        <v>9</v>
      </c>
      <c r="B679" s="847">
        <v>839116005</v>
      </c>
      <c r="C679" s="758" t="s">
        <v>4474</v>
      </c>
      <c r="D679" s="759" t="s">
        <v>848</v>
      </c>
      <c r="E679" s="848">
        <v>43818</v>
      </c>
      <c r="F679" s="848">
        <f>IFERROR(VLOOKUP(B679,Tlus,3,FALSE),"   ")</f>
        <v>43762</v>
      </c>
      <c r="G679" s="848"/>
      <c r="I679" s="758" t="s">
        <v>4475</v>
      </c>
      <c r="J679" s="758" t="s">
        <v>4476</v>
      </c>
      <c r="K679" s="758" t="s">
        <v>4477</v>
      </c>
      <c r="L679" s="758" t="s">
        <v>3593</v>
      </c>
      <c r="M679" s="848">
        <v>29344</v>
      </c>
      <c r="N679" s="758" t="s">
        <v>848</v>
      </c>
      <c r="O679" s="848">
        <v>43762</v>
      </c>
      <c r="P679" s="758" t="s">
        <v>3622</v>
      </c>
    </row>
    <row r="680" spans="1:16" x14ac:dyDescent="0.25">
      <c r="A680" s="758">
        <v>10</v>
      </c>
      <c r="B680" s="847">
        <v>839116015</v>
      </c>
      <c r="C680" s="758" t="s">
        <v>1591</v>
      </c>
      <c r="D680" s="759" t="s">
        <v>848</v>
      </c>
      <c r="E680" s="848">
        <v>43818</v>
      </c>
      <c r="F680" s="848">
        <f>IFERROR(VLOOKUP(B680,Tlus,3,FALSE),"   ")</f>
        <v>43732</v>
      </c>
      <c r="G680" s="848"/>
      <c r="I680" s="758" t="s">
        <v>4478</v>
      </c>
      <c r="J680" s="758" t="s">
        <v>4479</v>
      </c>
      <c r="K680" s="758" t="s">
        <v>4480</v>
      </c>
      <c r="L680" s="758" t="s">
        <v>3576</v>
      </c>
      <c r="M680" s="848">
        <v>30607</v>
      </c>
      <c r="N680" s="758" t="s">
        <v>848</v>
      </c>
      <c r="O680" s="848">
        <v>43732</v>
      </c>
      <c r="P680" s="758" t="s">
        <v>3622</v>
      </c>
    </row>
    <row r="681" spans="1:16" x14ac:dyDescent="0.25">
      <c r="A681" s="758">
        <v>11</v>
      </c>
      <c r="B681" s="760">
        <v>839115011</v>
      </c>
      <c r="C681" s="758" t="s">
        <v>4481</v>
      </c>
      <c r="D681" s="759" t="s">
        <v>848</v>
      </c>
      <c r="E681" s="848">
        <v>43818</v>
      </c>
      <c r="F681" s="848">
        <f>IFERROR(VLOOKUP(B681,Tlus,3,FALSE),"   ")</f>
        <v>43678</v>
      </c>
      <c r="G681" s="848"/>
      <c r="I681" s="758" t="s">
        <v>4482</v>
      </c>
      <c r="J681" s="758" t="s">
        <v>4483</v>
      </c>
      <c r="K681" s="758" t="s">
        <v>4484</v>
      </c>
      <c r="L681" s="758" t="s">
        <v>3571</v>
      </c>
      <c r="M681" s="848">
        <v>29365</v>
      </c>
      <c r="N681" s="758" t="s">
        <v>848</v>
      </c>
      <c r="O681" s="848">
        <v>43678</v>
      </c>
      <c r="P681" s="758" t="s">
        <v>3622</v>
      </c>
    </row>
    <row r="682" spans="1:16" x14ac:dyDescent="0.25">
      <c r="A682" s="758">
        <v>12</v>
      </c>
      <c r="B682" s="759">
        <v>839217020</v>
      </c>
      <c r="C682" s="758" t="s">
        <v>4485</v>
      </c>
      <c r="D682" s="759" t="s">
        <v>1195</v>
      </c>
      <c r="E682" s="848">
        <v>43818</v>
      </c>
      <c r="F682" s="848">
        <f>IFERROR(VLOOKUP(B682,Tlus,3,FALSE),"   ")</f>
        <v>43732</v>
      </c>
      <c r="G682" s="848"/>
      <c r="I682" s="758" t="s">
        <v>4486</v>
      </c>
      <c r="J682" s="758" t="s">
        <v>4487</v>
      </c>
      <c r="K682" s="758" t="s">
        <v>4488</v>
      </c>
      <c r="L682" s="758" t="s">
        <v>3571</v>
      </c>
      <c r="M682" s="848">
        <v>33252</v>
      </c>
      <c r="N682" s="758" t="s">
        <v>1195</v>
      </c>
      <c r="O682" s="848">
        <v>43732</v>
      </c>
      <c r="P682" s="758" t="s">
        <v>3642</v>
      </c>
    </row>
    <row r="683" spans="1:16" x14ac:dyDescent="0.25">
      <c r="A683" s="758">
        <v>13</v>
      </c>
      <c r="B683" s="847">
        <v>829116003</v>
      </c>
      <c r="C683" s="758" t="s">
        <v>1602</v>
      </c>
      <c r="D683" s="759" t="s">
        <v>1441</v>
      </c>
      <c r="E683" s="848">
        <v>43818</v>
      </c>
      <c r="F683" s="848">
        <f>IFERROR(VLOOKUP(B683,Tlus,3,FALSE),"   ")</f>
        <v>43529</v>
      </c>
      <c r="G683" s="848"/>
      <c r="I683" s="758" t="s">
        <v>4489</v>
      </c>
      <c r="J683" s="758" t="s">
        <v>4490</v>
      </c>
      <c r="K683" s="758" t="s">
        <v>4491</v>
      </c>
      <c r="L683" s="758" t="s">
        <v>3571</v>
      </c>
      <c r="M683" s="848">
        <v>29157</v>
      </c>
      <c r="N683" s="758" t="s">
        <v>1441</v>
      </c>
      <c r="O683" s="848">
        <v>43529</v>
      </c>
      <c r="P683" s="758" t="s">
        <v>3887</v>
      </c>
    </row>
    <row r="684" spans="1:16" x14ac:dyDescent="0.25">
      <c r="A684" s="758">
        <v>14</v>
      </c>
      <c r="B684" s="847">
        <v>829115001</v>
      </c>
      <c r="C684" s="758" t="s">
        <v>4492</v>
      </c>
      <c r="D684" s="759" t="s">
        <v>1441</v>
      </c>
      <c r="E684" s="848">
        <v>43818</v>
      </c>
      <c r="F684" s="848">
        <f t="shared" si="19"/>
        <v>43682</v>
      </c>
      <c r="G684" s="848"/>
      <c r="I684" s="758" t="s">
        <v>4493</v>
      </c>
      <c r="J684" s="758" t="s">
        <v>4494</v>
      </c>
      <c r="K684" s="758" t="s">
        <v>4495</v>
      </c>
      <c r="L684" s="758" t="s">
        <v>3641</v>
      </c>
      <c r="M684" s="848">
        <v>30228</v>
      </c>
      <c r="N684" s="758" t="s">
        <v>1441</v>
      </c>
      <c r="O684" s="848">
        <v>43682</v>
      </c>
      <c r="P684" s="758" t="s">
        <v>3887</v>
      </c>
    </row>
    <row r="685" spans="1:16" x14ac:dyDescent="0.25">
      <c r="A685" s="758">
        <v>15</v>
      </c>
      <c r="B685" s="847">
        <v>829115005</v>
      </c>
      <c r="C685" s="758" t="s">
        <v>4496</v>
      </c>
      <c r="D685" s="759" t="s">
        <v>1441</v>
      </c>
      <c r="E685" s="848">
        <v>43818</v>
      </c>
      <c r="F685" s="848">
        <f t="shared" si="19"/>
        <v>43573</v>
      </c>
      <c r="G685" s="848"/>
      <c r="I685" s="758" t="s">
        <v>4497</v>
      </c>
      <c r="J685" s="758" t="s">
        <v>4498</v>
      </c>
      <c r="K685" s="758" t="s">
        <v>4499</v>
      </c>
      <c r="L685" s="758" t="s">
        <v>3621</v>
      </c>
      <c r="M685" s="848">
        <v>27917</v>
      </c>
      <c r="N685" s="758" t="s">
        <v>1441</v>
      </c>
      <c r="O685" s="848">
        <v>43573</v>
      </c>
      <c r="P685" s="758" t="s">
        <v>3887</v>
      </c>
    </row>
    <row r="686" spans="1:16" x14ac:dyDescent="0.25">
      <c r="A686" s="758">
        <v>16</v>
      </c>
      <c r="B686" s="760">
        <v>829115006</v>
      </c>
      <c r="C686" s="758" t="s">
        <v>4500</v>
      </c>
      <c r="D686" s="759" t="s">
        <v>1441</v>
      </c>
      <c r="E686" s="848">
        <v>43818</v>
      </c>
      <c r="F686" s="848">
        <f t="shared" si="19"/>
        <v>43566</v>
      </c>
      <c r="G686" s="848"/>
      <c r="I686" s="758" t="s">
        <v>4501</v>
      </c>
      <c r="J686" s="758" t="s">
        <v>4502</v>
      </c>
      <c r="K686" s="758" t="s">
        <v>4503</v>
      </c>
      <c r="L686" s="758" t="s">
        <v>3641</v>
      </c>
      <c r="M686" s="848">
        <v>29228</v>
      </c>
      <c r="N686" s="758" t="s">
        <v>1441</v>
      </c>
      <c r="O686" s="848">
        <v>43566</v>
      </c>
      <c r="P686" s="758" t="s">
        <v>3887</v>
      </c>
    </row>
    <row r="687" spans="1:16" x14ac:dyDescent="0.25">
      <c r="A687" s="758">
        <v>17</v>
      </c>
      <c r="B687" s="760">
        <v>829115002</v>
      </c>
      <c r="C687" s="758" t="s">
        <v>4504</v>
      </c>
      <c r="D687" s="759" t="s">
        <v>1441</v>
      </c>
      <c r="E687" s="848">
        <v>43818</v>
      </c>
      <c r="F687" s="848">
        <f t="shared" si="19"/>
        <v>43677</v>
      </c>
      <c r="G687" s="848"/>
      <c r="I687" s="758" t="s">
        <v>4505</v>
      </c>
      <c r="J687" s="758" t="s">
        <v>4506</v>
      </c>
      <c r="K687" s="758" t="s">
        <v>4507</v>
      </c>
      <c r="L687" s="758" t="s">
        <v>3641</v>
      </c>
      <c r="M687" s="848">
        <v>26359</v>
      </c>
      <c r="N687" s="758" t="s">
        <v>1441</v>
      </c>
      <c r="O687" s="848">
        <v>43677</v>
      </c>
      <c r="P687" s="758" t="s">
        <v>3887</v>
      </c>
    </row>
    <row r="688" spans="1:16" x14ac:dyDescent="0.25">
      <c r="A688" s="758">
        <v>18</v>
      </c>
      <c r="B688" s="760">
        <v>829115007</v>
      </c>
      <c r="C688" s="758" t="s">
        <v>4508</v>
      </c>
      <c r="D688" s="759" t="s">
        <v>1441</v>
      </c>
      <c r="E688" s="848">
        <v>43818</v>
      </c>
      <c r="F688" s="848">
        <f t="shared" si="19"/>
        <v>43573</v>
      </c>
      <c r="G688" s="848"/>
      <c r="I688" s="758" t="s">
        <v>4509</v>
      </c>
      <c r="J688" s="758" t="s">
        <v>4510</v>
      </c>
      <c r="K688" s="758" t="s">
        <v>4511</v>
      </c>
      <c r="L688" s="758" t="s">
        <v>4512</v>
      </c>
      <c r="M688" s="848">
        <v>31425</v>
      </c>
      <c r="N688" s="758" t="s">
        <v>1441</v>
      </c>
      <c r="O688" s="848">
        <v>43573</v>
      </c>
      <c r="P688" s="758" t="s">
        <v>3887</v>
      </c>
    </row>
    <row r="689" spans="1:16" x14ac:dyDescent="0.25">
      <c r="A689" s="758">
        <v>19</v>
      </c>
      <c r="B689" s="760">
        <v>829115011</v>
      </c>
      <c r="C689" s="758" t="s">
        <v>2942</v>
      </c>
      <c r="D689" s="759" t="s">
        <v>1441</v>
      </c>
      <c r="E689" s="848">
        <v>43818</v>
      </c>
      <c r="F689" s="848">
        <f t="shared" si="19"/>
        <v>43677</v>
      </c>
      <c r="G689" s="848"/>
      <c r="I689" s="758" t="s">
        <v>4513</v>
      </c>
      <c r="J689" s="758" t="s">
        <v>4514</v>
      </c>
      <c r="K689" s="758" t="s">
        <v>4515</v>
      </c>
      <c r="L689" s="758" t="s">
        <v>3576</v>
      </c>
      <c r="M689" s="848">
        <v>33480</v>
      </c>
      <c r="N689" s="758" t="s">
        <v>1441</v>
      </c>
      <c r="O689" s="848">
        <v>43677</v>
      </c>
      <c r="P689" s="758" t="s">
        <v>3887</v>
      </c>
    </row>
    <row r="690" spans="1:16" x14ac:dyDescent="0.25">
      <c r="A690" s="758">
        <v>20</v>
      </c>
      <c r="B690" s="760">
        <v>841916011</v>
      </c>
      <c r="C690" s="758" t="s">
        <v>4516</v>
      </c>
      <c r="D690" s="759" t="s">
        <v>1477</v>
      </c>
      <c r="E690" s="848">
        <v>43818</v>
      </c>
      <c r="F690" s="848">
        <f t="shared" si="19"/>
        <v>43734</v>
      </c>
    </row>
    <row r="691" spans="1:16" x14ac:dyDescent="0.25">
      <c r="A691" s="758">
        <v>21</v>
      </c>
      <c r="B691" s="759">
        <v>841915007</v>
      </c>
      <c r="C691" s="758" t="s">
        <v>2983</v>
      </c>
      <c r="D691" s="759" t="s">
        <v>1477</v>
      </c>
      <c r="E691" s="848">
        <v>43818</v>
      </c>
      <c r="F691" s="848">
        <f t="shared" si="19"/>
        <v>43734</v>
      </c>
    </row>
    <row r="692" spans="1:16" x14ac:dyDescent="0.25">
      <c r="B692" s="760"/>
      <c r="F692" s="848" t="str">
        <f t="shared" si="19"/>
        <v xml:space="preserve">   </v>
      </c>
    </row>
    <row r="693" spans="1:16" x14ac:dyDescent="0.25">
      <c r="A693" s="758">
        <v>1</v>
      </c>
      <c r="B693" s="760">
        <v>849317050</v>
      </c>
      <c r="C693" s="758" t="s">
        <v>1806</v>
      </c>
      <c r="D693" s="768" t="s">
        <v>1328</v>
      </c>
      <c r="E693" s="848">
        <v>44058</v>
      </c>
      <c r="F693" s="848">
        <f t="shared" si="19"/>
        <v>43843</v>
      </c>
    </row>
    <row r="694" spans="1:16" x14ac:dyDescent="0.25">
      <c r="A694" s="758">
        <v>2</v>
      </c>
      <c r="B694" s="759">
        <v>849117036</v>
      </c>
      <c r="C694" s="758" t="s">
        <v>1850</v>
      </c>
      <c r="D694" s="768" t="s">
        <v>527</v>
      </c>
      <c r="E694" s="848">
        <v>44058</v>
      </c>
      <c r="F694" s="848">
        <f t="shared" si="19"/>
        <v>43873</v>
      </c>
    </row>
    <row r="695" spans="1:16" x14ac:dyDescent="0.25">
      <c r="A695" s="758">
        <v>3</v>
      </c>
      <c r="B695" s="759">
        <v>849317039</v>
      </c>
      <c r="C695" s="758" t="s">
        <v>4517</v>
      </c>
      <c r="D695" s="768" t="s">
        <v>1328</v>
      </c>
      <c r="E695" s="848">
        <v>44058</v>
      </c>
      <c r="F695" s="848">
        <f t="shared" si="19"/>
        <v>43838</v>
      </c>
    </row>
    <row r="696" spans="1:16" x14ac:dyDescent="0.25">
      <c r="A696" s="758">
        <v>4</v>
      </c>
      <c r="B696" s="759">
        <v>839117004</v>
      </c>
      <c r="C696" s="758" t="s">
        <v>4518</v>
      </c>
      <c r="D696" s="768" t="s">
        <v>848</v>
      </c>
      <c r="E696" s="848">
        <v>44058</v>
      </c>
      <c r="F696" s="848">
        <f t="shared" si="19"/>
        <v>43837</v>
      </c>
    </row>
    <row r="697" spans="1:16" x14ac:dyDescent="0.25">
      <c r="A697" s="758">
        <v>5</v>
      </c>
      <c r="B697" s="759">
        <v>849317043</v>
      </c>
      <c r="C697" s="758" t="s">
        <v>4519</v>
      </c>
      <c r="D697" s="768" t="s">
        <v>1328</v>
      </c>
      <c r="E697" s="848">
        <v>44058</v>
      </c>
      <c r="F697" s="848">
        <f t="shared" si="19"/>
        <v>43822</v>
      </c>
    </row>
    <row r="698" spans="1:16" x14ac:dyDescent="0.25">
      <c r="A698" s="758">
        <v>6</v>
      </c>
      <c r="B698" s="759">
        <v>829117011</v>
      </c>
      <c r="C698" s="758" t="s">
        <v>1973</v>
      </c>
      <c r="D698" s="768" t="s">
        <v>1441</v>
      </c>
      <c r="E698" s="848">
        <v>44058</v>
      </c>
      <c r="F698" s="848">
        <f t="shared" si="19"/>
        <v>43944</v>
      </c>
    </row>
    <row r="699" spans="1:16" x14ac:dyDescent="0.25">
      <c r="A699" s="758">
        <v>7</v>
      </c>
      <c r="B699" s="759">
        <v>849317011</v>
      </c>
      <c r="C699" s="758" t="s">
        <v>4520</v>
      </c>
      <c r="D699" s="768" t="s">
        <v>1328</v>
      </c>
      <c r="E699" s="848">
        <v>44058</v>
      </c>
      <c r="F699" s="848">
        <f t="shared" si="19"/>
        <v>43944</v>
      </c>
    </row>
    <row r="700" spans="1:16" x14ac:dyDescent="0.25">
      <c r="A700" s="758">
        <v>8</v>
      </c>
      <c r="B700" s="759">
        <v>839217017</v>
      </c>
      <c r="C700" s="758" t="s">
        <v>1878</v>
      </c>
      <c r="D700" s="768" t="s">
        <v>1195</v>
      </c>
      <c r="E700" s="848">
        <v>44058</v>
      </c>
      <c r="F700" s="848">
        <f t="shared" si="19"/>
        <v>43837</v>
      </c>
    </row>
    <row r="701" spans="1:16" x14ac:dyDescent="0.25">
      <c r="A701" s="758">
        <v>9</v>
      </c>
      <c r="B701" s="759">
        <v>849117037</v>
      </c>
      <c r="C701" s="758" t="s">
        <v>4521</v>
      </c>
      <c r="D701" s="768" t="s">
        <v>527</v>
      </c>
      <c r="E701" s="848">
        <v>44058</v>
      </c>
      <c r="F701" s="848">
        <f t="shared" si="19"/>
        <v>43838</v>
      </c>
    </row>
    <row r="702" spans="1:16" x14ac:dyDescent="0.25">
      <c r="A702" s="758">
        <v>10</v>
      </c>
      <c r="B702" s="759">
        <v>839218011</v>
      </c>
      <c r="C702" s="758" t="s">
        <v>4522</v>
      </c>
      <c r="D702" s="768" t="s">
        <v>1195</v>
      </c>
      <c r="E702" s="848">
        <v>44058</v>
      </c>
      <c r="F702" s="848">
        <f t="shared" si="19"/>
        <v>43971</v>
      </c>
    </row>
    <row r="703" spans="1:16" x14ac:dyDescent="0.25">
      <c r="A703" s="758">
        <v>11</v>
      </c>
      <c r="B703" s="759">
        <v>839217033</v>
      </c>
      <c r="C703" s="758" t="s">
        <v>1895</v>
      </c>
      <c r="D703" s="768" t="s">
        <v>1195</v>
      </c>
      <c r="E703" s="848">
        <v>44058</v>
      </c>
      <c r="F703" s="848">
        <f t="shared" si="19"/>
        <v>43795</v>
      </c>
    </row>
    <row r="704" spans="1:16" x14ac:dyDescent="0.25">
      <c r="A704" s="758">
        <v>12</v>
      </c>
      <c r="B704" s="759">
        <v>839117009</v>
      </c>
      <c r="C704" s="758" t="s">
        <v>4523</v>
      </c>
      <c r="D704" s="768" t="s">
        <v>848</v>
      </c>
      <c r="E704" s="848">
        <v>44058</v>
      </c>
      <c r="F704" s="848">
        <f t="shared" si="19"/>
        <v>43836</v>
      </c>
    </row>
    <row r="705" spans="1:6" x14ac:dyDescent="0.25">
      <c r="A705" s="758">
        <v>13</v>
      </c>
      <c r="B705" s="759">
        <v>849117034</v>
      </c>
      <c r="C705" s="758" t="s">
        <v>4524</v>
      </c>
      <c r="D705" s="768" t="s">
        <v>527</v>
      </c>
      <c r="E705" s="848">
        <v>44058</v>
      </c>
      <c r="F705" s="848">
        <f t="shared" si="19"/>
        <v>43962</v>
      </c>
    </row>
    <row r="706" spans="1:6" x14ac:dyDescent="0.25">
      <c r="A706" s="758">
        <v>14</v>
      </c>
      <c r="B706" s="759">
        <v>849117017</v>
      </c>
      <c r="C706" s="758" t="s">
        <v>4525</v>
      </c>
      <c r="D706" s="768" t="s">
        <v>527</v>
      </c>
      <c r="E706" s="848">
        <v>44058</v>
      </c>
      <c r="F706" s="848">
        <f t="shared" si="19"/>
        <v>43852</v>
      </c>
    </row>
    <row r="707" spans="1:6" x14ac:dyDescent="0.25">
      <c r="A707" s="758">
        <v>15</v>
      </c>
      <c r="B707" s="759">
        <v>849417009</v>
      </c>
      <c r="C707" s="758" t="s">
        <v>4526</v>
      </c>
      <c r="D707" s="768" t="s">
        <v>1665</v>
      </c>
      <c r="E707" s="848">
        <v>44058</v>
      </c>
      <c r="F707" s="848">
        <f t="shared" si="19"/>
        <v>43838</v>
      </c>
    </row>
    <row r="708" spans="1:6" x14ac:dyDescent="0.25">
      <c r="A708" s="758">
        <v>16</v>
      </c>
      <c r="B708" s="759">
        <v>849317052</v>
      </c>
      <c r="C708" s="758" t="s">
        <v>4527</v>
      </c>
      <c r="D708" s="768" t="s">
        <v>1328</v>
      </c>
      <c r="E708" s="848">
        <v>44058</v>
      </c>
      <c r="F708" s="848">
        <f t="shared" si="19"/>
        <v>43832</v>
      </c>
    </row>
    <row r="709" spans="1:6" x14ac:dyDescent="0.25">
      <c r="A709" s="758">
        <v>17</v>
      </c>
      <c r="B709" s="759">
        <v>829115009</v>
      </c>
      <c r="C709" s="758" t="s">
        <v>4528</v>
      </c>
      <c r="D709" s="768" t="s">
        <v>1441</v>
      </c>
      <c r="E709" s="848">
        <v>44058</v>
      </c>
      <c r="F709" s="848">
        <f t="shared" si="19"/>
        <v>43677</v>
      </c>
    </row>
    <row r="710" spans="1:6" x14ac:dyDescent="0.25">
      <c r="A710" s="758">
        <v>18</v>
      </c>
      <c r="B710" s="759">
        <v>849318057</v>
      </c>
      <c r="C710" s="758" t="s">
        <v>2130</v>
      </c>
      <c r="D710" s="768" t="s">
        <v>1328</v>
      </c>
      <c r="E710" s="848">
        <v>44058</v>
      </c>
      <c r="F710" s="848">
        <f t="shared" si="19"/>
        <v>43970</v>
      </c>
    </row>
    <row r="711" spans="1:6" x14ac:dyDescent="0.25">
      <c r="A711" s="758">
        <v>19</v>
      </c>
      <c r="B711" s="759">
        <v>839217031</v>
      </c>
      <c r="C711" s="758" t="s">
        <v>4529</v>
      </c>
      <c r="D711" s="768" t="s">
        <v>1195</v>
      </c>
      <c r="E711" s="848">
        <v>44058</v>
      </c>
      <c r="F711" s="848">
        <f t="shared" si="19"/>
        <v>43838</v>
      </c>
    </row>
    <row r="712" spans="1:6" x14ac:dyDescent="0.25">
      <c r="A712" s="758">
        <v>20</v>
      </c>
      <c r="B712" s="759">
        <v>849317014</v>
      </c>
      <c r="C712" s="758" t="s">
        <v>1768</v>
      </c>
      <c r="D712" s="768" t="s">
        <v>1328</v>
      </c>
      <c r="E712" s="848">
        <v>44058</v>
      </c>
      <c r="F712" s="848">
        <f t="shared" si="19"/>
        <v>43836</v>
      </c>
    </row>
    <row r="713" spans="1:6" x14ac:dyDescent="0.25">
      <c r="A713" s="758">
        <v>21</v>
      </c>
      <c r="B713" s="759">
        <v>849416016</v>
      </c>
      <c r="C713" s="758" t="s">
        <v>1679</v>
      </c>
      <c r="D713" s="768" t="s">
        <v>1665</v>
      </c>
      <c r="E713" s="848">
        <v>44058</v>
      </c>
      <c r="F713" s="848">
        <f t="shared" si="19"/>
        <v>43970</v>
      </c>
    </row>
    <row r="714" spans="1:6" x14ac:dyDescent="0.25">
      <c r="A714" s="758">
        <v>22</v>
      </c>
      <c r="B714" s="759">
        <v>849317038</v>
      </c>
      <c r="C714" s="758" t="s">
        <v>4530</v>
      </c>
      <c r="D714" s="768" t="s">
        <v>1328</v>
      </c>
      <c r="E714" s="848">
        <v>44058</v>
      </c>
      <c r="F714" s="848">
        <f t="shared" si="19"/>
        <v>43950</v>
      </c>
    </row>
    <row r="715" spans="1:6" x14ac:dyDescent="0.25">
      <c r="A715" s="758">
        <v>23</v>
      </c>
      <c r="B715" s="760">
        <v>841915038</v>
      </c>
      <c r="C715" s="758" t="s">
        <v>3119</v>
      </c>
      <c r="D715" s="768" t="s">
        <v>4226</v>
      </c>
      <c r="E715" s="848">
        <v>44058</v>
      </c>
      <c r="F715" s="848">
        <f t="shared" si="19"/>
        <v>43942</v>
      </c>
    </row>
    <row r="716" spans="1:6" x14ac:dyDescent="0.25">
      <c r="A716" s="758">
        <v>24</v>
      </c>
      <c r="B716" s="760">
        <v>849417016</v>
      </c>
      <c r="C716" s="758" t="s">
        <v>4531</v>
      </c>
      <c r="D716" s="768" t="s">
        <v>1665</v>
      </c>
      <c r="E716" s="848">
        <v>44058</v>
      </c>
      <c r="F716" s="848">
        <f t="shared" si="19"/>
        <v>43769</v>
      </c>
    </row>
    <row r="717" spans="1:6" x14ac:dyDescent="0.25">
      <c r="A717" s="758">
        <v>25</v>
      </c>
      <c r="B717" s="760">
        <v>849217014</v>
      </c>
      <c r="C717" s="758" t="s">
        <v>1938</v>
      </c>
      <c r="D717" s="768" t="s">
        <v>1110</v>
      </c>
      <c r="E717" s="848">
        <v>44058</v>
      </c>
      <c r="F717" s="848">
        <f t="shared" si="19"/>
        <v>43841</v>
      </c>
    </row>
    <row r="718" spans="1:6" x14ac:dyDescent="0.25">
      <c r="A718" s="758">
        <v>26</v>
      </c>
      <c r="B718" s="760">
        <v>849117028</v>
      </c>
      <c r="C718" s="758" t="s">
        <v>1840</v>
      </c>
      <c r="D718" s="768" t="s">
        <v>527</v>
      </c>
      <c r="E718" s="848">
        <v>44058</v>
      </c>
      <c r="F718" s="848">
        <f t="shared" si="19"/>
        <v>43818</v>
      </c>
    </row>
    <row r="719" spans="1:6" x14ac:dyDescent="0.25">
      <c r="A719" s="758">
        <v>27</v>
      </c>
      <c r="B719" s="760">
        <v>849317009</v>
      </c>
      <c r="C719" s="758" t="s">
        <v>1763</v>
      </c>
      <c r="D719" s="768" t="s">
        <v>1328</v>
      </c>
      <c r="E719" s="848">
        <v>44058</v>
      </c>
      <c r="F719" s="848">
        <f t="shared" si="19"/>
        <v>43819</v>
      </c>
    </row>
    <row r="720" spans="1:6" x14ac:dyDescent="0.25">
      <c r="A720" s="758">
        <v>28</v>
      </c>
      <c r="B720" s="760">
        <v>829117003</v>
      </c>
      <c r="C720" s="758" t="s">
        <v>4532</v>
      </c>
      <c r="D720" s="768" t="s">
        <v>1441</v>
      </c>
      <c r="E720" s="848">
        <v>44058</v>
      </c>
      <c r="F720" s="848">
        <f t="shared" si="19"/>
        <v>43845</v>
      </c>
    </row>
    <row r="721" spans="1:6" x14ac:dyDescent="0.25">
      <c r="A721" s="758">
        <v>29</v>
      </c>
      <c r="B721" s="760">
        <v>839217009</v>
      </c>
      <c r="C721" s="758" t="s">
        <v>1870</v>
      </c>
      <c r="D721" s="768" t="s">
        <v>1195</v>
      </c>
      <c r="E721" s="848">
        <v>44058</v>
      </c>
      <c r="F721" s="848">
        <f t="shared" si="19"/>
        <v>43839</v>
      </c>
    </row>
    <row r="722" spans="1:6" x14ac:dyDescent="0.25">
      <c r="A722" s="758">
        <v>30</v>
      </c>
      <c r="B722" s="760">
        <v>849316015</v>
      </c>
      <c r="C722" s="758" t="s">
        <v>4533</v>
      </c>
      <c r="D722" s="768" t="s">
        <v>1328</v>
      </c>
      <c r="E722" s="848">
        <v>44058</v>
      </c>
      <c r="F722" s="848">
        <f t="shared" si="19"/>
        <v>43881</v>
      </c>
    </row>
    <row r="723" spans="1:6" x14ac:dyDescent="0.25">
      <c r="A723" s="758">
        <v>31</v>
      </c>
      <c r="B723" s="760">
        <v>849117014</v>
      </c>
      <c r="C723" s="758" t="s">
        <v>4534</v>
      </c>
      <c r="D723" s="768" t="s">
        <v>527</v>
      </c>
      <c r="E723" s="848">
        <v>44058</v>
      </c>
      <c r="F723" s="848">
        <f t="shared" si="19"/>
        <v>43837</v>
      </c>
    </row>
    <row r="724" spans="1:6" x14ac:dyDescent="0.25">
      <c r="A724" s="758">
        <v>32</v>
      </c>
      <c r="B724" s="760">
        <v>849117024</v>
      </c>
      <c r="C724" s="758" t="s">
        <v>4535</v>
      </c>
      <c r="D724" s="768" t="s">
        <v>527</v>
      </c>
      <c r="E724" s="848">
        <v>44058</v>
      </c>
      <c r="F724" s="848">
        <f t="shared" si="19"/>
        <v>43847</v>
      </c>
    </row>
    <row r="725" spans="1:6" x14ac:dyDescent="0.25">
      <c r="A725" s="758">
        <v>33</v>
      </c>
      <c r="B725" s="760">
        <v>839116011</v>
      </c>
      <c r="C725" s="758" t="s">
        <v>4536</v>
      </c>
      <c r="D725" s="768" t="s">
        <v>848</v>
      </c>
      <c r="E725" s="848">
        <v>44058</v>
      </c>
      <c r="F725" s="848">
        <f t="shared" si="19"/>
        <v>43845</v>
      </c>
    </row>
    <row r="726" spans="1:6" x14ac:dyDescent="0.25">
      <c r="A726" s="758">
        <v>34</v>
      </c>
      <c r="B726" s="760">
        <v>849417005</v>
      </c>
      <c r="C726" s="758" t="s">
        <v>1906</v>
      </c>
      <c r="D726" s="768" t="s">
        <v>1665</v>
      </c>
      <c r="E726" s="848">
        <v>44058</v>
      </c>
      <c r="F726" s="848">
        <f t="shared" si="19"/>
        <v>43839</v>
      </c>
    </row>
    <row r="727" spans="1:6" x14ac:dyDescent="0.25">
      <c r="A727" s="758">
        <v>35</v>
      </c>
      <c r="B727" s="760">
        <v>841916009</v>
      </c>
      <c r="C727" s="758" t="s">
        <v>3120</v>
      </c>
      <c r="D727" s="768" t="s">
        <v>4226</v>
      </c>
      <c r="E727" s="848">
        <v>44058</v>
      </c>
      <c r="F727" s="848">
        <f t="shared" si="19"/>
        <v>43942</v>
      </c>
    </row>
    <row r="728" spans="1:6" x14ac:dyDescent="0.25">
      <c r="A728" s="758">
        <v>36</v>
      </c>
      <c r="B728" s="760">
        <v>849317049</v>
      </c>
      <c r="C728" s="758" t="s">
        <v>4537</v>
      </c>
      <c r="D728" s="768" t="s">
        <v>1328</v>
      </c>
      <c r="E728" s="848">
        <v>44058</v>
      </c>
      <c r="F728" s="848">
        <f t="shared" si="19"/>
        <v>43872</v>
      </c>
    </row>
    <row r="729" spans="1:6" x14ac:dyDescent="0.25">
      <c r="A729" s="758">
        <v>37</v>
      </c>
      <c r="B729" s="760">
        <v>839117001</v>
      </c>
      <c r="C729" s="758" t="s">
        <v>4538</v>
      </c>
      <c r="D729" s="768" t="s">
        <v>848</v>
      </c>
      <c r="E729" s="848">
        <v>44058</v>
      </c>
      <c r="F729" s="848">
        <f t="shared" ref="F729:F792" si="20">IFERROR(VLOOKUP(B729,Tlus,3,FALSE),"   ")</f>
        <v>43839</v>
      </c>
    </row>
    <row r="730" spans="1:6" x14ac:dyDescent="0.25">
      <c r="A730" s="758">
        <v>38</v>
      </c>
      <c r="B730" s="760">
        <v>841915016</v>
      </c>
      <c r="C730" s="758" t="s">
        <v>4539</v>
      </c>
      <c r="D730" s="768" t="s">
        <v>4226</v>
      </c>
      <c r="E730" s="848">
        <v>44058</v>
      </c>
      <c r="F730" s="848">
        <f t="shared" si="20"/>
        <v>43956</v>
      </c>
    </row>
    <row r="731" spans="1:6" x14ac:dyDescent="0.25">
      <c r="A731" s="758">
        <v>39</v>
      </c>
      <c r="B731" s="760">
        <v>839216010</v>
      </c>
      <c r="C731" s="758" t="s">
        <v>1556</v>
      </c>
      <c r="D731" s="768" t="s">
        <v>1195</v>
      </c>
      <c r="E731" s="848">
        <v>44058</v>
      </c>
      <c r="F731" s="848">
        <f t="shared" si="20"/>
        <v>43899</v>
      </c>
    </row>
    <row r="732" spans="1:6" x14ac:dyDescent="0.25">
      <c r="A732" s="758">
        <v>40</v>
      </c>
      <c r="B732" s="760">
        <v>839116021</v>
      </c>
      <c r="C732" s="758" t="s">
        <v>4540</v>
      </c>
      <c r="D732" s="768" t="s">
        <v>848</v>
      </c>
      <c r="E732" s="848">
        <v>44058</v>
      </c>
      <c r="F732" s="848">
        <f t="shared" si="20"/>
        <v>43832</v>
      </c>
    </row>
    <row r="733" spans="1:6" x14ac:dyDescent="0.25">
      <c r="A733" s="758">
        <v>41</v>
      </c>
      <c r="B733" s="760">
        <v>849116026</v>
      </c>
      <c r="C733" s="758" t="s">
        <v>4541</v>
      </c>
      <c r="D733" s="768" t="s">
        <v>527</v>
      </c>
      <c r="E733" s="848">
        <v>44058</v>
      </c>
      <c r="F733" s="848">
        <f t="shared" si="20"/>
        <v>43805</v>
      </c>
    </row>
    <row r="734" spans="1:6" x14ac:dyDescent="0.25">
      <c r="A734" s="758">
        <v>42</v>
      </c>
      <c r="B734" s="760">
        <v>839216023</v>
      </c>
      <c r="C734" s="758" t="s">
        <v>4542</v>
      </c>
      <c r="D734" s="768" t="s">
        <v>1195</v>
      </c>
      <c r="E734" s="848">
        <v>44058</v>
      </c>
      <c r="F734" s="848">
        <f t="shared" si="20"/>
        <v>43475</v>
      </c>
    </row>
    <row r="735" spans="1:6" x14ac:dyDescent="0.25">
      <c r="A735" s="758">
        <v>43</v>
      </c>
      <c r="B735" s="760">
        <v>849217003</v>
      </c>
      <c r="C735" s="758" t="s">
        <v>4543</v>
      </c>
      <c r="D735" s="768" t="s">
        <v>1110</v>
      </c>
      <c r="E735" s="848">
        <v>44058</v>
      </c>
      <c r="F735" s="848">
        <f t="shared" si="20"/>
        <v>43811</v>
      </c>
    </row>
    <row r="736" spans="1:6" x14ac:dyDescent="0.25">
      <c r="A736" s="758">
        <v>44</v>
      </c>
      <c r="B736" s="760">
        <v>849217019</v>
      </c>
      <c r="C736" s="758" t="s">
        <v>1943</v>
      </c>
      <c r="D736" s="768" t="s">
        <v>1110</v>
      </c>
      <c r="E736" s="848">
        <v>44058</v>
      </c>
      <c r="F736" s="848">
        <f t="shared" si="20"/>
        <v>43832</v>
      </c>
    </row>
    <row r="737" spans="1:6" x14ac:dyDescent="0.25">
      <c r="A737" s="758">
        <v>45</v>
      </c>
      <c r="B737" s="760">
        <v>849217001</v>
      </c>
      <c r="C737" s="758" t="s">
        <v>4544</v>
      </c>
      <c r="D737" s="768" t="s">
        <v>1110</v>
      </c>
      <c r="E737" s="848">
        <v>44058</v>
      </c>
      <c r="F737" s="848">
        <f t="shared" si="20"/>
        <v>43833</v>
      </c>
    </row>
    <row r="738" spans="1:6" x14ac:dyDescent="0.25">
      <c r="A738" s="758">
        <v>46</v>
      </c>
      <c r="B738" s="760">
        <v>839116019</v>
      </c>
      <c r="C738" s="758" t="s">
        <v>1595</v>
      </c>
      <c r="D738" s="768" t="s">
        <v>848</v>
      </c>
      <c r="E738" s="848">
        <v>44058</v>
      </c>
      <c r="F738" s="848">
        <f t="shared" si="20"/>
        <v>43678</v>
      </c>
    </row>
    <row r="739" spans="1:6" x14ac:dyDescent="0.25">
      <c r="A739" s="758">
        <v>47</v>
      </c>
      <c r="B739" s="760">
        <v>841915013</v>
      </c>
      <c r="C739" s="758" t="s">
        <v>1489</v>
      </c>
      <c r="D739" s="768" t="s">
        <v>4226</v>
      </c>
      <c r="E739" s="848">
        <v>44058</v>
      </c>
      <c r="F739" s="848">
        <f t="shared" si="20"/>
        <v>43978</v>
      </c>
    </row>
    <row r="740" spans="1:6" x14ac:dyDescent="0.25">
      <c r="A740" s="758">
        <v>48</v>
      </c>
      <c r="B740" s="760">
        <v>841915032</v>
      </c>
      <c r="C740" s="758" t="s">
        <v>1509</v>
      </c>
      <c r="D740" s="768" t="s">
        <v>4226</v>
      </c>
      <c r="E740" s="848">
        <v>44058</v>
      </c>
      <c r="F740" s="848">
        <f t="shared" si="20"/>
        <v>43902</v>
      </c>
    </row>
    <row r="741" spans="1:6" x14ac:dyDescent="0.25">
      <c r="A741" s="758">
        <v>49</v>
      </c>
      <c r="B741" s="760">
        <v>849416005</v>
      </c>
      <c r="C741" s="758" t="s">
        <v>1669</v>
      </c>
      <c r="D741" s="768" t="s">
        <v>1665</v>
      </c>
      <c r="E741" s="848">
        <v>44058</v>
      </c>
      <c r="F741" s="848">
        <f t="shared" si="20"/>
        <v>43840</v>
      </c>
    </row>
    <row r="742" spans="1:6" x14ac:dyDescent="0.25">
      <c r="A742" s="758">
        <v>50</v>
      </c>
      <c r="B742" s="760">
        <v>841915037</v>
      </c>
      <c r="C742" s="758" t="s">
        <v>1516</v>
      </c>
      <c r="D742" s="768" t="s">
        <v>4226</v>
      </c>
      <c r="E742" s="848">
        <v>44058</v>
      </c>
      <c r="F742" s="848">
        <f t="shared" si="20"/>
        <v>43980</v>
      </c>
    </row>
    <row r="743" spans="1:6" x14ac:dyDescent="0.25">
      <c r="B743" s="760"/>
      <c r="D743" s="768"/>
    </row>
    <row r="744" spans="1:6" x14ac:dyDescent="0.25">
      <c r="A744" s="758">
        <v>1</v>
      </c>
      <c r="B744" s="760">
        <v>849118039</v>
      </c>
      <c r="C744" s="758" t="s">
        <v>4545</v>
      </c>
      <c r="D744" s="771" t="s">
        <v>527</v>
      </c>
      <c r="E744" s="848">
        <v>44168</v>
      </c>
      <c r="F744" s="848">
        <f t="shared" si="20"/>
        <v>43971</v>
      </c>
    </row>
    <row r="745" spans="1:6" x14ac:dyDescent="0.25">
      <c r="A745" s="758">
        <v>2</v>
      </c>
      <c r="B745" s="760">
        <v>849118049</v>
      </c>
      <c r="C745" s="758" t="s">
        <v>4546</v>
      </c>
      <c r="D745" s="771" t="s">
        <v>527</v>
      </c>
      <c r="E745" s="848">
        <v>44168</v>
      </c>
      <c r="F745" s="848">
        <f t="shared" si="20"/>
        <v>43984</v>
      </c>
    </row>
    <row r="746" spans="1:6" x14ac:dyDescent="0.25">
      <c r="A746" s="758">
        <v>3</v>
      </c>
      <c r="B746" s="760">
        <v>849317033</v>
      </c>
      <c r="C746" s="758" t="s">
        <v>1788</v>
      </c>
      <c r="D746" s="771" t="s">
        <v>1328</v>
      </c>
      <c r="E746" s="848">
        <v>44168</v>
      </c>
      <c r="F746" s="848">
        <f t="shared" si="20"/>
        <v>43851</v>
      </c>
    </row>
    <row r="747" spans="1:6" x14ac:dyDescent="0.25">
      <c r="A747" s="758">
        <v>4</v>
      </c>
      <c r="B747" s="760">
        <v>849113086</v>
      </c>
      <c r="C747" s="758" t="s">
        <v>2991</v>
      </c>
      <c r="D747" s="771" t="s">
        <v>527</v>
      </c>
      <c r="E747" s="848">
        <v>44168</v>
      </c>
      <c r="F747" s="848">
        <f t="shared" si="20"/>
        <v>43481</v>
      </c>
    </row>
    <row r="748" spans="1:6" x14ac:dyDescent="0.25">
      <c r="A748" s="758">
        <v>5</v>
      </c>
      <c r="B748" s="760">
        <v>849215002</v>
      </c>
      <c r="C748" s="758" t="s">
        <v>3028</v>
      </c>
      <c r="D748" s="771" t="s">
        <v>1110</v>
      </c>
      <c r="E748" s="848">
        <v>44168</v>
      </c>
      <c r="F748" s="848">
        <f t="shared" si="20"/>
        <v>43832</v>
      </c>
    </row>
    <row r="749" spans="1:6" x14ac:dyDescent="0.25">
      <c r="A749" s="758">
        <v>6</v>
      </c>
      <c r="B749" s="760">
        <v>849316011</v>
      </c>
      <c r="C749" s="758" t="s">
        <v>1621</v>
      </c>
      <c r="D749" s="771" t="s">
        <v>1328</v>
      </c>
      <c r="E749" s="848">
        <v>44168</v>
      </c>
      <c r="F749" s="848">
        <f t="shared" si="20"/>
        <v>43825</v>
      </c>
    </row>
    <row r="750" spans="1:6" x14ac:dyDescent="0.25">
      <c r="A750" s="758">
        <v>7</v>
      </c>
      <c r="B750" s="760">
        <v>849317042</v>
      </c>
      <c r="C750" s="758" t="s">
        <v>4547</v>
      </c>
      <c r="D750" s="771" t="s">
        <v>1328</v>
      </c>
      <c r="E750" s="848">
        <v>44168</v>
      </c>
      <c r="F750" s="848">
        <f t="shared" si="20"/>
        <v>43837</v>
      </c>
    </row>
    <row r="751" spans="1:6" x14ac:dyDescent="0.25">
      <c r="A751" s="758">
        <v>8</v>
      </c>
      <c r="B751" s="760">
        <v>849317035</v>
      </c>
      <c r="C751" s="758" t="s">
        <v>4548</v>
      </c>
      <c r="D751" s="771" t="s">
        <v>1328</v>
      </c>
      <c r="E751" s="848">
        <v>44168</v>
      </c>
      <c r="F751" s="848">
        <f t="shared" si="20"/>
        <v>43844</v>
      </c>
    </row>
    <row r="752" spans="1:6" x14ac:dyDescent="0.25">
      <c r="A752" s="758">
        <v>9</v>
      </c>
      <c r="B752" s="760">
        <v>849316004</v>
      </c>
      <c r="C752" s="758" t="s">
        <v>1614</v>
      </c>
      <c r="D752" s="771" t="s">
        <v>1328</v>
      </c>
      <c r="E752" s="848">
        <v>44168</v>
      </c>
      <c r="F752" s="848">
        <f t="shared" si="20"/>
        <v>43844</v>
      </c>
    </row>
    <row r="753" spans="1:6" x14ac:dyDescent="0.25">
      <c r="A753" s="758">
        <v>10</v>
      </c>
      <c r="B753" s="760">
        <v>849317002</v>
      </c>
      <c r="C753" s="758" t="s">
        <v>1756</v>
      </c>
      <c r="D753" s="771" t="s">
        <v>1328</v>
      </c>
      <c r="E753" s="848">
        <v>44168</v>
      </c>
      <c r="F753" s="848">
        <f t="shared" si="20"/>
        <v>43852</v>
      </c>
    </row>
    <row r="754" spans="1:6" x14ac:dyDescent="0.25">
      <c r="A754" s="758">
        <v>11</v>
      </c>
      <c r="B754" s="760">
        <v>849417003</v>
      </c>
      <c r="C754" s="758" t="s">
        <v>1904</v>
      </c>
      <c r="D754" s="771" t="s">
        <v>1665</v>
      </c>
      <c r="E754" s="848">
        <v>44168</v>
      </c>
      <c r="F754" s="848">
        <f t="shared" si="20"/>
        <v>44192</v>
      </c>
    </row>
    <row r="755" spans="1:6" x14ac:dyDescent="0.25">
      <c r="A755" s="758">
        <v>12</v>
      </c>
      <c r="B755" s="760">
        <v>849417014</v>
      </c>
      <c r="C755" s="758" t="s">
        <v>1915</v>
      </c>
      <c r="D755" s="771" t="s">
        <v>1665</v>
      </c>
      <c r="E755" s="848">
        <v>44168</v>
      </c>
      <c r="F755" s="848">
        <f t="shared" si="20"/>
        <v>43832</v>
      </c>
    </row>
    <row r="756" spans="1:6" x14ac:dyDescent="0.25">
      <c r="A756" s="758">
        <v>13</v>
      </c>
      <c r="B756" s="760">
        <v>839217032</v>
      </c>
      <c r="C756" s="758" t="s">
        <v>1894</v>
      </c>
      <c r="D756" s="771" t="s">
        <v>1195</v>
      </c>
      <c r="E756" s="848">
        <v>44168</v>
      </c>
      <c r="F756" s="848">
        <f t="shared" si="20"/>
        <v>43838</v>
      </c>
    </row>
    <row r="757" spans="1:6" x14ac:dyDescent="0.25">
      <c r="A757" s="758">
        <v>14</v>
      </c>
      <c r="B757" s="760">
        <v>839217022</v>
      </c>
      <c r="C757" s="758" t="s">
        <v>1883</v>
      </c>
      <c r="D757" s="771" t="s">
        <v>1195</v>
      </c>
      <c r="E757" s="848">
        <v>44168</v>
      </c>
      <c r="F757" s="848">
        <f t="shared" si="20"/>
        <v>43838</v>
      </c>
    </row>
    <row r="758" spans="1:6" x14ac:dyDescent="0.25">
      <c r="A758" s="758">
        <v>15</v>
      </c>
      <c r="B758" s="760">
        <v>839217019</v>
      </c>
      <c r="C758" s="758" t="s">
        <v>1880</v>
      </c>
      <c r="D758" s="771" t="s">
        <v>1195</v>
      </c>
      <c r="E758" s="848">
        <v>44168</v>
      </c>
      <c r="F758" s="848">
        <f t="shared" si="20"/>
        <v>43840</v>
      </c>
    </row>
    <row r="759" spans="1:6" x14ac:dyDescent="0.25">
      <c r="A759" s="758">
        <v>16</v>
      </c>
      <c r="B759" s="760">
        <v>849118031</v>
      </c>
      <c r="C759" s="758" t="s">
        <v>1853</v>
      </c>
      <c r="D759" s="771" t="s">
        <v>527</v>
      </c>
      <c r="E759" s="848">
        <v>44168</v>
      </c>
      <c r="F759" s="848">
        <f t="shared" si="20"/>
        <v>43961</v>
      </c>
    </row>
    <row r="760" spans="1:6" x14ac:dyDescent="0.25">
      <c r="A760" s="758">
        <v>17</v>
      </c>
      <c r="B760" s="760">
        <v>849117023</v>
      </c>
      <c r="C760" s="758" t="s">
        <v>1835</v>
      </c>
      <c r="D760" s="771" t="s">
        <v>527</v>
      </c>
      <c r="E760" s="848">
        <v>44168</v>
      </c>
      <c r="F760" s="848">
        <f t="shared" si="20"/>
        <v>44070</v>
      </c>
    </row>
    <row r="761" spans="1:6" x14ac:dyDescent="0.25">
      <c r="A761" s="758">
        <v>18</v>
      </c>
      <c r="B761" s="760">
        <v>849117011</v>
      </c>
      <c r="C761" s="758" t="s">
        <v>1822</v>
      </c>
      <c r="D761" s="771" t="s">
        <v>527</v>
      </c>
      <c r="E761" s="848">
        <v>44168</v>
      </c>
      <c r="F761" s="848">
        <f t="shared" si="20"/>
        <v>43944</v>
      </c>
    </row>
    <row r="762" spans="1:6" x14ac:dyDescent="0.25">
      <c r="A762" s="758">
        <v>19</v>
      </c>
      <c r="B762" s="760">
        <v>849318026</v>
      </c>
      <c r="C762" s="758" t="s">
        <v>4549</v>
      </c>
      <c r="D762" s="771" t="s">
        <v>1328</v>
      </c>
      <c r="E762" s="848">
        <v>44168</v>
      </c>
      <c r="F762" s="848">
        <f t="shared" si="20"/>
        <v>44001</v>
      </c>
    </row>
    <row r="763" spans="1:6" x14ac:dyDescent="0.25">
      <c r="A763" s="758">
        <v>20</v>
      </c>
      <c r="B763" s="760">
        <v>849316041</v>
      </c>
      <c r="C763" s="758" t="s">
        <v>1653</v>
      </c>
      <c r="D763" s="771" t="s">
        <v>1328</v>
      </c>
      <c r="E763" s="848">
        <v>44168</v>
      </c>
      <c r="F763" s="848">
        <f t="shared" si="20"/>
        <v>44055</v>
      </c>
    </row>
    <row r="764" spans="1:6" x14ac:dyDescent="0.25">
      <c r="A764" s="758">
        <v>21</v>
      </c>
      <c r="B764" s="760">
        <v>849317046</v>
      </c>
      <c r="C764" s="758" t="s">
        <v>4550</v>
      </c>
      <c r="D764" s="771" t="s">
        <v>1328</v>
      </c>
      <c r="E764" s="848">
        <v>44168</v>
      </c>
      <c r="F764" s="848">
        <f t="shared" si="20"/>
        <v>43935</v>
      </c>
    </row>
    <row r="765" spans="1:6" x14ac:dyDescent="0.25">
      <c r="A765" s="758">
        <v>22</v>
      </c>
      <c r="B765" s="760">
        <v>849316026</v>
      </c>
      <c r="C765" s="760" t="s">
        <v>1637</v>
      </c>
      <c r="D765" s="771" t="s">
        <v>1328</v>
      </c>
      <c r="E765" s="848">
        <v>44168</v>
      </c>
      <c r="F765" s="848">
        <f t="shared" si="20"/>
        <v>44051</v>
      </c>
    </row>
    <row r="766" spans="1:6" x14ac:dyDescent="0.25">
      <c r="A766" s="758">
        <v>23</v>
      </c>
      <c r="B766" s="760">
        <v>849316003</v>
      </c>
      <c r="C766" s="758" t="s">
        <v>1613</v>
      </c>
      <c r="D766" s="771" t="s">
        <v>1328</v>
      </c>
      <c r="E766" s="848">
        <v>44168</v>
      </c>
      <c r="F766" s="848">
        <f t="shared" si="20"/>
        <v>43894</v>
      </c>
    </row>
    <row r="767" spans="1:6" x14ac:dyDescent="0.25">
      <c r="A767" s="758">
        <v>24</v>
      </c>
      <c r="B767" s="760">
        <v>849316043</v>
      </c>
      <c r="C767" s="758" t="s">
        <v>1655</v>
      </c>
      <c r="D767" s="771" t="s">
        <v>1328</v>
      </c>
      <c r="E767" s="848">
        <v>44168</v>
      </c>
      <c r="F767" s="848">
        <f t="shared" si="20"/>
        <v>44039</v>
      </c>
    </row>
    <row r="768" spans="1:6" x14ac:dyDescent="0.25">
      <c r="A768" s="758">
        <v>25</v>
      </c>
      <c r="B768" s="760">
        <v>849316021</v>
      </c>
      <c r="C768" s="758" t="s">
        <v>4551</v>
      </c>
      <c r="D768" s="771" t="s">
        <v>1328</v>
      </c>
      <c r="E768" s="848">
        <v>44168</v>
      </c>
      <c r="F768" s="848">
        <f t="shared" si="20"/>
        <v>44027</v>
      </c>
    </row>
    <row r="769" spans="1:6" x14ac:dyDescent="0.25">
      <c r="A769" s="758">
        <v>26</v>
      </c>
      <c r="B769" s="760">
        <v>849316048</v>
      </c>
      <c r="C769" s="758" t="s">
        <v>1660</v>
      </c>
      <c r="D769" s="771" t="s">
        <v>1328</v>
      </c>
      <c r="E769" s="848">
        <v>44168</v>
      </c>
      <c r="F769" s="848">
        <f t="shared" si="20"/>
        <v>44027</v>
      </c>
    </row>
    <row r="770" spans="1:6" x14ac:dyDescent="0.25">
      <c r="A770" s="758">
        <v>27</v>
      </c>
      <c r="B770" s="760">
        <v>849318012</v>
      </c>
      <c r="C770" s="758" t="s">
        <v>4552</v>
      </c>
      <c r="D770" s="771" t="s">
        <v>1328</v>
      </c>
      <c r="E770" s="848">
        <v>44168</v>
      </c>
      <c r="F770" s="848">
        <f t="shared" si="20"/>
        <v>43992</v>
      </c>
    </row>
    <row r="771" spans="1:6" x14ac:dyDescent="0.25">
      <c r="A771" s="758">
        <v>28</v>
      </c>
      <c r="B771" s="760">
        <v>849418012</v>
      </c>
      <c r="C771" s="758" t="s">
        <v>4553</v>
      </c>
      <c r="D771" s="771" t="s">
        <v>1665</v>
      </c>
      <c r="E771" s="848">
        <v>44168</v>
      </c>
      <c r="F771" s="848">
        <f t="shared" si="20"/>
        <v>43948</v>
      </c>
    </row>
    <row r="772" spans="1:6" x14ac:dyDescent="0.25">
      <c r="A772" s="758">
        <v>29</v>
      </c>
      <c r="B772" s="760">
        <v>849418023</v>
      </c>
      <c r="C772" s="758" t="s">
        <v>4554</v>
      </c>
      <c r="D772" s="771" t="s">
        <v>1665</v>
      </c>
      <c r="E772" s="848">
        <v>44168</v>
      </c>
      <c r="F772" s="848">
        <f t="shared" si="20"/>
        <v>44035</v>
      </c>
    </row>
    <row r="773" spans="1:6" x14ac:dyDescent="0.25">
      <c r="A773" s="758">
        <v>30</v>
      </c>
      <c r="B773" s="760">
        <v>839118029</v>
      </c>
      <c r="C773" s="758" t="s">
        <v>1972</v>
      </c>
      <c r="D773" s="771" t="s">
        <v>848</v>
      </c>
      <c r="E773" s="848">
        <v>44168</v>
      </c>
      <c r="F773" s="848">
        <f t="shared" si="20"/>
        <v>43942</v>
      </c>
    </row>
    <row r="774" spans="1:6" x14ac:dyDescent="0.25">
      <c r="A774" s="758">
        <v>31</v>
      </c>
      <c r="B774" s="760">
        <v>839218018</v>
      </c>
      <c r="C774" s="758" t="s">
        <v>4555</v>
      </c>
      <c r="D774" s="771" t="s">
        <v>1195</v>
      </c>
      <c r="E774" s="848">
        <v>44168</v>
      </c>
      <c r="F774" s="848">
        <f t="shared" si="20"/>
        <v>44028</v>
      </c>
    </row>
    <row r="775" spans="1:6" x14ac:dyDescent="0.25">
      <c r="A775" s="758">
        <v>32</v>
      </c>
      <c r="B775" s="760">
        <v>839216004</v>
      </c>
      <c r="C775" s="758" t="s">
        <v>1550</v>
      </c>
      <c r="D775" s="771" t="s">
        <v>1195</v>
      </c>
      <c r="E775" s="848">
        <v>44168</v>
      </c>
      <c r="F775" s="848">
        <f t="shared" si="20"/>
        <v>44019</v>
      </c>
    </row>
    <row r="776" spans="1:6" x14ac:dyDescent="0.25">
      <c r="A776" s="758">
        <v>33</v>
      </c>
      <c r="B776" s="760">
        <v>839218043</v>
      </c>
      <c r="C776" s="758" t="s">
        <v>4556</v>
      </c>
      <c r="D776" s="771" t="s">
        <v>1195</v>
      </c>
      <c r="E776" s="848">
        <v>44168</v>
      </c>
      <c r="F776" s="848">
        <f t="shared" si="20"/>
        <v>44014</v>
      </c>
    </row>
    <row r="777" spans="1:6" x14ac:dyDescent="0.25">
      <c r="A777" s="758">
        <v>34</v>
      </c>
      <c r="B777" s="760">
        <v>839218040</v>
      </c>
      <c r="C777" s="758" t="s">
        <v>4557</v>
      </c>
      <c r="D777" s="771" t="s">
        <v>1195</v>
      </c>
      <c r="E777" s="848">
        <v>44168</v>
      </c>
      <c r="F777" s="848">
        <f t="shared" si="20"/>
        <v>44004</v>
      </c>
    </row>
    <row r="778" spans="1:6" x14ac:dyDescent="0.25">
      <c r="A778" s="758">
        <v>35</v>
      </c>
      <c r="B778" s="760">
        <v>839218003</v>
      </c>
      <c r="C778" s="758" t="s">
        <v>3392</v>
      </c>
      <c r="D778" s="771" t="s">
        <v>1195</v>
      </c>
      <c r="E778" s="848">
        <v>44168</v>
      </c>
      <c r="F778" s="848">
        <f t="shared" si="20"/>
        <v>44007</v>
      </c>
    </row>
    <row r="779" spans="1:6" x14ac:dyDescent="0.25">
      <c r="A779" s="758">
        <v>36</v>
      </c>
      <c r="B779" s="760">
        <v>839218024</v>
      </c>
      <c r="C779" s="758" t="s">
        <v>2349</v>
      </c>
      <c r="D779" s="771" t="s">
        <v>1195</v>
      </c>
      <c r="E779" s="848">
        <v>44168</v>
      </c>
      <c r="F779" s="848">
        <f t="shared" si="20"/>
        <v>44007</v>
      </c>
    </row>
    <row r="780" spans="1:6" x14ac:dyDescent="0.25">
      <c r="A780" s="758">
        <v>37</v>
      </c>
      <c r="B780" s="760">
        <v>839218012</v>
      </c>
      <c r="C780" s="758" t="s">
        <v>4558</v>
      </c>
      <c r="D780" s="771" t="s">
        <v>1195</v>
      </c>
      <c r="E780" s="848">
        <v>44168</v>
      </c>
      <c r="F780" s="848">
        <f t="shared" si="20"/>
        <v>44000</v>
      </c>
    </row>
    <row r="781" spans="1:6" x14ac:dyDescent="0.25">
      <c r="A781" s="758">
        <v>38</v>
      </c>
      <c r="B781" s="760">
        <v>839218032</v>
      </c>
      <c r="C781" s="758" t="s">
        <v>4559</v>
      </c>
      <c r="D781" s="771" t="s">
        <v>1195</v>
      </c>
      <c r="E781" s="848">
        <v>44168</v>
      </c>
      <c r="F781" s="848">
        <f t="shared" si="20"/>
        <v>44054</v>
      </c>
    </row>
    <row r="782" spans="1:6" x14ac:dyDescent="0.25">
      <c r="A782" s="758">
        <v>39</v>
      </c>
      <c r="B782" s="760">
        <v>839217006</v>
      </c>
      <c r="C782" s="758" t="s">
        <v>1867</v>
      </c>
      <c r="D782" s="771" t="s">
        <v>1195</v>
      </c>
      <c r="E782" s="848">
        <v>44168</v>
      </c>
      <c r="F782" s="848">
        <f t="shared" si="20"/>
        <v>44053</v>
      </c>
    </row>
    <row r="783" spans="1:6" x14ac:dyDescent="0.25">
      <c r="A783" s="758">
        <v>40</v>
      </c>
      <c r="B783" s="760">
        <v>829116006</v>
      </c>
      <c r="C783" s="758" t="s">
        <v>1605</v>
      </c>
      <c r="D783" s="771" t="s">
        <v>1441</v>
      </c>
      <c r="E783" s="848">
        <v>44168</v>
      </c>
      <c r="F783" s="848">
        <f t="shared" si="20"/>
        <v>43964</v>
      </c>
    </row>
    <row r="784" spans="1:6" x14ac:dyDescent="0.25">
      <c r="A784" s="758">
        <v>41</v>
      </c>
      <c r="B784" s="760">
        <v>829118002</v>
      </c>
      <c r="C784" s="758" t="s">
        <v>4560</v>
      </c>
      <c r="D784" s="771" t="s">
        <v>1441</v>
      </c>
      <c r="E784" s="848">
        <v>44168</v>
      </c>
      <c r="F784" s="848">
        <f t="shared" si="20"/>
        <v>44032</v>
      </c>
    </row>
    <row r="785" spans="1:6" x14ac:dyDescent="0.25">
      <c r="A785" s="758">
        <v>42</v>
      </c>
      <c r="B785" s="760">
        <v>829118005</v>
      </c>
      <c r="C785" s="758" t="s">
        <v>4561</v>
      </c>
      <c r="D785" s="771" t="s">
        <v>1441</v>
      </c>
      <c r="E785" s="848">
        <v>44168</v>
      </c>
      <c r="F785" s="848">
        <f t="shared" si="20"/>
        <v>44020</v>
      </c>
    </row>
    <row r="786" spans="1:6" x14ac:dyDescent="0.25">
      <c r="A786" s="758">
        <v>43</v>
      </c>
      <c r="B786" s="760">
        <v>829117013</v>
      </c>
      <c r="C786" s="758" t="s">
        <v>1975</v>
      </c>
      <c r="D786" s="771" t="s">
        <v>1441</v>
      </c>
      <c r="E786" s="848">
        <v>44168</v>
      </c>
      <c r="F786" s="848">
        <f t="shared" si="20"/>
        <v>44018</v>
      </c>
    </row>
    <row r="787" spans="1:6" x14ac:dyDescent="0.25">
      <c r="A787" s="758">
        <v>44</v>
      </c>
      <c r="B787" s="760">
        <v>829117009</v>
      </c>
      <c r="C787" s="758" t="s">
        <v>1971</v>
      </c>
      <c r="D787" s="771" t="s">
        <v>1441</v>
      </c>
      <c r="E787" s="848">
        <v>44168</v>
      </c>
      <c r="F787" s="848">
        <f t="shared" si="20"/>
        <v>43949</v>
      </c>
    </row>
    <row r="788" spans="1:6" x14ac:dyDescent="0.25">
      <c r="A788" s="758">
        <v>45</v>
      </c>
      <c r="B788" s="760">
        <v>841917021</v>
      </c>
      <c r="C788" s="758" t="s">
        <v>2005</v>
      </c>
      <c r="D788" s="771" t="s">
        <v>4226</v>
      </c>
      <c r="E788" s="848">
        <v>44168</v>
      </c>
      <c r="F788" s="848">
        <f t="shared" si="20"/>
        <v>44040</v>
      </c>
    </row>
    <row r="789" spans="1:6" x14ac:dyDescent="0.25">
      <c r="A789" s="758">
        <v>46</v>
      </c>
      <c r="B789" s="760">
        <v>841916015</v>
      </c>
      <c r="C789" s="758" t="s">
        <v>1737</v>
      </c>
      <c r="D789" s="771" t="s">
        <v>4226</v>
      </c>
      <c r="E789" s="848">
        <v>44168</v>
      </c>
      <c r="F789" s="848">
        <f t="shared" si="20"/>
        <v>43979</v>
      </c>
    </row>
    <row r="790" spans="1:6" x14ac:dyDescent="0.25">
      <c r="B790" s="760"/>
    </row>
    <row r="791" spans="1:6" x14ac:dyDescent="0.25">
      <c r="A791" s="758">
        <v>1</v>
      </c>
      <c r="B791" s="760">
        <v>839218041</v>
      </c>
      <c r="C791" s="758" t="s">
        <v>4562</v>
      </c>
      <c r="D791" s="759" t="s">
        <v>1195</v>
      </c>
      <c r="E791" s="848">
        <v>44186</v>
      </c>
      <c r="F791" s="848">
        <f t="shared" si="20"/>
        <v>44036</v>
      </c>
    </row>
    <row r="792" spans="1:6" x14ac:dyDescent="0.25">
      <c r="A792" s="758">
        <v>2</v>
      </c>
      <c r="B792" s="760">
        <v>839217035</v>
      </c>
      <c r="C792" s="758" t="s">
        <v>1898</v>
      </c>
      <c r="D792" s="759" t="s">
        <v>1195</v>
      </c>
      <c r="E792" s="848">
        <v>44186</v>
      </c>
      <c r="F792" s="848">
        <f t="shared" si="20"/>
        <v>43966</v>
      </c>
    </row>
    <row r="793" spans="1:6" x14ac:dyDescent="0.25">
      <c r="A793" s="758">
        <v>3</v>
      </c>
      <c r="B793" s="760">
        <v>839218029</v>
      </c>
      <c r="C793" s="758" t="s">
        <v>4563</v>
      </c>
      <c r="D793" s="759" t="s">
        <v>1195</v>
      </c>
      <c r="E793" s="848">
        <v>44186</v>
      </c>
      <c r="F793" s="848">
        <f t="shared" ref="F793:F835" si="21">IFERROR(VLOOKUP(B793,Tlus,3,FALSE),"   ")</f>
        <v>44095</v>
      </c>
    </row>
    <row r="794" spans="1:6" x14ac:dyDescent="0.25">
      <c r="A794" s="758">
        <v>4</v>
      </c>
      <c r="B794" s="760">
        <v>839218016</v>
      </c>
      <c r="C794" s="758" t="s">
        <v>4564</v>
      </c>
      <c r="D794" s="759" t="s">
        <v>1195</v>
      </c>
      <c r="E794" s="848">
        <v>44186</v>
      </c>
      <c r="F794" s="848">
        <f t="shared" si="21"/>
        <v>44019</v>
      </c>
    </row>
    <row r="795" spans="1:6" x14ac:dyDescent="0.25">
      <c r="A795" s="758">
        <v>5</v>
      </c>
      <c r="B795" s="760">
        <v>839217021</v>
      </c>
      <c r="C795" s="758" t="s">
        <v>1882</v>
      </c>
      <c r="D795" s="759" t="s">
        <v>1195</v>
      </c>
      <c r="E795" s="848">
        <v>44186</v>
      </c>
      <c r="F795" s="848">
        <f t="shared" si="21"/>
        <v>44096</v>
      </c>
    </row>
    <row r="796" spans="1:6" x14ac:dyDescent="0.25">
      <c r="A796" s="758">
        <v>6</v>
      </c>
      <c r="B796" s="760">
        <v>839216005</v>
      </c>
      <c r="C796" s="758" t="s">
        <v>1551</v>
      </c>
      <c r="D796" s="759" t="s">
        <v>1195</v>
      </c>
      <c r="E796" s="848">
        <v>44186</v>
      </c>
      <c r="F796" s="848">
        <f t="shared" si="21"/>
        <v>44096</v>
      </c>
    </row>
    <row r="797" spans="1:6" x14ac:dyDescent="0.25">
      <c r="A797" s="758">
        <v>7</v>
      </c>
      <c r="B797" s="760">
        <v>839118025</v>
      </c>
      <c r="C797" s="758" t="s">
        <v>4565</v>
      </c>
      <c r="D797" s="759" t="s">
        <v>848</v>
      </c>
      <c r="E797" s="848">
        <v>44186</v>
      </c>
      <c r="F797" s="848">
        <f t="shared" si="21"/>
        <v>44018</v>
      </c>
    </row>
    <row r="798" spans="1:6" x14ac:dyDescent="0.25">
      <c r="A798" s="758">
        <v>8</v>
      </c>
      <c r="B798" s="760">
        <v>839116004</v>
      </c>
      <c r="C798" s="758" t="s">
        <v>1579</v>
      </c>
      <c r="D798" s="759" t="s">
        <v>848</v>
      </c>
      <c r="E798" s="848">
        <v>44186</v>
      </c>
      <c r="F798" s="848">
        <f t="shared" si="21"/>
        <v>44016</v>
      </c>
    </row>
    <row r="799" spans="1:6" x14ac:dyDescent="0.25">
      <c r="A799" s="758">
        <v>9</v>
      </c>
      <c r="B799" s="760">
        <v>839115003</v>
      </c>
      <c r="C799" s="758" t="s">
        <v>2516</v>
      </c>
      <c r="D799" s="759" t="s">
        <v>848</v>
      </c>
      <c r="E799" s="848">
        <v>44186</v>
      </c>
      <c r="F799" s="848">
        <f t="shared" si="21"/>
        <v>43991</v>
      </c>
    </row>
    <row r="800" spans="1:6" x14ac:dyDescent="0.25">
      <c r="A800" s="758">
        <v>10</v>
      </c>
      <c r="B800" s="760">
        <v>839117013</v>
      </c>
      <c r="C800" s="758" t="s">
        <v>1959</v>
      </c>
      <c r="D800" s="759" t="s">
        <v>848</v>
      </c>
      <c r="E800" s="848">
        <v>44186</v>
      </c>
      <c r="F800" s="848">
        <f t="shared" si="21"/>
        <v>44093</v>
      </c>
    </row>
    <row r="801" spans="1:6" x14ac:dyDescent="0.25">
      <c r="A801" s="758">
        <v>11</v>
      </c>
      <c r="B801" s="760">
        <v>839118001</v>
      </c>
      <c r="C801" s="758" t="s">
        <v>4566</v>
      </c>
      <c r="D801" s="759" t="s">
        <v>848</v>
      </c>
      <c r="E801" s="848">
        <v>44186</v>
      </c>
      <c r="F801" s="848">
        <f t="shared" si="21"/>
        <v>44083</v>
      </c>
    </row>
    <row r="802" spans="1:6" x14ac:dyDescent="0.25">
      <c r="A802" s="758">
        <v>12</v>
      </c>
      <c r="B802" s="760">
        <v>839118002</v>
      </c>
      <c r="C802" s="758" t="s">
        <v>4567</v>
      </c>
      <c r="D802" s="759" t="s">
        <v>848</v>
      </c>
      <c r="E802" s="848">
        <v>44186</v>
      </c>
      <c r="F802" s="848">
        <f t="shared" si="21"/>
        <v>44132</v>
      </c>
    </row>
    <row r="803" spans="1:6" x14ac:dyDescent="0.25">
      <c r="A803" s="758">
        <v>13</v>
      </c>
      <c r="B803" s="760">
        <v>839118005</v>
      </c>
      <c r="C803" s="758" t="s">
        <v>4568</v>
      </c>
      <c r="D803" s="759" t="s">
        <v>848</v>
      </c>
      <c r="E803" s="848">
        <v>44186</v>
      </c>
      <c r="F803" s="848">
        <f t="shared" si="21"/>
        <v>44031</v>
      </c>
    </row>
    <row r="804" spans="1:6" x14ac:dyDescent="0.25">
      <c r="A804" s="758">
        <v>14</v>
      </c>
      <c r="B804" s="760">
        <v>839118022</v>
      </c>
      <c r="C804" s="758" t="s">
        <v>4569</v>
      </c>
      <c r="D804" s="759" t="s">
        <v>848</v>
      </c>
      <c r="E804" s="848">
        <v>44186</v>
      </c>
      <c r="F804" s="848">
        <f t="shared" si="21"/>
        <v>44084</v>
      </c>
    </row>
    <row r="805" spans="1:6" x14ac:dyDescent="0.25">
      <c r="A805" s="758">
        <v>15</v>
      </c>
      <c r="B805" s="760">
        <v>829118004</v>
      </c>
      <c r="C805" s="758" t="s">
        <v>4570</v>
      </c>
      <c r="D805" s="759" t="s">
        <v>1441</v>
      </c>
      <c r="E805" s="848">
        <v>44186</v>
      </c>
      <c r="F805" s="848">
        <f t="shared" si="21"/>
        <v>44053</v>
      </c>
    </row>
    <row r="806" spans="1:6" x14ac:dyDescent="0.25">
      <c r="A806" s="758">
        <v>16</v>
      </c>
      <c r="B806" s="760">
        <v>829118001</v>
      </c>
      <c r="C806" s="758" t="s">
        <v>4571</v>
      </c>
      <c r="D806" s="759" t="s">
        <v>1441</v>
      </c>
      <c r="E806" s="848">
        <v>44186</v>
      </c>
      <c r="F806" s="848">
        <f t="shared" si="21"/>
        <v>44046</v>
      </c>
    </row>
    <row r="807" spans="1:6" x14ac:dyDescent="0.25">
      <c r="A807" s="758">
        <v>17</v>
      </c>
      <c r="B807" s="760">
        <v>829117004</v>
      </c>
      <c r="C807" s="758" t="s">
        <v>1966</v>
      </c>
      <c r="D807" s="759" t="s">
        <v>1441</v>
      </c>
      <c r="E807" s="848">
        <v>44186</v>
      </c>
      <c r="F807" s="848">
        <f t="shared" si="21"/>
        <v>44040</v>
      </c>
    </row>
    <row r="808" spans="1:6" x14ac:dyDescent="0.25">
      <c r="A808" s="758">
        <v>18</v>
      </c>
      <c r="B808" s="760">
        <v>849118025</v>
      </c>
      <c r="C808" s="758" t="s">
        <v>4572</v>
      </c>
      <c r="D808" s="759" t="s">
        <v>527</v>
      </c>
      <c r="E808" s="848">
        <v>44186</v>
      </c>
      <c r="F808" s="848">
        <f t="shared" si="21"/>
        <v>44061</v>
      </c>
    </row>
    <row r="809" spans="1:6" x14ac:dyDescent="0.25">
      <c r="A809" s="758">
        <v>19</v>
      </c>
      <c r="B809" s="760">
        <v>849117018</v>
      </c>
      <c r="C809" s="758" t="s">
        <v>1829</v>
      </c>
      <c r="D809" s="759" t="s">
        <v>527</v>
      </c>
      <c r="E809" s="848">
        <v>44186</v>
      </c>
      <c r="F809" s="848">
        <f t="shared" si="21"/>
        <v>44025</v>
      </c>
    </row>
    <row r="810" spans="1:6" x14ac:dyDescent="0.25">
      <c r="A810" s="758">
        <v>20</v>
      </c>
      <c r="B810" s="760">
        <v>849118027</v>
      </c>
      <c r="C810" s="758" t="s">
        <v>4573</v>
      </c>
      <c r="D810" s="759" t="s">
        <v>527</v>
      </c>
      <c r="E810" s="848">
        <v>44186</v>
      </c>
      <c r="F810" s="848">
        <f t="shared" si="21"/>
        <v>44046</v>
      </c>
    </row>
    <row r="811" spans="1:6" x14ac:dyDescent="0.25">
      <c r="A811" s="758">
        <v>21</v>
      </c>
      <c r="B811" s="760">
        <v>849116029</v>
      </c>
      <c r="C811" s="758" t="s">
        <v>1710</v>
      </c>
      <c r="D811" s="759" t="s">
        <v>527</v>
      </c>
      <c r="E811" s="848">
        <v>44186</v>
      </c>
      <c r="F811" s="848">
        <f t="shared" si="21"/>
        <v>44083</v>
      </c>
    </row>
    <row r="812" spans="1:6" x14ac:dyDescent="0.25">
      <c r="A812" s="758">
        <v>22</v>
      </c>
      <c r="B812" s="760">
        <v>849117038</v>
      </c>
      <c r="C812" s="758" t="s">
        <v>1852</v>
      </c>
      <c r="D812" s="759" t="s">
        <v>527</v>
      </c>
      <c r="E812" s="848">
        <v>44186</v>
      </c>
      <c r="F812" s="848">
        <f t="shared" si="21"/>
        <v>44084</v>
      </c>
    </row>
    <row r="813" spans="1:6" x14ac:dyDescent="0.25">
      <c r="A813" s="758">
        <v>23</v>
      </c>
      <c r="B813" s="760">
        <v>849116028</v>
      </c>
      <c r="C813" s="758" t="s">
        <v>1709</v>
      </c>
      <c r="D813" s="759" t="s">
        <v>527</v>
      </c>
      <c r="E813" s="848">
        <v>44186</v>
      </c>
      <c r="F813" s="848">
        <f t="shared" si="21"/>
        <v>44083</v>
      </c>
    </row>
    <row r="814" spans="1:6" x14ac:dyDescent="0.25">
      <c r="A814" s="758">
        <v>24</v>
      </c>
      <c r="B814" s="760">
        <v>849116011</v>
      </c>
      <c r="C814" s="758" t="s">
        <v>1691</v>
      </c>
      <c r="D814" s="759" t="s">
        <v>527</v>
      </c>
      <c r="E814" s="848">
        <v>44186</v>
      </c>
      <c r="F814" s="848">
        <f t="shared" si="21"/>
        <v>43845</v>
      </c>
    </row>
    <row r="815" spans="1:6" x14ac:dyDescent="0.25">
      <c r="A815" s="758">
        <v>25</v>
      </c>
      <c r="B815" s="760">
        <v>849117026</v>
      </c>
      <c r="C815" s="758" t="s">
        <v>1838</v>
      </c>
      <c r="D815" s="759" t="s">
        <v>527</v>
      </c>
      <c r="E815" s="848">
        <v>44186</v>
      </c>
      <c r="F815" s="848">
        <f t="shared" si="21"/>
        <v>44084</v>
      </c>
    </row>
    <row r="816" spans="1:6" x14ac:dyDescent="0.25">
      <c r="A816" s="758">
        <v>26</v>
      </c>
      <c r="B816" s="760">
        <v>849117045</v>
      </c>
      <c r="C816" s="758" t="s">
        <v>1859</v>
      </c>
      <c r="D816" s="759" t="s">
        <v>527</v>
      </c>
      <c r="E816" s="848">
        <v>44186</v>
      </c>
      <c r="F816" s="848">
        <f t="shared" si="21"/>
        <v>44074</v>
      </c>
    </row>
    <row r="817" spans="1:6" x14ac:dyDescent="0.25">
      <c r="A817" s="758">
        <v>27</v>
      </c>
      <c r="B817" s="760">
        <v>849318050</v>
      </c>
      <c r="C817" s="758" t="s">
        <v>4574</v>
      </c>
      <c r="D817" s="759" t="s">
        <v>1328</v>
      </c>
      <c r="E817" s="848">
        <v>44186</v>
      </c>
      <c r="F817" s="848">
        <f t="shared" si="21"/>
        <v>44083</v>
      </c>
    </row>
    <row r="818" spans="1:6" x14ac:dyDescent="0.25">
      <c r="A818" s="758">
        <v>28</v>
      </c>
      <c r="B818" s="760">
        <v>849318002</v>
      </c>
      <c r="C818" s="758" t="s">
        <v>4575</v>
      </c>
      <c r="D818" s="759" t="s">
        <v>1328</v>
      </c>
      <c r="E818" s="848">
        <v>44186</v>
      </c>
      <c r="F818" s="848">
        <f t="shared" si="21"/>
        <v>44084</v>
      </c>
    </row>
    <row r="819" spans="1:6" x14ac:dyDescent="0.25">
      <c r="A819" s="758">
        <v>29</v>
      </c>
      <c r="B819" s="760">
        <v>849316002</v>
      </c>
      <c r="C819" s="758" t="s">
        <v>1612</v>
      </c>
      <c r="D819" s="759" t="s">
        <v>1328</v>
      </c>
      <c r="E819" s="848">
        <v>44186</v>
      </c>
      <c r="F819" s="848">
        <f t="shared" si="21"/>
        <v>44093</v>
      </c>
    </row>
    <row r="820" spans="1:6" x14ac:dyDescent="0.25">
      <c r="A820" s="758">
        <v>30</v>
      </c>
      <c r="B820" s="760">
        <v>849316020</v>
      </c>
      <c r="C820" s="758" t="s">
        <v>4576</v>
      </c>
      <c r="D820" s="759" t="s">
        <v>1328</v>
      </c>
      <c r="E820" s="848">
        <v>44186</v>
      </c>
      <c r="F820" s="848">
        <f t="shared" si="21"/>
        <v>44096</v>
      </c>
    </row>
    <row r="821" spans="1:6" x14ac:dyDescent="0.25">
      <c r="A821" s="758">
        <v>31</v>
      </c>
      <c r="B821" s="760">
        <v>849317030</v>
      </c>
      <c r="C821" s="758" t="s">
        <v>4577</v>
      </c>
      <c r="D821" s="759" t="s">
        <v>1328</v>
      </c>
      <c r="E821" s="848">
        <v>44186</v>
      </c>
      <c r="F821" s="848">
        <f t="shared" si="21"/>
        <v>44090</v>
      </c>
    </row>
    <row r="822" spans="1:6" x14ac:dyDescent="0.25">
      <c r="A822" s="758">
        <v>32</v>
      </c>
      <c r="B822" s="760">
        <v>849316035</v>
      </c>
      <c r="C822" s="758" t="s">
        <v>1647</v>
      </c>
      <c r="D822" s="759" t="s">
        <v>1328</v>
      </c>
      <c r="E822" s="848">
        <v>44186</v>
      </c>
      <c r="F822" s="848">
        <f t="shared" si="21"/>
        <v>43997</v>
      </c>
    </row>
    <row r="823" spans="1:6" x14ac:dyDescent="0.25">
      <c r="A823" s="758">
        <v>33</v>
      </c>
      <c r="B823" s="760">
        <v>849316030</v>
      </c>
      <c r="C823" s="758" t="s">
        <v>1641</v>
      </c>
      <c r="D823" s="759" t="s">
        <v>1328</v>
      </c>
      <c r="E823" s="848">
        <v>44186</v>
      </c>
      <c r="F823" s="848">
        <f t="shared" si="21"/>
        <v>43837</v>
      </c>
    </row>
    <row r="824" spans="1:6" x14ac:dyDescent="0.25">
      <c r="A824" s="758">
        <v>34</v>
      </c>
      <c r="B824" s="760">
        <v>849316018</v>
      </c>
      <c r="C824" s="758" t="s">
        <v>1628</v>
      </c>
      <c r="D824" s="759" t="s">
        <v>1328</v>
      </c>
      <c r="E824" s="848">
        <v>44186</v>
      </c>
      <c r="F824" s="848">
        <f t="shared" si="21"/>
        <v>44057</v>
      </c>
    </row>
    <row r="825" spans="1:6" x14ac:dyDescent="0.25">
      <c r="A825" s="758">
        <v>35</v>
      </c>
      <c r="B825" s="760">
        <v>849418002</v>
      </c>
      <c r="C825" s="758" t="s">
        <v>4578</v>
      </c>
      <c r="D825" s="759" t="s">
        <v>1665</v>
      </c>
      <c r="E825" s="848">
        <v>44186</v>
      </c>
      <c r="F825" s="848">
        <f t="shared" si="21"/>
        <v>44076</v>
      </c>
    </row>
    <row r="826" spans="1:6" x14ac:dyDescent="0.25">
      <c r="A826" s="758">
        <v>36</v>
      </c>
      <c r="B826" s="760">
        <v>849416015</v>
      </c>
      <c r="C826" s="758" t="s">
        <v>1678</v>
      </c>
      <c r="D826" s="759" t="s">
        <v>1665</v>
      </c>
      <c r="E826" s="848">
        <v>44186</v>
      </c>
      <c r="F826" s="848">
        <f t="shared" si="21"/>
        <v>43985</v>
      </c>
    </row>
    <row r="827" spans="1:6" x14ac:dyDescent="0.25">
      <c r="A827" s="758">
        <v>37</v>
      </c>
      <c r="B827" s="760">
        <v>841917009</v>
      </c>
      <c r="C827" s="758" t="s">
        <v>1991</v>
      </c>
      <c r="D827" s="759" t="s">
        <v>1477</v>
      </c>
      <c r="E827" s="848">
        <v>44186</v>
      </c>
      <c r="F827" s="848">
        <f t="shared" si="21"/>
        <v>44109</v>
      </c>
    </row>
    <row r="828" spans="1:6" x14ac:dyDescent="0.25">
      <c r="A828" s="758">
        <v>38</v>
      </c>
      <c r="B828" s="760">
        <v>841918007</v>
      </c>
      <c r="C828" s="758" t="s">
        <v>4579</v>
      </c>
      <c r="D828" s="759" t="s">
        <v>1477</v>
      </c>
      <c r="E828" s="848">
        <v>44186</v>
      </c>
      <c r="F828" s="848">
        <f t="shared" si="21"/>
        <v>44110</v>
      </c>
    </row>
    <row r="829" spans="1:6" x14ac:dyDescent="0.25">
      <c r="A829" s="758">
        <v>39</v>
      </c>
      <c r="B829" s="760">
        <v>841917017</v>
      </c>
      <c r="C829" s="758" t="s">
        <v>4580</v>
      </c>
      <c r="D829" s="759" t="s">
        <v>1477</v>
      </c>
      <c r="E829" s="848">
        <v>44186</v>
      </c>
      <c r="F829" s="848">
        <f t="shared" si="21"/>
        <v>43941</v>
      </c>
    </row>
    <row r="830" spans="1:6" x14ac:dyDescent="0.25">
      <c r="A830" s="758">
        <v>40</v>
      </c>
      <c r="B830" s="760">
        <v>841917024</v>
      </c>
      <c r="C830" s="758" t="s">
        <v>2008</v>
      </c>
      <c r="D830" s="759" t="s">
        <v>1477</v>
      </c>
      <c r="E830" s="848">
        <v>44186</v>
      </c>
      <c r="F830" s="848">
        <f t="shared" si="21"/>
        <v>44138</v>
      </c>
    </row>
    <row r="831" spans="1:6" x14ac:dyDescent="0.25">
      <c r="A831" s="758">
        <v>41</v>
      </c>
      <c r="B831" s="760">
        <v>841915011</v>
      </c>
      <c r="C831" s="758" t="s">
        <v>1488</v>
      </c>
      <c r="D831" s="759" t="s">
        <v>1477</v>
      </c>
      <c r="E831" s="848">
        <v>44186</v>
      </c>
      <c r="F831" s="848">
        <f t="shared" si="21"/>
        <v>44062</v>
      </c>
    </row>
    <row r="832" spans="1:6" x14ac:dyDescent="0.25">
      <c r="A832" s="758">
        <v>42</v>
      </c>
      <c r="B832" s="760">
        <v>841917026</v>
      </c>
      <c r="C832" s="758" t="s">
        <v>2010</v>
      </c>
      <c r="D832" s="759" t="s">
        <v>1477</v>
      </c>
      <c r="E832" s="848">
        <v>44186</v>
      </c>
      <c r="F832" s="848">
        <f t="shared" si="21"/>
        <v>44124</v>
      </c>
    </row>
    <row r="833" spans="1:6" x14ac:dyDescent="0.25">
      <c r="A833" s="758">
        <v>43</v>
      </c>
      <c r="B833" s="760">
        <v>841917028</v>
      </c>
      <c r="C833" s="758" t="s">
        <v>4581</v>
      </c>
      <c r="D833" s="759" t="s">
        <v>1477</v>
      </c>
      <c r="E833" s="848">
        <v>44186</v>
      </c>
      <c r="F833" s="848">
        <f t="shared" si="21"/>
        <v>44119</v>
      </c>
    </row>
    <row r="834" spans="1:6" x14ac:dyDescent="0.25">
      <c r="A834" s="758">
        <v>44</v>
      </c>
      <c r="B834" s="760">
        <v>841917029</v>
      </c>
      <c r="C834" s="758" t="s">
        <v>1658</v>
      </c>
      <c r="D834" s="759" t="s">
        <v>1477</v>
      </c>
      <c r="E834" s="848">
        <v>44186</v>
      </c>
      <c r="F834" s="848">
        <f t="shared" si="21"/>
        <v>44140</v>
      </c>
    </row>
    <row r="835" spans="1:6" x14ac:dyDescent="0.25">
      <c r="A835" s="758">
        <v>45</v>
      </c>
      <c r="B835" s="760">
        <v>841917016</v>
      </c>
      <c r="C835" s="758" t="s">
        <v>2000</v>
      </c>
      <c r="D835" s="759" t="s">
        <v>1477</v>
      </c>
      <c r="E835" s="848">
        <v>44186</v>
      </c>
      <c r="F835" s="848">
        <f t="shared" si="21"/>
        <v>44112</v>
      </c>
    </row>
    <row r="836" spans="1:6" x14ac:dyDescent="0.25">
      <c r="B836" s="760"/>
    </row>
    <row r="837" spans="1:6" x14ac:dyDescent="0.25">
      <c r="B837" s="760"/>
    </row>
    <row r="838" spans="1:6" x14ac:dyDescent="0.25">
      <c r="B838" s="760"/>
    </row>
    <row r="839" spans="1:6" x14ac:dyDescent="0.25">
      <c r="B839" s="760"/>
    </row>
    <row r="840" spans="1:6" x14ac:dyDescent="0.25">
      <c r="B840" s="760"/>
    </row>
    <row r="841" spans="1:6" x14ac:dyDescent="0.25">
      <c r="B841" s="760"/>
    </row>
    <row r="842" spans="1:6" x14ac:dyDescent="0.25">
      <c r="B842" s="760"/>
    </row>
    <row r="843" spans="1:6" x14ac:dyDescent="0.25">
      <c r="B843" s="760"/>
    </row>
    <row r="844" spans="1:6" x14ac:dyDescent="0.25">
      <c r="B844" s="760"/>
    </row>
    <row r="845" spans="1:6" x14ac:dyDescent="0.25">
      <c r="B845" s="760"/>
    </row>
    <row r="846" spans="1:6" x14ac:dyDescent="0.25">
      <c r="B846" s="760"/>
    </row>
    <row r="847" spans="1:6" x14ac:dyDescent="0.25">
      <c r="B847" s="760"/>
    </row>
    <row r="848" spans="1:6" x14ac:dyDescent="0.25">
      <c r="B848" s="760"/>
    </row>
    <row r="849" spans="2:2" x14ac:dyDescent="0.25">
      <c r="B849" s="760"/>
    </row>
    <row r="850" spans="2:2" x14ac:dyDescent="0.25">
      <c r="B850" s="760"/>
    </row>
    <row r="851" spans="2:2" x14ac:dyDescent="0.25">
      <c r="B851" s="760"/>
    </row>
    <row r="852" spans="2:2" x14ac:dyDescent="0.25">
      <c r="B852" s="760"/>
    </row>
    <row r="853" spans="2:2" x14ac:dyDescent="0.25">
      <c r="B853" s="760"/>
    </row>
    <row r="854" spans="2:2" x14ac:dyDescent="0.25">
      <c r="B854" s="760"/>
    </row>
    <row r="855" spans="2:2" x14ac:dyDescent="0.25">
      <c r="B855" s="760"/>
    </row>
    <row r="856" spans="2:2" x14ac:dyDescent="0.25">
      <c r="B856" s="760"/>
    </row>
    <row r="857" spans="2:2" x14ac:dyDescent="0.25">
      <c r="B857" s="760"/>
    </row>
    <row r="858" spans="2:2" x14ac:dyDescent="0.25">
      <c r="B858" s="760"/>
    </row>
    <row r="859" spans="2:2" x14ac:dyDescent="0.25">
      <c r="B859" s="760"/>
    </row>
    <row r="860" spans="2:2" x14ac:dyDescent="0.25">
      <c r="B860" s="760"/>
    </row>
    <row r="861" spans="2:2" x14ac:dyDescent="0.25">
      <c r="B861" s="760"/>
    </row>
    <row r="862" spans="2:2" x14ac:dyDescent="0.25">
      <c r="B862" s="760"/>
    </row>
    <row r="863" spans="2:2" x14ac:dyDescent="0.25">
      <c r="B863" s="760"/>
    </row>
    <row r="864" spans="2:2" x14ac:dyDescent="0.25">
      <c r="B864" s="760"/>
    </row>
    <row r="865" spans="2:2" x14ac:dyDescent="0.25">
      <c r="B865" s="760"/>
    </row>
    <row r="866" spans="2:2" x14ac:dyDescent="0.25">
      <c r="B866" s="760"/>
    </row>
    <row r="867" spans="2:2" x14ac:dyDescent="0.25">
      <c r="B867" s="760"/>
    </row>
    <row r="868" spans="2:2" x14ac:dyDescent="0.25">
      <c r="B868" s="760"/>
    </row>
    <row r="870" spans="2:2" x14ac:dyDescent="0.25">
      <c r="B870" s="760"/>
    </row>
    <row r="871" spans="2:2" x14ac:dyDescent="0.25">
      <c r="B871" s="760"/>
    </row>
    <row r="872" spans="2:2" x14ac:dyDescent="0.25">
      <c r="B872" s="760"/>
    </row>
    <row r="873" spans="2:2" x14ac:dyDescent="0.25">
      <c r="B873" s="760"/>
    </row>
    <row r="874" spans="2:2" x14ac:dyDescent="0.25">
      <c r="B874" s="760"/>
    </row>
    <row r="875" spans="2:2" x14ac:dyDescent="0.25">
      <c r="B875" s="760"/>
    </row>
    <row r="876" spans="2:2" x14ac:dyDescent="0.25">
      <c r="B876" s="760"/>
    </row>
    <row r="877" spans="2:2" x14ac:dyDescent="0.25">
      <c r="B877" s="760"/>
    </row>
    <row r="878" spans="2:2" x14ac:dyDescent="0.25">
      <c r="B878" s="760"/>
    </row>
    <row r="879" spans="2:2" x14ac:dyDescent="0.25">
      <c r="B879" s="760"/>
    </row>
    <row r="880" spans="2:2" x14ac:dyDescent="0.25">
      <c r="B880" s="760"/>
    </row>
    <row r="881" spans="2:2" x14ac:dyDescent="0.25">
      <c r="B881" s="760"/>
    </row>
    <row r="882" spans="2:2" x14ac:dyDescent="0.25">
      <c r="B882" s="760"/>
    </row>
    <row r="883" spans="2:2" x14ac:dyDescent="0.25">
      <c r="B883" s="760"/>
    </row>
    <row r="884" spans="2:2" x14ac:dyDescent="0.25">
      <c r="B884" s="760"/>
    </row>
    <row r="885" spans="2:2" x14ac:dyDescent="0.25">
      <c r="B885" s="760"/>
    </row>
    <row r="886" spans="2:2" x14ac:dyDescent="0.25">
      <c r="B886" s="760"/>
    </row>
    <row r="887" spans="2:2" x14ac:dyDescent="0.25">
      <c r="B887" s="760"/>
    </row>
    <row r="888" spans="2:2" x14ac:dyDescent="0.25">
      <c r="B888" s="760"/>
    </row>
    <row r="889" spans="2:2" x14ac:dyDescent="0.25">
      <c r="B889" s="760"/>
    </row>
    <row r="890" spans="2:2" x14ac:dyDescent="0.25">
      <c r="B890" s="760"/>
    </row>
    <row r="891" spans="2:2" x14ac:dyDescent="0.25">
      <c r="B891" s="760"/>
    </row>
    <row r="892" spans="2:2" x14ac:dyDescent="0.25">
      <c r="B892" s="760"/>
    </row>
    <row r="893" spans="2:2" x14ac:dyDescent="0.25">
      <c r="B893" s="760"/>
    </row>
    <row r="894" spans="2:2" x14ac:dyDescent="0.25">
      <c r="B894" s="760"/>
    </row>
    <row r="895" spans="2:2" x14ac:dyDescent="0.25">
      <c r="B895" s="760"/>
    </row>
    <row r="896" spans="2:2" x14ac:dyDescent="0.25">
      <c r="B896" s="760"/>
    </row>
    <row r="897" spans="2:2" x14ac:dyDescent="0.25">
      <c r="B897" s="760"/>
    </row>
    <row r="898" spans="2:2" x14ac:dyDescent="0.25">
      <c r="B898" s="760"/>
    </row>
    <row r="899" spans="2:2" x14ac:dyDescent="0.25">
      <c r="B899" s="760"/>
    </row>
    <row r="900" spans="2:2" x14ac:dyDescent="0.25">
      <c r="B900" s="760"/>
    </row>
    <row r="901" spans="2:2" x14ac:dyDescent="0.25">
      <c r="B901" s="760"/>
    </row>
    <row r="902" spans="2:2" x14ac:dyDescent="0.25">
      <c r="B902" s="760"/>
    </row>
    <row r="903" spans="2:2" x14ac:dyDescent="0.25">
      <c r="B903" s="760"/>
    </row>
    <row r="904" spans="2:2" x14ac:dyDescent="0.25">
      <c r="B904" s="760"/>
    </row>
    <row r="906" spans="2:2" x14ac:dyDescent="0.25">
      <c r="B906" s="760"/>
    </row>
    <row r="907" spans="2:2" x14ac:dyDescent="0.25">
      <c r="B907" s="760"/>
    </row>
    <row r="908" spans="2:2" x14ac:dyDescent="0.25">
      <c r="B908" s="760"/>
    </row>
    <row r="909" spans="2:2" x14ac:dyDescent="0.25">
      <c r="B909" s="760"/>
    </row>
    <row r="910" spans="2:2" x14ac:dyDescent="0.25">
      <c r="B910" s="760"/>
    </row>
    <row r="911" spans="2:2" x14ac:dyDescent="0.25">
      <c r="B911" s="760"/>
    </row>
    <row r="912" spans="2:2" x14ac:dyDescent="0.25">
      <c r="B912" s="760"/>
    </row>
    <row r="913" spans="2:2" x14ac:dyDescent="0.25">
      <c r="B913" s="760"/>
    </row>
    <row r="914" spans="2:2" x14ac:dyDescent="0.25">
      <c r="B914" s="760"/>
    </row>
    <row r="915" spans="2:2" x14ac:dyDescent="0.25">
      <c r="B915" s="760"/>
    </row>
    <row r="916" spans="2:2" x14ac:dyDescent="0.25">
      <c r="B916" s="760"/>
    </row>
    <row r="917" spans="2:2" x14ac:dyDescent="0.25">
      <c r="B917" s="760"/>
    </row>
    <row r="918" spans="2:2" x14ac:dyDescent="0.25">
      <c r="B918" s="760"/>
    </row>
    <row r="919" spans="2:2" x14ac:dyDescent="0.25">
      <c r="B919" s="760"/>
    </row>
    <row r="920" spans="2:2" x14ac:dyDescent="0.25">
      <c r="B920" s="760"/>
    </row>
    <row r="921" spans="2:2" x14ac:dyDescent="0.25">
      <c r="B921" s="760"/>
    </row>
    <row r="922" spans="2:2" x14ac:dyDescent="0.25">
      <c r="B922" s="760"/>
    </row>
    <row r="923" spans="2:2" x14ac:dyDescent="0.25">
      <c r="B923" s="760"/>
    </row>
    <row r="924" spans="2:2" x14ac:dyDescent="0.25">
      <c r="B924" s="760"/>
    </row>
    <row r="925" spans="2:2" x14ac:dyDescent="0.25">
      <c r="B925" s="760"/>
    </row>
    <row r="926" spans="2:2" x14ac:dyDescent="0.25">
      <c r="B926" s="760"/>
    </row>
    <row r="927" spans="2:2" x14ac:dyDescent="0.25">
      <c r="B927" s="760"/>
    </row>
    <row r="928" spans="2:2" x14ac:dyDescent="0.25">
      <c r="B928" s="760"/>
    </row>
    <row r="929" spans="2:2" x14ac:dyDescent="0.25">
      <c r="B929" s="760"/>
    </row>
    <row r="930" spans="2:2" x14ac:dyDescent="0.25">
      <c r="B930" s="760"/>
    </row>
    <row r="931" spans="2:2" x14ac:dyDescent="0.25">
      <c r="B931" s="760"/>
    </row>
    <row r="932" spans="2:2" x14ac:dyDescent="0.25">
      <c r="B932" s="760"/>
    </row>
    <row r="933" spans="2:2" x14ac:dyDescent="0.25">
      <c r="B933" s="760"/>
    </row>
    <row r="934" spans="2:2" x14ac:dyDescent="0.25">
      <c r="B934" s="760"/>
    </row>
    <row r="935" spans="2:2" x14ac:dyDescent="0.25">
      <c r="B935" s="760"/>
    </row>
    <row r="936" spans="2:2" x14ac:dyDescent="0.25">
      <c r="B936" s="760"/>
    </row>
    <row r="937" spans="2:2" x14ac:dyDescent="0.25">
      <c r="B937" s="760"/>
    </row>
    <row r="938" spans="2:2" x14ac:dyDescent="0.25">
      <c r="B938" s="760"/>
    </row>
    <row r="939" spans="2:2" x14ac:dyDescent="0.25">
      <c r="B939" s="760"/>
    </row>
    <row r="940" spans="2:2" x14ac:dyDescent="0.25">
      <c r="B940" s="760"/>
    </row>
    <row r="941" spans="2:2" x14ac:dyDescent="0.25">
      <c r="B941" s="760"/>
    </row>
    <row r="942" spans="2:2" x14ac:dyDescent="0.25">
      <c r="B942" s="760"/>
    </row>
    <row r="943" spans="2:2" x14ac:dyDescent="0.25">
      <c r="B943" s="760"/>
    </row>
    <row r="944" spans="2:2" x14ac:dyDescent="0.25">
      <c r="B944" s="760"/>
    </row>
    <row r="945" spans="2:2" x14ac:dyDescent="0.25">
      <c r="B945" s="760"/>
    </row>
    <row r="946" spans="2:2" x14ac:dyDescent="0.25">
      <c r="B946" s="760"/>
    </row>
    <row r="947" spans="2:2" x14ac:dyDescent="0.25">
      <c r="B947" s="760"/>
    </row>
    <row r="948" spans="2:2" x14ac:dyDescent="0.25">
      <c r="B948" s="760"/>
    </row>
    <row r="949" spans="2:2" x14ac:dyDescent="0.25">
      <c r="B949" s="760"/>
    </row>
    <row r="950" spans="2:2" x14ac:dyDescent="0.25">
      <c r="B950" s="760"/>
    </row>
    <row r="951" spans="2:2" x14ac:dyDescent="0.25">
      <c r="B951" s="760"/>
    </row>
    <row r="952" spans="2:2" x14ac:dyDescent="0.25">
      <c r="B952" s="760"/>
    </row>
    <row r="953" spans="2:2" x14ac:dyDescent="0.25">
      <c r="B953" s="760"/>
    </row>
    <row r="954" spans="2:2" x14ac:dyDescent="0.25">
      <c r="B954" s="760"/>
    </row>
    <row r="955" spans="2:2" x14ac:dyDescent="0.25">
      <c r="B955" s="760"/>
    </row>
    <row r="956" spans="2:2" x14ac:dyDescent="0.25">
      <c r="B956" s="760"/>
    </row>
    <row r="957" spans="2:2" x14ac:dyDescent="0.25">
      <c r="B957" s="760"/>
    </row>
    <row r="958" spans="2:2" x14ac:dyDescent="0.25">
      <c r="B958" s="760"/>
    </row>
    <row r="959" spans="2:2" x14ac:dyDescent="0.25">
      <c r="B959" s="760"/>
    </row>
    <row r="960" spans="2:2" x14ac:dyDescent="0.25">
      <c r="B960" s="760"/>
    </row>
    <row r="961" spans="2:2" x14ac:dyDescent="0.25">
      <c r="B961" s="760"/>
    </row>
    <row r="962" spans="2:2" x14ac:dyDescent="0.25">
      <c r="B962" s="760"/>
    </row>
    <row r="963" spans="2:2" x14ac:dyDescent="0.25">
      <c r="B963" s="760"/>
    </row>
    <row r="964" spans="2:2" x14ac:dyDescent="0.25">
      <c r="B964" s="760"/>
    </row>
    <row r="965" spans="2:2" x14ac:dyDescent="0.25">
      <c r="B965" s="760"/>
    </row>
    <row r="966" spans="2:2" x14ac:dyDescent="0.25">
      <c r="B966" s="760"/>
    </row>
    <row r="967" spans="2:2" x14ac:dyDescent="0.25">
      <c r="B967" s="760"/>
    </row>
    <row r="968" spans="2:2" x14ac:dyDescent="0.25">
      <c r="B968" s="760"/>
    </row>
    <row r="969" spans="2:2" x14ac:dyDescent="0.25">
      <c r="B969" s="760"/>
    </row>
    <row r="970" spans="2:2" x14ac:dyDescent="0.25">
      <c r="B970" s="760"/>
    </row>
    <row r="971" spans="2:2" x14ac:dyDescent="0.25">
      <c r="B971" s="760"/>
    </row>
    <row r="972" spans="2:2" x14ac:dyDescent="0.25">
      <c r="B972" s="760"/>
    </row>
    <row r="973" spans="2:2" x14ac:dyDescent="0.25">
      <c r="B973" s="760"/>
    </row>
    <row r="974" spans="2:2" x14ac:dyDescent="0.25">
      <c r="B974" s="760"/>
    </row>
    <row r="975" spans="2:2" x14ac:dyDescent="0.25">
      <c r="B975" s="760"/>
    </row>
    <row r="976" spans="2:2" x14ac:dyDescent="0.25">
      <c r="B976" s="760"/>
    </row>
    <row r="977" spans="2:2" x14ac:dyDescent="0.25">
      <c r="B977" s="760"/>
    </row>
    <row r="979" spans="2:2" x14ac:dyDescent="0.25">
      <c r="B979" s="758"/>
    </row>
    <row r="1026" spans="2:5" ht="15.75" x14ac:dyDescent="0.25">
      <c r="B1026" s="852"/>
      <c r="C1026" s="853"/>
      <c r="D1026" s="854"/>
      <c r="E1026" s="855"/>
    </row>
    <row r="1027" spans="2:5" ht="15.75" x14ac:dyDescent="0.25">
      <c r="B1027" s="852"/>
      <c r="C1027" s="853"/>
      <c r="D1027" s="854"/>
      <c r="E1027" s="855"/>
    </row>
    <row r="1028" spans="2:5" ht="15.75" x14ac:dyDescent="0.25">
      <c r="B1028" s="852"/>
      <c r="C1028" s="853"/>
      <c r="D1028" s="854"/>
      <c r="E1028" s="855"/>
    </row>
    <row r="1029" spans="2:5" ht="15.75" x14ac:dyDescent="0.25">
      <c r="B1029" s="852"/>
      <c r="C1029" s="853"/>
      <c r="D1029" s="854"/>
      <c r="E1029" s="855"/>
    </row>
    <row r="1030" spans="2:5" ht="15.75" x14ac:dyDescent="0.25">
      <c r="B1030" s="852"/>
      <c r="C1030" s="853"/>
      <c r="D1030" s="854"/>
      <c r="E1030" s="855"/>
    </row>
    <row r="1031" spans="2:5" ht="15.75" x14ac:dyDescent="0.25">
      <c r="B1031" s="852"/>
      <c r="C1031" s="853"/>
      <c r="D1031" s="854"/>
      <c r="E1031" s="855"/>
    </row>
    <row r="1032" spans="2:5" ht="15.75" x14ac:dyDescent="0.25">
      <c r="B1032" s="852"/>
      <c r="C1032" s="853"/>
      <c r="D1032" s="854"/>
      <c r="E1032" s="855"/>
    </row>
    <row r="1033" spans="2:5" ht="15.75" x14ac:dyDescent="0.25">
      <c r="B1033" s="852"/>
      <c r="C1033" s="853"/>
      <c r="D1033" s="854"/>
      <c r="E1033" s="855"/>
    </row>
    <row r="1034" spans="2:5" ht="15.75" x14ac:dyDescent="0.25">
      <c r="B1034" s="852"/>
      <c r="C1034" s="853"/>
      <c r="D1034" s="854"/>
      <c r="E1034" s="855"/>
    </row>
    <row r="1035" spans="2:5" ht="15.75" x14ac:dyDescent="0.25">
      <c r="B1035" s="856"/>
      <c r="C1035" s="857"/>
      <c r="D1035" s="854"/>
      <c r="E1035" s="855"/>
    </row>
    <row r="1036" spans="2:5" ht="15.75" x14ac:dyDescent="0.25">
      <c r="B1036" s="856"/>
      <c r="C1036" s="857"/>
      <c r="D1036" s="854"/>
      <c r="E1036" s="855"/>
    </row>
    <row r="1037" spans="2:5" ht="15.75" x14ac:dyDescent="0.25">
      <c r="B1037" s="856"/>
      <c r="C1037" s="857"/>
      <c r="D1037" s="854"/>
      <c r="E1037" s="855"/>
    </row>
    <row r="1038" spans="2:5" ht="15.75" x14ac:dyDescent="0.25">
      <c r="B1038" s="856"/>
      <c r="C1038" s="857"/>
      <c r="D1038" s="854"/>
      <c r="E1038" s="855"/>
    </row>
    <row r="1039" spans="2:5" ht="15.75" x14ac:dyDescent="0.25">
      <c r="B1039" s="852"/>
      <c r="C1039" s="853"/>
      <c r="D1039" s="854"/>
      <c r="E1039" s="855"/>
    </row>
    <row r="1040" spans="2:5" ht="15.75" x14ac:dyDescent="0.25">
      <c r="B1040" s="852"/>
      <c r="C1040" s="853"/>
      <c r="D1040" s="854"/>
      <c r="E1040" s="855"/>
    </row>
    <row r="1041" spans="2:5" ht="15.75" x14ac:dyDescent="0.25">
      <c r="B1041" s="852"/>
      <c r="C1041" s="853"/>
      <c r="D1041" s="854"/>
      <c r="E1041" s="855"/>
    </row>
    <row r="1042" spans="2:5" ht="15.75" x14ac:dyDescent="0.25">
      <c r="B1042" s="852"/>
      <c r="C1042" s="853"/>
      <c r="D1042" s="854"/>
      <c r="E1042" s="855"/>
    </row>
    <row r="1043" spans="2:5" ht="15.75" x14ac:dyDescent="0.25">
      <c r="B1043" s="852"/>
      <c r="C1043" s="857"/>
      <c r="D1043" s="854"/>
      <c r="E1043" s="855"/>
    </row>
    <row r="1044" spans="2:5" ht="15.75" x14ac:dyDescent="0.25">
      <c r="B1044" s="852"/>
      <c r="C1044" s="853"/>
      <c r="D1044" s="854"/>
      <c r="E1044" s="855"/>
    </row>
    <row r="1045" spans="2:5" ht="15.75" x14ac:dyDescent="0.25">
      <c r="B1045" s="852"/>
      <c r="C1045" s="853"/>
      <c r="D1045" s="854"/>
      <c r="E1045" s="855"/>
    </row>
    <row r="1046" spans="2:5" ht="15.75" x14ac:dyDescent="0.25">
      <c r="B1046" s="852"/>
      <c r="C1046" s="853"/>
      <c r="D1046" s="854"/>
      <c r="E1046" s="855"/>
    </row>
    <row r="1047" spans="2:5" ht="15.75" x14ac:dyDescent="0.25">
      <c r="B1047" s="852"/>
      <c r="C1047" s="853"/>
      <c r="D1047" s="854"/>
      <c r="E1047" s="855"/>
    </row>
    <row r="1048" spans="2:5" ht="15.75" x14ac:dyDescent="0.25">
      <c r="B1048" s="856"/>
      <c r="C1048" s="857"/>
      <c r="D1048" s="854"/>
      <c r="E1048" s="855"/>
    </row>
    <row r="1049" spans="2:5" ht="15.75" x14ac:dyDescent="0.25">
      <c r="B1049" s="852"/>
      <c r="C1049" s="853"/>
      <c r="D1049" s="854"/>
      <c r="E1049" s="855"/>
    </row>
    <row r="1050" spans="2:5" ht="15.75" x14ac:dyDescent="0.25">
      <c r="B1050" s="852"/>
      <c r="C1050" s="853"/>
      <c r="D1050" s="854"/>
      <c r="E1050" s="855"/>
    </row>
    <row r="1051" spans="2:5" ht="15.75" x14ac:dyDescent="0.25">
      <c r="B1051" s="852"/>
      <c r="C1051" s="853"/>
      <c r="D1051" s="854"/>
      <c r="E1051" s="855"/>
    </row>
    <row r="1052" spans="2:5" ht="15.75" x14ac:dyDescent="0.25">
      <c r="B1052" s="852"/>
      <c r="C1052" s="853"/>
      <c r="D1052" s="854"/>
      <c r="E1052" s="855"/>
    </row>
    <row r="1053" spans="2:5" ht="15.75" x14ac:dyDescent="0.25">
      <c r="B1053" s="852"/>
      <c r="C1053" s="853"/>
      <c r="D1053" s="854"/>
      <c r="E1053" s="855"/>
    </row>
    <row r="1054" spans="2:5" ht="15.75" x14ac:dyDescent="0.25">
      <c r="B1054" s="852"/>
      <c r="C1054" s="853"/>
      <c r="D1054" s="854"/>
      <c r="E1054" s="855"/>
    </row>
    <row r="1055" spans="2:5" ht="15.75" x14ac:dyDescent="0.25">
      <c r="B1055" s="852"/>
      <c r="C1055" s="853"/>
      <c r="D1055" s="854"/>
      <c r="E1055" s="855"/>
    </row>
    <row r="1056" spans="2:5" ht="15.75" x14ac:dyDescent="0.25">
      <c r="B1056" s="852"/>
      <c r="C1056" s="853"/>
      <c r="D1056" s="854"/>
      <c r="E1056" s="855"/>
    </row>
    <row r="1057" spans="2:5" ht="15.75" x14ac:dyDescent="0.25">
      <c r="B1057" s="852"/>
      <c r="C1057" s="853"/>
      <c r="D1057" s="854"/>
      <c r="E1057" s="855"/>
    </row>
    <row r="1058" spans="2:5" ht="15.75" x14ac:dyDescent="0.25">
      <c r="B1058" s="852"/>
      <c r="C1058" s="853"/>
      <c r="D1058" s="854"/>
      <c r="E1058" s="855"/>
    </row>
    <row r="1059" spans="2:5" ht="15.75" x14ac:dyDescent="0.25">
      <c r="B1059" s="856"/>
      <c r="C1059" s="857"/>
      <c r="D1059" s="854"/>
      <c r="E1059" s="855"/>
    </row>
    <row r="1060" spans="2:5" ht="15.75" x14ac:dyDescent="0.25">
      <c r="B1060" s="852"/>
      <c r="C1060" s="853"/>
      <c r="D1060" s="854"/>
      <c r="E1060" s="855"/>
    </row>
    <row r="1061" spans="2:5" ht="15.75" x14ac:dyDescent="0.25">
      <c r="B1061" s="852"/>
      <c r="C1061" s="853"/>
      <c r="D1061" s="854"/>
      <c r="E1061" s="855"/>
    </row>
    <row r="1062" spans="2:5" ht="15.75" x14ac:dyDescent="0.25">
      <c r="B1062" s="852"/>
      <c r="C1062" s="853"/>
      <c r="D1062" s="854"/>
      <c r="E1062" s="855"/>
    </row>
    <row r="1063" spans="2:5" ht="15.75" x14ac:dyDescent="0.25">
      <c r="B1063" s="852"/>
      <c r="C1063" s="853"/>
      <c r="D1063" s="854"/>
      <c r="E1063" s="855"/>
    </row>
    <row r="1064" spans="2:5" ht="15.75" x14ac:dyDescent="0.25">
      <c r="B1064" s="852"/>
      <c r="C1064" s="853"/>
      <c r="D1064" s="854"/>
      <c r="E1064" s="855"/>
    </row>
    <row r="1065" spans="2:5" ht="15.75" x14ac:dyDescent="0.25">
      <c r="B1065" s="856"/>
      <c r="C1065" s="857"/>
      <c r="D1065" s="854"/>
      <c r="E1065" s="855"/>
    </row>
    <row r="1066" spans="2:5" ht="15.75" x14ac:dyDescent="0.25">
      <c r="B1066" s="856"/>
      <c r="C1066" s="857"/>
      <c r="D1066" s="854"/>
      <c r="E1066" s="855"/>
    </row>
    <row r="1068" spans="2:5" x14ac:dyDescent="0.25">
      <c r="B1068" s="858"/>
      <c r="C1068" s="859"/>
      <c r="E1068" s="855"/>
    </row>
    <row r="1069" spans="2:5" x14ac:dyDescent="0.25">
      <c r="B1069" s="858"/>
      <c r="C1069" s="859"/>
      <c r="E1069" s="855"/>
    </row>
    <row r="1070" spans="2:5" x14ac:dyDescent="0.25">
      <c r="B1070" s="858"/>
      <c r="C1070" s="859"/>
      <c r="E1070" s="855"/>
    </row>
    <row r="1071" spans="2:5" x14ac:dyDescent="0.25">
      <c r="B1071" s="858"/>
      <c r="C1071" s="859"/>
      <c r="E1071" s="855"/>
    </row>
    <row r="1072" spans="2:5" x14ac:dyDescent="0.25">
      <c r="B1072" s="858"/>
      <c r="C1072" s="859"/>
      <c r="E1072" s="855"/>
    </row>
    <row r="1073" spans="2:5" x14ac:dyDescent="0.25">
      <c r="B1073" s="858"/>
      <c r="C1073" s="859"/>
      <c r="E1073" s="855"/>
    </row>
    <row r="1074" spans="2:5" x14ac:dyDescent="0.25">
      <c r="B1074" s="858"/>
      <c r="C1074" s="859"/>
      <c r="E1074" s="855"/>
    </row>
    <row r="1075" spans="2:5" x14ac:dyDescent="0.25">
      <c r="B1075" s="858"/>
      <c r="C1075" s="859"/>
      <c r="E1075" s="855"/>
    </row>
    <row r="1076" spans="2:5" x14ac:dyDescent="0.25">
      <c r="B1076" s="858"/>
      <c r="C1076" s="859"/>
      <c r="E1076" s="855"/>
    </row>
    <row r="1077" spans="2:5" x14ac:dyDescent="0.25">
      <c r="B1077" s="858"/>
      <c r="C1077" s="859"/>
      <c r="E1077" s="855"/>
    </row>
    <row r="1078" spans="2:5" x14ac:dyDescent="0.25">
      <c r="B1078" s="858"/>
      <c r="C1078" s="859"/>
      <c r="E1078" s="855"/>
    </row>
    <row r="1079" spans="2:5" x14ac:dyDescent="0.25">
      <c r="B1079" s="858"/>
      <c r="C1079" s="859"/>
      <c r="E1079" s="855"/>
    </row>
    <row r="1080" spans="2:5" x14ac:dyDescent="0.25">
      <c r="B1080" s="858"/>
      <c r="C1080" s="859"/>
      <c r="E1080" s="855"/>
    </row>
    <row r="1081" spans="2:5" x14ac:dyDescent="0.25">
      <c r="B1081" s="858"/>
      <c r="C1081" s="859"/>
      <c r="E1081" s="855"/>
    </row>
    <row r="1082" spans="2:5" x14ac:dyDescent="0.25">
      <c r="B1082" s="858"/>
      <c r="C1082" s="859"/>
      <c r="E1082" s="855"/>
    </row>
    <row r="1083" spans="2:5" x14ac:dyDescent="0.25">
      <c r="B1083" s="858"/>
      <c r="C1083" s="859"/>
      <c r="E1083" s="855"/>
    </row>
    <row r="1084" spans="2:5" x14ac:dyDescent="0.25">
      <c r="B1084" s="858"/>
      <c r="C1084" s="859"/>
      <c r="E1084" s="855"/>
    </row>
    <row r="1085" spans="2:5" x14ac:dyDescent="0.25">
      <c r="B1085" s="858"/>
      <c r="C1085" s="859"/>
      <c r="E1085" s="855"/>
    </row>
    <row r="1086" spans="2:5" x14ac:dyDescent="0.25">
      <c r="B1086" s="858"/>
      <c r="C1086" s="859"/>
      <c r="E1086" s="855"/>
    </row>
    <row r="1087" spans="2:5" x14ac:dyDescent="0.25">
      <c r="B1087" s="858"/>
      <c r="C1087" s="859"/>
      <c r="E1087" s="855"/>
    </row>
    <row r="1088" spans="2:5" x14ac:dyDescent="0.25">
      <c r="B1088" s="858"/>
      <c r="C1088" s="859"/>
      <c r="E1088" s="855"/>
    </row>
    <row r="1089" spans="2:5" x14ac:dyDescent="0.25">
      <c r="B1089" s="858"/>
      <c r="C1089" s="859"/>
      <c r="E1089" s="855"/>
    </row>
    <row r="1090" spans="2:5" x14ac:dyDescent="0.25">
      <c r="B1090" s="858"/>
      <c r="C1090" s="859"/>
      <c r="E1090" s="855"/>
    </row>
    <row r="1091" spans="2:5" x14ac:dyDescent="0.25">
      <c r="B1091" s="858"/>
      <c r="C1091" s="859"/>
      <c r="E1091" s="855"/>
    </row>
    <row r="1092" spans="2:5" x14ac:dyDescent="0.25">
      <c r="B1092" s="858"/>
      <c r="C1092" s="859"/>
      <c r="E1092" s="855"/>
    </row>
    <row r="1093" spans="2:5" x14ac:dyDescent="0.25">
      <c r="B1093" s="858"/>
      <c r="C1093" s="859"/>
      <c r="E1093" s="855"/>
    </row>
    <row r="1094" spans="2:5" x14ac:dyDescent="0.25">
      <c r="B1094" s="858"/>
      <c r="C1094" s="859"/>
      <c r="E1094" s="855"/>
    </row>
    <row r="1095" spans="2:5" x14ac:dyDescent="0.25">
      <c r="B1095" s="858"/>
      <c r="C1095" s="859"/>
      <c r="E1095" s="855"/>
    </row>
    <row r="1096" spans="2:5" x14ac:dyDescent="0.25">
      <c r="B1096" s="858"/>
      <c r="C1096" s="859"/>
      <c r="E1096" s="855"/>
    </row>
    <row r="1097" spans="2:5" x14ac:dyDescent="0.25">
      <c r="B1097" s="858"/>
      <c r="C1097" s="859"/>
      <c r="E1097" s="855"/>
    </row>
    <row r="1098" spans="2:5" x14ac:dyDescent="0.25">
      <c r="B1098" s="858"/>
      <c r="C1098" s="859"/>
      <c r="E1098" s="855"/>
    </row>
    <row r="1099" spans="2:5" x14ac:dyDescent="0.25">
      <c r="B1099" s="858"/>
      <c r="C1099" s="859"/>
      <c r="E1099" s="855"/>
    </row>
    <row r="1100" spans="2:5" x14ac:dyDescent="0.25">
      <c r="B1100" s="858"/>
      <c r="C1100" s="859"/>
      <c r="E1100" s="855"/>
    </row>
    <row r="1101" spans="2:5" x14ac:dyDescent="0.25">
      <c r="B1101" s="858"/>
      <c r="C1101" s="859"/>
      <c r="E1101" s="855"/>
    </row>
    <row r="1102" spans="2:5" x14ac:dyDescent="0.25">
      <c r="B1102" s="858"/>
      <c r="C1102" s="859"/>
      <c r="E1102" s="855"/>
    </row>
    <row r="1103" spans="2:5" x14ac:dyDescent="0.25">
      <c r="B1103" s="858"/>
      <c r="C1103" s="859"/>
      <c r="E1103" s="855"/>
    </row>
    <row r="1104" spans="2:5" x14ac:dyDescent="0.25">
      <c r="B1104" s="858"/>
      <c r="C1104" s="859"/>
      <c r="E1104" s="855"/>
    </row>
    <row r="1105" spans="2:5" x14ac:dyDescent="0.25">
      <c r="B1105" s="858"/>
      <c r="C1105" s="859"/>
      <c r="E1105" s="855"/>
    </row>
    <row r="1106" spans="2:5" x14ac:dyDescent="0.25">
      <c r="B1106" s="858"/>
      <c r="C1106" s="859"/>
      <c r="E1106" s="855"/>
    </row>
    <row r="1107" spans="2:5" x14ac:dyDescent="0.25">
      <c r="B1107" s="858"/>
      <c r="C1107" s="859"/>
      <c r="E1107" s="855"/>
    </row>
    <row r="1108" spans="2:5" x14ac:dyDescent="0.25">
      <c r="B1108" s="858"/>
      <c r="C1108" s="859"/>
      <c r="E1108" s="855"/>
    </row>
    <row r="1109" spans="2:5" x14ac:dyDescent="0.25">
      <c r="B1109" s="858"/>
      <c r="C1109" s="859"/>
      <c r="E1109" s="855"/>
    </row>
    <row r="1110" spans="2:5" x14ac:dyDescent="0.25">
      <c r="B1110" s="858"/>
      <c r="C1110" s="859"/>
      <c r="E1110" s="855"/>
    </row>
    <row r="1111" spans="2:5" x14ac:dyDescent="0.25">
      <c r="B1111" s="858"/>
      <c r="C1111" s="859"/>
      <c r="E1111" s="855"/>
    </row>
    <row r="1112" spans="2:5" x14ac:dyDescent="0.25">
      <c r="B1112" s="858"/>
      <c r="C1112" s="859"/>
      <c r="E1112" s="855"/>
    </row>
    <row r="1113" spans="2:5" x14ac:dyDescent="0.25">
      <c r="B1113" s="858"/>
      <c r="C1113" s="859"/>
      <c r="E1113" s="855"/>
    </row>
    <row r="1114" spans="2:5" x14ac:dyDescent="0.25">
      <c r="B1114" s="858"/>
      <c r="C1114" s="859"/>
      <c r="E1114" s="855"/>
    </row>
    <row r="1115" spans="2:5" x14ac:dyDescent="0.25">
      <c r="B1115" s="858"/>
      <c r="C1115" s="859"/>
      <c r="E1115" s="855"/>
    </row>
    <row r="1116" spans="2:5" x14ac:dyDescent="0.25">
      <c r="B1116" s="858"/>
      <c r="C1116" s="859"/>
      <c r="E1116" s="855"/>
    </row>
    <row r="1117" spans="2:5" x14ac:dyDescent="0.25">
      <c r="B1117" s="858"/>
      <c r="C1117" s="859"/>
      <c r="E1117" s="855"/>
    </row>
    <row r="1118" spans="2:5" x14ac:dyDescent="0.25">
      <c r="B1118" s="858"/>
      <c r="C1118" s="859"/>
      <c r="E1118" s="855"/>
    </row>
    <row r="1119" spans="2:5" x14ac:dyDescent="0.25">
      <c r="B1119" s="858"/>
      <c r="C1119" s="859"/>
      <c r="E1119" s="855"/>
    </row>
    <row r="1120" spans="2:5" x14ac:dyDescent="0.25">
      <c r="B1120" s="858"/>
      <c r="C1120" s="859"/>
      <c r="E1120" s="855"/>
    </row>
    <row r="1121" spans="2:5" x14ac:dyDescent="0.25">
      <c r="B1121" s="858"/>
      <c r="C1121" s="859"/>
      <c r="E1121" s="855"/>
    </row>
    <row r="1122" spans="2:5" x14ac:dyDescent="0.25">
      <c r="B1122" s="858"/>
      <c r="C1122" s="859"/>
      <c r="E1122" s="855"/>
    </row>
    <row r="1123" spans="2:5" x14ac:dyDescent="0.25">
      <c r="B1123" s="858"/>
      <c r="C1123" s="859"/>
      <c r="E1123" s="855"/>
    </row>
    <row r="1124" spans="2:5" x14ac:dyDescent="0.25">
      <c r="B1124" s="858"/>
      <c r="C1124" s="859"/>
      <c r="E1124" s="855"/>
    </row>
    <row r="1125" spans="2:5" x14ac:dyDescent="0.25">
      <c r="B1125" s="858"/>
      <c r="C1125" s="859"/>
      <c r="E1125" s="855"/>
    </row>
    <row r="1126" spans="2:5" x14ac:dyDescent="0.25">
      <c r="B1126" s="858"/>
      <c r="C1126" s="859"/>
      <c r="E1126" s="855"/>
    </row>
    <row r="1127" spans="2:5" x14ac:dyDescent="0.25">
      <c r="B1127" s="858"/>
      <c r="C1127" s="859"/>
      <c r="E1127" s="855"/>
    </row>
    <row r="1128" spans="2:5" x14ac:dyDescent="0.25">
      <c r="B1128" s="858"/>
      <c r="C1128" s="859"/>
      <c r="E1128" s="855"/>
    </row>
    <row r="1129" spans="2:5" x14ac:dyDescent="0.25">
      <c r="B1129" s="858"/>
      <c r="C1129" s="859"/>
      <c r="E1129" s="855"/>
    </row>
    <row r="1130" spans="2:5" x14ac:dyDescent="0.25">
      <c r="B1130" s="858"/>
      <c r="C1130" s="859"/>
      <c r="E1130" s="855"/>
    </row>
    <row r="1131" spans="2:5" x14ac:dyDescent="0.25">
      <c r="B1131" s="858"/>
      <c r="C1131" s="859"/>
      <c r="E1131" s="855"/>
    </row>
    <row r="1132" spans="2:5" x14ac:dyDescent="0.25">
      <c r="B1132" s="858"/>
      <c r="C1132" s="859"/>
      <c r="E1132" s="855"/>
    </row>
    <row r="1133" spans="2:5" x14ac:dyDescent="0.25">
      <c r="B1133" s="858"/>
      <c r="C1133" s="859"/>
      <c r="E1133" s="855"/>
    </row>
    <row r="1134" spans="2:5" x14ac:dyDescent="0.25">
      <c r="B1134" s="858"/>
      <c r="C1134" s="859"/>
      <c r="E1134" s="855"/>
    </row>
    <row r="1135" spans="2:5" x14ac:dyDescent="0.25">
      <c r="B1135" s="858"/>
      <c r="C1135" s="859"/>
      <c r="E1135" s="855"/>
    </row>
    <row r="1136" spans="2:5" x14ac:dyDescent="0.25">
      <c r="B1136" s="858"/>
      <c r="C1136" s="859"/>
      <c r="E1136" s="855"/>
    </row>
    <row r="1137" spans="2:5" x14ac:dyDescent="0.25">
      <c r="B1137" s="858"/>
      <c r="C1137" s="859"/>
      <c r="E1137" s="855"/>
    </row>
    <row r="1138" spans="2:5" x14ac:dyDescent="0.25">
      <c r="B1138" s="858"/>
      <c r="C1138" s="859"/>
      <c r="E1138" s="855"/>
    </row>
    <row r="1139" spans="2:5" x14ac:dyDescent="0.25">
      <c r="B1139" s="858"/>
      <c r="C1139" s="859"/>
      <c r="E1139" s="855"/>
    </row>
    <row r="1140" spans="2:5" x14ac:dyDescent="0.25">
      <c r="B1140" s="858"/>
      <c r="C1140" s="859"/>
      <c r="E1140" s="855"/>
    </row>
    <row r="1141" spans="2:5" x14ac:dyDescent="0.25">
      <c r="B1141" s="858"/>
      <c r="C1141" s="859"/>
      <c r="E1141" s="855"/>
    </row>
    <row r="1142" spans="2:5" x14ac:dyDescent="0.25">
      <c r="B1142" s="858"/>
      <c r="C1142" s="859"/>
      <c r="E1142" s="855"/>
    </row>
    <row r="1143" spans="2:5" x14ac:dyDescent="0.25">
      <c r="B1143" s="858"/>
      <c r="C1143" s="859"/>
      <c r="E1143" s="855"/>
    </row>
    <row r="1144" spans="2:5" x14ac:dyDescent="0.25">
      <c r="B1144" s="858"/>
      <c r="C1144" s="859"/>
      <c r="E1144" s="855"/>
    </row>
    <row r="1145" spans="2:5" x14ac:dyDescent="0.25">
      <c r="B1145" s="858"/>
      <c r="C1145" s="859"/>
      <c r="E1145" s="855"/>
    </row>
    <row r="1146" spans="2:5" x14ac:dyDescent="0.25">
      <c r="B1146" s="858"/>
      <c r="C1146" s="859"/>
      <c r="E1146" s="855"/>
    </row>
    <row r="1148" spans="2:5" x14ac:dyDescent="0.25">
      <c r="B1148" s="766"/>
      <c r="C1148" s="860"/>
      <c r="D1148" s="861"/>
      <c r="E1148" s="855"/>
    </row>
    <row r="1149" spans="2:5" x14ac:dyDescent="0.25">
      <c r="B1149" s="766"/>
      <c r="C1149" s="860"/>
      <c r="D1149" s="861"/>
      <c r="E1149" s="855"/>
    </row>
    <row r="1150" spans="2:5" x14ac:dyDescent="0.25">
      <c r="B1150" s="766"/>
      <c r="C1150" s="860"/>
      <c r="D1150" s="861"/>
      <c r="E1150" s="855"/>
    </row>
    <row r="1151" spans="2:5" x14ac:dyDescent="0.25">
      <c r="B1151" s="766"/>
      <c r="C1151" s="860"/>
      <c r="D1151" s="861"/>
      <c r="E1151" s="855"/>
    </row>
    <row r="1152" spans="2:5" x14ac:dyDescent="0.25">
      <c r="B1152" s="766"/>
      <c r="C1152" s="860"/>
      <c r="D1152" s="861"/>
      <c r="E1152" s="855"/>
    </row>
    <row r="1153" spans="2:5" x14ac:dyDescent="0.25">
      <c r="B1153" s="766"/>
      <c r="C1153" s="860"/>
      <c r="D1153" s="861"/>
      <c r="E1153" s="855"/>
    </row>
    <row r="1154" spans="2:5" x14ac:dyDescent="0.25">
      <c r="B1154" s="766"/>
      <c r="C1154" s="860"/>
      <c r="D1154" s="861"/>
      <c r="E1154" s="855"/>
    </row>
    <row r="1155" spans="2:5" x14ac:dyDescent="0.25">
      <c r="B1155" s="766"/>
      <c r="C1155" s="860"/>
      <c r="D1155" s="861"/>
      <c r="E1155" s="855"/>
    </row>
    <row r="1156" spans="2:5" x14ac:dyDescent="0.25">
      <c r="B1156" s="766"/>
      <c r="C1156" s="860"/>
      <c r="D1156" s="861"/>
      <c r="E1156" s="855"/>
    </row>
    <row r="1157" spans="2:5" x14ac:dyDescent="0.25">
      <c r="B1157" s="766"/>
      <c r="C1157" s="860"/>
      <c r="D1157" s="861"/>
      <c r="E1157" s="855"/>
    </row>
    <row r="1158" spans="2:5" x14ac:dyDescent="0.25">
      <c r="B1158" s="766"/>
      <c r="C1158" s="860"/>
      <c r="D1158" s="861"/>
      <c r="E1158" s="855"/>
    </row>
    <row r="1159" spans="2:5" x14ac:dyDescent="0.25">
      <c r="B1159" s="766"/>
      <c r="C1159" s="860"/>
      <c r="D1159" s="861"/>
      <c r="E1159" s="855"/>
    </row>
    <row r="1161" spans="2:5" x14ac:dyDescent="0.25">
      <c r="B1161" s="862"/>
      <c r="C1161" s="863"/>
      <c r="D1161" s="864"/>
      <c r="E1161" s="855"/>
    </row>
    <row r="1162" spans="2:5" x14ac:dyDescent="0.25">
      <c r="B1162" s="862"/>
      <c r="C1162" s="863"/>
      <c r="D1162" s="864"/>
      <c r="E1162" s="855"/>
    </row>
    <row r="1163" spans="2:5" x14ac:dyDescent="0.25">
      <c r="B1163" s="862"/>
      <c r="C1163" s="863"/>
      <c r="D1163" s="864"/>
      <c r="E1163" s="855"/>
    </row>
    <row r="1164" spans="2:5" x14ac:dyDescent="0.25">
      <c r="B1164" s="862"/>
      <c r="C1164" s="863"/>
      <c r="D1164" s="864"/>
      <c r="E1164" s="855"/>
    </row>
    <row r="1165" spans="2:5" x14ac:dyDescent="0.25">
      <c r="B1165" s="862"/>
      <c r="C1165" s="863"/>
      <c r="D1165" s="864"/>
      <c r="E1165" s="855"/>
    </row>
    <row r="1166" spans="2:5" x14ac:dyDescent="0.25">
      <c r="B1166" s="862"/>
      <c r="C1166" s="863"/>
      <c r="D1166" s="864"/>
      <c r="E1166" s="855"/>
    </row>
    <row r="1167" spans="2:5" x14ac:dyDescent="0.25">
      <c r="B1167" s="862"/>
      <c r="C1167" s="863"/>
      <c r="D1167" s="864"/>
      <c r="E1167" s="855"/>
    </row>
    <row r="1168" spans="2:5" x14ac:dyDescent="0.25">
      <c r="B1168" s="862"/>
      <c r="C1168" s="863"/>
      <c r="D1168" s="864"/>
      <c r="E1168" s="855"/>
    </row>
    <row r="1169" spans="2:5" x14ac:dyDescent="0.25">
      <c r="B1169" s="862"/>
      <c r="C1169" s="863"/>
      <c r="D1169" s="864"/>
      <c r="E1169" s="855"/>
    </row>
    <row r="1170" spans="2:5" x14ac:dyDescent="0.25">
      <c r="B1170" s="862"/>
      <c r="C1170" s="863"/>
      <c r="D1170" s="864"/>
      <c r="E1170" s="855"/>
    </row>
    <row r="1171" spans="2:5" x14ac:dyDescent="0.25">
      <c r="B1171" s="862"/>
      <c r="C1171" s="863"/>
      <c r="D1171" s="864"/>
      <c r="E1171" s="855"/>
    </row>
    <row r="1172" spans="2:5" x14ac:dyDescent="0.25">
      <c r="B1172" s="862"/>
      <c r="C1172" s="863"/>
      <c r="D1172" s="864"/>
      <c r="E1172" s="855"/>
    </row>
    <row r="1173" spans="2:5" x14ac:dyDescent="0.25">
      <c r="B1173" s="862"/>
      <c r="C1173" s="863"/>
      <c r="D1173" s="864"/>
      <c r="E1173" s="855"/>
    </row>
    <row r="1174" spans="2:5" x14ac:dyDescent="0.25">
      <c r="B1174" s="862"/>
      <c r="C1174" s="863"/>
      <c r="D1174" s="864"/>
      <c r="E1174" s="855"/>
    </row>
    <row r="1175" spans="2:5" x14ac:dyDescent="0.25">
      <c r="B1175" s="862"/>
      <c r="C1175" s="863"/>
      <c r="D1175" s="864"/>
      <c r="E1175" s="855"/>
    </row>
    <row r="1176" spans="2:5" x14ac:dyDescent="0.25">
      <c r="B1176" s="862"/>
      <c r="C1176" s="863"/>
      <c r="D1176" s="864"/>
      <c r="E1176" s="855"/>
    </row>
    <row r="1177" spans="2:5" x14ac:dyDescent="0.25">
      <c r="B1177" s="862"/>
      <c r="C1177" s="863"/>
      <c r="D1177" s="864"/>
      <c r="E1177" s="855"/>
    </row>
    <row r="1178" spans="2:5" x14ac:dyDescent="0.25">
      <c r="B1178" s="862"/>
      <c r="C1178" s="863"/>
      <c r="D1178" s="864"/>
      <c r="E1178" s="855"/>
    </row>
    <row r="1179" spans="2:5" x14ac:dyDescent="0.25">
      <c r="B1179" s="862"/>
      <c r="C1179" s="863"/>
      <c r="D1179" s="864"/>
      <c r="E1179" s="855"/>
    </row>
    <row r="1180" spans="2:5" x14ac:dyDescent="0.25">
      <c r="B1180" s="862"/>
      <c r="C1180" s="863"/>
      <c r="D1180" s="864"/>
      <c r="E1180" s="855"/>
    </row>
    <row r="1181" spans="2:5" x14ac:dyDescent="0.25">
      <c r="B1181" s="862"/>
      <c r="C1181" s="863"/>
      <c r="D1181" s="864"/>
      <c r="E1181" s="855"/>
    </row>
    <row r="1182" spans="2:5" x14ac:dyDescent="0.25">
      <c r="B1182" s="862"/>
      <c r="C1182" s="863"/>
      <c r="D1182" s="864"/>
      <c r="E1182" s="855"/>
    </row>
    <row r="1183" spans="2:5" x14ac:dyDescent="0.25">
      <c r="B1183" s="862"/>
      <c r="C1183" s="863"/>
      <c r="D1183" s="864"/>
      <c r="E1183" s="855"/>
    </row>
    <row r="1184" spans="2:5" x14ac:dyDescent="0.25">
      <c r="B1184" s="862"/>
      <c r="C1184" s="863"/>
      <c r="D1184" s="864"/>
      <c r="E1184" s="855"/>
    </row>
    <row r="1185" spans="2:5" x14ac:dyDescent="0.25">
      <c r="B1185" s="862"/>
      <c r="C1185" s="863"/>
      <c r="D1185" s="864"/>
      <c r="E1185" s="855"/>
    </row>
    <row r="1186" spans="2:5" x14ac:dyDescent="0.25">
      <c r="B1186" s="862"/>
      <c r="C1186" s="863"/>
      <c r="D1186" s="864"/>
      <c r="E1186" s="855"/>
    </row>
    <row r="1187" spans="2:5" x14ac:dyDescent="0.25">
      <c r="B1187" s="862"/>
      <c r="C1187" s="863"/>
      <c r="D1187" s="864"/>
      <c r="E1187" s="855"/>
    </row>
    <row r="1188" spans="2:5" x14ac:dyDescent="0.25">
      <c r="B1188" s="862"/>
      <c r="C1188" s="863"/>
      <c r="D1188" s="864"/>
      <c r="E1188" s="855"/>
    </row>
    <row r="1189" spans="2:5" x14ac:dyDescent="0.25">
      <c r="B1189" s="862"/>
      <c r="C1189" s="863"/>
      <c r="D1189" s="864"/>
      <c r="E1189" s="855"/>
    </row>
    <row r="1190" spans="2:5" x14ac:dyDescent="0.25">
      <c r="B1190" s="862"/>
      <c r="C1190" s="863"/>
      <c r="D1190" s="864"/>
      <c r="E1190" s="855"/>
    </row>
    <row r="1191" spans="2:5" x14ac:dyDescent="0.25">
      <c r="B1191" s="862"/>
      <c r="C1191" s="863"/>
      <c r="D1191" s="864"/>
      <c r="E1191" s="855"/>
    </row>
    <row r="1192" spans="2:5" x14ac:dyDescent="0.25">
      <c r="B1192" s="862"/>
      <c r="C1192" s="863"/>
      <c r="D1192" s="864"/>
      <c r="E1192" s="855"/>
    </row>
    <row r="1193" spans="2:5" x14ac:dyDescent="0.25">
      <c r="B1193" s="862"/>
      <c r="C1193" s="863"/>
      <c r="D1193" s="864"/>
      <c r="E1193" s="855"/>
    </row>
    <row r="1194" spans="2:5" x14ac:dyDescent="0.25">
      <c r="B1194" s="862"/>
      <c r="C1194" s="863"/>
      <c r="D1194" s="864"/>
      <c r="E1194" s="855"/>
    </row>
    <row r="1195" spans="2:5" x14ac:dyDescent="0.25">
      <c r="B1195" s="862"/>
      <c r="C1195" s="863"/>
      <c r="D1195" s="864"/>
      <c r="E1195" s="855"/>
    </row>
    <row r="1196" spans="2:5" x14ac:dyDescent="0.25">
      <c r="B1196" s="862"/>
      <c r="C1196" s="863"/>
      <c r="D1196" s="864"/>
      <c r="E1196" s="855"/>
    </row>
    <row r="1197" spans="2:5" x14ac:dyDescent="0.25">
      <c r="B1197" s="862"/>
      <c r="C1197" s="863"/>
      <c r="D1197" s="864"/>
      <c r="E1197" s="855"/>
    </row>
    <row r="1198" spans="2:5" x14ac:dyDescent="0.25">
      <c r="B1198" s="862"/>
      <c r="C1198" s="863"/>
      <c r="D1198" s="864"/>
      <c r="E1198" s="855"/>
    </row>
    <row r="1199" spans="2:5" x14ac:dyDescent="0.25">
      <c r="B1199" s="862"/>
      <c r="C1199" s="863"/>
      <c r="D1199" s="864"/>
      <c r="E1199" s="855"/>
    </row>
    <row r="1200" spans="2:5" x14ac:dyDescent="0.25">
      <c r="B1200" s="862"/>
      <c r="C1200" s="863"/>
      <c r="D1200" s="864"/>
      <c r="E1200" s="855"/>
    </row>
    <row r="1201" spans="2:5" x14ac:dyDescent="0.25">
      <c r="B1201" s="862"/>
      <c r="C1201" s="863"/>
      <c r="D1201" s="864"/>
      <c r="E1201" s="855"/>
    </row>
    <row r="1202" spans="2:5" x14ac:dyDescent="0.25">
      <c r="B1202" s="862"/>
      <c r="C1202" s="863"/>
      <c r="D1202" s="864"/>
      <c r="E1202" s="855"/>
    </row>
    <row r="1203" spans="2:5" x14ac:dyDescent="0.25">
      <c r="B1203" s="862"/>
      <c r="C1203" s="863"/>
      <c r="D1203" s="864"/>
      <c r="E1203" s="855"/>
    </row>
    <row r="1204" spans="2:5" x14ac:dyDescent="0.25">
      <c r="B1204" s="862"/>
      <c r="C1204" s="863"/>
      <c r="D1204" s="864"/>
      <c r="E1204" s="855"/>
    </row>
    <row r="1205" spans="2:5" x14ac:dyDescent="0.25">
      <c r="B1205" s="862"/>
      <c r="C1205" s="863"/>
      <c r="D1205" s="864"/>
      <c r="E1205" s="855"/>
    </row>
    <row r="1206" spans="2:5" x14ac:dyDescent="0.25">
      <c r="B1206" s="862"/>
      <c r="C1206" s="863"/>
      <c r="D1206" s="864"/>
      <c r="E1206" s="855"/>
    </row>
    <row r="1207" spans="2:5" x14ac:dyDescent="0.25">
      <c r="B1207" s="862"/>
      <c r="C1207" s="863"/>
      <c r="D1207" s="864"/>
      <c r="E1207" s="855"/>
    </row>
    <row r="1208" spans="2:5" x14ac:dyDescent="0.25">
      <c r="B1208" s="862"/>
      <c r="C1208" s="863"/>
      <c r="D1208" s="864"/>
      <c r="E1208" s="855"/>
    </row>
    <row r="1209" spans="2:5" x14ac:dyDescent="0.25">
      <c r="B1209" s="862"/>
      <c r="C1209" s="863"/>
      <c r="D1209" s="864"/>
      <c r="E1209" s="855"/>
    </row>
    <row r="1210" spans="2:5" x14ac:dyDescent="0.25">
      <c r="B1210" s="862"/>
      <c r="C1210" s="863"/>
      <c r="D1210" s="864"/>
      <c r="E1210" s="855"/>
    </row>
    <row r="1211" spans="2:5" x14ac:dyDescent="0.25">
      <c r="B1211" s="862"/>
      <c r="C1211" s="863"/>
      <c r="D1211" s="864"/>
      <c r="E1211" s="855"/>
    </row>
    <row r="1212" spans="2:5" x14ac:dyDescent="0.25">
      <c r="B1212" s="862"/>
      <c r="C1212" s="863"/>
      <c r="D1212" s="864"/>
      <c r="E1212" s="855"/>
    </row>
    <row r="1213" spans="2:5" x14ac:dyDescent="0.25">
      <c r="B1213" s="862"/>
      <c r="C1213" s="863"/>
      <c r="D1213" s="864"/>
      <c r="E1213" s="855"/>
    </row>
    <row r="1214" spans="2:5" x14ac:dyDescent="0.25">
      <c r="B1214" s="862"/>
      <c r="C1214" s="863"/>
      <c r="D1214" s="864"/>
      <c r="E1214" s="855"/>
    </row>
    <row r="1215" spans="2:5" x14ac:dyDescent="0.25">
      <c r="B1215" s="862"/>
      <c r="C1215" s="863"/>
      <c r="D1215" s="864"/>
      <c r="E1215" s="855"/>
    </row>
    <row r="1216" spans="2:5" x14ac:dyDescent="0.25">
      <c r="B1216" s="862"/>
      <c r="C1216" s="863"/>
      <c r="D1216" s="864"/>
      <c r="E1216" s="855"/>
    </row>
    <row r="1217" spans="2:5" x14ac:dyDescent="0.25">
      <c r="B1217" s="862"/>
      <c r="C1217" s="863"/>
      <c r="D1217" s="864"/>
      <c r="E1217" s="855"/>
    </row>
    <row r="1218" spans="2:5" x14ac:dyDescent="0.25">
      <c r="B1218" s="862"/>
      <c r="C1218" s="863"/>
      <c r="D1218" s="864"/>
      <c r="E1218" s="855"/>
    </row>
    <row r="1219" spans="2:5" x14ac:dyDescent="0.25">
      <c r="B1219" s="862"/>
      <c r="C1219" s="863"/>
      <c r="D1219" s="864"/>
      <c r="E1219" s="855"/>
    </row>
    <row r="1220" spans="2:5" x14ac:dyDescent="0.25">
      <c r="B1220" s="862"/>
      <c r="C1220" s="863"/>
      <c r="D1220" s="864"/>
      <c r="E1220" s="855"/>
    </row>
    <row r="1221" spans="2:5" x14ac:dyDescent="0.25">
      <c r="B1221" s="862"/>
      <c r="C1221" s="863"/>
      <c r="D1221" s="864"/>
      <c r="E1221" s="855"/>
    </row>
    <row r="1222" spans="2:5" x14ac:dyDescent="0.25">
      <c r="B1222" s="862"/>
      <c r="C1222" s="863"/>
      <c r="D1222" s="864"/>
      <c r="E1222" s="855"/>
    </row>
    <row r="1223" spans="2:5" x14ac:dyDescent="0.25">
      <c r="B1223" s="862"/>
      <c r="C1223" s="863"/>
      <c r="D1223" s="864"/>
      <c r="E1223" s="855"/>
    </row>
    <row r="1224" spans="2:5" x14ac:dyDescent="0.25">
      <c r="B1224" s="862"/>
      <c r="C1224" s="863"/>
      <c r="D1224" s="864"/>
      <c r="E1224" s="855"/>
    </row>
    <row r="1225" spans="2:5" x14ac:dyDescent="0.25">
      <c r="B1225" s="862"/>
      <c r="C1225" s="863"/>
      <c r="D1225" s="864"/>
      <c r="E1225" s="855"/>
    </row>
    <row r="1226" spans="2:5" x14ac:dyDescent="0.25">
      <c r="B1226" s="862"/>
      <c r="C1226" s="863"/>
      <c r="D1226" s="864"/>
      <c r="E1226" s="855"/>
    </row>
    <row r="1227" spans="2:5" x14ac:dyDescent="0.25">
      <c r="B1227" s="862"/>
      <c r="C1227" s="863"/>
      <c r="D1227" s="864"/>
      <c r="E1227" s="855"/>
    </row>
    <row r="1228" spans="2:5" x14ac:dyDescent="0.25">
      <c r="B1228" s="862"/>
      <c r="C1228" s="863"/>
      <c r="D1228" s="864"/>
      <c r="E1228" s="855"/>
    </row>
    <row r="1229" spans="2:5" x14ac:dyDescent="0.25">
      <c r="B1229" s="862"/>
      <c r="C1229" s="863"/>
      <c r="D1229" s="864"/>
      <c r="E1229" s="855"/>
    </row>
    <row r="1230" spans="2:5" x14ac:dyDescent="0.25">
      <c r="B1230" s="862"/>
      <c r="C1230" s="863"/>
      <c r="D1230" s="864"/>
      <c r="E1230" s="855"/>
    </row>
    <row r="1231" spans="2:5" x14ac:dyDescent="0.25">
      <c r="B1231" s="862"/>
      <c r="C1231" s="863"/>
      <c r="D1231" s="864"/>
      <c r="E1231" s="855"/>
    </row>
    <row r="1232" spans="2:5" x14ac:dyDescent="0.25">
      <c r="B1232" s="862"/>
      <c r="C1232" s="863"/>
      <c r="D1232" s="864"/>
      <c r="E1232" s="855"/>
    </row>
    <row r="1233" spans="2:5" x14ac:dyDescent="0.25">
      <c r="B1233" s="862"/>
      <c r="C1233" s="863"/>
      <c r="D1233" s="864"/>
      <c r="E1233" s="855"/>
    </row>
    <row r="1234" spans="2:5" x14ac:dyDescent="0.25">
      <c r="B1234" s="862"/>
      <c r="C1234" s="863"/>
      <c r="D1234" s="864"/>
      <c r="E1234" s="855"/>
    </row>
    <row r="1235" spans="2:5" x14ac:dyDescent="0.25">
      <c r="B1235" s="862"/>
      <c r="C1235" s="863"/>
      <c r="D1235" s="864"/>
      <c r="E1235" s="855"/>
    </row>
    <row r="1236" spans="2:5" x14ac:dyDescent="0.25">
      <c r="B1236" s="862"/>
      <c r="C1236" s="863"/>
      <c r="D1236" s="864"/>
      <c r="E1236" s="855"/>
    </row>
    <row r="1237" spans="2:5" x14ac:dyDescent="0.25">
      <c r="B1237" s="862"/>
      <c r="C1237" s="863"/>
      <c r="D1237" s="864"/>
      <c r="E1237" s="855"/>
    </row>
    <row r="1238" spans="2:5" x14ac:dyDescent="0.25">
      <c r="B1238" s="862"/>
      <c r="C1238" s="863"/>
      <c r="D1238" s="864"/>
      <c r="E1238" s="855"/>
    </row>
    <row r="1239" spans="2:5" x14ac:dyDescent="0.25">
      <c r="B1239" s="862"/>
      <c r="C1239" s="863"/>
      <c r="D1239" s="864"/>
      <c r="E1239" s="855"/>
    </row>
    <row r="1240" spans="2:5" x14ac:dyDescent="0.25">
      <c r="B1240" s="862"/>
      <c r="C1240" s="863"/>
      <c r="D1240" s="864"/>
      <c r="E1240" s="855"/>
    </row>
    <row r="1241" spans="2:5" x14ac:dyDescent="0.25">
      <c r="B1241" s="862"/>
      <c r="C1241" s="863"/>
      <c r="D1241" s="864"/>
      <c r="E1241" s="855"/>
    </row>
    <row r="1242" spans="2:5" x14ac:dyDescent="0.25">
      <c r="B1242" s="862"/>
      <c r="C1242" s="863"/>
      <c r="D1242" s="864"/>
      <c r="E1242" s="855"/>
    </row>
    <row r="1243" spans="2:5" x14ac:dyDescent="0.25">
      <c r="B1243" s="862"/>
      <c r="C1243" s="863"/>
      <c r="D1243" s="864"/>
      <c r="E1243" s="855"/>
    </row>
    <row r="1244" spans="2:5" x14ac:dyDescent="0.25">
      <c r="B1244" s="862"/>
      <c r="C1244" s="863"/>
      <c r="D1244" s="864"/>
      <c r="E1244" s="855"/>
    </row>
    <row r="1245" spans="2:5" x14ac:dyDescent="0.25">
      <c r="B1245" s="862"/>
      <c r="C1245" s="863"/>
      <c r="D1245" s="864"/>
      <c r="E1245" s="855"/>
    </row>
    <row r="1246" spans="2:5" x14ac:dyDescent="0.25">
      <c r="B1246" s="862"/>
      <c r="C1246" s="863"/>
      <c r="D1246" s="864"/>
      <c r="E1246" s="855"/>
    </row>
    <row r="1247" spans="2:5" x14ac:dyDescent="0.25">
      <c r="B1247" s="862"/>
      <c r="C1247" s="863"/>
      <c r="D1247" s="864"/>
      <c r="E1247" s="855"/>
    </row>
    <row r="1248" spans="2:5" x14ac:dyDescent="0.25">
      <c r="B1248" s="862"/>
      <c r="C1248" s="863"/>
      <c r="D1248" s="864"/>
      <c r="E1248" s="855"/>
    </row>
    <row r="1249" spans="2:5" x14ac:dyDescent="0.25">
      <c r="B1249" s="862"/>
      <c r="C1249" s="863"/>
      <c r="D1249" s="864"/>
      <c r="E1249" s="855"/>
    </row>
    <row r="1250" spans="2:5" x14ac:dyDescent="0.25">
      <c r="B1250" s="862"/>
      <c r="C1250" s="863"/>
      <c r="D1250" s="864"/>
      <c r="E1250" s="855"/>
    </row>
    <row r="1251" spans="2:5" x14ac:dyDescent="0.25">
      <c r="B1251" s="862"/>
      <c r="C1251" s="863"/>
      <c r="D1251" s="864"/>
      <c r="E1251" s="855"/>
    </row>
    <row r="1252" spans="2:5" x14ac:dyDescent="0.25">
      <c r="B1252" s="862"/>
      <c r="C1252" s="863"/>
      <c r="D1252" s="864"/>
      <c r="E1252" s="855"/>
    </row>
    <row r="1253" spans="2:5" x14ac:dyDescent="0.25">
      <c r="B1253" s="862"/>
      <c r="C1253" s="863"/>
      <c r="D1253" s="864"/>
      <c r="E1253" s="855"/>
    </row>
    <row r="1254" spans="2:5" x14ac:dyDescent="0.25">
      <c r="B1254" s="862"/>
      <c r="C1254" s="863"/>
      <c r="D1254" s="864"/>
      <c r="E1254" s="855"/>
    </row>
    <row r="1255" spans="2:5" x14ac:dyDescent="0.25">
      <c r="B1255" s="862"/>
      <c r="C1255" s="863"/>
      <c r="D1255" s="864"/>
      <c r="E1255" s="855"/>
    </row>
    <row r="1256" spans="2:5" x14ac:dyDescent="0.25">
      <c r="B1256" s="862"/>
      <c r="C1256" s="863"/>
      <c r="D1256" s="864"/>
      <c r="E1256" s="855"/>
    </row>
    <row r="1257" spans="2:5" x14ac:dyDescent="0.25">
      <c r="B1257" s="862"/>
      <c r="C1257" s="863"/>
      <c r="D1257" s="864"/>
      <c r="E1257" s="855"/>
    </row>
    <row r="1258" spans="2:5" x14ac:dyDescent="0.25">
      <c r="B1258" s="862"/>
      <c r="C1258" s="863"/>
      <c r="D1258" s="864"/>
      <c r="E1258" s="855"/>
    </row>
    <row r="1259" spans="2:5" x14ac:dyDescent="0.25">
      <c r="B1259" s="862"/>
      <c r="C1259" s="863"/>
      <c r="D1259" s="864"/>
      <c r="E1259" s="855"/>
    </row>
    <row r="1260" spans="2:5" x14ac:dyDescent="0.25">
      <c r="B1260" s="862"/>
      <c r="C1260" s="863"/>
      <c r="D1260" s="864"/>
      <c r="E1260" s="855"/>
    </row>
    <row r="1261" spans="2:5" x14ac:dyDescent="0.25">
      <c r="B1261" s="862"/>
      <c r="C1261" s="863"/>
      <c r="D1261" s="864"/>
      <c r="E1261" s="855"/>
    </row>
    <row r="1262" spans="2:5" x14ac:dyDescent="0.25">
      <c r="B1262" s="862"/>
      <c r="C1262" s="863"/>
      <c r="D1262" s="864"/>
      <c r="E1262" s="855"/>
    </row>
    <row r="1263" spans="2:5" x14ac:dyDescent="0.25">
      <c r="B1263" s="862"/>
      <c r="C1263" s="863"/>
      <c r="D1263" s="864"/>
      <c r="E1263" s="855"/>
    </row>
    <row r="1264" spans="2:5" x14ac:dyDescent="0.25">
      <c r="B1264" s="862"/>
      <c r="C1264" s="863"/>
      <c r="D1264" s="864"/>
      <c r="E1264" s="855"/>
    </row>
    <row r="1265" spans="2:5" x14ac:dyDescent="0.25">
      <c r="B1265" s="862"/>
      <c r="C1265" s="863"/>
      <c r="D1265" s="864"/>
      <c r="E1265" s="855"/>
    </row>
    <row r="1266" spans="2:5" x14ac:dyDescent="0.25">
      <c r="B1266" s="862"/>
      <c r="C1266" s="863"/>
      <c r="D1266" s="864"/>
      <c r="E1266" s="855"/>
    </row>
    <row r="1267" spans="2:5" x14ac:dyDescent="0.25">
      <c r="B1267" s="862"/>
      <c r="C1267" s="863"/>
      <c r="D1267" s="864"/>
      <c r="E1267" s="855"/>
    </row>
    <row r="1268" spans="2:5" x14ac:dyDescent="0.25">
      <c r="B1268" s="862"/>
      <c r="C1268" s="863"/>
      <c r="D1268" s="864"/>
      <c r="E1268" s="855"/>
    </row>
    <row r="1269" spans="2:5" x14ac:dyDescent="0.25">
      <c r="B1269" s="862"/>
      <c r="C1269" s="863"/>
      <c r="D1269" s="864"/>
      <c r="E1269" s="855"/>
    </row>
    <row r="1270" spans="2:5" x14ac:dyDescent="0.25">
      <c r="B1270" s="862"/>
      <c r="C1270" s="863"/>
      <c r="D1270" s="864"/>
      <c r="E1270" s="855"/>
    </row>
    <row r="1271" spans="2:5" x14ac:dyDescent="0.25">
      <c r="B1271" s="862"/>
      <c r="C1271" s="863"/>
      <c r="D1271" s="864"/>
      <c r="E1271" s="855"/>
    </row>
    <row r="1272" spans="2:5" x14ac:dyDescent="0.25">
      <c r="B1272" s="862"/>
      <c r="C1272" s="863"/>
      <c r="D1272" s="864"/>
      <c r="E1272" s="855"/>
    </row>
    <row r="1273" spans="2:5" x14ac:dyDescent="0.25">
      <c r="B1273" s="862"/>
      <c r="C1273" s="863"/>
      <c r="D1273" s="864"/>
      <c r="E1273" s="855"/>
    </row>
    <row r="1274" spans="2:5" x14ac:dyDescent="0.25">
      <c r="B1274" s="862"/>
      <c r="C1274" s="863"/>
      <c r="D1274" s="864"/>
      <c r="E1274" s="855"/>
    </row>
    <row r="1275" spans="2:5" x14ac:dyDescent="0.25">
      <c r="B1275" s="862"/>
      <c r="C1275" s="863"/>
      <c r="D1275" s="864"/>
      <c r="E1275" s="855"/>
    </row>
    <row r="1276" spans="2:5" x14ac:dyDescent="0.25">
      <c r="B1276" s="862"/>
      <c r="C1276" s="863"/>
      <c r="D1276" s="864"/>
      <c r="E1276" s="855"/>
    </row>
    <row r="1277" spans="2:5" x14ac:dyDescent="0.25">
      <c r="B1277" s="862"/>
      <c r="C1277" s="863"/>
      <c r="D1277" s="864"/>
      <c r="E1277" s="855"/>
    </row>
    <row r="1278" spans="2:5" x14ac:dyDescent="0.25">
      <c r="B1278" s="862"/>
      <c r="C1278" s="863"/>
      <c r="D1278" s="864"/>
      <c r="E1278" s="855"/>
    </row>
    <row r="1279" spans="2:5" x14ac:dyDescent="0.25">
      <c r="B1279" s="862"/>
      <c r="C1279" s="863"/>
      <c r="D1279" s="864"/>
      <c r="E1279" s="855"/>
    </row>
    <row r="1280" spans="2:5" x14ac:dyDescent="0.25">
      <c r="B1280" s="862"/>
      <c r="C1280" s="863"/>
      <c r="D1280" s="864"/>
      <c r="E1280" s="855"/>
    </row>
    <row r="1281" spans="2:5" x14ac:dyDescent="0.25">
      <c r="B1281" s="862"/>
      <c r="C1281" s="863"/>
      <c r="D1281" s="864"/>
      <c r="E1281" s="855"/>
    </row>
    <row r="1282" spans="2:5" x14ac:dyDescent="0.25">
      <c r="B1282" s="862"/>
      <c r="C1282" s="863"/>
      <c r="D1282" s="864"/>
      <c r="E1282" s="855"/>
    </row>
    <row r="1283" spans="2:5" x14ac:dyDescent="0.25">
      <c r="B1283" s="862"/>
      <c r="C1283" s="863"/>
      <c r="D1283" s="864"/>
      <c r="E1283" s="855"/>
    </row>
    <row r="1284" spans="2:5" x14ac:dyDescent="0.25">
      <c r="B1284" s="862"/>
      <c r="C1284" s="863"/>
      <c r="D1284" s="864"/>
      <c r="E1284" s="855"/>
    </row>
    <row r="1285" spans="2:5" x14ac:dyDescent="0.25">
      <c r="B1285" s="862"/>
      <c r="C1285" s="863"/>
      <c r="D1285" s="864"/>
      <c r="E1285" s="855"/>
    </row>
    <row r="1286" spans="2:5" x14ac:dyDescent="0.25">
      <c r="B1286" s="862"/>
      <c r="C1286" s="863"/>
      <c r="D1286" s="864"/>
      <c r="E1286" s="855"/>
    </row>
    <row r="1287" spans="2:5" x14ac:dyDescent="0.25">
      <c r="B1287" s="862"/>
      <c r="C1287" s="863"/>
      <c r="D1287" s="864"/>
      <c r="E1287" s="855"/>
    </row>
    <row r="1288" spans="2:5" x14ac:dyDescent="0.25">
      <c r="B1288" s="862"/>
      <c r="C1288" s="863"/>
      <c r="D1288" s="864"/>
      <c r="E1288" s="855"/>
    </row>
    <row r="1289" spans="2:5" x14ac:dyDescent="0.25">
      <c r="B1289" s="862"/>
      <c r="C1289" s="863"/>
      <c r="D1289" s="864"/>
      <c r="E1289" s="855"/>
    </row>
    <row r="1290" spans="2:5" x14ac:dyDescent="0.25">
      <c r="B1290" s="862"/>
      <c r="C1290" s="863"/>
      <c r="D1290" s="864"/>
      <c r="E1290" s="855"/>
    </row>
    <row r="1291" spans="2:5" x14ac:dyDescent="0.25">
      <c r="B1291" s="862"/>
      <c r="C1291" s="863"/>
      <c r="D1291" s="864"/>
      <c r="E1291" s="855"/>
    </row>
    <row r="1292" spans="2:5" x14ac:dyDescent="0.25">
      <c r="B1292" s="862"/>
      <c r="C1292" s="863"/>
      <c r="D1292" s="864"/>
      <c r="E1292" s="855"/>
    </row>
    <row r="1293" spans="2:5" x14ac:dyDescent="0.25">
      <c r="B1293" s="862"/>
      <c r="C1293" s="863"/>
      <c r="D1293" s="864"/>
      <c r="E1293" s="855"/>
    </row>
    <row r="1294" spans="2:5" x14ac:dyDescent="0.25">
      <c r="B1294" s="862"/>
      <c r="C1294" s="863"/>
      <c r="D1294" s="864"/>
      <c r="E1294" s="855"/>
    </row>
    <row r="1295" spans="2:5" x14ac:dyDescent="0.25">
      <c r="B1295" s="862"/>
      <c r="C1295" s="863"/>
      <c r="D1295" s="864"/>
      <c r="E1295" s="855"/>
    </row>
    <row r="1296" spans="2:5" x14ac:dyDescent="0.25">
      <c r="B1296" s="862"/>
      <c r="C1296" s="863"/>
      <c r="D1296" s="864"/>
      <c r="E1296" s="855"/>
    </row>
    <row r="1297" spans="2:5" x14ac:dyDescent="0.25">
      <c r="B1297" s="862"/>
      <c r="C1297" s="863"/>
      <c r="D1297" s="864"/>
      <c r="E1297" s="855"/>
    </row>
    <row r="1298" spans="2:5" x14ac:dyDescent="0.25">
      <c r="B1298" s="862"/>
      <c r="C1298" s="863"/>
      <c r="D1298" s="864"/>
      <c r="E1298" s="855"/>
    </row>
    <row r="1299" spans="2:5" x14ac:dyDescent="0.25">
      <c r="B1299" s="862"/>
      <c r="C1299" s="863"/>
      <c r="D1299" s="864"/>
      <c r="E1299" s="855"/>
    </row>
    <row r="1300" spans="2:5" x14ac:dyDescent="0.25">
      <c r="B1300" s="862"/>
      <c r="C1300" s="863"/>
      <c r="D1300" s="864"/>
      <c r="E1300" s="855"/>
    </row>
    <row r="1301" spans="2:5" x14ac:dyDescent="0.25">
      <c r="B1301" s="862"/>
      <c r="C1301" s="863"/>
      <c r="D1301" s="864"/>
      <c r="E1301" s="855"/>
    </row>
    <row r="1302" spans="2:5" x14ac:dyDescent="0.25">
      <c r="B1302" s="862"/>
      <c r="C1302" s="863"/>
      <c r="D1302" s="864"/>
      <c r="E1302" s="855"/>
    </row>
    <row r="1303" spans="2:5" x14ac:dyDescent="0.25">
      <c r="B1303" s="862"/>
      <c r="C1303" s="863"/>
      <c r="D1303" s="864"/>
      <c r="E1303" s="855"/>
    </row>
    <row r="1304" spans="2:5" x14ac:dyDescent="0.25">
      <c r="B1304" s="862"/>
      <c r="C1304" s="863"/>
      <c r="D1304" s="864"/>
      <c r="E1304" s="855"/>
    </row>
    <row r="1305" spans="2:5" x14ac:dyDescent="0.25">
      <c r="B1305" s="862"/>
      <c r="C1305" s="863"/>
      <c r="D1305" s="864"/>
      <c r="E1305" s="855"/>
    </row>
    <row r="1306" spans="2:5" x14ac:dyDescent="0.25">
      <c r="B1306" s="862"/>
      <c r="C1306" s="863"/>
      <c r="D1306" s="864"/>
      <c r="E1306" s="855"/>
    </row>
    <row r="1307" spans="2:5" x14ac:dyDescent="0.25">
      <c r="B1307" s="862"/>
      <c r="C1307" s="863"/>
      <c r="D1307" s="864"/>
      <c r="E1307" s="855"/>
    </row>
    <row r="1308" spans="2:5" x14ac:dyDescent="0.25">
      <c r="B1308" s="862"/>
      <c r="C1308" s="863"/>
      <c r="D1308" s="864"/>
      <c r="E1308" s="855"/>
    </row>
    <row r="1309" spans="2:5" x14ac:dyDescent="0.25">
      <c r="B1309" s="862"/>
      <c r="C1309" s="863"/>
      <c r="D1309" s="864"/>
      <c r="E1309" s="855"/>
    </row>
    <row r="1310" spans="2:5" x14ac:dyDescent="0.25">
      <c r="B1310" s="862"/>
      <c r="C1310" s="863"/>
      <c r="D1310" s="864"/>
      <c r="E1310" s="855"/>
    </row>
    <row r="1311" spans="2:5" x14ac:dyDescent="0.25">
      <c r="B1311" s="862"/>
      <c r="C1311" s="863"/>
      <c r="D1311" s="864"/>
      <c r="E1311" s="855"/>
    </row>
    <row r="1312" spans="2:5" x14ac:dyDescent="0.25">
      <c r="B1312" s="862"/>
      <c r="C1312" s="863"/>
      <c r="D1312" s="864"/>
      <c r="E1312" s="855"/>
    </row>
    <row r="1313" spans="2:5" x14ac:dyDescent="0.25">
      <c r="B1313" s="862"/>
      <c r="C1313" s="863"/>
      <c r="D1313" s="864"/>
      <c r="E1313" s="855"/>
    </row>
    <row r="1314" spans="2:5" x14ac:dyDescent="0.25">
      <c r="B1314" s="862"/>
      <c r="C1314" s="863"/>
      <c r="D1314" s="864"/>
      <c r="E1314" s="855"/>
    </row>
    <row r="1315" spans="2:5" x14ac:dyDescent="0.25">
      <c r="B1315" s="862"/>
      <c r="C1315" s="863"/>
      <c r="D1315" s="864"/>
      <c r="E1315" s="855"/>
    </row>
    <row r="1316" spans="2:5" x14ac:dyDescent="0.25">
      <c r="B1316" s="862"/>
      <c r="C1316" s="863"/>
      <c r="D1316" s="864"/>
      <c r="E1316" s="855"/>
    </row>
  </sheetData>
  <conditionalFormatting sqref="N566">
    <cfRule type="duplicateValues" dxfId="21" priority="17"/>
  </conditionalFormatting>
  <conditionalFormatting sqref="H583">
    <cfRule type="duplicateValues" dxfId="20" priority="19"/>
  </conditionalFormatting>
  <conditionalFormatting sqref="C615">
    <cfRule type="duplicateValues" dxfId="19" priority="21"/>
  </conditionalFormatting>
  <conditionalFormatting sqref="B1:B1048576">
    <cfRule type="duplicateValues" dxfId="18" priority="1"/>
    <cfRule type="duplicateValues" dxfId="17" priority="24"/>
    <cfRule type="duplicateValues" dxfId="16" priority="47"/>
  </conditionalFormatting>
  <conditionalFormatting sqref="B694:B714">
    <cfRule type="duplicateValues" dxfId="15" priority="29"/>
  </conditionalFormatting>
  <conditionalFormatting sqref="C1:C1048576">
    <cfRule type="duplicateValues" dxfId="14" priority="30"/>
  </conditionalFormatting>
  <conditionalFormatting sqref="H466:H470">
    <cfRule type="duplicateValues" dxfId="13" priority="4"/>
  </conditionalFormatting>
  <conditionalFormatting sqref="H556:H564">
    <cfRule type="duplicateValues" dxfId="12" priority="9"/>
  </conditionalFormatting>
  <conditionalFormatting sqref="H556:H565">
    <cfRule type="duplicateValues" dxfId="11" priority="8"/>
  </conditionalFormatting>
  <conditionalFormatting sqref="H584:H599">
    <cfRule type="duplicateValues" dxfId="10" priority="18"/>
  </conditionalFormatting>
  <conditionalFormatting sqref="H594:H599">
    <cfRule type="duplicateValues" dxfId="9" priority="14"/>
  </conditionalFormatting>
  <conditionalFormatting sqref="H595:H599">
    <cfRule type="duplicateValues" dxfId="8" priority="15"/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45"/>
  <sheetViews>
    <sheetView workbookViewId="0">
      <selection activeCell="D9" sqref="D9"/>
    </sheetView>
  </sheetViews>
  <sheetFormatPr defaultColWidth="9.140625" defaultRowHeight="12.75" x14ac:dyDescent="0.2"/>
  <cols>
    <col min="1" max="1" width="5" style="773" customWidth="1"/>
    <col min="2" max="2" width="12.28515625" style="773" customWidth="1"/>
    <col min="3" max="3" width="1.5703125" style="773" customWidth="1"/>
    <col min="4" max="4" width="20.140625" style="773" customWidth="1"/>
    <col min="5" max="5" width="12.5703125" style="773" customWidth="1"/>
    <col min="6" max="6" width="10.5703125" style="773" customWidth="1"/>
    <col min="7" max="7" width="6.42578125" style="773" customWidth="1"/>
    <col min="8" max="8" width="7.28515625" style="773" customWidth="1"/>
    <col min="9" max="9" width="8.5703125" style="773" customWidth="1"/>
    <col min="10" max="10" width="7.28515625" style="773" customWidth="1"/>
    <col min="11" max="11" width="8.7109375" style="773" customWidth="1"/>
    <col min="12" max="12" width="7.28515625" style="773" customWidth="1"/>
    <col min="13" max="13" width="8.7109375" style="773" customWidth="1"/>
    <col min="14" max="14" width="7.28515625" style="773" customWidth="1"/>
    <col min="15" max="15" width="12" style="773" customWidth="1"/>
    <col min="16" max="16" width="7.28515625" style="773" customWidth="1"/>
    <col min="17" max="17" width="8.7109375" style="773" customWidth="1"/>
    <col min="18" max="18" width="7.85546875" style="799" customWidth="1"/>
    <col min="19" max="19" width="8.7109375" style="799" customWidth="1"/>
    <col min="20" max="20" width="7.85546875" style="799" customWidth="1"/>
    <col min="21" max="21" width="8.7109375" style="799" customWidth="1"/>
    <col min="22" max="22" width="7.28515625" style="773" customWidth="1"/>
    <col min="23" max="23" width="8.7109375" style="773" customWidth="1"/>
    <col min="24" max="24" width="15.85546875" style="800" customWidth="1"/>
    <col min="25" max="25" width="14.28515625" style="773" customWidth="1"/>
    <col min="26" max="16384" width="9.140625" style="773"/>
  </cols>
  <sheetData>
    <row r="1" spans="1:17" ht="15" x14ac:dyDescent="0.25">
      <c r="A1"/>
      <c r="B1"/>
      <c r="C1"/>
      <c r="D1"/>
      <c r="E1" s="799"/>
      <c r="F1" s="799"/>
      <c r="G1" s="799"/>
      <c r="H1" s="799"/>
    </row>
    <row r="2" spans="1:17" ht="21" x14ac:dyDescent="0.35">
      <c r="B2" s="2365" t="s">
        <v>4582</v>
      </c>
      <c r="C2" s="2365"/>
      <c r="D2" s="2365"/>
      <c r="E2" s="2365"/>
      <c r="F2" s="2365"/>
      <c r="G2" s="2365"/>
      <c r="L2" s="827"/>
      <c r="M2" s="827"/>
      <c r="N2" s="827"/>
      <c r="P2" s="827"/>
      <c r="Q2" s="827"/>
    </row>
    <row r="3" spans="1:17" x14ac:dyDescent="0.2">
      <c r="A3" s="802"/>
      <c r="B3" s="802"/>
      <c r="C3" s="802"/>
      <c r="L3" s="827"/>
      <c r="M3" s="827"/>
      <c r="N3" s="827"/>
      <c r="O3" s="827"/>
      <c r="P3" s="827"/>
      <c r="Q3" s="827"/>
    </row>
    <row r="4" spans="1:17" ht="15" x14ac:dyDescent="0.25">
      <c r="A4" s="803">
        <v>1631</v>
      </c>
      <c r="B4" s="772" t="s">
        <v>3193</v>
      </c>
      <c r="C4" s="773" t="s">
        <v>3181</v>
      </c>
      <c r="D4" t="str">
        <f>VLOOKUP(A4,DB,4,FALSE)</f>
        <v>Muhammad Muslim</v>
      </c>
      <c r="E4"/>
      <c r="F4"/>
      <c r="G4" s="804"/>
      <c r="L4" s="827"/>
      <c r="M4" s="827"/>
      <c r="N4" s="827"/>
      <c r="O4" s="773">
        <v>82140768011</v>
      </c>
      <c r="P4" s="827"/>
      <c r="Q4" s="827"/>
    </row>
    <row r="5" spans="1:17" x14ac:dyDescent="0.2">
      <c r="A5" s="802"/>
      <c r="B5" s="772" t="s">
        <v>3194</v>
      </c>
      <c r="C5" s="773" t="s">
        <v>3181</v>
      </c>
      <c r="D5" s="2344" t="str">
        <f>VLOOKUP(A4,DB,5,FALSE)</f>
        <v>MPI3-1</v>
      </c>
      <c r="E5" s="2345"/>
      <c r="F5" s="2345"/>
      <c r="L5" s="827"/>
      <c r="M5" s="827"/>
      <c r="N5" s="827"/>
      <c r="O5" s="2314" t="s">
        <v>4583</v>
      </c>
      <c r="P5" s="827"/>
      <c r="Q5" s="827"/>
    </row>
    <row r="6" spans="1:17" x14ac:dyDescent="0.2">
      <c r="A6" s="802"/>
      <c r="B6" s="772" t="s">
        <v>1</v>
      </c>
      <c r="C6" s="773" t="s">
        <v>3181</v>
      </c>
      <c r="D6" s="2343">
        <f>VLOOKUP(A4,DB,3,FALSE)</f>
        <v>841918009</v>
      </c>
      <c r="E6" s="2343"/>
      <c r="F6" s="2343"/>
      <c r="L6" s="827"/>
      <c r="M6" s="827"/>
      <c r="N6" s="827"/>
      <c r="O6" s="828"/>
      <c r="P6" s="827"/>
      <c r="Q6" s="827"/>
    </row>
    <row r="7" spans="1:17" x14ac:dyDescent="0.2">
      <c r="A7" s="802"/>
      <c r="B7" s="772" t="s">
        <v>3195</v>
      </c>
      <c r="C7" s="773" t="s">
        <v>3181</v>
      </c>
      <c r="D7" s="805" t="str">
        <f>VLOOKUP($A$4,DB,7,FALSE)</f>
        <v>AKTIF</v>
      </c>
      <c r="E7" s="2344" t="str">
        <f>IF(LEN(VLOOKUP(A4,DB,7,FALSE))=0,"-",(VLOOKUP(A4,DB,7,FALSE)))</f>
        <v>AKTIF</v>
      </c>
      <c r="F7" s="2344"/>
      <c r="L7" s="827"/>
      <c r="M7" s="827"/>
      <c r="N7" s="827"/>
      <c r="O7" s="828"/>
      <c r="P7" s="827"/>
      <c r="Q7" s="827"/>
    </row>
    <row r="8" spans="1:17" x14ac:dyDescent="0.2">
      <c r="A8" s="802"/>
      <c r="B8" s="802"/>
      <c r="C8" s="802"/>
      <c r="L8" s="827"/>
      <c r="M8" s="827"/>
      <c r="N8" s="827"/>
      <c r="O8" s="828"/>
      <c r="P8" s="827"/>
      <c r="Q8" s="827"/>
    </row>
    <row r="9" spans="1:17" x14ac:dyDescent="0.2">
      <c r="A9" s="802"/>
      <c r="B9" s="802" t="s">
        <v>4584</v>
      </c>
      <c r="C9" s="773" t="s">
        <v>3181</v>
      </c>
      <c r="D9" s="806" t="s">
        <v>3177</v>
      </c>
      <c r="E9" s="807"/>
      <c r="L9" s="827"/>
      <c r="M9" s="827"/>
      <c r="N9" s="827"/>
      <c r="O9" s="828"/>
      <c r="P9" s="827"/>
      <c r="Q9" s="827"/>
    </row>
    <row r="10" spans="1:17" x14ac:dyDescent="0.2">
      <c r="A10" s="802"/>
      <c r="B10" s="802"/>
      <c r="C10" s="802"/>
      <c r="L10" s="827"/>
      <c r="M10" s="827"/>
      <c r="N10" s="827"/>
      <c r="O10" s="828"/>
      <c r="P10" s="827"/>
      <c r="Q10" s="827"/>
    </row>
    <row r="11" spans="1:17" x14ac:dyDescent="0.2">
      <c r="A11" s="802"/>
      <c r="B11" s="802" t="s">
        <v>4585</v>
      </c>
      <c r="C11" s="802" t="s">
        <v>3181</v>
      </c>
      <c r="D11" s="808" t="s">
        <v>3196</v>
      </c>
      <c r="E11" s="808" t="s">
        <v>29</v>
      </c>
      <c r="F11" s="808" t="s">
        <v>30</v>
      </c>
      <c r="G11" s="808" t="s">
        <v>3239</v>
      </c>
      <c r="L11" s="827"/>
      <c r="M11" s="827"/>
      <c r="N11" s="827"/>
      <c r="O11" s="828"/>
      <c r="P11" s="827"/>
      <c r="Q11" s="827"/>
    </row>
    <row r="12" spans="1:17" x14ac:dyDescent="0.2">
      <c r="A12" s="802"/>
      <c r="B12" s="802"/>
      <c r="C12" s="802"/>
      <c r="D12" s="809" t="s">
        <v>6</v>
      </c>
      <c r="E12" s="810">
        <f>IFERROR(VLOOKUP(A4,DB,10,FALSE),"  ")</f>
        <v>4250000</v>
      </c>
      <c r="F12" s="783">
        <f>IF(LEN(VLOOKUP(A4,DB,11,FALSE))=0,"-",(VLOOKUP(A4,DB,11,FALSE)))</f>
        <v>43860.420509259297</v>
      </c>
      <c r="G12" s="812"/>
      <c r="L12" s="827"/>
      <c r="M12" s="827"/>
      <c r="N12" s="827"/>
      <c r="O12" s="828"/>
      <c r="P12" s="827"/>
      <c r="Q12" s="827"/>
    </row>
    <row r="13" spans="1:17" x14ac:dyDescent="0.2">
      <c r="A13" s="802"/>
      <c r="B13" s="802"/>
      <c r="C13" s="802"/>
      <c r="D13" s="813" t="s">
        <v>7</v>
      </c>
      <c r="E13" s="814">
        <f>IFERROR(VLOOKUP(A4,DB,12,FALSE),"  ")</f>
        <v>8000000</v>
      </c>
      <c r="F13" s="786">
        <f>IF(LEN(VLOOKUP(A4,DB,13,FALSE))=0," ",(VLOOKUP(A4,DB,13,FALSE)))</f>
        <v>43860.420509259297</v>
      </c>
      <c r="G13" s="816"/>
      <c r="L13" s="827"/>
      <c r="M13" s="827"/>
      <c r="N13" s="827"/>
      <c r="O13" s="828"/>
      <c r="P13" s="827"/>
      <c r="Q13" s="827"/>
    </row>
    <row r="14" spans="1:17" x14ac:dyDescent="0.2">
      <c r="A14" s="802"/>
      <c r="B14" s="802"/>
      <c r="C14" s="802"/>
      <c r="D14" s="813" t="s">
        <v>8</v>
      </c>
      <c r="E14" s="814">
        <f>IFERROR(VLOOKUP(A4,DB,14,FALSE),"  ")</f>
        <v>8000000</v>
      </c>
      <c r="F14" s="786">
        <f>IF(LEN(VLOOKUP(A4,DB,15,FALSE))=0," ",(VLOOKUP(A4,DB,15,FALSE)))</f>
        <v>43483</v>
      </c>
      <c r="G14" s="816"/>
      <c r="L14" s="827"/>
      <c r="M14" s="827"/>
      <c r="N14" s="827"/>
      <c r="O14" s="827"/>
      <c r="P14" s="827"/>
      <c r="Q14" s="827"/>
    </row>
    <row r="15" spans="1:17" x14ac:dyDescent="0.2">
      <c r="A15" s="802"/>
      <c r="B15" s="802"/>
      <c r="C15" s="802"/>
      <c r="D15" s="813" t="s">
        <v>9</v>
      </c>
      <c r="E15" s="814">
        <f>IFERROR(VLOOKUP(A4,DB,16,FALSE),"  ")</f>
        <v>8000000</v>
      </c>
      <c r="F15" s="786">
        <f>IF(LEN(VLOOKUP(A4,DB,17,FALSE))=0," ",(VLOOKUP(A4,DB,17,FALSE)))</f>
        <v>43643.827337962997</v>
      </c>
      <c r="G15" s="816"/>
      <c r="L15" s="827"/>
      <c r="M15" s="827"/>
      <c r="N15" s="827"/>
      <c r="O15" s="827"/>
      <c r="P15" s="827"/>
      <c r="Q15" s="827"/>
    </row>
    <row r="16" spans="1:17" x14ac:dyDescent="0.2">
      <c r="A16" s="802"/>
      <c r="B16" s="802"/>
      <c r="C16" s="802"/>
      <c r="D16" s="817" t="s">
        <v>10</v>
      </c>
      <c r="E16" s="814">
        <f>IFERROR(VLOOKUP(A4,DB,18,FALSE),"  ")</f>
        <v>8000000</v>
      </c>
      <c r="F16" s="786">
        <f>IF(LEN(VLOOKUP(A4,DB,19,FALSE))=0," ",(VLOOKUP(A4,DB,19,FALSE)))</f>
        <v>43861.596689814804</v>
      </c>
      <c r="G16" s="816"/>
      <c r="L16" s="827"/>
      <c r="M16" s="827"/>
      <c r="N16" s="827"/>
      <c r="O16" s="827"/>
      <c r="P16" s="827"/>
      <c r="Q16" s="827"/>
    </row>
    <row r="17" spans="1:24" x14ac:dyDescent="0.2">
      <c r="A17" s="802"/>
      <c r="B17" s="802"/>
      <c r="C17" s="802"/>
      <c r="D17" s="817" t="s">
        <v>11</v>
      </c>
      <c r="E17" s="814">
        <f>IFERROR(VLOOKUP(A4,DB,20,FALSE),"  ")</f>
        <v>8000000</v>
      </c>
      <c r="F17" s="786">
        <f>IF(LEN(VLOOKUP(A4,DB,21,FALSE))=0," ",(VLOOKUP(A4,DB,21,FALSE)))</f>
        <v>44068.364618055602</v>
      </c>
      <c r="G17" s="816"/>
      <c r="L17" s="827"/>
      <c r="M17" s="827"/>
      <c r="N17" s="827"/>
      <c r="O17" s="827"/>
      <c r="P17" s="827"/>
      <c r="Q17" s="827"/>
    </row>
    <row r="18" spans="1:24" x14ac:dyDescent="0.2">
      <c r="A18" s="802"/>
      <c r="B18" s="802"/>
      <c r="C18" s="802"/>
      <c r="D18" s="817" t="s">
        <v>12</v>
      </c>
      <c r="E18" s="814">
        <f>IFERROR(VLOOKUP(A4,DB,22,FALSE),"  ")</f>
        <v>0</v>
      </c>
      <c r="F18" s="786" t="str">
        <f>IF(LEN(VLOOKUP(A4,DB,23,FALSE))=0," ",(VLOOKUP(A4,DB,23,FALSE)))</f>
        <v xml:space="preserve"> </v>
      </c>
      <c r="G18" s="816"/>
      <c r="L18" s="827"/>
      <c r="M18" s="827"/>
      <c r="N18" s="827"/>
      <c r="O18" s="827"/>
      <c r="P18" s="827"/>
      <c r="Q18" s="827"/>
    </row>
    <row r="19" spans="1:24" x14ac:dyDescent="0.2">
      <c r="D19" s="829" t="s">
        <v>13</v>
      </c>
      <c r="E19" s="814">
        <f>IFERROR(VLOOKUP(A4,DB,24,FALSE),"  ")</f>
        <v>0</v>
      </c>
      <c r="F19" s="786" t="str">
        <f>IF(LEN(VLOOKUP(A4,DB,25,FALSE))=0," ",(VLOOKUP(A4,DB,25,FALSE)))</f>
        <v xml:space="preserve"> </v>
      </c>
      <c r="G19" s="816"/>
      <c r="R19" s="773"/>
      <c r="S19" s="773"/>
      <c r="T19" s="773"/>
      <c r="U19" s="773"/>
    </row>
    <row r="20" spans="1:24" x14ac:dyDescent="0.2">
      <c r="D20" s="829" t="s">
        <v>14</v>
      </c>
      <c r="E20" s="814">
        <f>IFERROR(VLOOKUP(A4,DB,26,FALSE),"  ")</f>
        <v>0</v>
      </c>
      <c r="F20" s="786" t="str">
        <f>IF(LEN(VLOOKUP(A4,DB,27,FALSE))=0," ",(VLOOKUP(A4,DB,27,FALSE)))</f>
        <v xml:space="preserve"> </v>
      </c>
      <c r="G20" s="816"/>
      <c r="L20" s="799"/>
      <c r="M20" s="799"/>
      <c r="N20" s="799"/>
      <c r="R20" s="773"/>
      <c r="S20" s="773"/>
      <c r="T20" s="773"/>
      <c r="U20" s="773"/>
      <c r="X20" s="773"/>
    </row>
    <row r="21" spans="1:24" x14ac:dyDescent="0.2">
      <c r="D21" s="829" t="s">
        <v>16</v>
      </c>
      <c r="E21" s="814">
        <f>IFERROR(VLOOKUP(A4,DB,28,FALSE),"  ")</f>
        <v>0</v>
      </c>
      <c r="F21" s="786" t="str">
        <f>IF(LEN(VLOOKUP(A4,DB,29,FALSE))=0," ",(VLOOKUP(A4,DB,29,FALSE)))</f>
        <v xml:space="preserve"> </v>
      </c>
      <c r="G21" s="816"/>
      <c r="L21" s="799"/>
      <c r="M21" s="799"/>
      <c r="N21" s="799"/>
      <c r="R21" s="773"/>
      <c r="S21" s="773"/>
      <c r="T21" s="773"/>
      <c r="U21" s="773"/>
      <c r="X21" s="773"/>
    </row>
    <row r="22" spans="1:24" x14ac:dyDescent="0.2">
      <c r="D22" s="829" t="s">
        <v>17</v>
      </c>
      <c r="E22" s="830">
        <f>IFERROR(VLOOKUP(A4,DB,30,FALSE)," ")</f>
        <v>0</v>
      </c>
      <c r="F22" s="831" t="str">
        <f>IF(LEN(VLOOKUP(A4,DB,31,FALSE))=0," ",(VLOOKUP(A4,DB,31,FALSE)))</f>
        <v xml:space="preserve"> </v>
      </c>
      <c r="G22" s="816"/>
      <c r="L22" s="799"/>
      <c r="M22" s="799"/>
      <c r="N22" s="799"/>
      <c r="R22" s="773"/>
      <c r="S22" s="773"/>
      <c r="T22" s="773"/>
      <c r="U22" s="773"/>
      <c r="X22" s="773"/>
    </row>
    <row r="23" spans="1:24" x14ac:dyDescent="0.2">
      <c r="D23" s="817" t="s">
        <v>4586</v>
      </c>
      <c r="E23" s="832">
        <f>IFERROR(VLOOKUP(A4,DB,32,FALSE),"  ")</f>
        <v>0</v>
      </c>
      <c r="F23" s="833" t="str">
        <f>IF(LEN(VLOOKUP(A4,DB,33,FALSE))=0," ",(VLOOKUP(A4,DB,33,FALSE)))</f>
        <v xml:space="preserve"> </v>
      </c>
      <c r="G23" s="816"/>
      <c r="R23" s="773"/>
      <c r="S23" s="773"/>
      <c r="T23" s="773"/>
      <c r="U23" s="773"/>
    </row>
    <row r="24" spans="1:24" x14ac:dyDescent="0.2">
      <c r="D24" s="817" t="s">
        <v>4587</v>
      </c>
      <c r="E24" s="814">
        <f>IFERROR(VLOOKUP(A4,DB,39,FALSE),"  ")</f>
        <v>0</v>
      </c>
      <c r="F24" s="786" t="str">
        <f>IF(LEN(VLOOKUP(A4,DB,40,FALSE))=0," ",(VLOOKUP(A4,DB,40,FALSE)))</f>
        <v xml:space="preserve"> </v>
      </c>
      <c r="G24" s="816"/>
      <c r="L24" s="799"/>
      <c r="M24" s="799"/>
      <c r="N24" s="799"/>
      <c r="R24" s="773"/>
      <c r="S24" s="773"/>
      <c r="T24" s="773"/>
      <c r="U24" s="773"/>
      <c r="X24" s="773"/>
    </row>
    <row r="25" spans="1:24" x14ac:dyDescent="0.2">
      <c r="D25" s="817" t="s">
        <v>4588</v>
      </c>
      <c r="E25" s="814">
        <f>IFERROR(VLOOKUP(A4,DB,41,FALSE),"  ")</f>
        <v>0</v>
      </c>
      <c r="F25" s="786" t="str">
        <f>IF(LEN(VLOOKUP(A4,DB,42,FALSE))=0," ",(VLOOKUP(A4,DB,42,FALSE)))</f>
        <v xml:space="preserve"> </v>
      </c>
      <c r="G25" s="816"/>
      <c r="L25" s="799"/>
      <c r="M25" s="799"/>
      <c r="N25" s="799"/>
      <c r="R25" s="773"/>
      <c r="S25" s="773"/>
      <c r="T25" s="773"/>
      <c r="U25" s="773"/>
      <c r="X25" s="773"/>
    </row>
    <row r="26" spans="1:24" x14ac:dyDescent="0.2">
      <c r="D26" s="817" t="s">
        <v>4589</v>
      </c>
      <c r="E26" s="834"/>
      <c r="F26" s="790"/>
      <c r="G26" s="835"/>
      <c r="L26" s="799"/>
      <c r="M26" s="799"/>
      <c r="N26" s="799"/>
      <c r="R26" s="773"/>
      <c r="S26" s="773"/>
      <c r="T26" s="773"/>
      <c r="U26" s="773"/>
      <c r="X26" s="773"/>
    </row>
    <row r="27" spans="1:24" x14ac:dyDescent="0.2">
      <c r="D27" s="780" t="s">
        <v>4590</v>
      </c>
      <c r="E27" s="836"/>
      <c r="F27" s="837"/>
      <c r="G27" s="838"/>
      <c r="R27" s="773"/>
      <c r="S27" s="773"/>
      <c r="T27" s="773"/>
      <c r="U27" s="773"/>
    </row>
    <row r="28" spans="1:24" x14ac:dyDescent="0.2">
      <c r="A28" s="802"/>
      <c r="B28" s="802"/>
      <c r="C28" s="802"/>
      <c r="D28" s="781" t="s">
        <v>4591</v>
      </c>
      <c r="E28" s="782">
        <f>IFERROR(VLOOKUP(A4,DB,43,FALSE),"  ")</f>
        <v>2000000</v>
      </c>
      <c r="F28" s="783">
        <f>IF(LEN(VLOOKUP(A4,DB,44,FALSE))=0," ",(VLOOKUP(A4,DB,44,FALSE)))</f>
        <v>43986</v>
      </c>
      <c r="G28" s="838"/>
      <c r="L28" s="827"/>
      <c r="M28" s="827"/>
      <c r="N28" s="827"/>
      <c r="O28" s="827"/>
      <c r="P28" s="827"/>
      <c r="Q28" s="827"/>
    </row>
    <row r="29" spans="1:24" x14ac:dyDescent="0.2">
      <c r="D29" s="784" t="s">
        <v>4592</v>
      </c>
      <c r="E29" s="785">
        <f>IFERROR(VLOOKUP(A4,DB,45,FALSE),"  ")</f>
        <v>1500000</v>
      </c>
      <c r="F29" s="786">
        <f>IF(LEN(VLOOKUP(A4,DB,46,FALSE))=0," ",(VLOOKUP(A4,DB,46,FALSE)))</f>
        <v>44123</v>
      </c>
      <c r="G29" s="838"/>
      <c r="R29" s="773"/>
      <c r="S29" s="773"/>
      <c r="T29" s="773"/>
      <c r="U29" s="773"/>
    </row>
    <row r="30" spans="1:24" x14ac:dyDescent="0.2">
      <c r="D30" s="784" t="s">
        <v>4593</v>
      </c>
      <c r="E30" s="785">
        <f>IFERROR(VLOOKUP(A4,DB,47,FALSE),"  ")</f>
        <v>0</v>
      </c>
      <c r="F30" s="786" t="str">
        <f>IF(LEN(VLOOKUP(A4,DB,48,FALSE))=0," ",(VLOOKUP(A4,DB,48,FALSE)))</f>
        <v xml:space="preserve"> </v>
      </c>
      <c r="G30" s="838"/>
      <c r="L30" s="799"/>
      <c r="M30" s="799"/>
      <c r="N30" s="799"/>
      <c r="R30" s="773"/>
      <c r="S30" s="773"/>
      <c r="T30" s="773"/>
      <c r="U30" s="773"/>
      <c r="X30" s="773"/>
    </row>
    <row r="31" spans="1:24" x14ac:dyDescent="0.2">
      <c r="D31" s="784" t="s">
        <v>4594</v>
      </c>
      <c r="E31" s="785">
        <f>IFERROR(VLOOKUP(A4,DB,49,FALSE),"  ")</f>
        <v>0</v>
      </c>
      <c r="F31" s="786" t="str">
        <f>IF(LEN(VLOOKUP(A4,DB,50,FALSE))=0," ",(VLOOKUP(A4,DB,50,FALSE)))</f>
        <v xml:space="preserve"> </v>
      </c>
      <c r="G31" s="838"/>
      <c r="L31" s="799"/>
      <c r="M31" s="799"/>
      <c r="N31" s="799"/>
      <c r="R31" s="773"/>
      <c r="S31" s="773"/>
      <c r="T31" s="773"/>
      <c r="U31" s="773"/>
      <c r="X31" s="773"/>
    </row>
    <row r="32" spans="1:24" x14ac:dyDescent="0.2">
      <c r="D32" s="788" t="s">
        <v>4595</v>
      </c>
      <c r="E32" s="789">
        <f>IFERROR(VLOOKUP(A4,DB,51,FALSE),"  ")</f>
        <v>0</v>
      </c>
      <c r="F32" s="790" t="str">
        <f>IF(LEN(VLOOKUP(A4,DB,52,FALSE))=0," ",(VLOOKUP(A4,DB,52,FALSE)))</f>
        <v xml:space="preserve"> </v>
      </c>
      <c r="G32" s="838"/>
      <c r="L32" s="799"/>
      <c r="M32" s="799"/>
      <c r="N32" s="799"/>
      <c r="R32" s="773"/>
      <c r="S32" s="773"/>
      <c r="T32" s="773"/>
      <c r="U32" s="773"/>
      <c r="X32" s="773"/>
    </row>
    <row r="33" spans="1:24" x14ac:dyDescent="0.2">
      <c r="D33" s="788" t="s">
        <v>22</v>
      </c>
      <c r="E33" s="789" t="str">
        <f>IFERROR(VLOOKUP(A9,DB,53,FALSE),"  ")</f>
        <v xml:space="preserve">  </v>
      </c>
      <c r="F33" s="790" t="str">
        <f>IF(LEN(VLOOKUP(A4,DB,54,FALSE))=0," ",(VLOOKUP(A4,DB,54,FALSE)))</f>
        <v xml:space="preserve"> </v>
      </c>
      <c r="G33" s="822" t="str">
        <f>IF(LEN(VLOOKUP(A4,DB,8,FALSE))=0,"-",(VLOOKUP(A4,DB,8,FALSE)))</f>
        <v xml:space="preserve">   </v>
      </c>
      <c r="L33" s="799"/>
      <c r="M33" s="799"/>
      <c r="N33" s="799"/>
      <c r="R33" s="773"/>
      <c r="S33" s="773"/>
      <c r="T33" s="773"/>
      <c r="U33" s="773"/>
      <c r="X33" s="773"/>
    </row>
    <row r="34" spans="1:24" x14ac:dyDescent="0.2">
      <c r="D34" s="823" t="s">
        <v>3212</v>
      </c>
      <c r="E34" s="824">
        <f>IFERROR(VLOOKUP(A4,DB,35,FALSE),"  ")</f>
        <v>47750000</v>
      </c>
      <c r="F34" s="2359"/>
      <c r="G34" s="2360"/>
      <c r="R34" s="773"/>
      <c r="S34" s="773"/>
      <c r="T34" s="773"/>
      <c r="U34" s="773"/>
    </row>
    <row r="35" spans="1:24" x14ac:dyDescent="0.2">
      <c r="D35" s="823" t="s">
        <v>25</v>
      </c>
      <c r="E35" s="825">
        <f>IFERROR(VLOOKUP(A4,DB,36,FALSE),"  ")</f>
        <v>46750000</v>
      </c>
      <c r="F35" s="2361"/>
      <c r="G35" s="2362"/>
      <c r="R35" s="773"/>
      <c r="S35" s="773"/>
      <c r="T35" s="773"/>
      <c r="U35" s="773"/>
    </row>
    <row r="36" spans="1:24" x14ac:dyDescent="0.2">
      <c r="D36" s="823" t="s">
        <v>3213</v>
      </c>
      <c r="E36" s="826">
        <f>IFERROR(VLOOKUP(A4,DB,37,FALSE),"  ")</f>
        <v>-1000000</v>
      </c>
      <c r="F36" s="2363"/>
      <c r="G36" s="2364"/>
      <c r="R36" s="773"/>
      <c r="S36" s="773"/>
      <c r="T36" s="773"/>
      <c r="U36" s="773"/>
    </row>
    <row r="37" spans="1:24" ht="15" x14ac:dyDescent="0.25">
      <c r="A37"/>
      <c r="B37"/>
      <c r="C37"/>
      <c r="D37"/>
    </row>
    <row r="39" spans="1:24" x14ac:dyDescent="0.2">
      <c r="B39" s="839" t="s">
        <v>1483</v>
      </c>
      <c r="D39" s="773" t="s">
        <v>4596</v>
      </c>
      <c r="E39" s="799"/>
      <c r="F39" s="799"/>
      <c r="G39" s="799"/>
      <c r="H39" s="799"/>
      <c r="R39" s="773"/>
      <c r="S39" s="773"/>
      <c r="T39" s="773"/>
      <c r="U39" s="773"/>
    </row>
    <row r="40" spans="1:24" x14ac:dyDescent="0.2">
      <c r="B40" s="840"/>
      <c r="C40" s="799"/>
      <c r="D40" s="799" t="s">
        <v>4597</v>
      </c>
      <c r="R40" s="773"/>
      <c r="S40" s="773"/>
      <c r="T40" s="773"/>
      <c r="U40" s="773"/>
    </row>
    <row r="41" spans="1:24" x14ac:dyDescent="0.2">
      <c r="B41" s="841" t="s">
        <v>276</v>
      </c>
      <c r="C41" s="799"/>
      <c r="D41" s="799" t="s">
        <v>20</v>
      </c>
      <c r="R41" s="773"/>
      <c r="S41" s="773"/>
      <c r="T41" s="773"/>
      <c r="U41" s="773"/>
    </row>
    <row r="42" spans="1:24" x14ac:dyDescent="0.2">
      <c r="B42" s="842" t="s">
        <v>475</v>
      </c>
      <c r="D42" s="773" t="s">
        <v>475</v>
      </c>
      <c r="E42" s="799"/>
      <c r="F42" s="799"/>
      <c r="G42" s="799"/>
      <c r="H42" s="799"/>
    </row>
    <row r="43" spans="1:24" x14ac:dyDescent="0.2">
      <c r="B43" s="843" t="s">
        <v>1077</v>
      </c>
      <c r="D43" s="773" t="s">
        <v>4598</v>
      </c>
      <c r="E43" s="799"/>
      <c r="F43" s="799"/>
      <c r="G43" s="799"/>
      <c r="H43" s="799"/>
    </row>
    <row r="44" spans="1:24" ht="16.5" x14ac:dyDescent="0.35">
      <c r="A44"/>
      <c r="B44" s="844" t="s">
        <v>33</v>
      </c>
      <c r="C44"/>
      <c r="D44" s="773" t="s">
        <v>4599</v>
      </c>
      <c r="F44" s="799"/>
      <c r="G44" s="2366"/>
      <c r="H44" s="2366"/>
    </row>
    <row r="45" spans="1:24" ht="15" x14ac:dyDescent="0.25">
      <c r="A45"/>
      <c r="B45" s="845" t="s">
        <v>137</v>
      </c>
      <c r="C45"/>
      <c r="D45" s="773" t="s">
        <v>3336</v>
      </c>
      <c r="E45" s="799"/>
      <c r="F45" s="799"/>
      <c r="G45" s="2358"/>
      <c r="H45" s="2358"/>
    </row>
  </sheetData>
  <mergeCells count="7">
    <mergeCell ref="G45:H45"/>
    <mergeCell ref="F34:G36"/>
    <mergeCell ref="B2:G2"/>
    <mergeCell ref="D5:F5"/>
    <mergeCell ref="D6:F6"/>
    <mergeCell ref="E7:F7"/>
    <mergeCell ref="G44:H44"/>
  </mergeCells>
  <pageMargins left="0.70866141732283505" right="0.70866141732283505" top="0.74803149606299202" bottom="0.74803149606299202" header="0.31496062992126" footer="0.31496062992126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50"/>
  <sheetViews>
    <sheetView topLeftCell="A7" workbookViewId="0">
      <selection activeCell="D32" sqref="D32"/>
    </sheetView>
  </sheetViews>
  <sheetFormatPr defaultColWidth="9.140625" defaultRowHeight="12.75" x14ac:dyDescent="0.2"/>
  <cols>
    <col min="1" max="1" width="5" style="773" customWidth="1"/>
    <col min="2" max="2" width="12.28515625" style="773" customWidth="1"/>
    <col min="3" max="3" width="1.5703125" style="773" customWidth="1"/>
    <col min="4" max="4" width="20.140625" style="773" customWidth="1"/>
    <col min="5" max="5" width="12.5703125" style="773" customWidth="1"/>
    <col min="6" max="6" width="10.5703125" style="773" customWidth="1"/>
    <col min="7" max="7" width="6.42578125" style="773" customWidth="1"/>
    <col min="8" max="8" width="7.28515625" style="773" customWidth="1"/>
    <col min="9" max="9" width="8.5703125" style="773" customWidth="1"/>
    <col min="10" max="10" width="7.28515625" style="773" customWidth="1"/>
    <col min="11" max="11" width="8.7109375" style="773" customWidth="1"/>
    <col min="12" max="12" width="7.28515625" style="773" customWidth="1"/>
    <col min="13" max="13" width="8.7109375" style="773" customWidth="1"/>
    <col min="14" max="14" width="7.28515625" style="773" customWidth="1"/>
    <col min="15" max="15" width="12" style="773" customWidth="1"/>
    <col min="16" max="16" width="7.28515625" style="773" customWidth="1"/>
    <col min="17" max="17" width="8.7109375" style="773" customWidth="1"/>
    <col min="18" max="18" width="7.85546875" style="799" customWidth="1"/>
    <col min="19" max="19" width="8.7109375" style="799" customWidth="1"/>
    <col min="20" max="20" width="7.85546875" style="799" customWidth="1"/>
    <col min="21" max="21" width="8.7109375" style="799" customWidth="1"/>
    <col min="22" max="22" width="7.28515625" style="773" customWidth="1"/>
    <col min="23" max="23" width="8.7109375" style="773" customWidth="1"/>
    <col min="24" max="24" width="15.85546875" style="800" customWidth="1"/>
    <col min="25" max="25" width="14.28515625" style="773" customWidth="1"/>
    <col min="26" max="16384" width="9.140625" style="773"/>
  </cols>
  <sheetData>
    <row r="1" spans="1:21" x14ac:dyDescent="0.2">
      <c r="A1" s="801"/>
      <c r="B1" s="801"/>
      <c r="C1" s="801"/>
      <c r="R1" s="773"/>
      <c r="S1" s="773"/>
      <c r="T1" s="773"/>
      <c r="U1" s="773"/>
    </row>
    <row r="2" spans="1:21" ht="21" x14ac:dyDescent="0.35">
      <c r="B2" s="2365" t="s">
        <v>4582</v>
      </c>
      <c r="C2" s="2365"/>
      <c r="D2" s="2365"/>
      <c r="E2" s="2365"/>
      <c r="F2" s="2365"/>
      <c r="G2" s="2365"/>
      <c r="L2" s="827"/>
      <c r="M2" s="827"/>
      <c r="N2" s="827"/>
      <c r="P2" s="827"/>
      <c r="Q2" s="827"/>
    </row>
    <row r="3" spans="1:21" x14ac:dyDescent="0.2">
      <c r="A3" s="802"/>
      <c r="B3" s="802"/>
      <c r="C3" s="802"/>
      <c r="L3" s="827"/>
      <c r="M3" s="827"/>
      <c r="N3" s="827"/>
      <c r="O3" s="827"/>
      <c r="P3" s="827"/>
      <c r="Q3" s="827"/>
    </row>
    <row r="4" spans="1:21" ht="15" x14ac:dyDescent="0.25">
      <c r="A4" s="803">
        <v>1291</v>
      </c>
      <c r="B4" s="772" t="s">
        <v>3193</v>
      </c>
      <c r="C4" s="773" t="s">
        <v>3181</v>
      </c>
      <c r="D4" t="str">
        <f>VLOOKUP(A4,DB,4,FALSE)</f>
        <v>SRI WAHYUNITA</v>
      </c>
      <c r="E4"/>
      <c r="F4"/>
      <c r="G4" s="804"/>
      <c r="L4" s="827"/>
      <c r="M4" s="827"/>
      <c r="N4" s="827"/>
      <c r="O4" s="773">
        <v>82140768011</v>
      </c>
      <c r="P4" s="827"/>
      <c r="Q4" s="827"/>
    </row>
    <row r="5" spans="1:21" x14ac:dyDescent="0.2">
      <c r="A5" s="802"/>
      <c r="B5" s="772" t="s">
        <v>3194</v>
      </c>
      <c r="C5" s="773" t="s">
        <v>3181</v>
      </c>
      <c r="D5" s="2344" t="str">
        <f>VLOOKUP(A4,DB,5,FALSE)</f>
        <v>ES</v>
      </c>
      <c r="E5" s="2345"/>
      <c r="F5" s="2345"/>
      <c r="L5" s="827"/>
      <c r="M5" s="827"/>
      <c r="N5" s="827"/>
      <c r="O5" s="2314" t="s">
        <v>4583</v>
      </c>
      <c r="P5" s="827"/>
      <c r="Q5" s="827"/>
    </row>
    <row r="6" spans="1:21" x14ac:dyDescent="0.2">
      <c r="A6" s="802"/>
      <c r="B6" s="772" t="s">
        <v>1</v>
      </c>
      <c r="C6" s="773" t="s">
        <v>3181</v>
      </c>
      <c r="D6" s="2343">
        <f>VLOOKUP(A4,DB,3,FALSE)</f>
        <v>839217034</v>
      </c>
      <c r="E6" s="2343"/>
      <c r="F6" s="2343"/>
      <c r="L6" s="827"/>
      <c r="M6" s="827"/>
      <c r="N6" s="827"/>
      <c r="O6" s="828"/>
      <c r="P6" s="827"/>
      <c r="Q6" s="827"/>
    </row>
    <row r="7" spans="1:21" x14ac:dyDescent="0.2">
      <c r="A7" s="802"/>
      <c r="B7" s="772" t="s">
        <v>3195</v>
      </c>
      <c r="C7" s="773" t="s">
        <v>3181</v>
      </c>
      <c r="D7" s="805" t="str">
        <f>VLOOKUP($A$4,DB,7,FALSE)</f>
        <v>CUTI</v>
      </c>
      <c r="E7" s="2344" t="str">
        <f>IF(LEN(VLOOKUP(A4,DB,7,FALSE))=0,"-",(VLOOKUP(A4,DB,7,FALSE)))</f>
        <v>CUTI</v>
      </c>
      <c r="F7" s="2344"/>
      <c r="K7" s="773">
        <f>VLOOKUP($A$4,DB,6,FALSE)</f>
        <v>2017</v>
      </c>
      <c r="L7" s="2367" t="s">
        <v>4600</v>
      </c>
      <c r="M7" s="2367"/>
      <c r="N7" s="2367"/>
      <c r="O7" s="828"/>
      <c r="P7" s="827"/>
      <c r="Q7" s="827"/>
    </row>
    <row r="8" spans="1:21" x14ac:dyDescent="0.2">
      <c r="A8" s="802"/>
      <c r="B8" s="802"/>
      <c r="C8" s="802"/>
      <c r="L8" s="827"/>
      <c r="M8" s="827"/>
      <c r="N8" s="827"/>
      <c r="O8" s="828"/>
      <c r="P8" s="827"/>
      <c r="Q8" s="827"/>
    </row>
    <row r="9" spans="1:21" x14ac:dyDescent="0.2">
      <c r="A9" s="802"/>
      <c r="B9" s="802" t="s">
        <v>4584</v>
      </c>
      <c r="C9" s="773" t="s">
        <v>3181</v>
      </c>
      <c r="D9" s="806" t="s">
        <v>3177</v>
      </c>
      <c r="E9" s="807"/>
      <c r="L9" s="827"/>
      <c r="M9" s="827"/>
      <c r="N9" s="827"/>
      <c r="O9" s="828"/>
      <c r="P9" s="827"/>
      <c r="Q9" s="827"/>
    </row>
    <row r="10" spans="1:21" x14ac:dyDescent="0.2">
      <c r="A10" s="802"/>
      <c r="B10" s="802"/>
      <c r="C10" s="802"/>
      <c r="L10" s="827"/>
      <c r="M10" s="827"/>
      <c r="N10" s="827"/>
      <c r="O10" s="828"/>
      <c r="P10" s="827"/>
      <c r="Q10" s="827"/>
    </row>
    <row r="11" spans="1:21" x14ac:dyDescent="0.2">
      <c r="A11" s="802"/>
      <c r="B11" s="802" t="s">
        <v>4585</v>
      </c>
      <c r="C11" s="802" t="s">
        <v>3181</v>
      </c>
      <c r="D11" s="808" t="s">
        <v>3196</v>
      </c>
      <c r="E11" s="808" t="s">
        <v>29</v>
      </c>
      <c r="F11" s="808" t="s">
        <v>30</v>
      </c>
      <c r="G11" s="808" t="s">
        <v>3197</v>
      </c>
      <c r="L11" s="827"/>
      <c r="M11" s="827"/>
      <c r="N11" s="827"/>
      <c r="O11" s="828"/>
      <c r="P11" s="827"/>
      <c r="Q11" s="827"/>
    </row>
    <row r="12" spans="1:21" x14ac:dyDescent="0.2">
      <c r="A12" s="802"/>
      <c r="B12" s="802"/>
      <c r="C12" s="802"/>
      <c r="D12" s="809" t="s">
        <v>6</v>
      </c>
      <c r="E12" s="810">
        <f>VLOOKUP(A4,DB,10)</f>
        <v>600000</v>
      </c>
      <c r="F12" s="811">
        <f>IF(LEN(VLOOKUP(A4,DB,11,FALSE))=0,"-",(VLOOKUP(A4,DB,11,FALSE)))</f>
        <v>42942</v>
      </c>
      <c r="G12" s="812"/>
      <c r="L12" s="827"/>
      <c r="M12" s="827"/>
      <c r="N12" s="827"/>
      <c r="O12" s="828"/>
      <c r="P12" s="827"/>
      <c r="Q12" s="827"/>
    </row>
    <row r="13" spans="1:21" x14ac:dyDescent="0.2">
      <c r="A13" s="802"/>
      <c r="B13" s="802"/>
      <c r="C13" s="802"/>
      <c r="D13" s="813" t="s">
        <v>7</v>
      </c>
      <c r="E13" s="814">
        <f>VLOOKUP(A4,DB,12,FALSE)</f>
        <v>3000000</v>
      </c>
      <c r="F13" s="815">
        <f>IF(LEN(VLOOKUP(A4,DB,13,FALSE))=0," ",(VLOOKUP(A4,DB,13,FALSE)))</f>
        <v>42942</v>
      </c>
      <c r="G13" s="816"/>
      <c r="L13" s="827"/>
      <c r="M13" s="827"/>
      <c r="N13" s="827"/>
      <c r="O13" s="828"/>
      <c r="P13" s="827"/>
      <c r="Q13" s="827"/>
    </row>
    <row r="14" spans="1:21" x14ac:dyDescent="0.2">
      <c r="A14" s="802"/>
      <c r="B14" s="802"/>
      <c r="C14" s="802"/>
      <c r="D14" s="813" t="s">
        <v>8</v>
      </c>
      <c r="E14" s="814">
        <f>VLOOKUP(A4,DB,14)</f>
        <v>3000000</v>
      </c>
      <c r="F14" s="815">
        <f>IF(LEN(VLOOKUP(A4,DB,15,FALSE))=0," ",(VLOOKUP(A4,DB,15,FALSE)))</f>
        <v>43112</v>
      </c>
      <c r="G14" s="816"/>
      <c r="L14" s="827"/>
      <c r="M14" s="827"/>
      <c r="N14" s="827"/>
      <c r="O14" s="827"/>
      <c r="P14" s="827"/>
      <c r="Q14" s="827"/>
    </row>
    <row r="15" spans="1:21" x14ac:dyDescent="0.2">
      <c r="A15" s="802"/>
      <c r="B15" s="802"/>
      <c r="C15" s="802"/>
      <c r="D15" s="813" t="s">
        <v>9</v>
      </c>
      <c r="E15" s="814">
        <f>VLOOKUP(A4,DB,16)</f>
        <v>3000000</v>
      </c>
      <c r="F15" s="815">
        <f>IF(LEN(VLOOKUP(A4,DB,17,FALSE))=0," ",(VLOOKUP(A4,DB,17,FALSE)))</f>
        <v>43293</v>
      </c>
      <c r="G15" s="816"/>
      <c r="L15" s="827"/>
      <c r="M15" s="827"/>
      <c r="N15" s="827"/>
      <c r="O15" s="827"/>
      <c r="P15" s="827"/>
      <c r="Q15" s="827"/>
    </row>
    <row r="16" spans="1:21" x14ac:dyDescent="0.2">
      <c r="A16" s="802"/>
      <c r="B16" s="802"/>
      <c r="C16" s="802"/>
      <c r="D16" s="817" t="s">
        <v>10</v>
      </c>
      <c r="E16" s="814">
        <f>VLOOKUP(A4,DB,18)</f>
        <v>3000000</v>
      </c>
      <c r="F16" s="815">
        <f>IF(LEN(VLOOKUP(A4,DB,19,FALSE))=0," ",(VLOOKUP(A4,DB,19,FALSE)))</f>
        <v>43483</v>
      </c>
      <c r="G16" s="816"/>
      <c r="L16" s="827"/>
      <c r="M16" s="827"/>
      <c r="N16" s="827"/>
      <c r="O16" s="827"/>
      <c r="P16" s="827"/>
      <c r="Q16" s="827"/>
    </row>
    <row r="17" spans="1:24" x14ac:dyDescent="0.2">
      <c r="A17" s="802"/>
      <c r="B17" s="802"/>
      <c r="C17" s="802"/>
      <c r="D17" s="817" t="s">
        <v>11</v>
      </c>
      <c r="E17" s="814">
        <f>VLOOKUP(A4,DB,20)</f>
        <v>3000000</v>
      </c>
      <c r="F17" s="815">
        <f>IF(LEN(VLOOKUP(A4,DB,21,FALSE))=0," ",(VLOOKUP(A4,DB,21,FALSE)))</f>
        <v>43644</v>
      </c>
      <c r="G17" s="816"/>
      <c r="L17" s="827"/>
      <c r="M17" s="827"/>
      <c r="N17" s="827"/>
      <c r="O17" s="827"/>
      <c r="P17" s="827"/>
      <c r="Q17" s="827"/>
    </row>
    <row r="18" spans="1:24" x14ac:dyDescent="0.2">
      <c r="A18" s="802"/>
      <c r="B18" s="802"/>
      <c r="C18" s="802"/>
      <c r="D18" s="817" t="s">
        <v>12</v>
      </c>
      <c r="E18" s="814">
        <f>VLOOKUP(A4,DB,22)</f>
        <v>0</v>
      </c>
      <c r="F18" s="815" t="str">
        <f>IF(LEN(VLOOKUP(A4,DB,23,FALSE))=0," ",(VLOOKUP(A4,DB,23,FALSE)))</f>
        <v xml:space="preserve"> </v>
      </c>
      <c r="G18" s="816"/>
      <c r="L18" s="827"/>
      <c r="M18" s="827"/>
      <c r="N18" s="827"/>
      <c r="O18" s="827"/>
      <c r="P18" s="827"/>
      <c r="Q18" s="827"/>
    </row>
    <row r="19" spans="1:24" x14ac:dyDescent="0.2">
      <c r="D19" s="817" t="s">
        <v>13</v>
      </c>
      <c r="E19" s="814" t="str">
        <f>VLOOKUP(A4,DB,24)</f>
        <v xml:space="preserve"> CT </v>
      </c>
      <c r="F19" s="815">
        <f>IF(LEN(VLOOKUP(A4,DB,25,FALSE))=0," ",(VLOOKUP(A4,DB,25,FALSE)))</f>
        <v>44071</v>
      </c>
      <c r="G19" s="816"/>
      <c r="R19" s="773"/>
      <c r="S19" s="773"/>
      <c r="T19" s="773"/>
      <c r="U19" s="773"/>
    </row>
    <row r="20" spans="1:24" x14ac:dyDescent="0.2">
      <c r="D20" s="817" t="s">
        <v>14</v>
      </c>
      <c r="E20" s="814" t="str">
        <f>VLOOKUP(A4,DB,26)</f>
        <v xml:space="preserve">  </v>
      </c>
      <c r="F20" s="815" t="str">
        <f>IF(LEN(VLOOKUP(A4,DB,27,FALSE))=0," ",(VLOOKUP(A4,DB,27,FALSE)))</f>
        <v xml:space="preserve">  </v>
      </c>
      <c r="G20" s="816"/>
      <c r="L20" s="799"/>
      <c r="M20" s="799"/>
      <c r="N20" s="799"/>
      <c r="R20" s="773"/>
      <c r="S20" s="773"/>
      <c r="T20" s="773"/>
      <c r="U20" s="773"/>
      <c r="X20" s="773"/>
    </row>
    <row r="21" spans="1:24" x14ac:dyDescent="0.2">
      <c r="D21" s="818" t="s">
        <v>3210</v>
      </c>
      <c r="E21" s="819"/>
      <c r="F21" s="815"/>
      <c r="G21" s="816"/>
      <c r="L21" s="799"/>
      <c r="M21" s="799"/>
      <c r="N21" s="799"/>
      <c r="R21" s="773"/>
      <c r="S21" s="773"/>
      <c r="T21" s="773"/>
      <c r="U21" s="773"/>
      <c r="X21" s="773"/>
    </row>
    <row r="22" spans="1:24" x14ac:dyDescent="0.2">
      <c r="D22" s="818" t="s">
        <v>3211</v>
      </c>
      <c r="E22" s="819">
        <f>VLOOKUP(A4,DB,28)</f>
        <v>0</v>
      </c>
      <c r="F22" s="815">
        <f>IFERROR(VLOOKUP(A4,DB,28,FALSE),"  ")</f>
        <v>0</v>
      </c>
      <c r="G22" s="816"/>
      <c r="L22" s="799"/>
      <c r="M22" s="799"/>
      <c r="N22" s="799"/>
      <c r="O22" s="2315" t="s">
        <v>4601</v>
      </c>
      <c r="R22" s="773"/>
      <c r="S22" s="773"/>
      <c r="T22" s="773"/>
      <c r="U22" s="773"/>
      <c r="X22" s="773"/>
    </row>
    <row r="23" spans="1:24" x14ac:dyDescent="0.2">
      <c r="D23" s="818" t="s">
        <v>22</v>
      </c>
      <c r="E23" s="820" t="str">
        <f>IFERROR(VLOOKUP(A5,DB,28),"  ")</f>
        <v xml:space="preserve">  </v>
      </c>
      <c r="F23" s="821" t="str">
        <f>IF(LEN(VLOOKUP(A4,DB,31,FALSE))=0," ",(VLOOKUP(A4,DB,31,FALSE)))</f>
        <v xml:space="preserve"> </v>
      </c>
      <c r="G23" s="822" t="str">
        <f>IF(LEN(VLOOKUP(A4,DB,8,FALSE))=0,"-",(VLOOKUP(A4,DB,8,FALSE)))</f>
        <v xml:space="preserve">   </v>
      </c>
      <c r="R23" s="773"/>
      <c r="S23" s="773"/>
      <c r="T23" s="773"/>
      <c r="U23" s="773"/>
    </row>
    <row r="24" spans="1:24" x14ac:dyDescent="0.2">
      <c r="D24" s="823" t="s">
        <v>3212</v>
      </c>
      <c r="E24" s="824">
        <f>VLOOKUP(A4,DB,35)</f>
        <v>16350000</v>
      </c>
      <c r="F24" s="2359"/>
      <c r="G24" s="2360"/>
      <c r="R24" s="773"/>
      <c r="S24" s="773"/>
      <c r="T24" s="773"/>
      <c r="U24" s="773"/>
    </row>
    <row r="25" spans="1:24" x14ac:dyDescent="0.2">
      <c r="D25" s="823" t="s">
        <v>25</v>
      </c>
      <c r="E25" s="825" t="e">
        <f>VLOOKUP(A4,DB,36)</f>
        <v>#VALUE!</v>
      </c>
      <c r="F25" s="2361"/>
      <c r="G25" s="2362"/>
      <c r="R25" s="773"/>
      <c r="S25" s="773"/>
      <c r="T25" s="773"/>
      <c r="U25" s="773"/>
    </row>
    <row r="26" spans="1:24" x14ac:dyDescent="0.2">
      <c r="D26" s="823" t="s">
        <v>3213</v>
      </c>
      <c r="E26" s="826" t="e">
        <f>VLOOKUP(A4,DB,37)</f>
        <v>#VALUE!</v>
      </c>
      <c r="F26" s="2363"/>
      <c r="G26" s="2364"/>
      <c r="R26" s="773"/>
      <c r="S26" s="773"/>
      <c r="T26" s="773"/>
      <c r="U26" s="773"/>
    </row>
    <row r="27" spans="1:24" ht="15" x14ac:dyDescent="0.25">
      <c r="A27"/>
      <c r="B27"/>
      <c r="C27"/>
      <c r="D27"/>
    </row>
    <row r="28" spans="1:24" ht="15" x14ac:dyDescent="0.25">
      <c r="A28" s="803">
        <v>970</v>
      </c>
      <c r="B28" s="772" t="s">
        <v>3193</v>
      </c>
      <c r="C28" s="773" t="s">
        <v>3181</v>
      </c>
      <c r="D28" t="str">
        <f>VLOOKUP(A28,DB,4,FALSE)</f>
        <v>DANI FIRDAUS</v>
      </c>
      <c r="E28"/>
      <c r="F28"/>
      <c r="G28" s="804"/>
    </row>
    <row r="29" spans="1:24" x14ac:dyDescent="0.2">
      <c r="A29" s="802"/>
      <c r="B29" s="772" t="s">
        <v>3194</v>
      </c>
      <c r="C29" s="773" t="s">
        <v>3181</v>
      </c>
      <c r="D29" s="2344" t="str">
        <f>VLOOKUP(A28,DB,5,FALSE)</f>
        <v>PBA</v>
      </c>
      <c r="E29" s="2345"/>
      <c r="F29" s="2345"/>
    </row>
    <row r="30" spans="1:24" x14ac:dyDescent="0.2">
      <c r="A30" s="802"/>
      <c r="B30" s="772" t="s">
        <v>1</v>
      </c>
      <c r="C30" s="773" t="s">
        <v>3181</v>
      </c>
      <c r="D30" s="2343">
        <f>VLOOKUP(A28,DB,3,FALSE)</f>
        <v>849216012</v>
      </c>
      <c r="E30" s="2343"/>
      <c r="F30" s="2343"/>
    </row>
    <row r="31" spans="1:24" x14ac:dyDescent="0.2">
      <c r="A31" s="802"/>
      <c r="B31" s="772" t="s">
        <v>3195</v>
      </c>
      <c r="C31" s="773" t="s">
        <v>3181</v>
      </c>
      <c r="D31" s="805" t="str">
        <f>VLOOKUP($A$4,DB,7,FALSE)</f>
        <v>CUTI</v>
      </c>
      <c r="E31" s="2344" t="str">
        <f>IF(LEN(VLOOKUP(A28,DB,7,FALSE))=0,"-",(VLOOKUP(A28,DB,7,FALSE)))</f>
        <v>LULUS</v>
      </c>
      <c r="F31" s="2344"/>
    </row>
    <row r="32" spans="1:24" x14ac:dyDescent="0.2">
      <c r="A32" s="802"/>
      <c r="B32" s="802"/>
      <c r="C32" s="802"/>
    </row>
    <row r="33" spans="1:7" x14ac:dyDescent="0.2">
      <c r="A33" s="802"/>
      <c r="B33" s="802" t="s">
        <v>4584</v>
      </c>
      <c r="C33" s="773" t="s">
        <v>3181</v>
      </c>
      <c r="D33" s="806" t="s">
        <v>3177</v>
      </c>
      <c r="E33" s="807"/>
    </row>
    <row r="34" spans="1:7" x14ac:dyDescent="0.2">
      <c r="A34" s="802"/>
      <c r="B34" s="802"/>
      <c r="C34" s="802"/>
    </row>
    <row r="35" spans="1:7" x14ac:dyDescent="0.2">
      <c r="A35" s="802"/>
      <c r="B35" s="802" t="s">
        <v>4585</v>
      </c>
      <c r="C35" s="802" t="s">
        <v>3181</v>
      </c>
      <c r="D35" s="808" t="s">
        <v>3196</v>
      </c>
      <c r="E35" s="808" t="s">
        <v>29</v>
      </c>
      <c r="F35" s="808" t="s">
        <v>30</v>
      </c>
      <c r="G35" s="808" t="s">
        <v>3197</v>
      </c>
    </row>
    <row r="36" spans="1:7" x14ac:dyDescent="0.2">
      <c r="A36" s="802"/>
      <c r="B36" s="802"/>
      <c r="C36" s="802"/>
      <c r="D36" s="809" t="s">
        <v>6</v>
      </c>
      <c r="E36" s="810">
        <f>VLOOKUP(A28,DB,10)</f>
        <v>1350000</v>
      </c>
      <c r="F36" s="811">
        <f>IF(LEN(VLOOKUP(A28,DB,11,FALSE))=0,"-",(VLOOKUP(A28,DB,11,FALSE)))</f>
        <v>42493</v>
      </c>
      <c r="G36" s="812"/>
    </row>
    <row r="37" spans="1:7" x14ac:dyDescent="0.2">
      <c r="A37" s="802"/>
      <c r="B37" s="802"/>
      <c r="C37" s="802"/>
      <c r="D37" s="813" t="s">
        <v>7</v>
      </c>
      <c r="E37" s="814">
        <f>VLOOKUP(A28,DB,12,FALSE)</f>
        <v>3000000</v>
      </c>
      <c r="F37" s="815">
        <f>IF(LEN(VLOOKUP(A28,DB,13,FALSE))=0," ",(VLOOKUP(A28,DB,13,FALSE)))</f>
        <v>42493</v>
      </c>
      <c r="G37" s="816"/>
    </row>
    <row r="38" spans="1:7" x14ac:dyDescent="0.2">
      <c r="A38" s="802"/>
      <c r="B38" s="802"/>
      <c r="C38" s="802"/>
      <c r="D38" s="813" t="s">
        <v>8</v>
      </c>
      <c r="E38" s="814">
        <f>VLOOKUP(A28,DB,14)</f>
        <v>3000000</v>
      </c>
      <c r="F38" s="815">
        <f>IF(LEN(VLOOKUP(A28,DB,15,FALSE))=0," ",(VLOOKUP(A28,DB,15,FALSE)))</f>
        <v>42760</v>
      </c>
      <c r="G38" s="816"/>
    </row>
    <row r="39" spans="1:7" x14ac:dyDescent="0.2">
      <c r="A39" s="802"/>
      <c r="B39" s="802"/>
      <c r="C39" s="802"/>
      <c r="D39" s="813" t="s">
        <v>9</v>
      </c>
      <c r="E39" s="814">
        <f>VLOOKUP(A28,DB,16)</f>
        <v>3000000</v>
      </c>
      <c r="F39" s="815">
        <f>IF(LEN(VLOOKUP(A28,DB,17,FALSE))=0," ",(VLOOKUP(A28,DB,17,FALSE)))</f>
        <v>42922</v>
      </c>
      <c r="G39" s="816"/>
    </row>
    <row r="40" spans="1:7" x14ac:dyDescent="0.2">
      <c r="A40" s="802"/>
      <c r="B40" s="802"/>
      <c r="C40" s="802"/>
      <c r="D40" s="817" t="s">
        <v>10</v>
      </c>
      <c r="E40" s="814">
        <f>VLOOKUP(A28,DB,18)</f>
        <v>3000000</v>
      </c>
      <c r="F40" s="815">
        <f>IF(LEN(VLOOKUP(A28,DB,19,FALSE))=0," ",(VLOOKUP(A28,DB,19,FALSE)))</f>
        <v>43115</v>
      </c>
      <c r="G40" s="816"/>
    </row>
    <row r="41" spans="1:7" x14ac:dyDescent="0.2">
      <c r="A41" s="802"/>
      <c r="B41" s="802"/>
      <c r="C41" s="802"/>
      <c r="D41" s="817" t="s">
        <v>11</v>
      </c>
      <c r="E41" s="814">
        <f>VLOOKUP(A28,DB,20)</f>
        <v>3000000</v>
      </c>
      <c r="F41" s="815">
        <f>IF(LEN(VLOOKUP(A28,DB,21,FALSE))=0," ",(VLOOKUP(A28,DB,21,FALSE)))</f>
        <v>43292</v>
      </c>
      <c r="G41" s="816"/>
    </row>
    <row r="42" spans="1:7" x14ac:dyDescent="0.2">
      <c r="A42" s="802"/>
      <c r="B42" s="802"/>
      <c r="C42" s="802"/>
      <c r="D42" s="817" t="s">
        <v>12</v>
      </c>
      <c r="E42" s="814" t="str">
        <f>VLOOKUP(A28,DB,22)</f>
        <v xml:space="preserve"> LS </v>
      </c>
      <c r="F42" s="815" t="str">
        <f>IF(LEN(VLOOKUP(A28,DB,23,FALSE))=0," ",(VLOOKUP(A28,DB,23,FALSE)))</f>
        <v xml:space="preserve"> </v>
      </c>
      <c r="G42" s="816"/>
    </row>
    <row r="43" spans="1:7" x14ac:dyDescent="0.2">
      <c r="D43" s="817" t="s">
        <v>13</v>
      </c>
      <c r="E43" s="814">
        <f>VLOOKUP(A28,DB,24)</f>
        <v>0</v>
      </c>
      <c r="F43" s="815" t="str">
        <f>IF(LEN(VLOOKUP(A28,DB,25,FALSE))=0," ",(VLOOKUP(A28,DB,25,FALSE)))</f>
        <v xml:space="preserve"> </v>
      </c>
      <c r="G43" s="816"/>
    </row>
    <row r="44" spans="1:7" x14ac:dyDescent="0.2">
      <c r="D44" s="817" t="s">
        <v>14</v>
      </c>
      <c r="E44" s="814">
        <f>VLOOKUP(A28,DB,26)</f>
        <v>0</v>
      </c>
      <c r="F44" s="815" t="str">
        <f>IF(LEN(VLOOKUP(A28,DB,27,FALSE))=0," ",(VLOOKUP(A28,DB,27,FALSE)))</f>
        <v xml:space="preserve"> </v>
      </c>
      <c r="G44" s="816"/>
    </row>
    <row r="45" spans="1:7" x14ac:dyDescent="0.2">
      <c r="D45" s="818" t="s">
        <v>3210</v>
      </c>
      <c r="E45" s="819"/>
      <c r="F45" s="815"/>
      <c r="G45" s="816"/>
    </row>
    <row r="46" spans="1:7" x14ac:dyDescent="0.2">
      <c r="D46" s="818" t="s">
        <v>3211</v>
      </c>
      <c r="E46" s="819">
        <f>VLOOKUP(A28,DB,28)</f>
        <v>1000000</v>
      </c>
      <c r="F46" s="815">
        <f>IFERROR(VLOOKUP(A28,DB,28,FALSE),"  ")</f>
        <v>1000000</v>
      </c>
      <c r="G46" s="816"/>
    </row>
    <row r="47" spans="1:7" x14ac:dyDescent="0.2">
      <c r="D47" s="818" t="s">
        <v>22</v>
      </c>
      <c r="E47" s="820" t="str">
        <f>IFERROR(VLOOKUP(A29,DB,28),"  ")</f>
        <v xml:space="preserve">  </v>
      </c>
      <c r="F47" s="821" t="str">
        <f>IF(LEN(VLOOKUP(A28,DB,31,FALSE))=0," ",(VLOOKUP(A28,DB,31,FALSE)))</f>
        <v xml:space="preserve">  </v>
      </c>
      <c r="G47" s="822">
        <f>IF(LEN(VLOOKUP(A28,DB,8,FALSE))=0,"-",(VLOOKUP(A28,DB,8,FALSE)))</f>
        <v>43467</v>
      </c>
    </row>
    <row r="48" spans="1:7" x14ac:dyDescent="0.2">
      <c r="D48" s="823" t="s">
        <v>3212</v>
      </c>
      <c r="E48" s="824">
        <f>VLOOKUP(A28,DB,35)</f>
        <v>17350000</v>
      </c>
      <c r="F48" s="2359"/>
      <c r="G48" s="2360"/>
    </row>
    <row r="49" spans="4:7" x14ac:dyDescent="0.2">
      <c r="D49" s="823" t="s">
        <v>25</v>
      </c>
      <c r="E49" s="825">
        <f>VLOOKUP(A28,DB,36)</f>
        <v>17350000</v>
      </c>
      <c r="F49" s="2361"/>
      <c r="G49" s="2362"/>
    </row>
    <row r="50" spans="4:7" x14ac:dyDescent="0.2">
      <c r="D50" s="823" t="s">
        <v>3213</v>
      </c>
      <c r="E50" s="826">
        <f>VLOOKUP(A28,DB,37)</f>
        <v>0</v>
      </c>
      <c r="F50" s="2363"/>
      <c r="G50" s="2364"/>
    </row>
  </sheetData>
  <mergeCells count="10">
    <mergeCell ref="B2:G2"/>
    <mergeCell ref="D5:F5"/>
    <mergeCell ref="D6:F6"/>
    <mergeCell ref="E7:F7"/>
    <mergeCell ref="L7:N7"/>
    <mergeCell ref="D29:F29"/>
    <mergeCell ref="D30:F30"/>
    <mergeCell ref="E31:F31"/>
    <mergeCell ref="F48:G50"/>
    <mergeCell ref="F24:G26"/>
  </mergeCells>
  <pageMargins left="0.55118110236220497" right="0.43307086614173201" top="0.511811023622047" bottom="0.43307086614173201" header="0.31496062992126" footer="0.31496062992126"/>
  <pageSetup paperSize="9" scale="105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60"/>
  <sheetViews>
    <sheetView topLeftCell="A31" workbookViewId="0">
      <selection activeCell="C23" sqref="C23"/>
    </sheetView>
  </sheetViews>
  <sheetFormatPr defaultColWidth="9.140625" defaultRowHeight="15" x14ac:dyDescent="0.25"/>
  <cols>
    <col min="1" max="1" width="9.85546875" style="764" customWidth="1"/>
    <col min="2" max="2" width="1.7109375" style="764" customWidth="1"/>
    <col min="3" max="3" width="2.140625" style="764" customWidth="1"/>
    <col min="4" max="4" width="24.140625" style="764" customWidth="1"/>
    <col min="5" max="5" width="12.7109375" style="764" customWidth="1"/>
    <col min="6" max="6" width="12.5703125" style="764" customWidth="1"/>
    <col min="7" max="7" width="16.5703125" style="764" customWidth="1"/>
    <col min="8" max="8" width="13.85546875" style="764" customWidth="1"/>
    <col min="9" max="16384" width="9.140625" style="764"/>
  </cols>
  <sheetData>
    <row r="1" spans="1:9" ht="18.75" x14ac:dyDescent="0.3">
      <c r="C1" s="2354" t="s">
        <v>3175</v>
      </c>
      <c r="D1" s="2354"/>
      <c r="E1" s="2354"/>
      <c r="F1" s="2354"/>
      <c r="G1" s="2354"/>
      <c r="H1" s="2354"/>
      <c r="I1" s="798">
        <v>1742</v>
      </c>
    </row>
    <row r="2" spans="1:9" ht="15.75" x14ac:dyDescent="0.25">
      <c r="C2" s="2355" t="s">
        <v>3176</v>
      </c>
      <c r="D2" s="2355"/>
      <c r="E2" s="2355"/>
      <c r="F2" s="2355"/>
      <c r="G2" s="2355"/>
      <c r="H2" s="2355"/>
    </row>
    <row r="3" spans="1:9" ht="15.75" x14ac:dyDescent="0.25">
      <c r="C3" s="2355" t="s">
        <v>3177</v>
      </c>
      <c r="D3" s="2355"/>
      <c r="E3" s="2355"/>
      <c r="F3" s="2355"/>
      <c r="G3" s="2355"/>
      <c r="H3" s="2355"/>
    </row>
    <row r="4" spans="1:9" x14ac:dyDescent="0.25">
      <c r="C4" s="2356" t="s">
        <v>3178</v>
      </c>
      <c r="D4" s="2356"/>
      <c r="E4" s="2356"/>
      <c r="F4" s="2356"/>
      <c r="G4" s="2356"/>
      <c r="H4" s="2356"/>
    </row>
    <row r="5" spans="1:9" x14ac:dyDescent="0.25">
      <c r="A5" s="765"/>
      <c r="B5" s="765"/>
      <c r="C5" s="2357" t="s">
        <v>3179</v>
      </c>
      <c r="D5" s="2357"/>
      <c r="E5" s="2357"/>
      <c r="F5" s="2357"/>
      <c r="G5" s="2357"/>
      <c r="H5" s="2357"/>
    </row>
    <row r="6" spans="1:9" ht="8.25" customHeight="1" x14ac:dyDescent="0.25">
      <c r="A6" s="767"/>
      <c r="B6" s="767"/>
      <c r="C6" s="767"/>
      <c r="D6" s="767"/>
      <c r="E6" s="767"/>
      <c r="F6" s="767"/>
      <c r="G6" s="767"/>
      <c r="H6" s="767"/>
    </row>
    <row r="7" spans="1:9" ht="14.1" customHeight="1" x14ac:dyDescent="0.25">
      <c r="A7" s="764" t="s">
        <v>3180</v>
      </c>
      <c r="B7" s="764" t="s">
        <v>3181</v>
      </c>
      <c r="C7" s="764" t="s">
        <v>4602</v>
      </c>
      <c r="G7" s="2351">
        <v>43889</v>
      </c>
      <c r="H7" s="2351"/>
    </row>
    <row r="8" spans="1:9" ht="14.1" customHeight="1" x14ac:dyDescent="0.25">
      <c r="A8" s="764" t="s">
        <v>3183</v>
      </c>
      <c r="B8" s="764" t="s">
        <v>3181</v>
      </c>
      <c r="C8" s="2310" t="s">
        <v>3184</v>
      </c>
    </row>
    <row r="9" spans="1:9" ht="14.1" customHeight="1" x14ac:dyDescent="0.25">
      <c r="A9" s="764" t="s">
        <v>3185</v>
      </c>
      <c r="B9" s="764" t="s">
        <v>3181</v>
      </c>
      <c r="C9" s="760" t="s">
        <v>3186</v>
      </c>
    </row>
    <row r="10" spans="1:9" ht="8.25" customHeight="1" x14ac:dyDescent="0.25"/>
    <row r="11" spans="1:9" ht="14.1" customHeight="1" x14ac:dyDescent="0.25">
      <c r="A11" s="760" t="s">
        <v>3187</v>
      </c>
    </row>
    <row r="12" spans="1:9" ht="14.1" customHeight="1" x14ac:dyDescent="0.25">
      <c r="A12" s="768">
        <f>VLOOKUP(I1,DB,3,FALSE)</f>
        <v>849119041</v>
      </c>
    </row>
    <row r="13" spans="1:9" ht="14.1" customHeight="1" x14ac:dyDescent="0.25">
      <c r="A13" s="760" t="s">
        <v>3188</v>
      </c>
    </row>
    <row r="14" spans="1:9" ht="8.25" customHeight="1" x14ac:dyDescent="0.25"/>
    <row r="15" spans="1:9" ht="14.1" customHeight="1" x14ac:dyDescent="0.25">
      <c r="A15" s="2352" t="s">
        <v>3189</v>
      </c>
      <c r="B15" s="2352"/>
      <c r="C15" s="2352"/>
      <c r="D15" s="2352"/>
      <c r="E15" s="2352"/>
      <c r="F15" s="2352"/>
      <c r="G15" s="2352"/>
      <c r="H15" s="2352"/>
    </row>
    <row r="16" spans="1:9" ht="14.1" customHeight="1" x14ac:dyDescent="0.25">
      <c r="A16" s="770" t="s">
        <v>3190</v>
      </c>
      <c r="B16" s="769"/>
      <c r="C16" s="769"/>
      <c r="D16" s="769"/>
      <c r="E16" s="769"/>
      <c r="F16" s="769"/>
      <c r="G16" s="769"/>
      <c r="H16" s="769"/>
    </row>
    <row r="17" spans="1:8" ht="14.1" customHeight="1" x14ac:dyDescent="0.25">
      <c r="A17" s="770" t="s">
        <v>3191</v>
      </c>
      <c r="B17" s="771"/>
      <c r="C17" s="771"/>
      <c r="D17" s="771"/>
      <c r="E17" s="771"/>
      <c r="F17" s="769"/>
      <c r="G17" s="769"/>
      <c r="H17" s="769"/>
    </row>
    <row r="18" spans="1:8" ht="14.1" customHeight="1" x14ac:dyDescent="0.25">
      <c r="A18" s="2353" t="s">
        <v>3192</v>
      </c>
      <c r="B18" s="2353"/>
      <c r="C18" s="2353"/>
      <c r="D18" s="2353"/>
      <c r="E18" s="2353"/>
      <c r="F18" s="769"/>
      <c r="G18" s="769"/>
      <c r="H18" s="769"/>
    </row>
    <row r="19" spans="1:8" ht="14.1" customHeight="1" x14ac:dyDescent="0.25">
      <c r="A19" s="772" t="s">
        <v>3193</v>
      </c>
      <c r="B19" s="773" t="s">
        <v>3181</v>
      </c>
      <c r="C19" s="2344" t="str">
        <f>VLOOKUP(I1,DB,4,FALSE)</f>
        <v>MUHLISIN</v>
      </c>
      <c r="D19" s="2345"/>
      <c r="E19" s="2345"/>
    </row>
    <row r="20" spans="1:8" ht="14.1" customHeight="1" x14ac:dyDescent="0.25">
      <c r="A20" s="772" t="s">
        <v>3194</v>
      </c>
      <c r="B20" s="773" t="s">
        <v>3181</v>
      </c>
      <c r="C20" s="2344" t="str">
        <f>VLOOKUP(I1,DB,5,FALSE)</f>
        <v>MPI-3B</v>
      </c>
      <c r="D20" s="2345"/>
      <c r="E20" s="2345"/>
    </row>
    <row r="21" spans="1:8" ht="14.1" customHeight="1" x14ac:dyDescent="0.25">
      <c r="A21" s="772" t="s">
        <v>1</v>
      </c>
      <c r="B21" s="773" t="s">
        <v>3181</v>
      </c>
      <c r="C21" s="2343">
        <f>VLOOKUP(I1,DB,3,FALSE)</f>
        <v>849119041</v>
      </c>
      <c r="D21" s="2343"/>
      <c r="E21" s="2343"/>
    </row>
    <row r="22" spans="1:8" ht="14.1" customHeight="1" x14ac:dyDescent="0.25">
      <c r="A22" s="772" t="s">
        <v>3195</v>
      </c>
      <c r="B22" s="773" t="s">
        <v>3181</v>
      </c>
      <c r="C22" s="2344" t="str">
        <f>VLOOKUP($I$1,DB,7,FALSE)</f>
        <v>AKTIF</v>
      </c>
      <c r="D22" s="2345"/>
      <c r="E22" s="2345"/>
    </row>
    <row r="23" spans="1:8" ht="8.25" customHeight="1" x14ac:dyDescent="0.25">
      <c r="A23" s="768"/>
      <c r="B23" s="768"/>
      <c r="C23" s="768"/>
      <c r="D23" s="768"/>
      <c r="E23" s="768"/>
    </row>
    <row r="24" spans="1:8" ht="14.1" customHeight="1" x14ac:dyDescent="0.25">
      <c r="A24" s="768"/>
      <c r="B24" s="768"/>
      <c r="C24" s="768"/>
      <c r="D24" s="774" t="s">
        <v>3196</v>
      </c>
      <c r="E24" s="774" t="s">
        <v>29</v>
      </c>
      <c r="F24" s="774" t="s">
        <v>30</v>
      </c>
      <c r="G24" s="774" t="s">
        <v>3197</v>
      </c>
    </row>
    <row r="25" spans="1:8" ht="14.1" customHeight="1" x14ac:dyDescent="0.25">
      <c r="A25" s="768"/>
      <c r="B25" s="768"/>
      <c r="C25" s="768"/>
      <c r="D25" s="775" t="s">
        <v>6</v>
      </c>
      <c r="E25" s="776">
        <f>VLOOKUP(I1,DB,10)</f>
        <v>2700000</v>
      </c>
      <c r="F25" s="777">
        <f>IF(LEN(VLOOKUP(I1,DB,11,FALSE))=0,"-",(VLOOKUP(I1,DB,11,FALSE)))</f>
        <v>43696.403622685197</v>
      </c>
      <c r="G25" s="778" t="s">
        <v>3198</v>
      </c>
    </row>
    <row r="26" spans="1:8" ht="14.1" customHeight="1" x14ac:dyDescent="0.25">
      <c r="A26" s="768"/>
      <c r="B26" s="768"/>
      <c r="C26" s="768"/>
      <c r="D26" s="775" t="s">
        <v>3199</v>
      </c>
      <c r="E26" s="776">
        <f>VLOOKUP(I1,DB,12,FALSE)</f>
        <v>3750000</v>
      </c>
      <c r="F26" s="777">
        <f>IF(LEN(VLOOKUP(I1,DB,13,FALSE))=0," ",(VLOOKUP(I1,DB,13,FALSE)))</f>
        <v>43696.403622685197</v>
      </c>
      <c r="G26" s="778" t="s">
        <v>3198</v>
      </c>
    </row>
    <row r="27" spans="1:8" ht="14.1" customHeight="1" x14ac:dyDescent="0.25">
      <c r="A27" s="768"/>
      <c r="B27" s="768"/>
      <c r="C27" s="768"/>
      <c r="D27" s="775" t="s">
        <v>3200</v>
      </c>
      <c r="E27" s="776">
        <f>VLOOKUP(I1,DB,14)</f>
        <v>3750000</v>
      </c>
      <c r="F27" s="777">
        <f>IF(LEN(VLOOKUP(I1,DB,15,FALSE))=0," ",(VLOOKUP(I1,DB,15,FALSE)))</f>
        <v>43859.442557870403</v>
      </c>
      <c r="G27" s="778" t="s">
        <v>3198</v>
      </c>
    </row>
    <row r="28" spans="1:8" ht="14.1" customHeight="1" x14ac:dyDescent="0.25">
      <c r="A28" s="768"/>
      <c r="B28" s="768"/>
      <c r="C28" s="768"/>
      <c r="D28" s="775" t="s">
        <v>3201</v>
      </c>
      <c r="E28" s="776">
        <f>VLOOKUP(I1,DB,16)</f>
        <v>3750000</v>
      </c>
      <c r="F28" s="777">
        <f>IF(LEN(VLOOKUP(I1,DB,17,FALSE))=0," ",(VLOOKUP(I1,DB,17,FALSE)))</f>
        <v>44068.346076388902</v>
      </c>
      <c r="G28" s="778" t="s">
        <v>3206</v>
      </c>
    </row>
    <row r="29" spans="1:8" ht="14.1" customHeight="1" x14ac:dyDescent="0.25">
      <c r="A29" s="768"/>
      <c r="B29" s="768"/>
      <c r="C29" s="768"/>
      <c r="D29" s="779" t="s">
        <v>3202</v>
      </c>
      <c r="E29" s="776">
        <f>VLOOKUP(I1,DB,18)</f>
        <v>0</v>
      </c>
      <c r="F29" s="777" t="str">
        <f>IF(LEN(VLOOKUP(I1,DB,19,FALSE))=0," ",(VLOOKUP(I1,DB,19,FALSE)))</f>
        <v xml:space="preserve"> </v>
      </c>
      <c r="G29" s="778" t="s">
        <v>3206</v>
      </c>
    </row>
    <row r="30" spans="1:8" ht="14.1" customHeight="1" x14ac:dyDescent="0.25">
      <c r="A30" s="768"/>
      <c r="B30" s="768"/>
      <c r="C30" s="768"/>
      <c r="D30" s="779" t="s">
        <v>3203</v>
      </c>
      <c r="E30" s="776">
        <f>VLOOKUP(I1,DB,20)</f>
        <v>0</v>
      </c>
      <c r="F30" s="777" t="str">
        <f>IF(LEN(VLOOKUP(I1,DB,21,FALSE))=0," ",(VLOOKUP(I1,DB,21,FALSE)))</f>
        <v xml:space="preserve"> </v>
      </c>
      <c r="G30" s="778" t="s">
        <v>3206</v>
      </c>
    </row>
    <row r="31" spans="1:8" ht="14.1" customHeight="1" x14ac:dyDescent="0.25">
      <c r="A31" s="768"/>
      <c r="B31" s="768"/>
      <c r="C31" s="768"/>
      <c r="D31" s="779" t="s">
        <v>3205</v>
      </c>
      <c r="E31" s="776">
        <f>VLOOKUP(I1,DB,22)</f>
        <v>0</v>
      </c>
      <c r="F31" s="777" t="str">
        <f>IF(LEN(VLOOKUP(I1,DB,23,FALSE))=0," ",(VLOOKUP(I1,DB,23,FALSE)))</f>
        <v xml:space="preserve"> </v>
      </c>
      <c r="G31" s="778" t="s">
        <v>3206</v>
      </c>
    </row>
    <row r="32" spans="1:8" ht="14.1" customHeight="1" x14ac:dyDescent="0.25">
      <c r="A32" s="768"/>
      <c r="B32" s="768"/>
      <c r="C32" s="768"/>
      <c r="D32" s="779" t="s">
        <v>4603</v>
      </c>
      <c r="E32" s="776">
        <f>VLOOKUP(I1,DB,24)</f>
        <v>0</v>
      </c>
      <c r="F32" s="777" t="str">
        <f>IF(LEN(VLOOKUP(I1,DB,25,FALSE))=0," ",(VLOOKUP(I1,DB,25,FALSE)))</f>
        <v xml:space="preserve"> </v>
      </c>
      <c r="G32" s="778"/>
    </row>
    <row r="33" spans="1:7" ht="14.1" customHeight="1" x14ac:dyDescent="0.25">
      <c r="A33" s="768"/>
      <c r="B33" s="768"/>
      <c r="C33" s="768"/>
      <c r="D33" s="779" t="s">
        <v>4604</v>
      </c>
      <c r="E33" s="776">
        <f>VLOOKUP(I1,DB,26)</f>
        <v>0</v>
      </c>
      <c r="F33" s="777" t="str">
        <f>IF(LEN(VLOOKUP(I1,DB,27,FALSE))=0," ",(VLOOKUP(I1,DB,27,FALSE)))</f>
        <v xml:space="preserve"> </v>
      </c>
      <c r="G33" s="778"/>
    </row>
    <row r="34" spans="1:7" ht="14.1" customHeight="1" x14ac:dyDescent="0.25">
      <c r="A34" s="768"/>
      <c r="B34" s="768"/>
      <c r="C34" s="768"/>
      <c r="D34" s="779" t="s">
        <v>4605</v>
      </c>
      <c r="E34" s="776">
        <f>IFERROR(VLOOKUP(I1,DB,28,FALSE),"  ")</f>
        <v>0</v>
      </c>
      <c r="F34" s="777" t="str">
        <f>IF(LEN(VLOOKUP(I1,DB,29,FALSE))=0," ",(VLOOKUP(I1,DB,29,FALSE)))</f>
        <v xml:space="preserve"> </v>
      </c>
      <c r="G34" s="778"/>
    </row>
    <row r="35" spans="1:7" ht="14.1" customHeight="1" x14ac:dyDescent="0.25">
      <c r="A35" s="768"/>
      <c r="B35" s="768"/>
      <c r="C35" s="768"/>
      <c r="D35" s="779" t="s">
        <v>4606</v>
      </c>
      <c r="E35" s="776">
        <f>IFERROR(VLOOKUP(I1,DB,30,FALSE)," ")</f>
        <v>0</v>
      </c>
      <c r="F35" s="777" t="str">
        <f>IF(LEN(VLOOKUP(I1,DB,31,FALSE))=0," ",(VLOOKUP(I1,DB,31,FALSE)))</f>
        <v xml:space="preserve"> </v>
      </c>
      <c r="G35" s="778"/>
    </row>
    <row r="36" spans="1:7" ht="14.1" customHeight="1" x14ac:dyDescent="0.25">
      <c r="A36" s="768"/>
      <c r="B36" s="768"/>
      <c r="C36" s="768"/>
      <c r="D36" s="779" t="s">
        <v>4607</v>
      </c>
      <c r="E36" s="776">
        <f>IFERROR(VLOOKUP(I1,DB,32,FALSE),"  ")</f>
        <v>0</v>
      </c>
      <c r="F36" s="777" t="str">
        <f>IF(LEN(VLOOKUP(I1,DB,33,FALSE))=0," ",(VLOOKUP(I1,DB,33,FALSE)))</f>
        <v xml:space="preserve"> </v>
      </c>
      <c r="G36" s="778"/>
    </row>
    <row r="37" spans="1:7" ht="14.1" customHeight="1" x14ac:dyDescent="0.25">
      <c r="A37" s="768"/>
      <c r="B37" s="768"/>
      <c r="C37" s="768"/>
      <c r="D37" s="779" t="s">
        <v>4608</v>
      </c>
      <c r="E37" s="776">
        <f>IFERROR(VLOOKUP(I1,DB,39,FALSE),"  ")</f>
        <v>0</v>
      </c>
      <c r="F37" s="777" t="str">
        <f>IF(LEN(VLOOKUP(I1,DB,40,FALSE))=0," ",(VLOOKUP(I1,DB,40,FALSE)))</f>
        <v xml:space="preserve"> </v>
      </c>
      <c r="G37" s="778"/>
    </row>
    <row r="38" spans="1:7" ht="14.1" customHeight="1" x14ac:dyDescent="0.25">
      <c r="A38" s="768"/>
      <c r="B38" s="768"/>
      <c r="C38" s="768"/>
      <c r="D38" s="780" t="s">
        <v>4590</v>
      </c>
      <c r="E38" s="776"/>
      <c r="F38" s="777"/>
      <c r="G38" s="778"/>
    </row>
    <row r="39" spans="1:7" ht="14.1" customHeight="1" x14ac:dyDescent="0.25">
      <c r="A39" s="768"/>
      <c r="B39" s="768"/>
      <c r="C39" s="768"/>
      <c r="D39" s="781" t="s">
        <v>4591</v>
      </c>
      <c r="E39" s="782">
        <f>IFERROR(VLOOKUP(I1,DB,43,FALSE),"  ")</f>
        <v>0</v>
      </c>
      <c r="F39" s="783" t="str">
        <f>IF(LEN(VLOOKUP(I1,DB,44,FALSE))=0," ",(VLOOKUP(I1,DB,44,FALSE)))</f>
        <v xml:space="preserve"> </v>
      </c>
      <c r="G39" s="778"/>
    </row>
    <row r="40" spans="1:7" ht="14.1" customHeight="1" x14ac:dyDescent="0.25">
      <c r="A40" s="768"/>
      <c r="B40" s="768"/>
      <c r="C40" s="768"/>
      <c r="D40" s="784" t="s">
        <v>4592</v>
      </c>
      <c r="E40" s="785">
        <f>IFERROR(VLOOKUP(I1,DB,45,FALSE),"  ")</f>
        <v>0</v>
      </c>
      <c r="F40" s="786" t="str">
        <f>IF(LEN(VLOOKUP(I1,DB,46,FALSE))=0," ",(VLOOKUP(I1,DB,46,FALSE)))</f>
        <v xml:space="preserve"> </v>
      </c>
      <c r="G40" s="778"/>
    </row>
    <row r="41" spans="1:7" ht="14.1" customHeight="1" x14ac:dyDescent="0.25">
      <c r="A41" s="768"/>
      <c r="B41" s="768"/>
      <c r="C41" s="768"/>
      <c r="D41" s="784" t="s">
        <v>4593</v>
      </c>
      <c r="E41" s="785">
        <f>IFERROR(VLOOKUP(I1,DB,47,FALSE),"  ")</f>
        <v>0</v>
      </c>
      <c r="F41" s="786" t="str">
        <f>IF(LEN(VLOOKUP(I1,DB,48,FALSE))=0," ",(VLOOKUP(I1,DB,48,FALSE)))</f>
        <v xml:space="preserve"> </v>
      </c>
      <c r="G41" s="778"/>
    </row>
    <row r="42" spans="1:7" ht="14.1" customHeight="1" x14ac:dyDescent="0.25">
      <c r="A42" s="768"/>
      <c r="B42" s="768"/>
      <c r="C42" s="768"/>
      <c r="D42" s="784" t="s">
        <v>4594</v>
      </c>
      <c r="E42" s="785">
        <f>IFERROR(VLOOKUP(I1,DB,49,FALSE),"  ")</f>
        <v>0</v>
      </c>
      <c r="F42" s="786" t="str">
        <f>IF(LEN(VLOOKUP(I1,DB,50,FALSE))=0," ",(VLOOKUP(I1,DB,50,FALSE)))</f>
        <v xml:space="preserve"> </v>
      </c>
      <c r="G42" s="778"/>
    </row>
    <row r="43" spans="1:7" ht="14.1" customHeight="1" x14ac:dyDescent="0.25">
      <c r="C43" s="787"/>
      <c r="D43" s="788" t="s">
        <v>4595</v>
      </c>
      <c r="E43" s="789">
        <f>IFERROR(VLOOKUP(I1,DB,51,FALSE),"  ")</f>
        <v>0</v>
      </c>
      <c r="F43" s="790" t="str">
        <f>IF(LEN(VLOOKUP(I1,DB,52,FALSE))=0," ",(VLOOKUP(I1,DB,52,FALSE)))</f>
        <v xml:space="preserve"> </v>
      </c>
      <c r="G43" s="778"/>
    </row>
    <row r="44" spans="1:7" ht="14.1" customHeight="1" x14ac:dyDescent="0.25">
      <c r="C44" s="787"/>
      <c r="D44" s="788" t="s">
        <v>22</v>
      </c>
      <c r="E44" s="789" t="str">
        <f>IFERROR(VLOOKUP(A20,DB,53,FALSE),"  ")</f>
        <v xml:space="preserve">  </v>
      </c>
      <c r="F44" s="790" t="str">
        <f>IF(LEN(VLOOKUP(I1,DB,54,FALSE))=0," ",(VLOOKUP(I1,DB,54,FALSE)))</f>
        <v xml:space="preserve"> </v>
      </c>
      <c r="G44" s="791"/>
    </row>
    <row r="45" spans="1:7" ht="14.1" customHeight="1" x14ac:dyDescent="0.25">
      <c r="C45" s="787"/>
      <c r="D45" s="775" t="s">
        <v>3212</v>
      </c>
      <c r="E45" s="792">
        <f>VLOOKUP(I1,DB,35)</f>
        <v>13950000</v>
      </c>
      <c r="F45" s="2347"/>
      <c r="G45" s="2348"/>
    </row>
    <row r="46" spans="1:7" ht="14.1" customHeight="1" x14ac:dyDescent="0.25">
      <c r="C46" s="787"/>
      <c r="D46" s="775" t="s">
        <v>25</v>
      </c>
      <c r="E46" s="793">
        <f>VLOOKUP(I1,DB,36)</f>
        <v>13950000</v>
      </c>
      <c r="F46" s="2347"/>
      <c r="G46" s="2348"/>
    </row>
    <row r="47" spans="1:7" ht="14.1" customHeight="1" x14ac:dyDescent="0.25">
      <c r="C47" s="794"/>
      <c r="D47" s="795" t="s">
        <v>3213</v>
      </c>
      <c r="E47" s="796">
        <f>VLOOKUP(I1,DB,37)</f>
        <v>0</v>
      </c>
      <c r="F47" s="2349"/>
      <c r="G47" s="2350"/>
    </row>
    <row r="48" spans="1:7" ht="8.25" customHeight="1" x14ac:dyDescent="0.25"/>
    <row r="49" spans="1:8" ht="14.1" customHeight="1" x14ac:dyDescent="0.25">
      <c r="A49" s="2346" t="s">
        <v>4609</v>
      </c>
      <c r="B49" s="2346"/>
      <c r="C49" s="2346"/>
      <c r="D49" s="2346"/>
      <c r="E49" s="2346"/>
      <c r="F49" s="2346"/>
      <c r="G49" s="2346"/>
      <c r="H49" s="2346"/>
    </row>
    <row r="50" spans="1:8" ht="8.25" customHeight="1" x14ac:dyDescent="0.25"/>
    <row r="51" spans="1:8" ht="14.1" customHeight="1" x14ac:dyDescent="0.25">
      <c r="A51" s="760" t="s">
        <v>3215</v>
      </c>
    </row>
    <row r="52" spans="1:8" ht="14.1" customHeight="1" x14ac:dyDescent="0.25">
      <c r="A52" s="760" t="s">
        <v>4610</v>
      </c>
    </row>
    <row r="53" spans="1:8" ht="8.25" customHeight="1" x14ac:dyDescent="0.25"/>
    <row r="54" spans="1:8" ht="14.1" customHeight="1" x14ac:dyDescent="0.25">
      <c r="A54" s="760" t="s">
        <v>3217</v>
      </c>
    </row>
    <row r="55" spans="1:8" ht="9.75" customHeight="1" x14ac:dyDescent="0.25"/>
    <row r="57" spans="1:8" x14ac:dyDescent="0.25">
      <c r="D57" s="797"/>
      <c r="G57" s="758" t="s">
        <v>3218</v>
      </c>
    </row>
    <row r="58" spans="1:8" x14ac:dyDescent="0.25">
      <c r="G58" s="758"/>
    </row>
    <row r="59" spans="1:8" ht="27" customHeight="1" x14ac:dyDescent="0.25"/>
    <row r="60" spans="1:8" x14ac:dyDescent="0.25">
      <c r="G60" s="760" t="s">
        <v>3219</v>
      </c>
    </row>
  </sheetData>
  <mergeCells count="14">
    <mergeCell ref="C1:H1"/>
    <mergeCell ref="C2:H2"/>
    <mergeCell ref="C3:H3"/>
    <mergeCell ref="C4:H4"/>
    <mergeCell ref="C5:H5"/>
    <mergeCell ref="C21:E21"/>
    <mergeCell ref="C22:E22"/>
    <mergeCell ref="A49:H49"/>
    <mergeCell ref="F45:G47"/>
    <mergeCell ref="G7:H7"/>
    <mergeCell ref="A15:H15"/>
    <mergeCell ref="A18:E18"/>
    <mergeCell ref="C19:E19"/>
    <mergeCell ref="C20:E20"/>
  </mergeCells>
  <pageMargins left="0.47244094488188998" right="0.39370078740157499" top="0.118110236220472" bottom="0.118110236220472" header="0.31496062992126" footer="0.31496062992126"/>
  <pageSetup paperSize="9" scale="95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482"/>
  <sheetViews>
    <sheetView workbookViewId="0"/>
  </sheetViews>
  <sheetFormatPr defaultColWidth="9.140625" defaultRowHeight="15" x14ac:dyDescent="0.25"/>
  <cols>
    <col min="1" max="1" width="9.42578125" style="758" customWidth="1"/>
    <col min="2" max="2" width="7.42578125" style="758" customWidth="1"/>
    <col min="3" max="3" width="15" style="758" customWidth="1"/>
    <col min="4" max="4" width="40.140625" customWidth="1"/>
    <col min="5" max="5" width="2.85546875" customWidth="1"/>
    <col min="6" max="6" width="10.42578125" style="763" customWidth="1"/>
    <col min="7" max="8" width="7.28515625" style="759" customWidth="1"/>
    <col min="9" max="11" width="6.28515625" style="758" customWidth="1"/>
    <col min="12" max="14" width="5.42578125" style="758" customWidth="1"/>
    <col min="15" max="16384" width="9.140625" style="758"/>
  </cols>
  <sheetData>
    <row r="1" spans="1:14" x14ac:dyDescent="0.25">
      <c r="A1" s="760" t="s">
        <v>4611</v>
      </c>
      <c r="B1" s="760" t="s">
        <v>4612</v>
      </c>
      <c r="C1" s="760" t="s">
        <v>4613</v>
      </c>
      <c r="D1" s="761" t="s">
        <v>4614</v>
      </c>
      <c r="E1" s="761" t="s">
        <v>4615</v>
      </c>
      <c r="F1" s="761" t="s">
        <v>4616</v>
      </c>
      <c r="G1" s="762" t="s">
        <v>4617</v>
      </c>
      <c r="H1" s="762"/>
      <c r="I1" s="760" t="s">
        <v>4618</v>
      </c>
      <c r="J1" s="760" t="s">
        <v>4619</v>
      </c>
      <c r="K1" s="760" t="s">
        <v>4620</v>
      </c>
      <c r="L1" s="760" t="s">
        <v>4621</v>
      </c>
      <c r="M1" s="760" t="s">
        <v>4622</v>
      </c>
      <c r="N1" s="760" t="s">
        <v>4623</v>
      </c>
    </row>
    <row r="2" spans="1:14" x14ac:dyDescent="0.25">
      <c r="A2" s="758">
        <v>2019</v>
      </c>
      <c r="B2" s="758">
        <v>1</v>
      </c>
      <c r="C2" s="758">
        <v>19300000030</v>
      </c>
      <c r="D2" t="s">
        <v>2310</v>
      </c>
      <c r="E2" t="s">
        <v>4624</v>
      </c>
      <c r="F2" s="763">
        <v>43292</v>
      </c>
      <c r="G2" s="759">
        <v>1</v>
      </c>
      <c r="I2" s="758">
        <v>86130</v>
      </c>
    </row>
    <row r="3" spans="1:14" x14ac:dyDescent="0.25">
      <c r="B3" s="758">
        <v>2</v>
      </c>
      <c r="C3" s="758">
        <v>19300000035</v>
      </c>
      <c r="D3" t="s">
        <v>1589</v>
      </c>
      <c r="E3" t="s">
        <v>4624</v>
      </c>
      <c r="F3" s="763">
        <v>43292</v>
      </c>
      <c r="G3" s="759">
        <v>1</v>
      </c>
      <c r="I3" s="758">
        <v>86130</v>
      </c>
    </row>
    <row r="4" spans="1:14" x14ac:dyDescent="0.25">
      <c r="B4" s="758">
        <v>3</v>
      </c>
      <c r="C4" s="758">
        <v>19300000036</v>
      </c>
      <c r="D4" t="s">
        <v>2305</v>
      </c>
      <c r="E4" t="s">
        <v>4625</v>
      </c>
      <c r="F4" s="763">
        <v>43292</v>
      </c>
      <c r="G4" s="759">
        <v>1</v>
      </c>
      <c r="I4" s="758">
        <v>86130</v>
      </c>
    </row>
    <row r="5" spans="1:14" x14ac:dyDescent="0.25">
      <c r="B5" s="758">
        <v>4</v>
      </c>
      <c r="C5" s="758">
        <v>19300000037</v>
      </c>
      <c r="D5" t="s">
        <v>2314</v>
      </c>
      <c r="E5" t="s">
        <v>4625</v>
      </c>
      <c r="F5" s="763">
        <v>43292</v>
      </c>
      <c r="G5" s="759">
        <v>1</v>
      </c>
      <c r="I5" s="758">
        <v>86130</v>
      </c>
    </row>
    <row r="6" spans="1:14" x14ac:dyDescent="0.25">
      <c r="B6" s="758">
        <v>5</v>
      </c>
      <c r="C6" s="758">
        <v>19300000074</v>
      </c>
      <c r="D6" t="s">
        <v>2299</v>
      </c>
      <c r="E6" t="s">
        <v>4625</v>
      </c>
      <c r="F6" s="763">
        <v>43292</v>
      </c>
      <c r="G6" s="759">
        <v>1</v>
      </c>
      <c r="I6" s="758">
        <v>86130</v>
      </c>
    </row>
    <row r="7" spans="1:14" x14ac:dyDescent="0.25">
      <c r="B7" s="758">
        <v>6</v>
      </c>
      <c r="C7" s="758">
        <v>19300000090</v>
      </c>
      <c r="D7" t="s">
        <v>2304</v>
      </c>
      <c r="E7" t="s">
        <v>4625</v>
      </c>
      <c r="F7" s="763">
        <v>43292</v>
      </c>
      <c r="G7" s="759">
        <v>1</v>
      </c>
      <c r="I7" s="758">
        <v>86130</v>
      </c>
    </row>
    <row r="8" spans="1:14" x14ac:dyDescent="0.25">
      <c r="B8" s="758">
        <v>7</v>
      </c>
      <c r="C8" s="758">
        <v>19300000108</v>
      </c>
      <c r="D8" t="s">
        <v>2297</v>
      </c>
      <c r="E8" t="s">
        <v>4625</v>
      </c>
      <c r="F8" s="763">
        <v>43292</v>
      </c>
      <c r="G8" s="759">
        <v>1</v>
      </c>
      <c r="I8" s="758">
        <v>86130</v>
      </c>
    </row>
    <row r="9" spans="1:14" x14ac:dyDescent="0.25">
      <c r="B9" s="758">
        <v>8</v>
      </c>
      <c r="C9" s="758">
        <v>19300000116</v>
      </c>
      <c r="D9" t="s">
        <v>2302</v>
      </c>
      <c r="E9" t="s">
        <v>4624</v>
      </c>
      <c r="F9" s="763">
        <v>43292</v>
      </c>
      <c r="G9" s="759">
        <v>1</v>
      </c>
      <c r="I9" s="758">
        <v>86130</v>
      </c>
    </row>
    <row r="10" spans="1:14" x14ac:dyDescent="0.25">
      <c r="B10" s="758">
        <v>9</v>
      </c>
      <c r="C10" s="758">
        <v>19300000147</v>
      </c>
      <c r="D10" t="s">
        <v>2313</v>
      </c>
      <c r="E10" t="s">
        <v>4625</v>
      </c>
      <c r="F10" s="763">
        <v>43292</v>
      </c>
      <c r="G10" s="759">
        <v>1</v>
      </c>
      <c r="I10" s="758">
        <v>86130</v>
      </c>
    </row>
    <row r="11" spans="1:14" x14ac:dyDescent="0.25">
      <c r="B11" s="758">
        <v>10</v>
      </c>
      <c r="C11" s="758">
        <v>19300000149</v>
      </c>
      <c r="D11" t="s">
        <v>2301</v>
      </c>
      <c r="E11" t="s">
        <v>4625</v>
      </c>
      <c r="F11" s="763">
        <v>43292</v>
      </c>
      <c r="G11" s="759">
        <v>1</v>
      </c>
      <c r="I11" s="758">
        <v>86130</v>
      </c>
    </row>
    <row r="12" spans="1:14" x14ac:dyDescent="0.25">
      <c r="B12" s="758">
        <v>11</v>
      </c>
      <c r="C12" s="758">
        <v>19300000152</v>
      </c>
      <c r="D12" t="s">
        <v>2300</v>
      </c>
      <c r="E12" t="s">
        <v>4625</v>
      </c>
      <c r="F12" s="763">
        <v>43292</v>
      </c>
      <c r="G12" s="759">
        <v>1</v>
      </c>
      <c r="I12" s="758">
        <v>86130</v>
      </c>
    </row>
    <row r="13" spans="1:14" x14ac:dyDescent="0.25">
      <c r="B13" s="758">
        <v>12</v>
      </c>
      <c r="C13" s="758">
        <v>19300000153</v>
      </c>
      <c r="D13" t="s">
        <v>2316</v>
      </c>
      <c r="E13" t="s">
        <v>4625</v>
      </c>
      <c r="F13" s="763">
        <v>43292</v>
      </c>
      <c r="G13" s="759">
        <v>1</v>
      </c>
      <c r="I13" s="758">
        <v>86130</v>
      </c>
    </row>
    <row r="14" spans="1:14" x14ac:dyDescent="0.25">
      <c r="B14" s="758">
        <v>13</v>
      </c>
      <c r="C14" s="758">
        <v>19300000156</v>
      </c>
      <c r="D14" t="s">
        <v>2315</v>
      </c>
      <c r="E14" t="s">
        <v>4624</v>
      </c>
      <c r="F14" s="763">
        <v>43292</v>
      </c>
      <c r="G14" s="759">
        <v>1</v>
      </c>
      <c r="I14" s="758">
        <v>86130</v>
      </c>
    </row>
    <row r="15" spans="1:14" x14ac:dyDescent="0.25">
      <c r="B15" s="758">
        <v>14</v>
      </c>
      <c r="C15" s="758">
        <v>19300000160</v>
      </c>
      <c r="D15" t="s">
        <v>2306</v>
      </c>
      <c r="E15" t="s">
        <v>4625</v>
      </c>
      <c r="F15" s="763">
        <v>43292</v>
      </c>
      <c r="G15" s="759">
        <v>1</v>
      </c>
      <c r="I15" s="758">
        <v>86130</v>
      </c>
    </row>
    <row r="16" spans="1:14" x14ac:dyDescent="0.25">
      <c r="B16" s="758">
        <v>15</v>
      </c>
      <c r="C16" s="758">
        <v>19300000198</v>
      </c>
      <c r="D16" t="s">
        <v>2311</v>
      </c>
      <c r="E16" t="s">
        <v>4624</v>
      </c>
      <c r="F16" s="763">
        <v>43292</v>
      </c>
      <c r="G16" s="759">
        <v>1</v>
      </c>
      <c r="I16" s="758">
        <v>86130</v>
      </c>
    </row>
    <row r="17" spans="2:9" x14ac:dyDescent="0.25">
      <c r="B17" s="758">
        <v>16</v>
      </c>
      <c r="C17" s="758">
        <v>19300000245</v>
      </c>
      <c r="D17" t="s">
        <v>2309</v>
      </c>
      <c r="E17" t="s">
        <v>4625</v>
      </c>
      <c r="F17" s="763">
        <v>43292</v>
      </c>
      <c r="G17" s="759">
        <v>1</v>
      </c>
      <c r="I17" s="758">
        <v>86130</v>
      </c>
    </row>
    <row r="18" spans="2:9" x14ac:dyDescent="0.25">
      <c r="B18" s="758">
        <v>17</v>
      </c>
      <c r="C18" s="758">
        <v>19300000264</v>
      </c>
      <c r="D18" t="s">
        <v>2307</v>
      </c>
      <c r="E18" t="s">
        <v>4625</v>
      </c>
      <c r="F18" s="763">
        <v>43292</v>
      </c>
      <c r="G18" s="759">
        <v>1</v>
      </c>
      <c r="I18" s="758">
        <v>86130</v>
      </c>
    </row>
    <row r="19" spans="2:9" x14ac:dyDescent="0.25">
      <c r="B19" s="758">
        <v>18</v>
      </c>
      <c r="C19" s="758">
        <v>19300000290</v>
      </c>
      <c r="D19" t="s">
        <v>2308</v>
      </c>
      <c r="E19" t="s">
        <v>4625</v>
      </c>
      <c r="F19" s="763">
        <v>43292</v>
      </c>
      <c r="G19" s="759">
        <v>1</v>
      </c>
      <c r="I19" s="758">
        <v>86130</v>
      </c>
    </row>
    <row r="20" spans="2:9" x14ac:dyDescent="0.25">
      <c r="B20" s="758">
        <v>19</v>
      </c>
      <c r="C20" s="758">
        <v>19300000305</v>
      </c>
      <c r="D20" t="s">
        <v>2312</v>
      </c>
      <c r="E20" t="s">
        <v>4625</v>
      </c>
      <c r="F20" s="763">
        <v>43292</v>
      </c>
      <c r="G20" s="759">
        <v>1</v>
      </c>
      <c r="I20" s="758">
        <v>86130</v>
      </c>
    </row>
    <row r="21" spans="2:9" x14ac:dyDescent="0.25">
      <c r="B21" s="758">
        <v>20</v>
      </c>
      <c r="C21" s="758">
        <v>19300000327</v>
      </c>
      <c r="D21" t="s">
        <v>2303</v>
      </c>
      <c r="E21" t="s">
        <v>4625</v>
      </c>
      <c r="F21" s="763">
        <v>43292</v>
      </c>
      <c r="G21" s="759">
        <v>1</v>
      </c>
      <c r="I21" s="758">
        <v>86130</v>
      </c>
    </row>
    <row r="22" spans="2:9" x14ac:dyDescent="0.25">
      <c r="B22" s="758">
        <v>21</v>
      </c>
      <c r="C22" s="758">
        <v>19300000321</v>
      </c>
      <c r="D22" t="s">
        <v>2388</v>
      </c>
      <c r="E22" t="s">
        <v>4624</v>
      </c>
      <c r="F22" s="763">
        <v>43292</v>
      </c>
      <c r="G22" s="759">
        <v>0</v>
      </c>
      <c r="I22" s="758">
        <v>86130</v>
      </c>
    </row>
    <row r="23" spans="2:9" x14ac:dyDescent="0.25">
      <c r="B23" s="758">
        <v>22</v>
      </c>
      <c r="C23" s="758">
        <v>19300000010</v>
      </c>
      <c r="D23" t="s">
        <v>1853</v>
      </c>
      <c r="E23" t="s">
        <v>4625</v>
      </c>
      <c r="F23" s="763">
        <v>43292</v>
      </c>
      <c r="G23" s="759">
        <v>0</v>
      </c>
      <c r="I23" s="758">
        <v>86130</v>
      </c>
    </row>
    <row r="24" spans="2:9" x14ac:dyDescent="0.25">
      <c r="B24" s="758">
        <v>23</v>
      </c>
      <c r="C24" s="758">
        <v>19300000011</v>
      </c>
      <c r="D24" t="s">
        <v>4626</v>
      </c>
      <c r="E24" t="s">
        <v>4625</v>
      </c>
      <c r="F24" s="763">
        <v>43292</v>
      </c>
      <c r="G24" s="759">
        <v>0</v>
      </c>
      <c r="I24" s="758">
        <v>86130</v>
      </c>
    </row>
    <row r="25" spans="2:9" x14ac:dyDescent="0.25">
      <c r="B25" s="758">
        <v>24</v>
      </c>
      <c r="C25" s="758">
        <v>19300000012</v>
      </c>
      <c r="D25" t="s">
        <v>4627</v>
      </c>
      <c r="E25" t="s">
        <v>4624</v>
      </c>
      <c r="F25" s="763">
        <v>43292</v>
      </c>
      <c r="G25" s="759">
        <v>0</v>
      </c>
      <c r="I25" s="758">
        <v>86130</v>
      </c>
    </row>
    <row r="26" spans="2:9" x14ac:dyDescent="0.25">
      <c r="B26" s="758">
        <v>25</v>
      </c>
      <c r="C26" s="758">
        <v>19300000013</v>
      </c>
      <c r="D26" t="s">
        <v>4628</v>
      </c>
      <c r="E26" t="s">
        <v>4625</v>
      </c>
      <c r="F26" s="763">
        <v>43292</v>
      </c>
      <c r="G26" s="759">
        <v>0</v>
      </c>
      <c r="I26" s="758">
        <v>86130</v>
      </c>
    </row>
    <row r="27" spans="2:9" x14ac:dyDescent="0.25">
      <c r="B27" s="758">
        <v>26</v>
      </c>
      <c r="C27" s="758">
        <v>19300000014</v>
      </c>
      <c r="D27" t="s">
        <v>4629</v>
      </c>
      <c r="E27" t="s">
        <v>4625</v>
      </c>
      <c r="F27" s="763">
        <v>43292</v>
      </c>
      <c r="G27" s="759">
        <v>0</v>
      </c>
      <c r="I27" s="758">
        <v>86130</v>
      </c>
    </row>
    <row r="28" spans="2:9" x14ac:dyDescent="0.25">
      <c r="B28" s="758">
        <v>27</v>
      </c>
      <c r="C28" s="758">
        <v>19300000015</v>
      </c>
      <c r="D28" t="s">
        <v>4630</v>
      </c>
      <c r="E28" t="s">
        <v>4625</v>
      </c>
      <c r="F28" s="763">
        <v>43292</v>
      </c>
      <c r="G28" s="759">
        <v>0</v>
      </c>
      <c r="I28" s="758">
        <v>86130</v>
      </c>
    </row>
    <row r="29" spans="2:9" x14ac:dyDescent="0.25">
      <c r="B29" s="758">
        <v>28</v>
      </c>
      <c r="C29" s="758">
        <v>19300000016</v>
      </c>
      <c r="D29" t="s">
        <v>4631</v>
      </c>
      <c r="E29" t="s">
        <v>4625</v>
      </c>
      <c r="F29" s="763">
        <v>43292</v>
      </c>
      <c r="G29" s="759">
        <v>0</v>
      </c>
      <c r="I29" s="758">
        <v>86130</v>
      </c>
    </row>
    <row r="30" spans="2:9" x14ac:dyDescent="0.25">
      <c r="B30" s="758">
        <v>29</v>
      </c>
      <c r="C30" s="758">
        <v>19300000017</v>
      </c>
      <c r="D30" t="s">
        <v>4632</v>
      </c>
      <c r="E30" t="s">
        <v>4625</v>
      </c>
      <c r="F30" s="763">
        <v>43292</v>
      </c>
      <c r="G30" s="759">
        <v>0</v>
      </c>
      <c r="I30" s="758">
        <v>86130</v>
      </c>
    </row>
    <row r="31" spans="2:9" x14ac:dyDescent="0.25">
      <c r="B31" s="758">
        <v>30</v>
      </c>
      <c r="C31" s="758">
        <v>19300000019</v>
      </c>
      <c r="D31" t="s">
        <v>4633</v>
      </c>
      <c r="E31" t="s">
        <v>4625</v>
      </c>
      <c r="F31" s="763">
        <v>43292</v>
      </c>
      <c r="G31" s="759">
        <v>0</v>
      </c>
      <c r="I31" s="758">
        <v>86130</v>
      </c>
    </row>
    <row r="32" spans="2:9" x14ac:dyDescent="0.25">
      <c r="B32" s="758">
        <v>31</v>
      </c>
      <c r="C32" s="758">
        <v>19300000022</v>
      </c>
      <c r="D32" t="s">
        <v>4634</v>
      </c>
      <c r="E32" t="s">
        <v>4625</v>
      </c>
      <c r="F32" s="763">
        <v>43292</v>
      </c>
      <c r="G32" s="759">
        <v>0</v>
      </c>
      <c r="I32" s="758">
        <v>86130</v>
      </c>
    </row>
    <row r="33" spans="2:9" x14ac:dyDescent="0.25">
      <c r="B33" s="758">
        <v>32</v>
      </c>
      <c r="C33" s="758">
        <v>19300000023</v>
      </c>
      <c r="D33" t="s">
        <v>4635</v>
      </c>
      <c r="E33" t="s">
        <v>4625</v>
      </c>
      <c r="F33" s="763">
        <v>43292</v>
      </c>
      <c r="G33" s="759">
        <v>0</v>
      </c>
      <c r="I33" s="758">
        <v>86130</v>
      </c>
    </row>
    <row r="34" spans="2:9" x14ac:dyDescent="0.25">
      <c r="B34" s="758">
        <v>33</v>
      </c>
      <c r="C34" s="758">
        <v>19300000024</v>
      </c>
      <c r="D34" t="s">
        <v>2493</v>
      </c>
      <c r="E34" t="s">
        <v>4625</v>
      </c>
      <c r="F34" s="763">
        <v>43292</v>
      </c>
      <c r="G34" s="759">
        <v>0</v>
      </c>
      <c r="I34" s="758">
        <v>86130</v>
      </c>
    </row>
    <row r="35" spans="2:9" x14ac:dyDescent="0.25">
      <c r="B35" s="758">
        <v>34</v>
      </c>
      <c r="C35" s="758">
        <v>19300000025</v>
      </c>
      <c r="D35" t="s">
        <v>2369</v>
      </c>
      <c r="E35" t="s">
        <v>4624</v>
      </c>
      <c r="F35" s="763">
        <v>43292</v>
      </c>
      <c r="G35" s="759">
        <v>0</v>
      </c>
      <c r="I35" s="758">
        <v>86130</v>
      </c>
    </row>
    <row r="36" spans="2:9" x14ac:dyDescent="0.25">
      <c r="B36" s="758">
        <v>35</v>
      </c>
      <c r="C36" s="758">
        <v>19300000028</v>
      </c>
      <c r="D36" t="s">
        <v>4636</v>
      </c>
      <c r="E36" t="s">
        <v>4624</v>
      </c>
      <c r="F36" s="763">
        <v>43292</v>
      </c>
      <c r="G36" s="759">
        <v>0</v>
      </c>
      <c r="I36" s="758">
        <v>86130</v>
      </c>
    </row>
    <row r="37" spans="2:9" x14ac:dyDescent="0.25">
      <c r="B37" s="758">
        <v>36</v>
      </c>
      <c r="C37" s="758">
        <v>19300000029</v>
      </c>
      <c r="D37" t="s">
        <v>4637</v>
      </c>
      <c r="E37" t="s">
        <v>4625</v>
      </c>
      <c r="F37" s="763">
        <v>43292</v>
      </c>
      <c r="G37" s="759">
        <v>0</v>
      </c>
      <c r="I37" s="758">
        <v>86130</v>
      </c>
    </row>
    <row r="38" spans="2:9" x14ac:dyDescent="0.25">
      <c r="B38" s="758">
        <v>37</v>
      </c>
      <c r="C38" s="758">
        <v>19300000033</v>
      </c>
      <c r="D38" t="s">
        <v>4638</v>
      </c>
      <c r="E38" t="s">
        <v>4625</v>
      </c>
      <c r="F38" s="763">
        <v>43292</v>
      </c>
      <c r="G38" s="759">
        <v>0</v>
      </c>
      <c r="I38" s="758">
        <v>86130</v>
      </c>
    </row>
    <row r="39" spans="2:9" x14ac:dyDescent="0.25">
      <c r="B39" s="758">
        <v>38</v>
      </c>
      <c r="C39" s="758">
        <v>19300000045</v>
      </c>
      <c r="D39" t="s">
        <v>4639</v>
      </c>
      <c r="E39" t="s">
        <v>4625</v>
      </c>
      <c r="F39" s="763">
        <v>43292</v>
      </c>
      <c r="G39" s="759">
        <v>0</v>
      </c>
      <c r="I39" s="758">
        <v>86130</v>
      </c>
    </row>
    <row r="40" spans="2:9" x14ac:dyDescent="0.25">
      <c r="B40" s="758">
        <v>39</v>
      </c>
      <c r="C40" s="758">
        <v>19300000046</v>
      </c>
      <c r="D40" t="s">
        <v>4640</v>
      </c>
      <c r="E40" t="s">
        <v>4625</v>
      </c>
      <c r="F40" s="763">
        <v>43292</v>
      </c>
      <c r="G40" s="759">
        <v>0</v>
      </c>
      <c r="I40" s="758">
        <v>86130</v>
      </c>
    </row>
    <row r="41" spans="2:9" x14ac:dyDescent="0.25">
      <c r="B41" s="758">
        <v>40</v>
      </c>
      <c r="C41" s="758">
        <v>19300000048</v>
      </c>
      <c r="D41" t="s">
        <v>4641</v>
      </c>
      <c r="E41" t="s">
        <v>4624</v>
      </c>
      <c r="F41" s="763">
        <v>43292</v>
      </c>
      <c r="G41" s="759">
        <v>0</v>
      </c>
      <c r="I41" s="758">
        <v>86130</v>
      </c>
    </row>
    <row r="42" spans="2:9" x14ac:dyDescent="0.25">
      <c r="B42" s="758">
        <v>41</v>
      </c>
      <c r="C42" s="758">
        <v>19300000049</v>
      </c>
      <c r="D42" t="s">
        <v>4642</v>
      </c>
      <c r="E42" t="s">
        <v>4625</v>
      </c>
      <c r="F42" s="763">
        <v>43292</v>
      </c>
      <c r="G42" s="759">
        <v>0</v>
      </c>
      <c r="I42" s="758">
        <v>86130</v>
      </c>
    </row>
    <row r="43" spans="2:9" x14ac:dyDescent="0.25">
      <c r="B43" s="758">
        <v>42</v>
      </c>
      <c r="C43" s="758">
        <v>19300000050</v>
      </c>
      <c r="D43" t="s">
        <v>4643</v>
      </c>
      <c r="E43" t="s">
        <v>4624</v>
      </c>
      <c r="F43" s="763">
        <v>43292</v>
      </c>
      <c r="G43" s="759">
        <v>0</v>
      </c>
      <c r="I43" s="758">
        <v>86130</v>
      </c>
    </row>
    <row r="44" spans="2:9" x14ac:dyDescent="0.25">
      <c r="B44" s="758">
        <v>43</v>
      </c>
      <c r="C44" s="758">
        <v>19300000053</v>
      </c>
      <c r="D44" t="s">
        <v>4644</v>
      </c>
      <c r="E44" t="s">
        <v>4625</v>
      </c>
      <c r="F44" s="763">
        <v>43292</v>
      </c>
      <c r="G44" s="759">
        <v>0</v>
      </c>
      <c r="I44" s="758">
        <v>86130</v>
      </c>
    </row>
    <row r="45" spans="2:9" x14ac:dyDescent="0.25">
      <c r="B45" s="758">
        <v>44</v>
      </c>
      <c r="C45" s="758">
        <v>19300000054</v>
      </c>
      <c r="D45" t="s">
        <v>4645</v>
      </c>
      <c r="E45" t="s">
        <v>4625</v>
      </c>
      <c r="F45" s="763">
        <v>43292</v>
      </c>
      <c r="G45" s="759">
        <v>0</v>
      </c>
      <c r="I45" s="758">
        <v>86130</v>
      </c>
    </row>
    <row r="46" spans="2:9" x14ac:dyDescent="0.25">
      <c r="B46" s="758">
        <v>45</v>
      </c>
      <c r="C46" s="758">
        <v>19300000055</v>
      </c>
      <c r="D46" t="s">
        <v>4646</v>
      </c>
      <c r="E46" t="s">
        <v>4625</v>
      </c>
      <c r="F46" s="763">
        <v>43292</v>
      </c>
      <c r="G46" s="759">
        <v>0</v>
      </c>
      <c r="I46" s="758">
        <v>86130</v>
      </c>
    </row>
    <row r="47" spans="2:9" x14ac:dyDescent="0.25">
      <c r="B47" s="758">
        <v>46</v>
      </c>
      <c r="C47" s="758">
        <v>19300000056</v>
      </c>
      <c r="D47" t="s">
        <v>4647</v>
      </c>
      <c r="E47" t="s">
        <v>4624</v>
      </c>
      <c r="F47" s="763">
        <v>43292</v>
      </c>
      <c r="G47" s="759">
        <v>0</v>
      </c>
      <c r="I47" s="758">
        <v>86130</v>
      </c>
    </row>
    <row r="48" spans="2:9" x14ac:dyDescent="0.25">
      <c r="B48" s="758">
        <v>47</v>
      </c>
      <c r="C48" s="758">
        <v>19300000057</v>
      </c>
      <c r="D48" t="s">
        <v>4648</v>
      </c>
      <c r="E48" t="s">
        <v>4625</v>
      </c>
      <c r="F48" s="763">
        <v>43292</v>
      </c>
      <c r="G48" s="759">
        <v>0</v>
      </c>
      <c r="I48" s="758">
        <v>86130</v>
      </c>
    </row>
    <row r="49" spans="2:9" x14ac:dyDescent="0.25">
      <c r="B49" s="758">
        <v>48</v>
      </c>
      <c r="C49" s="758">
        <v>19300000058</v>
      </c>
      <c r="D49" t="s">
        <v>4649</v>
      </c>
      <c r="E49" t="s">
        <v>4625</v>
      </c>
      <c r="F49" s="763">
        <v>43292</v>
      </c>
      <c r="G49" s="759">
        <v>0</v>
      </c>
      <c r="I49" s="758">
        <v>86130</v>
      </c>
    </row>
    <row r="50" spans="2:9" x14ac:dyDescent="0.25">
      <c r="B50" s="758">
        <v>49</v>
      </c>
      <c r="C50" s="758">
        <v>19300000061</v>
      </c>
      <c r="D50" t="s">
        <v>4650</v>
      </c>
      <c r="E50" t="s">
        <v>4625</v>
      </c>
      <c r="F50" s="763">
        <v>43292</v>
      </c>
      <c r="G50" s="759">
        <v>0</v>
      </c>
      <c r="I50" s="758">
        <v>86130</v>
      </c>
    </row>
    <row r="51" spans="2:9" x14ac:dyDescent="0.25">
      <c r="B51" s="758">
        <v>50</v>
      </c>
      <c r="C51" s="758">
        <v>19300000063</v>
      </c>
      <c r="D51" t="s">
        <v>4651</v>
      </c>
      <c r="E51" t="s">
        <v>4625</v>
      </c>
      <c r="F51" s="763">
        <v>43292</v>
      </c>
      <c r="G51" s="759">
        <v>0</v>
      </c>
      <c r="I51" s="758">
        <v>86130</v>
      </c>
    </row>
    <row r="52" spans="2:9" x14ac:dyDescent="0.25">
      <c r="B52" s="758">
        <v>51</v>
      </c>
      <c r="C52" s="758">
        <v>19300000064</v>
      </c>
      <c r="D52" t="s">
        <v>4652</v>
      </c>
      <c r="E52" t="s">
        <v>4625</v>
      </c>
      <c r="F52" s="763">
        <v>43292</v>
      </c>
      <c r="G52" s="759">
        <v>0</v>
      </c>
      <c r="I52" s="758">
        <v>86130</v>
      </c>
    </row>
    <row r="53" spans="2:9" x14ac:dyDescent="0.25">
      <c r="B53" s="758">
        <v>52</v>
      </c>
      <c r="C53" s="758">
        <v>19300000065</v>
      </c>
      <c r="D53" t="s">
        <v>4653</v>
      </c>
      <c r="E53" t="s">
        <v>4624</v>
      </c>
      <c r="F53" s="763">
        <v>43292</v>
      </c>
      <c r="G53" s="759">
        <v>0</v>
      </c>
      <c r="I53" s="758">
        <v>86130</v>
      </c>
    </row>
    <row r="54" spans="2:9" x14ac:dyDescent="0.25">
      <c r="B54" s="758">
        <v>53</v>
      </c>
      <c r="C54" s="758">
        <v>19300000066</v>
      </c>
      <c r="D54" t="s">
        <v>4654</v>
      </c>
      <c r="E54" t="s">
        <v>4625</v>
      </c>
      <c r="F54" s="763">
        <v>43292</v>
      </c>
      <c r="G54" s="759">
        <v>0</v>
      </c>
      <c r="I54" s="758">
        <v>86130</v>
      </c>
    </row>
    <row r="55" spans="2:9" x14ac:dyDescent="0.25">
      <c r="B55" s="758">
        <v>54</v>
      </c>
      <c r="C55" s="758">
        <v>19300000069</v>
      </c>
      <c r="D55" t="s">
        <v>4655</v>
      </c>
      <c r="E55" t="s">
        <v>4625</v>
      </c>
      <c r="F55" s="763">
        <v>43292</v>
      </c>
      <c r="G55" s="759">
        <v>0</v>
      </c>
      <c r="I55" s="758">
        <v>86130</v>
      </c>
    </row>
    <row r="56" spans="2:9" x14ac:dyDescent="0.25">
      <c r="B56" s="758">
        <v>55</v>
      </c>
      <c r="C56" s="758">
        <v>19300000070</v>
      </c>
      <c r="D56" t="s">
        <v>4656</v>
      </c>
      <c r="E56" t="s">
        <v>4625</v>
      </c>
      <c r="F56" s="763">
        <v>43292</v>
      </c>
      <c r="G56" s="759">
        <v>0</v>
      </c>
      <c r="I56" s="758">
        <v>86130</v>
      </c>
    </row>
    <row r="57" spans="2:9" x14ac:dyDescent="0.25">
      <c r="B57" s="758">
        <v>56</v>
      </c>
      <c r="C57" s="758">
        <v>19300000071</v>
      </c>
      <c r="D57" t="s">
        <v>4657</v>
      </c>
      <c r="E57" t="s">
        <v>4625</v>
      </c>
      <c r="F57" s="763">
        <v>43292</v>
      </c>
      <c r="G57" s="759">
        <v>0</v>
      </c>
      <c r="I57" s="758">
        <v>86130</v>
      </c>
    </row>
    <row r="58" spans="2:9" x14ac:dyDescent="0.25">
      <c r="B58" s="758">
        <v>57</v>
      </c>
      <c r="C58" s="758">
        <v>19300000072</v>
      </c>
      <c r="D58" t="s">
        <v>4658</v>
      </c>
      <c r="E58" t="s">
        <v>4624</v>
      </c>
      <c r="F58" s="763">
        <v>43292</v>
      </c>
      <c r="G58" s="759">
        <v>0</v>
      </c>
      <c r="I58" s="758">
        <v>86130</v>
      </c>
    </row>
    <row r="59" spans="2:9" x14ac:dyDescent="0.25">
      <c r="B59" s="758">
        <v>58</v>
      </c>
      <c r="C59" s="758">
        <v>19300000073</v>
      </c>
      <c r="D59" t="s">
        <v>4659</v>
      </c>
      <c r="E59" t="s">
        <v>4624</v>
      </c>
      <c r="F59" s="763">
        <v>43292</v>
      </c>
      <c r="G59" s="759">
        <v>0</v>
      </c>
      <c r="I59" s="758">
        <v>86130</v>
      </c>
    </row>
    <row r="60" spans="2:9" x14ac:dyDescent="0.25">
      <c r="B60" s="758">
        <v>59</v>
      </c>
      <c r="C60" s="758">
        <v>19300000076</v>
      </c>
      <c r="D60" t="s">
        <v>4660</v>
      </c>
      <c r="E60" t="s">
        <v>4625</v>
      </c>
      <c r="F60" s="763">
        <v>43292</v>
      </c>
      <c r="G60" s="759">
        <v>0</v>
      </c>
      <c r="I60" s="758">
        <v>86130</v>
      </c>
    </row>
    <row r="61" spans="2:9" x14ac:dyDescent="0.25">
      <c r="B61" s="758">
        <v>60</v>
      </c>
      <c r="C61" s="758">
        <v>19300000077</v>
      </c>
      <c r="D61" t="s">
        <v>4661</v>
      </c>
      <c r="E61" t="s">
        <v>4625</v>
      </c>
      <c r="F61" s="763">
        <v>43292</v>
      </c>
      <c r="G61" s="759">
        <v>0</v>
      </c>
      <c r="I61" s="758">
        <v>86130</v>
      </c>
    </row>
    <row r="62" spans="2:9" x14ac:dyDescent="0.25">
      <c r="B62" s="758">
        <v>61</v>
      </c>
      <c r="C62" s="758">
        <v>19300000078</v>
      </c>
      <c r="D62" t="s">
        <v>4662</v>
      </c>
      <c r="E62" t="s">
        <v>4625</v>
      </c>
      <c r="F62" s="763">
        <v>43292</v>
      </c>
      <c r="G62" s="759">
        <v>0</v>
      </c>
      <c r="I62" s="758">
        <v>86130</v>
      </c>
    </row>
    <row r="63" spans="2:9" x14ac:dyDescent="0.25">
      <c r="B63" s="758">
        <v>62</v>
      </c>
      <c r="C63" s="758">
        <v>19300000079</v>
      </c>
      <c r="D63" t="s">
        <v>4663</v>
      </c>
      <c r="E63" t="s">
        <v>4625</v>
      </c>
      <c r="F63" s="763">
        <v>43292</v>
      </c>
      <c r="G63" s="759">
        <v>0</v>
      </c>
      <c r="I63" s="758">
        <v>86130</v>
      </c>
    </row>
    <row r="64" spans="2:9" x14ac:dyDescent="0.25">
      <c r="B64" s="758">
        <v>63</v>
      </c>
      <c r="C64" s="758">
        <v>19300000081</v>
      </c>
      <c r="D64" t="s">
        <v>4664</v>
      </c>
      <c r="E64" t="s">
        <v>4625</v>
      </c>
      <c r="F64" s="763">
        <v>43292</v>
      </c>
      <c r="G64" s="759">
        <v>0</v>
      </c>
      <c r="I64" s="758">
        <v>86130</v>
      </c>
    </row>
    <row r="65" spans="2:9" x14ac:dyDescent="0.25">
      <c r="B65" s="758">
        <v>64</v>
      </c>
      <c r="C65" s="758">
        <v>19300000082</v>
      </c>
      <c r="D65" t="s">
        <v>4665</v>
      </c>
      <c r="E65" t="s">
        <v>4625</v>
      </c>
      <c r="F65" s="763">
        <v>43292</v>
      </c>
      <c r="G65" s="759">
        <v>0</v>
      </c>
      <c r="I65" s="758">
        <v>86130</v>
      </c>
    </row>
    <row r="66" spans="2:9" x14ac:dyDescent="0.25">
      <c r="B66" s="758">
        <v>65</v>
      </c>
      <c r="C66" s="758">
        <v>19300000083</v>
      </c>
      <c r="D66" t="s">
        <v>2773</v>
      </c>
      <c r="E66" t="s">
        <v>4625</v>
      </c>
      <c r="F66" s="763">
        <v>43292</v>
      </c>
      <c r="G66" s="759">
        <v>0</v>
      </c>
      <c r="I66" s="758">
        <v>86130</v>
      </c>
    </row>
    <row r="67" spans="2:9" x14ac:dyDescent="0.25">
      <c r="B67" s="758">
        <v>66</v>
      </c>
      <c r="C67" s="758">
        <v>19300000086</v>
      </c>
      <c r="D67" t="s">
        <v>4666</v>
      </c>
      <c r="E67" t="s">
        <v>4625</v>
      </c>
      <c r="F67" s="763">
        <v>43292</v>
      </c>
      <c r="G67" s="759">
        <v>0</v>
      </c>
      <c r="I67" s="758">
        <v>86130</v>
      </c>
    </row>
    <row r="68" spans="2:9" x14ac:dyDescent="0.25">
      <c r="B68" s="758">
        <v>67</v>
      </c>
      <c r="C68" s="758">
        <v>19300000091</v>
      </c>
      <c r="D68" t="s">
        <v>4667</v>
      </c>
      <c r="E68" t="s">
        <v>4624</v>
      </c>
      <c r="F68" s="763">
        <v>43292</v>
      </c>
      <c r="G68" s="759">
        <v>0</v>
      </c>
      <c r="I68" s="758">
        <v>86130</v>
      </c>
    </row>
    <row r="69" spans="2:9" x14ac:dyDescent="0.25">
      <c r="B69" s="758">
        <v>68</v>
      </c>
      <c r="C69" s="758">
        <v>19300000095</v>
      </c>
      <c r="D69" t="s">
        <v>1863</v>
      </c>
      <c r="E69" t="s">
        <v>4625</v>
      </c>
      <c r="F69" s="763">
        <v>43292</v>
      </c>
      <c r="G69" s="759">
        <v>0</v>
      </c>
      <c r="I69" s="758">
        <v>86130</v>
      </c>
    </row>
    <row r="70" spans="2:9" x14ac:dyDescent="0.25">
      <c r="B70" s="758">
        <v>69</v>
      </c>
      <c r="C70" s="758">
        <v>19300000097</v>
      </c>
      <c r="D70" t="s">
        <v>4668</v>
      </c>
      <c r="E70" t="s">
        <v>4624</v>
      </c>
      <c r="F70" s="763">
        <v>43292</v>
      </c>
      <c r="G70" s="759">
        <v>0</v>
      </c>
      <c r="I70" s="758">
        <v>86130</v>
      </c>
    </row>
    <row r="71" spans="2:9" x14ac:dyDescent="0.25">
      <c r="B71" s="758">
        <v>70</v>
      </c>
      <c r="C71" s="758">
        <v>19300000098</v>
      </c>
      <c r="D71" t="s">
        <v>4669</v>
      </c>
      <c r="E71" t="s">
        <v>4625</v>
      </c>
      <c r="F71" s="763">
        <v>43292</v>
      </c>
      <c r="G71" s="759">
        <v>0</v>
      </c>
      <c r="I71" s="758">
        <v>86130</v>
      </c>
    </row>
    <row r="72" spans="2:9" x14ac:dyDescent="0.25">
      <c r="B72" s="758">
        <v>71</v>
      </c>
      <c r="C72" s="758">
        <v>19300000103</v>
      </c>
      <c r="D72" t="s">
        <v>4670</v>
      </c>
      <c r="E72" t="s">
        <v>4625</v>
      </c>
      <c r="F72" s="763">
        <v>43292</v>
      </c>
      <c r="G72" s="759">
        <v>0</v>
      </c>
      <c r="I72" s="758">
        <v>86130</v>
      </c>
    </row>
    <row r="73" spans="2:9" x14ac:dyDescent="0.25">
      <c r="B73" s="758">
        <v>72</v>
      </c>
      <c r="C73" s="758">
        <v>19300000104</v>
      </c>
      <c r="D73" t="s">
        <v>4671</v>
      </c>
      <c r="E73" t="s">
        <v>4624</v>
      </c>
      <c r="F73" s="763">
        <v>43292</v>
      </c>
      <c r="G73" s="759">
        <v>0</v>
      </c>
      <c r="I73" s="758">
        <v>86130</v>
      </c>
    </row>
    <row r="74" spans="2:9" x14ac:dyDescent="0.25">
      <c r="B74" s="758">
        <v>73</v>
      </c>
      <c r="C74" s="758">
        <v>19300000106</v>
      </c>
      <c r="D74" t="s">
        <v>4672</v>
      </c>
      <c r="E74" t="s">
        <v>4625</v>
      </c>
      <c r="F74" s="763">
        <v>43292</v>
      </c>
      <c r="G74" s="759">
        <v>0</v>
      </c>
      <c r="I74" s="758">
        <v>86130</v>
      </c>
    </row>
    <row r="75" spans="2:9" x14ac:dyDescent="0.25">
      <c r="B75" s="758">
        <v>74</v>
      </c>
      <c r="C75" s="758">
        <v>19300000107</v>
      </c>
      <c r="D75" t="s">
        <v>4673</v>
      </c>
      <c r="E75" t="s">
        <v>4625</v>
      </c>
      <c r="F75" s="763">
        <v>43292</v>
      </c>
      <c r="G75" s="759">
        <v>0</v>
      </c>
      <c r="I75" s="758">
        <v>86130</v>
      </c>
    </row>
    <row r="76" spans="2:9" x14ac:dyDescent="0.25">
      <c r="B76" s="758">
        <v>75</v>
      </c>
      <c r="C76" s="758">
        <v>19300000109</v>
      </c>
      <c r="D76" t="s">
        <v>4674</v>
      </c>
      <c r="E76" t="s">
        <v>4625</v>
      </c>
      <c r="F76" s="763">
        <v>43292</v>
      </c>
      <c r="G76" s="759">
        <v>0</v>
      </c>
      <c r="I76" s="758">
        <v>86130</v>
      </c>
    </row>
    <row r="77" spans="2:9" x14ac:dyDescent="0.25">
      <c r="B77" s="758">
        <v>76</v>
      </c>
      <c r="C77" s="758">
        <v>19300000111</v>
      </c>
      <c r="D77" t="s">
        <v>4675</v>
      </c>
      <c r="E77" t="s">
        <v>4625</v>
      </c>
      <c r="F77" s="763">
        <v>43292</v>
      </c>
      <c r="G77" s="759">
        <v>0</v>
      </c>
      <c r="I77" s="758">
        <v>86130</v>
      </c>
    </row>
    <row r="78" spans="2:9" x14ac:dyDescent="0.25">
      <c r="B78" s="758">
        <v>77</v>
      </c>
      <c r="C78" s="758">
        <v>19300000112</v>
      </c>
      <c r="D78" t="s">
        <v>4676</v>
      </c>
      <c r="E78" t="s">
        <v>4625</v>
      </c>
      <c r="F78" s="763">
        <v>43292</v>
      </c>
      <c r="G78" s="759">
        <v>0</v>
      </c>
      <c r="I78" s="758">
        <v>86130</v>
      </c>
    </row>
    <row r="79" spans="2:9" x14ac:dyDescent="0.25">
      <c r="B79" s="758">
        <v>78</v>
      </c>
      <c r="C79" s="758">
        <v>19300000113</v>
      </c>
      <c r="D79" t="s">
        <v>4677</v>
      </c>
      <c r="E79" t="s">
        <v>4625</v>
      </c>
      <c r="F79" s="763">
        <v>43292</v>
      </c>
      <c r="G79" s="759">
        <v>0</v>
      </c>
      <c r="I79" s="758">
        <v>86130</v>
      </c>
    </row>
    <row r="80" spans="2:9" x14ac:dyDescent="0.25">
      <c r="B80" s="758">
        <v>79</v>
      </c>
      <c r="C80" s="758">
        <v>19300000114</v>
      </c>
      <c r="D80" t="s">
        <v>4678</v>
      </c>
      <c r="E80" t="s">
        <v>4625</v>
      </c>
      <c r="F80" s="763">
        <v>43292</v>
      </c>
      <c r="G80" s="759">
        <v>0</v>
      </c>
      <c r="I80" s="758">
        <v>86130</v>
      </c>
    </row>
    <row r="81" spans="2:9" x14ac:dyDescent="0.25">
      <c r="B81" s="758">
        <v>80</v>
      </c>
      <c r="C81" s="758">
        <v>19300000115</v>
      </c>
      <c r="D81" t="s">
        <v>4679</v>
      </c>
      <c r="E81" t="s">
        <v>4624</v>
      </c>
      <c r="F81" s="763">
        <v>43292</v>
      </c>
      <c r="G81" s="759">
        <v>0</v>
      </c>
      <c r="I81" s="758">
        <v>86130</v>
      </c>
    </row>
    <row r="82" spans="2:9" x14ac:dyDescent="0.25">
      <c r="B82" s="758">
        <v>81</v>
      </c>
      <c r="C82" s="758">
        <v>19300000117</v>
      </c>
      <c r="D82" t="s">
        <v>2357</v>
      </c>
      <c r="E82" t="s">
        <v>4625</v>
      </c>
      <c r="F82" s="763">
        <v>43292</v>
      </c>
      <c r="G82" s="759">
        <v>0</v>
      </c>
      <c r="I82" s="758">
        <v>86130</v>
      </c>
    </row>
    <row r="83" spans="2:9" x14ac:dyDescent="0.25">
      <c r="B83" s="758">
        <v>82</v>
      </c>
      <c r="C83" s="758">
        <v>19300000119</v>
      </c>
      <c r="D83" t="s">
        <v>4680</v>
      </c>
      <c r="E83" t="s">
        <v>4625</v>
      </c>
      <c r="F83" s="763">
        <v>43292</v>
      </c>
      <c r="G83" s="759">
        <v>0</v>
      </c>
      <c r="I83" s="758">
        <v>86130</v>
      </c>
    </row>
    <row r="84" spans="2:9" x14ac:dyDescent="0.25">
      <c r="B84" s="758">
        <v>83</v>
      </c>
      <c r="C84" s="758">
        <v>19300000121</v>
      </c>
      <c r="D84" t="s">
        <v>4681</v>
      </c>
      <c r="E84" t="s">
        <v>4625</v>
      </c>
      <c r="F84" s="763">
        <v>43292</v>
      </c>
      <c r="G84" s="759">
        <v>0</v>
      </c>
      <c r="I84" s="758">
        <v>86130</v>
      </c>
    </row>
    <row r="85" spans="2:9" x14ac:dyDescent="0.25">
      <c r="B85" s="758">
        <v>84</v>
      </c>
      <c r="C85" s="758">
        <v>19300000126</v>
      </c>
      <c r="D85" t="s">
        <v>4682</v>
      </c>
      <c r="E85" t="s">
        <v>4625</v>
      </c>
      <c r="F85" s="763">
        <v>43292</v>
      </c>
      <c r="G85" s="759">
        <v>0</v>
      </c>
      <c r="I85" s="758">
        <v>86130</v>
      </c>
    </row>
    <row r="86" spans="2:9" x14ac:dyDescent="0.25">
      <c r="B86" s="758">
        <v>85</v>
      </c>
      <c r="C86" s="758">
        <v>19300000130</v>
      </c>
      <c r="D86" t="s">
        <v>4683</v>
      </c>
      <c r="E86" t="s">
        <v>4625</v>
      </c>
      <c r="F86" s="763">
        <v>43292</v>
      </c>
      <c r="G86" s="759">
        <v>0</v>
      </c>
      <c r="I86" s="758">
        <v>86130</v>
      </c>
    </row>
    <row r="87" spans="2:9" x14ac:dyDescent="0.25">
      <c r="B87" s="758">
        <v>86</v>
      </c>
      <c r="C87" s="758">
        <v>19300000131</v>
      </c>
      <c r="D87" t="s">
        <v>4684</v>
      </c>
      <c r="E87" t="s">
        <v>4625</v>
      </c>
      <c r="F87" s="763">
        <v>43292</v>
      </c>
      <c r="G87" s="759">
        <v>0</v>
      </c>
      <c r="I87" s="758">
        <v>86130</v>
      </c>
    </row>
    <row r="88" spans="2:9" x14ac:dyDescent="0.25">
      <c r="B88" s="758">
        <v>87</v>
      </c>
      <c r="C88" s="758">
        <v>19300000135</v>
      </c>
      <c r="D88" t="s">
        <v>4685</v>
      </c>
      <c r="E88" t="s">
        <v>4625</v>
      </c>
      <c r="F88" s="763">
        <v>43292</v>
      </c>
      <c r="G88" s="759">
        <v>0</v>
      </c>
      <c r="I88" s="758">
        <v>86130</v>
      </c>
    </row>
    <row r="89" spans="2:9" x14ac:dyDescent="0.25">
      <c r="B89" s="758">
        <v>88</v>
      </c>
      <c r="C89" s="758">
        <v>19300000136</v>
      </c>
      <c r="D89" t="s">
        <v>4686</v>
      </c>
      <c r="E89" t="s">
        <v>4625</v>
      </c>
      <c r="F89" s="763">
        <v>43292</v>
      </c>
      <c r="G89" s="759">
        <v>0</v>
      </c>
      <c r="I89" s="758">
        <v>86130</v>
      </c>
    </row>
    <row r="90" spans="2:9" x14ac:dyDescent="0.25">
      <c r="B90" s="758">
        <v>89</v>
      </c>
      <c r="C90" s="758">
        <v>19300000137</v>
      </c>
      <c r="D90" t="s">
        <v>2349</v>
      </c>
      <c r="E90" t="s">
        <v>4625</v>
      </c>
      <c r="F90" s="763">
        <v>43292</v>
      </c>
      <c r="G90" s="759">
        <v>0</v>
      </c>
      <c r="I90" s="758">
        <v>86130</v>
      </c>
    </row>
    <row r="91" spans="2:9" x14ac:dyDescent="0.25">
      <c r="B91" s="758">
        <v>90</v>
      </c>
      <c r="C91" s="758">
        <v>19300000138</v>
      </c>
      <c r="D91" t="s">
        <v>4687</v>
      </c>
      <c r="E91" t="s">
        <v>4625</v>
      </c>
      <c r="F91" s="763">
        <v>43292</v>
      </c>
      <c r="G91" s="759">
        <v>0</v>
      </c>
      <c r="I91" s="758">
        <v>86130</v>
      </c>
    </row>
    <row r="92" spans="2:9" x14ac:dyDescent="0.25">
      <c r="B92" s="758">
        <v>91</v>
      </c>
      <c r="C92" s="758">
        <v>19300000139</v>
      </c>
      <c r="D92" t="s">
        <v>4688</v>
      </c>
      <c r="E92" t="s">
        <v>4625</v>
      </c>
      <c r="F92" s="763">
        <v>43292</v>
      </c>
      <c r="G92" s="759">
        <v>0</v>
      </c>
      <c r="I92" s="758">
        <v>86130</v>
      </c>
    </row>
    <row r="93" spans="2:9" x14ac:dyDescent="0.25">
      <c r="B93" s="758">
        <v>92</v>
      </c>
      <c r="C93" s="758">
        <v>19300000140</v>
      </c>
      <c r="D93" t="s">
        <v>4689</v>
      </c>
      <c r="E93" t="s">
        <v>4625</v>
      </c>
      <c r="F93" s="763">
        <v>43292</v>
      </c>
      <c r="G93" s="759">
        <v>0</v>
      </c>
      <c r="I93" s="758">
        <v>86130</v>
      </c>
    </row>
    <row r="94" spans="2:9" x14ac:dyDescent="0.25">
      <c r="B94" s="758">
        <v>93</v>
      </c>
      <c r="C94" s="758">
        <v>19300000144</v>
      </c>
      <c r="D94" t="s">
        <v>4690</v>
      </c>
      <c r="E94" t="s">
        <v>4625</v>
      </c>
      <c r="F94" s="763">
        <v>43292</v>
      </c>
      <c r="G94" s="759">
        <v>0</v>
      </c>
      <c r="I94" s="758">
        <v>86130</v>
      </c>
    </row>
    <row r="95" spans="2:9" x14ac:dyDescent="0.25">
      <c r="B95" s="758">
        <v>94</v>
      </c>
      <c r="C95" s="758">
        <v>19300000145</v>
      </c>
      <c r="D95" t="s">
        <v>4691</v>
      </c>
      <c r="E95" t="s">
        <v>4625</v>
      </c>
      <c r="F95" s="763">
        <v>43292</v>
      </c>
      <c r="G95" s="759">
        <v>0</v>
      </c>
      <c r="I95" s="758">
        <v>86130</v>
      </c>
    </row>
    <row r="96" spans="2:9" x14ac:dyDescent="0.25">
      <c r="B96" s="758">
        <v>95</v>
      </c>
      <c r="C96" s="758">
        <v>19300000148</v>
      </c>
      <c r="D96" t="s">
        <v>4692</v>
      </c>
      <c r="E96" t="s">
        <v>4625</v>
      </c>
      <c r="F96" s="763">
        <v>43292</v>
      </c>
      <c r="G96" s="759">
        <v>0</v>
      </c>
      <c r="I96" s="758">
        <v>86130</v>
      </c>
    </row>
    <row r="97" spans="2:9" x14ac:dyDescent="0.25">
      <c r="B97" s="758">
        <v>96</v>
      </c>
      <c r="C97" s="758">
        <v>19300000150</v>
      </c>
      <c r="D97" t="s">
        <v>4693</v>
      </c>
      <c r="E97" t="s">
        <v>4625</v>
      </c>
      <c r="F97" s="763">
        <v>43292</v>
      </c>
      <c r="G97" s="759">
        <v>0</v>
      </c>
      <c r="I97" s="758">
        <v>86130</v>
      </c>
    </row>
    <row r="98" spans="2:9" x14ac:dyDescent="0.25">
      <c r="B98" s="758">
        <v>97</v>
      </c>
      <c r="C98" s="758">
        <v>19300000155</v>
      </c>
      <c r="D98" t="s">
        <v>4694</v>
      </c>
      <c r="E98" t="s">
        <v>4625</v>
      </c>
      <c r="F98" s="763">
        <v>43292</v>
      </c>
      <c r="G98" s="759">
        <v>0</v>
      </c>
      <c r="I98" s="758">
        <v>86130</v>
      </c>
    </row>
    <row r="99" spans="2:9" x14ac:dyDescent="0.25">
      <c r="B99" s="758">
        <v>98</v>
      </c>
      <c r="C99" s="758">
        <v>19300000158</v>
      </c>
      <c r="D99" t="s">
        <v>4695</v>
      </c>
      <c r="E99" t="s">
        <v>4625</v>
      </c>
      <c r="F99" s="763">
        <v>43292</v>
      </c>
      <c r="G99" s="759">
        <v>0</v>
      </c>
      <c r="I99" s="758">
        <v>86130</v>
      </c>
    </row>
    <row r="100" spans="2:9" x14ac:dyDescent="0.25">
      <c r="B100" s="758">
        <v>99</v>
      </c>
      <c r="C100" s="758">
        <v>19300000159</v>
      </c>
      <c r="D100" t="s">
        <v>4696</v>
      </c>
      <c r="E100" t="s">
        <v>4625</v>
      </c>
      <c r="F100" s="763">
        <v>43292</v>
      </c>
      <c r="G100" s="759">
        <v>0</v>
      </c>
      <c r="I100" s="758">
        <v>86130</v>
      </c>
    </row>
    <row r="101" spans="2:9" x14ac:dyDescent="0.25">
      <c r="B101" s="758">
        <v>100</v>
      </c>
      <c r="C101" s="758">
        <v>19300000162</v>
      </c>
      <c r="D101" t="s">
        <v>4697</v>
      </c>
      <c r="E101" t="s">
        <v>4625</v>
      </c>
      <c r="F101" s="763">
        <v>43292</v>
      </c>
      <c r="G101" s="759">
        <v>0</v>
      </c>
      <c r="I101" s="758">
        <v>86130</v>
      </c>
    </row>
    <row r="102" spans="2:9" x14ac:dyDescent="0.25">
      <c r="B102" s="758">
        <v>101</v>
      </c>
      <c r="C102" s="758">
        <v>19300000163</v>
      </c>
      <c r="D102" t="s">
        <v>4698</v>
      </c>
      <c r="E102" t="s">
        <v>4625</v>
      </c>
      <c r="F102" s="763">
        <v>43292</v>
      </c>
      <c r="G102" s="759">
        <v>0</v>
      </c>
      <c r="I102" s="758">
        <v>86130</v>
      </c>
    </row>
    <row r="103" spans="2:9" x14ac:dyDescent="0.25">
      <c r="B103" s="758">
        <v>102</v>
      </c>
      <c r="C103" s="758">
        <v>19300000164</v>
      </c>
      <c r="D103" t="s">
        <v>4699</v>
      </c>
      <c r="E103" t="s">
        <v>4625</v>
      </c>
      <c r="F103" s="763">
        <v>43292</v>
      </c>
      <c r="G103" s="759">
        <v>0</v>
      </c>
      <c r="I103" s="758">
        <v>86130</v>
      </c>
    </row>
    <row r="104" spans="2:9" x14ac:dyDescent="0.25">
      <c r="B104" s="758">
        <v>103</v>
      </c>
      <c r="C104" s="758">
        <v>19300000168</v>
      </c>
      <c r="D104" t="s">
        <v>4700</v>
      </c>
      <c r="E104" t="s">
        <v>4625</v>
      </c>
      <c r="F104" s="763">
        <v>43292</v>
      </c>
      <c r="G104" s="759">
        <v>0</v>
      </c>
      <c r="I104" s="758">
        <v>86130</v>
      </c>
    </row>
    <row r="105" spans="2:9" x14ac:dyDescent="0.25">
      <c r="B105" s="758">
        <v>104</v>
      </c>
      <c r="C105" s="758">
        <v>19300000170</v>
      </c>
      <c r="D105" t="s">
        <v>4701</v>
      </c>
      <c r="E105" t="s">
        <v>4625</v>
      </c>
      <c r="F105" s="763">
        <v>43292</v>
      </c>
      <c r="G105" s="759">
        <v>0</v>
      </c>
      <c r="I105" s="758">
        <v>86130</v>
      </c>
    </row>
    <row r="106" spans="2:9" x14ac:dyDescent="0.25">
      <c r="B106" s="758">
        <v>105</v>
      </c>
      <c r="C106" s="758">
        <v>19300000173</v>
      </c>
      <c r="D106" t="s">
        <v>4702</v>
      </c>
      <c r="E106" t="s">
        <v>4625</v>
      </c>
      <c r="F106" s="763">
        <v>43292</v>
      </c>
      <c r="G106" s="759">
        <v>0</v>
      </c>
      <c r="I106" s="758">
        <v>86130</v>
      </c>
    </row>
    <row r="107" spans="2:9" x14ac:dyDescent="0.25">
      <c r="B107" s="758">
        <v>106</v>
      </c>
      <c r="C107" s="758">
        <v>19300000174</v>
      </c>
      <c r="D107" t="s">
        <v>4703</v>
      </c>
      <c r="E107" t="s">
        <v>4625</v>
      </c>
      <c r="F107" s="763">
        <v>43292</v>
      </c>
      <c r="G107" s="759">
        <v>0</v>
      </c>
      <c r="I107" s="758">
        <v>86130</v>
      </c>
    </row>
    <row r="108" spans="2:9" x14ac:dyDescent="0.25">
      <c r="B108" s="758">
        <v>107</v>
      </c>
      <c r="C108" s="758">
        <v>19300000175</v>
      </c>
      <c r="D108" t="s">
        <v>4704</v>
      </c>
      <c r="E108" t="s">
        <v>4624</v>
      </c>
      <c r="F108" s="763">
        <v>43292</v>
      </c>
      <c r="G108" s="759">
        <v>0</v>
      </c>
      <c r="I108" s="758">
        <v>86130</v>
      </c>
    </row>
    <row r="109" spans="2:9" x14ac:dyDescent="0.25">
      <c r="B109" s="758">
        <v>108</v>
      </c>
      <c r="C109" s="758">
        <v>19300000179</v>
      </c>
      <c r="D109" t="s">
        <v>4705</v>
      </c>
      <c r="E109" t="s">
        <v>4625</v>
      </c>
      <c r="F109" s="763">
        <v>43292</v>
      </c>
      <c r="G109" s="759">
        <v>0</v>
      </c>
      <c r="I109" s="758">
        <v>86130</v>
      </c>
    </row>
    <row r="110" spans="2:9" x14ac:dyDescent="0.25">
      <c r="B110" s="758">
        <v>109</v>
      </c>
      <c r="C110" s="758">
        <v>19300000180</v>
      </c>
      <c r="D110" t="s">
        <v>2339</v>
      </c>
      <c r="E110" t="s">
        <v>4624</v>
      </c>
      <c r="F110" s="763">
        <v>43292</v>
      </c>
      <c r="G110" s="759">
        <v>0</v>
      </c>
      <c r="I110" s="758">
        <v>86130</v>
      </c>
    </row>
    <row r="111" spans="2:9" x14ac:dyDescent="0.25">
      <c r="B111" s="758">
        <v>110</v>
      </c>
      <c r="C111" s="758">
        <v>19300000181</v>
      </c>
      <c r="D111" t="s">
        <v>4706</v>
      </c>
      <c r="E111" t="s">
        <v>4625</v>
      </c>
      <c r="F111" s="763">
        <v>43292</v>
      </c>
      <c r="G111" s="759">
        <v>0</v>
      </c>
      <c r="I111" s="758">
        <v>86130</v>
      </c>
    </row>
    <row r="112" spans="2:9" x14ac:dyDescent="0.25">
      <c r="B112" s="758">
        <v>111</v>
      </c>
      <c r="C112" s="758">
        <v>19300000182</v>
      </c>
      <c r="D112" t="s">
        <v>4707</v>
      </c>
      <c r="E112" t="s">
        <v>4625</v>
      </c>
      <c r="F112" s="763">
        <v>43292</v>
      </c>
      <c r="G112" s="759">
        <v>0</v>
      </c>
      <c r="I112" s="758">
        <v>86130</v>
      </c>
    </row>
    <row r="113" spans="2:9" x14ac:dyDescent="0.25">
      <c r="B113" s="758">
        <v>112</v>
      </c>
      <c r="C113" s="758">
        <v>19300000184</v>
      </c>
      <c r="D113" t="s">
        <v>4708</v>
      </c>
      <c r="E113" t="s">
        <v>4625</v>
      </c>
      <c r="F113" s="763">
        <v>43292</v>
      </c>
      <c r="G113" s="759">
        <v>0</v>
      </c>
      <c r="I113" s="758">
        <v>86130</v>
      </c>
    </row>
    <row r="114" spans="2:9" x14ac:dyDescent="0.25">
      <c r="B114" s="758">
        <v>113</v>
      </c>
      <c r="C114" s="758">
        <v>19300000190</v>
      </c>
      <c r="D114" t="s">
        <v>4709</v>
      </c>
      <c r="E114" t="s">
        <v>4625</v>
      </c>
      <c r="F114" s="763">
        <v>43292</v>
      </c>
      <c r="G114" s="759">
        <v>0</v>
      </c>
      <c r="I114" s="758">
        <v>86130</v>
      </c>
    </row>
    <row r="115" spans="2:9" x14ac:dyDescent="0.25">
      <c r="B115" s="758">
        <v>114</v>
      </c>
      <c r="C115" s="758">
        <v>19300000195</v>
      </c>
      <c r="D115" t="s">
        <v>4710</v>
      </c>
      <c r="E115" t="s">
        <v>4624</v>
      </c>
      <c r="F115" s="763">
        <v>43292</v>
      </c>
      <c r="G115" s="759">
        <v>0</v>
      </c>
      <c r="I115" s="758">
        <v>86130</v>
      </c>
    </row>
    <row r="116" spans="2:9" x14ac:dyDescent="0.25">
      <c r="B116" s="758">
        <v>115</v>
      </c>
      <c r="C116" s="758">
        <v>19300000196</v>
      </c>
      <c r="D116" t="s">
        <v>4711</v>
      </c>
      <c r="E116" t="s">
        <v>4625</v>
      </c>
      <c r="F116" s="763">
        <v>43292</v>
      </c>
      <c r="G116" s="759">
        <v>0</v>
      </c>
      <c r="I116" s="758">
        <v>86130</v>
      </c>
    </row>
    <row r="117" spans="2:9" x14ac:dyDescent="0.25">
      <c r="B117" s="758">
        <v>116</v>
      </c>
      <c r="C117" s="758">
        <v>19300000197</v>
      </c>
      <c r="D117" t="s">
        <v>4712</v>
      </c>
      <c r="E117" t="s">
        <v>4625</v>
      </c>
      <c r="F117" s="763">
        <v>43292</v>
      </c>
      <c r="G117" s="759">
        <v>0</v>
      </c>
      <c r="I117" s="758">
        <v>86130</v>
      </c>
    </row>
    <row r="118" spans="2:9" x14ac:dyDescent="0.25">
      <c r="B118" s="758">
        <v>117</v>
      </c>
      <c r="C118" s="758">
        <v>19300000201</v>
      </c>
      <c r="D118" t="s">
        <v>4713</v>
      </c>
      <c r="E118" t="s">
        <v>4625</v>
      </c>
      <c r="F118" s="763">
        <v>43292</v>
      </c>
      <c r="G118" s="759">
        <v>0</v>
      </c>
      <c r="I118" s="758">
        <v>86130</v>
      </c>
    </row>
    <row r="119" spans="2:9" x14ac:dyDescent="0.25">
      <c r="B119" s="758">
        <v>118</v>
      </c>
      <c r="C119" s="758">
        <v>19300000202</v>
      </c>
      <c r="D119" t="s">
        <v>4714</v>
      </c>
      <c r="E119" t="s">
        <v>4625</v>
      </c>
      <c r="F119" s="763">
        <v>43292</v>
      </c>
      <c r="G119" s="759">
        <v>0</v>
      </c>
      <c r="I119" s="758">
        <v>86130</v>
      </c>
    </row>
    <row r="120" spans="2:9" x14ac:dyDescent="0.25">
      <c r="B120" s="758">
        <v>119</v>
      </c>
      <c r="C120" s="758">
        <v>19300000203</v>
      </c>
      <c r="D120" t="s">
        <v>4715</v>
      </c>
      <c r="E120" t="s">
        <v>4625</v>
      </c>
      <c r="F120" s="763">
        <v>43292</v>
      </c>
      <c r="G120" s="759">
        <v>0</v>
      </c>
      <c r="I120" s="758">
        <v>86130</v>
      </c>
    </row>
    <row r="121" spans="2:9" x14ac:dyDescent="0.25">
      <c r="B121" s="758">
        <v>120</v>
      </c>
      <c r="C121" s="758">
        <v>19300000204</v>
      </c>
      <c r="D121" t="s">
        <v>2385</v>
      </c>
      <c r="E121" t="s">
        <v>4625</v>
      </c>
      <c r="F121" s="763">
        <v>43292</v>
      </c>
      <c r="G121" s="759">
        <v>0</v>
      </c>
      <c r="I121" s="758">
        <v>86130</v>
      </c>
    </row>
    <row r="122" spans="2:9" x14ac:dyDescent="0.25">
      <c r="B122" s="758">
        <v>121</v>
      </c>
      <c r="C122" s="758">
        <v>19300000205</v>
      </c>
      <c r="D122" t="s">
        <v>4716</v>
      </c>
      <c r="E122" t="s">
        <v>4625</v>
      </c>
      <c r="F122" s="763">
        <v>43292</v>
      </c>
      <c r="G122" s="759">
        <v>0</v>
      </c>
      <c r="I122" s="758">
        <v>86130</v>
      </c>
    </row>
    <row r="123" spans="2:9" x14ac:dyDescent="0.25">
      <c r="B123" s="758">
        <v>122</v>
      </c>
      <c r="C123" s="758">
        <v>19300000208</v>
      </c>
      <c r="D123" t="s">
        <v>4717</v>
      </c>
      <c r="E123" t="s">
        <v>4625</v>
      </c>
      <c r="F123" s="763">
        <v>43292</v>
      </c>
      <c r="G123" s="759">
        <v>0</v>
      </c>
      <c r="I123" s="758">
        <v>86130</v>
      </c>
    </row>
    <row r="124" spans="2:9" x14ac:dyDescent="0.25">
      <c r="B124" s="758">
        <v>123</v>
      </c>
      <c r="C124" s="758">
        <v>19300000210</v>
      </c>
      <c r="D124" t="s">
        <v>4718</v>
      </c>
      <c r="E124" t="s">
        <v>4625</v>
      </c>
      <c r="F124" s="763">
        <v>43292</v>
      </c>
      <c r="G124" s="759">
        <v>0</v>
      </c>
      <c r="I124" s="758">
        <v>86130</v>
      </c>
    </row>
    <row r="125" spans="2:9" x14ac:dyDescent="0.25">
      <c r="B125" s="758">
        <v>124</v>
      </c>
      <c r="C125" s="758">
        <v>19300000212</v>
      </c>
      <c r="D125" t="s">
        <v>4719</v>
      </c>
      <c r="E125" t="s">
        <v>4625</v>
      </c>
      <c r="F125" s="763">
        <v>43292</v>
      </c>
      <c r="G125" s="759">
        <v>0</v>
      </c>
      <c r="I125" s="758">
        <v>86130</v>
      </c>
    </row>
    <row r="126" spans="2:9" x14ac:dyDescent="0.25">
      <c r="B126" s="758">
        <v>125</v>
      </c>
      <c r="C126" s="758">
        <v>19300000213</v>
      </c>
      <c r="D126" t="s">
        <v>4720</v>
      </c>
      <c r="E126" t="s">
        <v>4624</v>
      </c>
      <c r="F126" s="763">
        <v>43292</v>
      </c>
      <c r="G126" s="759">
        <v>0</v>
      </c>
      <c r="I126" s="758">
        <v>86130</v>
      </c>
    </row>
    <row r="127" spans="2:9" x14ac:dyDescent="0.25">
      <c r="B127" s="758">
        <v>126</v>
      </c>
      <c r="C127" s="758">
        <v>19300000215</v>
      </c>
      <c r="D127" t="s">
        <v>4721</v>
      </c>
      <c r="E127" t="s">
        <v>4625</v>
      </c>
      <c r="F127" s="763">
        <v>43292</v>
      </c>
      <c r="G127" s="759">
        <v>0</v>
      </c>
      <c r="I127" s="758">
        <v>86130</v>
      </c>
    </row>
    <row r="128" spans="2:9" x14ac:dyDescent="0.25">
      <c r="B128" s="758">
        <v>127</v>
      </c>
      <c r="C128" s="758">
        <v>19300000216</v>
      </c>
      <c r="D128" t="s">
        <v>4722</v>
      </c>
      <c r="E128" t="s">
        <v>4625</v>
      </c>
      <c r="F128" s="763">
        <v>43292</v>
      </c>
      <c r="G128" s="759">
        <v>0</v>
      </c>
      <c r="I128" s="758">
        <v>86130</v>
      </c>
    </row>
    <row r="129" spans="2:9" x14ac:dyDescent="0.25">
      <c r="B129" s="758">
        <v>128</v>
      </c>
      <c r="C129" s="758">
        <v>19300000217</v>
      </c>
      <c r="D129" t="s">
        <v>4723</v>
      </c>
      <c r="E129" t="s">
        <v>4624</v>
      </c>
      <c r="F129" s="763">
        <v>43292</v>
      </c>
      <c r="G129" s="759">
        <v>0</v>
      </c>
      <c r="I129" s="758">
        <v>86130</v>
      </c>
    </row>
    <row r="130" spans="2:9" x14ac:dyDescent="0.25">
      <c r="B130" s="758">
        <v>129</v>
      </c>
      <c r="C130" s="758">
        <v>19300000219</v>
      </c>
      <c r="D130" t="s">
        <v>4724</v>
      </c>
      <c r="E130" t="s">
        <v>4624</v>
      </c>
      <c r="F130" s="763">
        <v>43292</v>
      </c>
      <c r="G130" s="759">
        <v>0</v>
      </c>
      <c r="I130" s="758">
        <v>86130</v>
      </c>
    </row>
    <row r="131" spans="2:9" x14ac:dyDescent="0.25">
      <c r="B131" s="758">
        <v>130</v>
      </c>
      <c r="C131" s="758">
        <v>19300000220</v>
      </c>
      <c r="D131" t="s">
        <v>4725</v>
      </c>
      <c r="E131" t="s">
        <v>4625</v>
      </c>
      <c r="F131" s="763">
        <v>43292</v>
      </c>
      <c r="G131" s="759">
        <v>0</v>
      </c>
      <c r="I131" s="758">
        <v>86130</v>
      </c>
    </row>
    <row r="132" spans="2:9" x14ac:dyDescent="0.25">
      <c r="B132" s="758">
        <v>131</v>
      </c>
      <c r="C132" s="758">
        <v>19300000221</v>
      </c>
      <c r="D132" t="s">
        <v>4726</v>
      </c>
      <c r="E132" t="s">
        <v>4624</v>
      </c>
      <c r="F132" s="763">
        <v>43292</v>
      </c>
      <c r="G132" s="759">
        <v>0</v>
      </c>
      <c r="I132" s="758">
        <v>86130</v>
      </c>
    </row>
    <row r="133" spans="2:9" x14ac:dyDescent="0.25">
      <c r="B133" s="758">
        <v>132</v>
      </c>
      <c r="C133" s="758">
        <v>19300000225</v>
      </c>
      <c r="D133" t="s">
        <v>4727</v>
      </c>
      <c r="E133" t="s">
        <v>4625</v>
      </c>
      <c r="F133" s="763">
        <v>43292</v>
      </c>
      <c r="G133" s="759">
        <v>0</v>
      </c>
      <c r="I133" s="758">
        <v>86130</v>
      </c>
    </row>
    <row r="134" spans="2:9" x14ac:dyDescent="0.25">
      <c r="B134" s="758">
        <v>133</v>
      </c>
      <c r="C134" s="758">
        <v>19300000226</v>
      </c>
      <c r="D134" t="s">
        <v>4728</v>
      </c>
      <c r="E134" t="s">
        <v>4625</v>
      </c>
      <c r="F134" s="763">
        <v>43292</v>
      </c>
      <c r="G134" s="759">
        <v>0</v>
      </c>
      <c r="I134" s="758">
        <v>86130</v>
      </c>
    </row>
    <row r="135" spans="2:9" x14ac:dyDescent="0.25">
      <c r="B135" s="758">
        <v>134</v>
      </c>
      <c r="C135" s="758">
        <v>19300000233</v>
      </c>
      <c r="D135" t="s">
        <v>4729</v>
      </c>
      <c r="E135" t="s">
        <v>4625</v>
      </c>
      <c r="F135" s="763">
        <v>43292</v>
      </c>
      <c r="G135" s="759">
        <v>0</v>
      </c>
      <c r="I135" s="758">
        <v>86130</v>
      </c>
    </row>
    <row r="136" spans="2:9" x14ac:dyDescent="0.25">
      <c r="B136" s="758">
        <v>135</v>
      </c>
      <c r="C136" s="758">
        <v>19300000234</v>
      </c>
      <c r="D136" t="s">
        <v>4730</v>
      </c>
      <c r="E136" t="s">
        <v>4625</v>
      </c>
      <c r="F136" s="763">
        <v>43292</v>
      </c>
      <c r="G136" s="759">
        <v>0</v>
      </c>
      <c r="I136" s="758">
        <v>86130</v>
      </c>
    </row>
    <row r="137" spans="2:9" x14ac:dyDescent="0.25">
      <c r="B137" s="758">
        <v>136</v>
      </c>
      <c r="C137" s="758">
        <v>19300000235</v>
      </c>
      <c r="D137" t="s">
        <v>4731</v>
      </c>
      <c r="E137" t="s">
        <v>4624</v>
      </c>
      <c r="F137" s="763">
        <v>43292</v>
      </c>
      <c r="G137" s="759">
        <v>0</v>
      </c>
      <c r="I137" s="758">
        <v>86130</v>
      </c>
    </row>
    <row r="138" spans="2:9" x14ac:dyDescent="0.25">
      <c r="B138" s="758">
        <v>137</v>
      </c>
      <c r="C138" s="758">
        <v>19300000242</v>
      </c>
      <c r="D138" t="s">
        <v>4732</v>
      </c>
      <c r="E138" t="s">
        <v>4624</v>
      </c>
      <c r="F138" s="763">
        <v>43292</v>
      </c>
      <c r="G138" s="759">
        <v>0</v>
      </c>
      <c r="I138" s="758">
        <v>86130</v>
      </c>
    </row>
    <row r="139" spans="2:9" x14ac:dyDescent="0.25">
      <c r="B139" s="758">
        <v>138</v>
      </c>
      <c r="C139" s="758">
        <v>19300000244</v>
      </c>
      <c r="D139" t="s">
        <v>4733</v>
      </c>
      <c r="E139" t="s">
        <v>4625</v>
      </c>
      <c r="F139" s="763">
        <v>43292</v>
      </c>
      <c r="G139" s="759">
        <v>0</v>
      </c>
      <c r="I139" s="758">
        <v>86130</v>
      </c>
    </row>
    <row r="140" spans="2:9" x14ac:dyDescent="0.25">
      <c r="B140" s="758">
        <v>139</v>
      </c>
      <c r="C140" s="758">
        <v>19300000248</v>
      </c>
      <c r="D140" t="s">
        <v>4734</v>
      </c>
      <c r="E140" t="s">
        <v>4624</v>
      </c>
      <c r="F140" s="763">
        <v>43292</v>
      </c>
      <c r="G140" s="759">
        <v>0</v>
      </c>
      <c r="I140" s="758">
        <v>86130</v>
      </c>
    </row>
    <row r="141" spans="2:9" x14ac:dyDescent="0.25">
      <c r="B141" s="758">
        <v>140</v>
      </c>
      <c r="C141" s="758">
        <v>19300000249</v>
      </c>
      <c r="D141" t="s">
        <v>4735</v>
      </c>
      <c r="E141" t="s">
        <v>4625</v>
      </c>
      <c r="F141" s="763">
        <v>43292</v>
      </c>
      <c r="G141" s="759">
        <v>0</v>
      </c>
      <c r="I141" s="758">
        <v>86130</v>
      </c>
    </row>
    <row r="142" spans="2:9" x14ac:dyDescent="0.25">
      <c r="B142" s="758">
        <v>141</v>
      </c>
      <c r="C142" s="758">
        <v>19300000251</v>
      </c>
      <c r="D142" t="s">
        <v>4736</v>
      </c>
      <c r="E142" t="s">
        <v>4625</v>
      </c>
      <c r="F142" s="763">
        <v>43292</v>
      </c>
      <c r="G142" s="759">
        <v>0</v>
      </c>
      <c r="I142" s="758">
        <v>86130</v>
      </c>
    </row>
    <row r="143" spans="2:9" x14ac:dyDescent="0.25">
      <c r="B143" s="758">
        <v>142</v>
      </c>
      <c r="C143" s="758">
        <v>19300000252</v>
      </c>
      <c r="D143" t="s">
        <v>4737</v>
      </c>
      <c r="E143" t="s">
        <v>4625</v>
      </c>
      <c r="F143" s="763">
        <v>43292</v>
      </c>
      <c r="G143" s="759">
        <v>0</v>
      </c>
      <c r="I143" s="758">
        <v>86130</v>
      </c>
    </row>
    <row r="144" spans="2:9" x14ac:dyDescent="0.25">
      <c r="B144" s="758">
        <v>143</v>
      </c>
      <c r="C144" s="758">
        <v>19300000253</v>
      </c>
      <c r="D144" t="s">
        <v>4738</v>
      </c>
      <c r="E144" t="s">
        <v>4625</v>
      </c>
      <c r="F144" s="763">
        <v>43292</v>
      </c>
      <c r="G144" s="759">
        <v>0</v>
      </c>
      <c r="I144" s="758">
        <v>86130</v>
      </c>
    </row>
    <row r="145" spans="2:9" x14ac:dyDescent="0.25">
      <c r="B145" s="758">
        <v>144</v>
      </c>
      <c r="C145" s="758">
        <v>19300000255</v>
      </c>
      <c r="D145" t="s">
        <v>4739</v>
      </c>
      <c r="E145" t="s">
        <v>4625</v>
      </c>
      <c r="F145" s="763">
        <v>43292</v>
      </c>
      <c r="G145" s="759">
        <v>0</v>
      </c>
      <c r="I145" s="758">
        <v>86130</v>
      </c>
    </row>
    <row r="146" spans="2:9" x14ac:dyDescent="0.25">
      <c r="B146" s="758">
        <v>145</v>
      </c>
      <c r="C146" s="758">
        <v>19300000256</v>
      </c>
      <c r="D146" t="s">
        <v>1514</v>
      </c>
      <c r="E146" t="s">
        <v>4625</v>
      </c>
      <c r="F146" s="763">
        <v>43292</v>
      </c>
      <c r="G146" s="759">
        <v>0</v>
      </c>
      <c r="I146" s="758">
        <v>86130</v>
      </c>
    </row>
    <row r="147" spans="2:9" x14ac:dyDescent="0.25">
      <c r="B147" s="758">
        <v>146</v>
      </c>
      <c r="C147" s="758">
        <v>19300000257</v>
      </c>
      <c r="D147" t="s">
        <v>4740</v>
      </c>
      <c r="E147" t="s">
        <v>4624</v>
      </c>
      <c r="F147" s="763">
        <v>43292</v>
      </c>
      <c r="G147" s="759">
        <v>0</v>
      </c>
      <c r="I147" s="758">
        <v>86130</v>
      </c>
    </row>
    <row r="148" spans="2:9" x14ac:dyDescent="0.25">
      <c r="B148" s="758">
        <v>147</v>
      </c>
      <c r="C148" s="758">
        <v>19300000259</v>
      </c>
      <c r="D148" t="s">
        <v>4741</v>
      </c>
      <c r="E148" t="s">
        <v>4625</v>
      </c>
      <c r="F148" s="763">
        <v>43292</v>
      </c>
      <c r="G148" s="759">
        <v>0</v>
      </c>
      <c r="I148" s="758">
        <v>86130</v>
      </c>
    </row>
    <row r="149" spans="2:9" x14ac:dyDescent="0.25">
      <c r="B149" s="758">
        <v>148</v>
      </c>
      <c r="C149" s="758">
        <v>19300000261</v>
      </c>
      <c r="D149" t="s">
        <v>4742</v>
      </c>
      <c r="E149" t="s">
        <v>4624</v>
      </c>
      <c r="F149" s="763">
        <v>43292</v>
      </c>
      <c r="G149" s="759">
        <v>0</v>
      </c>
      <c r="I149" s="758">
        <v>86130</v>
      </c>
    </row>
    <row r="150" spans="2:9" x14ac:dyDescent="0.25">
      <c r="B150" s="758">
        <v>149</v>
      </c>
      <c r="C150" s="758">
        <v>19300000265</v>
      </c>
      <c r="D150" t="s">
        <v>1692</v>
      </c>
      <c r="E150" t="s">
        <v>4625</v>
      </c>
      <c r="F150" s="763">
        <v>43292</v>
      </c>
      <c r="G150" s="759">
        <v>0</v>
      </c>
      <c r="I150" s="758">
        <v>86130</v>
      </c>
    </row>
    <row r="151" spans="2:9" x14ac:dyDescent="0.25">
      <c r="B151" s="758">
        <v>150</v>
      </c>
      <c r="C151" s="758">
        <v>19300000267</v>
      </c>
      <c r="D151" t="s">
        <v>4743</v>
      </c>
      <c r="E151" t="s">
        <v>4625</v>
      </c>
      <c r="F151" s="763">
        <v>43292</v>
      </c>
      <c r="G151" s="759">
        <v>0</v>
      </c>
      <c r="I151" s="758">
        <v>86130</v>
      </c>
    </row>
    <row r="152" spans="2:9" x14ac:dyDescent="0.25">
      <c r="B152" s="758">
        <v>151</v>
      </c>
      <c r="C152" s="758">
        <v>19300000268</v>
      </c>
      <c r="D152" t="s">
        <v>4744</v>
      </c>
      <c r="E152" t="s">
        <v>4625</v>
      </c>
      <c r="F152" s="763">
        <v>43292</v>
      </c>
      <c r="G152" s="759">
        <v>0</v>
      </c>
      <c r="I152" s="758">
        <v>86130</v>
      </c>
    </row>
    <row r="153" spans="2:9" x14ac:dyDescent="0.25">
      <c r="B153" s="758">
        <v>152</v>
      </c>
      <c r="C153" s="758">
        <v>19300000269</v>
      </c>
      <c r="D153" t="s">
        <v>4745</v>
      </c>
      <c r="E153" t="s">
        <v>4624</v>
      </c>
      <c r="F153" s="763">
        <v>43292</v>
      </c>
      <c r="G153" s="759">
        <v>0</v>
      </c>
      <c r="I153" s="758">
        <v>86130</v>
      </c>
    </row>
    <row r="154" spans="2:9" x14ac:dyDescent="0.25">
      <c r="B154" s="758">
        <v>153</v>
      </c>
      <c r="C154" s="758">
        <v>19300000272</v>
      </c>
      <c r="D154" t="s">
        <v>4746</v>
      </c>
      <c r="E154" t="s">
        <v>4625</v>
      </c>
      <c r="F154" s="763">
        <v>43292</v>
      </c>
      <c r="G154" s="759">
        <v>0</v>
      </c>
      <c r="I154" s="758">
        <v>86130</v>
      </c>
    </row>
    <row r="155" spans="2:9" x14ac:dyDescent="0.25">
      <c r="B155" s="758">
        <v>154</v>
      </c>
      <c r="C155" s="758">
        <v>19300000273</v>
      </c>
      <c r="D155" t="s">
        <v>4747</v>
      </c>
      <c r="E155" t="s">
        <v>4625</v>
      </c>
      <c r="F155" s="763">
        <v>43292</v>
      </c>
      <c r="G155" s="759">
        <v>0</v>
      </c>
      <c r="I155" s="758">
        <v>86130</v>
      </c>
    </row>
    <row r="156" spans="2:9" x14ac:dyDescent="0.25">
      <c r="B156" s="758">
        <v>155</v>
      </c>
      <c r="C156" s="758">
        <v>19300000274</v>
      </c>
      <c r="D156" t="s">
        <v>4748</v>
      </c>
      <c r="E156" t="s">
        <v>4625</v>
      </c>
      <c r="F156" s="763">
        <v>43292</v>
      </c>
      <c r="G156" s="759">
        <v>0</v>
      </c>
      <c r="I156" s="758">
        <v>86130</v>
      </c>
    </row>
    <row r="157" spans="2:9" x14ac:dyDescent="0.25">
      <c r="B157" s="758">
        <v>156</v>
      </c>
      <c r="C157" s="758">
        <v>19300000275</v>
      </c>
      <c r="D157" t="s">
        <v>4749</v>
      </c>
      <c r="E157" t="s">
        <v>4625</v>
      </c>
      <c r="F157" s="763">
        <v>43292</v>
      </c>
      <c r="G157" s="759">
        <v>0</v>
      </c>
      <c r="I157" s="758">
        <v>86130</v>
      </c>
    </row>
    <row r="158" spans="2:9" x14ac:dyDescent="0.25">
      <c r="B158" s="758">
        <v>157</v>
      </c>
      <c r="C158" s="758">
        <v>19300000276</v>
      </c>
      <c r="D158" t="s">
        <v>2377</v>
      </c>
      <c r="E158" t="s">
        <v>4625</v>
      </c>
      <c r="F158" s="763">
        <v>43292</v>
      </c>
      <c r="G158" s="759">
        <v>0</v>
      </c>
      <c r="I158" s="758">
        <v>86130</v>
      </c>
    </row>
    <row r="159" spans="2:9" x14ac:dyDescent="0.25">
      <c r="B159" s="758">
        <v>158</v>
      </c>
      <c r="C159" s="758">
        <v>19300000277</v>
      </c>
      <c r="D159" t="s">
        <v>4750</v>
      </c>
      <c r="E159" t="s">
        <v>4625</v>
      </c>
      <c r="F159" s="763">
        <v>43292</v>
      </c>
      <c r="G159" s="759">
        <v>0</v>
      </c>
      <c r="I159" s="758">
        <v>86130</v>
      </c>
    </row>
    <row r="160" spans="2:9" x14ac:dyDescent="0.25">
      <c r="B160" s="758">
        <v>159</v>
      </c>
      <c r="C160" s="758">
        <v>19300000278</v>
      </c>
      <c r="D160" t="s">
        <v>4751</v>
      </c>
      <c r="E160" t="s">
        <v>4625</v>
      </c>
      <c r="F160" s="763">
        <v>43292</v>
      </c>
      <c r="G160" s="759">
        <v>0</v>
      </c>
      <c r="I160" s="758">
        <v>86130</v>
      </c>
    </row>
    <row r="161" spans="2:9" x14ac:dyDescent="0.25">
      <c r="B161" s="758">
        <v>160</v>
      </c>
      <c r="C161" s="758">
        <v>19300000279</v>
      </c>
      <c r="D161" t="s">
        <v>4752</v>
      </c>
      <c r="E161" t="s">
        <v>4625</v>
      </c>
      <c r="F161" s="763">
        <v>43292</v>
      </c>
      <c r="G161" s="759">
        <v>0</v>
      </c>
      <c r="I161" s="758">
        <v>86130</v>
      </c>
    </row>
    <row r="162" spans="2:9" x14ac:dyDescent="0.25">
      <c r="B162" s="758">
        <v>161</v>
      </c>
      <c r="C162" s="758">
        <v>19300000280</v>
      </c>
      <c r="D162" t="s">
        <v>4753</v>
      </c>
      <c r="E162" t="s">
        <v>4625</v>
      </c>
      <c r="F162" s="763">
        <v>43292</v>
      </c>
      <c r="G162" s="759">
        <v>0</v>
      </c>
      <c r="I162" s="758">
        <v>86130</v>
      </c>
    </row>
    <row r="163" spans="2:9" x14ac:dyDescent="0.25">
      <c r="B163" s="758">
        <v>162</v>
      </c>
      <c r="C163" s="758">
        <v>19300000282</v>
      </c>
      <c r="D163" t="s">
        <v>4754</v>
      </c>
      <c r="E163" t="s">
        <v>4625</v>
      </c>
      <c r="F163" s="763">
        <v>43292</v>
      </c>
      <c r="G163" s="759">
        <v>0</v>
      </c>
      <c r="I163" s="758">
        <v>86130</v>
      </c>
    </row>
    <row r="164" spans="2:9" x14ac:dyDescent="0.25">
      <c r="B164" s="758">
        <v>163</v>
      </c>
      <c r="C164" s="758">
        <v>19300000283</v>
      </c>
      <c r="D164" t="s">
        <v>4755</v>
      </c>
      <c r="E164" t="s">
        <v>4625</v>
      </c>
      <c r="F164" s="763">
        <v>43292</v>
      </c>
      <c r="G164" s="759">
        <v>0</v>
      </c>
      <c r="I164" s="758">
        <v>86130</v>
      </c>
    </row>
    <row r="165" spans="2:9" x14ac:dyDescent="0.25">
      <c r="B165" s="758">
        <v>164</v>
      </c>
      <c r="C165" s="758">
        <v>19300000285</v>
      </c>
      <c r="D165" t="s">
        <v>4756</v>
      </c>
      <c r="E165" t="s">
        <v>4625</v>
      </c>
      <c r="F165" s="763">
        <v>43292</v>
      </c>
      <c r="G165" s="759">
        <v>0</v>
      </c>
      <c r="I165" s="758">
        <v>86130</v>
      </c>
    </row>
    <row r="166" spans="2:9" x14ac:dyDescent="0.25">
      <c r="B166" s="758">
        <v>165</v>
      </c>
      <c r="C166" s="758">
        <v>19300000286</v>
      </c>
      <c r="D166" t="s">
        <v>4757</v>
      </c>
      <c r="E166" t="s">
        <v>4625</v>
      </c>
      <c r="F166" s="763">
        <v>43292</v>
      </c>
      <c r="G166" s="759">
        <v>0</v>
      </c>
      <c r="I166" s="758">
        <v>86130</v>
      </c>
    </row>
    <row r="167" spans="2:9" x14ac:dyDescent="0.25">
      <c r="B167" s="758">
        <v>166</v>
      </c>
      <c r="C167" s="758">
        <v>19300000287</v>
      </c>
      <c r="D167" t="s">
        <v>4758</v>
      </c>
      <c r="E167" t="s">
        <v>4625</v>
      </c>
      <c r="F167" s="763">
        <v>43292</v>
      </c>
      <c r="G167" s="759">
        <v>0</v>
      </c>
      <c r="I167" s="758">
        <v>86130</v>
      </c>
    </row>
    <row r="168" spans="2:9" x14ac:dyDescent="0.25">
      <c r="B168" s="758">
        <v>167</v>
      </c>
      <c r="C168" s="758">
        <v>19300000289</v>
      </c>
      <c r="D168" t="s">
        <v>4759</v>
      </c>
      <c r="E168" t="s">
        <v>4625</v>
      </c>
      <c r="F168" s="763">
        <v>43292</v>
      </c>
      <c r="G168" s="759">
        <v>0</v>
      </c>
      <c r="I168" s="758">
        <v>86130</v>
      </c>
    </row>
    <row r="169" spans="2:9" x14ac:dyDescent="0.25">
      <c r="B169" s="758">
        <v>168</v>
      </c>
      <c r="C169" s="758">
        <v>19300000291</v>
      </c>
      <c r="D169" t="s">
        <v>2317</v>
      </c>
      <c r="E169" t="s">
        <v>4625</v>
      </c>
      <c r="F169" s="763">
        <v>43292</v>
      </c>
      <c r="G169" s="759">
        <v>0</v>
      </c>
      <c r="I169" s="758">
        <v>86130</v>
      </c>
    </row>
    <row r="170" spans="2:9" x14ac:dyDescent="0.25">
      <c r="B170" s="758">
        <v>169</v>
      </c>
      <c r="C170" s="758">
        <v>19300000293</v>
      </c>
      <c r="D170" t="s">
        <v>4760</v>
      </c>
      <c r="E170" t="s">
        <v>4625</v>
      </c>
      <c r="F170" s="763">
        <v>43292</v>
      </c>
      <c r="G170" s="759">
        <v>0</v>
      </c>
      <c r="I170" s="758">
        <v>86130</v>
      </c>
    </row>
    <row r="171" spans="2:9" x14ac:dyDescent="0.25">
      <c r="B171" s="758">
        <v>170</v>
      </c>
      <c r="C171" s="758">
        <v>19300000294</v>
      </c>
      <c r="D171" t="s">
        <v>4761</v>
      </c>
      <c r="E171" t="s">
        <v>4625</v>
      </c>
      <c r="F171" s="763">
        <v>43292</v>
      </c>
      <c r="G171" s="759">
        <v>0</v>
      </c>
      <c r="I171" s="758">
        <v>86130</v>
      </c>
    </row>
    <row r="172" spans="2:9" x14ac:dyDescent="0.25">
      <c r="B172" s="758">
        <v>171</v>
      </c>
      <c r="C172" s="758">
        <v>19300000295</v>
      </c>
      <c r="D172" t="s">
        <v>4762</v>
      </c>
      <c r="E172" t="s">
        <v>4625</v>
      </c>
      <c r="F172" s="763">
        <v>43292</v>
      </c>
      <c r="G172" s="759">
        <v>0</v>
      </c>
      <c r="I172" s="758">
        <v>86130</v>
      </c>
    </row>
    <row r="173" spans="2:9" x14ac:dyDescent="0.25">
      <c r="B173" s="758">
        <v>172</v>
      </c>
      <c r="C173" s="758">
        <v>19300000297</v>
      </c>
      <c r="D173" t="s">
        <v>4763</v>
      </c>
      <c r="E173" t="s">
        <v>4625</v>
      </c>
      <c r="F173" s="763">
        <v>43292</v>
      </c>
      <c r="G173" s="759">
        <v>0</v>
      </c>
      <c r="I173" s="758">
        <v>86130</v>
      </c>
    </row>
    <row r="174" spans="2:9" x14ac:dyDescent="0.25">
      <c r="B174" s="758">
        <v>173</v>
      </c>
      <c r="C174" s="758">
        <v>19300000300</v>
      </c>
      <c r="D174" t="s">
        <v>4764</v>
      </c>
      <c r="E174" t="s">
        <v>4625</v>
      </c>
      <c r="F174" s="763">
        <v>43292</v>
      </c>
      <c r="G174" s="759">
        <v>0</v>
      </c>
      <c r="I174" s="758">
        <v>86130</v>
      </c>
    </row>
    <row r="175" spans="2:9" x14ac:dyDescent="0.25">
      <c r="B175" s="758">
        <v>174</v>
      </c>
      <c r="C175" s="758">
        <v>19300000301</v>
      </c>
      <c r="D175" t="s">
        <v>4765</v>
      </c>
      <c r="E175" t="s">
        <v>4624</v>
      </c>
      <c r="F175" s="763">
        <v>43292</v>
      </c>
      <c r="G175" s="759">
        <v>0</v>
      </c>
      <c r="I175" s="758">
        <v>86130</v>
      </c>
    </row>
    <row r="176" spans="2:9" x14ac:dyDescent="0.25">
      <c r="B176" s="758">
        <v>175</v>
      </c>
      <c r="C176" s="758">
        <v>19300000302</v>
      </c>
      <c r="D176" t="s">
        <v>4766</v>
      </c>
      <c r="E176" t="s">
        <v>4625</v>
      </c>
      <c r="F176" s="763">
        <v>43292</v>
      </c>
      <c r="G176" s="759">
        <v>0</v>
      </c>
      <c r="I176" s="758">
        <v>86130</v>
      </c>
    </row>
    <row r="177" spans="2:9" x14ac:dyDescent="0.25">
      <c r="B177" s="758">
        <v>176</v>
      </c>
      <c r="C177" s="758">
        <v>19300000306</v>
      </c>
      <c r="D177" t="s">
        <v>4767</v>
      </c>
      <c r="E177" t="s">
        <v>4624</v>
      </c>
      <c r="F177" s="763">
        <v>43292</v>
      </c>
      <c r="G177" s="759">
        <v>0</v>
      </c>
      <c r="I177" s="758">
        <v>86130</v>
      </c>
    </row>
    <row r="178" spans="2:9" x14ac:dyDescent="0.25">
      <c r="B178" s="758">
        <v>177</v>
      </c>
      <c r="C178" s="758">
        <v>19300000307</v>
      </c>
      <c r="D178" t="s">
        <v>4768</v>
      </c>
      <c r="E178" t="s">
        <v>4625</v>
      </c>
      <c r="F178" s="763">
        <v>43292</v>
      </c>
      <c r="G178" s="759">
        <v>0</v>
      </c>
      <c r="I178" s="758">
        <v>86130</v>
      </c>
    </row>
    <row r="179" spans="2:9" x14ac:dyDescent="0.25">
      <c r="B179" s="758">
        <v>178</v>
      </c>
      <c r="C179" s="758">
        <v>19300000308</v>
      </c>
      <c r="D179" t="s">
        <v>4769</v>
      </c>
      <c r="E179" t="s">
        <v>4625</v>
      </c>
      <c r="F179" s="763">
        <v>43292</v>
      </c>
      <c r="G179" s="759">
        <v>0</v>
      </c>
      <c r="I179" s="758">
        <v>86130</v>
      </c>
    </row>
    <row r="180" spans="2:9" x14ac:dyDescent="0.25">
      <c r="B180" s="758">
        <v>179</v>
      </c>
      <c r="C180" s="758">
        <v>19300000313</v>
      </c>
      <c r="D180" t="s">
        <v>4770</v>
      </c>
      <c r="E180" t="s">
        <v>4625</v>
      </c>
      <c r="F180" s="763">
        <v>43292</v>
      </c>
      <c r="G180" s="759">
        <v>0</v>
      </c>
      <c r="I180" s="758">
        <v>86130</v>
      </c>
    </row>
    <row r="181" spans="2:9" x14ac:dyDescent="0.25">
      <c r="B181" s="758">
        <v>180</v>
      </c>
      <c r="C181" s="758">
        <v>19300000314</v>
      </c>
      <c r="D181" t="s">
        <v>2293</v>
      </c>
      <c r="E181" t="s">
        <v>4624</v>
      </c>
      <c r="F181" s="763">
        <v>43292</v>
      </c>
      <c r="G181" s="759">
        <v>0</v>
      </c>
      <c r="I181" s="758">
        <v>86130</v>
      </c>
    </row>
    <row r="182" spans="2:9" x14ac:dyDescent="0.25">
      <c r="B182" s="758">
        <v>181</v>
      </c>
      <c r="C182" s="758">
        <v>19300000315</v>
      </c>
      <c r="D182" t="s">
        <v>4771</v>
      </c>
      <c r="E182" t="s">
        <v>4624</v>
      </c>
      <c r="F182" s="763">
        <v>43292</v>
      </c>
      <c r="G182" s="759">
        <v>0</v>
      </c>
      <c r="I182" s="758">
        <v>86130</v>
      </c>
    </row>
    <row r="183" spans="2:9" x14ac:dyDescent="0.25">
      <c r="B183" s="758">
        <v>182</v>
      </c>
      <c r="C183" s="758">
        <v>19300000316</v>
      </c>
      <c r="D183" t="s">
        <v>4772</v>
      </c>
      <c r="E183" t="s">
        <v>4625</v>
      </c>
      <c r="F183" s="763">
        <v>43292</v>
      </c>
      <c r="G183" s="759">
        <v>0</v>
      </c>
      <c r="I183" s="758">
        <v>86130</v>
      </c>
    </row>
    <row r="184" spans="2:9" x14ac:dyDescent="0.25">
      <c r="B184" s="758">
        <v>183</v>
      </c>
      <c r="C184" s="758">
        <v>19300000317</v>
      </c>
      <c r="D184" t="s">
        <v>4773</v>
      </c>
      <c r="E184" t="s">
        <v>4625</v>
      </c>
      <c r="F184" s="763">
        <v>43292</v>
      </c>
      <c r="G184" s="759">
        <v>0</v>
      </c>
      <c r="I184" s="758">
        <v>86130</v>
      </c>
    </row>
    <row r="185" spans="2:9" x14ac:dyDescent="0.25">
      <c r="B185" s="758">
        <v>184</v>
      </c>
      <c r="C185" s="758">
        <v>19300000319</v>
      </c>
      <c r="D185" t="s">
        <v>4774</v>
      </c>
      <c r="E185" t="s">
        <v>4625</v>
      </c>
      <c r="F185" s="763">
        <v>43292</v>
      </c>
      <c r="G185" s="759">
        <v>0</v>
      </c>
      <c r="I185" s="758">
        <v>86130</v>
      </c>
    </row>
    <row r="186" spans="2:9" x14ac:dyDescent="0.25">
      <c r="B186" s="758">
        <v>185</v>
      </c>
      <c r="C186" s="758">
        <v>19300000322</v>
      </c>
      <c r="D186" t="s">
        <v>4775</v>
      </c>
      <c r="E186" t="s">
        <v>4624</v>
      </c>
      <c r="F186" s="763">
        <v>43292</v>
      </c>
      <c r="G186" s="759">
        <v>0</v>
      </c>
      <c r="I186" s="758">
        <v>86130</v>
      </c>
    </row>
    <row r="187" spans="2:9" x14ac:dyDescent="0.25">
      <c r="B187" s="758">
        <v>186</v>
      </c>
      <c r="C187" s="758">
        <v>19300000323</v>
      </c>
      <c r="D187" t="s">
        <v>4776</v>
      </c>
      <c r="E187" t="s">
        <v>4625</v>
      </c>
      <c r="F187" s="763">
        <v>43292</v>
      </c>
      <c r="G187" s="759">
        <v>0</v>
      </c>
      <c r="I187" s="758">
        <v>86130</v>
      </c>
    </row>
    <row r="188" spans="2:9" x14ac:dyDescent="0.25">
      <c r="B188" s="758">
        <v>187</v>
      </c>
      <c r="C188" s="758">
        <v>19300000324</v>
      </c>
      <c r="D188" t="s">
        <v>4777</v>
      </c>
      <c r="E188" t="s">
        <v>4624</v>
      </c>
      <c r="F188" s="763">
        <v>43292</v>
      </c>
      <c r="G188" s="759">
        <v>0</v>
      </c>
      <c r="I188" s="758">
        <v>86130</v>
      </c>
    </row>
    <row r="189" spans="2:9" x14ac:dyDescent="0.25">
      <c r="B189" s="758">
        <v>188</v>
      </c>
      <c r="C189" s="758">
        <v>19300000325</v>
      </c>
      <c r="D189" t="s">
        <v>4778</v>
      </c>
      <c r="E189" t="s">
        <v>4625</v>
      </c>
      <c r="F189" s="763">
        <v>43292</v>
      </c>
      <c r="G189" s="759">
        <v>0</v>
      </c>
      <c r="I189" s="758">
        <v>86130</v>
      </c>
    </row>
    <row r="190" spans="2:9" x14ac:dyDescent="0.25">
      <c r="B190" s="758">
        <v>189</v>
      </c>
      <c r="C190" s="758">
        <v>19300000326</v>
      </c>
      <c r="D190" t="s">
        <v>1972</v>
      </c>
      <c r="E190" t="s">
        <v>4624</v>
      </c>
      <c r="F190" s="763">
        <v>43292</v>
      </c>
      <c r="G190" s="759">
        <v>0</v>
      </c>
      <c r="I190" s="758">
        <v>86130</v>
      </c>
    </row>
    <row r="191" spans="2:9" x14ac:dyDescent="0.25">
      <c r="B191" s="758">
        <v>190</v>
      </c>
      <c r="C191" s="758">
        <v>19300000328</v>
      </c>
      <c r="D191" t="s">
        <v>2556</v>
      </c>
      <c r="E191" t="s">
        <v>4625</v>
      </c>
      <c r="F191" s="763">
        <v>43292</v>
      </c>
      <c r="G191" s="759">
        <v>0</v>
      </c>
      <c r="I191" s="758">
        <v>86130</v>
      </c>
    </row>
    <row r="192" spans="2:9" x14ac:dyDescent="0.25">
      <c r="B192" s="758">
        <v>191</v>
      </c>
      <c r="C192" s="758">
        <v>19300000330</v>
      </c>
      <c r="D192" t="s">
        <v>4779</v>
      </c>
      <c r="E192" t="s">
        <v>4624</v>
      </c>
      <c r="F192" s="763">
        <v>43292</v>
      </c>
      <c r="G192" s="759">
        <v>0</v>
      </c>
      <c r="I192" s="758">
        <v>86130</v>
      </c>
    </row>
    <row r="193" spans="2:9" x14ac:dyDescent="0.25">
      <c r="B193" s="758">
        <v>192</v>
      </c>
      <c r="C193" s="758">
        <v>19300000332</v>
      </c>
      <c r="D193" t="s">
        <v>4780</v>
      </c>
      <c r="E193" t="s">
        <v>4624</v>
      </c>
      <c r="F193" s="763">
        <v>43292</v>
      </c>
      <c r="G193" s="759">
        <v>0</v>
      </c>
      <c r="I193" s="758">
        <v>86130</v>
      </c>
    </row>
    <row r="194" spans="2:9" x14ac:dyDescent="0.25">
      <c r="B194" s="758">
        <v>193</v>
      </c>
      <c r="C194" s="758">
        <v>19300000333</v>
      </c>
      <c r="D194" t="s">
        <v>2541</v>
      </c>
      <c r="E194" t="s">
        <v>4625</v>
      </c>
      <c r="F194" s="763">
        <v>43292</v>
      </c>
      <c r="G194" s="759">
        <v>0</v>
      </c>
      <c r="I194" s="758">
        <v>86130</v>
      </c>
    </row>
    <row r="195" spans="2:9" x14ac:dyDescent="0.25">
      <c r="B195" s="758">
        <v>194</v>
      </c>
      <c r="C195" s="758">
        <v>19300000334</v>
      </c>
      <c r="D195" t="s">
        <v>4781</v>
      </c>
      <c r="E195" t="s">
        <v>4625</v>
      </c>
      <c r="F195" s="763">
        <v>43292</v>
      </c>
      <c r="G195" s="759">
        <v>0</v>
      </c>
      <c r="I195" s="758">
        <v>86130</v>
      </c>
    </row>
    <row r="196" spans="2:9" x14ac:dyDescent="0.25">
      <c r="B196" s="758">
        <v>195</v>
      </c>
      <c r="C196" s="758">
        <v>19300000335</v>
      </c>
      <c r="D196" t="s">
        <v>4782</v>
      </c>
      <c r="E196" t="s">
        <v>4624</v>
      </c>
      <c r="F196" s="763">
        <v>43292</v>
      </c>
      <c r="G196" s="759">
        <v>0</v>
      </c>
      <c r="I196" s="758">
        <v>86130</v>
      </c>
    </row>
    <row r="197" spans="2:9" x14ac:dyDescent="0.25">
      <c r="B197" s="758">
        <v>196</v>
      </c>
      <c r="C197" s="758">
        <v>19300000336</v>
      </c>
      <c r="D197" t="s">
        <v>4783</v>
      </c>
      <c r="E197" t="s">
        <v>4625</v>
      </c>
      <c r="F197" s="763">
        <v>43292</v>
      </c>
      <c r="G197" s="759">
        <v>0</v>
      </c>
      <c r="I197" s="758">
        <v>86130</v>
      </c>
    </row>
    <row r="198" spans="2:9" x14ac:dyDescent="0.25">
      <c r="B198" s="758">
        <v>197</v>
      </c>
      <c r="C198" s="758">
        <v>19300000337</v>
      </c>
      <c r="D198" t="s">
        <v>4784</v>
      </c>
      <c r="E198" t="s">
        <v>4625</v>
      </c>
      <c r="F198" s="763">
        <v>43292</v>
      </c>
      <c r="G198" s="759">
        <v>0</v>
      </c>
      <c r="I198" s="758">
        <v>86130</v>
      </c>
    </row>
    <row r="199" spans="2:9" x14ac:dyDescent="0.25">
      <c r="B199" s="758">
        <v>198</v>
      </c>
      <c r="C199" s="758">
        <v>19300000338</v>
      </c>
      <c r="D199" t="s">
        <v>4785</v>
      </c>
      <c r="E199" t="s">
        <v>4625</v>
      </c>
      <c r="F199" s="763">
        <v>43292</v>
      </c>
      <c r="G199" s="759">
        <v>0</v>
      </c>
      <c r="I199" s="758">
        <v>86130</v>
      </c>
    </row>
    <row r="200" spans="2:9" x14ac:dyDescent="0.25">
      <c r="B200" s="758">
        <v>199</v>
      </c>
      <c r="C200" s="758">
        <v>192000004</v>
      </c>
      <c r="D200" t="s">
        <v>2504</v>
      </c>
      <c r="E200" t="s">
        <v>4625</v>
      </c>
      <c r="F200" s="763">
        <v>43292</v>
      </c>
      <c r="G200" s="759">
        <v>1</v>
      </c>
      <c r="I200" s="758">
        <v>86031</v>
      </c>
    </row>
    <row r="201" spans="2:9" x14ac:dyDescent="0.25">
      <c r="B201" s="758">
        <v>200</v>
      </c>
      <c r="C201" s="758">
        <v>192000012</v>
      </c>
      <c r="D201" t="s">
        <v>2508</v>
      </c>
      <c r="E201" t="s">
        <v>4624</v>
      </c>
      <c r="F201" s="763">
        <v>43292</v>
      </c>
      <c r="G201" s="759">
        <v>1</v>
      </c>
      <c r="I201" s="758">
        <v>86031</v>
      </c>
    </row>
    <row r="202" spans="2:9" x14ac:dyDescent="0.25">
      <c r="B202" s="758">
        <v>201</v>
      </c>
      <c r="C202" s="758">
        <v>192000014</v>
      </c>
      <c r="D202" t="s">
        <v>2517</v>
      </c>
      <c r="E202" t="s">
        <v>4625</v>
      </c>
      <c r="F202" s="763">
        <v>43292</v>
      </c>
      <c r="G202" s="759">
        <v>1</v>
      </c>
      <c r="I202" s="758">
        <v>86031</v>
      </c>
    </row>
    <row r="203" spans="2:9" x14ac:dyDescent="0.25">
      <c r="B203" s="758">
        <v>202</v>
      </c>
      <c r="C203" s="758">
        <v>192000015</v>
      </c>
      <c r="D203" t="s">
        <v>2507</v>
      </c>
      <c r="E203" t="s">
        <v>4625</v>
      </c>
      <c r="F203" s="763">
        <v>43292</v>
      </c>
      <c r="G203" s="759">
        <v>1</v>
      </c>
      <c r="I203" s="758">
        <v>86031</v>
      </c>
    </row>
    <row r="204" spans="2:9" x14ac:dyDescent="0.25">
      <c r="B204" s="758">
        <v>203</v>
      </c>
      <c r="C204" s="758">
        <v>192000016</v>
      </c>
      <c r="D204" t="s">
        <v>2518</v>
      </c>
      <c r="E204" t="s">
        <v>4625</v>
      </c>
      <c r="F204" s="763">
        <v>43292</v>
      </c>
      <c r="G204" s="759">
        <v>1</v>
      </c>
      <c r="I204" s="758">
        <v>86031</v>
      </c>
    </row>
    <row r="205" spans="2:9" x14ac:dyDescent="0.25">
      <c r="B205" s="758">
        <v>204</v>
      </c>
      <c r="C205" s="758">
        <v>192000017</v>
      </c>
      <c r="D205" t="s">
        <v>1998</v>
      </c>
      <c r="E205" t="s">
        <v>4625</v>
      </c>
      <c r="F205" s="763">
        <v>43292</v>
      </c>
      <c r="G205" s="759">
        <v>1</v>
      </c>
      <c r="I205" s="758">
        <v>86031</v>
      </c>
    </row>
    <row r="206" spans="2:9" x14ac:dyDescent="0.25">
      <c r="B206" s="758">
        <v>205</v>
      </c>
      <c r="C206" s="758">
        <v>192000022</v>
      </c>
      <c r="D206" t="s">
        <v>2509</v>
      </c>
      <c r="E206" t="s">
        <v>4624</v>
      </c>
      <c r="F206" s="763">
        <v>43292</v>
      </c>
      <c r="G206" s="759">
        <v>1</v>
      </c>
      <c r="I206" s="758">
        <v>86031</v>
      </c>
    </row>
    <row r="207" spans="2:9" x14ac:dyDescent="0.25">
      <c r="B207" s="758">
        <v>206</v>
      </c>
      <c r="C207" s="758">
        <v>192000023</v>
      </c>
      <c r="D207" t="s">
        <v>2510</v>
      </c>
      <c r="E207" t="s">
        <v>4625</v>
      </c>
      <c r="F207" s="763">
        <v>43292</v>
      </c>
      <c r="G207" s="759">
        <v>1</v>
      </c>
      <c r="I207" s="758">
        <v>86031</v>
      </c>
    </row>
    <row r="208" spans="2:9" x14ac:dyDescent="0.25">
      <c r="B208" s="758">
        <v>207</v>
      </c>
      <c r="C208" s="758">
        <v>192000024</v>
      </c>
      <c r="D208" t="s">
        <v>2513</v>
      </c>
      <c r="E208" t="s">
        <v>4625</v>
      </c>
      <c r="F208" s="763">
        <v>43292</v>
      </c>
      <c r="G208" s="759">
        <v>1</v>
      </c>
      <c r="I208" s="758">
        <v>86031</v>
      </c>
    </row>
    <row r="209" spans="2:10" x14ac:dyDescent="0.25">
      <c r="B209" s="758">
        <v>208</v>
      </c>
      <c r="C209" s="758">
        <v>192000026</v>
      </c>
      <c r="D209" t="s">
        <v>2512</v>
      </c>
      <c r="E209" t="s">
        <v>4625</v>
      </c>
      <c r="F209" s="763">
        <v>43292</v>
      </c>
      <c r="G209" s="759">
        <v>1</v>
      </c>
      <c r="I209" s="758">
        <v>86031</v>
      </c>
    </row>
    <row r="210" spans="2:10" x14ac:dyDescent="0.25">
      <c r="B210" s="758">
        <v>209</v>
      </c>
      <c r="C210" s="758">
        <v>192000032</v>
      </c>
      <c r="D210" t="s">
        <v>2520</v>
      </c>
      <c r="E210" t="s">
        <v>4625</v>
      </c>
      <c r="F210" s="763">
        <v>43292</v>
      </c>
      <c r="G210" s="759">
        <v>1</v>
      </c>
      <c r="I210" s="758">
        <v>86031</v>
      </c>
    </row>
    <row r="211" spans="2:10" x14ac:dyDescent="0.25">
      <c r="B211" s="758">
        <v>210</v>
      </c>
      <c r="C211" s="758">
        <v>192000034</v>
      </c>
      <c r="D211" t="s">
        <v>2514</v>
      </c>
      <c r="E211" t="s">
        <v>4625</v>
      </c>
      <c r="F211" s="763">
        <v>43292</v>
      </c>
      <c r="G211" s="759">
        <v>1</v>
      </c>
      <c r="I211" s="758">
        <v>86031</v>
      </c>
    </row>
    <row r="212" spans="2:10" x14ac:dyDescent="0.25">
      <c r="B212" s="758">
        <v>211</v>
      </c>
      <c r="C212" s="758">
        <v>192000041</v>
      </c>
      <c r="D212" t="s">
        <v>2511</v>
      </c>
      <c r="E212" t="s">
        <v>4625</v>
      </c>
      <c r="F212" s="763">
        <v>43292</v>
      </c>
      <c r="G212" s="759">
        <v>1</v>
      </c>
      <c r="I212" s="758">
        <v>86031</v>
      </c>
    </row>
    <row r="213" spans="2:10" x14ac:dyDescent="0.25">
      <c r="B213" s="758">
        <v>212</v>
      </c>
      <c r="C213" s="758">
        <v>192000042</v>
      </c>
      <c r="D213" t="s">
        <v>2515</v>
      </c>
      <c r="E213" t="s">
        <v>4625</v>
      </c>
      <c r="F213" s="763">
        <v>43292</v>
      </c>
      <c r="G213" s="759">
        <v>1</v>
      </c>
      <c r="I213" s="758">
        <v>86031</v>
      </c>
    </row>
    <row r="214" spans="2:10" x14ac:dyDescent="0.25">
      <c r="B214" s="758">
        <v>213</v>
      </c>
      <c r="C214" s="758">
        <v>192000043</v>
      </c>
      <c r="D214" t="s">
        <v>2503</v>
      </c>
      <c r="E214" t="s">
        <v>4625</v>
      </c>
      <c r="F214" s="763">
        <v>43292</v>
      </c>
      <c r="G214" s="759">
        <v>1</v>
      </c>
      <c r="I214" s="758">
        <v>86031</v>
      </c>
    </row>
    <row r="215" spans="2:10" x14ac:dyDescent="0.25">
      <c r="B215" s="758">
        <v>214</v>
      </c>
      <c r="C215" s="758">
        <v>192000044</v>
      </c>
      <c r="D215" t="s">
        <v>2505</v>
      </c>
      <c r="E215" t="s">
        <v>4625</v>
      </c>
      <c r="F215" s="763">
        <v>43292</v>
      </c>
      <c r="G215" s="759">
        <v>1</v>
      </c>
      <c r="I215" s="758">
        <v>86031</v>
      </c>
    </row>
    <row r="216" spans="2:10" x14ac:dyDescent="0.25">
      <c r="B216" s="758">
        <v>215</v>
      </c>
      <c r="C216" s="758">
        <v>192000045</v>
      </c>
      <c r="D216" t="s">
        <v>2506</v>
      </c>
      <c r="E216" t="s">
        <v>4625</v>
      </c>
      <c r="F216" s="763">
        <v>43292</v>
      </c>
      <c r="G216" s="759">
        <v>0</v>
      </c>
      <c r="I216" s="758">
        <v>86031</v>
      </c>
    </row>
    <row r="217" spans="2:10" x14ac:dyDescent="0.25">
      <c r="B217" s="758">
        <v>216</v>
      </c>
      <c r="C217" s="758">
        <v>192000013</v>
      </c>
      <c r="D217" t="s">
        <v>2502</v>
      </c>
      <c r="E217" t="s">
        <v>4625</v>
      </c>
      <c r="F217" s="763">
        <v>43292</v>
      </c>
      <c r="G217" s="759">
        <v>0</v>
      </c>
      <c r="I217" s="758">
        <v>86031</v>
      </c>
    </row>
    <row r="218" spans="2:10" x14ac:dyDescent="0.25">
      <c r="B218" s="758">
        <v>217</v>
      </c>
      <c r="C218" s="758">
        <v>192000018</v>
      </c>
      <c r="D218" t="s">
        <v>2542</v>
      </c>
      <c r="E218" t="s">
        <v>4624</v>
      </c>
      <c r="F218" s="763">
        <v>43292</v>
      </c>
      <c r="G218" s="759">
        <v>0</v>
      </c>
      <c r="I218" s="758">
        <v>86031</v>
      </c>
    </row>
    <row r="219" spans="2:10" x14ac:dyDescent="0.25">
      <c r="B219" s="758">
        <v>218</v>
      </c>
      <c r="C219" s="758">
        <v>192000027</v>
      </c>
      <c r="D219" t="s">
        <v>2516</v>
      </c>
      <c r="E219" t="s">
        <v>4625</v>
      </c>
      <c r="F219" s="763">
        <v>43292</v>
      </c>
      <c r="G219" s="759">
        <v>0</v>
      </c>
      <c r="I219" s="758">
        <v>86031</v>
      </c>
    </row>
    <row r="220" spans="2:10" x14ac:dyDescent="0.25">
      <c r="B220" s="758">
        <v>219</v>
      </c>
      <c r="C220" s="758">
        <v>192000037</v>
      </c>
      <c r="D220" t="s">
        <v>2531</v>
      </c>
      <c r="E220" t="s">
        <v>4625</v>
      </c>
      <c r="F220" s="763">
        <v>43292</v>
      </c>
      <c r="G220" s="759">
        <v>0</v>
      </c>
      <c r="I220" s="758">
        <v>86031</v>
      </c>
    </row>
    <row r="221" spans="2:10" x14ac:dyDescent="0.25">
      <c r="B221" s="758">
        <v>220</v>
      </c>
      <c r="C221" s="758">
        <v>19000000023</v>
      </c>
      <c r="D221" t="s">
        <v>2403</v>
      </c>
      <c r="E221" t="s">
        <v>4625</v>
      </c>
      <c r="F221" s="763">
        <v>43292</v>
      </c>
      <c r="G221" s="759">
        <v>1</v>
      </c>
      <c r="I221" s="758">
        <v>60102</v>
      </c>
      <c r="J221" s="758">
        <v>60102</v>
      </c>
    </row>
    <row r="222" spans="2:10" x14ac:dyDescent="0.25">
      <c r="B222" s="758">
        <v>221</v>
      </c>
      <c r="C222" s="758">
        <v>19000000044</v>
      </c>
      <c r="D222" t="s">
        <v>2405</v>
      </c>
      <c r="E222" t="s">
        <v>4625</v>
      </c>
      <c r="F222" s="763">
        <v>43292</v>
      </c>
      <c r="G222" s="759">
        <v>1</v>
      </c>
      <c r="I222" s="758">
        <v>60102</v>
      </c>
      <c r="J222" s="758">
        <v>86108</v>
      </c>
    </row>
    <row r="223" spans="2:10" x14ac:dyDescent="0.25">
      <c r="B223" s="758">
        <v>222</v>
      </c>
      <c r="C223" s="758">
        <v>19000000048</v>
      </c>
      <c r="D223" t="s">
        <v>4786</v>
      </c>
      <c r="E223" t="s">
        <v>4624</v>
      </c>
      <c r="F223" s="763">
        <v>43292</v>
      </c>
      <c r="G223" s="759">
        <v>1</v>
      </c>
      <c r="I223" s="758">
        <v>60102</v>
      </c>
      <c r="J223" s="758">
        <v>86108</v>
      </c>
    </row>
    <row r="224" spans="2:10" x14ac:dyDescent="0.25">
      <c r="B224" s="758">
        <v>223</v>
      </c>
      <c r="C224" s="758">
        <v>19000000059</v>
      </c>
      <c r="D224" t="s">
        <v>2399</v>
      </c>
      <c r="E224" t="s">
        <v>4624</v>
      </c>
      <c r="F224" s="763">
        <v>43292</v>
      </c>
      <c r="G224" s="759">
        <v>1</v>
      </c>
      <c r="I224" s="758">
        <v>60102</v>
      </c>
      <c r="J224" s="758">
        <v>60102</v>
      </c>
    </row>
    <row r="225" spans="2:10" x14ac:dyDescent="0.25">
      <c r="B225" s="758">
        <v>224</v>
      </c>
      <c r="C225" s="758">
        <v>19100028</v>
      </c>
      <c r="D225" t="s">
        <v>2426</v>
      </c>
      <c r="E225" t="s">
        <v>4624</v>
      </c>
      <c r="F225" s="763">
        <v>43292</v>
      </c>
      <c r="G225" s="759">
        <v>1</v>
      </c>
      <c r="I225" s="758">
        <v>60102</v>
      </c>
      <c r="J225" s="758">
        <v>60102</v>
      </c>
    </row>
    <row r="226" spans="2:10" x14ac:dyDescent="0.25">
      <c r="B226" s="758">
        <v>225</v>
      </c>
      <c r="C226" s="758">
        <v>19100044</v>
      </c>
      <c r="D226" t="s">
        <v>2412</v>
      </c>
      <c r="E226" t="s">
        <v>4625</v>
      </c>
      <c r="F226" s="763">
        <v>43292</v>
      </c>
      <c r="G226" s="759">
        <v>1</v>
      </c>
      <c r="I226" s="758">
        <v>60102</v>
      </c>
      <c r="J226" s="758">
        <v>60102</v>
      </c>
    </row>
    <row r="227" spans="2:10" x14ac:dyDescent="0.25">
      <c r="B227" s="758">
        <v>226</v>
      </c>
      <c r="C227" s="758">
        <v>19100047</v>
      </c>
      <c r="D227" t="s">
        <v>1947</v>
      </c>
      <c r="E227" t="s">
        <v>4625</v>
      </c>
      <c r="F227" s="763">
        <v>43292</v>
      </c>
      <c r="G227" s="759">
        <v>1</v>
      </c>
      <c r="I227" s="758">
        <v>60102</v>
      </c>
      <c r="J227" s="758">
        <v>60102</v>
      </c>
    </row>
    <row r="228" spans="2:10" x14ac:dyDescent="0.25">
      <c r="B228" s="758">
        <v>227</v>
      </c>
      <c r="C228" s="758">
        <v>19100072</v>
      </c>
      <c r="D228" t="s">
        <v>2411</v>
      </c>
      <c r="E228" t="s">
        <v>4625</v>
      </c>
      <c r="F228" s="763">
        <v>43292</v>
      </c>
      <c r="G228" s="759">
        <v>1</v>
      </c>
      <c r="I228" s="758">
        <v>60102</v>
      </c>
      <c r="J228" s="758">
        <v>60102</v>
      </c>
    </row>
    <row r="229" spans="2:10" x14ac:dyDescent="0.25">
      <c r="B229" s="758">
        <v>228</v>
      </c>
      <c r="C229" s="758">
        <v>19100082</v>
      </c>
      <c r="D229" t="s">
        <v>2396</v>
      </c>
      <c r="E229" t="s">
        <v>4624</v>
      </c>
      <c r="F229" s="763">
        <v>43292</v>
      </c>
      <c r="G229" s="759">
        <v>1</v>
      </c>
      <c r="I229" s="758">
        <v>60102</v>
      </c>
      <c r="J229" s="758">
        <v>74130</v>
      </c>
    </row>
    <row r="230" spans="2:10" x14ac:dyDescent="0.25">
      <c r="B230" s="758">
        <v>229</v>
      </c>
      <c r="C230" s="758">
        <v>19100092</v>
      </c>
      <c r="D230" t="s">
        <v>2422</v>
      </c>
      <c r="E230" t="s">
        <v>4625</v>
      </c>
      <c r="F230" s="763">
        <v>43292</v>
      </c>
      <c r="G230" s="759">
        <v>1</v>
      </c>
      <c r="I230" s="758">
        <v>60102</v>
      </c>
      <c r="J230" s="758">
        <v>60102</v>
      </c>
    </row>
    <row r="231" spans="2:10" x14ac:dyDescent="0.25">
      <c r="B231" s="758">
        <v>230</v>
      </c>
      <c r="C231" s="758">
        <v>19100096</v>
      </c>
      <c r="D231" t="s">
        <v>2421</v>
      </c>
      <c r="E231" t="s">
        <v>4625</v>
      </c>
      <c r="F231" s="763">
        <v>43292</v>
      </c>
      <c r="G231" s="759">
        <v>1</v>
      </c>
      <c r="I231" s="758">
        <v>60102</v>
      </c>
      <c r="J231" s="758">
        <v>60102</v>
      </c>
    </row>
    <row r="232" spans="2:10" x14ac:dyDescent="0.25">
      <c r="B232" s="758">
        <v>231</v>
      </c>
      <c r="C232" s="758">
        <v>19100107</v>
      </c>
      <c r="D232" t="s">
        <v>2404</v>
      </c>
      <c r="E232" t="s">
        <v>4625</v>
      </c>
      <c r="F232" s="763">
        <v>43292</v>
      </c>
      <c r="G232" s="759">
        <v>1</v>
      </c>
      <c r="I232" s="758">
        <v>60102</v>
      </c>
      <c r="J232" s="758">
        <v>74130</v>
      </c>
    </row>
    <row r="233" spans="2:10" x14ac:dyDescent="0.25">
      <c r="B233" s="758">
        <v>232</v>
      </c>
      <c r="C233" s="758">
        <v>19100108</v>
      </c>
      <c r="D233" t="s">
        <v>2415</v>
      </c>
      <c r="E233" t="s">
        <v>4624</v>
      </c>
      <c r="F233" s="763">
        <v>43292</v>
      </c>
      <c r="G233" s="759">
        <v>1</v>
      </c>
      <c r="I233" s="758">
        <v>60102</v>
      </c>
      <c r="J233" s="758">
        <v>60102</v>
      </c>
    </row>
    <row r="234" spans="2:10" x14ac:dyDescent="0.25">
      <c r="B234" s="758">
        <v>233</v>
      </c>
      <c r="C234" s="758">
        <v>19100120</v>
      </c>
      <c r="D234" t="s">
        <v>2407</v>
      </c>
      <c r="E234" t="s">
        <v>4624</v>
      </c>
      <c r="F234" s="763">
        <v>43292</v>
      </c>
      <c r="G234" s="759">
        <v>1</v>
      </c>
      <c r="I234" s="758">
        <v>60102</v>
      </c>
      <c r="J234" s="758">
        <v>60102</v>
      </c>
    </row>
    <row r="235" spans="2:10" x14ac:dyDescent="0.25">
      <c r="B235" s="758">
        <v>234</v>
      </c>
      <c r="C235" s="758">
        <v>19100145</v>
      </c>
      <c r="D235" t="s">
        <v>2425</v>
      </c>
      <c r="E235" t="s">
        <v>4624</v>
      </c>
      <c r="F235" s="763">
        <v>43292</v>
      </c>
      <c r="G235" s="759">
        <v>1</v>
      </c>
      <c r="I235" s="758">
        <v>60102</v>
      </c>
      <c r="J235" s="758">
        <v>60102</v>
      </c>
    </row>
    <row r="236" spans="2:10" x14ac:dyDescent="0.25">
      <c r="B236" s="758">
        <v>235</v>
      </c>
      <c r="C236" s="758">
        <v>19100153</v>
      </c>
      <c r="D236" t="s">
        <v>2395</v>
      </c>
      <c r="E236" t="s">
        <v>4625</v>
      </c>
      <c r="F236" s="763">
        <v>43292</v>
      </c>
      <c r="G236" s="759">
        <v>1</v>
      </c>
      <c r="I236" s="758">
        <v>60102</v>
      </c>
      <c r="J236" s="758">
        <v>60102</v>
      </c>
    </row>
    <row r="237" spans="2:10" x14ac:dyDescent="0.25">
      <c r="B237" s="758">
        <v>236</v>
      </c>
      <c r="C237" s="758">
        <v>19100162</v>
      </c>
      <c r="D237" t="s">
        <v>2400</v>
      </c>
      <c r="E237" t="s">
        <v>4624</v>
      </c>
      <c r="F237" s="763">
        <v>43292</v>
      </c>
      <c r="G237" s="759">
        <v>1</v>
      </c>
      <c r="I237" s="758">
        <v>60102</v>
      </c>
      <c r="J237" s="758">
        <v>60102</v>
      </c>
    </row>
    <row r="238" spans="2:10" x14ac:dyDescent="0.25">
      <c r="B238" s="758">
        <v>237</v>
      </c>
      <c r="C238" s="758">
        <v>19100173</v>
      </c>
      <c r="D238" t="s">
        <v>2417</v>
      </c>
      <c r="E238" t="s">
        <v>4624</v>
      </c>
      <c r="F238" s="763">
        <v>43292</v>
      </c>
      <c r="G238" s="759">
        <v>1</v>
      </c>
      <c r="I238" s="758">
        <v>60102</v>
      </c>
      <c r="J238" s="758">
        <v>60102</v>
      </c>
    </row>
    <row r="239" spans="2:10" x14ac:dyDescent="0.25">
      <c r="B239" s="758">
        <v>238</v>
      </c>
      <c r="C239" s="758">
        <v>19100174</v>
      </c>
      <c r="D239" t="s">
        <v>2410</v>
      </c>
      <c r="E239" t="s">
        <v>4625</v>
      </c>
      <c r="F239" s="763">
        <v>43292</v>
      </c>
      <c r="G239" s="759">
        <v>1</v>
      </c>
      <c r="I239" s="758">
        <v>60102</v>
      </c>
      <c r="J239" s="758">
        <v>60102</v>
      </c>
    </row>
    <row r="240" spans="2:10" x14ac:dyDescent="0.25">
      <c r="B240" s="758">
        <v>239</v>
      </c>
      <c r="C240" s="758">
        <v>19100188</v>
      </c>
      <c r="D240" t="s">
        <v>2423</v>
      </c>
      <c r="E240" t="s">
        <v>4625</v>
      </c>
      <c r="F240" s="763">
        <v>43292</v>
      </c>
      <c r="G240" s="759">
        <v>1</v>
      </c>
      <c r="I240" s="758">
        <v>60102</v>
      </c>
      <c r="J240" s="758">
        <v>60102</v>
      </c>
    </row>
    <row r="241" spans="2:10" x14ac:dyDescent="0.25">
      <c r="B241" s="758">
        <v>240</v>
      </c>
      <c r="C241" s="758">
        <v>19100192</v>
      </c>
      <c r="D241" t="s">
        <v>2420</v>
      </c>
      <c r="E241" t="s">
        <v>4625</v>
      </c>
      <c r="F241" s="763">
        <v>43292</v>
      </c>
      <c r="G241" s="759">
        <v>1</v>
      </c>
      <c r="I241" s="758">
        <v>60102</v>
      </c>
      <c r="J241" s="758">
        <v>60102</v>
      </c>
    </row>
    <row r="242" spans="2:10" x14ac:dyDescent="0.25">
      <c r="B242" s="758">
        <v>241</v>
      </c>
      <c r="C242" s="758">
        <v>19100193</v>
      </c>
      <c r="D242" t="s">
        <v>2424</v>
      </c>
      <c r="E242" t="s">
        <v>4624</v>
      </c>
      <c r="F242" s="763">
        <v>43292</v>
      </c>
      <c r="G242" s="759">
        <v>1</v>
      </c>
      <c r="I242" s="758">
        <v>60102</v>
      </c>
      <c r="J242" s="758">
        <v>60102</v>
      </c>
    </row>
    <row r="243" spans="2:10" x14ac:dyDescent="0.25">
      <c r="B243" s="758">
        <v>242</v>
      </c>
      <c r="C243" s="758">
        <v>19100202</v>
      </c>
      <c r="D243" t="s">
        <v>2409</v>
      </c>
      <c r="E243" t="s">
        <v>4625</v>
      </c>
      <c r="F243" s="763">
        <v>43292</v>
      </c>
      <c r="G243" s="759">
        <v>1</v>
      </c>
      <c r="I243" s="758">
        <v>60102</v>
      </c>
      <c r="J243" s="758">
        <v>60102</v>
      </c>
    </row>
    <row r="244" spans="2:10" x14ac:dyDescent="0.25">
      <c r="B244" s="758">
        <v>243</v>
      </c>
      <c r="C244" s="758">
        <v>19100209</v>
      </c>
      <c r="D244" t="s">
        <v>2402</v>
      </c>
      <c r="E244" t="s">
        <v>4624</v>
      </c>
      <c r="F244" s="763">
        <v>43292</v>
      </c>
      <c r="G244" s="759">
        <v>1</v>
      </c>
      <c r="I244" s="758">
        <v>60102</v>
      </c>
      <c r="J244" s="758">
        <v>60102</v>
      </c>
    </row>
    <row r="245" spans="2:10" x14ac:dyDescent="0.25">
      <c r="B245" s="758">
        <v>244</v>
      </c>
      <c r="C245" s="758">
        <v>19100210</v>
      </c>
      <c r="D245" t="s">
        <v>2419</v>
      </c>
      <c r="E245" t="s">
        <v>4624</v>
      </c>
      <c r="F245" s="763">
        <v>43292</v>
      </c>
      <c r="G245" s="759">
        <v>1</v>
      </c>
      <c r="I245" s="758">
        <v>60102</v>
      </c>
      <c r="J245" s="758">
        <v>60102</v>
      </c>
    </row>
    <row r="246" spans="2:10" x14ac:dyDescent="0.25">
      <c r="B246" s="758">
        <v>245</v>
      </c>
      <c r="C246" s="758">
        <v>19100213</v>
      </c>
      <c r="D246" t="s">
        <v>2416</v>
      </c>
      <c r="E246" t="s">
        <v>4625</v>
      </c>
      <c r="F246" s="763">
        <v>43292</v>
      </c>
      <c r="G246" s="759">
        <v>1</v>
      </c>
      <c r="I246" s="758">
        <v>60102</v>
      </c>
      <c r="J246" s="758">
        <v>60102</v>
      </c>
    </row>
    <row r="247" spans="2:10" x14ac:dyDescent="0.25">
      <c r="B247" s="758">
        <v>246</v>
      </c>
      <c r="C247" s="758">
        <v>19100243</v>
      </c>
      <c r="D247" t="s">
        <v>2414</v>
      </c>
      <c r="E247" t="s">
        <v>4625</v>
      </c>
      <c r="F247" s="763">
        <v>43292</v>
      </c>
      <c r="G247" s="759">
        <v>1</v>
      </c>
      <c r="I247" s="758">
        <v>60102</v>
      </c>
      <c r="J247" s="758">
        <v>60102</v>
      </c>
    </row>
    <row r="248" spans="2:10" x14ac:dyDescent="0.25">
      <c r="B248" s="758">
        <v>247</v>
      </c>
      <c r="C248" s="758">
        <v>19100252</v>
      </c>
      <c r="D248" t="s">
        <v>2408</v>
      </c>
      <c r="E248" t="s">
        <v>4624</v>
      </c>
      <c r="F248" s="763">
        <v>43292</v>
      </c>
      <c r="G248" s="759">
        <v>1</v>
      </c>
      <c r="I248" s="758">
        <v>60102</v>
      </c>
      <c r="J248" s="758">
        <v>86130</v>
      </c>
    </row>
    <row r="249" spans="2:10" x14ac:dyDescent="0.25">
      <c r="B249" s="758">
        <v>248</v>
      </c>
      <c r="C249" s="758">
        <v>19100256</v>
      </c>
      <c r="D249" t="s">
        <v>2397</v>
      </c>
      <c r="E249" t="s">
        <v>4625</v>
      </c>
      <c r="F249" s="763">
        <v>43292</v>
      </c>
      <c r="G249" s="759">
        <v>1</v>
      </c>
      <c r="I249" s="758">
        <v>60102</v>
      </c>
      <c r="J249" s="758">
        <v>60102</v>
      </c>
    </row>
    <row r="250" spans="2:10" x14ac:dyDescent="0.25">
      <c r="B250" s="758">
        <v>249</v>
      </c>
      <c r="C250" s="758">
        <v>19100263</v>
      </c>
      <c r="D250" t="s">
        <v>2401</v>
      </c>
      <c r="E250" t="s">
        <v>4625</v>
      </c>
      <c r="F250" s="763">
        <v>43292</v>
      </c>
      <c r="G250" s="759">
        <v>1</v>
      </c>
      <c r="I250" s="758">
        <v>60102</v>
      </c>
      <c r="J250" s="758">
        <v>86108</v>
      </c>
    </row>
    <row r="251" spans="2:10" x14ac:dyDescent="0.25">
      <c r="B251" s="758">
        <v>250</v>
      </c>
      <c r="C251" s="758">
        <v>19100280</v>
      </c>
      <c r="D251" t="s">
        <v>2418</v>
      </c>
      <c r="E251" t="s">
        <v>4624</v>
      </c>
      <c r="F251" s="763">
        <v>43292</v>
      </c>
      <c r="G251" s="759">
        <v>1</v>
      </c>
      <c r="I251" s="758">
        <v>60102</v>
      </c>
      <c r="J251" s="758">
        <v>86108</v>
      </c>
    </row>
    <row r="252" spans="2:10" x14ac:dyDescent="0.25">
      <c r="B252" s="758">
        <v>251</v>
      </c>
      <c r="C252" s="758">
        <v>19100293</v>
      </c>
      <c r="D252" t="s">
        <v>2427</v>
      </c>
      <c r="E252" t="s">
        <v>4624</v>
      </c>
      <c r="F252" s="763">
        <v>43292</v>
      </c>
      <c r="G252" s="759">
        <v>1</v>
      </c>
      <c r="I252" s="758">
        <v>60102</v>
      </c>
      <c r="J252" s="758">
        <v>60102</v>
      </c>
    </row>
    <row r="253" spans="2:10" x14ac:dyDescent="0.25">
      <c r="B253" s="758">
        <v>252</v>
      </c>
      <c r="C253" s="758">
        <v>19100297</v>
      </c>
      <c r="D253" t="s">
        <v>2413</v>
      </c>
      <c r="E253" t="s">
        <v>4625</v>
      </c>
      <c r="F253" s="763">
        <v>43292</v>
      </c>
      <c r="G253" s="759">
        <v>1</v>
      </c>
      <c r="I253" s="758">
        <v>60102</v>
      </c>
      <c r="J253" s="758">
        <v>74130</v>
      </c>
    </row>
    <row r="254" spans="2:10" x14ac:dyDescent="0.25">
      <c r="B254" s="758">
        <v>253</v>
      </c>
      <c r="C254" s="758">
        <v>19100309</v>
      </c>
      <c r="D254" t="s">
        <v>2398</v>
      </c>
      <c r="E254" t="s">
        <v>4624</v>
      </c>
      <c r="F254" s="763">
        <v>43292</v>
      </c>
      <c r="G254" s="759">
        <v>1</v>
      </c>
      <c r="I254" s="758">
        <v>60102</v>
      </c>
      <c r="J254" s="758">
        <v>86108</v>
      </c>
    </row>
    <row r="255" spans="2:10" x14ac:dyDescent="0.25">
      <c r="B255" s="758">
        <v>254</v>
      </c>
      <c r="C255" s="758">
        <v>19000000049</v>
      </c>
      <c r="D255" t="s">
        <v>4787</v>
      </c>
      <c r="E255" t="s">
        <v>4624</v>
      </c>
      <c r="F255" s="763">
        <v>43292</v>
      </c>
      <c r="G255" s="759" t="s">
        <v>783</v>
      </c>
      <c r="I255" s="758">
        <v>60102</v>
      </c>
      <c r="J255" s="758">
        <v>86108</v>
      </c>
    </row>
    <row r="256" spans="2:10" x14ac:dyDescent="0.25">
      <c r="B256" s="758">
        <v>255</v>
      </c>
      <c r="C256" s="758">
        <v>19100046</v>
      </c>
      <c r="D256" t="s">
        <v>4788</v>
      </c>
      <c r="E256" t="s">
        <v>4625</v>
      </c>
      <c r="F256" s="763">
        <v>43292</v>
      </c>
      <c r="G256" s="759" t="s">
        <v>783</v>
      </c>
      <c r="I256" s="758">
        <v>60102</v>
      </c>
      <c r="J256" s="758">
        <v>60102</v>
      </c>
    </row>
    <row r="257" spans="2:10" x14ac:dyDescent="0.25">
      <c r="B257" s="758">
        <v>256</v>
      </c>
      <c r="C257" s="758">
        <v>19100122</v>
      </c>
      <c r="D257" t="s">
        <v>4789</v>
      </c>
      <c r="E257" t="s">
        <v>4624</v>
      </c>
      <c r="F257" s="763">
        <v>43292</v>
      </c>
      <c r="G257" s="759" t="s">
        <v>783</v>
      </c>
      <c r="I257" s="758">
        <v>60102</v>
      </c>
      <c r="J257" s="758">
        <v>60102</v>
      </c>
    </row>
    <row r="258" spans="2:10" x14ac:dyDescent="0.25">
      <c r="B258" s="758">
        <v>257</v>
      </c>
      <c r="C258" s="758">
        <v>19100206</v>
      </c>
      <c r="D258" t="s">
        <v>4790</v>
      </c>
      <c r="E258" t="s">
        <v>4625</v>
      </c>
      <c r="F258" s="763">
        <v>43292</v>
      </c>
      <c r="G258" s="759" t="s">
        <v>783</v>
      </c>
      <c r="I258" s="758">
        <v>60102</v>
      </c>
      <c r="J258" s="758">
        <v>86108</v>
      </c>
    </row>
    <row r="259" spans="2:10" x14ac:dyDescent="0.25">
      <c r="B259" s="758">
        <v>258</v>
      </c>
      <c r="C259" s="758">
        <v>19100227</v>
      </c>
      <c r="D259" t="s">
        <v>4791</v>
      </c>
      <c r="E259" t="s">
        <v>4624</v>
      </c>
      <c r="F259" s="763">
        <v>43292</v>
      </c>
      <c r="G259" s="759" t="s">
        <v>783</v>
      </c>
      <c r="I259" s="758">
        <v>60102</v>
      </c>
      <c r="J259" s="758">
        <v>60102</v>
      </c>
    </row>
    <row r="260" spans="2:10" x14ac:dyDescent="0.25">
      <c r="B260" s="758">
        <v>259</v>
      </c>
      <c r="C260" s="758">
        <v>19100253</v>
      </c>
      <c r="D260" t="s">
        <v>4792</v>
      </c>
      <c r="E260" t="s">
        <v>4624</v>
      </c>
      <c r="F260" s="763">
        <v>43292</v>
      </c>
      <c r="G260" s="759" t="s">
        <v>783</v>
      </c>
      <c r="I260" s="758">
        <v>60102</v>
      </c>
      <c r="J260" s="758">
        <v>60102</v>
      </c>
    </row>
    <row r="261" spans="2:10" x14ac:dyDescent="0.25">
      <c r="B261" s="758">
        <v>260</v>
      </c>
      <c r="C261" s="758">
        <v>19000000021</v>
      </c>
      <c r="D261" t="s">
        <v>4793</v>
      </c>
      <c r="E261" t="s">
        <v>4625</v>
      </c>
      <c r="F261" s="763">
        <v>43292</v>
      </c>
      <c r="I261" s="758">
        <v>60102</v>
      </c>
      <c r="J261" s="758">
        <v>60102</v>
      </c>
    </row>
    <row r="262" spans="2:10" x14ac:dyDescent="0.25">
      <c r="B262" s="758">
        <v>261</v>
      </c>
      <c r="C262" s="758">
        <v>19000000011</v>
      </c>
      <c r="D262" t="s">
        <v>2465</v>
      </c>
      <c r="E262" t="s">
        <v>4625</v>
      </c>
      <c r="F262" s="763">
        <v>43292</v>
      </c>
      <c r="G262" s="759">
        <v>1</v>
      </c>
      <c r="I262" s="758">
        <v>70133</v>
      </c>
      <c r="J262" s="758">
        <v>70133</v>
      </c>
    </row>
    <row r="263" spans="2:10" x14ac:dyDescent="0.25">
      <c r="B263" s="758">
        <v>262</v>
      </c>
      <c r="C263" s="758">
        <v>19000000012</v>
      </c>
      <c r="D263" t="s">
        <v>2470</v>
      </c>
      <c r="E263" t="s">
        <v>4624</v>
      </c>
      <c r="F263" s="763">
        <v>43292</v>
      </c>
      <c r="G263" s="759">
        <v>1</v>
      </c>
      <c r="I263" s="758">
        <v>70133</v>
      </c>
      <c r="J263" s="758">
        <v>86130</v>
      </c>
    </row>
    <row r="264" spans="2:10" x14ac:dyDescent="0.25">
      <c r="B264" s="758">
        <v>263</v>
      </c>
      <c r="C264" s="758">
        <v>19000000054</v>
      </c>
      <c r="D264" t="s">
        <v>2468</v>
      </c>
      <c r="E264" t="s">
        <v>4625</v>
      </c>
      <c r="F264" s="763">
        <v>43292</v>
      </c>
      <c r="G264" s="759">
        <v>1</v>
      </c>
      <c r="I264" s="758">
        <v>70133</v>
      </c>
      <c r="J264" s="758">
        <v>86130</v>
      </c>
    </row>
    <row r="265" spans="2:10" x14ac:dyDescent="0.25">
      <c r="B265" s="758">
        <v>264</v>
      </c>
      <c r="C265" s="758">
        <v>19000000076</v>
      </c>
      <c r="D265" t="s">
        <v>2463</v>
      </c>
      <c r="E265" t="s">
        <v>4625</v>
      </c>
      <c r="F265" s="763">
        <v>43292</v>
      </c>
      <c r="G265" s="759">
        <v>1</v>
      </c>
      <c r="I265" s="758">
        <v>70133</v>
      </c>
    </row>
    <row r="266" spans="2:10" x14ac:dyDescent="0.25">
      <c r="B266" s="758">
        <v>265</v>
      </c>
      <c r="C266" s="758">
        <v>19100125</v>
      </c>
      <c r="D266" t="s">
        <v>2471</v>
      </c>
      <c r="E266" t="s">
        <v>4625</v>
      </c>
      <c r="F266" s="763">
        <v>43292</v>
      </c>
      <c r="G266" s="759">
        <v>1</v>
      </c>
      <c r="I266" s="758">
        <v>70133</v>
      </c>
      <c r="J266" s="758">
        <v>86130</v>
      </c>
    </row>
    <row r="267" spans="2:10" x14ac:dyDescent="0.25">
      <c r="B267" s="758">
        <v>266</v>
      </c>
      <c r="C267" s="758">
        <v>19100149</v>
      </c>
      <c r="D267" t="s">
        <v>2462</v>
      </c>
      <c r="E267" t="s">
        <v>4625</v>
      </c>
      <c r="F267" s="763">
        <v>43292</v>
      </c>
      <c r="G267" s="759">
        <v>1</v>
      </c>
      <c r="I267" s="758">
        <v>70133</v>
      </c>
      <c r="J267" s="758">
        <v>86130</v>
      </c>
    </row>
    <row r="268" spans="2:10" x14ac:dyDescent="0.25">
      <c r="B268" s="758">
        <v>267</v>
      </c>
      <c r="C268" s="758">
        <v>19100159</v>
      </c>
      <c r="D268" t="s">
        <v>2469</v>
      </c>
      <c r="E268" t="s">
        <v>4624</v>
      </c>
      <c r="F268" s="763">
        <v>43292</v>
      </c>
      <c r="G268" s="759">
        <v>1</v>
      </c>
      <c r="I268" s="758">
        <v>70133</v>
      </c>
      <c r="J268" s="758">
        <v>70133</v>
      </c>
    </row>
    <row r="269" spans="2:10" x14ac:dyDescent="0.25">
      <c r="B269" s="758">
        <v>268</v>
      </c>
      <c r="C269" s="758">
        <v>19100308</v>
      </c>
      <c r="D269" t="s">
        <v>2467</v>
      </c>
      <c r="E269" t="s">
        <v>4624</v>
      </c>
      <c r="F269" s="763">
        <v>43292</v>
      </c>
      <c r="G269" s="759">
        <v>1</v>
      </c>
      <c r="I269" s="758">
        <v>70133</v>
      </c>
      <c r="J269" s="758">
        <v>60102</v>
      </c>
    </row>
    <row r="270" spans="2:10" x14ac:dyDescent="0.25">
      <c r="B270" s="758">
        <v>269</v>
      </c>
      <c r="C270" s="758">
        <v>19100316</v>
      </c>
      <c r="D270" t="s">
        <v>2466</v>
      </c>
      <c r="E270" t="s">
        <v>4625</v>
      </c>
      <c r="F270" s="763">
        <v>43292</v>
      </c>
      <c r="G270" s="759">
        <v>1</v>
      </c>
      <c r="I270" s="758">
        <v>70133</v>
      </c>
      <c r="J270" s="758">
        <v>70133</v>
      </c>
    </row>
    <row r="271" spans="2:10" x14ac:dyDescent="0.25">
      <c r="B271" s="758">
        <v>270</v>
      </c>
      <c r="C271" s="758">
        <v>19100177</v>
      </c>
      <c r="D271" t="s">
        <v>2461</v>
      </c>
      <c r="E271" t="s">
        <v>4625</v>
      </c>
      <c r="F271" s="763">
        <v>43292</v>
      </c>
      <c r="I271" s="758">
        <v>70133</v>
      </c>
      <c r="J271" s="758">
        <v>70133</v>
      </c>
    </row>
    <row r="272" spans="2:10" x14ac:dyDescent="0.25">
      <c r="B272" s="758">
        <v>271</v>
      </c>
      <c r="C272" s="758">
        <v>19100071</v>
      </c>
      <c r="D272" t="s">
        <v>4794</v>
      </c>
      <c r="E272" t="s">
        <v>4624</v>
      </c>
      <c r="F272" s="763">
        <v>43292</v>
      </c>
      <c r="G272" s="759" t="s">
        <v>783</v>
      </c>
      <c r="I272" s="758">
        <v>70133</v>
      </c>
      <c r="J272" s="758">
        <v>70133</v>
      </c>
    </row>
    <row r="273" spans="2:10" x14ac:dyDescent="0.25">
      <c r="B273" s="758">
        <v>272</v>
      </c>
      <c r="C273" s="758">
        <v>19100216</v>
      </c>
      <c r="D273" t="s">
        <v>4795</v>
      </c>
      <c r="E273" t="s">
        <v>4625</v>
      </c>
      <c r="F273" s="763">
        <v>43292</v>
      </c>
      <c r="G273" s="759" t="s">
        <v>783</v>
      </c>
      <c r="I273" s="758">
        <v>70133</v>
      </c>
      <c r="J273" s="758">
        <v>70133</v>
      </c>
    </row>
    <row r="274" spans="2:10" x14ac:dyDescent="0.25">
      <c r="B274" s="758">
        <v>273</v>
      </c>
      <c r="C274" s="758">
        <v>19100219</v>
      </c>
      <c r="D274" t="s">
        <v>4796</v>
      </c>
      <c r="E274" t="s">
        <v>4624</v>
      </c>
      <c r="F274" s="763">
        <v>43292</v>
      </c>
      <c r="G274" s="759" t="s">
        <v>783</v>
      </c>
      <c r="I274" s="758">
        <v>70133</v>
      </c>
      <c r="J274" s="758">
        <v>70133</v>
      </c>
    </row>
    <row r="275" spans="2:10" x14ac:dyDescent="0.25">
      <c r="B275" s="758">
        <v>274</v>
      </c>
      <c r="C275" s="758">
        <v>19100260</v>
      </c>
      <c r="D275" t="s">
        <v>4797</v>
      </c>
      <c r="E275" t="s">
        <v>4625</v>
      </c>
      <c r="F275" s="763">
        <v>43292</v>
      </c>
      <c r="G275" s="759" t="s">
        <v>783</v>
      </c>
      <c r="I275" s="758">
        <v>70133</v>
      </c>
    </row>
    <row r="276" spans="2:10" x14ac:dyDescent="0.25">
      <c r="B276" s="758">
        <v>275</v>
      </c>
      <c r="C276" s="758">
        <v>19000000056</v>
      </c>
      <c r="D276" t="s">
        <v>2446</v>
      </c>
      <c r="E276" t="s">
        <v>4625</v>
      </c>
      <c r="F276" s="763">
        <v>43292</v>
      </c>
      <c r="G276" s="759">
        <v>1</v>
      </c>
      <c r="I276" s="758">
        <v>74130</v>
      </c>
      <c r="J276" s="758">
        <v>74130</v>
      </c>
    </row>
    <row r="277" spans="2:10" x14ac:dyDescent="0.25">
      <c r="B277" s="758">
        <v>276</v>
      </c>
      <c r="C277" s="758">
        <v>19100031</v>
      </c>
      <c r="D277" t="s">
        <v>2455</v>
      </c>
      <c r="E277" t="s">
        <v>4625</v>
      </c>
      <c r="F277" s="763">
        <v>43292</v>
      </c>
      <c r="G277" s="759">
        <v>1</v>
      </c>
      <c r="I277" s="758">
        <v>74130</v>
      </c>
      <c r="J277" s="758">
        <v>74130</v>
      </c>
    </row>
    <row r="278" spans="2:10" x14ac:dyDescent="0.25">
      <c r="B278" s="758">
        <v>277</v>
      </c>
      <c r="C278" s="758">
        <v>19100068</v>
      </c>
      <c r="D278" t="s">
        <v>2445</v>
      </c>
      <c r="E278" t="s">
        <v>4624</v>
      </c>
      <c r="F278" s="763">
        <v>43292</v>
      </c>
      <c r="G278" s="759">
        <v>1</v>
      </c>
      <c r="I278" s="758">
        <v>74130</v>
      </c>
      <c r="J278" s="758">
        <v>88104</v>
      </c>
    </row>
    <row r="279" spans="2:10" x14ac:dyDescent="0.25">
      <c r="B279" s="758">
        <v>278</v>
      </c>
      <c r="C279" s="758">
        <v>19100104</v>
      </c>
      <c r="D279" t="s">
        <v>2451</v>
      </c>
      <c r="E279" t="s">
        <v>4625</v>
      </c>
      <c r="F279" s="763">
        <v>43292</v>
      </c>
      <c r="G279" s="759">
        <v>1</v>
      </c>
      <c r="I279" s="758">
        <v>74130</v>
      </c>
      <c r="J279" s="758">
        <v>74130</v>
      </c>
    </row>
    <row r="280" spans="2:10" x14ac:dyDescent="0.25">
      <c r="B280" s="758">
        <v>279</v>
      </c>
      <c r="C280" s="758">
        <v>19100132</v>
      </c>
      <c r="D280" t="s">
        <v>2444</v>
      </c>
      <c r="E280" t="s">
        <v>4625</v>
      </c>
      <c r="F280" s="763">
        <v>43292</v>
      </c>
      <c r="G280" s="759">
        <v>1</v>
      </c>
      <c r="I280" s="758">
        <v>74130</v>
      </c>
      <c r="J280" s="758">
        <v>74130</v>
      </c>
    </row>
    <row r="281" spans="2:10" x14ac:dyDescent="0.25">
      <c r="B281" s="758">
        <v>280</v>
      </c>
      <c r="C281" s="758">
        <v>19100157</v>
      </c>
      <c r="D281" t="s">
        <v>2449</v>
      </c>
      <c r="E281" t="s">
        <v>4625</v>
      </c>
      <c r="F281" s="763">
        <v>43292</v>
      </c>
      <c r="G281" s="759">
        <v>1</v>
      </c>
      <c r="I281" s="758">
        <v>74130</v>
      </c>
      <c r="J281" s="758">
        <v>70133</v>
      </c>
    </row>
    <row r="282" spans="2:10" x14ac:dyDescent="0.25">
      <c r="B282" s="758">
        <v>281</v>
      </c>
      <c r="C282" s="758">
        <v>19100167</v>
      </c>
      <c r="D282" t="s">
        <v>2459</v>
      </c>
      <c r="E282" t="s">
        <v>4624</v>
      </c>
      <c r="F282" s="763">
        <v>43292</v>
      </c>
      <c r="G282" s="759">
        <v>1</v>
      </c>
      <c r="I282" s="758">
        <v>74130</v>
      </c>
      <c r="J282" s="758">
        <v>86130</v>
      </c>
    </row>
    <row r="283" spans="2:10" x14ac:dyDescent="0.25">
      <c r="B283" s="758">
        <v>282</v>
      </c>
      <c r="C283" s="758">
        <v>19100168</v>
      </c>
      <c r="D283" t="s">
        <v>2456</v>
      </c>
      <c r="E283" t="s">
        <v>4624</v>
      </c>
      <c r="F283" s="763">
        <v>43292</v>
      </c>
      <c r="G283" s="759">
        <v>1</v>
      </c>
      <c r="I283" s="758">
        <v>74130</v>
      </c>
      <c r="J283" s="758">
        <v>74130</v>
      </c>
    </row>
    <row r="284" spans="2:10" x14ac:dyDescent="0.25">
      <c r="B284" s="758">
        <v>283</v>
      </c>
      <c r="C284" s="758">
        <v>19100214</v>
      </c>
      <c r="D284" t="s">
        <v>2452</v>
      </c>
      <c r="E284" t="s">
        <v>4625</v>
      </c>
      <c r="F284" s="763">
        <v>43292</v>
      </c>
      <c r="G284" s="759">
        <v>1</v>
      </c>
      <c r="I284" s="758">
        <v>74130</v>
      </c>
      <c r="J284" s="758">
        <v>70133</v>
      </c>
    </row>
    <row r="285" spans="2:10" x14ac:dyDescent="0.25">
      <c r="B285" s="758">
        <v>284</v>
      </c>
      <c r="C285" s="758">
        <v>19100235</v>
      </c>
      <c r="D285" t="s">
        <v>2453</v>
      </c>
      <c r="E285" t="s">
        <v>4624</v>
      </c>
      <c r="F285" s="763">
        <v>43292</v>
      </c>
      <c r="G285" s="759">
        <v>1</v>
      </c>
      <c r="I285" s="758">
        <v>74130</v>
      </c>
      <c r="J285" s="758">
        <v>60102</v>
      </c>
    </row>
    <row r="286" spans="2:10" x14ac:dyDescent="0.25">
      <c r="B286" s="758">
        <v>285</v>
      </c>
      <c r="C286" s="758">
        <v>19100237</v>
      </c>
      <c r="D286" t="s">
        <v>2441</v>
      </c>
      <c r="E286" t="s">
        <v>4624</v>
      </c>
      <c r="F286" s="763">
        <v>43292</v>
      </c>
      <c r="G286" s="759">
        <v>1</v>
      </c>
      <c r="I286" s="758">
        <v>74130</v>
      </c>
      <c r="J286" s="758">
        <v>74130</v>
      </c>
    </row>
    <row r="287" spans="2:10" x14ac:dyDescent="0.25">
      <c r="B287" s="758">
        <v>286</v>
      </c>
      <c r="C287" s="758">
        <v>19100238</v>
      </c>
      <c r="D287" t="s">
        <v>2448</v>
      </c>
      <c r="E287" t="s">
        <v>4625</v>
      </c>
      <c r="F287" s="763">
        <v>43292</v>
      </c>
      <c r="G287" s="759">
        <v>1</v>
      </c>
      <c r="I287" s="758">
        <v>74130</v>
      </c>
      <c r="J287" s="758">
        <v>74130</v>
      </c>
    </row>
    <row r="288" spans="2:10" x14ac:dyDescent="0.25">
      <c r="B288" s="758">
        <v>287</v>
      </c>
      <c r="C288" s="758">
        <v>19100259</v>
      </c>
      <c r="D288" t="s">
        <v>2443</v>
      </c>
      <c r="E288" t="s">
        <v>4625</v>
      </c>
      <c r="F288" s="763">
        <v>43292</v>
      </c>
      <c r="G288" s="759">
        <v>1</v>
      </c>
      <c r="I288" s="758">
        <v>74130</v>
      </c>
      <c r="J288" s="758">
        <v>74130</v>
      </c>
    </row>
    <row r="289" spans="2:10" x14ac:dyDescent="0.25">
      <c r="B289" s="758">
        <v>288</v>
      </c>
      <c r="C289" s="758">
        <v>19100284</v>
      </c>
      <c r="D289" t="s">
        <v>2457</v>
      </c>
      <c r="E289" t="s">
        <v>4624</v>
      </c>
      <c r="F289" s="763">
        <v>43292</v>
      </c>
      <c r="G289" s="759">
        <v>1</v>
      </c>
      <c r="I289" s="758">
        <v>74130</v>
      </c>
      <c r="J289" s="758">
        <v>74130</v>
      </c>
    </row>
    <row r="290" spans="2:10" x14ac:dyDescent="0.25">
      <c r="B290" s="758">
        <v>289</v>
      </c>
      <c r="C290" s="758">
        <v>19100287</v>
      </c>
      <c r="D290" t="s">
        <v>2447</v>
      </c>
      <c r="E290" t="s">
        <v>4625</v>
      </c>
      <c r="F290" s="763">
        <v>43292</v>
      </c>
      <c r="G290" s="759">
        <v>1</v>
      </c>
      <c r="I290" s="758">
        <v>74130</v>
      </c>
      <c r="J290" s="758">
        <v>74130</v>
      </c>
    </row>
    <row r="291" spans="2:10" x14ac:dyDescent="0.25">
      <c r="B291" s="758">
        <v>290</v>
      </c>
      <c r="C291" s="758">
        <v>19100295</v>
      </c>
      <c r="D291" t="s">
        <v>2458</v>
      </c>
      <c r="E291" t="s">
        <v>4625</v>
      </c>
      <c r="F291" s="763">
        <v>43292</v>
      </c>
      <c r="G291" s="759">
        <v>1</v>
      </c>
      <c r="I291" s="758">
        <v>74130</v>
      </c>
      <c r="J291" s="758">
        <v>60102</v>
      </c>
    </row>
    <row r="292" spans="2:10" x14ac:dyDescent="0.25">
      <c r="B292" s="758">
        <v>291</v>
      </c>
      <c r="C292" s="758">
        <v>19100234</v>
      </c>
      <c r="D292" t="s">
        <v>2454</v>
      </c>
      <c r="E292" t="s">
        <v>4625</v>
      </c>
      <c r="F292" s="763">
        <v>43292</v>
      </c>
      <c r="G292" s="759">
        <v>1</v>
      </c>
      <c r="I292" s="758">
        <v>74130</v>
      </c>
      <c r="J292" s="758">
        <v>74130</v>
      </c>
    </row>
    <row r="293" spans="2:10" x14ac:dyDescent="0.25">
      <c r="B293" s="758">
        <v>292</v>
      </c>
      <c r="C293" s="758">
        <v>19100257</v>
      </c>
      <c r="D293" t="s">
        <v>2599</v>
      </c>
      <c r="E293" t="s">
        <v>4625</v>
      </c>
      <c r="F293" s="763">
        <v>43292</v>
      </c>
      <c r="G293" s="759" t="s">
        <v>783</v>
      </c>
      <c r="I293" s="758">
        <v>74130</v>
      </c>
      <c r="J293" s="758">
        <v>74130</v>
      </c>
    </row>
    <row r="294" spans="2:10" x14ac:dyDescent="0.25">
      <c r="B294" s="758">
        <v>293</v>
      </c>
      <c r="C294" s="758">
        <v>19100266</v>
      </c>
      <c r="D294" t="s">
        <v>4798</v>
      </c>
      <c r="E294" t="s">
        <v>4624</v>
      </c>
      <c r="F294" s="763">
        <v>43292</v>
      </c>
      <c r="G294" s="759" t="s">
        <v>783</v>
      </c>
      <c r="I294" s="758">
        <v>74130</v>
      </c>
      <c r="J294" s="758">
        <v>74130</v>
      </c>
    </row>
    <row r="295" spans="2:10" x14ac:dyDescent="0.25">
      <c r="B295" s="758">
        <v>294</v>
      </c>
      <c r="C295" s="758">
        <v>19100324</v>
      </c>
      <c r="D295" t="s">
        <v>2611</v>
      </c>
      <c r="E295" t="s">
        <v>4625</v>
      </c>
      <c r="F295" s="763">
        <v>43292</v>
      </c>
      <c r="I295" s="758">
        <v>74130</v>
      </c>
      <c r="J295" s="758">
        <v>74130</v>
      </c>
    </row>
    <row r="296" spans="2:10" x14ac:dyDescent="0.25">
      <c r="B296" s="758">
        <v>295</v>
      </c>
      <c r="C296" s="758">
        <v>19100328</v>
      </c>
      <c r="D296" t="s">
        <v>2610</v>
      </c>
      <c r="E296" t="s">
        <v>4625</v>
      </c>
      <c r="F296" s="763">
        <v>43292</v>
      </c>
      <c r="I296" s="758">
        <v>74130</v>
      </c>
      <c r="J296" s="758">
        <v>74130</v>
      </c>
    </row>
    <row r="297" spans="2:10" x14ac:dyDescent="0.25">
      <c r="B297" s="758">
        <v>296</v>
      </c>
      <c r="C297" s="758">
        <v>19000000009</v>
      </c>
      <c r="D297" t="s">
        <v>2364</v>
      </c>
      <c r="E297" t="s">
        <v>4625</v>
      </c>
      <c r="F297" s="763">
        <v>43292</v>
      </c>
      <c r="G297" s="759">
        <v>1</v>
      </c>
      <c r="I297" s="758">
        <v>86108</v>
      </c>
      <c r="J297" s="758">
        <v>86130</v>
      </c>
    </row>
    <row r="298" spans="2:10" x14ac:dyDescent="0.25">
      <c r="B298" s="758">
        <v>297</v>
      </c>
      <c r="C298" s="758">
        <v>19000000010</v>
      </c>
      <c r="D298" t="s">
        <v>2370</v>
      </c>
      <c r="E298" t="s">
        <v>4624</v>
      </c>
      <c r="F298" s="763">
        <v>43292</v>
      </c>
      <c r="G298" s="759">
        <v>1</v>
      </c>
      <c r="I298" s="758">
        <v>86108</v>
      </c>
      <c r="J298" s="758">
        <v>86130</v>
      </c>
    </row>
    <row r="299" spans="2:10" x14ac:dyDescent="0.25">
      <c r="B299" s="758">
        <v>298</v>
      </c>
      <c r="C299" s="758">
        <v>19000000034</v>
      </c>
      <c r="D299" t="s">
        <v>2355</v>
      </c>
      <c r="E299" t="s">
        <v>4625</v>
      </c>
      <c r="F299" s="763">
        <v>43292</v>
      </c>
      <c r="G299" s="759">
        <v>1</v>
      </c>
      <c r="I299" s="758">
        <v>86108</v>
      </c>
      <c r="J299" s="758">
        <v>86108</v>
      </c>
    </row>
    <row r="300" spans="2:10" x14ac:dyDescent="0.25">
      <c r="B300" s="758">
        <v>299</v>
      </c>
      <c r="C300" s="758">
        <v>19000000042</v>
      </c>
      <c r="D300" t="s">
        <v>2362</v>
      </c>
      <c r="E300" t="s">
        <v>4624</v>
      </c>
      <c r="F300" s="763">
        <v>43292</v>
      </c>
      <c r="G300" s="759">
        <v>1</v>
      </c>
      <c r="I300" s="758">
        <v>86108</v>
      </c>
      <c r="J300" s="758">
        <v>86108</v>
      </c>
    </row>
    <row r="301" spans="2:10" x14ac:dyDescent="0.25">
      <c r="B301" s="758">
        <v>300</v>
      </c>
      <c r="C301" s="758">
        <v>19000000046</v>
      </c>
      <c r="D301" t="s">
        <v>2365</v>
      </c>
      <c r="E301" t="s">
        <v>4624</v>
      </c>
      <c r="F301" s="763">
        <v>43292</v>
      </c>
      <c r="G301" s="759">
        <v>1</v>
      </c>
      <c r="I301" s="758">
        <v>86108</v>
      </c>
      <c r="J301" s="758">
        <v>86108</v>
      </c>
    </row>
    <row r="302" spans="2:10" x14ac:dyDescent="0.25">
      <c r="B302" s="758">
        <v>301</v>
      </c>
      <c r="C302" s="758">
        <v>19000000052</v>
      </c>
      <c r="D302" t="s">
        <v>2368</v>
      </c>
      <c r="E302" t="s">
        <v>4625</v>
      </c>
      <c r="F302" s="763">
        <v>43292</v>
      </c>
      <c r="G302" s="759">
        <v>1</v>
      </c>
      <c r="I302" s="758">
        <v>86108</v>
      </c>
      <c r="J302" s="758">
        <v>86130</v>
      </c>
    </row>
    <row r="303" spans="2:10" x14ac:dyDescent="0.25">
      <c r="B303" s="758">
        <v>302</v>
      </c>
      <c r="C303" s="758">
        <v>19000000060</v>
      </c>
      <c r="D303" t="s">
        <v>2373</v>
      </c>
      <c r="E303" t="s">
        <v>4625</v>
      </c>
      <c r="F303" s="763">
        <v>43292</v>
      </c>
      <c r="G303" s="759">
        <v>1</v>
      </c>
      <c r="I303" s="758">
        <v>86108</v>
      </c>
      <c r="J303" s="758">
        <v>86130</v>
      </c>
    </row>
    <row r="304" spans="2:10" x14ac:dyDescent="0.25">
      <c r="B304" s="758">
        <v>303</v>
      </c>
      <c r="C304" s="758">
        <v>19000000061</v>
      </c>
      <c r="D304" t="s">
        <v>2358</v>
      </c>
      <c r="E304" t="s">
        <v>4625</v>
      </c>
      <c r="F304" s="763">
        <v>43292</v>
      </c>
      <c r="G304" s="759">
        <v>1</v>
      </c>
      <c r="I304" s="758">
        <v>86108</v>
      </c>
      <c r="J304" s="758">
        <v>86108</v>
      </c>
    </row>
    <row r="305" spans="2:10" x14ac:dyDescent="0.25">
      <c r="B305" s="758">
        <v>304</v>
      </c>
      <c r="C305" s="758">
        <v>19100015</v>
      </c>
      <c r="D305" t="s">
        <v>2356</v>
      </c>
      <c r="E305" t="s">
        <v>4625</v>
      </c>
      <c r="F305" s="763">
        <v>43292</v>
      </c>
      <c r="G305" s="759">
        <v>1</v>
      </c>
      <c r="I305" s="758">
        <v>86108</v>
      </c>
      <c r="J305" s="758">
        <v>86130</v>
      </c>
    </row>
    <row r="306" spans="2:10" x14ac:dyDescent="0.25">
      <c r="B306" s="758">
        <v>305</v>
      </c>
      <c r="C306" s="758">
        <v>19100025</v>
      </c>
      <c r="D306" t="s">
        <v>2371</v>
      </c>
      <c r="E306" t="s">
        <v>4625</v>
      </c>
      <c r="F306" s="763">
        <v>43292</v>
      </c>
      <c r="G306" s="759">
        <v>1</v>
      </c>
      <c r="I306" s="758">
        <v>86108</v>
      </c>
      <c r="J306" s="758">
        <v>86130</v>
      </c>
    </row>
    <row r="307" spans="2:10" x14ac:dyDescent="0.25">
      <c r="B307" s="758">
        <v>306</v>
      </c>
      <c r="C307" s="758">
        <v>19100029</v>
      </c>
      <c r="D307" t="s">
        <v>2379</v>
      </c>
      <c r="E307" t="s">
        <v>4624</v>
      </c>
      <c r="F307" s="763">
        <v>43292</v>
      </c>
      <c r="G307" s="759">
        <v>1</v>
      </c>
      <c r="I307" s="758">
        <v>86108</v>
      </c>
      <c r="J307" s="758">
        <v>86132</v>
      </c>
    </row>
    <row r="308" spans="2:10" x14ac:dyDescent="0.25">
      <c r="B308" s="758">
        <v>307</v>
      </c>
      <c r="C308" s="758">
        <v>19100034</v>
      </c>
      <c r="D308" t="s">
        <v>2383</v>
      </c>
      <c r="E308" t="s">
        <v>4625</v>
      </c>
      <c r="F308" s="763">
        <v>43292</v>
      </c>
      <c r="G308" s="759">
        <v>1</v>
      </c>
      <c r="I308" s="758">
        <v>86108</v>
      </c>
      <c r="J308" s="758">
        <v>86132</v>
      </c>
    </row>
    <row r="309" spans="2:10" x14ac:dyDescent="0.25">
      <c r="B309" s="758">
        <v>308</v>
      </c>
      <c r="C309" s="758">
        <v>19100074</v>
      </c>
      <c r="D309" t="s">
        <v>2357</v>
      </c>
      <c r="E309" t="s">
        <v>4625</v>
      </c>
      <c r="F309" s="763">
        <v>43292</v>
      </c>
      <c r="G309" s="759">
        <v>1</v>
      </c>
      <c r="I309" s="758">
        <v>86108</v>
      </c>
      <c r="J309" s="758">
        <v>86130</v>
      </c>
    </row>
    <row r="310" spans="2:10" x14ac:dyDescent="0.25">
      <c r="B310" s="758">
        <v>309</v>
      </c>
      <c r="C310" s="758">
        <v>19100086</v>
      </c>
      <c r="D310" t="s">
        <v>2367</v>
      </c>
      <c r="E310" t="s">
        <v>4624</v>
      </c>
      <c r="F310" s="763">
        <v>43292</v>
      </c>
      <c r="G310" s="759">
        <v>1</v>
      </c>
      <c r="I310" s="758">
        <v>86108</v>
      </c>
      <c r="J310" s="758">
        <v>86108</v>
      </c>
    </row>
    <row r="311" spans="2:10" x14ac:dyDescent="0.25">
      <c r="B311" s="758">
        <v>310</v>
      </c>
      <c r="C311" s="758">
        <v>19100116</v>
      </c>
      <c r="D311" t="s">
        <v>2392</v>
      </c>
      <c r="E311" t="s">
        <v>4624</v>
      </c>
      <c r="F311" s="763">
        <v>43292</v>
      </c>
      <c r="G311" s="759">
        <v>1</v>
      </c>
      <c r="I311" s="758">
        <v>86108</v>
      </c>
      <c r="J311" s="758">
        <v>86108</v>
      </c>
    </row>
    <row r="312" spans="2:10" x14ac:dyDescent="0.25">
      <c r="B312" s="758">
        <v>311</v>
      </c>
      <c r="C312" s="758">
        <v>19100121</v>
      </c>
      <c r="D312" t="s">
        <v>2482</v>
      </c>
      <c r="E312" t="s">
        <v>4625</v>
      </c>
      <c r="F312" s="763">
        <v>43292</v>
      </c>
      <c r="G312" s="759">
        <v>1</v>
      </c>
      <c r="I312" s="758">
        <v>86108</v>
      </c>
      <c r="J312" s="758">
        <v>86132</v>
      </c>
    </row>
    <row r="313" spans="2:10" x14ac:dyDescent="0.25">
      <c r="B313" s="758">
        <v>312</v>
      </c>
      <c r="C313" s="758">
        <v>19100144</v>
      </c>
      <c r="D313" t="s">
        <v>2389</v>
      </c>
      <c r="E313" t="s">
        <v>4624</v>
      </c>
      <c r="F313" s="763">
        <v>43292</v>
      </c>
      <c r="G313" s="759">
        <v>1</v>
      </c>
      <c r="I313" s="758">
        <v>86108</v>
      </c>
      <c r="J313" s="758">
        <v>86130</v>
      </c>
    </row>
    <row r="314" spans="2:10" x14ac:dyDescent="0.25">
      <c r="B314" s="758">
        <v>313</v>
      </c>
      <c r="C314" s="758">
        <v>19100146</v>
      </c>
      <c r="D314" t="s">
        <v>2382</v>
      </c>
      <c r="E314" t="s">
        <v>4625</v>
      </c>
      <c r="F314" s="763">
        <v>43292</v>
      </c>
      <c r="G314" s="759">
        <v>1</v>
      </c>
      <c r="I314" s="758">
        <v>86108</v>
      </c>
      <c r="J314" s="758">
        <v>86108</v>
      </c>
    </row>
    <row r="315" spans="2:10" x14ac:dyDescent="0.25">
      <c r="B315" s="758">
        <v>314</v>
      </c>
      <c r="C315" s="758">
        <v>19100152</v>
      </c>
      <c r="D315" t="s">
        <v>2391</v>
      </c>
      <c r="E315" t="s">
        <v>4625</v>
      </c>
      <c r="F315" s="763">
        <v>43292</v>
      </c>
      <c r="G315" s="759">
        <v>1</v>
      </c>
      <c r="I315" s="758">
        <v>86108</v>
      </c>
      <c r="J315" s="758">
        <v>86108</v>
      </c>
    </row>
    <row r="316" spans="2:10" x14ac:dyDescent="0.25">
      <c r="B316" s="758">
        <v>315</v>
      </c>
      <c r="C316" s="758">
        <v>19100161</v>
      </c>
      <c r="D316" t="s">
        <v>1938</v>
      </c>
      <c r="E316" t="s">
        <v>4625</v>
      </c>
      <c r="F316" s="763">
        <v>43292</v>
      </c>
      <c r="G316" s="759">
        <v>1</v>
      </c>
      <c r="I316" s="758">
        <v>86108</v>
      </c>
      <c r="J316" s="758">
        <v>86108</v>
      </c>
    </row>
    <row r="317" spans="2:10" x14ac:dyDescent="0.25">
      <c r="B317" s="758">
        <v>316</v>
      </c>
      <c r="C317" s="758">
        <v>19100180</v>
      </c>
      <c r="D317" t="s">
        <v>2387</v>
      </c>
      <c r="E317" t="s">
        <v>4625</v>
      </c>
      <c r="F317" s="763">
        <v>43292</v>
      </c>
      <c r="G317" s="759">
        <v>1</v>
      </c>
      <c r="I317" s="758">
        <v>86108</v>
      </c>
      <c r="J317" s="758">
        <v>86108</v>
      </c>
    </row>
    <row r="318" spans="2:10" x14ac:dyDescent="0.25">
      <c r="B318" s="758">
        <v>317</v>
      </c>
      <c r="C318" s="758">
        <v>19100222</v>
      </c>
      <c r="D318" t="s">
        <v>2393</v>
      </c>
      <c r="E318" t="s">
        <v>4625</v>
      </c>
      <c r="F318" s="763">
        <v>43292</v>
      </c>
      <c r="G318" s="759">
        <v>1</v>
      </c>
      <c r="I318" s="758">
        <v>86108</v>
      </c>
      <c r="J318" s="758">
        <v>86108</v>
      </c>
    </row>
    <row r="319" spans="2:10" x14ac:dyDescent="0.25">
      <c r="B319" s="758">
        <v>318</v>
      </c>
      <c r="C319" s="758">
        <v>19100246</v>
      </c>
      <c r="D319" t="s">
        <v>2374</v>
      </c>
      <c r="E319" t="s">
        <v>4625</v>
      </c>
      <c r="F319" s="763">
        <v>43292</v>
      </c>
      <c r="G319" s="759">
        <v>1</v>
      </c>
      <c r="I319" s="758">
        <v>86108</v>
      </c>
    </row>
    <row r="320" spans="2:10" x14ac:dyDescent="0.25">
      <c r="B320" s="758">
        <v>319</v>
      </c>
      <c r="C320" s="758">
        <v>19100251</v>
      </c>
      <c r="D320" t="s">
        <v>2386</v>
      </c>
      <c r="E320" t="s">
        <v>4625</v>
      </c>
      <c r="F320" s="763">
        <v>43292</v>
      </c>
      <c r="G320" s="759">
        <v>1</v>
      </c>
      <c r="I320" s="758">
        <v>86108</v>
      </c>
      <c r="J320" s="758">
        <v>86130</v>
      </c>
    </row>
    <row r="321" spans="2:10" x14ac:dyDescent="0.25">
      <c r="B321" s="758">
        <v>320</v>
      </c>
      <c r="C321" s="758">
        <v>19100254</v>
      </c>
      <c r="D321" t="s">
        <v>2380</v>
      </c>
      <c r="E321" t="s">
        <v>4625</v>
      </c>
      <c r="F321" s="763">
        <v>43292</v>
      </c>
      <c r="G321" s="759">
        <v>1</v>
      </c>
      <c r="I321" s="758">
        <v>86108</v>
      </c>
      <c r="J321" s="758">
        <v>86108</v>
      </c>
    </row>
    <row r="322" spans="2:10" x14ac:dyDescent="0.25">
      <c r="B322" s="758">
        <v>321</v>
      </c>
      <c r="C322" s="758">
        <v>19100264</v>
      </c>
      <c r="D322" t="s">
        <v>2361</v>
      </c>
      <c r="E322" t="s">
        <v>4624</v>
      </c>
      <c r="F322" s="763">
        <v>43292</v>
      </c>
      <c r="G322" s="759">
        <v>1</v>
      </c>
      <c r="I322" s="758">
        <v>86108</v>
      </c>
      <c r="J322" s="758">
        <v>86108</v>
      </c>
    </row>
    <row r="323" spans="2:10" x14ac:dyDescent="0.25">
      <c r="B323" s="758">
        <v>322</v>
      </c>
      <c r="C323" s="758">
        <v>19100269</v>
      </c>
      <c r="D323" t="s">
        <v>2376</v>
      </c>
      <c r="E323" t="s">
        <v>4624</v>
      </c>
      <c r="F323" s="763">
        <v>43292</v>
      </c>
      <c r="G323" s="759">
        <v>1</v>
      </c>
      <c r="I323" s="758">
        <v>86108</v>
      </c>
      <c r="J323" s="758">
        <v>86130</v>
      </c>
    </row>
    <row r="324" spans="2:10" x14ac:dyDescent="0.25">
      <c r="B324" s="758">
        <v>323</v>
      </c>
      <c r="C324" s="758">
        <v>19100272</v>
      </c>
      <c r="D324" t="s">
        <v>2381</v>
      </c>
      <c r="E324" t="s">
        <v>4625</v>
      </c>
      <c r="F324" s="763">
        <v>43292</v>
      </c>
      <c r="G324" s="759">
        <v>1</v>
      </c>
      <c r="I324" s="758">
        <v>86108</v>
      </c>
      <c r="J324" s="758">
        <v>60102</v>
      </c>
    </row>
    <row r="325" spans="2:10" x14ac:dyDescent="0.25">
      <c r="B325" s="758">
        <v>324</v>
      </c>
      <c r="C325" s="758">
        <v>19100282</v>
      </c>
      <c r="D325" t="s">
        <v>4799</v>
      </c>
      <c r="E325" t="s">
        <v>4625</v>
      </c>
      <c r="F325" s="763">
        <v>43292</v>
      </c>
      <c r="G325" s="759">
        <v>1</v>
      </c>
      <c r="I325" s="758">
        <v>86108</v>
      </c>
      <c r="J325" s="758">
        <v>70133</v>
      </c>
    </row>
    <row r="326" spans="2:10" x14ac:dyDescent="0.25">
      <c r="B326" s="758">
        <v>325</v>
      </c>
      <c r="C326" s="758">
        <v>19100286</v>
      </c>
      <c r="D326" t="s">
        <v>2375</v>
      </c>
      <c r="E326" t="s">
        <v>4625</v>
      </c>
      <c r="F326" s="763">
        <v>43292</v>
      </c>
      <c r="G326" s="759">
        <v>1</v>
      </c>
      <c r="I326" s="758">
        <v>86108</v>
      </c>
      <c r="J326" s="758">
        <v>86130</v>
      </c>
    </row>
    <row r="327" spans="2:10" x14ac:dyDescent="0.25">
      <c r="B327" s="758">
        <v>326</v>
      </c>
      <c r="C327" s="758">
        <v>19100292</v>
      </c>
      <c r="D327" t="s">
        <v>2384</v>
      </c>
      <c r="E327" t="s">
        <v>4625</v>
      </c>
      <c r="F327" s="763">
        <v>43292</v>
      </c>
      <c r="G327" s="759">
        <v>1</v>
      </c>
      <c r="I327" s="758">
        <v>86108</v>
      </c>
      <c r="J327" s="758">
        <v>86130</v>
      </c>
    </row>
    <row r="328" spans="2:10" x14ac:dyDescent="0.25">
      <c r="B328" s="758">
        <v>327</v>
      </c>
      <c r="C328" s="758">
        <v>19100301</v>
      </c>
      <c r="D328" t="s">
        <v>2377</v>
      </c>
      <c r="E328" t="s">
        <v>4625</v>
      </c>
      <c r="F328" s="763">
        <v>43292</v>
      </c>
      <c r="G328" s="759">
        <v>1</v>
      </c>
      <c r="I328" s="758">
        <v>86108</v>
      </c>
      <c r="J328" s="758">
        <v>60102</v>
      </c>
    </row>
    <row r="329" spans="2:10" x14ac:dyDescent="0.25">
      <c r="B329" s="758">
        <v>328</v>
      </c>
      <c r="C329" s="758">
        <v>19100312</v>
      </c>
      <c r="D329" t="s">
        <v>2495</v>
      </c>
      <c r="E329" t="s">
        <v>4624</v>
      </c>
      <c r="F329" s="763">
        <v>43292</v>
      </c>
      <c r="G329" s="759">
        <v>1</v>
      </c>
      <c r="I329" s="758">
        <v>86108</v>
      </c>
    </row>
    <row r="330" spans="2:10" x14ac:dyDescent="0.25">
      <c r="B330" s="758">
        <v>329</v>
      </c>
      <c r="C330" s="758">
        <v>19100318</v>
      </c>
      <c r="D330" t="s">
        <v>2385</v>
      </c>
      <c r="E330" t="s">
        <v>4625</v>
      </c>
      <c r="F330" s="763">
        <v>43292</v>
      </c>
      <c r="G330" s="759">
        <v>1</v>
      </c>
      <c r="I330" s="758">
        <v>86108</v>
      </c>
      <c r="J330" s="758">
        <v>86108</v>
      </c>
    </row>
    <row r="331" spans="2:10" x14ac:dyDescent="0.25">
      <c r="B331" s="758">
        <v>330</v>
      </c>
      <c r="C331" s="758">
        <v>19100322</v>
      </c>
      <c r="D331" t="s">
        <v>2388</v>
      </c>
      <c r="E331" t="s">
        <v>4624</v>
      </c>
      <c r="F331" s="763">
        <v>43292</v>
      </c>
      <c r="G331" s="759">
        <v>1</v>
      </c>
      <c r="I331" s="758">
        <v>86108</v>
      </c>
      <c r="J331" s="758">
        <v>86130</v>
      </c>
    </row>
    <row r="332" spans="2:10" x14ac:dyDescent="0.25">
      <c r="B332" s="758">
        <v>331</v>
      </c>
      <c r="C332" s="758">
        <v>19100228</v>
      </c>
      <c r="D332" t="s">
        <v>2390</v>
      </c>
      <c r="E332" t="s">
        <v>4624</v>
      </c>
      <c r="F332" s="763">
        <v>43292</v>
      </c>
      <c r="G332" s="759">
        <v>1</v>
      </c>
      <c r="I332" s="758">
        <v>86108</v>
      </c>
      <c r="J332" s="758">
        <v>86108</v>
      </c>
    </row>
    <row r="333" spans="2:10" x14ac:dyDescent="0.25">
      <c r="B333" s="758">
        <v>332</v>
      </c>
      <c r="C333" s="758">
        <v>19000000080</v>
      </c>
      <c r="D333" t="s">
        <v>2363</v>
      </c>
      <c r="E333" t="s">
        <v>4625</v>
      </c>
      <c r="F333" s="763">
        <v>43292</v>
      </c>
      <c r="G333" s="759">
        <v>1</v>
      </c>
      <c r="I333" s="758">
        <v>86108</v>
      </c>
      <c r="J333" s="758">
        <v>86108</v>
      </c>
    </row>
    <row r="334" spans="2:10" x14ac:dyDescent="0.25">
      <c r="B334" s="758">
        <v>333</v>
      </c>
      <c r="C334" s="758">
        <v>19100151</v>
      </c>
      <c r="D334" t="s">
        <v>2341</v>
      </c>
      <c r="E334" t="s">
        <v>4624</v>
      </c>
      <c r="F334" s="763">
        <v>43292</v>
      </c>
      <c r="I334" s="758">
        <v>86108</v>
      </c>
      <c r="J334" s="758">
        <v>86108</v>
      </c>
    </row>
    <row r="335" spans="2:10" x14ac:dyDescent="0.25">
      <c r="B335" s="758">
        <v>334</v>
      </c>
      <c r="C335" s="758">
        <v>19000000050</v>
      </c>
      <c r="D335" t="s">
        <v>4800</v>
      </c>
      <c r="E335" t="s">
        <v>4624</v>
      </c>
      <c r="F335" s="763">
        <v>43292</v>
      </c>
      <c r="G335" s="759" t="s">
        <v>783</v>
      </c>
      <c r="I335" s="758">
        <v>86108</v>
      </c>
      <c r="J335" s="758">
        <v>86130</v>
      </c>
    </row>
    <row r="336" spans="2:10" x14ac:dyDescent="0.25">
      <c r="B336" s="758">
        <v>335</v>
      </c>
      <c r="C336" s="758">
        <v>19100087</v>
      </c>
      <c r="D336" t="s">
        <v>2366</v>
      </c>
      <c r="E336" t="s">
        <v>4624</v>
      </c>
      <c r="F336" s="763">
        <v>43292</v>
      </c>
      <c r="I336" s="758">
        <v>86108</v>
      </c>
      <c r="J336" s="758">
        <v>86108</v>
      </c>
    </row>
    <row r="337" spans="2:10" x14ac:dyDescent="0.25">
      <c r="B337" s="758">
        <v>336</v>
      </c>
      <c r="C337" s="758">
        <v>19100054</v>
      </c>
      <c r="D337" t="s">
        <v>2360</v>
      </c>
      <c r="E337" t="s">
        <v>4625</v>
      </c>
      <c r="F337" s="763">
        <v>43292</v>
      </c>
      <c r="I337" s="758">
        <v>86108</v>
      </c>
      <c r="J337" s="758">
        <v>86108</v>
      </c>
    </row>
    <row r="338" spans="2:10" x14ac:dyDescent="0.25">
      <c r="B338" s="758">
        <v>337</v>
      </c>
      <c r="C338" s="758">
        <v>19000000067</v>
      </c>
      <c r="D338" t="s">
        <v>4801</v>
      </c>
      <c r="E338" t="s">
        <v>4624</v>
      </c>
      <c r="F338" s="763">
        <v>43292</v>
      </c>
      <c r="G338" s="759" t="s">
        <v>783</v>
      </c>
      <c r="I338" s="758">
        <v>86108</v>
      </c>
      <c r="J338" s="758">
        <v>86130</v>
      </c>
    </row>
    <row r="339" spans="2:10" x14ac:dyDescent="0.25">
      <c r="B339" s="758">
        <v>338</v>
      </c>
      <c r="C339" s="758">
        <v>19100095</v>
      </c>
      <c r="D339" t="s">
        <v>4802</v>
      </c>
      <c r="E339" t="s">
        <v>4624</v>
      </c>
      <c r="F339" s="763">
        <v>43292</v>
      </c>
      <c r="G339" s="759" t="s">
        <v>783</v>
      </c>
      <c r="I339" s="758">
        <v>86108</v>
      </c>
      <c r="J339" s="758">
        <v>86108</v>
      </c>
    </row>
    <row r="340" spans="2:10" x14ac:dyDescent="0.25">
      <c r="B340" s="758">
        <v>339</v>
      </c>
      <c r="C340" s="758">
        <v>19100110</v>
      </c>
      <c r="D340" t="s">
        <v>4803</v>
      </c>
      <c r="E340" t="s">
        <v>4625</v>
      </c>
      <c r="F340" s="763">
        <v>43292</v>
      </c>
      <c r="G340" s="759" t="s">
        <v>783</v>
      </c>
      <c r="I340" s="758">
        <v>86108</v>
      </c>
      <c r="J340" s="758">
        <v>86108</v>
      </c>
    </row>
    <row r="341" spans="2:10" x14ac:dyDescent="0.25">
      <c r="B341" s="758">
        <v>340</v>
      </c>
      <c r="C341" s="758">
        <v>19100281</v>
      </c>
      <c r="D341" t="s">
        <v>4804</v>
      </c>
      <c r="E341" t="s">
        <v>4625</v>
      </c>
      <c r="F341" s="763">
        <v>43292</v>
      </c>
      <c r="I341" s="758">
        <v>86108</v>
      </c>
      <c r="J341" s="758">
        <v>86130</v>
      </c>
    </row>
    <row r="342" spans="2:10" x14ac:dyDescent="0.25">
      <c r="B342" s="758">
        <v>341</v>
      </c>
      <c r="C342" s="758">
        <v>19000000005</v>
      </c>
      <c r="D342" t="s">
        <v>2281</v>
      </c>
      <c r="E342" t="s">
        <v>4624</v>
      </c>
      <c r="F342" s="763">
        <v>43292</v>
      </c>
      <c r="G342" s="759">
        <v>1</v>
      </c>
      <c r="I342" s="758">
        <v>86130</v>
      </c>
      <c r="J342" s="758">
        <v>86130</v>
      </c>
    </row>
    <row r="343" spans="2:10" x14ac:dyDescent="0.25">
      <c r="B343" s="758">
        <v>342</v>
      </c>
      <c r="C343" s="758">
        <v>19000000006</v>
      </c>
      <c r="D343" t="s">
        <v>2292</v>
      </c>
      <c r="E343" t="s">
        <v>4625</v>
      </c>
      <c r="F343" s="763">
        <v>43292</v>
      </c>
      <c r="G343" s="759">
        <v>1</v>
      </c>
      <c r="I343" s="758">
        <v>86130</v>
      </c>
      <c r="J343" s="758">
        <v>86108</v>
      </c>
    </row>
    <row r="344" spans="2:10" x14ac:dyDescent="0.25">
      <c r="B344" s="758">
        <v>343</v>
      </c>
      <c r="C344" s="758">
        <v>19000000019</v>
      </c>
      <c r="D344" t="s">
        <v>2296</v>
      </c>
      <c r="E344" t="s">
        <v>4624</v>
      </c>
      <c r="F344" s="763">
        <v>43292</v>
      </c>
      <c r="G344" s="759">
        <v>1</v>
      </c>
      <c r="I344" s="758">
        <v>86130</v>
      </c>
      <c r="J344" s="758">
        <v>86132</v>
      </c>
    </row>
    <row r="345" spans="2:10" x14ac:dyDescent="0.25">
      <c r="B345" s="758">
        <v>344</v>
      </c>
      <c r="C345" s="758">
        <v>19000000041</v>
      </c>
      <c r="D345" t="s">
        <v>2286</v>
      </c>
      <c r="E345" t="s">
        <v>4624</v>
      </c>
      <c r="F345" s="763">
        <v>43292</v>
      </c>
      <c r="G345" s="759">
        <v>1</v>
      </c>
      <c r="I345" s="758">
        <v>86130</v>
      </c>
      <c r="J345" s="758">
        <v>86130</v>
      </c>
    </row>
    <row r="346" spans="2:10" x14ac:dyDescent="0.25">
      <c r="B346" s="758">
        <v>345</v>
      </c>
      <c r="C346" s="758">
        <v>19000000069</v>
      </c>
      <c r="D346" t="s">
        <v>2295</v>
      </c>
      <c r="E346" t="s">
        <v>4625</v>
      </c>
      <c r="F346" s="763">
        <v>43292</v>
      </c>
      <c r="G346" s="759">
        <v>1</v>
      </c>
      <c r="I346" s="758">
        <v>86130</v>
      </c>
      <c r="J346" s="758">
        <v>86130</v>
      </c>
    </row>
    <row r="347" spans="2:10" x14ac:dyDescent="0.25">
      <c r="B347" s="758">
        <v>346</v>
      </c>
      <c r="C347" s="758">
        <v>19000000072</v>
      </c>
      <c r="D347" t="s">
        <v>2288</v>
      </c>
      <c r="E347" t="s">
        <v>4625</v>
      </c>
      <c r="F347" s="763">
        <v>43292</v>
      </c>
      <c r="G347" s="759">
        <v>1</v>
      </c>
      <c r="I347" s="758">
        <v>86130</v>
      </c>
    </row>
    <row r="348" spans="2:10" x14ac:dyDescent="0.25">
      <c r="B348" s="758">
        <v>347</v>
      </c>
      <c r="C348" s="758">
        <v>19100002</v>
      </c>
      <c r="D348" t="s">
        <v>2345</v>
      </c>
      <c r="E348" t="s">
        <v>4625</v>
      </c>
      <c r="F348" s="763">
        <v>43292</v>
      </c>
      <c r="G348" s="759">
        <v>1</v>
      </c>
      <c r="I348" s="758">
        <v>86130</v>
      </c>
      <c r="J348" s="758">
        <v>86130</v>
      </c>
    </row>
    <row r="349" spans="2:10" x14ac:dyDescent="0.25">
      <c r="B349" s="758">
        <v>348</v>
      </c>
      <c r="C349" s="758">
        <v>19100011</v>
      </c>
      <c r="D349" t="s">
        <v>2327</v>
      </c>
      <c r="E349" t="s">
        <v>4625</v>
      </c>
      <c r="F349" s="763">
        <v>43292</v>
      </c>
      <c r="G349" s="759">
        <v>1</v>
      </c>
      <c r="I349" s="758">
        <v>86130</v>
      </c>
      <c r="J349" s="758">
        <v>86130</v>
      </c>
    </row>
    <row r="350" spans="2:10" x14ac:dyDescent="0.25">
      <c r="B350" s="758">
        <v>349</v>
      </c>
      <c r="C350" s="758">
        <v>19100012</v>
      </c>
      <c r="D350" t="s">
        <v>2338</v>
      </c>
      <c r="E350" t="s">
        <v>4625</v>
      </c>
      <c r="F350" s="763">
        <v>43292</v>
      </c>
      <c r="G350" s="759">
        <v>1</v>
      </c>
      <c r="I350" s="758">
        <v>86130</v>
      </c>
      <c r="J350" s="758">
        <v>86130</v>
      </c>
    </row>
    <row r="351" spans="2:10" x14ac:dyDescent="0.25">
      <c r="B351" s="758">
        <v>350</v>
      </c>
      <c r="C351" s="758">
        <v>19100013</v>
      </c>
      <c r="D351" t="s">
        <v>2353</v>
      </c>
      <c r="E351" t="s">
        <v>4624</v>
      </c>
      <c r="F351" s="763">
        <v>43292</v>
      </c>
      <c r="G351" s="759">
        <v>1</v>
      </c>
      <c r="I351" s="758">
        <v>86130</v>
      </c>
      <c r="J351" s="758">
        <v>86130</v>
      </c>
    </row>
    <row r="352" spans="2:10" x14ac:dyDescent="0.25">
      <c r="B352" s="758">
        <v>351</v>
      </c>
      <c r="C352" s="758">
        <v>19100020</v>
      </c>
      <c r="D352" t="s">
        <v>2496</v>
      </c>
      <c r="E352" t="s">
        <v>4625</v>
      </c>
      <c r="F352" s="763">
        <v>43292</v>
      </c>
      <c r="G352" s="759">
        <v>1</v>
      </c>
      <c r="I352" s="758">
        <v>86130</v>
      </c>
      <c r="J352" s="758">
        <v>86108</v>
      </c>
    </row>
    <row r="353" spans="2:10" x14ac:dyDescent="0.25">
      <c r="B353" s="758">
        <v>352</v>
      </c>
      <c r="C353" s="758">
        <v>19100033</v>
      </c>
      <c r="D353" t="s">
        <v>2333</v>
      </c>
      <c r="E353" t="s">
        <v>4624</v>
      </c>
      <c r="F353" s="763">
        <v>43292</v>
      </c>
      <c r="G353" s="759">
        <v>1</v>
      </c>
      <c r="I353" s="758">
        <v>86130</v>
      </c>
      <c r="J353" s="758">
        <v>86132</v>
      </c>
    </row>
    <row r="354" spans="2:10" x14ac:dyDescent="0.25">
      <c r="B354" s="758">
        <v>353</v>
      </c>
      <c r="C354" s="758">
        <v>19100035</v>
      </c>
      <c r="D354" t="s">
        <v>2287</v>
      </c>
      <c r="E354" t="s">
        <v>4624</v>
      </c>
      <c r="F354" s="763">
        <v>43292</v>
      </c>
      <c r="G354" s="759">
        <v>1</v>
      </c>
      <c r="I354" s="758">
        <v>86130</v>
      </c>
      <c r="J354" s="758">
        <v>86132</v>
      </c>
    </row>
    <row r="355" spans="2:10" x14ac:dyDescent="0.25">
      <c r="B355" s="758">
        <v>354</v>
      </c>
      <c r="C355" s="758">
        <v>19100043</v>
      </c>
      <c r="D355" t="s">
        <v>2285</v>
      </c>
      <c r="E355" t="s">
        <v>4625</v>
      </c>
      <c r="F355" s="763">
        <v>43292</v>
      </c>
      <c r="G355" s="759">
        <v>1</v>
      </c>
      <c r="I355" s="758">
        <v>86130</v>
      </c>
      <c r="J355" s="758">
        <v>86108</v>
      </c>
    </row>
    <row r="356" spans="2:10" x14ac:dyDescent="0.25">
      <c r="B356" s="758">
        <v>355</v>
      </c>
      <c r="C356" s="758">
        <v>19100050</v>
      </c>
      <c r="D356" t="s">
        <v>2352</v>
      </c>
      <c r="E356" t="s">
        <v>4625</v>
      </c>
      <c r="F356" s="763">
        <v>43292</v>
      </c>
      <c r="G356" s="759">
        <v>1</v>
      </c>
      <c r="I356" s="758">
        <v>86130</v>
      </c>
      <c r="J356" s="758">
        <v>86108</v>
      </c>
    </row>
    <row r="357" spans="2:10" x14ac:dyDescent="0.25">
      <c r="B357" s="758">
        <v>356</v>
      </c>
      <c r="C357" s="758">
        <v>19100053</v>
      </c>
      <c r="D357" t="s">
        <v>2343</v>
      </c>
      <c r="E357" t="s">
        <v>4624</v>
      </c>
      <c r="F357" s="763">
        <v>43292</v>
      </c>
      <c r="G357" s="759">
        <v>1</v>
      </c>
      <c r="I357" s="758">
        <v>86130</v>
      </c>
      <c r="J357" s="758">
        <v>86108</v>
      </c>
    </row>
    <row r="358" spans="2:10" x14ac:dyDescent="0.25">
      <c r="B358" s="758">
        <v>357</v>
      </c>
      <c r="C358" s="758">
        <v>19100062</v>
      </c>
      <c r="D358" t="s">
        <v>2342</v>
      </c>
      <c r="E358" t="s">
        <v>4624</v>
      </c>
      <c r="F358" s="763">
        <v>43292</v>
      </c>
      <c r="G358" s="759">
        <v>1</v>
      </c>
      <c r="I358" s="758">
        <v>86130</v>
      </c>
      <c r="J358" s="758">
        <v>86108</v>
      </c>
    </row>
    <row r="359" spans="2:10" x14ac:dyDescent="0.25">
      <c r="B359" s="758">
        <v>358</v>
      </c>
      <c r="C359" s="758">
        <v>19100069</v>
      </c>
      <c r="D359" t="s">
        <v>2350</v>
      </c>
      <c r="E359" t="s">
        <v>4624</v>
      </c>
      <c r="F359" s="763">
        <v>43292</v>
      </c>
      <c r="G359" s="759">
        <v>1</v>
      </c>
      <c r="I359" s="758">
        <v>86130</v>
      </c>
      <c r="J359" s="758">
        <v>88104</v>
      </c>
    </row>
    <row r="360" spans="2:10" x14ac:dyDescent="0.25">
      <c r="B360" s="758">
        <v>359</v>
      </c>
      <c r="C360" s="758">
        <v>19100070</v>
      </c>
      <c r="D360" t="s">
        <v>2336</v>
      </c>
      <c r="E360" t="s">
        <v>4625</v>
      </c>
      <c r="F360" s="763">
        <v>43292</v>
      </c>
      <c r="G360" s="759">
        <v>1</v>
      </c>
      <c r="I360" s="758">
        <v>86130</v>
      </c>
      <c r="J360" s="758">
        <v>86108</v>
      </c>
    </row>
    <row r="361" spans="2:10" x14ac:dyDescent="0.25">
      <c r="B361" s="758">
        <v>360</v>
      </c>
      <c r="C361" s="758">
        <v>19100075</v>
      </c>
      <c r="D361" t="s">
        <v>2347</v>
      </c>
      <c r="E361" t="s">
        <v>4624</v>
      </c>
      <c r="F361" s="763">
        <v>43292</v>
      </c>
      <c r="G361" s="759">
        <v>1</v>
      </c>
      <c r="I361" s="758">
        <v>86130</v>
      </c>
      <c r="J361" s="758">
        <v>86130</v>
      </c>
    </row>
    <row r="362" spans="2:10" x14ac:dyDescent="0.25">
      <c r="B362" s="758">
        <v>361</v>
      </c>
      <c r="C362" s="758">
        <v>19100077</v>
      </c>
      <c r="D362" t="s">
        <v>2340</v>
      </c>
      <c r="E362" t="s">
        <v>4625</v>
      </c>
      <c r="F362" s="763">
        <v>43292</v>
      </c>
      <c r="G362" s="759">
        <v>1</v>
      </c>
      <c r="I362" s="758">
        <v>86130</v>
      </c>
      <c r="J362" s="758">
        <v>86130</v>
      </c>
    </row>
    <row r="363" spans="2:10" x14ac:dyDescent="0.25">
      <c r="B363" s="758">
        <v>362</v>
      </c>
      <c r="C363" s="758">
        <v>19100081</v>
      </c>
      <c r="D363" t="s">
        <v>2493</v>
      </c>
      <c r="E363" t="s">
        <v>4625</v>
      </c>
      <c r="F363" s="763">
        <v>43292</v>
      </c>
      <c r="G363" s="759">
        <v>1</v>
      </c>
      <c r="I363" s="758">
        <v>86130</v>
      </c>
      <c r="J363" s="758">
        <v>86132</v>
      </c>
    </row>
    <row r="364" spans="2:10" x14ac:dyDescent="0.25">
      <c r="B364" s="758">
        <v>363</v>
      </c>
      <c r="C364" s="758">
        <v>19100094</v>
      </c>
      <c r="D364" t="s">
        <v>2372</v>
      </c>
      <c r="E364" t="s">
        <v>4624</v>
      </c>
      <c r="F364" s="763">
        <v>43292</v>
      </c>
      <c r="G364" s="759">
        <v>1</v>
      </c>
      <c r="I364" s="758">
        <v>86130</v>
      </c>
      <c r="J364" s="758">
        <v>86108</v>
      </c>
    </row>
    <row r="365" spans="2:10" x14ac:dyDescent="0.25">
      <c r="B365" s="758">
        <v>364</v>
      </c>
      <c r="C365" s="758">
        <v>19100102</v>
      </c>
      <c r="D365" t="s">
        <v>4805</v>
      </c>
      <c r="E365" t="s">
        <v>4625</v>
      </c>
      <c r="F365" s="763">
        <v>43292</v>
      </c>
      <c r="G365" s="759">
        <v>1</v>
      </c>
      <c r="I365" s="758">
        <v>86130</v>
      </c>
      <c r="J365" s="758">
        <v>86108</v>
      </c>
    </row>
    <row r="366" spans="2:10" x14ac:dyDescent="0.25">
      <c r="B366" s="758">
        <v>365</v>
      </c>
      <c r="C366" s="758">
        <v>19100128</v>
      </c>
      <c r="D366" t="s">
        <v>2335</v>
      </c>
      <c r="E366" t="s">
        <v>4625</v>
      </c>
      <c r="F366" s="763">
        <v>43292</v>
      </c>
      <c r="G366" s="759">
        <v>1</v>
      </c>
      <c r="I366" s="758">
        <v>86130</v>
      </c>
      <c r="J366" s="758">
        <v>86130</v>
      </c>
    </row>
    <row r="367" spans="2:10" x14ac:dyDescent="0.25">
      <c r="B367" s="758">
        <v>366</v>
      </c>
      <c r="C367" s="758">
        <v>19100137</v>
      </c>
      <c r="D367" t="s">
        <v>2346</v>
      </c>
      <c r="E367" t="s">
        <v>4625</v>
      </c>
      <c r="F367" s="763">
        <v>43292</v>
      </c>
      <c r="G367" s="759">
        <v>1</v>
      </c>
      <c r="I367" s="758">
        <v>86130</v>
      </c>
      <c r="J367" s="758">
        <v>86108</v>
      </c>
    </row>
    <row r="368" spans="2:10" x14ac:dyDescent="0.25">
      <c r="B368" s="758">
        <v>367</v>
      </c>
      <c r="C368" s="758">
        <v>19100138</v>
      </c>
      <c r="D368" t="s">
        <v>2294</v>
      </c>
      <c r="E368" t="s">
        <v>4624</v>
      </c>
      <c r="F368" s="763">
        <v>43292</v>
      </c>
      <c r="G368" s="759">
        <v>1</v>
      </c>
      <c r="I368" s="758">
        <v>86130</v>
      </c>
      <c r="J368" s="758">
        <v>86130</v>
      </c>
    </row>
    <row r="369" spans="2:10" x14ac:dyDescent="0.25">
      <c r="B369" s="758">
        <v>368</v>
      </c>
      <c r="C369" s="758">
        <v>19100143</v>
      </c>
      <c r="D369" t="s">
        <v>2339</v>
      </c>
      <c r="E369" t="s">
        <v>4624</v>
      </c>
      <c r="F369" s="763">
        <v>43292</v>
      </c>
      <c r="G369" s="759">
        <v>1</v>
      </c>
      <c r="I369" s="758">
        <v>86130</v>
      </c>
      <c r="J369" s="758">
        <v>86108</v>
      </c>
    </row>
    <row r="370" spans="2:10" x14ac:dyDescent="0.25">
      <c r="B370" s="758">
        <v>369</v>
      </c>
      <c r="C370" s="758">
        <v>19100154</v>
      </c>
      <c r="D370" t="s">
        <v>2332</v>
      </c>
      <c r="E370" t="s">
        <v>4624</v>
      </c>
      <c r="F370" s="763">
        <v>43292</v>
      </c>
      <c r="G370" s="759">
        <v>1</v>
      </c>
      <c r="I370" s="758">
        <v>86130</v>
      </c>
      <c r="J370" s="758">
        <v>86130</v>
      </c>
    </row>
    <row r="371" spans="2:10" x14ac:dyDescent="0.25">
      <c r="B371" s="758">
        <v>370</v>
      </c>
      <c r="C371" s="758">
        <v>19100155</v>
      </c>
      <c r="D371" t="s">
        <v>2321</v>
      </c>
      <c r="E371" t="s">
        <v>4624</v>
      </c>
      <c r="F371" s="763">
        <v>43292</v>
      </c>
      <c r="G371" s="759">
        <v>1</v>
      </c>
      <c r="I371" s="758">
        <v>86130</v>
      </c>
      <c r="J371" s="758">
        <v>86130</v>
      </c>
    </row>
    <row r="372" spans="2:10" x14ac:dyDescent="0.25">
      <c r="B372" s="758">
        <v>371</v>
      </c>
      <c r="C372" s="758">
        <v>19100160</v>
      </c>
      <c r="D372" t="s">
        <v>2331</v>
      </c>
      <c r="E372" t="s">
        <v>4624</v>
      </c>
      <c r="F372" s="763">
        <v>43292</v>
      </c>
      <c r="G372" s="759">
        <v>1</v>
      </c>
      <c r="I372" s="758">
        <v>86130</v>
      </c>
      <c r="J372" s="758">
        <v>60102</v>
      </c>
    </row>
    <row r="373" spans="2:10" x14ac:dyDescent="0.25">
      <c r="B373" s="758">
        <v>372</v>
      </c>
      <c r="C373" s="758">
        <v>19100176</v>
      </c>
      <c r="D373" t="s">
        <v>2329</v>
      </c>
      <c r="E373" t="s">
        <v>4625</v>
      </c>
      <c r="F373" s="763">
        <v>43292</v>
      </c>
      <c r="G373" s="759">
        <v>1</v>
      </c>
      <c r="I373" s="758">
        <v>86130</v>
      </c>
      <c r="J373" s="758">
        <v>86108</v>
      </c>
    </row>
    <row r="374" spans="2:10" x14ac:dyDescent="0.25">
      <c r="B374" s="758">
        <v>373</v>
      </c>
      <c r="C374" s="758">
        <v>19100189</v>
      </c>
      <c r="D374" t="s">
        <v>2330</v>
      </c>
      <c r="E374" t="s">
        <v>4624</v>
      </c>
      <c r="F374" s="763">
        <v>43292</v>
      </c>
      <c r="G374" s="759">
        <v>1</v>
      </c>
      <c r="I374" s="758">
        <v>86130</v>
      </c>
      <c r="J374" s="758">
        <v>86130</v>
      </c>
    </row>
    <row r="375" spans="2:10" x14ac:dyDescent="0.25">
      <c r="B375" s="758">
        <v>374</v>
      </c>
      <c r="C375" s="758">
        <v>19100200</v>
      </c>
      <c r="D375" t="s">
        <v>2334</v>
      </c>
      <c r="E375" t="s">
        <v>4625</v>
      </c>
      <c r="F375" s="763">
        <v>43292</v>
      </c>
      <c r="G375" s="759">
        <v>1</v>
      </c>
      <c r="I375" s="758">
        <v>86130</v>
      </c>
      <c r="J375" s="758">
        <v>86130</v>
      </c>
    </row>
    <row r="376" spans="2:10" x14ac:dyDescent="0.25">
      <c r="B376" s="758">
        <v>375</v>
      </c>
      <c r="C376" s="758">
        <v>19100201</v>
      </c>
      <c r="D376" t="s">
        <v>2319</v>
      </c>
      <c r="E376" t="s">
        <v>4624</v>
      </c>
      <c r="F376" s="763">
        <v>43292</v>
      </c>
      <c r="G376" s="759">
        <v>1</v>
      </c>
      <c r="I376" s="758">
        <v>86130</v>
      </c>
      <c r="J376" s="758">
        <v>86132</v>
      </c>
    </row>
    <row r="377" spans="2:10" x14ac:dyDescent="0.25">
      <c r="B377" s="758">
        <v>376</v>
      </c>
      <c r="C377" s="758">
        <v>19100211</v>
      </c>
      <c r="D377" t="s">
        <v>2291</v>
      </c>
      <c r="E377" t="s">
        <v>4625</v>
      </c>
      <c r="F377" s="763">
        <v>43292</v>
      </c>
      <c r="G377" s="759">
        <v>1</v>
      </c>
      <c r="I377" s="758">
        <v>86130</v>
      </c>
      <c r="J377" s="758">
        <v>86108</v>
      </c>
    </row>
    <row r="378" spans="2:10" x14ac:dyDescent="0.25">
      <c r="B378" s="758">
        <v>377</v>
      </c>
      <c r="C378" s="758">
        <v>19100212</v>
      </c>
      <c r="D378" t="s">
        <v>2349</v>
      </c>
      <c r="E378" t="s">
        <v>4625</v>
      </c>
      <c r="F378" s="763">
        <v>43292</v>
      </c>
      <c r="G378" s="759">
        <v>1</v>
      </c>
      <c r="I378" s="758">
        <v>86130</v>
      </c>
      <c r="J378" s="758">
        <v>86130</v>
      </c>
    </row>
    <row r="379" spans="2:10" x14ac:dyDescent="0.25">
      <c r="B379" s="758">
        <v>378</v>
      </c>
      <c r="C379" s="758">
        <v>19100223</v>
      </c>
      <c r="D379" t="s">
        <v>2318</v>
      </c>
      <c r="E379" t="s">
        <v>4625</v>
      </c>
      <c r="F379" s="763">
        <v>43292</v>
      </c>
      <c r="G379" s="759">
        <v>1</v>
      </c>
      <c r="I379" s="758">
        <v>86130</v>
      </c>
      <c r="J379" s="758">
        <v>86108</v>
      </c>
    </row>
    <row r="380" spans="2:10" x14ac:dyDescent="0.25">
      <c r="B380" s="758">
        <v>379</v>
      </c>
      <c r="C380" s="758">
        <v>19100226</v>
      </c>
      <c r="D380" t="s">
        <v>2317</v>
      </c>
      <c r="E380" t="s">
        <v>4625</v>
      </c>
      <c r="F380" s="763">
        <v>43292</v>
      </c>
      <c r="G380" s="759">
        <v>1</v>
      </c>
      <c r="I380" s="758">
        <v>86130</v>
      </c>
      <c r="J380" s="758">
        <v>60102</v>
      </c>
    </row>
    <row r="381" spans="2:10" x14ac:dyDescent="0.25">
      <c r="B381" s="758">
        <v>380</v>
      </c>
      <c r="C381" s="758">
        <v>19100229</v>
      </c>
      <c r="D381" t="s">
        <v>2359</v>
      </c>
      <c r="E381" t="s">
        <v>4625</v>
      </c>
      <c r="F381" s="763">
        <v>43292</v>
      </c>
      <c r="G381" s="759">
        <v>1</v>
      </c>
      <c r="I381" s="758">
        <v>86130</v>
      </c>
      <c r="J381" s="758">
        <v>86108</v>
      </c>
    </row>
    <row r="382" spans="2:10" x14ac:dyDescent="0.25">
      <c r="B382" s="758">
        <v>381</v>
      </c>
      <c r="C382" s="758">
        <v>19100239</v>
      </c>
      <c r="D382" t="s">
        <v>2320</v>
      </c>
      <c r="E382" t="s">
        <v>4625</v>
      </c>
      <c r="F382" s="763">
        <v>43292</v>
      </c>
      <c r="G382" s="759">
        <v>1</v>
      </c>
      <c r="I382" s="758">
        <v>86130</v>
      </c>
      <c r="J382" s="758">
        <v>86108</v>
      </c>
    </row>
    <row r="383" spans="2:10" x14ac:dyDescent="0.25">
      <c r="B383" s="758">
        <v>382</v>
      </c>
      <c r="C383" s="758">
        <v>19100247</v>
      </c>
      <c r="D383" t="s">
        <v>2324</v>
      </c>
      <c r="E383" t="s">
        <v>4625</v>
      </c>
      <c r="F383" s="763">
        <v>43292</v>
      </c>
      <c r="G383" s="759">
        <v>1</v>
      </c>
      <c r="I383" s="758">
        <v>86130</v>
      </c>
      <c r="J383" s="758">
        <v>86130</v>
      </c>
    </row>
    <row r="384" spans="2:10" x14ac:dyDescent="0.25">
      <c r="B384" s="758">
        <v>383</v>
      </c>
      <c r="C384" s="758">
        <v>19100249</v>
      </c>
      <c r="D384" t="s">
        <v>2351</v>
      </c>
      <c r="E384" t="s">
        <v>4624</v>
      </c>
      <c r="F384" s="763">
        <v>43292</v>
      </c>
      <c r="G384" s="759">
        <v>1</v>
      </c>
      <c r="I384" s="758">
        <v>86130</v>
      </c>
      <c r="J384" s="758">
        <v>86130</v>
      </c>
    </row>
    <row r="385" spans="2:10" x14ac:dyDescent="0.25">
      <c r="B385" s="758">
        <v>384</v>
      </c>
      <c r="C385" s="758">
        <v>19100262</v>
      </c>
      <c r="D385" t="s">
        <v>2348</v>
      </c>
      <c r="E385" t="s">
        <v>4624</v>
      </c>
      <c r="F385" s="763">
        <v>43292</v>
      </c>
      <c r="G385" s="759">
        <v>1</v>
      </c>
      <c r="I385" s="758">
        <v>86130</v>
      </c>
      <c r="J385" s="758">
        <v>86108</v>
      </c>
    </row>
    <row r="386" spans="2:10" x14ac:dyDescent="0.25">
      <c r="B386" s="758">
        <v>385</v>
      </c>
      <c r="C386" s="758">
        <v>19100265</v>
      </c>
      <c r="D386" t="s">
        <v>2344</v>
      </c>
      <c r="E386" t="s">
        <v>4624</v>
      </c>
      <c r="F386" s="763">
        <v>43292</v>
      </c>
      <c r="G386" s="759">
        <v>1</v>
      </c>
      <c r="I386" s="758">
        <v>86130</v>
      </c>
      <c r="J386" s="758">
        <v>88104</v>
      </c>
    </row>
    <row r="387" spans="2:10" x14ac:dyDescent="0.25">
      <c r="B387" s="758">
        <v>386</v>
      </c>
      <c r="C387" s="758">
        <v>19100279</v>
      </c>
      <c r="D387" t="s">
        <v>2280</v>
      </c>
      <c r="E387" t="s">
        <v>4625</v>
      </c>
      <c r="F387" s="763">
        <v>43292</v>
      </c>
      <c r="G387" s="759">
        <v>1</v>
      </c>
      <c r="I387" s="758">
        <v>86130</v>
      </c>
      <c r="J387" s="758">
        <v>86130</v>
      </c>
    </row>
    <row r="388" spans="2:10" x14ac:dyDescent="0.25">
      <c r="B388" s="758">
        <v>387</v>
      </c>
      <c r="C388" s="758">
        <v>19100289</v>
      </c>
      <c r="D388" t="s">
        <v>2289</v>
      </c>
      <c r="E388" t="s">
        <v>4625</v>
      </c>
      <c r="F388" s="763">
        <v>43292</v>
      </c>
      <c r="G388" s="759">
        <v>1</v>
      </c>
      <c r="I388" s="758">
        <v>86130</v>
      </c>
      <c r="J388" s="758">
        <v>86132</v>
      </c>
    </row>
    <row r="389" spans="2:10" x14ac:dyDescent="0.25">
      <c r="B389" s="758">
        <v>388</v>
      </c>
      <c r="C389" s="758">
        <v>19100294</v>
      </c>
      <c r="D389" t="s">
        <v>2325</v>
      </c>
      <c r="E389" t="s">
        <v>4625</v>
      </c>
      <c r="F389" s="763">
        <v>43292</v>
      </c>
      <c r="G389" s="759">
        <v>1</v>
      </c>
      <c r="I389" s="758">
        <v>86130</v>
      </c>
      <c r="J389" s="758">
        <v>86130</v>
      </c>
    </row>
    <row r="390" spans="2:10" x14ac:dyDescent="0.25">
      <c r="B390" s="758">
        <v>389</v>
      </c>
      <c r="C390" s="758">
        <v>19100296</v>
      </c>
      <c r="D390" t="s">
        <v>2283</v>
      </c>
      <c r="E390" t="s">
        <v>4624</v>
      </c>
      <c r="F390" s="763">
        <v>43292</v>
      </c>
      <c r="G390" s="759">
        <v>1</v>
      </c>
      <c r="I390" s="758">
        <v>86130</v>
      </c>
      <c r="J390" s="758">
        <v>86108</v>
      </c>
    </row>
    <row r="391" spans="2:10" x14ac:dyDescent="0.25">
      <c r="B391" s="758">
        <v>390</v>
      </c>
      <c r="C391" s="758">
        <v>19100304</v>
      </c>
      <c r="D391" t="s">
        <v>2497</v>
      </c>
      <c r="E391" t="s">
        <v>4624</v>
      </c>
      <c r="F391" s="763">
        <v>43292</v>
      </c>
      <c r="G391" s="759">
        <v>1</v>
      </c>
      <c r="I391" s="758">
        <v>86130</v>
      </c>
      <c r="J391" s="758">
        <v>86108</v>
      </c>
    </row>
    <row r="392" spans="2:10" x14ac:dyDescent="0.25">
      <c r="B392" s="758">
        <v>391</v>
      </c>
      <c r="C392" s="758">
        <v>19100320</v>
      </c>
      <c r="D392" t="s">
        <v>2293</v>
      </c>
      <c r="E392" t="s">
        <v>4624</v>
      </c>
      <c r="F392" s="763">
        <v>43292</v>
      </c>
      <c r="G392" s="759">
        <v>1</v>
      </c>
      <c r="I392" s="758">
        <v>86130</v>
      </c>
      <c r="J392" s="758">
        <v>86108</v>
      </c>
    </row>
    <row r="393" spans="2:10" x14ac:dyDescent="0.25">
      <c r="B393" s="758">
        <v>392</v>
      </c>
      <c r="C393" s="758">
        <v>19100061</v>
      </c>
      <c r="D393" t="s">
        <v>2322</v>
      </c>
      <c r="E393" t="s">
        <v>4624</v>
      </c>
      <c r="F393" s="763">
        <v>43292</v>
      </c>
      <c r="G393" s="759">
        <v>1</v>
      </c>
      <c r="I393" s="758">
        <v>86130</v>
      </c>
      <c r="J393" s="758">
        <v>86130</v>
      </c>
    </row>
    <row r="394" spans="2:10" x14ac:dyDescent="0.25">
      <c r="B394" s="758">
        <v>393</v>
      </c>
      <c r="C394" s="758">
        <v>19100245</v>
      </c>
      <c r="D394" t="s">
        <v>2323</v>
      </c>
      <c r="E394" t="s">
        <v>4625</v>
      </c>
      <c r="F394" s="763">
        <v>43292</v>
      </c>
      <c r="G394" s="759">
        <v>1</v>
      </c>
      <c r="I394" s="758">
        <v>86130</v>
      </c>
      <c r="J394" s="758">
        <v>86132</v>
      </c>
    </row>
    <row r="395" spans="2:10" x14ac:dyDescent="0.25">
      <c r="B395" s="758">
        <v>394</v>
      </c>
      <c r="C395" s="758">
        <v>19100183</v>
      </c>
      <c r="D395" t="s">
        <v>2326</v>
      </c>
      <c r="E395" t="s">
        <v>4625</v>
      </c>
      <c r="F395" s="763">
        <v>43292</v>
      </c>
      <c r="G395" s="759">
        <v>1</v>
      </c>
      <c r="I395" s="758">
        <v>86130</v>
      </c>
      <c r="J395" s="758">
        <v>86108</v>
      </c>
    </row>
    <row r="396" spans="2:10" x14ac:dyDescent="0.25">
      <c r="B396" s="758">
        <v>395</v>
      </c>
      <c r="C396" s="758">
        <v>19100055</v>
      </c>
      <c r="D396" t="s">
        <v>2282</v>
      </c>
      <c r="E396" t="s">
        <v>4624</v>
      </c>
      <c r="F396" s="763">
        <v>43292</v>
      </c>
      <c r="G396" s="759">
        <v>1</v>
      </c>
      <c r="I396" s="758">
        <v>86130</v>
      </c>
      <c r="J396" s="758">
        <v>86108</v>
      </c>
    </row>
    <row r="397" spans="2:10" x14ac:dyDescent="0.25">
      <c r="B397" s="758">
        <v>396</v>
      </c>
      <c r="C397" s="758">
        <v>19100291</v>
      </c>
      <c r="D397" t="s">
        <v>2494</v>
      </c>
      <c r="E397" t="s">
        <v>4625</v>
      </c>
      <c r="F397" s="763">
        <v>43292</v>
      </c>
      <c r="I397" s="758">
        <v>86130</v>
      </c>
      <c r="J397" s="758">
        <v>86108</v>
      </c>
    </row>
    <row r="398" spans="2:10" x14ac:dyDescent="0.25">
      <c r="B398" s="758">
        <v>397</v>
      </c>
      <c r="C398" s="758">
        <v>19100026</v>
      </c>
      <c r="D398" t="s">
        <v>2284</v>
      </c>
      <c r="E398" t="s">
        <v>4624</v>
      </c>
      <c r="F398" s="763">
        <v>43292</v>
      </c>
      <c r="I398" s="758">
        <v>86130</v>
      </c>
      <c r="J398" s="758">
        <v>86130</v>
      </c>
    </row>
    <row r="399" spans="2:10" x14ac:dyDescent="0.25">
      <c r="B399" s="758">
        <v>398</v>
      </c>
      <c r="C399" s="758">
        <v>19100007</v>
      </c>
      <c r="D399" t="s">
        <v>2436</v>
      </c>
      <c r="E399" t="s">
        <v>4624</v>
      </c>
      <c r="F399" s="763">
        <v>43292</v>
      </c>
      <c r="I399" s="758">
        <v>86130</v>
      </c>
      <c r="J399" s="758">
        <v>88104</v>
      </c>
    </row>
    <row r="400" spans="2:10" x14ac:dyDescent="0.25">
      <c r="B400" s="758">
        <v>399</v>
      </c>
      <c r="C400" s="758">
        <v>19000000068</v>
      </c>
      <c r="D400" t="s">
        <v>4806</v>
      </c>
      <c r="E400" t="s">
        <v>4624</v>
      </c>
      <c r="F400" s="763">
        <v>43292</v>
      </c>
      <c r="G400" s="759" t="s">
        <v>783</v>
      </c>
      <c r="I400" s="758">
        <v>86130</v>
      </c>
      <c r="J400" s="758">
        <v>86108</v>
      </c>
    </row>
    <row r="401" spans="2:10" x14ac:dyDescent="0.25">
      <c r="B401" s="758">
        <v>400</v>
      </c>
      <c r="C401" s="758">
        <v>19000000075</v>
      </c>
      <c r="D401" t="s">
        <v>2724</v>
      </c>
      <c r="E401" t="s">
        <v>4624</v>
      </c>
      <c r="F401" s="763">
        <v>43292</v>
      </c>
      <c r="G401" s="759" t="s">
        <v>783</v>
      </c>
      <c r="I401" s="758">
        <v>86130</v>
      </c>
      <c r="J401" s="758">
        <v>86108</v>
      </c>
    </row>
    <row r="402" spans="2:10" x14ac:dyDescent="0.25">
      <c r="B402" s="758">
        <v>401</v>
      </c>
      <c r="C402" s="758">
        <v>19100024</v>
      </c>
      <c r="D402" t="s">
        <v>2704</v>
      </c>
      <c r="E402" t="s">
        <v>4624</v>
      </c>
      <c r="F402" s="763">
        <v>43292</v>
      </c>
      <c r="G402" s="759" t="s">
        <v>783</v>
      </c>
      <c r="I402" s="758">
        <v>86130</v>
      </c>
      <c r="J402" s="758">
        <v>86130</v>
      </c>
    </row>
    <row r="403" spans="2:10" x14ac:dyDescent="0.25">
      <c r="B403" s="758">
        <v>402</v>
      </c>
      <c r="C403" s="758">
        <v>19100027</v>
      </c>
      <c r="D403" t="s">
        <v>4807</v>
      </c>
      <c r="E403" t="s">
        <v>4624</v>
      </c>
      <c r="F403" s="763">
        <v>43292</v>
      </c>
      <c r="G403" s="759" t="s">
        <v>783</v>
      </c>
      <c r="I403" s="758">
        <v>86130</v>
      </c>
      <c r="J403" s="758">
        <v>86132</v>
      </c>
    </row>
    <row r="404" spans="2:10" x14ac:dyDescent="0.25">
      <c r="B404" s="758">
        <v>403</v>
      </c>
      <c r="C404" s="758">
        <v>19100079</v>
      </c>
      <c r="D404" t="s">
        <v>4808</v>
      </c>
      <c r="E404" t="s">
        <v>4625</v>
      </c>
      <c r="F404" s="763">
        <v>43292</v>
      </c>
      <c r="G404" s="759" t="s">
        <v>783</v>
      </c>
      <c r="I404" s="758">
        <v>86130</v>
      </c>
      <c r="J404" s="758">
        <v>86130</v>
      </c>
    </row>
    <row r="405" spans="2:10" x14ac:dyDescent="0.25">
      <c r="B405" s="758">
        <v>404</v>
      </c>
      <c r="C405" s="758">
        <v>19100133</v>
      </c>
      <c r="D405" t="s">
        <v>4809</v>
      </c>
      <c r="E405" t="s">
        <v>4625</v>
      </c>
      <c r="F405" s="763">
        <v>43292</v>
      </c>
      <c r="G405" s="759" t="s">
        <v>783</v>
      </c>
      <c r="I405" s="758">
        <v>86130</v>
      </c>
    </row>
    <row r="406" spans="2:10" x14ac:dyDescent="0.25">
      <c r="B406" s="758">
        <v>405</v>
      </c>
      <c r="C406" s="758">
        <v>19100185</v>
      </c>
      <c r="D406" t="s">
        <v>4810</v>
      </c>
      <c r="E406" t="s">
        <v>4625</v>
      </c>
      <c r="F406" s="763">
        <v>43292</v>
      </c>
      <c r="G406" s="759" t="s">
        <v>783</v>
      </c>
      <c r="I406" s="758">
        <v>86130</v>
      </c>
      <c r="J406" s="758">
        <v>86108</v>
      </c>
    </row>
    <row r="407" spans="2:10" x14ac:dyDescent="0.25">
      <c r="B407" s="758">
        <v>406</v>
      </c>
      <c r="C407" s="758">
        <v>19100273</v>
      </c>
      <c r="D407" t="s">
        <v>4811</v>
      </c>
      <c r="E407" t="s">
        <v>4625</v>
      </c>
      <c r="F407" s="763">
        <v>43292</v>
      </c>
      <c r="G407" s="759" t="s">
        <v>783</v>
      </c>
      <c r="I407" s="758">
        <v>86130</v>
      </c>
      <c r="J407" s="758">
        <v>86130</v>
      </c>
    </row>
    <row r="408" spans="2:10" x14ac:dyDescent="0.25">
      <c r="B408" s="758">
        <v>407</v>
      </c>
      <c r="C408" s="758">
        <v>19100302</v>
      </c>
      <c r="D408" t="s">
        <v>4812</v>
      </c>
      <c r="E408" t="s">
        <v>4624</v>
      </c>
      <c r="F408" s="763">
        <v>43292</v>
      </c>
      <c r="G408" s="759" t="s">
        <v>783</v>
      </c>
      <c r="I408" s="758">
        <v>86130</v>
      </c>
      <c r="J408" s="758">
        <v>86130</v>
      </c>
    </row>
    <row r="409" spans="2:10" x14ac:dyDescent="0.25">
      <c r="B409" s="758">
        <v>408</v>
      </c>
      <c r="C409" s="758">
        <v>19000000017</v>
      </c>
      <c r="D409" t="s">
        <v>2474</v>
      </c>
      <c r="E409" t="s">
        <v>4625</v>
      </c>
      <c r="F409" s="763">
        <v>43292</v>
      </c>
      <c r="G409" s="759">
        <v>1</v>
      </c>
      <c r="I409" s="758">
        <v>86132</v>
      </c>
      <c r="J409" s="758">
        <v>86130</v>
      </c>
    </row>
    <row r="410" spans="2:10" x14ac:dyDescent="0.25">
      <c r="B410" s="758">
        <v>409</v>
      </c>
      <c r="C410" s="758">
        <v>19000000038</v>
      </c>
      <c r="D410" t="s">
        <v>2490</v>
      </c>
      <c r="E410" t="s">
        <v>4624</v>
      </c>
      <c r="F410" s="763">
        <v>43292</v>
      </c>
      <c r="G410" s="759">
        <v>1</v>
      </c>
      <c r="I410" s="758">
        <v>86132</v>
      </c>
    </row>
    <row r="411" spans="2:10" x14ac:dyDescent="0.25">
      <c r="B411" s="758">
        <v>410</v>
      </c>
      <c r="C411" s="758">
        <v>19000000062</v>
      </c>
      <c r="D411" t="s">
        <v>2485</v>
      </c>
      <c r="E411" t="s">
        <v>4625</v>
      </c>
      <c r="F411" s="763">
        <v>43292</v>
      </c>
      <c r="G411" s="759">
        <v>1</v>
      </c>
      <c r="I411" s="758">
        <v>86132</v>
      </c>
      <c r="J411" s="758">
        <v>86132</v>
      </c>
    </row>
    <row r="412" spans="2:10" x14ac:dyDescent="0.25">
      <c r="B412" s="758">
        <v>411</v>
      </c>
      <c r="C412" s="758">
        <v>19100023</v>
      </c>
      <c r="D412" t="s">
        <v>2488</v>
      </c>
      <c r="E412" t="s">
        <v>4624</v>
      </c>
      <c r="F412" s="763">
        <v>43292</v>
      </c>
      <c r="G412" s="759">
        <v>1</v>
      </c>
      <c r="I412" s="758">
        <v>86132</v>
      </c>
      <c r="J412" s="758">
        <v>86132</v>
      </c>
    </row>
    <row r="413" spans="2:10" x14ac:dyDescent="0.25">
      <c r="B413" s="758">
        <v>412</v>
      </c>
      <c r="C413" s="758">
        <v>19100041</v>
      </c>
      <c r="D413" t="s">
        <v>2473</v>
      </c>
      <c r="E413" t="s">
        <v>4624</v>
      </c>
      <c r="F413" s="763">
        <v>43292</v>
      </c>
      <c r="G413" s="759">
        <v>1</v>
      </c>
      <c r="I413" s="758">
        <v>86132</v>
      </c>
      <c r="J413" s="758">
        <v>86108</v>
      </c>
    </row>
    <row r="414" spans="2:10" x14ac:dyDescent="0.25">
      <c r="B414" s="758">
        <v>413</v>
      </c>
      <c r="C414" s="758">
        <v>19100049</v>
      </c>
      <c r="D414" t="s">
        <v>2476</v>
      </c>
      <c r="E414" t="s">
        <v>4624</v>
      </c>
      <c r="F414" s="763">
        <v>43292</v>
      </c>
      <c r="G414" s="759">
        <v>1</v>
      </c>
      <c r="I414" s="758">
        <v>86132</v>
      </c>
      <c r="J414" s="758">
        <v>86108</v>
      </c>
    </row>
    <row r="415" spans="2:10" x14ac:dyDescent="0.25">
      <c r="B415" s="758">
        <v>414</v>
      </c>
      <c r="C415" s="758">
        <v>19100052</v>
      </c>
      <c r="D415" t="s">
        <v>2475</v>
      </c>
      <c r="E415" t="s">
        <v>4624</v>
      </c>
      <c r="F415" s="763">
        <v>43292</v>
      </c>
      <c r="G415" s="759">
        <v>1</v>
      </c>
      <c r="I415" s="758">
        <v>86132</v>
      </c>
      <c r="J415" s="758">
        <v>86108</v>
      </c>
    </row>
    <row r="416" spans="2:10" x14ac:dyDescent="0.25">
      <c r="B416" s="758">
        <v>415</v>
      </c>
      <c r="C416" s="758">
        <v>19100063</v>
      </c>
      <c r="D416" t="s">
        <v>2479</v>
      </c>
      <c r="E416" t="s">
        <v>4624</v>
      </c>
      <c r="F416" s="763">
        <v>43292</v>
      </c>
      <c r="G416" s="759">
        <v>1</v>
      </c>
      <c r="I416" s="758">
        <v>86132</v>
      </c>
      <c r="J416" s="758">
        <v>86108</v>
      </c>
    </row>
    <row r="417" spans="2:10" x14ac:dyDescent="0.25">
      <c r="B417" s="758">
        <v>416</v>
      </c>
      <c r="C417" s="758">
        <v>19100076</v>
      </c>
      <c r="D417" t="s">
        <v>2483</v>
      </c>
      <c r="E417" t="s">
        <v>4624</v>
      </c>
      <c r="F417" s="763">
        <v>43292</v>
      </c>
      <c r="G417" s="759">
        <v>1</v>
      </c>
      <c r="I417" s="758">
        <v>86132</v>
      </c>
      <c r="J417" s="758">
        <v>86108</v>
      </c>
    </row>
    <row r="418" spans="2:10" x14ac:dyDescent="0.25">
      <c r="B418" s="758">
        <v>417</v>
      </c>
      <c r="C418" s="758">
        <v>19100080</v>
      </c>
      <c r="D418" t="s">
        <v>2481</v>
      </c>
      <c r="E418" t="s">
        <v>4624</v>
      </c>
      <c r="F418" s="763">
        <v>43292</v>
      </c>
      <c r="G418" s="759">
        <v>1</v>
      </c>
      <c r="I418" s="758">
        <v>86132</v>
      </c>
      <c r="J418" s="758">
        <v>86130</v>
      </c>
    </row>
    <row r="419" spans="2:10" x14ac:dyDescent="0.25">
      <c r="B419" s="758">
        <v>418</v>
      </c>
      <c r="C419" s="758">
        <v>19100130</v>
      </c>
      <c r="D419" t="s">
        <v>2480</v>
      </c>
      <c r="E419" t="s">
        <v>4624</v>
      </c>
      <c r="F419" s="763">
        <v>43292</v>
      </c>
      <c r="G419" s="759">
        <v>1</v>
      </c>
      <c r="I419" s="758">
        <v>86132</v>
      </c>
      <c r="J419" s="758">
        <v>86132</v>
      </c>
    </row>
    <row r="420" spans="2:10" x14ac:dyDescent="0.25">
      <c r="B420" s="758">
        <v>419</v>
      </c>
      <c r="C420" s="758">
        <v>19100131</v>
      </c>
      <c r="D420" t="s">
        <v>2487</v>
      </c>
      <c r="E420" t="s">
        <v>4624</v>
      </c>
      <c r="F420" s="763">
        <v>43292</v>
      </c>
      <c r="G420" s="759">
        <v>1</v>
      </c>
      <c r="I420" s="758">
        <v>86132</v>
      </c>
      <c r="J420" s="758">
        <v>86132</v>
      </c>
    </row>
    <row r="421" spans="2:10" x14ac:dyDescent="0.25">
      <c r="B421" s="758">
        <v>420</v>
      </c>
      <c r="C421" s="758">
        <v>19100150</v>
      </c>
      <c r="D421" t="s">
        <v>2486</v>
      </c>
      <c r="E421" t="s">
        <v>4624</v>
      </c>
      <c r="F421" s="763">
        <v>43292</v>
      </c>
      <c r="G421" s="759">
        <v>1</v>
      </c>
      <c r="I421" s="758">
        <v>86132</v>
      </c>
      <c r="J421" s="758">
        <v>86132</v>
      </c>
    </row>
    <row r="422" spans="2:10" x14ac:dyDescent="0.25">
      <c r="B422" s="758">
        <v>421</v>
      </c>
      <c r="C422" s="758">
        <v>19100156</v>
      </c>
      <c r="D422" t="s">
        <v>2477</v>
      </c>
      <c r="E422" t="s">
        <v>4625</v>
      </c>
      <c r="F422" s="763">
        <v>43292</v>
      </c>
      <c r="G422" s="759">
        <v>1</v>
      </c>
      <c r="I422" s="758">
        <v>86132</v>
      </c>
      <c r="J422" s="758">
        <v>86132</v>
      </c>
    </row>
    <row r="423" spans="2:10" x14ac:dyDescent="0.25">
      <c r="B423" s="758">
        <v>422</v>
      </c>
      <c r="C423" s="758">
        <v>19100171</v>
      </c>
      <c r="D423" t="s">
        <v>2478</v>
      </c>
      <c r="E423" t="s">
        <v>4624</v>
      </c>
      <c r="F423" s="763">
        <v>43292</v>
      </c>
      <c r="G423" s="759">
        <v>1</v>
      </c>
      <c r="I423" s="758">
        <v>86132</v>
      </c>
      <c r="J423" s="758">
        <v>86132</v>
      </c>
    </row>
    <row r="424" spans="2:10" x14ac:dyDescent="0.25">
      <c r="B424" s="758">
        <v>423</v>
      </c>
      <c r="C424" s="758">
        <v>19100182</v>
      </c>
      <c r="D424" t="s">
        <v>2489</v>
      </c>
      <c r="E424" t="s">
        <v>4624</v>
      </c>
      <c r="F424" s="763">
        <v>43292</v>
      </c>
      <c r="G424" s="759">
        <v>1</v>
      </c>
      <c r="I424" s="758">
        <v>86132</v>
      </c>
      <c r="J424" s="758">
        <v>86132</v>
      </c>
    </row>
    <row r="425" spans="2:10" x14ac:dyDescent="0.25">
      <c r="B425" s="758">
        <v>424</v>
      </c>
      <c r="C425" s="758">
        <v>19100203</v>
      </c>
      <c r="D425" t="s">
        <v>2491</v>
      </c>
      <c r="E425" t="s">
        <v>4624</v>
      </c>
      <c r="F425" s="763">
        <v>43292</v>
      </c>
      <c r="G425" s="759">
        <v>1</v>
      </c>
      <c r="I425" s="758">
        <v>86132</v>
      </c>
      <c r="J425" s="758">
        <v>86130</v>
      </c>
    </row>
    <row r="426" spans="2:10" x14ac:dyDescent="0.25">
      <c r="B426" s="758">
        <v>425</v>
      </c>
      <c r="C426" s="758">
        <v>19100306</v>
      </c>
      <c r="D426" t="s">
        <v>2484</v>
      </c>
      <c r="E426" t="s">
        <v>4624</v>
      </c>
      <c r="F426" s="763">
        <v>43292</v>
      </c>
      <c r="G426" s="759">
        <v>1</v>
      </c>
      <c r="I426" s="758">
        <v>86132</v>
      </c>
      <c r="J426" s="758">
        <v>86132</v>
      </c>
    </row>
    <row r="427" spans="2:10" x14ac:dyDescent="0.25">
      <c r="B427" s="758">
        <v>426</v>
      </c>
      <c r="C427" s="758">
        <v>19100140</v>
      </c>
      <c r="D427" t="s">
        <v>1736</v>
      </c>
      <c r="E427" t="s">
        <v>4625</v>
      </c>
      <c r="F427" s="763">
        <v>43292</v>
      </c>
      <c r="G427" s="759">
        <v>1</v>
      </c>
      <c r="I427" s="758">
        <v>86132</v>
      </c>
      <c r="J427" s="758">
        <v>86130</v>
      </c>
    </row>
    <row r="428" spans="2:10" x14ac:dyDescent="0.25">
      <c r="B428" s="758">
        <v>427</v>
      </c>
      <c r="C428" s="758">
        <v>19100197</v>
      </c>
      <c r="D428" t="s">
        <v>4813</v>
      </c>
      <c r="E428" t="s">
        <v>4624</v>
      </c>
      <c r="F428" s="763">
        <v>43292</v>
      </c>
      <c r="G428" s="759" t="s">
        <v>783</v>
      </c>
      <c r="I428" s="758">
        <v>86132</v>
      </c>
      <c r="J428" s="758">
        <v>86132</v>
      </c>
    </row>
    <row r="429" spans="2:10" x14ac:dyDescent="0.25">
      <c r="B429" s="758">
        <v>428</v>
      </c>
      <c r="C429" s="758">
        <v>19000000047</v>
      </c>
      <c r="D429" t="s">
        <v>2438</v>
      </c>
      <c r="E429" t="s">
        <v>4624</v>
      </c>
      <c r="F429" s="763">
        <v>43292</v>
      </c>
      <c r="G429" s="759">
        <v>1</v>
      </c>
      <c r="I429" s="758">
        <v>88104</v>
      </c>
      <c r="J429" s="758">
        <v>88104</v>
      </c>
    </row>
    <row r="430" spans="2:10" x14ac:dyDescent="0.25">
      <c r="B430" s="758">
        <v>429</v>
      </c>
      <c r="C430" s="758">
        <v>19000000073</v>
      </c>
      <c r="D430" t="s">
        <v>2431</v>
      </c>
      <c r="E430" t="s">
        <v>4624</v>
      </c>
      <c r="F430" s="763">
        <v>43292</v>
      </c>
      <c r="G430" s="759">
        <v>1</v>
      </c>
      <c r="I430" s="758">
        <v>88104</v>
      </c>
      <c r="J430" s="758">
        <v>86132</v>
      </c>
    </row>
    <row r="431" spans="2:10" x14ac:dyDescent="0.25">
      <c r="B431" s="758">
        <v>430</v>
      </c>
      <c r="C431" s="758">
        <v>19000000083</v>
      </c>
      <c r="D431" t="s">
        <v>2437</v>
      </c>
      <c r="E431" t="s">
        <v>4624</v>
      </c>
      <c r="F431" s="763">
        <v>43292</v>
      </c>
      <c r="G431" s="759">
        <v>1</v>
      </c>
      <c r="I431" s="758">
        <v>88104</v>
      </c>
      <c r="J431" s="758">
        <v>88104</v>
      </c>
    </row>
    <row r="432" spans="2:10" x14ac:dyDescent="0.25">
      <c r="B432" s="758">
        <v>431</v>
      </c>
      <c r="C432" s="758">
        <v>19100021</v>
      </c>
      <c r="D432" t="s">
        <v>2429</v>
      </c>
      <c r="E432" t="s">
        <v>4625</v>
      </c>
      <c r="F432" s="763">
        <v>43292</v>
      </c>
      <c r="G432" s="759">
        <v>1</v>
      </c>
      <c r="I432" s="758">
        <v>88104</v>
      </c>
      <c r="J432" s="758">
        <v>86130</v>
      </c>
    </row>
    <row r="433" spans="2:10" x14ac:dyDescent="0.25">
      <c r="B433" s="758">
        <v>432</v>
      </c>
      <c r="C433" s="758">
        <v>19100039</v>
      </c>
      <c r="D433" t="s">
        <v>2435</v>
      </c>
      <c r="E433" t="s">
        <v>4624</v>
      </c>
      <c r="F433" s="763">
        <v>43292</v>
      </c>
      <c r="G433" s="759">
        <v>1</v>
      </c>
      <c r="I433" s="758">
        <v>88104</v>
      </c>
      <c r="J433" s="758">
        <v>88104</v>
      </c>
    </row>
    <row r="434" spans="2:10" x14ac:dyDescent="0.25">
      <c r="B434" s="758">
        <v>433</v>
      </c>
      <c r="C434" s="758">
        <v>19100115</v>
      </c>
      <c r="D434" t="s">
        <v>2434</v>
      </c>
      <c r="E434" t="s">
        <v>4624</v>
      </c>
      <c r="F434" s="763">
        <v>43292</v>
      </c>
      <c r="G434" s="759">
        <v>1</v>
      </c>
      <c r="I434" s="758">
        <v>88104</v>
      </c>
      <c r="J434" s="758">
        <v>86130</v>
      </c>
    </row>
    <row r="435" spans="2:10" x14ac:dyDescent="0.25">
      <c r="B435" s="758">
        <v>434</v>
      </c>
      <c r="C435" s="758">
        <v>19100134</v>
      </c>
      <c r="D435" t="s">
        <v>1649</v>
      </c>
      <c r="E435" t="s">
        <v>4625</v>
      </c>
      <c r="F435" s="763">
        <v>43292</v>
      </c>
      <c r="G435" s="759">
        <v>1</v>
      </c>
      <c r="I435" s="758">
        <v>88104</v>
      </c>
      <c r="J435" s="758">
        <v>88104</v>
      </c>
    </row>
    <row r="436" spans="2:10" x14ac:dyDescent="0.25">
      <c r="B436" s="758">
        <v>435</v>
      </c>
      <c r="C436" s="758">
        <v>19100166</v>
      </c>
      <c r="D436" t="s">
        <v>2432</v>
      </c>
      <c r="E436" t="s">
        <v>4625</v>
      </c>
      <c r="F436" s="763">
        <v>43292</v>
      </c>
      <c r="G436" s="759">
        <v>1</v>
      </c>
      <c r="I436" s="758">
        <v>88104</v>
      </c>
      <c r="J436" s="758">
        <v>88104</v>
      </c>
    </row>
    <row r="437" spans="2:10" x14ac:dyDescent="0.25">
      <c r="B437" s="758">
        <v>436</v>
      </c>
      <c r="C437" s="758">
        <v>19100175</v>
      </c>
      <c r="D437" t="s">
        <v>2433</v>
      </c>
      <c r="E437" t="s">
        <v>4625</v>
      </c>
      <c r="F437" s="763">
        <v>43292</v>
      </c>
      <c r="G437" s="759">
        <v>1</v>
      </c>
      <c r="I437" s="758">
        <v>88104</v>
      </c>
      <c r="J437" s="758">
        <v>88104</v>
      </c>
    </row>
    <row r="438" spans="2:10" x14ac:dyDescent="0.25">
      <c r="B438" s="758">
        <v>437</v>
      </c>
      <c r="C438" s="758">
        <v>19100178</v>
      </c>
      <c r="D438" t="s">
        <v>2430</v>
      </c>
      <c r="E438" t="s">
        <v>4625</v>
      </c>
      <c r="F438" s="763">
        <v>43292</v>
      </c>
      <c r="G438" s="759">
        <v>1</v>
      </c>
      <c r="I438" s="758">
        <v>88104</v>
      </c>
    </row>
    <row r="439" spans="2:10" x14ac:dyDescent="0.25">
      <c r="B439" s="758">
        <v>438</v>
      </c>
      <c r="C439" s="758">
        <v>19100261</v>
      </c>
      <c r="D439" t="s">
        <v>2439</v>
      </c>
      <c r="E439" t="s">
        <v>4624</v>
      </c>
      <c r="F439" s="763">
        <v>43292</v>
      </c>
      <c r="G439" s="759">
        <v>1</v>
      </c>
      <c r="I439" s="758">
        <v>88104</v>
      </c>
      <c r="J439" s="758">
        <v>86108</v>
      </c>
    </row>
    <row r="440" spans="2:10" x14ac:dyDescent="0.25">
      <c r="B440" s="758">
        <v>439</v>
      </c>
      <c r="C440" s="758">
        <v>19100339</v>
      </c>
      <c r="D440" t="s">
        <v>2360</v>
      </c>
      <c r="E440" t="s">
        <v>4625</v>
      </c>
      <c r="F440" s="763">
        <v>43292</v>
      </c>
      <c r="G440" s="759">
        <v>1</v>
      </c>
      <c r="I440" s="758">
        <v>86108</v>
      </c>
      <c r="J440" s="758" t="s">
        <v>783</v>
      </c>
    </row>
    <row r="441" spans="2:10" x14ac:dyDescent="0.25">
      <c r="B441" s="758">
        <v>440</v>
      </c>
      <c r="C441" s="758">
        <v>19100344</v>
      </c>
      <c r="D441" t="s">
        <v>2366</v>
      </c>
      <c r="E441" t="s">
        <v>4624</v>
      </c>
      <c r="F441" s="763">
        <v>43292</v>
      </c>
      <c r="G441" s="759">
        <v>1</v>
      </c>
      <c r="I441" s="758">
        <v>86108</v>
      </c>
      <c r="J441" s="758" t="s">
        <v>783</v>
      </c>
    </row>
    <row r="442" spans="2:10" x14ac:dyDescent="0.25">
      <c r="B442" s="758">
        <v>441</v>
      </c>
      <c r="C442" s="758">
        <v>19100345</v>
      </c>
      <c r="D442" t="s">
        <v>2369</v>
      </c>
      <c r="E442" t="s">
        <v>4624</v>
      </c>
      <c r="F442" s="763">
        <v>43292</v>
      </c>
      <c r="G442" s="759">
        <v>1</v>
      </c>
      <c r="I442" s="758">
        <v>86108</v>
      </c>
      <c r="J442" s="758" t="s">
        <v>783</v>
      </c>
    </row>
    <row r="443" spans="2:10" x14ac:dyDescent="0.25">
      <c r="B443" s="758">
        <v>442</v>
      </c>
      <c r="C443" s="758">
        <v>19200012</v>
      </c>
      <c r="D443" t="s">
        <v>2461</v>
      </c>
      <c r="E443" t="s">
        <v>4625</v>
      </c>
      <c r="F443" s="763">
        <v>43292</v>
      </c>
      <c r="G443" s="759">
        <v>1</v>
      </c>
      <c r="I443" s="758">
        <v>70133</v>
      </c>
      <c r="J443" s="758" t="s">
        <v>783</v>
      </c>
    </row>
    <row r="444" spans="2:10" x14ac:dyDescent="0.25">
      <c r="B444" s="758">
        <v>443</v>
      </c>
      <c r="C444" s="758">
        <v>19200030</v>
      </c>
      <c r="D444" t="s">
        <v>2464</v>
      </c>
      <c r="E444" t="s">
        <v>4625</v>
      </c>
      <c r="F444" s="763">
        <v>43292</v>
      </c>
      <c r="G444" s="759">
        <v>1</v>
      </c>
      <c r="I444" s="758">
        <v>70133</v>
      </c>
      <c r="J444" s="758" t="s">
        <v>783</v>
      </c>
    </row>
    <row r="445" spans="2:10" x14ac:dyDescent="0.25">
      <c r="B445" s="758">
        <v>444</v>
      </c>
      <c r="C445" s="758">
        <v>19200009</v>
      </c>
      <c r="D445" t="s">
        <v>2494</v>
      </c>
      <c r="E445" t="s">
        <v>4625</v>
      </c>
      <c r="F445" s="763">
        <v>43292</v>
      </c>
      <c r="G445" s="759">
        <v>1</v>
      </c>
      <c r="I445" s="758">
        <v>86130</v>
      </c>
      <c r="J445" s="758" t="s">
        <v>783</v>
      </c>
    </row>
    <row r="446" spans="2:10" x14ac:dyDescent="0.25">
      <c r="B446" s="758">
        <v>445</v>
      </c>
      <c r="C446" s="758">
        <v>19200015</v>
      </c>
      <c r="D446" t="s">
        <v>2341</v>
      </c>
      <c r="E446" t="s">
        <v>4624</v>
      </c>
      <c r="F446" s="763">
        <v>43292</v>
      </c>
      <c r="G446" s="759">
        <v>1</v>
      </c>
      <c r="I446" s="758">
        <v>86130</v>
      </c>
      <c r="J446" s="758" t="s">
        <v>783</v>
      </c>
    </row>
    <row r="447" spans="2:10" x14ac:dyDescent="0.25">
      <c r="B447" s="758">
        <v>446</v>
      </c>
      <c r="C447" s="758">
        <v>19200020</v>
      </c>
      <c r="D447" t="s">
        <v>2328</v>
      </c>
      <c r="E447" t="s">
        <v>4625</v>
      </c>
      <c r="F447" s="763">
        <v>43292</v>
      </c>
      <c r="G447" s="759">
        <v>1</v>
      </c>
      <c r="I447" s="758">
        <v>86130</v>
      </c>
      <c r="J447" s="758" t="s">
        <v>783</v>
      </c>
    </row>
    <row r="448" spans="2:10" x14ac:dyDescent="0.25">
      <c r="B448" s="758">
        <v>447</v>
      </c>
      <c r="C448" s="758">
        <v>19200024</v>
      </c>
      <c r="D448" t="s">
        <v>2284</v>
      </c>
      <c r="E448" t="s">
        <v>4624</v>
      </c>
      <c r="F448" s="763">
        <v>43292</v>
      </c>
      <c r="G448" s="759">
        <v>1</v>
      </c>
      <c r="I448" s="758">
        <v>86130</v>
      </c>
      <c r="J448" s="758" t="s">
        <v>783</v>
      </c>
    </row>
    <row r="449" spans="2:10" x14ac:dyDescent="0.25">
      <c r="B449" s="758">
        <v>448</v>
      </c>
      <c r="C449" s="758">
        <v>19200014</v>
      </c>
      <c r="D449" t="s">
        <v>2436</v>
      </c>
      <c r="E449" t="s">
        <v>4624</v>
      </c>
      <c r="F449" s="763">
        <v>43292</v>
      </c>
      <c r="G449" s="759">
        <v>1</v>
      </c>
      <c r="I449" s="758">
        <v>86130</v>
      </c>
      <c r="J449" s="758" t="s">
        <v>783</v>
      </c>
    </row>
    <row r="450" spans="2:10" x14ac:dyDescent="0.25">
      <c r="B450" s="758">
        <v>449</v>
      </c>
      <c r="C450" s="758">
        <v>19300003</v>
      </c>
      <c r="D450" t="s">
        <v>2519</v>
      </c>
      <c r="E450" t="s">
        <v>4625</v>
      </c>
      <c r="F450" s="763">
        <v>43292</v>
      </c>
      <c r="G450" s="759">
        <v>1</v>
      </c>
      <c r="I450" s="758">
        <v>86031</v>
      </c>
      <c r="J450" s="758" t="s">
        <v>783</v>
      </c>
    </row>
    <row r="451" spans="2:10" x14ac:dyDescent="0.25">
      <c r="B451" s="758">
        <v>450</v>
      </c>
      <c r="C451" s="758">
        <v>19300004</v>
      </c>
      <c r="D451" t="s">
        <v>2521</v>
      </c>
      <c r="E451" t="s">
        <v>4625</v>
      </c>
      <c r="F451" s="763">
        <v>43292</v>
      </c>
      <c r="G451" s="759">
        <v>1</v>
      </c>
      <c r="I451" s="758">
        <v>86031</v>
      </c>
      <c r="J451" s="758" t="s">
        <v>783</v>
      </c>
    </row>
    <row r="452" spans="2:10" x14ac:dyDescent="0.25">
      <c r="B452" s="758">
        <v>451</v>
      </c>
      <c r="C452" s="758">
        <v>19300005</v>
      </c>
      <c r="D452" t="s">
        <v>4814</v>
      </c>
      <c r="E452" t="s">
        <v>4625</v>
      </c>
      <c r="F452" s="763">
        <v>43292</v>
      </c>
      <c r="G452" s="759">
        <v>1</v>
      </c>
      <c r="I452" s="758">
        <v>86031</v>
      </c>
      <c r="J452" s="758" t="s">
        <v>783</v>
      </c>
    </row>
    <row r="453" spans="2:10" x14ac:dyDescent="0.25">
      <c r="B453" s="758">
        <v>452</v>
      </c>
      <c r="C453" s="758">
        <v>19300006</v>
      </c>
      <c r="D453" t="s">
        <v>2524</v>
      </c>
      <c r="E453" t="s">
        <v>4625</v>
      </c>
      <c r="F453" s="763">
        <v>43292</v>
      </c>
      <c r="G453" s="759">
        <v>1</v>
      </c>
      <c r="I453" s="758">
        <v>86031</v>
      </c>
      <c r="J453" s="758" t="s">
        <v>783</v>
      </c>
    </row>
    <row r="454" spans="2:10" x14ac:dyDescent="0.25">
      <c r="B454" s="758">
        <v>453</v>
      </c>
      <c r="C454" s="758">
        <v>19300007</v>
      </c>
      <c r="D454" t="s">
        <v>2525</v>
      </c>
      <c r="E454" t="s">
        <v>4625</v>
      </c>
      <c r="F454" s="763">
        <v>43292</v>
      </c>
      <c r="G454" s="759">
        <v>1</v>
      </c>
      <c r="I454" s="758">
        <v>86031</v>
      </c>
      <c r="J454" s="758" t="s">
        <v>783</v>
      </c>
    </row>
    <row r="455" spans="2:10" x14ac:dyDescent="0.25">
      <c r="B455" s="758">
        <v>454</v>
      </c>
      <c r="C455" s="758">
        <v>19300008</v>
      </c>
      <c r="D455" t="s">
        <v>2526</v>
      </c>
      <c r="E455" t="s">
        <v>4625</v>
      </c>
      <c r="F455" s="763">
        <v>43292</v>
      </c>
      <c r="G455" s="759">
        <v>1</v>
      </c>
      <c r="I455" s="758">
        <v>86031</v>
      </c>
      <c r="J455" s="758" t="s">
        <v>783</v>
      </c>
    </row>
    <row r="456" spans="2:10" x14ac:dyDescent="0.25">
      <c r="B456" s="758">
        <v>455</v>
      </c>
      <c r="C456" s="758">
        <v>19300009</v>
      </c>
      <c r="D456" t="s">
        <v>2527</v>
      </c>
      <c r="E456" t="s">
        <v>4625</v>
      </c>
      <c r="F456" s="763">
        <v>43292</v>
      </c>
      <c r="G456" s="759">
        <v>1</v>
      </c>
      <c r="I456" s="758">
        <v>86031</v>
      </c>
      <c r="J456" s="758" t="s">
        <v>783</v>
      </c>
    </row>
    <row r="457" spans="2:10" x14ac:dyDescent="0.25">
      <c r="B457" s="758">
        <v>456</v>
      </c>
      <c r="C457" s="758">
        <v>192000013</v>
      </c>
      <c r="D457" t="s">
        <v>2502</v>
      </c>
      <c r="E457" t="s">
        <v>4624</v>
      </c>
      <c r="F457" s="763">
        <v>43292</v>
      </c>
      <c r="G457" s="759">
        <v>1</v>
      </c>
      <c r="I457" s="758">
        <v>86031</v>
      </c>
      <c r="J457" s="758" t="s">
        <v>783</v>
      </c>
    </row>
    <row r="458" spans="2:10" x14ac:dyDescent="0.25">
      <c r="B458" s="758">
        <v>457</v>
      </c>
      <c r="C458" s="758">
        <v>19100349</v>
      </c>
      <c r="D458" t="s">
        <v>4767</v>
      </c>
      <c r="E458" t="s">
        <v>4624</v>
      </c>
      <c r="F458" s="763">
        <v>43292</v>
      </c>
      <c r="I458" s="758">
        <v>86108</v>
      </c>
      <c r="J458" s="758" t="s">
        <v>783</v>
      </c>
    </row>
    <row r="459" spans="2:10" x14ac:dyDescent="0.25">
      <c r="B459" s="758">
        <v>458</v>
      </c>
      <c r="C459" s="758">
        <v>19200026</v>
      </c>
      <c r="D459" t="s">
        <v>4815</v>
      </c>
      <c r="E459" t="s">
        <v>4624</v>
      </c>
      <c r="F459" s="763">
        <v>43292</v>
      </c>
      <c r="I459" s="758">
        <v>74130</v>
      </c>
      <c r="J459" s="758" t="s">
        <v>783</v>
      </c>
    </row>
    <row r="460" spans="2:10" x14ac:dyDescent="0.25">
      <c r="B460" s="758">
        <v>459</v>
      </c>
      <c r="C460" s="758">
        <v>19200010</v>
      </c>
      <c r="D460" t="s">
        <v>2742</v>
      </c>
      <c r="E460" t="s">
        <v>4624</v>
      </c>
      <c r="F460" s="763">
        <v>43292</v>
      </c>
      <c r="I460" s="758">
        <v>70133</v>
      </c>
      <c r="J460" s="758" t="s">
        <v>783</v>
      </c>
    </row>
    <row r="461" spans="2:10" x14ac:dyDescent="0.25">
      <c r="B461" s="758">
        <v>460</v>
      </c>
      <c r="C461" s="758">
        <v>19200003</v>
      </c>
      <c r="D461" t="s">
        <v>4816</v>
      </c>
      <c r="E461" t="s">
        <v>4624</v>
      </c>
      <c r="F461" s="763">
        <v>43292</v>
      </c>
      <c r="I461" s="758">
        <v>86130</v>
      </c>
      <c r="J461" s="758" t="s">
        <v>783</v>
      </c>
    </row>
    <row r="462" spans="2:10" x14ac:dyDescent="0.25">
      <c r="B462" s="758">
        <v>461</v>
      </c>
      <c r="C462" s="758">
        <v>19200011</v>
      </c>
      <c r="D462" t="s">
        <v>4811</v>
      </c>
      <c r="E462" t="s">
        <v>4625</v>
      </c>
      <c r="F462" s="763">
        <v>43292</v>
      </c>
      <c r="I462" s="758">
        <v>86130</v>
      </c>
      <c r="J462" s="758" t="s">
        <v>783</v>
      </c>
    </row>
    <row r="463" spans="2:10" x14ac:dyDescent="0.25">
      <c r="B463" s="758">
        <v>462</v>
      </c>
      <c r="C463" s="758">
        <v>19200017</v>
      </c>
      <c r="D463" t="s">
        <v>4817</v>
      </c>
      <c r="E463" t="s">
        <v>4625</v>
      </c>
      <c r="F463" s="763">
        <v>43292</v>
      </c>
      <c r="I463" s="758">
        <v>86130</v>
      </c>
      <c r="J463" s="758" t="s">
        <v>783</v>
      </c>
    </row>
    <row r="464" spans="2:10" x14ac:dyDescent="0.25">
      <c r="B464" s="758">
        <v>463</v>
      </c>
      <c r="C464" s="758">
        <v>19200022</v>
      </c>
      <c r="D464" t="s">
        <v>4813</v>
      </c>
      <c r="E464" t="s">
        <v>4624</v>
      </c>
      <c r="F464" s="763">
        <v>43292</v>
      </c>
      <c r="I464" s="758">
        <v>86130</v>
      </c>
      <c r="J464" s="758" t="s">
        <v>783</v>
      </c>
    </row>
    <row r="465" spans="2:10" x14ac:dyDescent="0.25">
      <c r="B465" s="758">
        <v>464</v>
      </c>
      <c r="C465" s="758">
        <v>19200023</v>
      </c>
      <c r="D465" t="s">
        <v>4674</v>
      </c>
      <c r="E465" t="s">
        <v>4625</v>
      </c>
      <c r="F465" s="763">
        <v>43292</v>
      </c>
      <c r="I465" s="758">
        <v>86130</v>
      </c>
      <c r="J465" s="758" t="s">
        <v>783</v>
      </c>
    </row>
    <row r="466" spans="2:10" x14ac:dyDescent="0.25">
      <c r="B466" s="758">
        <v>465</v>
      </c>
      <c r="C466" s="758">
        <v>19200013</v>
      </c>
      <c r="D466" t="s">
        <v>4818</v>
      </c>
      <c r="E466" t="s">
        <v>4625</v>
      </c>
      <c r="F466" s="763">
        <v>43292</v>
      </c>
      <c r="I466" s="758">
        <v>86130</v>
      </c>
      <c r="J466" s="758" t="s">
        <v>783</v>
      </c>
    </row>
    <row r="467" spans="2:10" x14ac:dyDescent="0.25">
      <c r="B467" s="758">
        <v>466</v>
      </c>
      <c r="C467" s="758">
        <v>19300002</v>
      </c>
      <c r="D467" t="s">
        <v>4819</v>
      </c>
      <c r="E467" t="s">
        <v>4625</v>
      </c>
      <c r="F467" s="763">
        <v>43292</v>
      </c>
      <c r="I467" s="758">
        <v>86031</v>
      </c>
      <c r="J467" s="758" t="s">
        <v>783</v>
      </c>
    </row>
    <row r="468" spans="2:10" x14ac:dyDescent="0.25">
      <c r="B468" s="758">
        <v>467</v>
      </c>
      <c r="C468" s="758">
        <v>19200026</v>
      </c>
      <c r="D468" t="s">
        <v>2529</v>
      </c>
      <c r="E468" t="s">
        <v>4624</v>
      </c>
      <c r="F468" s="763">
        <v>43292</v>
      </c>
      <c r="G468" s="759">
        <v>1</v>
      </c>
      <c r="I468" s="758">
        <v>10001</v>
      </c>
    </row>
    <row r="469" spans="2:10" x14ac:dyDescent="0.25">
      <c r="B469" s="758">
        <v>468</v>
      </c>
      <c r="C469" s="758">
        <v>19200010</v>
      </c>
      <c r="D469" t="s">
        <v>2531</v>
      </c>
      <c r="E469" t="s">
        <v>4624</v>
      </c>
      <c r="F469" s="763">
        <v>43292</v>
      </c>
      <c r="G469" s="759">
        <v>1</v>
      </c>
      <c r="I469" s="758">
        <v>10001</v>
      </c>
    </row>
    <row r="470" spans="2:10" x14ac:dyDescent="0.25">
      <c r="B470" s="758">
        <v>469</v>
      </c>
      <c r="C470" s="758">
        <v>19200012</v>
      </c>
      <c r="D470" t="s">
        <v>2532</v>
      </c>
      <c r="E470" t="s">
        <v>4625</v>
      </c>
      <c r="F470" s="763">
        <v>43292</v>
      </c>
      <c r="G470" s="759">
        <v>1</v>
      </c>
      <c r="I470" s="758">
        <v>10001</v>
      </c>
    </row>
    <row r="471" spans="2:10" x14ac:dyDescent="0.25">
      <c r="B471" s="758">
        <v>470</v>
      </c>
      <c r="C471" s="758">
        <v>19200030</v>
      </c>
      <c r="D471" t="s">
        <v>4820</v>
      </c>
      <c r="E471" t="s">
        <v>4625</v>
      </c>
      <c r="F471" s="763">
        <v>43292</v>
      </c>
      <c r="G471" s="759">
        <v>1</v>
      </c>
      <c r="I471" s="758">
        <v>10001</v>
      </c>
    </row>
    <row r="472" spans="2:10" x14ac:dyDescent="0.25">
      <c r="B472" s="758">
        <v>471</v>
      </c>
      <c r="C472" s="758">
        <v>19200003</v>
      </c>
      <c r="D472" t="s">
        <v>2534</v>
      </c>
      <c r="E472" t="s">
        <v>4624</v>
      </c>
      <c r="F472" s="763">
        <v>43292</v>
      </c>
      <c r="G472" s="759">
        <v>1</v>
      </c>
      <c r="I472" s="758">
        <v>10001</v>
      </c>
    </row>
    <row r="473" spans="2:10" x14ac:dyDescent="0.25">
      <c r="B473" s="758">
        <v>472</v>
      </c>
      <c r="C473" s="758">
        <v>19200009</v>
      </c>
      <c r="D473" t="s">
        <v>2535</v>
      </c>
      <c r="E473" t="s">
        <v>4625</v>
      </c>
      <c r="F473" s="763">
        <v>43292</v>
      </c>
      <c r="G473" s="759">
        <v>1</v>
      </c>
      <c r="I473" s="758">
        <v>10001</v>
      </c>
    </row>
    <row r="474" spans="2:10" x14ac:dyDescent="0.25">
      <c r="B474" s="758">
        <v>473</v>
      </c>
      <c r="C474" s="758">
        <v>19200011</v>
      </c>
      <c r="D474" t="s">
        <v>2536</v>
      </c>
      <c r="E474" t="s">
        <v>4625</v>
      </c>
      <c r="F474" s="763">
        <v>43292</v>
      </c>
      <c r="G474" s="759">
        <v>1</v>
      </c>
      <c r="I474" s="758">
        <v>10001</v>
      </c>
    </row>
    <row r="475" spans="2:10" x14ac:dyDescent="0.25">
      <c r="B475" s="758">
        <v>474</v>
      </c>
      <c r="C475" s="758">
        <v>19200015</v>
      </c>
      <c r="D475" t="s">
        <v>2537</v>
      </c>
      <c r="E475" t="s">
        <v>4624</v>
      </c>
      <c r="F475" s="763">
        <v>43292</v>
      </c>
      <c r="G475" s="759">
        <v>1</v>
      </c>
      <c r="I475" s="758">
        <v>10001</v>
      </c>
    </row>
    <row r="476" spans="2:10" x14ac:dyDescent="0.25">
      <c r="B476" s="758">
        <v>475</v>
      </c>
      <c r="C476" s="758">
        <v>19200017</v>
      </c>
      <c r="D476" t="s">
        <v>163</v>
      </c>
      <c r="E476" t="s">
        <v>4625</v>
      </c>
      <c r="F476" s="763">
        <v>43292</v>
      </c>
      <c r="G476" s="759">
        <v>1</v>
      </c>
      <c r="I476" s="758">
        <v>10001</v>
      </c>
    </row>
    <row r="477" spans="2:10" x14ac:dyDescent="0.25">
      <c r="B477" s="758">
        <v>476</v>
      </c>
      <c r="C477" s="758">
        <v>19200020</v>
      </c>
      <c r="D477" t="s">
        <v>2538</v>
      </c>
      <c r="E477" t="s">
        <v>4625</v>
      </c>
      <c r="F477" s="763">
        <v>43292</v>
      </c>
      <c r="G477" s="759">
        <v>1</v>
      </c>
      <c r="I477" s="758">
        <v>10001</v>
      </c>
    </row>
    <row r="478" spans="2:10" x14ac:dyDescent="0.25">
      <c r="B478" s="758">
        <v>477</v>
      </c>
      <c r="C478" s="758">
        <v>19200022</v>
      </c>
      <c r="D478" t="s">
        <v>111</v>
      </c>
      <c r="E478" t="s">
        <v>4624</v>
      </c>
      <c r="F478" s="763">
        <v>43292</v>
      </c>
      <c r="G478" s="759">
        <v>1</v>
      </c>
      <c r="I478" s="758">
        <v>10001</v>
      </c>
    </row>
    <row r="479" spans="2:10" x14ac:dyDescent="0.25">
      <c r="B479" s="758">
        <v>478</v>
      </c>
      <c r="C479" s="758">
        <v>19200023</v>
      </c>
      <c r="D479" t="s">
        <v>2539</v>
      </c>
      <c r="E479" t="s">
        <v>4625</v>
      </c>
      <c r="F479" s="763">
        <v>43292</v>
      </c>
      <c r="G479" s="759">
        <v>1</v>
      </c>
      <c r="I479" s="758">
        <v>10001</v>
      </c>
    </row>
    <row r="480" spans="2:10" x14ac:dyDescent="0.25">
      <c r="B480" s="758">
        <v>479</v>
      </c>
      <c r="C480" s="758">
        <v>19200024</v>
      </c>
      <c r="D480" t="s">
        <v>2540</v>
      </c>
      <c r="E480" t="s">
        <v>4624</v>
      </c>
      <c r="F480" s="763">
        <v>43292</v>
      </c>
      <c r="G480" s="759">
        <v>1</v>
      </c>
      <c r="I480" s="758">
        <v>10001</v>
      </c>
    </row>
    <row r="481" spans="2:9" x14ac:dyDescent="0.25">
      <c r="B481" s="758">
        <v>480</v>
      </c>
      <c r="C481" s="758">
        <v>19200013</v>
      </c>
      <c r="D481" t="s">
        <v>2541</v>
      </c>
      <c r="E481" t="s">
        <v>4625</v>
      </c>
      <c r="F481" s="763">
        <v>43292</v>
      </c>
      <c r="G481" s="759">
        <v>1</v>
      </c>
      <c r="I481" s="758">
        <v>10001</v>
      </c>
    </row>
    <row r="482" spans="2:9" x14ac:dyDescent="0.25">
      <c r="B482" s="758">
        <v>481</v>
      </c>
      <c r="C482" s="758">
        <v>19200014</v>
      </c>
      <c r="D482" t="s">
        <v>2542</v>
      </c>
      <c r="E482" t="s">
        <v>4624</v>
      </c>
      <c r="F482" s="763">
        <v>43292</v>
      </c>
      <c r="G482" s="759">
        <v>1</v>
      </c>
      <c r="I482" s="758">
        <v>10001</v>
      </c>
    </row>
  </sheetData>
  <pageMargins left="0.31496062992126" right="0.70866141732283505" top="0.35433070866141703" bottom="0.35433070866141703" header="0.31496062992126" footer="0.31496062992126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10</vt:i4>
      </vt:variant>
    </vt:vector>
  </HeadingPairs>
  <TitlesOfParts>
    <vt:vector size="21" baseType="lpstr">
      <vt:lpstr>Rekap SPP</vt:lpstr>
      <vt:lpstr>Tgl Lulus</vt:lpstr>
      <vt:lpstr>Surat Tagih</vt:lpstr>
      <vt:lpstr>Hitung Per Prodi</vt:lpstr>
      <vt:lpstr>DB Wisuda</vt:lpstr>
      <vt:lpstr>Slip-S3</vt:lpstr>
      <vt:lpstr>Slip-S2</vt:lpstr>
      <vt:lpstr>Surat S3</vt:lpstr>
      <vt:lpstr>PMB</vt:lpstr>
      <vt:lpstr>Sheet1</vt:lpstr>
      <vt:lpstr>Sheet2</vt:lpstr>
      <vt:lpstr>BSP</vt:lpstr>
      <vt:lpstr>DB</vt:lpstr>
      <vt:lpstr>DNIMP</vt:lpstr>
      <vt:lpstr>'Slip-S2'!Print_Area</vt:lpstr>
      <vt:lpstr>'Slip-S3'!Print_Area</vt:lpstr>
      <vt:lpstr>'Surat S3'!Print_Area</vt:lpstr>
      <vt:lpstr>'Surat Tagih'!Print_Area</vt:lpstr>
      <vt:lpstr>'Rekap SPP'!Print_Titles</vt:lpstr>
      <vt:lpstr>Tlus</vt:lpstr>
      <vt:lpstr>Wis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Elianson Sinaga</dc:creator>
  <cp:lastModifiedBy>pps.iainjbr-5</cp:lastModifiedBy>
  <cp:lastPrinted>2020-12-23T05:28:00Z</cp:lastPrinted>
  <dcterms:created xsi:type="dcterms:W3CDTF">2013-11-08T04:05:00Z</dcterms:created>
  <dcterms:modified xsi:type="dcterms:W3CDTF">2021-02-11T08:07:48Z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1033-11.2.0.9967</vt:lpwstr>
  </property>
</Properties>
</file>